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activeX/activeX1.xml" ContentType="application/vnd.ms-office.activeX+xml"/>
  <Override PartName="/xl/activeX/activeX1.bin" ContentType="application/vnd.ms-office.activeX"/>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yoyscript\yoyscript\"/>
    </mc:Choice>
  </mc:AlternateContent>
  <bookViews>
    <workbookView xWindow="0" yWindow="0" windowWidth="2160" windowHeight="0"/>
  </bookViews>
  <sheets>
    <sheet name="BJ-byW" sheetId="1" r:id="rId1"/>
    <sheet name="BJ-byM" sheetId="12" r:id="rId2"/>
    <sheet name="FI-byW" sheetId="10" r:id="rId3"/>
    <sheet name="FI-byM" sheetId="13" r:id="rId4"/>
    <sheet name="byPer" sheetId="2" r:id="rId5"/>
    <sheet name="patch" sheetId="9" r:id="rId6"/>
    <sheet name="linxdrv-latestww" sheetId="8" state="hidden" r:id="rId7"/>
    <sheet name="OrgTree" sheetId="6" r:id="rId8"/>
    <sheet name="ver" sheetId="11" r:id="rId9"/>
    <sheet name="Sheet1" sheetId="16" r:id="rId10"/>
  </sheets>
  <externalReferences>
    <externalReference r:id="rId11"/>
    <externalReference r:id="rId12"/>
    <externalReference r:id="rId13"/>
  </externalReferences>
  <definedNames>
    <definedName name="_xlnm._FilterDatabase" localSheetId="7" hidden="1">OrgTree!$A$2:$J$421</definedName>
    <definedName name="BYT_L_MR0_CH">[1]ImnL!$C$16</definedName>
    <definedName name="BYT_L_MR0_ExcInt">[1]ImnL!$C$32</definedName>
    <definedName name="BYT_L_MR0_ExcInt_CH">[1]ImnL!$C$44</definedName>
    <definedName name="BYT_L_MR0_excIntInv">[1]ImnL!$C$109</definedName>
    <definedName name="BYT_L_MR0_excIntInv_CH">[1]ImnL!$D$109</definedName>
    <definedName name="BYT_L_MR0_excInv">[1]ImnL!$C$63</definedName>
    <definedName name="BYT_L_MR0_excInv_CH">[1]ImnL!$E$63</definedName>
    <definedName name="BYT_L_MR0_Total">[1]ImnL!$C$6</definedName>
    <definedName name="BYT_L_MR1_CH">[1]ImnL!$C$20</definedName>
    <definedName name="BYT_L_MR1_ExcInt">[1]ImnL!$C$37</definedName>
    <definedName name="BYT_L_MR1_ExcInt_CH">[1]ImnL!$C$49</definedName>
    <definedName name="BYT_L_MR1_excIntInv">[1]ImnL!$E$109</definedName>
    <definedName name="BYT_L_MR1_excIntInv_CH">[1]ImnL!$F$109</definedName>
    <definedName name="BYT_L_MR1_excInv">[1]ImnL!$C$67</definedName>
    <definedName name="BYT_L_MR1_excInv_CH">[1]ImnL!$E$67</definedName>
    <definedName name="BYT_L_MR1_Total">[1]ImnL!$C$10</definedName>
    <definedName name="enhance_type" localSheetId="7">{"Story","enhancement","Improvement","CCB Item","AR"}</definedName>
    <definedName name="enhance_type">{"Story","enhancement","Improvement","CCB Item","AR"}</definedName>
    <definedName name="Merr_L_MR0_CH">[1]ImnL!$C$18</definedName>
    <definedName name="Merr_L_MR0_ExcInt">[1]ImnL!$C$35</definedName>
    <definedName name="Merr_L_MR0_ExcInt_CH">[1]ImnL!$C$47</definedName>
    <definedName name="Merr_L_MR0_excIntInv">[1]ImnL!$G$109</definedName>
    <definedName name="Merr_L_MR0_excIntInv_CH">[1]ImnL!$H$109</definedName>
    <definedName name="Merr_L_MR0_excInv">[1]ImnL!$C$65</definedName>
    <definedName name="Merr_L_MR0_excInv_CH">[1]ImnL!$E$65</definedName>
    <definedName name="Merr_L_MR0_Total">[1]ImnL!$C$8</definedName>
    <definedName name="Merr_L_MR1_CH">[1]ImnL!$C$21</definedName>
    <definedName name="Merr_L_MR1_ExcInt">[1]ImnL!$C$38</definedName>
    <definedName name="Merr_L_MR1_ExcInt_CH">[1]ImnL!$C$50</definedName>
    <definedName name="Merr_L_MR1_excIntInv">[1]ImnL!$I$109</definedName>
    <definedName name="Merr_L_MR1_excIntInv_CH">[1]ImnL!$J$109</definedName>
    <definedName name="Merr_L_MR1_excInv">[1]ImnL!$C$68</definedName>
    <definedName name="Merr_L_MR1_excInv_CH">[1]ImnL!$E$68</definedName>
    <definedName name="Merr_L_MR1_Total">[1]ImnL!$C$11</definedName>
    <definedName name="MOFD_L_MR0_CH">[1]ImnL!$C$19</definedName>
    <definedName name="MOFD_L_MR0_ExcInt">[1]ImnL!$C$36</definedName>
    <definedName name="MOFD_L_MR0_ExcInt_CH">[1]ImnL!$C$48</definedName>
    <definedName name="MOFD_L_MR0_excIntInv">[1]ImnL!$K$109</definedName>
    <definedName name="MOFD_L_MR0_excIntInv_CH">[1]ImnL!$L$109</definedName>
    <definedName name="MOFD_L_MR0_excInv">[1]ImnL!$C$66</definedName>
    <definedName name="MOFD_L_MR0_excInv_CH">[1]ImnL!$E$66</definedName>
    <definedName name="MOFD_L_MR0_Total">[1]ImnL!$C$9</definedName>
    <definedName name="MOFD_L_MR1_CH">[1]ImnL!$C$22</definedName>
    <definedName name="MOFD_L_MR1_ExcInt">[1]ImnL!$C$39</definedName>
    <definedName name="MOFD_L_MR1_ExcInt_CH">[1]ImnL!$C$51</definedName>
    <definedName name="MOFD_L_MR1_excIntInv">[1]ImnL!$M$109</definedName>
    <definedName name="MOFD_L_MR1_excIntInv_CH">[1]ImnL!$N$109</definedName>
    <definedName name="MOFD_L_MR1_excInv">[1]ImnL!$C$69</definedName>
    <definedName name="MOFD_L_MR1_excInv_CH">[1]ImnL!$E$69</definedName>
    <definedName name="MOFD_L_MR1_Total">[1]ImnL!$C$12</definedName>
    <definedName name="MonthEndDay2015" localSheetId="7">{31,28,31,30,31,30,31,31,30,31,30,31}</definedName>
    <definedName name="MonthEndDay2015">{31,28,31,30,31,30,31,31,30,31,30,31}</definedName>
    <definedName name="reviewMinus1Divdpatch" localSheetId="1">IFERROR(SUMIFS(patch[BJFISH -1 num], patch[status], "MERGED", patch[MergeWW], !A$2, patch[AuthorGroup],"BJ And dev")/COUNTIFS(patch[status], "MERGED", patch[MergeWW], 'BJ-byM'!A$2, patch[AuthorGroup],"BJ And dev"), "no patch")</definedName>
    <definedName name="reviewMinus1Divdpatch" localSheetId="3">IFERROR(SUMIFS(patch[BJFISH -1 num], patch[status], "MERGED", patch[MergeWW], !A$2, patch[AuthorGroup],"BJ And dev")/COUNTIFS(patch[status], "MERGED", patch[MergeWW], 'FI-byM'!A$2, patch[AuthorGroup],"BJ And dev"), "no patch")</definedName>
    <definedName name="reviewMinus1Divdpatch" localSheetId="2">IFERROR(SUMIFS(patch[BJFISH -1 num], patch[status], "MERGED", patch[MergeWW], !A$2, patch[AuthorGroup],"BJ And dev")/COUNTIFS(patch[status], "MERGED", patch[MergeWW], 'FI-byW'!A$2, patch[AuthorGroup],"BJ And dev"), "no patch")</definedName>
    <definedName name="reviewMinus1Divdpatch">IFERROR(SUMIFS(patch[BJFISH -1 num], patch[status], "MERGED", patch[MergeWW], !A$2, patch[AuthorGroup],"BJ And dev")/COUNTIFS(patch[status], "MERGED", patch[MergeWW], 'BJ-byW'!A$2, patch[AuthorGroup],"BJ And dev"), "no patch")</definedName>
  </definedNames>
  <calcPr calcId="152511"/>
  <pivotCaches>
    <pivotCache cacheId="0" r:id="rId1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2894" i="9" l="1"/>
  <c r="U2894" i="9"/>
  <c r="V2894" i="9"/>
  <c r="W2894" i="9"/>
  <c r="X2894" i="9"/>
  <c r="Y2894" i="9"/>
  <c r="Z2894" i="9"/>
  <c r="AA2894" i="9"/>
  <c r="AB2894" i="9"/>
  <c r="AC2894" i="9"/>
  <c r="AD2894" i="9"/>
  <c r="AE2894" i="9"/>
  <c r="Q2850" i="9" l="1"/>
  <c r="Q2851" i="9" s="1"/>
  <c r="Q2884" i="9"/>
  <c r="Q2885" i="9" s="1"/>
  <c r="Q2886" i="9" s="1"/>
  <c r="R2850" i="9"/>
  <c r="R2884" i="9"/>
  <c r="S2884" i="9"/>
  <c r="T2822" i="9"/>
  <c r="T2823" i="9"/>
  <c r="T2824" i="9"/>
  <c r="T2825" i="9"/>
  <c r="T2826" i="9"/>
  <c r="T2827" i="9"/>
  <c r="T2828" i="9"/>
  <c r="T2829" i="9"/>
  <c r="T2830" i="9"/>
  <c r="T2831" i="9"/>
  <c r="T2832" i="9"/>
  <c r="T2833" i="9"/>
  <c r="T2834" i="9"/>
  <c r="T2835" i="9"/>
  <c r="T2836" i="9"/>
  <c r="T2837" i="9"/>
  <c r="T2838" i="9"/>
  <c r="T2839" i="9"/>
  <c r="T2840" i="9"/>
  <c r="T2841" i="9"/>
  <c r="T2842" i="9"/>
  <c r="T2843" i="9"/>
  <c r="T2844" i="9"/>
  <c r="T2845" i="9"/>
  <c r="T2846" i="9"/>
  <c r="T2847" i="9"/>
  <c r="T2848" i="9"/>
  <c r="T2849" i="9"/>
  <c r="T2850" i="9"/>
  <c r="T2851" i="9"/>
  <c r="T2852" i="9"/>
  <c r="T2853" i="9"/>
  <c r="T2854" i="9"/>
  <c r="T2855" i="9"/>
  <c r="T2856" i="9"/>
  <c r="T2857" i="9"/>
  <c r="T2858" i="9"/>
  <c r="T2859" i="9"/>
  <c r="T2860" i="9"/>
  <c r="T2861" i="9"/>
  <c r="T2862" i="9"/>
  <c r="T2863" i="9"/>
  <c r="T2864" i="9"/>
  <c r="T2865" i="9"/>
  <c r="T2866" i="9"/>
  <c r="T2867" i="9"/>
  <c r="T2868" i="9"/>
  <c r="T2869" i="9"/>
  <c r="T2870" i="9"/>
  <c r="T2871" i="9"/>
  <c r="T2872" i="9"/>
  <c r="T2873" i="9"/>
  <c r="T2874" i="9"/>
  <c r="T2875" i="9"/>
  <c r="T2876" i="9"/>
  <c r="T2877" i="9"/>
  <c r="T2878" i="9"/>
  <c r="T2879" i="9"/>
  <c r="T2880" i="9"/>
  <c r="T2881" i="9"/>
  <c r="T2882" i="9"/>
  <c r="T2883" i="9"/>
  <c r="T2884" i="9"/>
  <c r="T2885" i="9"/>
  <c r="T2886" i="9"/>
  <c r="T2887" i="9"/>
  <c r="T2888" i="9"/>
  <c r="T2889" i="9"/>
  <c r="T2890" i="9"/>
  <c r="T2891" i="9"/>
  <c r="T2892" i="9"/>
  <c r="T2893" i="9"/>
  <c r="U2822" i="9"/>
  <c r="U2823" i="9"/>
  <c r="U2824" i="9"/>
  <c r="U2825" i="9"/>
  <c r="U2826" i="9"/>
  <c r="U2827" i="9"/>
  <c r="U2828" i="9"/>
  <c r="U2829" i="9"/>
  <c r="U2830" i="9"/>
  <c r="U2831" i="9"/>
  <c r="U2832" i="9"/>
  <c r="U2833" i="9"/>
  <c r="U2834" i="9"/>
  <c r="U2835" i="9"/>
  <c r="U2836" i="9"/>
  <c r="U2837" i="9"/>
  <c r="U2838" i="9"/>
  <c r="U2839" i="9"/>
  <c r="U2840" i="9"/>
  <c r="U2841" i="9"/>
  <c r="U2842" i="9"/>
  <c r="U2843" i="9"/>
  <c r="U2844" i="9"/>
  <c r="U2845" i="9"/>
  <c r="U2846" i="9"/>
  <c r="U2847" i="9"/>
  <c r="U2848" i="9"/>
  <c r="U2849" i="9"/>
  <c r="U2850" i="9"/>
  <c r="U2851" i="9"/>
  <c r="U2852" i="9"/>
  <c r="U2853" i="9"/>
  <c r="U2854" i="9"/>
  <c r="U2855" i="9"/>
  <c r="U2856" i="9"/>
  <c r="U2857" i="9"/>
  <c r="U2858" i="9"/>
  <c r="U2859" i="9"/>
  <c r="U2860" i="9"/>
  <c r="U2861" i="9"/>
  <c r="U2862" i="9"/>
  <c r="U2863" i="9"/>
  <c r="U2864" i="9"/>
  <c r="U2865" i="9"/>
  <c r="U2866" i="9"/>
  <c r="U2867" i="9"/>
  <c r="U2868" i="9"/>
  <c r="U2869" i="9"/>
  <c r="U2870" i="9"/>
  <c r="U2871" i="9"/>
  <c r="U2872" i="9"/>
  <c r="U2873" i="9"/>
  <c r="U2874" i="9"/>
  <c r="U2875" i="9"/>
  <c r="U2876" i="9"/>
  <c r="U2877" i="9"/>
  <c r="U2878" i="9"/>
  <c r="U2879" i="9"/>
  <c r="U2880" i="9"/>
  <c r="U2881" i="9"/>
  <c r="U2882" i="9"/>
  <c r="U2883" i="9"/>
  <c r="U2884" i="9"/>
  <c r="U2885" i="9"/>
  <c r="U2886" i="9"/>
  <c r="U2887" i="9"/>
  <c r="U2888" i="9"/>
  <c r="U2889" i="9"/>
  <c r="U2890" i="9"/>
  <c r="U2891" i="9"/>
  <c r="U2892" i="9"/>
  <c r="U2893" i="9"/>
  <c r="V2822" i="9"/>
  <c r="V2823" i="9"/>
  <c r="V2824" i="9"/>
  <c r="V2825" i="9"/>
  <c r="V2826" i="9"/>
  <c r="V2827" i="9"/>
  <c r="V2828" i="9"/>
  <c r="V2829" i="9"/>
  <c r="V2830" i="9"/>
  <c r="V2831" i="9"/>
  <c r="V2832" i="9"/>
  <c r="V2833" i="9"/>
  <c r="V2834" i="9"/>
  <c r="V2835" i="9"/>
  <c r="V2836" i="9"/>
  <c r="V2837" i="9"/>
  <c r="V2838" i="9"/>
  <c r="V2839" i="9"/>
  <c r="V2840" i="9"/>
  <c r="V2841" i="9"/>
  <c r="V2842" i="9"/>
  <c r="V2843" i="9"/>
  <c r="V2844" i="9"/>
  <c r="V2845" i="9"/>
  <c r="V2846" i="9"/>
  <c r="V2847" i="9"/>
  <c r="V2848" i="9"/>
  <c r="V2849" i="9"/>
  <c r="V2851" i="9"/>
  <c r="V2852" i="9"/>
  <c r="V2853" i="9"/>
  <c r="V2854" i="9"/>
  <c r="V2855" i="9"/>
  <c r="V2856" i="9"/>
  <c r="V2857" i="9"/>
  <c r="V2858" i="9"/>
  <c r="V2859" i="9"/>
  <c r="V2860" i="9"/>
  <c r="V2861" i="9"/>
  <c r="V2862" i="9"/>
  <c r="V2863" i="9"/>
  <c r="V2864" i="9"/>
  <c r="V2865" i="9"/>
  <c r="V2866" i="9"/>
  <c r="V2867" i="9"/>
  <c r="V2868" i="9"/>
  <c r="V2869" i="9"/>
  <c r="V2870" i="9"/>
  <c r="V2871" i="9"/>
  <c r="V2872" i="9"/>
  <c r="V2873" i="9"/>
  <c r="V2874" i="9"/>
  <c r="V2875" i="9"/>
  <c r="V2876" i="9"/>
  <c r="V2877" i="9"/>
  <c r="V2878" i="9"/>
  <c r="V2879" i="9"/>
  <c r="V2880" i="9"/>
  <c r="V2881" i="9"/>
  <c r="V2882" i="9"/>
  <c r="V2883" i="9"/>
  <c r="V2885" i="9"/>
  <c r="V2886" i="9"/>
  <c r="V2887" i="9"/>
  <c r="V2888" i="9"/>
  <c r="V2889" i="9"/>
  <c r="V2890" i="9"/>
  <c r="V2891" i="9"/>
  <c r="V2892" i="9"/>
  <c r="V2893" i="9"/>
  <c r="W2822" i="9"/>
  <c r="W2823" i="9"/>
  <c r="W2824" i="9"/>
  <c r="W2825" i="9"/>
  <c r="W2826" i="9"/>
  <c r="W2827" i="9"/>
  <c r="W2828" i="9"/>
  <c r="W2829" i="9"/>
  <c r="W2830" i="9"/>
  <c r="W2831" i="9"/>
  <c r="W2832" i="9"/>
  <c r="W2833" i="9"/>
  <c r="W2834" i="9"/>
  <c r="W2835" i="9"/>
  <c r="W2836" i="9"/>
  <c r="W2837" i="9"/>
  <c r="W2838" i="9"/>
  <c r="W2839" i="9"/>
  <c r="W2840" i="9"/>
  <c r="W2841" i="9"/>
  <c r="W2842" i="9"/>
  <c r="W2843" i="9"/>
  <c r="W2844" i="9"/>
  <c r="W2845" i="9"/>
  <c r="W2846" i="9"/>
  <c r="W2847" i="9"/>
  <c r="W2848" i="9"/>
  <c r="W2849" i="9"/>
  <c r="W2851" i="9"/>
  <c r="W2852" i="9"/>
  <c r="W2853" i="9"/>
  <c r="W2854" i="9"/>
  <c r="W2855" i="9"/>
  <c r="W2856" i="9"/>
  <c r="W2857" i="9"/>
  <c r="W2858" i="9"/>
  <c r="W2859" i="9"/>
  <c r="W2860" i="9"/>
  <c r="W2861" i="9"/>
  <c r="W2862" i="9"/>
  <c r="W2863" i="9"/>
  <c r="W2864" i="9"/>
  <c r="W2865" i="9"/>
  <c r="W2866" i="9"/>
  <c r="W2867" i="9"/>
  <c r="W2868" i="9"/>
  <c r="W2869" i="9"/>
  <c r="W2870" i="9"/>
  <c r="W2871" i="9"/>
  <c r="W2872" i="9"/>
  <c r="W2873" i="9"/>
  <c r="W2874" i="9"/>
  <c r="W2875" i="9"/>
  <c r="W2876" i="9"/>
  <c r="W2877" i="9"/>
  <c r="W2878" i="9"/>
  <c r="W2879" i="9"/>
  <c r="W2880" i="9"/>
  <c r="W2881" i="9"/>
  <c r="W2882" i="9"/>
  <c r="W2883" i="9"/>
  <c r="W2885" i="9"/>
  <c r="W2886" i="9"/>
  <c r="W2887" i="9"/>
  <c r="W2888" i="9"/>
  <c r="W2889" i="9"/>
  <c r="W2890" i="9"/>
  <c r="W2891" i="9"/>
  <c r="W2892" i="9"/>
  <c r="W2893" i="9"/>
  <c r="X2822" i="9"/>
  <c r="X2823" i="9"/>
  <c r="X2824" i="9"/>
  <c r="X2825" i="9"/>
  <c r="X2826" i="9"/>
  <c r="X2827" i="9"/>
  <c r="X2828" i="9"/>
  <c r="X2829" i="9"/>
  <c r="X2830" i="9"/>
  <c r="X2831" i="9"/>
  <c r="X2832" i="9"/>
  <c r="X2833" i="9"/>
  <c r="X2834" i="9"/>
  <c r="X2835" i="9"/>
  <c r="X2836" i="9"/>
  <c r="X2837" i="9"/>
  <c r="X2838" i="9"/>
  <c r="X2839" i="9"/>
  <c r="X2840" i="9"/>
  <c r="X2841" i="9"/>
  <c r="X2842" i="9"/>
  <c r="X2843" i="9"/>
  <c r="X2844" i="9"/>
  <c r="X2845" i="9"/>
  <c r="X2846" i="9"/>
  <c r="X2847" i="9"/>
  <c r="X2848" i="9"/>
  <c r="X2849" i="9"/>
  <c r="X2851" i="9"/>
  <c r="X2852" i="9"/>
  <c r="X2853" i="9"/>
  <c r="X2854" i="9"/>
  <c r="X2855" i="9"/>
  <c r="X2856" i="9"/>
  <c r="X2857" i="9"/>
  <c r="X2858" i="9"/>
  <c r="X2859" i="9"/>
  <c r="X2860" i="9"/>
  <c r="X2861" i="9"/>
  <c r="X2862" i="9"/>
  <c r="X2863" i="9"/>
  <c r="X2864" i="9"/>
  <c r="X2865" i="9"/>
  <c r="X2866" i="9"/>
  <c r="X2867" i="9"/>
  <c r="X2868" i="9"/>
  <c r="X2869" i="9"/>
  <c r="X2870" i="9"/>
  <c r="X2871" i="9"/>
  <c r="X2872" i="9"/>
  <c r="X2873" i="9"/>
  <c r="X2874" i="9"/>
  <c r="X2875" i="9"/>
  <c r="X2876" i="9"/>
  <c r="X2877" i="9"/>
  <c r="X2878" i="9"/>
  <c r="X2879" i="9"/>
  <c r="X2880" i="9"/>
  <c r="X2881" i="9"/>
  <c r="X2882" i="9"/>
  <c r="X2883" i="9"/>
  <c r="X2885" i="9"/>
  <c r="X2886" i="9"/>
  <c r="X2887" i="9"/>
  <c r="X2888" i="9"/>
  <c r="X2889" i="9"/>
  <c r="X2890" i="9"/>
  <c r="X2891" i="9"/>
  <c r="X2892" i="9"/>
  <c r="X2893" i="9"/>
  <c r="Y2822" i="9"/>
  <c r="Y2823" i="9"/>
  <c r="Y2824" i="9"/>
  <c r="Y2825" i="9"/>
  <c r="Y2826" i="9"/>
  <c r="Y2827" i="9"/>
  <c r="Y2828" i="9"/>
  <c r="Y2829" i="9"/>
  <c r="Y2830" i="9"/>
  <c r="Y2831" i="9"/>
  <c r="Y2832" i="9"/>
  <c r="Y2833" i="9"/>
  <c r="Y2834" i="9"/>
  <c r="Y2835" i="9"/>
  <c r="Y2836" i="9"/>
  <c r="Y2837" i="9"/>
  <c r="Y2838" i="9"/>
  <c r="Y2839" i="9"/>
  <c r="Y2840" i="9"/>
  <c r="Y2841" i="9"/>
  <c r="Y2842" i="9"/>
  <c r="Y2843" i="9"/>
  <c r="Y2844" i="9"/>
  <c r="Y2845" i="9"/>
  <c r="Y2846" i="9"/>
  <c r="Y2847" i="9"/>
  <c r="Y2848" i="9"/>
  <c r="Y2849" i="9"/>
  <c r="Y2851" i="9"/>
  <c r="Y2852" i="9"/>
  <c r="Y2853" i="9"/>
  <c r="Y2854" i="9"/>
  <c r="Y2855" i="9"/>
  <c r="Y2856" i="9"/>
  <c r="Y2857" i="9"/>
  <c r="Y2858" i="9"/>
  <c r="Y2859" i="9"/>
  <c r="Y2860" i="9"/>
  <c r="Y2861" i="9"/>
  <c r="Y2862" i="9"/>
  <c r="Y2863" i="9"/>
  <c r="Y2864" i="9"/>
  <c r="Y2865" i="9"/>
  <c r="Y2866" i="9"/>
  <c r="Y2867" i="9"/>
  <c r="Y2868" i="9"/>
  <c r="Y2869" i="9"/>
  <c r="Y2870" i="9"/>
  <c r="Y2871" i="9"/>
  <c r="Y2872" i="9"/>
  <c r="Y2873" i="9"/>
  <c r="Y2874" i="9"/>
  <c r="Y2875" i="9"/>
  <c r="Y2876" i="9"/>
  <c r="Y2877" i="9"/>
  <c r="Y2878" i="9"/>
  <c r="Y2879" i="9"/>
  <c r="Y2880" i="9"/>
  <c r="Y2881" i="9"/>
  <c r="Y2882" i="9"/>
  <c r="Y2883" i="9"/>
  <c r="Y2885" i="9"/>
  <c r="Y2886" i="9"/>
  <c r="Y2887" i="9"/>
  <c r="Y2888" i="9"/>
  <c r="Y2889" i="9"/>
  <c r="Y2890" i="9"/>
  <c r="Y2891" i="9"/>
  <c r="Y2892" i="9"/>
  <c r="Y2893" i="9"/>
  <c r="Z2822" i="9"/>
  <c r="Z2823" i="9"/>
  <c r="Z2824" i="9"/>
  <c r="Z2825" i="9"/>
  <c r="Z2826" i="9"/>
  <c r="Z2827" i="9"/>
  <c r="Z2828" i="9"/>
  <c r="Z2829" i="9"/>
  <c r="Z2830" i="9"/>
  <c r="Z2831" i="9"/>
  <c r="Z2832" i="9"/>
  <c r="Z2833" i="9"/>
  <c r="Z2834" i="9"/>
  <c r="Z2835" i="9"/>
  <c r="Z2836" i="9"/>
  <c r="Z2837" i="9"/>
  <c r="Z2838" i="9"/>
  <c r="Z2839" i="9"/>
  <c r="Z2840" i="9"/>
  <c r="Z2841" i="9"/>
  <c r="Z2842" i="9"/>
  <c r="Z2843" i="9"/>
  <c r="Z2844" i="9"/>
  <c r="Z2845" i="9"/>
  <c r="Z2846" i="9"/>
  <c r="Z2847" i="9"/>
  <c r="Z2848" i="9"/>
  <c r="Z2849" i="9"/>
  <c r="Z2851" i="9"/>
  <c r="Z2852" i="9"/>
  <c r="Z2853" i="9"/>
  <c r="Z2854" i="9"/>
  <c r="Z2855" i="9"/>
  <c r="Z2856" i="9"/>
  <c r="Z2857" i="9"/>
  <c r="Z2858" i="9"/>
  <c r="Z2859" i="9"/>
  <c r="Z2860" i="9"/>
  <c r="Z2861" i="9"/>
  <c r="Z2862" i="9"/>
  <c r="Z2863" i="9"/>
  <c r="Z2864" i="9"/>
  <c r="Z2865" i="9"/>
  <c r="Z2866" i="9"/>
  <c r="Z2867" i="9"/>
  <c r="Z2868" i="9"/>
  <c r="Z2869" i="9"/>
  <c r="Z2870" i="9"/>
  <c r="Z2871" i="9"/>
  <c r="Z2872" i="9"/>
  <c r="Z2873" i="9"/>
  <c r="Z2874" i="9"/>
  <c r="Z2875" i="9"/>
  <c r="Z2876" i="9"/>
  <c r="Z2877" i="9"/>
  <c r="Z2878" i="9"/>
  <c r="Z2879" i="9"/>
  <c r="Z2880" i="9"/>
  <c r="Z2881" i="9"/>
  <c r="Z2882" i="9"/>
  <c r="Z2883" i="9"/>
  <c r="Z2885" i="9"/>
  <c r="Z2886" i="9"/>
  <c r="Z2887" i="9"/>
  <c r="Z2888" i="9"/>
  <c r="Z2889" i="9"/>
  <c r="Z2890" i="9"/>
  <c r="Z2891" i="9"/>
  <c r="Z2892" i="9"/>
  <c r="Z2893" i="9"/>
  <c r="AA2822" i="9"/>
  <c r="AA2823" i="9"/>
  <c r="AA2824" i="9"/>
  <c r="AA2825" i="9"/>
  <c r="AA2826" i="9"/>
  <c r="AA2827" i="9"/>
  <c r="AA2828" i="9"/>
  <c r="AA2829" i="9"/>
  <c r="AA2830" i="9"/>
  <c r="AA2831" i="9"/>
  <c r="AA2832" i="9"/>
  <c r="AA2833" i="9"/>
  <c r="AA2834" i="9"/>
  <c r="AA2835" i="9"/>
  <c r="AA2836" i="9"/>
  <c r="AA2837" i="9"/>
  <c r="AA2838" i="9"/>
  <c r="AA2839" i="9"/>
  <c r="AA2840" i="9"/>
  <c r="AA2841" i="9"/>
  <c r="AA2842" i="9"/>
  <c r="AA2843" i="9"/>
  <c r="AA2844" i="9"/>
  <c r="AA2845" i="9"/>
  <c r="AA2846" i="9"/>
  <c r="AA2847" i="9"/>
  <c r="AA2848" i="9"/>
  <c r="AA2849" i="9"/>
  <c r="AA2851" i="9"/>
  <c r="AA2852" i="9"/>
  <c r="AA2853" i="9"/>
  <c r="AA2854" i="9"/>
  <c r="AA2855" i="9"/>
  <c r="AA2856" i="9"/>
  <c r="AA2857" i="9"/>
  <c r="AA2858" i="9"/>
  <c r="AA2859" i="9"/>
  <c r="AA2860" i="9"/>
  <c r="AA2861" i="9"/>
  <c r="AA2862" i="9"/>
  <c r="AA2863" i="9"/>
  <c r="AA2864" i="9"/>
  <c r="AA2865" i="9"/>
  <c r="AA2866" i="9"/>
  <c r="AA2867" i="9"/>
  <c r="AA2868" i="9"/>
  <c r="AA2869" i="9"/>
  <c r="AA2870" i="9"/>
  <c r="AA2871" i="9"/>
  <c r="AA2872" i="9"/>
  <c r="AA2873" i="9"/>
  <c r="AA2874" i="9"/>
  <c r="AA2875" i="9"/>
  <c r="AA2876" i="9"/>
  <c r="AA2877" i="9"/>
  <c r="AA2878" i="9"/>
  <c r="AA2879" i="9"/>
  <c r="AA2880" i="9"/>
  <c r="AA2881" i="9"/>
  <c r="AA2882" i="9"/>
  <c r="AA2883" i="9"/>
  <c r="AA2885" i="9"/>
  <c r="AA2886" i="9"/>
  <c r="AA2887" i="9"/>
  <c r="AA2888" i="9"/>
  <c r="AA2889" i="9"/>
  <c r="AA2890" i="9"/>
  <c r="AA2891" i="9"/>
  <c r="AA2892" i="9"/>
  <c r="AA2893" i="9"/>
  <c r="AB2822" i="9"/>
  <c r="AB2823" i="9"/>
  <c r="AB2824" i="9"/>
  <c r="AB2825" i="9"/>
  <c r="AB2826" i="9"/>
  <c r="AB2827" i="9"/>
  <c r="AB2828" i="9"/>
  <c r="AB2829" i="9"/>
  <c r="AB2830" i="9"/>
  <c r="AB2831" i="9"/>
  <c r="AB2832" i="9"/>
  <c r="AB2833" i="9"/>
  <c r="AB2834" i="9"/>
  <c r="AB2835" i="9"/>
  <c r="AB2836" i="9"/>
  <c r="AB2837" i="9"/>
  <c r="AB2838" i="9"/>
  <c r="AB2839" i="9"/>
  <c r="AB2840" i="9"/>
  <c r="AB2841" i="9"/>
  <c r="AB2842" i="9"/>
  <c r="AB2843" i="9"/>
  <c r="AB2844" i="9"/>
  <c r="AB2845" i="9"/>
  <c r="AB2846" i="9"/>
  <c r="AB2847" i="9"/>
  <c r="AB2848" i="9"/>
  <c r="AB2849" i="9"/>
  <c r="AB2851" i="9"/>
  <c r="AB2852" i="9"/>
  <c r="AB2853" i="9"/>
  <c r="AB2854" i="9"/>
  <c r="AB2855" i="9"/>
  <c r="AB2856" i="9"/>
  <c r="AB2857" i="9"/>
  <c r="AB2858" i="9"/>
  <c r="AB2859" i="9"/>
  <c r="AB2860" i="9"/>
  <c r="AB2861" i="9"/>
  <c r="AB2862" i="9"/>
  <c r="AB2863" i="9"/>
  <c r="AB2864" i="9"/>
  <c r="AB2865" i="9"/>
  <c r="AB2866" i="9"/>
  <c r="AB2867" i="9"/>
  <c r="AB2868" i="9"/>
  <c r="AB2869" i="9"/>
  <c r="AB2870" i="9"/>
  <c r="AB2871" i="9"/>
  <c r="AB2872" i="9"/>
  <c r="AB2873" i="9"/>
  <c r="AB2874" i="9"/>
  <c r="AB2875" i="9"/>
  <c r="AB2876" i="9"/>
  <c r="AB2877" i="9"/>
  <c r="AB2878" i="9"/>
  <c r="AB2879" i="9"/>
  <c r="AB2880" i="9"/>
  <c r="AB2881" i="9"/>
  <c r="AB2882" i="9"/>
  <c r="AB2883" i="9"/>
  <c r="AB2885" i="9"/>
  <c r="AB2886" i="9"/>
  <c r="AB2887" i="9"/>
  <c r="AB2888" i="9"/>
  <c r="AB2889" i="9"/>
  <c r="AB2890" i="9"/>
  <c r="AB2891" i="9"/>
  <c r="AB2892" i="9"/>
  <c r="AB2893" i="9"/>
  <c r="AC2822" i="9"/>
  <c r="AC2823" i="9"/>
  <c r="AC2824" i="9"/>
  <c r="AC2825" i="9"/>
  <c r="AC2826" i="9"/>
  <c r="AC2827" i="9"/>
  <c r="AC2828" i="9"/>
  <c r="AC2829" i="9"/>
  <c r="AC2830" i="9"/>
  <c r="AC2831" i="9"/>
  <c r="AC2832" i="9"/>
  <c r="AC2833" i="9"/>
  <c r="AC2834" i="9"/>
  <c r="AC2835" i="9"/>
  <c r="AC2836" i="9"/>
  <c r="AC2837" i="9"/>
  <c r="AC2838" i="9"/>
  <c r="AC2839" i="9"/>
  <c r="AC2840" i="9"/>
  <c r="AC2841" i="9"/>
  <c r="AC2842" i="9"/>
  <c r="AC2843" i="9"/>
  <c r="AC2844" i="9"/>
  <c r="AC2845" i="9"/>
  <c r="AC2846" i="9"/>
  <c r="AC2847" i="9"/>
  <c r="AC2848" i="9"/>
  <c r="AC2849" i="9"/>
  <c r="AC2850" i="9"/>
  <c r="AC2851" i="9"/>
  <c r="AC2852" i="9"/>
  <c r="AC2853" i="9"/>
  <c r="AC2854" i="9"/>
  <c r="AC2855" i="9"/>
  <c r="AC2856" i="9"/>
  <c r="AC2857" i="9"/>
  <c r="AC2858" i="9"/>
  <c r="AC2859" i="9"/>
  <c r="AC2860" i="9"/>
  <c r="AC2861" i="9"/>
  <c r="AC2862" i="9"/>
  <c r="AC2863" i="9"/>
  <c r="AC2864" i="9"/>
  <c r="AC2865" i="9"/>
  <c r="AC2866" i="9"/>
  <c r="AC2867" i="9"/>
  <c r="AC2868" i="9"/>
  <c r="AC2869" i="9"/>
  <c r="AC2870" i="9"/>
  <c r="AC2871" i="9"/>
  <c r="AC2872" i="9"/>
  <c r="AC2873" i="9"/>
  <c r="AC2874" i="9"/>
  <c r="AC2875" i="9"/>
  <c r="AC2876" i="9"/>
  <c r="AC2877" i="9"/>
  <c r="AC2878" i="9"/>
  <c r="AC2879" i="9"/>
  <c r="AC2880" i="9"/>
  <c r="AC2881" i="9"/>
  <c r="AC2882" i="9"/>
  <c r="AC2883" i="9"/>
  <c r="AC2884" i="9"/>
  <c r="AC2885" i="9"/>
  <c r="AC2886" i="9"/>
  <c r="AC2887" i="9"/>
  <c r="AC2888" i="9"/>
  <c r="AC2889" i="9"/>
  <c r="AC2890" i="9"/>
  <c r="AC2891" i="9"/>
  <c r="AC2892" i="9"/>
  <c r="AC2893" i="9"/>
  <c r="AD2822" i="9"/>
  <c r="AD2823" i="9"/>
  <c r="AD2824" i="9"/>
  <c r="AD2825" i="9"/>
  <c r="AD2826" i="9"/>
  <c r="AD2827" i="9"/>
  <c r="AD2828" i="9"/>
  <c r="AD2829" i="9"/>
  <c r="AD2830" i="9"/>
  <c r="AD2831" i="9"/>
  <c r="AD2832" i="9"/>
  <c r="AD2833" i="9"/>
  <c r="AD2834" i="9"/>
  <c r="AD2835" i="9"/>
  <c r="AD2836" i="9"/>
  <c r="AD2837" i="9"/>
  <c r="AD2838" i="9"/>
  <c r="AD2839" i="9"/>
  <c r="AD2840" i="9"/>
  <c r="AD2841" i="9"/>
  <c r="AD2842" i="9"/>
  <c r="AD2843" i="9"/>
  <c r="AD2844" i="9"/>
  <c r="AD2845" i="9"/>
  <c r="AD2846" i="9"/>
  <c r="AD2847" i="9"/>
  <c r="AD2848" i="9"/>
  <c r="AD2849" i="9"/>
  <c r="AD2850" i="9"/>
  <c r="AD2851" i="9"/>
  <c r="AD2852" i="9"/>
  <c r="AD2853" i="9"/>
  <c r="AD2854" i="9"/>
  <c r="AD2855" i="9"/>
  <c r="AD2856" i="9"/>
  <c r="AD2857" i="9"/>
  <c r="AD2858" i="9"/>
  <c r="AD2859" i="9"/>
  <c r="AD2860" i="9"/>
  <c r="AD2861" i="9"/>
  <c r="AD2862" i="9"/>
  <c r="AD2863" i="9"/>
  <c r="AD2864" i="9"/>
  <c r="AD2865" i="9"/>
  <c r="AD2866" i="9"/>
  <c r="AD2867" i="9"/>
  <c r="AD2868" i="9"/>
  <c r="AD2869" i="9"/>
  <c r="AD2870" i="9"/>
  <c r="AD2871" i="9"/>
  <c r="AD2872" i="9"/>
  <c r="AD2873" i="9"/>
  <c r="AD2874" i="9"/>
  <c r="AD2875" i="9"/>
  <c r="AD2876" i="9"/>
  <c r="AD2877" i="9"/>
  <c r="AD2878" i="9"/>
  <c r="AD2879" i="9"/>
  <c r="AD2880" i="9"/>
  <c r="AD2881" i="9"/>
  <c r="AD2882" i="9"/>
  <c r="AD2883" i="9"/>
  <c r="AD2884" i="9"/>
  <c r="AD2885" i="9"/>
  <c r="AD2886" i="9"/>
  <c r="AD2887" i="9"/>
  <c r="AD2888" i="9"/>
  <c r="AD2889" i="9"/>
  <c r="AD2890" i="9"/>
  <c r="AD2891" i="9"/>
  <c r="AD2892" i="9"/>
  <c r="AD2893" i="9"/>
  <c r="AE2822" i="9"/>
  <c r="AE2823" i="9"/>
  <c r="AE2824" i="9"/>
  <c r="AE2825" i="9"/>
  <c r="AE2826" i="9"/>
  <c r="AE2827" i="9"/>
  <c r="AE2828" i="9"/>
  <c r="AE2829" i="9"/>
  <c r="AE2830" i="9"/>
  <c r="AE2831" i="9"/>
  <c r="AE2832" i="9"/>
  <c r="AE2833" i="9"/>
  <c r="AE2834" i="9"/>
  <c r="AE2835" i="9"/>
  <c r="AE2836" i="9"/>
  <c r="AE2837" i="9"/>
  <c r="AE2838" i="9"/>
  <c r="AE2839" i="9"/>
  <c r="AE2840" i="9"/>
  <c r="AE2841" i="9"/>
  <c r="AE2842" i="9"/>
  <c r="AE2843" i="9"/>
  <c r="AE2844" i="9"/>
  <c r="AE2845" i="9"/>
  <c r="AE2846" i="9"/>
  <c r="AE2847" i="9"/>
  <c r="AE2848" i="9"/>
  <c r="AE2849" i="9"/>
  <c r="AE2850" i="9"/>
  <c r="AE2851" i="9"/>
  <c r="AE2852" i="9"/>
  <c r="AE2853" i="9"/>
  <c r="AE2854" i="9"/>
  <c r="AE2855" i="9"/>
  <c r="AE2856" i="9"/>
  <c r="AE2857" i="9"/>
  <c r="AE2858" i="9"/>
  <c r="AE2859" i="9"/>
  <c r="AE2860" i="9"/>
  <c r="AE2861" i="9"/>
  <c r="AE2862" i="9"/>
  <c r="AE2863" i="9"/>
  <c r="AE2864" i="9"/>
  <c r="AE2865" i="9"/>
  <c r="AE2866" i="9"/>
  <c r="AE2867" i="9"/>
  <c r="AE2868" i="9"/>
  <c r="AE2869" i="9"/>
  <c r="AE2870" i="9"/>
  <c r="AE2871" i="9"/>
  <c r="AE2872" i="9"/>
  <c r="AE2873" i="9"/>
  <c r="AE2874" i="9"/>
  <c r="AE2875" i="9"/>
  <c r="AE2876" i="9"/>
  <c r="AE2877" i="9"/>
  <c r="AE2878" i="9"/>
  <c r="AE2879" i="9"/>
  <c r="AE2880" i="9"/>
  <c r="AE2881" i="9"/>
  <c r="AE2882" i="9"/>
  <c r="AE2883" i="9"/>
  <c r="AE2884" i="9"/>
  <c r="AE2885" i="9"/>
  <c r="AE2886" i="9"/>
  <c r="AE2887" i="9"/>
  <c r="AE2888" i="9"/>
  <c r="AE2889" i="9"/>
  <c r="AE2890" i="9"/>
  <c r="AE2891" i="9"/>
  <c r="AE2892" i="9"/>
  <c r="AE2893" i="9"/>
  <c r="S2850" i="9" l="1"/>
  <c r="Q2887" i="9"/>
  <c r="R2886" i="9"/>
  <c r="S2886" i="9"/>
  <c r="Q2852" i="9"/>
  <c r="R2851" i="9"/>
  <c r="S2851" i="9"/>
  <c r="S2885" i="9"/>
  <c r="R2885" i="9"/>
  <c r="T2821" i="9"/>
  <c r="U2821" i="9"/>
  <c r="V2821" i="9"/>
  <c r="W2821" i="9"/>
  <c r="X2821" i="9"/>
  <c r="Y2821" i="9"/>
  <c r="Z2821" i="9"/>
  <c r="AA2821" i="9"/>
  <c r="AB2821" i="9"/>
  <c r="AC2821" i="9"/>
  <c r="AD2821" i="9"/>
  <c r="AE2821" i="9"/>
  <c r="S2852" i="9" l="1"/>
  <c r="Q2853" i="9"/>
  <c r="R2852" i="9"/>
  <c r="Q2888" i="9"/>
  <c r="R2887" i="9"/>
  <c r="S2887" i="9"/>
  <c r="Q2678" i="9"/>
  <c r="Q2679" i="9" s="1"/>
  <c r="S2678" i="9"/>
  <c r="T2650" i="9"/>
  <c r="T2651" i="9"/>
  <c r="T2652" i="9"/>
  <c r="T2653" i="9"/>
  <c r="T2654" i="9"/>
  <c r="T2655" i="9"/>
  <c r="T2656" i="9"/>
  <c r="T2657" i="9"/>
  <c r="T2658" i="9"/>
  <c r="T2659" i="9"/>
  <c r="T2660" i="9"/>
  <c r="T2661" i="9"/>
  <c r="T2662" i="9"/>
  <c r="T2663" i="9"/>
  <c r="T2664" i="9"/>
  <c r="T2665" i="9"/>
  <c r="T2666" i="9"/>
  <c r="T2667" i="9"/>
  <c r="T2668" i="9"/>
  <c r="T2669" i="9"/>
  <c r="T2670" i="9"/>
  <c r="T2671" i="9"/>
  <c r="T2672" i="9"/>
  <c r="T2673" i="9"/>
  <c r="T2674" i="9"/>
  <c r="T2675" i="9"/>
  <c r="T2676" i="9"/>
  <c r="T2677" i="9"/>
  <c r="T2678" i="9"/>
  <c r="T2679" i="9"/>
  <c r="T2680" i="9"/>
  <c r="T2681" i="9"/>
  <c r="T2682" i="9"/>
  <c r="T2683" i="9"/>
  <c r="T2684" i="9"/>
  <c r="T2685" i="9"/>
  <c r="T2686" i="9"/>
  <c r="T2687" i="9"/>
  <c r="T2688" i="9"/>
  <c r="T2689" i="9"/>
  <c r="T2690" i="9"/>
  <c r="T2691" i="9"/>
  <c r="T2692" i="9"/>
  <c r="T2693" i="9"/>
  <c r="T2694" i="9"/>
  <c r="T2695" i="9"/>
  <c r="T2696" i="9"/>
  <c r="T2697" i="9"/>
  <c r="T2698" i="9"/>
  <c r="T2699" i="9"/>
  <c r="T2700" i="9"/>
  <c r="T2701" i="9"/>
  <c r="T2702" i="9"/>
  <c r="T2703" i="9"/>
  <c r="T2704" i="9"/>
  <c r="T2705" i="9"/>
  <c r="T2706" i="9"/>
  <c r="T2707" i="9"/>
  <c r="T2708" i="9"/>
  <c r="T2709" i="9"/>
  <c r="T2710" i="9"/>
  <c r="T2711" i="9"/>
  <c r="T2712" i="9"/>
  <c r="T2713" i="9"/>
  <c r="T2714" i="9"/>
  <c r="T2715" i="9"/>
  <c r="T2716" i="9"/>
  <c r="T2717" i="9"/>
  <c r="T2718" i="9"/>
  <c r="T2719" i="9"/>
  <c r="T2720" i="9"/>
  <c r="T2721" i="9"/>
  <c r="T2722" i="9"/>
  <c r="T2723" i="9"/>
  <c r="T2724" i="9"/>
  <c r="T2725" i="9"/>
  <c r="T2726" i="9"/>
  <c r="T2727" i="9"/>
  <c r="T2728" i="9"/>
  <c r="T2729" i="9"/>
  <c r="T2730" i="9"/>
  <c r="T2731" i="9"/>
  <c r="T2732" i="9"/>
  <c r="T2733" i="9"/>
  <c r="T2734" i="9"/>
  <c r="T2735" i="9"/>
  <c r="T2736" i="9"/>
  <c r="T2737" i="9"/>
  <c r="T2738" i="9"/>
  <c r="T2739" i="9"/>
  <c r="T2740" i="9"/>
  <c r="T2741" i="9"/>
  <c r="T2742" i="9"/>
  <c r="T2743" i="9"/>
  <c r="T2744" i="9"/>
  <c r="T2745" i="9"/>
  <c r="T2746" i="9"/>
  <c r="T2747" i="9"/>
  <c r="T2748" i="9"/>
  <c r="T2749" i="9"/>
  <c r="T2750" i="9"/>
  <c r="T2751" i="9"/>
  <c r="T2752" i="9"/>
  <c r="T2753" i="9"/>
  <c r="T2754" i="9"/>
  <c r="T2755" i="9"/>
  <c r="T2756" i="9"/>
  <c r="T2757" i="9"/>
  <c r="T2758" i="9"/>
  <c r="T2759" i="9"/>
  <c r="T2760" i="9"/>
  <c r="T2761" i="9"/>
  <c r="T2762" i="9"/>
  <c r="T2763" i="9"/>
  <c r="T2764" i="9"/>
  <c r="T2765" i="9"/>
  <c r="T2766" i="9"/>
  <c r="T2767" i="9"/>
  <c r="T2768" i="9"/>
  <c r="T2769" i="9"/>
  <c r="T2770" i="9"/>
  <c r="T2771" i="9"/>
  <c r="T2772" i="9"/>
  <c r="T2773" i="9"/>
  <c r="T2774" i="9"/>
  <c r="T2775" i="9"/>
  <c r="T2776" i="9"/>
  <c r="T2777" i="9"/>
  <c r="T2778" i="9"/>
  <c r="T2779" i="9"/>
  <c r="T2780" i="9"/>
  <c r="T2781" i="9"/>
  <c r="T2782" i="9"/>
  <c r="T2783" i="9"/>
  <c r="T2784" i="9"/>
  <c r="T2785" i="9"/>
  <c r="T2786" i="9"/>
  <c r="T2787" i="9"/>
  <c r="T2788" i="9"/>
  <c r="T2789" i="9"/>
  <c r="T2790" i="9"/>
  <c r="T2791" i="9"/>
  <c r="T2792" i="9"/>
  <c r="T2793" i="9"/>
  <c r="T2794" i="9"/>
  <c r="T2795" i="9"/>
  <c r="T2796" i="9"/>
  <c r="T2797" i="9"/>
  <c r="T2798" i="9"/>
  <c r="T2799" i="9"/>
  <c r="T2800" i="9"/>
  <c r="T2801" i="9"/>
  <c r="T2802" i="9"/>
  <c r="T2803" i="9"/>
  <c r="T2804" i="9"/>
  <c r="T2805" i="9"/>
  <c r="T2806" i="9"/>
  <c r="T2807" i="9"/>
  <c r="T2808" i="9"/>
  <c r="T2809" i="9"/>
  <c r="T2810" i="9"/>
  <c r="T2811" i="9"/>
  <c r="T2812" i="9"/>
  <c r="T2813" i="9"/>
  <c r="T2814" i="9"/>
  <c r="T2815" i="9"/>
  <c r="T2816" i="9"/>
  <c r="T2817" i="9"/>
  <c r="T2818" i="9"/>
  <c r="T2819" i="9"/>
  <c r="T2820" i="9"/>
  <c r="U2650" i="9"/>
  <c r="U2651" i="9"/>
  <c r="U2652" i="9"/>
  <c r="U2653" i="9"/>
  <c r="U2654" i="9"/>
  <c r="U2655" i="9"/>
  <c r="U2656" i="9"/>
  <c r="U2657" i="9"/>
  <c r="U2658" i="9"/>
  <c r="U2659" i="9"/>
  <c r="U2660" i="9"/>
  <c r="U2661" i="9"/>
  <c r="U2662" i="9"/>
  <c r="U2663" i="9"/>
  <c r="U2664" i="9"/>
  <c r="U2665" i="9"/>
  <c r="U2666" i="9"/>
  <c r="U2667" i="9"/>
  <c r="U2668" i="9"/>
  <c r="U2669" i="9"/>
  <c r="U2670" i="9"/>
  <c r="U2671" i="9"/>
  <c r="U2672" i="9"/>
  <c r="U2673" i="9"/>
  <c r="U2674" i="9"/>
  <c r="U2675" i="9"/>
  <c r="U2676" i="9"/>
  <c r="U2677" i="9"/>
  <c r="U2678" i="9"/>
  <c r="U2679" i="9"/>
  <c r="U2680" i="9"/>
  <c r="U2681" i="9"/>
  <c r="U2682" i="9"/>
  <c r="U2683" i="9"/>
  <c r="U2684" i="9"/>
  <c r="U2685" i="9"/>
  <c r="U2686" i="9"/>
  <c r="U2687" i="9"/>
  <c r="U2688" i="9"/>
  <c r="U2689" i="9"/>
  <c r="U2690" i="9"/>
  <c r="U2691" i="9"/>
  <c r="U2692" i="9"/>
  <c r="U2693" i="9"/>
  <c r="U2694" i="9"/>
  <c r="U2695" i="9"/>
  <c r="U2696" i="9"/>
  <c r="U2697" i="9"/>
  <c r="U2698" i="9"/>
  <c r="U2699" i="9"/>
  <c r="U2700" i="9"/>
  <c r="U2701" i="9"/>
  <c r="U2702" i="9"/>
  <c r="U2703" i="9"/>
  <c r="U2704" i="9"/>
  <c r="U2705" i="9"/>
  <c r="U2706" i="9"/>
  <c r="U2707" i="9"/>
  <c r="U2708" i="9"/>
  <c r="U2709" i="9"/>
  <c r="U2710" i="9"/>
  <c r="U2711" i="9"/>
  <c r="U2712" i="9"/>
  <c r="U2713" i="9"/>
  <c r="U2714" i="9"/>
  <c r="U2715" i="9"/>
  <c r="U2716" i="9"/>
  <c r="U2717" i="9"/>
  <c r="U2718" i="9"/>
  <c r="U2719" i="9"/>
  <c r="U2720" i="9"/>
  <c r="U2721" i="9"/>
  <c r="U2722" i="9"/>
  <c r="U2723" i="9"/>
  <c r="U2724" i="9"/>
  <c r="U2725" i="9"/>
  <c r="U2726" i="9"/>
  <c r="U2727" i="9"/>
  <c r="U2728" i="9"/>
  <c r="U2729" i="9"/>
  <c r="U2730" i="9"/>
  <c r="U2731" i="9"/>
  <c r="U2732" i="9"/>
  <c r="U2733" i="9"/>
  <c r="U2734" i="9"/>
  <c r="U2735" i="9"/>
  <c r="U2736" i="9"/>
  <c r="U2737" i="9"/>
  <c r="U2738" i="9"/>
  <c r="U2739" i="9"/>
  <c r="U2740" i="9"/>
  <c r="U2741" i="9"/>
  <c r="U2742" i="9"/>
  <c r="U2743" i="9"/>
  <c r="U2744" i="9"/>
  <c r="U2745" i="9"/>
  <c r="U2746" i="9"/>
  <c r="U2747" i="9"/>
  <c r="U2748" i="9"/>
  <c r="U2749" i="9"/>
  <c r="U2750" i="9"/>
  <c r="U2751" i="9"/>
  <c r="U2752" i="9"/>
  <c r="U2753" i="9"/>
  <c r="U2754" i="9"/>
  <c r="U2755" i="9"/>
  <c r="U2756" i="9"/>
  <c r="U2757" i="9"/>
  <c r="U2758" i="9"/>
  <c r="U2759" i="9"/>
  <c r="U2760" i="9"/>
  <c r="U2761" i="9"/>
  <c r="U2762" i="9"/>
  <c r="U2763" i="9"/>
  <c r="U2764" i="9"/>
  <c r="U2765" i="9"/>
  <c r="U2766" i="9"/>
  <c r="U2767" i="9"/>
  <c r="U2768" i="9"/>
  <c r="U2769" i="9"/>
  <c r="U2770" i="9"/>
  <c r="U2771" i="9"/>
  <c r="U2772" i="9"/>
  <c r="U2773" i="9"/>
  <c r="U2774" i="9"/>
  <c r="U2775" i="9"/>
  <c r="U2776" i="9"/>
  <c r="U2777" i="9"/>
  <c r="U2778" i="9"/>
  <c r="U2779" i="9"/>
  <c r="U2780" i="9"/>
  <c r="U2781" i="9"/>
  <c r="U2782" i="9"/>
  <c r="U2783" i="9"/>
  <c r="U2784" i="9"/>
  <c r="U2785" i="9"/>
  <c r="U2786" i="9"/>
  <c r="U2787" i="9"/>
  <c r="U2788" i="9"/>
  <c r="U2789" i="9"/>
  <c r="U2790" i="9"/>
  <c r="U2791" i="9"/>
  <c r="U2792" i="9"/>
  <c r="U2793" i="9"/>
  <c r="U2794" i="9"/>
  <c r="U2795" i="9"/>
  <c r="U2796" i="9"/>
  <c r="U2797" i="9"/>
  <c r="U2798" i="9"/>
  <c r="U2799" i="9"/>
  <c r="U2800" i="9"/>
  <c r="U2801" i="9"/>
  <c r="U2802" i="9"/>
  <c r="U2803" i="9"/>
  <c r="U2804" i="9"/>
  <c r="U2805" i="9"/>
  <c r="U2806" i="9"/>
  <c r="U2807" i="9"/>
  <c r="U2808" i="9"/>
  <c r="U2809" i="9"/>
  <c r="U2810" i="9"/>
  <c r="U2811" i="9"/>
  <c r="U2812" i="9"/>
  <c r="U2813" i="9"/>
  <c r="U2814" i="9"/>
  <c r="U2815" i="9"/>
  <c r="U2816" i="9"/>
  <c r="U2817" i="9"/>
  <c r="U2818" i="9"/>
  <c r="U2819" i="9"/>
  <c r="U2820" i="9"/>
  <c r="V2650" i="9"/>
  <c r="V2651" i="9"/>
  <c r="V2652" i="9"/>
  <c r="V2653" i="9"/>
  <c r="V2654" i="9"/>
  <c r="V2655" i="9"/>
  <c r="V2656" i="9"/>
  <c r="V2657" i="9"/>
  <c r="V2658" i="9"/>
  <c r="V2659" i="9"/>
  <c r="V2660" i="9"/>
  <c r="V2661" i="9"/>
  <c r="V2662" i="9"/>
  <c r="V2663" i="9"/>
  <c r="V2664" i="9"/>
  <c r="V2665" i="9"/>
  <c r="V2666" i="9"/>
  <c r="V2667" i="9"/>
  <c r="V2668" i="9"/>
  <c r="V2669" i="9"/>
  <c r="V2670" i="9"/>
  <c r="V2671" i="9"/>
  <c r="V2672" i="9"/>
  <c r="V2673" i="9"/>
  <c r="V2674" i="9"/>
  <c r="V2675" i="9"/>
  <c r="V2676" i="9"/>
  <c r="V2677" i="9"/>
  <c r="V2679" i="9"/>
  <c r="V2680" i="9"/>
  <c r="V2681" i="9"/>
  <c r="V2682" i="9"/>
  <c r="V2683" i="9"/>
  <c r="V2684" i="9"/>
  <c r="V2686" i="9"/>
  <c r="V2687" i="9"/>
  <c r="V2688" i="9"/>
  <c r="V2689" i="9"/>
  <c r="V2690" i="9"/>
  <c r="V2691" i="9"/>
  <c r="V2693" i="9"/>
  <c r="V2694" i="9"/>
  <c r="V2695" i="9"/>
  <c r="V2696" i="9"/>
  <c r="V2697" i="9"/>
  <c r="V2698" i="9"/>
  <c r="V2699" i="9"/>
  <c r="V2700" i="9"/>
  <c r="V2701" i="9"/>
  <c r="V2702" i="9"/>
  <c r="V2703" i="9"/>
  <c r="V2704" i="9"/>
  <c r="V2705" i="9"/>
  <c r="V2706" i="9"/>
  <c r="V2707" i="9"/>
  <c r="V2708" i="9"/>
  <c r="V2709" i="9"/>
  <c r="V2710" i="9"/>
  <c r="V2711" i="9"/>
  <c r="V2712" i="9"/>
  <c r="V2714" i="9"/>
  <c r="V2715" i="9"/>
  <c r="V2716" i="9"/>
  <c r="V2717" i="9"/>
  <c r="V2718" i="9"/>
  <c r="V2719" i="9"/>
  <c r="V2720" i="9"/>
  <c r="V2721" i="9"/>
  <c r="V2722" i="9"/>
  <c r="V2723" i="9"/>
  <c r="V2724" i="9"/>
  <c r="V2725" i="9"/>
  <c r="V2726" i="9"/>
  <c r="V2727" i="9"/>
  <c r="V2728" i="9"/>
  <c r="V2729" i="9"/>
  <c r="V2730" i="9"/>
  <c r="V2732" i="9"/>
  <c r="V2733" i="9"/>
  <c r="V2734" i="9"/>
  <c r="V2735" i="9"/>
  <c r="V2736" i="9"/>
  <c r="V2737" i="9"/>
  <c r="V2738" i="9"/>
  <c r="V2739" i="9"/>
  <c r="V2740" i="9"/>
  <c r="V2741" i="9"/>
  <c r="V2742" i="9"/>
  <c r="V2743" i="9"/>
  <c r="V2744" i="9"/>
  <c r="V2745" i="9"/>
  <c r="V2746" i="9"/>
  <c r="V2747" i="9"/>
  <c r="V2748" i="9"/>
  <c r="V2749" i="9"/>
  <c r="V2750" i="9"/>
  <c r="V2751" i="9"/>
  <c r="V2752" i="9"/>
  <c r="V2753" i="9"/>
  <c r="V2754" i="9"/>
  <c r="V2755" i="9"/>
  <c r="V2756" i="9"/>
  <c r="V2757" i="9"/>
  <c r="V2758" i="9"/>
  <c r="V2759" i="9"/>
  <c r="V2760" i="9"/>
  <c r="V2761" i="9"/>
  <c r="V2762" i="9"/>
  <c r="V2763" i="9"/>
  <c r="V2765" i="9"/>
  <c r="V2766" i="9"/>
  <c r="V2767" i="9"/>
  <c r="V2768" i="9"/>
  <c r="V2769" i="9"/>
  <c r="V2770" i="9"/>
  <c r="V2771" i="9"/>
  <c r="V2772" i="9"/>
  <c r="V2773" i="9"/>
  <c r="V2774" i="9"/>
  <c r="V2775" i="9"/>
  <c r="V2776" i="9"/>
  <c r="V2777" i="9"/>
  <c r="V2778" i="9"/>
  <c r="V2779" i="9"/>
  <c r="V2780" i="9"/>
  <c r="V2781" i="9"/>
  <c r="V2782" i="9"/>
  <c r="V2783" i="9"/>
  <c r="V2784" i="9"/>
  <c r="V2785" i="9"/>
  <c r="V2786" i="9"/>
  <c r="V2787" i="9"/>
  <c r="V2788" i="9"/>
  <c r="V2791" i="9"/>
  <c r="V2792" i="9"/>
  <c r="V2793" i="9"/>
  <c r="V2794" i="9"/>
  <c r="V2795" i="9"/>
  <c r="V2796" i="9"/>
  <c r="V2797" i="9"/>
  <c r="V2798" i="9"/>
  <c r="V2800" i="9"/>
  <c r="V2801" i="9"/>
  <c r="V2802" i="9"/>
  <c r="V2803" i="9"/>
  <c r="V2804" i="9"/>
  <c r="V2805" i="9"/>
  <c r="V2806" i="9"/>
  <c r="V2807" i="9"/>
  <c r="V2808" i="9"/>
  <c r="V2809" i="9"/>
  <c r="V2810" i="9"/>
  <c r="V2811" i="9"/>
  <c r="V2812" i="9"/>
  <c r="V2813" i="9"/>
  <c r="V2814" i="9"/>
  <c r="V2816" i="9"/>
  <c r="V2817" i="9"/>
  <c r="V2818" i="9"/>
  <c r="V2819" i="9"/>
  <c r="V2820" i="9"/>
  <c r="W2650" i="9"/>
  <c r="W2651" i="9"/>
  <c r="W2652" i="9"/>
  <c r="W2653" i="9"/>
  <c r="W2654" i="9"/>
  <c r="W2655" i="9"/>
  <c r="W2656" i="9"/>
  <c r="W2657" i="9"/>
  <c r="W2658" i="9"/>
  <c r="W2659" i="9"/>
  <c r="W2660" i="9"/>
  <c r="W2661" i="9"/>
  <c r="W2662" i="9"/>
  <c r="W2663" i="9"/>
  <c r="W2664" i="9"/>
  <c r="W2665" i="9"/>
  <c r="W2666" i="9"/>
  <c r="W2667" i="9"/>
  <c r="W2668" i="9"/>
  <c r="W2669" i="9"/>
  <c r="W2670" i="9"/>
  <c r="W2671" i="9"/>
  <c r="W2672" i="9"/>
  <c r="W2673" i="9"/>
  <c r="W2674" i="9"/>
  <c r="W2675" i="9"/>
  <c r="W2676" i="9"/>
  <c r="W2677" i="9"/>
  <c r="W2679" i="9"/>
  <c r="W2680" i="9"/>
  <c r="W2681" i="9"/>
  <c r="W2682" i="9"/>
  <c r="W2683" i="9"/>
  <c r="W2684" i="9"/>
  <c r="W2686" i="9"/>
  <c r="W2687" i="9"/>
  <c r="W2688" i="9"/>
  <c r="W2689" i="9"/>
  <c r="W2690" i="9"/>
  <c r="W2691" i="9"/>
  <c r="W2693" i="9"/>
  <c r="W2694" i="9"/>
  <c r="W2695" i="9"/>
  <c r="W2696" i="9"/>
  <c r="W2697" i="9"/>
  <c r="W2698" i="9"/>
  <c r="W2699" i="9"/>
  <c r="W2700" i="9"/>
  <c r="W2701" i="9"/>
  <c r="W2702" i="9"/>
  <c r="W2703" i="9"/>
  <c r="W2704" i="9"/>
  <c r="W2705" i="9"/>
  <c r="W2706" i="9"/>
  <c r="W2707" i="9"/>
  <c r="W2708" i="9"/>
  <c r="W2709" i="9"/>
  <c r="W2710" i="9"/>
  <c r="W2711" i="9"/>
  <c r="W2712" i="9"/>
  <c r="W2714" i="9"/>
  <c r="W2715" i="9"/>
  <c r="W2716" i="9"/>
  <c r="W2717" i="9"/>
  <c r="W2718" i="9"/>
  <c r="W2719" i="9"/>
  <c r="W2720" i="9"/>
  <c r="W2721" i="9"/>
  <c r="W2722" i="9"/>
  <c r="W2723" i="9"/>
  <c r="W2724" i="9"/>
  <c r="W2725" i="9"/>
  <c r="W2726" i="9"/>
  <c r="W2727" i="9"/>
  <c r="W2728" i="9"/>
  <c r="W2729" i="9"/>
  <c r="W2730" i="9"/>
  <c r="W2732" i="9"/>
  <c r="W2733" i="9"/>
  <c r="W2734" i="9"/>
  <c r="W2735" i="9"/>
  <c r="W2736" i="9"/>
  <c r="W2737" i="9"/>
  <c r="W2738" i="9"/>
  <c r="W2739" i="9"/>
  <c r="W2740" i="9"/>
  <c r="W2741" i="9"/>
  <c r="W2742" i="9"/>
  <c r="W2743" i="9"/>
  <c r="W2744" i="9"/>
  <c r="W2745" i="9"/>
  <c r="W2746" i="9"/>
  <c r="W2747" i="9"/>
  <c r="W2748" i="9"/>
  <c r="W2749" i="9"/>
  <c r="W2750" i="9"/>
  <c r="W2751" i="9"/>
  <c r="W2752" i="9"/>
  <c r="W2753" i="9"/>
  <c r="W2754" i="9"/>
  <c r="W2755" i="9"/>
  <c r="W2756" i="9"/>
  <c r="W2757" i="9"/>
  <c r="W2758" i="9"/>
  <c r="W2759" i="9"/>
  <c r="W2760" i="9"/>
  <c r="W2761" i="9"/>
  <c r="W2762" i="9"/>
  <c r="W2763" i="9"/>
  <c r="W2765" i="9"/>
  <c r="W2766" i="9"/>
  <c r="W2767" i="9"/>
  <c r="W2768" i="9"/>
  <c r="W2769" i="9"/>
  <c r="W2770" i="9"/>
  <c r="W2771" i="9"/>
  <c r="W2772" i="9"/>
  <c r="W2773" i="9"/>
  <c r="W2774" i="9"/>
  <c r="W2775" i="9"/>
  <c r="W2776" i="9"/>
  <c r="W2777" i="9"/>
  <c r="W2778" i="9"/>
  <c r="W2779" i="9"/>
  <c r="W2780" i="9"/>
  <c r="W2781" i="9"/>
  <c r="W2782" i="9"/>
  <c r="W2783" i="9"/>
  <c r="W2784" i="9"/>
  <c r="W2785" i="9"/>
  <c r="W2786" i="9"/>
  <c r="W2787" i="9"/>
  <c r="W2788" i="9"/>
  <c r="W2791" i="9"/>
  <c r="W2792" i="9"/>
  <c r="W2793" i="9"/>
  <c r="W2794" i="9"/>
  <c r="W2795" i="9"/>
  <c r="W2796" i="9"/>
  <c r="W2797" i="9"/>
  <c r="W2798" i="9"/>
  <c r="W2800" i="9"/>
  <c r="W2801" i="9"/>
  <c r="W2802" i="9"/>
  <c r="W2803" i="9"/>
  <c r="W2804" i="9"/>
  <c r="W2805" i="9"/>
  <c r="W2806" i="9"/>
  <c r="W2807" i="9"/>
  <c r="W2808" i="9"/>
  <c r="W2809" i="9"/>
  <c r="W2810" i="9"/>
  <c r="W2811" i="9"/>
  <c r="W2812" i="9"/>
  <c r="W2813" i="9"/>
  <c r="W2814" i="9"/>
  <c r="W2816" i="9"/>
  <c r="W2817" i="9"/>
  <c r="W2818" i="9"/>
  <c r="W2819" i="9"/>
  <c r="W2820" i="9"/>
  <c r="X2650" i="9"/>
  <c r="X2651" i="9"/>
  <c r="X2652" i="9"/>
  <c r="X2653" i="9"/>
  <c r="X2654" i="9"/>
  <c r="X2655" i="9"/>
  <c r="X2656" i="9"/>
  <c r="X2657" i="9"/>
  <c r="X2658" i="9"/>
  <c r="X2659" i="9"/>
  <c r="X2660" i="9"/>
  <c r="X2661" i="9"/>
  <c r="X2662" i="9"/>
  <c r="X2663" i="9"/>
  <c r="X2664" i="9"/>
  <c r="X2665" i="9"/>
  <c r="X2666" i="9"/>
  <c r="X2667" i="9"/>
  <c r="X2668" i="9"/>
  <c r="X2669" i="9"/>
  <c r="X2670" i="9"/>
  <c r="X2671" i="9"/>
  <c r="X2672" i="9"/>
  <c r="X2673" i="9"/>
  <c r="X2674" i="9"/>
  <c r="X2675" i="9"/>
  <c r="X2676" i="9"/>
  <c r="X2677" i="9"/>
  <c r="X2679" i="9"/>
  <c r="X2680" i="9"/>
  <c r="X2681" i="9"/>
  <c r="X2682" i="9"/>
  <c r="X2683" i="9"/>
  <c r="X2684" i="9"/>
  <c r="X2686" i="9"/>
  <c r="X2687" i="9"/>
  <c r="X2688" i="9"/>
  <c r="X2689" i="9"/>
  <c r="X2690" i="9"/>
  <c r="X2691" i="9"/>
  <c r="X2693" i="9"/>
  <c r="X2694" i="9"/>
  <c r="X2695" i="9"/>
  <c r="X2696" i="9"/>
  <c r="X2697" i="9"/>
  <c r="X2698" i="9"/>
  <c r="X2699" i="9"/>
  <c r="X2700" i="9"/>
  <c r="X2701" i="9"/>
  <c r="X2702" i="9"/>
  <c r="X2703" i="9"/>
  <c r="X2704" i="9"/>
  <c r="X2705" i="9"/>
  <c r="X2706" i="9"/>
  <c r="X2707" i="9"/>
  <c r="X2708" i="9"/>
  <c r="X2709" i="9"/>
  <c r="X2710" i="9"/>
  <c r="X2711" i="9"/>
  <c r="X2712" i="9"/>
  <c r="X2714" i="9"/>
  <c r="X2715" i="9"/>
  <c r="X2716" i="9"/>
  <c r="X2717" i="9"/>
  <c r="X2718" i="9"/>
  <c r="X2719" i="9"/>
  <c r="X2720" i="9"/>
  <c r="X2721" i="9"/>
  <c r="X2722" i="9"/>
  <c r="X2723" i="9"/>
  <c r="X2724" i="9"/>
  <c r="X2725" i="9"/>
  <c r="X2726" i="9"/>
  <c r="X2727" i="9"/>
  <c r="X2728" i="9"/>
  <c r="X2729" i="9"/>
  <c r="X2730" i="9"/>
  <c r="X2732" i="9"/>
  <c r="X2733" i="9"/>
  <c r="X2734" i="9"/>
  <c r="X2735" i="9"/>
  <c r="X2736" i="9"/>
  <c r="X2737" i="9"/>
  <c r="X2738" i="9"/>
  <c r="X2739" i="9"/>
  <c r="X2740" i="9"/>
  <c r="X2741" i="9"/>
  <c r="X2742" i="9"/>
  <c r="X2743" i="9"/>
  <c r="X2744" i="9"/>
  <c r="X2745" i="9"/>
  <c r="X2746" i="9"/>
  <c r="X2747" i="9"/>
  <c r="X2748" i="9"/>
  <c r="X2749" i="9"/>
  <c r="X2750" i="9"/>
  <c r="X2751" i="9"/>
  <c r="X2752" i="9"/>
  <c r="X2753" i="9"/>
  <c r="X2754" i="9"/>
  <c r="X2755" i="9"/>
  <c r="X2756" i="9"/>
  <c r="X2757" i="9"/>
  <c r="X2758" i="9"/>
  <c r="X2759" i="9"/>
  <c r="X2760" i="9"/>
  <c r="X2761" i="9"/>
  <c r="X2762" i="9"/>
  <c r="X2763" i="9"/>
  <c r="X2765" i="9"/>
  <c r="X2766" i="9"/>
  <c r="X2767" i="9"/>
  <c r="X2768" i="9"/>
  <c r="X2769" i="9"/>
  <c r="X2770" i="9"/>
  <c r="X2771" i="9"/>
  <c r="X2772" i="9"/>
  <c r="X2773" i="9"/>
  <c r="X2774" i="9"/>
  <c r="X2775" i="9"/>
  <c r="X2776" i="9"/>
  <c r="X2777" i="9"/>
  <c r="X2778" i="9"/>
  <c r="X2779" i="9"/>
  <c r="X2780" i="9"/>
  <c r="X2781" i="9"/>
  <c r="X2782" i="9"/>
  <c r="X2783" i="9"/>
  <c r="X2784" i="9"/>
  <c r="X2785" i="9"/>
  <c r="X2786" i="9"/>
  <c r="X2787" i="9"/>
  <c r="X2788" i="9"/>
  <c r="X2791" i="9"/>
  <c r="X2792" i="9"/>
  <c r="X2793" i="9"/>
  <c r="X2794" i="9"/>
  <c r="X2795" i="9"/>
  <c r="X2796" i="9"/>
  <c r="X2797" i="9"/>
  <c r="X2798" i="9"/>
  <c r="X2800" i="9"/>
  <c r="X2801" i="9"/>
  <c r="X2802" i="9"/>
  <c r="X2803" i="9"/>
  <c r="X2804" i="9"/>
  <c r="X2805" i="9"/>
  <c r="X2806" i="9"/>
  <c r="X2807" i="9"/>
  <c r="X2808" i="9"/>
  <c r="X2809" i="9"/>
  <c r="X2810" i="9"/>
  <c r="X2811" i="9"/>
  <c r="X2812" i="9"/>
  <c r="X2813" i="9"/>
  <c r="X2814" i="9"/>
  <c r="X2816" i="9"/>
  <c r="X2817" i="9"/>
  <c r="X2818" i="9"/>
  <c r="X2819" i="9"/>
  <c r="X2820" i="9"/>
  <c r="Y2650" i="9"/>
  <c r="Y2651" i="9"/>
  <c r="Y2652" i="9"/>
  <c r="Y2653" i="9"/>
  <c r="Y2654" i="9"/>
  <c r="Y2655" i="9"/>
  <c r="Y2656" i="9"/>
  <c r="Y2657" i="9"/>
  <c r="Y2658" i="9"/>
  <c r="Y2659" i="9"/>
  <c r="Y2660" i="9"/>
  <c r="Y2661" i="9"/>
  <c r="Y2662" i="9"/>
  <c r="Y2663" i="9"/>
  <c r="Y2664" i="9"/>
  <c r="Y2665" i="9"/>
  <c r="Y2666" i="9"/>
  <c r="Y2667" i="9"/>
  <c r="Y2668" i="9"/>
  <c r="Y2669" i="9"/>
  <c r="Y2670" i="9"/>
  <c r="Y2671" i="9"/>
  <c r="Y2672" i="9"/>
  <c r="Y2673" i="9"/>
  <c r="Y2674" i="9"/>
  <c r="Y2675" i="9"/>
  <c r="Y2676" i="9"/>
  <c r="Y2677" i="9"/>
  <c r="Y2679" i="9"/>
  <c r="Y2680" i="9"/>
  <c r="Y2681" i="9"/>
  <c r="Y2682" i="9"/>
  <c r="Y2683" i="9"/>
  <c r="Y2684" i="9"/>
  <c r="Y2686" i="9"/>
  <c r="Y2687" i="9"/>
  <c r="Y2688" i="9"/>
  <c r="Y2689" i="9"/>
  <c r="Y2690" i="9"/>
  <c r="Y2691" i="9"/>
  <c r="Y2693" i="9"/>
  <c r="Y2694" i="9"/>
  <c r="Y2695" i="9"/>
  <c r="Y2696" i="9"/>
  <c r="Y2697" i="9"/>
  <c r="Y2698" i="9"/>
  <c r="Y2699" i="9"/>
  <c r="Y2700" i="9"/>
  <c r="Y2701" i="9"/>
  <c r="Y2702" i="9"/>
  <c r="Y2703" i="9"/>
  <c r="Y2704" i="9"/>
  <c r="Y2705" i="9"/>
  <c r="Y2706" i="9"/>
  <c r="Y2707" i="9"/>
  <c r="Y2708" i="9"/>
  <c r="Y2709" i="9"/>
  <c r="Y2710" i="9"/>
  <c r="Y2711" i="9"/>
  <c r="Y2712" i="9"/>
  <c r="Y2714" i="9"/>
  <c r="Y2715" i="9"/>
  <c r="Y2716" i="9"/>
  <c r="Y2717" i="9"/>
  <c r="Y2718" i="9"/>
  <c r="Y2719" i="9"/>
  <c r="Y2720" i="9"/>
  <c r="Y2721" i="9"/>
  <c r="Y2722" i="9"/>
  <c r="Y2723" i="9"/>
  <c r="Y2724" i="9"/>
  <c r="Y2725" i="9"/>
  <c r="Y2726" i="9"/>
  <c r="Y2727" i="9"/>
  <c r="Y2728" i="9"/>
  <c r="Y2729" i="9"/>
  <c r="Y2730" i="9"/>
  <c r="Y2732" i="9"/>
  <c r="Y2733" i="9"/>
  <c r="Y2734" i="9"/>
  <c r="Y2735" i="9"/>
  <c r="Y2736" i="9"/>
  <c r="Y2737" i="9"/>
  <c r="Y2738" i="9"/>
  <c r="Y2739" i="9"/>
  <c r="Y2740" i="9"/>
  <c r="Y2741" i="9"/>
  <c r="Y2742" i="9"/>
  <c r="Y2743" i="9"/>
  <c r="Y2744" i="9"/>
  <c r="Y2745" i="9"/>
  <c r="Y2746" i="9"/>
  <c r="Y2747" i="9"/>
  <c r="Y2748" i="9"/>
  <c r="Y2749" i="9"/>
  <c r="Y2750" i="9"/>
  <c r="Y2751" i="9"/>
  <c r="Y2752" i="9"/>
  <c r="Y2753" i="9"/>
  <c r="Y2754" i="9"/>
  <c r="Y2755" i="9"/>
  <c r="Y2756" i="9"/>
  <c r="Y2757" i="9"/>
  <c r="Y2758" i="9"/>
  <c r="Y2759" i="9"/>
  <c r="Y2760" i="9"/>
  <c r="Y2761" i="9"/>
  <c r="Y2762" i="9"/>
  <c r="Y2763" i="9"/>
  <c r="Y2765" i="9"/>
  <c r="Y2766" i="9"/>
  <c r="Y2767" i="9"/>
  <c r="Y2768" i="9"/>
  <c r="Y2769" i="9"/>
  <c r="Y2770" i="9"/>
  <c r="Y2771" i="9"/>
  <c r="Y2772" i="9"/>
  <c r="Y2773" i="9"/>
  <c r="Y2774" i="9"/>
  <c r="Y2775" i="9"/>
  <c r="Y2776" i="9"/>
  <c r="Y2777" i="9"/>
  <c r="Y2778" i="9"/>
  <c r="Y2779" i="9"/>
  <c r="Y2780" i="9"/>
  <c r="Y2781" i="9"/>
  <c r="Y2782" i="9"/>
  <c r="Y2783" i="9"/>
  <c r="Y2784" i="9"/>
  <c r="Y2785" i="9"/>
  <c r="Y2786" i="9"/>
  <c r="Y2787" i="9"/>
  <c r="Y2788" i="9"/>
  <c r="Y2791" i="9"/>
  <c r="Y2792" i="9"/>
  <c r="Y2793" i="9"/>
  <c r="Y2794" i="9"/>
  <c r="Y2795" i="9"/>
  <c r="Y2796" i="9"/>
  <c r="Y2797" i="9"/>
  <c r="Y2798" i="9"/>
  <c r="Y2800" i="9"/>
  <c r="Y2801" i="9"/>
  <c r="Y2802" i="9"/>
  <c r="Y2803" i="9"/>
  <c r="Y2804" i="9"/>
  <c r="Y2805" i="9"/>
  <c r="Y2806" i="9"/>
  <c r="Y2807" i="9"/>
  <c r="Y2808" i="9"/>
  <c r="Y2809" i="9"/>
  <c r="Y2810" i="9"/>
  <c r="Y2811" i="9"/>
  <c r="Y2812" i="9"/>
  <c r="Y2813" i="9"/>
  <c r="Y2814" i="9"/>
  <c r="Y2816" i="9"/>
  <c r="Y2817" i="9"/>
  <c r="Y2818" i="9"/>
  <c r="Y2819" i="9"/>
  <c r="Y2820" i="9"/>
  <c r="Z2650" i="9"/>
  <c r="Z2651" i="9"/>
  <c r="Z2652" i="9"/>
  <c r="Z2653" i="9"/>
  <c r="Z2654" i="9"/>
  <c r="Z2655" i="9"/>
  <c r="Z2656" i="9"/>
  <c r="Z2657" i="9"/>
  <c r="Z2658" i="9"/>
  <c r="Z2659" i="9"/>
  <c r="Z2660" i="9"/>
  <c r="Z2661" i="9"/>
  <c r="Z2662" i="9"/>
  <c r="Z2663" i="9"/>
  <c r="Z2664" i="9"/>
  <c r="Z2665" i="9"/>
  <c r="Z2666" i="9"/>
  <c r="Z2667" i="9"/>
  <c r="Z2668" i="9"/>
  <c r="Z2669" i="9"/>
  <c r="Z2670" i="9"/>
  <c r="Z2671" i="9"/>
  <c r="Z2672" i="9"/>
  <c r="Z2673" i="9"/>
  <c r="Z2674" i="9"/>
  <c r="Z2675" i="9"/>
  <c r="Z2676" i="9"/>
  <c r="Z2677" i="9"/>
  <c r="Z2679" i="9"/>
  <c r="Z2680" i="9"/>
  <c r="Z2681" i="9"/>
  <c r="Z2682" i="9"/>
  <c r="Z2683" i="9"/>
  <c r="Z2684" i="9"/>
  <c r="Z2686" i="9"/>
  <c r="Z2687" i="9"/>
  <c r="Z2688" i="9"/>
  <c r="Z2689" i="9"/>
  <c r="Z2690" i="9"/>
  <c r="Z2691" i="9"/>
  <c r="Z2693" i="9"/>
  <c r="Z2694" i="9"/>
  <c r="Z2695" i="9"/>
  <c r="Z2696" i="9"/>
  <c r="Z2697" i="9"/>
  <c r="Z2698" i="9"/>
  <c r="Z2699" i="9"/>
  <c r="Z2700" i="9"/>
  <c r="Z2701" i="9"/>
  <c r="Z2702" i="9"/>
  <c r="Z2703" i="9"/>
  <c r="Z2704" i="9"/>
  <c r="Z2705" i="9"/>
  <c r="Z2706" i="9"/>
  <c r="Z2707" i="9"/>
  <c r="Z2708" i="9"/>
  <c r="Z2709" i="9"/>
  <c r="Z2710" i="9"/>
  <c r="Z2711" i="9"/>
  <c r="Z2712" i="9"/>
  <c r="Z2714" i="9"/>
  <c r="Z2715" i="9"/>
  <c r="Z2716" i="9"/>
  <c r="Z2717" i="9"/>
  <c r="Z2718" i="9"/>
  <c r="Z2719" i="9"/>
  <c r="Z2720" i="9"/>
  <c r="Z2721" i="9"/>
  <c r="Z2722" i="9"/>
  <c r="Z2723" i="9"/>
  <c r="Z2724" i="9"/>
  <c r="Z2725" i="9"/>
  <c r="Z2726" i="9"/>
  <c r="Z2727" i="9"/>
  <c r="Z2728" i="9"/>
  <c r="Z2729" i="9"/>
  <c r="Z2730" i="9"/>
  <c r="Z2732" i="9"/>
  <c r="Z2733" i="9"/>
  <c r="Z2734" i="9"/>
  <c r="Z2735" i="9"/>
  <c r="Z2736" i="9"/>
  <c r="Z2737" i="9"/>
  <c r="Z2738" i="9"/>
  <c r="Z2739" i="9"/>
  <c r="Z2740" i="9"/>
  <c r="Z2741" i="9"/>
  <c r="Z2742" i="9"/>
  <c r="Z2743" i="9"/>
  <c r="Z2744" i="9"/>
  <c r="Z2745" i="9"/>
  <c r="Z2746" i="9"/>
  <c r="Z2747" i="9"/>
  <c r="Z2748" i="9"/>
  <c r="Z2749" i="9"/>
  <c r="Z2750" i="9"/>
  <c r="Z2751" i="9"/>
  <c r="Z2752" i="9"/>
  <c r="Z2753" i="9"/>
  <c r="Z2754" i="9"/>
  <c r="Z2755" i="9"/>
  <c r="Z2756" i="9"/>
  <c r="Z2757" i="9"/>
  <c r="Z2758" i="9"/>
  <c r="Z2759" i="9"/>
  <c r="Z2760" i="9"/>
  <c r="Z2761" i="9"/>
  <c r="Z2762" i="9"/>
  <c r="Z2763" i="9"/>
  <c r="Z2765" i="9"/>
  <c r="Z2766" i="9"/>
  <c r="Z2767" i="9"/>
  <c r="Z2768" i="9"/>
  <c r="Z2769" i="9"/>
  <c r="Z2770" i="9"/>
  <c r="Z2771" i="9"/>
  <c r="Z2772" i="9"/>
  <c r="Z2773" i="9"/>
  <c r="Z2774" i="9"/>
  <c r="Z2775" i="9"/>
  <c r="Z2776" i="9"/>
  <c r="Z2777" i="9"/>
  <c r="Z2778" i="9"/>
  <c r="Z2779" i="9"/>
  <c r="Z2780" i="9"/>
  <c r="Z2781" i="9"/>
  <c r="Z2782" i="9"/>
  <c r="Z2783" i="9"/>
  <c r="Z2784" i="9"/>
  <c r="Z2785" i="9"/>
  <c r="Z2786" i="9"/>
  <c r="Z2787" i="9"/>
  <c r="Z2788" i="9"/>
  <c r="Z2791" i="9"/>
  <c r="Z2792" i="9"/>
  <c r="Z2793" i="9"/>
  <c r="Z2794" i="9"/>
  <c r="Z2795" i="9"/>
  <c r="Z2796" i="9"/>
  <c r="Z2797" i="9"/>
  <c r="Z2798" i="9"/>
  <c r="Z2800" i="9"/>
  <c r="Z2801" i="9"/>
  <c r="Z2802" i="9"/>
  <c r="Z2803" i="9"/>
  <c r="Z2804" i="9"/>
  <c r="Z2805" i="9"/>
  <c r="Z2806" i="9"/>
  <c r="Z2807" i="9"/>
  <c r="Z2808" i="9"/>
  <c r="Z2809" i="9"/>
  <c r="Z2810" i="9"/>
  <c r="Z2811" i="9"/>
  <c r="Z2812" i="9"/>
  <c r="Z2813" i="9"/>
  <c r="Z2814" i="9"/>
  <c r="Z2816" i="9"/>
  <c r="Z2817" i="9"/>
  <c r="Z2818" i="9"/>
  <c r="Z2819" i="9"/>
  <c r="Z2820" i="9"/>
  <c r="AA2650" i="9"/>
  <c r="AA2651" i="9"/>
  <c r="AA2652" i="9"/>
  <c r="AA2653" i="9"/>
  <c r="AA2654" i="9"/>
  <c r="AA2655" i="9"/>
  <c r="AA2656" i="9"/>
  <c r="AA2657" i="9"/>
  <c r="AA2658" i="9"/>
  <c r="AA2659" i="9"/>
  <c r="AA2660" i="9"/>
  <c r="AA2661" i="9"/>
  <c r="AA2662" i="9"/>
  <c r="AA2663" i="9"/>
  <c r="AA2664" i="9"/>
  <c r="AA2665" i="9"/>
  <c r="AA2666" i="9"/>
  <c r="AA2667" i="9"/>
  <c r="AA2668" i="9"/>
  <c r="AA2669" i="9"/>
  <c r="AA2670" i="9"/>
  <c r="AA2671" i="9"/>
  <c r="AA2672" i="9"/>
  <c r="AA2673" i="9"/>
  <c r="AA2674" i="9"/>
  <c r="AA2675" i="9"/>
  <c r="AA2676" i="9"/>
  <c r="AA2677" i="9"/>
  <c r="AA2679" i="9"/>
  <c r="AA2680" i="9"/>
  <c r="AA2681" i="9"/>
  <c r="AA2682" i="9"/>
  <c r="AA2683" i="9"/>
  <c r="AA2684" i="9"/>
  <c r="AA2686" i="9"/>
  <c r="AA2687" i="9"/>
  <c r="AA2688" i="9"/>
  <c r="AA2689" i="9"/>
  <c r="AA2690" i="9"/>
  <c r="AA2691" i="9"/>
  <c r="AA2693" i="9"/>
  <c r="AA2694" i="9"/>
  <c r="AA2695" i="9"/>
  <c r="AA2696" i="9"/>
  <c r="AA2697" i="9"/>
  <c r="AA2698" i="9"/>
  <c r="AA2699" i="9"/>
  <c r="AA2700" i="9"/>
  <c r="AA2701" i="9"/>
  <c r="AA2702" i="9"/>
  <c r="AA2703" i="9"/>
  <c r="AA2704" i="9"/>
  <c r="AA2705" i="9"/>
  <c r="AA2706" i="9"/>
  <c r="AA2707" i="9"/>
  <c r="AA2708" i="9"/>
  <c r="AA2709" i="9"/>
  <c r="AA2710" i="9"/>
  <c r="AA2711" i="9"/>
  <c r="AA2712" i="9"/>
  <c r="AA2714" i="9"/>
  <c r="AA2715" i="9"/>
  <c r="AA2716" i="9"/>
  <c r="AA2717" i="9"/>
  <c r="AA2718" i="9"/>
  <c r="AA2719" i="9"/>
  <c r="AA2720" i="9"/>
  <c r="AA2721" i="9"/>
  <c r="AA2722" i="9"/>
  <c r="AA2723" i="9"/>
  <c r="AA2724" i="9"/>
  <c r="AA2725" i="9"/>
  <c r="AA2726" i="9"/>
  <c r="AA2727" i="9"/>
  <c r="AA2728" i="9"/>
  <c r="AA2729" i="9"/>
  <c r="AA2730" i="9"/>
  <c r="AA2732" i="9"/>
  <c r="AA2733" i="9"/>
  <c r="AA2734" i="9"/>
  <c r="AA2735" i="9"/>
  <c r="AA2736" i="9"/>
  <c r="AA2737" i="9"/>
  <c r="AA2738" i="9"/>
  <c r="AA2739" i="9"/>
  <c r="AA2740" i="9"/>
  <c r="AA2741" i="9"/>
  <c r="AA2742" i="9"/>
  <c r="AA2743" i="9"/>
  <c r="AA2744" i="9"/>
  <c r="AA2745" i="9"/>
  <c r="AA2746" i="9"/>
  <c r="AA2747" i="9"/>
  <c r="AA2748" i="9"/>
  <c r="AA2749" i="9"/>
  <c r="AA2750" i="9"/>
  <c r="AA2751" i="9"/>
  <c r="AA2752" i="9"/>
  <c r="AA2753" i="9"/>
  <c r="AA2754" i="9"/>
  <c r="AA2755" i="9"/>
  <c r="AA2756" i="9"/>
  <c r="AA2757" i="9"/>
  <c r="AA2758" i="9"/>
  <c r="AA2759" i="9"/>
  <c r="AA2760" i="9"/>
  <c r="AA2761" i="9"/>
  <c r="AA2762" i="9"/>
  <c r="AA2763" i="9"/>
  <c r="AA2765" i="9"/>
  <c r="AA2766" i="9"/>
  <c r="AA2767" i="9"/>
  <c r="AA2768" i="9"/>
  <c r="AA2769" i="9"/>
  <c r="AA2770" i="9"/>
  <c r="AA2771" i="9"/>
  <c r="AA2772" i="9"/>
  <c r="AA2773" i="9"/>
  <c r="AA2774" i="9"/>
  <c r="AA2775" i="9"/>
  <c r="AA2776" i="9"/>
  <c r="AA2777" i="9"/>
  <c r="AA2778" i="9"/>
  <c r="AA2779" i="9"/>
  <c r="AA2780" i="9"/>
  <c r="AA2781" i="9"/>
  <c r="AA2782" i="9"/>
  <c r="AA2783" i="9"/>
  <c r="AA2784" i="9"/>
  <c r="AA2785" i="9"/>
  <c r="AA2786" i="9"/>
  <c r="AA2787" i="9"/>
  <c r="AA2788" i="9"/>
  <c r="AA2791" i="9"/>
  <c r="AA2792" i="9"/>
  <c r="AA2793" i="9"/>
  <c r="AA2794" i="9"/>
  <c r="AA2795" i="9"/>
  <c r="AA2796" i="9"/>
  <c r="AA2797" i="9"/>
  <c r="AA2798" i="9"/>
  <c r="AA2800" i="9"/>
  <c r="AA2801" i="9"/>
  <c r="AA2802" i="9"/>
  <c r="AA2803" i="9"/>
  <c r="AA2804" i="9"/>
  <c r="AA2805" i="9"/>
  <c r="AA2806" i="9"/>
  <c r="AA2807" i="9"/>
  <c r="AA2808" i="9"/>
  <c r="AA2809" i="9"/>
  <c r="AA2810" i="9"/>
  <c r="AA2811" i="9"/>
  <c r="AA2812" i="9"/>
  <c r="AA2813" i="9"/>
  <c r="AA2814" i="9"/>
  <c r="AA2816" i="9"/>
  <c r="AA2817" i="9"/>
  <c r="AA2818" i="9"/>
  <c r="AA2819" i="9"/>
  <c r="AA2820" i="9"/>
  <c r="AB2650" i="9"/>
  <c r="AB2651" i="9"/>
  <c r="AB2652" i="9"/>
  <c r="AB2653" i="9"/>
  <c r="AB2654" i="9"/>
  <c r="AB2655" i="9"/>
  <c r="AB2656" i="9"/>
  <c r="AB2657" i="9"/>
  <c r="AB2658" i="9"/>
  <c r="AB2659" i="9"/>
  <c r="AB2660" i="9"/>
  <c r="AB2661" i="9"/>
  <c r="AB2662" i="9"/>
  <c r="AB2663" i="9"/>
  <c r="AB2664" i="9"/>
  <c r="AB2665" i="9"/>
  <c r="AB2666" i="9"/>
  <c r="AB2667" i="9"/>
  <c r="AB2668" i="9"/>
  <c r="AB2669" i="9"/>
  <c r="AB2670" i="9"/>
  <c r="AB2671" i="9"/>
  <c r="AB2672" i="9"/>
  <c r="AB2673" i="9"/>
  <c r="AB2674" i="9"/>
  <c r="AB2675" i="9"/>
  <c r="AB2676" i="9"/>
  <c r="AB2677" i="9"/>
  <c r="AB2679" i="9"/>
  <c r="AB2680" i="9"/>
  <c r="AB2681" i="9"/>
  <c r="AB2682" i="9"/>
  <c r="AB2683" i="9"/>
  <c r="AB2684" i="9"/>
  <c r="AB2686" i="9"/>
  <c r="AB2687" i="9"/>
  <c r="AB2688" i="9"/>
  <c r="AB2689" i="9"/>
  <c r="AB2690" i="9"/>
  <c r="AB2691" i="9"/>
  <c r="AB2693" i="9"/>
  <c r="AB2694" i="9"/>
  <c r="AB2695" i="9"/>
  <c r="AB2696" i="9"/>
  <c r="AB2697" i="9"/>
  <c r="AB2698" i="9"/>
  <c r="AB2699" i="9"/>
  <c r="AB2700" i="9"/>
  <c r="AB2701" i="9"/>
  <c r="AB2702" i="9"/>
  <c r="AB2703" i="9"/>
  <c r="AB2704" i="9"/>
  <c r="AB2705" i="9"/>
  <c r="AB2706" i="9"/>
  <c r="AB2707" i="9"/>
  <c r="AB2708" i="9"/>
  <c r="AB2709" i="9"/>
  <c r="AB2710" i="9"/>
  <c r="AB2711" i="9"/>
  <c r="AB2712" i="9"/>
  <c r="AB2714" i="9"/>
  <c r="AB2715" i="9"/>
  <c r="AB2716" i="9"/>
  <c r="AB2717" i="9"/>
  <c r="AB2718" i="9"/>
  <c r="AB2719" i="9"/>
  <c r="AB2720" i="9"/>
  <c r="AB2721" i="9"/>
  <c r="AB2722" i="9"/>
  <c r="AB2723" i="9"/>
  <c r="AB2724" i="9"/>
  <c r="AB2725" i="9"/>
  <c r="AB2726" i="9"/>
  <c r="AB2727" i="9"/>
  <c r="AB2728" i="9"/>
  <c r="AB2729" i="9"/>
  <c r="AB2730" i="9"/>
  <c r="AB2732" i="9"/>
  <c r="AB2733" i="9"/>
  <c r="AB2734" i="9"/>
  <c r="AB2735" i="9"/>
  <c r="AB2736" i="9"/>
  <c r="AB2737" i="9"/>
  <c r="AB2738" i="9"/>
  <c r="AB2739" i="9"/>
  <c r="AB2740" i="9"/>
  <c r="AB2741" i="9"/>
  <c r="AB2742" i="9"/>
  <c r="AB2743" i="9"/>
  <c r="AB2744" i="9"/>
  <c r="AB2745" i="9"/>
  <c r="AB2746" i="9"/>
  <c r="AB2747" i="9"/>
  <c r="AB2748" i="9"/>
  <c r="AB2749" i="9"/>
  <c r="AB2750" i="9"/>
  <c r="AB2751" i="9"/>
  <c r="AB2752" i="9"/>
  <c r="AB2753" i="9"/>
  <c r="AB2754" i="9"/>
  <c r="AB2755" i="9"/>
  <c r="AB2756" i="9"/>
  <c r="AB2757" i="9"/>
  <c r="AB2758" i="9"/>
  <c r="AB2759" i="9"/>
  <c r="AB2760" i="9"/>
  <c r="AB2761" i="9"/>
  <c r="AB2762" i="9"/>
  <c r="AB2763" i="9"/>
  <c r="AB2765" i="9"/>
  <c r="AB2766" i="9"/>
  <c r="AB2767" i="9"/>
  <c r="AB2768" i="9"/>
  <c r="AB2769" i="9"/>
  <c r="AB2770" i="9"/>
  <c r="AB2771" i="9"/>
  <c r="AB2772" i="9"/>
  <c r="AB2773" i="9"/>
  <c r="AB2774" i="9"/>
  <c r="AB2775" i="9"/>
  <c r="AB2776" i="9"/>
  <c r="AB2777" i="9"/>
  <c r="AB2778" i="9"/>
  <c r="AB2779" i="9"/>
  <c r="AB2780" i="9"/>
  <c r="AB2781" i="9"/>
  <c r="AB2782" i="9"/>
  <c r="AB2783" i="9"/>
  <c r="AB2784" i="9"/>
  <c r="AB2785" i="9"/>
  <c r="AB2786" i="9"/>
  <c r="AB2787" i="9"/>
  <c r="AB2788" i="9"/>
  <c r="AB2791" i="9"/>
  <c r="AB2792" i="9"/>
  <c r="AB2793" i="9"/>
  <c r="AB2794" i="9"/>
  <c r="AB2795" i="9"/>
  <c r="AB2796" i="9"/>
  <c r="AB2797" i="9"/>
  <c r="AB2798" i="9"/>
  <c r="AB2800" i="9"/>
  <c r="AB2801" i="9"/>
  <c r="AB2802" i="9"/>
  <c r="AB2803" i="9"/>
  <c r="AB2804" i="9"/>
  <c r="AB2805" i="9"/>
  <c r="AB2806" i="9"/>
  <c r="AB2807" i="9"/>
  <c r="AB2808" i="9"/>
  <c r="AB2809" i="9"/>
  <c r="AB2810" i="9"/>
  <c r="AB2811" i="9"/>
  <c r="AB2812" i="9"/>
  <c r="AB2813" i="9"/>
  <c r="AB2814" i="9"/>
  <c r="AB2816" i="9"/>
  <c r="AB2817" i="9"/>
  <c r="AB2818" i="9"/>
  <c r="AB2819" i="9"/>
  <c r="AB2820" i="9"/>
  <c r="AC2650" i="9"/>
  <c r="AC2651" i="9"/>
  <c r="AC2652" i="9"/>
  <c r="AC2653" i="9"/>
  <c r="AC2654" i="9"/>
  <c r="AC2655" i="9"/>
  <c r="AC2656" i="9"/>
  <c r="AC2657" i="9"/>
  <c r="AC2658" i="9"/>
  <c r="AC2659" i="9"/>
  <c r="AC2660" i="9"/>
  <c r="AC2661" i="9"/>
  <c r="AC2662" i="9"/>
  <c r="AC2663" i="9"/>
  <c r="AC2664" i="9"/>
  <c r="AC2665" i="9"/>
  <c r="AC2666" i="9"/>
  <c r="AC2667" i="9"/>
  <c r="AC2668" i="9"/>
  <c r="AC2669" i="9"/>
  <c r="AC2670" i="9"/>
  <c r="AC2671" i="9"/>
  <c r="AC2672" i="9"/>
  <c r="AC2673" i="9"/>
  <c r="AC2674" i="9"/>
  <c r="AC2675" i="9"/>
  <c r="AC2676" i="9"/>
  <c r="AC2677" i="9"/>
  <c r="AC2678" i="9"/>
  <c r="AC2679" i="9"/>
  <c r="AC2680" i="9"/>
  <c r="AC2681" i="9"/>
  <c r="AC2682" i="9"/>
  <c r="AC2683" i="9"/>
  <c r="AC2684" i="9"/>
  <c r="AC2685" i="9"/>
  <c r="AC2686" i="9"/>
  <c r="AC2687" i="9"/>
  <c r="AC2688" i="9"/>
  <c r="AC2689" i="9"/>
  <c r="AC2690" i="9"/>
  <c r="AC2691" i="9"/>
  <c r="AC2692" i="9"/>
  <c r="AC2693" i="9"/>
  <c r="AC2694" i="9"/>
  <c r="AC2695" i="9"/>
  <c r="AC2696" i="9"/>
  <c r="AC2697" i="9"/>
  <c r="AC2698" i="9"/>
  <c r="AC2699" i="9"/>
  <c r="AC2700" i="9"/>
  <c r="AC2701" i="9"/>
  <c r="AC2702" i="9"/>
  <c r="AC2703" i="9"/>
  <c r="AC2704" i="9"/>
  <c r="AC2705" i="9"/>
  <c r="AC2706" i="9"/>
  <c r="AC2707" i="9"/>
  <c r="AC2708" i="9"/>
  <c r="AC2709" i="9"/>
  <c r="AC2710" i="9"/>
  <c r="AC2711" i="9"/>
  <c r="AC2712" i="9"/>
  <c r="AC2713" i="9"/>
  <c r="AC2714" i="9"/>
  <c r="AC2715" i="9"/>
  <c r="AC2716" i="9"/>
  <c r="AC2717" i="9"/>
  <c r="AC2718" i="9"/>
  <c r="AC2719" i="9"/>
  <c r="AC2720" i="9"/>
  <c r="AC2721" i="9"/>
  <c r="AC2722" i="9"/>
  <c r="AC2723" i="9"/>
  <c r="AC2724" i="9"/>
  <c r="AC2725" i="9"/>
  <c r="AC2726" i="9"/>
  <c r="AC2727" i="9"/>
  <c r="AC2728" i="9"/>
  <c r="AC2729" i="9"/>
  <c r="AC2730" i="9"/>
  <c r="AC2731" i="9"/>
  <c r="AC2732" i="9"/>
  <c r="AC2733" i="9"/>
  <c r="AC2734" i="9"/>
  <c r="AC2735" i="9"/>
  <c r="AC2736" i="9"/>
  <c r="AC2737" i="9"/>
  <c r="AC2738" i="9"/>
  <c r="AC2739" i="9"/>
  <c r="AC2740" i="9"/>
  <c r="AC2741" i="9"/>
  <c r="AC2742" i="9"/>
  <c r="AC2743" i="9"/>
  <c r="AC2744" i="9"/>
  <c r="AC2745" i="9"/>
  <c r="AC2746" i="9"/>
  <c r="AC2747" i="9"/>
  <c r="AC2748" i="9"/>
  <c r="AC2749" i="9"/>
  <c r="AC2750" i="9"/>
  <c r="AC2751" i="9"/>
  <c r="AC2752" i="9"/>
  <c r="AC2753" i="9"/>
  <c r="AC2754" i="9"/>
  <c r="AC2755" i="9"/>
  <c r="AC2756" i="9"/>
  <c r="AC2757" i="9"/>
  <c r="AC2758" i="9"/>
  <c r="AC2759" i="9"/>
  <c r="AC2760" i="9"/>
  <c r="AC2761" i="9"/>
  <c r="AC2762" i="9"/>
  <c r="AC2763" i="9"/>
  <c r="AC2764" i="9"/>
  <c r="AC2765" i="9"/>
  <c r="AC2766" i="9"/>
  <c r="AC2767" i="9"/>
  <c r="AC2768" i="9"/>
  <c r="AC2769" i="9"/>
  <c r="AC2770" i="9"/>
  <c r="AC2771" i="9"/>
  <c r="AC2772" i="9"/>
  <c r="AC2773" i="9"/>
  <c r="AC2774" i="9"/>
  <c r="AC2775" i="9"/>
  <c r="AC2776" i="9"/>
  <c r="AC2777" i="9"/>
  <c r="AC2778" i="9"/>
  <c r="AC2779" i="9"/>
  <c r="AC2780" i="9"/>
  <c r="AC2781" i="9"/>
  <c r="AC2782" i="9"/>
  <c r="AC2783" i="9"/>
  <c r="AC2784" i="9"/>
  <c r="AC2785" i="9"/>
  <c r="AC2786" i="9"/>
  <c r="AC2787" i="9"/>
  <c r="AC2788" i="9"/>
  <c r="AC2789" i="9"/>
  <c r="AC2790" i="9"/>
  <c r="AC2791" i="9"/>
  <c r="AC2792" i="9"/>
  <c r="AC2793" i="9"/>
  <c r="AC2794" i="9"/>
  <c r="AC2795" i="9"/>
  <c r="AC2796" i="9"/>
  <c r="AC2797" i="9"/>
  <c r="AC2798" i="9"/>
  <c r="AC2799" i="9"/>
  <c r="AC2800" i="9"/>
  <c r="AC2801" i="9"/>
  <c r="AC2802" i="9"/>
  <c r="AC2803" i="9"/>
  <c r="AC2804" i="9"/>
  <c r="AC2805" i="9"/>
  <c r="AC2806" i="9"/>
  <c r="AC2807" i="9"/>
  <c r="AC2808" i="9"/>
  <c r="AC2809" i="9"/>
  <c r="AC2810" i="9"/>
  <c r="AC2811" i="9"/>
  <c r="AC2812" i="9"/>
  <c r="AC2813" i="9"/>
  <c r="AC2814" i="9"/>
  <c r="AC2815" i="9"/>
  <c r="AC2816" i="9"/>
  <c r="AC2817" i="9"/>
  <c r="AC2818" i="9"/>
  <c r="AC2819" i="9"/>
  <c r="AC2820" i="9"/>
  <c r="AD2650" i="9"/>
  <c r="AD2651" i="9"/>
  <c r="AD2652" i="9"/>
  <c r="AD2653" i="9"/>
  <c r="AD2654" i="9"/>
  <c r="AD2655" i="9"/>
  <c r="AD2656" i="9"/>
  <c r="AD2657" i="9"/>
  <c r="AD2658" i="9"/>
  <c r="AD2659" i="9"/>
  <c r="AD2660" i="9"/>
  <c r="AD2661" i="9"/>
  <c r="AD2662" i="9"/>
  <c r="AD2663" i="9"/>
  <c r="AD2664" i="9"/>
  <c r="AD2665" i="9"/>
  <c r="AD2666" i="9"/>
  <c r="AD2667" i="9"/>
  <c r="AD2668" i="9"/>
  <c r="AD2669" i="9"/>
  <c r="AD2670" i="9"/>
  <c r="AD2671" i="9"/>
  <c r="AD2672" i="9"/>
  <c r="AD2673" i="9"/>
  <c r="AD2674" i="9"/>
  <c r="AD2675" i="9"/>
  <c r="AD2676" i="9"/>
  <c r="AD2677" i="9"/>
  <c r="AD2678" i="9"/>
  <c r="AD2679" i="9"/>
  <c r="AD2680" i="9"/>
  <c r="AD2681" i="9"/>
  <c r="AD2682" i="9"/>
  <c r="AD2683" i="9"/>
  <c r="AD2684" i="9"/>
  <c r="AD2685" i="9"/>
  <c r="AD2686" i="9"/>
  <c r="AD2687" i="9"/>
  <c r="AD2688" i="9"/>
  <c r="AD2689" i="9"/>
  <c r="AD2690" i="9"/>
  <c r="AD2691" i="9"/>
  <c r="AD2692" i="9"/>
  <c r="AD2693" i="9"/>
  <c r="AD2694" i="9"/>
  <c r="AD2695" i="9"/>
  <c r="AD2696" i="9"/>
  <c r="AD2697" i="9"/>
  <c r="AD2698" i="9"/>
  <c r="AD2699" i="9"/>
  <c r="AD2700" i="9"/>
  <c r="AD2701" i="9"/>
  <c r="AD2702" i="9"/>
  <c r="AD2703" i="9"/>
  <c r="AD2704" i="9"/>
  <c r="AD2705" i="9"/>
  <c r="AD2706" i="9"/>
  <c r="AD2707" i="9"/>
  <c r="AD2708" i="9"/>
  <c r="AD2709" i="9"/>
  <c r="AD2710" i="9"/>
  <c r="AD2711" i="9"/>
  <c r="AD2712" i="9"/>
  <c r="AD2713" i="9"/>
  <c r="AD2714" i="9"/>
  <c r="AD2715" i="9"/>
  <c r="AD2716" i="9"/>
  <c r="AD2717" i="9"/>
  <c r="AD2718" i="9"/>
  <c r="AD2719" i="9"/>
  <c r="AD2720" i="9"/>
  <c r="AD2721" i="9"/>
  <c r="AD2722" i="9"/>
  <c r="AD2723" i="9"/>
  <c r="AD2724" i="9"/>
  <c r="AD2725" i="9"/>
  <c r="AD2726" i="9"/>
  <c r="AD2727" i="9"/>
  <c r="AD2728" i="9"/>
  <c r="AD2729" i="9"/>
  <c r="AD2730" i="9"/>
  <c r="AD2731" i="9"/>
  <c r="AD2732" i="9"/>
  <c r="AD2733" i="9"/>
  <c r="AD2734" i="9"/>
  <c r="AD2735" i="9"/>
  <c r="AD2736" i="9"/>
  <c r="AD2737" i="9"/>
  <c r="AD2738" i="9"/>
  <c r="AD2739" i="9"/>
  <c r="AD2740" i="9"/>
  <c r="AD2741" i="9"/>
  <c r="AD2742" i="9"/>
  <c r="AD2743" i="9"/>
  <c r="AD2744" i="9"/>
  <c r="AD2745" i="9"/>
  <c r="AD2746" i="9"/>
  <c r="AD2747" i="9"/>
  <c r="AD2748" i="9"/>
  <c r="AD2749" i="9"/>
  <c r="AD2750" i="9"/>
  <c r="AD2751" i="9"/>
  <c r="AD2752" i="9"/>
  <c r="AD2753" i="9"/>
  <c r="AD2754" i="9"/>
  <c r="AD2755" i="9"/>
  <c r="AD2756" i="9"/>
  <c r="AD2757" i="9"/>
  <c r="AD2758" i="9"/>
  <c r="AD2759" i="9"/>
  <c r="AD2760" i="9"/>
  <c r="AD2761" i="9"/>
  <c r="AD2762" i="9"/>
  <c r="AD2763" i="9"/>
  <c r="AD2764" i="9"/>
  <c r="AD2765" i="9"/>
  <c r="AD2766" i="9"/>
  <c r="AD2767" i="9"/>
  <c r="AD2768" i="9"/>
  <c r="AD2769" i="9"/>
  <c r="AD2770" i="9"/>
  <c r="AD2771" i="9"/>
  <c r="AD2772" i="9"/>
  <c r="AD2773" i="9"/>
  <c r="AD2774" i="9"/>
  <c r="AD2775" i="9"/>
  <c r="AD2776" i="9"/>
  <c r="AD2777" i="9"/>
  <c r="AD2778" i="9"/>
  <c r="AD2779" i="9"/>
  <c r="AD2780" i="9"/>
  <c r="AD2781" i="9"/>
  <c r="AD2782" i="9"/>
  <c r="AD2783" i="9"/>
  <c r="AD2784" i="9"/>
  <c r="AD2785" i="9"/>
  <c r="AD2786" i="9"/>
  <c r="AD2787" i="9"/>
  <c r="AD2788" i="9"/>
  <c r="AD2789" i="9"/>
  <c r="AD2790" i="9"/>
  <c r="AD2791" i="9"/>
  <c r="AD2792" i="9"/>
  <c r="AD2793" i="9"/>
  <c r="AD2794" i="9"/>
  <c r="AD2795" i="9"/>
  <c r="AD2796" i="9"/>
  <c r="AD2797" i="9"/>
  <c r="AD2798" i="9"/>
  <c r="AD2799" i="9"/>
  <c r="AD2800" i="9"/>
  <c r="AD2801" i="9"/>
  <c r="AD2802" i="9"/>
  <c r="AD2803" i="9"/>
  <c r="AD2804" i="9"/>
  <c r="AD2805" i="9"/>
  <c r="AD2806" i="9"/>
  <c r="AD2807" i="9"/>
  <c r="AD2808" i="9"/>
  <c r="AD2809" i="9"/>
  <c r="AD2810" i="9"/>
  <c r="AD2811" i="9"/>
  <c r="AD2812" i="9"/>
  <c r="AD2813" i="9"/>
  <c r="AD2814" i="9"/>
  <c r="AD2815" i="9"/>
  <c r="AD2816" i="9"/>
  <c r="AD2817" i="9"/>
  <c r="AD2818" i="9"/>
  <c r="AD2819" i="9"/>
  <c r="AD2820" i="9"/>
  <c r="AE2650" i="9"/>
  <c r="AE2651" i="9"/>
  <c r="AE2652" i="9"/>
  <c r="AE2653" i="9"/>
  <c r="AE2654" i="9"/>
  <c r="AE2655" i="9"/>
  <c r="AE2656" i="9"/>
  <c r="AE2657" i="9"/>
  <c r="AE2658" i="9"/>
  <c r="AE2659" i="9"/>
  <c r="AE2660" i="9"/>
  <c r="AE2661" i="9"/>
  <c r="AE2662" i="9"/>
  <c r="AE2663" i="9"/>
  <c r="AE2664" i="9"/>
  <c r="AE2665" i="9"/>
  <c r="AE2666" i="9"/>
  <c r="AE2667" i="9"/>
  <c r="AE2668" i="9"/>
  <c r="AE2669" i="9"/>
  <c r="AE2670" i="9"/>
  <c r="AE2671" i="9"/>
  <c r="AE2672" i="9"/>
  <c r="AE2673" i="9"/>
  <c r="AE2674" i="9"/>
  <c r="AE2675" i="9"/>
  <c r="AE2676" i="9"/>
  <c r="AE2677" i="9"/>
  <c r="AE2678" i="9"/>
  <c r="AE2679" i="9"/>
  <c r="AE2680" i="9"/>
  <c r="AE2681" i="9"/>
  <c r="AE2682" i="9"/>
  <c r="AE2683" i="9"/>
  <c r="AE2684" i="9"/>
  <c r="AE2685" i="9"/>
  <c r="AE2686" i="9"/>
  <c r="AE2687" i="9"/>
  <c r="AE2688" i="9"/>
  <c r="AE2689" i="9"/>
  <c r="AE2690" i="9"/>
  <c r="AE2691" i="9"/>
  <c r="AE2692" i="9"/>
  <c r="AE2693" i="9"/>
  <c r="AE2694" i="9"/>
  <c r="AE2695" i="9"/>
  <c r="AE2696" i="9"/>
  <c r="AE2697" i="9"/>
  <c r="AE2698" i="9"/>
  <c r="AE2699" i="9"/>
  <c r="AE2700" i="9"/>
  <c r="AE2701" i="9"/>
  <c r="AE2702" i="9"/>
  <c r="AE2703" i="9"/>
  <c r="AE2704" i="9"/>
  <c r="AE2705" i="9"/>
  <c r="AE2706" i="9"/>
  <c r="AE2707" i="9"/>
  <c r="AE2708" i="9"/>
  <c r="AE2709" i="9"/>
  <c r="AE2710" i="9"/>
  <c r="AE2711" i="9"/>
  <c r="AE2712" i="9"/>
  <c r="AE2713" i="9"/>
  <c r="AE2714" i="9"/>
  <c r="AE2715" i="9"/>
  <c r="AE2716" i="9"/>
  <c r="AE2717" i="9"/>
  <c r="AE2718" i="9"/>
  <c r="AE2719" i="9"/>
  <c r="AE2720" i="9"/>
  <c r="AE2721" i="9"/>
  <c r="AE2722" i="9"/>
  <c r="AE2723" i="9"/>
  <c r="AE2724" i="9"/>
  <c r="AE2725" i="9"/>
  <c r="AE2726" i="9"/>
  <c r="AE2727" i="9"/>
  <c r="AE2728" i="9"/>
  <c r="AE2729" i="9"/>
  <c r="AE2730" i="9"/>
  <c r="AE2731" i="9"/>
  <c r="AE2732" i="9"/>
  <c r="AE2733" i="9"/>
  <c r="AE2734" i="9"/>
  <c r="AE2735" i="9"/>
  <c r="AE2736" i="9"/>
  <c r="AE2737" i="9"/>
  <c r="AE2738" i="9"/>
  <c r="AE2739" i="9"/>
  <c r="AE2740" i="9"/>
  <c r="AE2741" i="9"/>
  <c r="AE2742" i="9"/>
  <c r="AE2743" i="9"/>
  <c r="AE2744" i="9"/>
  <c r="AE2745" i="9"/>
  <c r="AE2746" i="9"/>
  <c r="AE2747" i="9"/>
  <c r="AE2748" i="9"/>
  <c r="AE2749" i="9"/>
  <c r="AE2750" i="9"/>
  <c r="AE2751" i="9"/>
  <c r="AE2752" i="9"/>
  <c r="AE2753" i="9"/>
  <c r="AE2754" i="9"/>
  <c r="AE2755" i="9"/>
  <c r="AE2756" i="9"/>
  <c r="AE2757" i="9"/>
  <c r="AE2758" i="9"/>
  <c r="AE2759" i="9"/>
  <c r="AE2760" i="9"/>
  <c r="AE2761" i="9"/>
  <c r="AE2762" i="9"/>
  <c r="AE2763" i="9"/>
  <c r="AE2764" i="9"/>
  <c r="AE2765" i="9"/>
  <c r="AE2766" i="9"/>
  <c r="AE2767" i="9"/>
  <c r="AE2768" i="9"/>
  <c r="AE2769" i="9"/>
  <c r="AE2770" i="9"/>
  <c r="AE2771" i="9"/>
  <c r="AE2772" i="9"/>
  <c r="AE2773" i="9"/>
  <c r="AE2774" i="9"/>
  <c r="AE2775" i="9"/>
  <c r="AE2776" i="9"/>
  <c r="AE2777" i="9"/>
  <c r="AE2778" i="9"/>
  <c r="AE2779" i="9"/>
  <c r="AE2780" i="9"/>
  <c r="AE2781" i="9"/>
  <c r="AE2782" i="9"/>
  <c r="AE2783" i="9"/>
  <c r="AE2784" i="9"/>
  <c r="AE2785" i="9"/>
  <c r="AE2786" i="9"/>
  <c r="AE2787" i="9"/>
  <c r="AE2788" i="9"/>
  <c r="AE2789" i="9"/>
  <c r="AE2790" i="9"/>
  <c r="AE2791" i="9"/>
  <c r="AE2792" i="9"/>
  <c r="AE2793" i="9"/>
  <c r="AE2794" i="9"/>
  <c r="AE2795" i="9"/>
  <c r="AE2796" i="9"/>
  <c r="AE2797" i="9"/>
  <c r="AE2798" i="9"/>
  <c r="AE2799" i="9"/>
  <c r="AE2800" i="9"/>
  <c r="AE2801" i="9"/>
  <c r="AE2802" i="9"/>
  <c r="AE2803" i="9"/>
  <c r="AE2804" i="9"/>
  <c r="AE2805" i="9"/>
  <c r="AE2806" i="9"/>
  <c r="AE2807" i="9"/>
  <c r="AE2808" i="9"/>
  <c r="AE2809" i="9"/>
  <c r="AE2810" i="9"/>
  <c r="AE2811" i="9"/>
  <c r="AE2812" i="9"/>
  <c r="AE2813" i="9"/>
  <c r="AE2814" i="9"/>
  <c r="AE2815" i="9"/>
  <c r="AE2816" i="9"/>
  <c r="AE2817" i="9"/>
  <c r="AE2818" i="9"/>
  <c r="AE2819" i="9"/>
  <c r="AE2820" i="9"/>
  <c r="Q2854" i="9" l="1"/>
  <c r="R2853" i="9"/>
  <c r="S2853" i="9"/>
  <c r="S2888" i="9"/>
  <c r="Q2889" i="9"/>
  <c r="R2888" i="9"/>
  <c r="Q2680" i="9"/>
  <c r="Q2681" i="9" s="1"/>
  <c r="S2681" i="9" s="1"/>
  <c r="R2679" i="9"/>
  <c r="R2678" i="9"/>
  <c r="S2679" i="9"/>
  <c r="T2649" i="9"/>
  <c r="U2649" i="9"/>
  <c r="V2649" i="9"/>
  <c r="W2649" i="9"/>
  <c r="X2649" i="9"/>
  <c r="Y2649" i="9"/>
  <c r="Z2649" i="9"/>
  <c r="AA2649" i="9"/>
  <c r="AB2649" i="9"/>
  <c r="AC2649" i="9"/>
  <c r="AD2649" i="9"/>
  <c r="AE2649" i="9"/>
  <c r="R2680" i="9" l="1"/>
  <c r="Q2682" i="9"/>
  <c r="R2682" i="9" s="1"/>
  <c r="S2680" i="9"/>
  <c r="Q2890" i="9"/>
  <c r="R2889" i="9"/>
  <c r="S2889" i="9"/>
  <c r="Q2855" i="9"/>
  <c r="R2854" i="9"/>
  <c r="S2854" i="9"/>
  <c r="R2681" i="9"/>
  <c r="S2682" i="9"/>
  <c r="Q2683" i="9"/>
  <c r="T1244" i="9"/>
  <c r="T1245" i="9"/>
  <c r="T1246" i="9"/>
  <c r="T1247" i="9"/>
  <c r="T1248" i="9"/>
  <c r="T1249" i="9"/>
  <c r="T1250" i="9"/>
  <c r="T1251" i="9"/>
  <c r="T1252" i="9"/>
  <c r="T1253" i="9"/>
  <c r="T1254" i="9"/>
  <c r="T1255" i="9"/>
  <c r="T1256" i="9"/>
  <c r="T1257" i="9"/>
  <c r="T1258" i="9"/>
  <c r="T1259" i="9"/>
  <c r="T1260" i="9"/>
  <c r="T1261" i="9"/>
  <c r="T1262" i="9"/>
  <c r="T1263" i="9"/>
  <c r="T1264" i="9"/>
  <c r="T1265" i="9"/>
  <c r="T1266" i="9"/>
  <c r="T1267" i="9"/>
  <c r="T1268" i="9"/>
  <c r="T1269" i="9"/>
  <c r="T1270" i="9"/>
  <c r="T1271" i="9"/>
  <c r="T1272" i="9"/>
  <c r="T1273" i="9"/>
  <c r="T1274" i="9"/>
  <c r="T1275" i="9"/>
  <c r="T1276" i="9"/>
  <c r="T1277" i="9"/>
  <c r="T1278" i="9"/>
  <c r="T1279" i="9"/>
  <c r="T1280" i="9"/>
  <c r="T1281" i="9"/>
  <c r="T1282" i="9"/>
  <c r="T1283" i="9"/>
  <c r="T1284" i="9"/>
  <c r="T1285" i="9"/>
  <c r="T1286" i="9"/>
  <c r="T1287" i="9"/>
  <c r="T1288" i="9"/>
  <c r="T1289" i="9"/>
  <c r="T1290" i="9"/>
  <c r="T1291" i="9"/>
  <c r="T1292" i="9"/>
  <c r="T1293" i="9"/>
  <c r="T1294" i="9"/>
  <c r="T1295" i="9"/>
  <c r="T1296" i="9"/>
  <c r="T1297" i="9"/>
  <c r="T1298" i="9"/>
  <c r="T1299" i="9"/>
  <c r="T1300" i="9"/>
  <c r="T1301" i="9"/>
  <c r="T1302" i="9"/>
  <c r="T1303" i="9"/>
  <c r="T1304" i="9"/>
  <c r="T1305" i="9"/>
  <c r="T1306" i="9"/>
  <c r="T1307" i="9"/>
  <c r="T1308" i="9"/>
  <c r="T1309" i="9"/>
  <c r="T1310" i="9"/>
  <c r="T1311" i="9"/>
  <c r="T1312" i="9"/>
  <c r="T1313" i="9"/>
  <c r="T1314" i="9"/>
  <c r="T1315" i="9"/>
  <c r="T1316" i="9"/>
  <c r="T1317" i="9"/>
  <c r="T1318" i="9"/>
  <c r="T1319" i="9"/>
  <c r="T1320" i="9"/>
  <c r="T1321" i="9"/>
  <c r="T1322" i="9"/>
  <c r="T1323" i="9"/>
  <c r="T1324" i="9"/>
  <c r="T1325" i="9"/>
  <c r="T1326" i="9"/>
  <c r="T1327" i="9"/>
  <c r="T1328" i="9"/>
  <c r="T1329" i="9"/>
  <c r="T1330" i="9"/>
  <c r="T1331" i="9"/>
  <c r="T1332" i="9"/>
  <c r="T1333" i="9"/>
  <c r="T1334" i="9"/>
  <c r="T1335" i="9"/>
  <c r="T1336" i="9"/>
  <c r="T1337" i="9"/>
  <c r="T1338" i="9"/>
  <c r="T1339" i="9"/>
  <c r="T1340" i="9"/>
  <c r="T1341" i="9"/>
  <c r="T1342" i="9"/>
  <c r="T1343" i="9"/>
  <c r="T1344" i="9"/>
  <c r="T1345" i="9"/>
  <c r="T1346" i="9"/>
  <c r="T1347" i="9"/>
  <c r="T1348" i="9"/>
  <c r="T1349" i="9"/>
  <c r="T1350" i="9"/>
  <c r="T1351" i="9"/>
  <c r="T1352" i="9"/>
  <c r="T1353" i="9"/>
  <c r="T1354" i="9"/>
  <c r="T1355" i="9"/>
  <c r="T1356" i="9"/>
  <c r="T1357" i="9"/>
  <c r="T1358" i="9"/>
  <c r="T1359" i="9"/>
  <c r="T1360" i="9"/>
  <c r="T1361" i="9"/>
  <c r="T1362" i="9"/>
  <c r="T1363" i="9"/>
  <c r="T1364" i="9"/>
  <c r="T1365" i="9"/>
  <c r="T1366" i="9"/>
  <c r="T1367" i="9"/>
  <c r="T1368" i="9"/>
  <c r="T1369" i="9"/>
  <c r="T1370" i="9"/>
  <c r="T1371" i="9"/>
  <c r="T1372" i="9"/>
  <c r="T1373" i="9"/>
  <c r="T1374" i="9"/>
  <c r="T1375" i="9"/>
  <c r="T1376" i="9"/>
  <c r="T1377" i="9"/>
  <c r="T1378" i="9"/>
  <c r="T1379" i="9"/>
  <c r="T1380" i="9"/>
  <c r="T1381" i="9"/>
  <c r="T1382" i="9"/>
  <c r="T1383" i="9"/>
  <c r="T1384" i="9"/>
  <c r="T1385" i="9"/>
  <c r="T1386" i="9"/>
  <c r="T1387" i="9"/>
  <c r="T1388" i="9"/>
  <c r="T1389" i="9"/>
  <c r="T1390" i="9"/>
  <c r="T1391" i="9"/>
  <c r="T1392" i="9"/>
  <c r="T1393" i="9"/>
  <c r="T1394" i="9"/>
  <c r="T1395" i="9"/>
  <c r="T1396" i="9"/>
  <c r="T1397" i="9"/>
  <c r="T1398" i="9"/>
  <c r="T1399" i="9"/>
  <c r="T1400" i="9"/>
  <c r="T1401" i="9"/>
  <c r="T1402" i="9"/>
  <c r="T1403" i="9"/>
  <c r="T1404" i="9"/>
  <c r="T1405" i="9"/>
  <c r="T1406" i="9"/>
  <c r="T1407" i="9"/>
  <c r="T1408" i="9"/>
  <c r="T1409" i="9"/>
  <c r="T1410" i="9"/>
  <c r="T1411" i="9"/>
  <c r="T1412" i="9"/>
  <c r="T1413" i="9"/>
  <c r="T1414" i="9"/>
  <c r="T1415" i="9"/>
  <c r="T1416" i="9"/>
  <c r="T1417" i="9"/>
  <c r="T1418" i="9"/>
  <c r="T1419" i="9"/>
  <c r="T1420" i="9"/>
  <c r="T1421" i="9"/>
  <c r="T1422" i="9"/>
  <c r="T1423" i="9"/>
  <c r="T1424" i="9"/>
  <c r="T1425" i="9"/>
  <c r="T1426" i="9"/>
  <c r="T1427" i="9"/>
  <c r="T1428" i="9"/>
  <c r="T1429" i="9"/>
  <c r="T1430" i="9"/>
  <c r="T1431" i="9"/>
  <c r="T1432" i="9"/>
  <c r="T1433" i="9"/>
  <c r="T1434" i="9"/>
  <c r="T1435" i="9"/>
  <c r="T1436" i="9"/>
  <c r="T1437" i="9"/>
  <c r="T1438" i="9"/>
  <c r="T1439" i="9"/>
  <c r="T1440" i="9"/>
  <c r="T1441" i="9"/>
  <c r="T1442" i="9"/>
  <c r="T1443" i="9"/>
  <c r="T1444" i="9"/>
  <c r="T1445" i="9"/>
  <c r="T1446" i="9"/>
  <c r="T1447" i="9"/>
  <c r="T1448" i="9"/>
  <c r="T1449" i="9"/>
  <c r="T1450" i="9"/>
  <c r="T1451" i="9"/>
  <c r="T1452" i="9"/>
  <c r="T1453" i="9"/>
  <c r="T1454" i="9"/>
  <c r="T1455" i="9"/>
  <c r="T1456" i="9"/>
  <c r="T1457" i="9"/>
  <c r="T1458" i="9"/>
  <c r="T1459" i="9"/>
  <c r="T1460" i="9"/>
  <c r="T1461" i="9"/>
  <c r="T1462" i="9"/>
  <c r="T1463" i="9"/>
  <c r="T1464" i="9"/>
  <c r="T1465" i="9"/>
  <c r="T1466" i="9"/>
  <c r="T1467" i="9"/>
  <c r="T1468" i="9"/>
  <c r="T1469" i="9"/>
  <c r="T1470" i="9"/>
  <c r="T1471" i="9"/>
  <c r="T1472" i="9"/>
  <c r="T1473" i="9"/>
  <c r="T1474" i="9"/>
  <c r="T1475" i="9"/>
  <c r="T1476" i="9"/>
  <c r="T1477" i="9"/>
  <c r="T1478" i="9"/>
  <c r="T1479" i="9"/>
  <c r="T1480" i="9"/>
  <c r="T1481" i="9"/>
  <c r="T1482" i="9"/>
  <c r="T1483" i="9"/>
  <c r="T1484" i="9"/>
  <c r="T1485" i="9"/>
  <c r="T1486" i="9"/>
  <c r="T1487" i="9"/>
  <c r="T1488" i="9"/>
  <c r="T1489" i="9"/>
  <c r="T1490" i="9"/>
  <c r="T1491" i="9"/>
  <c r="T1492" i="9"/>
  <c r="T1493" i="9"/>
  <c r="T1494" i="9"/>
  <c r="T1495" i="9"/>
  <c r="T1496" i="9"/>
  <c r="T1497" i="9"/>
  <c r="T1498" i="9"/>
  <c r="T1499" i="9"/>
  <c r="T1500" i="9"/>
  <c r="T1501" i="9"/>
  <c r="T1502" i="9"/>
  <c r="T1503" i="9"/>
  <c r="T1504" i="9"/>
  <c r="T1505" i="9"/>
  <c r="T1506" i="9"/>
  <c r="T1507" i="9"/>
  <c r="T1508" i="9"/>
  <c r="T1509" i="9"/>
  <c r="T1510" i="9"/>
  <c r="T1511" i="9"/>
  <c r="T1512" i="9"/>
  <c r="T1513" i="9"/>
  <c r="T1514" i="9"/>
  <c r="T1515" i="9"/>
  <c r="T1516" i="9"/>
  <c r="T1517" i="9"/>
  <c r="T1518" i="9"/>
  <c r="T1519" i="9"/>
  <c r="T1520" i="9"/>
  <c r="T1521" i="9"/>
  <c r="T1522" i="9"/>
  <c r="T1523" i="9"/>
  <c r="T1524" i="9"/>
  <c r="T1525" i="9"/>
  <c r="T1526" i="9"/>
  <c r="T1527" i="9"/>
  <c r="T1528" i="9"/>
  <c r="T1529" i="9"/>
  <c r="T1530" i="9"/>
  <c r="T1531" i="9"/>
  <c r="T1532" i="9"/>
  <c r="T1533" i="9"/>
  <c r="T1534" i="9"/>
  <c r="T1535" i="9"/>
  <c r="T1536" i="9"/>
  <c r="T1537" i="9"/>
  <c r="T1538" i="9"/>
  <c r="T1539" i="9"/>
  <c r="T1540" i="9"/>
  <c r="T1541" i="9"/>
  <c r="T1542" i="9"/>
  <c r="T1543" i="9"/>
  <c r="T1544" i="9"/>
  <c r="T1545" i="9"/>
  <c r="T1546" i="9"/>
  <c r="T1547" i="9"/>
  <c r="T1548" i="9"/>
  <c r="T1549" i="9"/>
  <c r="T1550" i="9"/>
  <c r="T1551" i="9"/>
  <c r="T1552" i="9"/>
  <c r="T1553" i="9"/>
  <c r="T1554" i="9"/>
  <c r="T1555" i="9"/>
  <c r="T1556" i="9"/>
  <c r="T1557" i="9"/>
  <c r="T1558" i="9"/>
  <c r="T1559" i="9"/>
  <c r="T1560" i="9"/>
  <c r="T1561" i="9"/>
  <c r="T1562" i="9"/>
  <c r="T1563" i="9"/>
  <c r="T1564" i="9"/>
  <c r="T1565" i="9"/>
  <c r="T1566" i="9"/>
  <c r="T1567" i="9"/>
  <c r="T1568" i="9"/>
  <c r="T1569" i="9"/>
  <c r="T1570" i="9"/>
  <c r="T1571" i="9"/>
  <c r="T1572" i="9"/>
  <c r="T1573" i="9"/>
  <c r="T1574" i="9"/>
  <c r="T1575" i="9"/>
  <c r="T1576" i="9"/>
  <c r="T1577" i="9"/>
  <c r="T1578" i="9"/>
  <c r="T1579" i="9"/>
  <c r="T1580" i="9"/>
  <c r="T1581" i="9"/>
  <c r="T1582" i="9"/>
  <c r="T1583" i="9"/>
  <c r="T1584" i="9"/>
  <c r="T1585" i="9"/>
  <c r="T1586" i="9"/>
  <c r="T1587" i="9"/>
  <c r="T1588" i="9"/>
  <c r="T1589" i="9"/>
  <c r="T1590" i="9"/>
  <c r="T1591" i="9"/>
  <c r="T1592" i="9"/>
  <c r="T1593" i="9"/>
  <c r="T1594" i="9"/>
  <c r="T1595" i="9"/>
  <c r="T1596" i="9"/>
  <c r="T1597" i="9"/>
  <c r="T1598" i="9"/>
  <c r="T1599" i="9"/>
  <c r="T1600" i="9"/>
  <c r="T1601" i="9"/>
  <c r="T1602" i="9"/>
  <c r="T1603" i="9"/>
  <c r="T1604" i="9"/>
  <c r="T1605" i="9"/>
  <c r="T1606" i="9"/>
  <c r="T1607" i="9"/>
  <c r="T1608" i="9"/>
  <c r="T1609" i="9"/>
  <c r="T1610" i="9"/>
  <c r="T1611" i="9"/>
  <c r="T1612" i="9"/>
  <c r="T1613" i="9"/>
  <c r="T1614" i="9"/>
  <c r="T1615" i="9"/>
  <c r="T1616" i="9"/>
  <c r="T1617" i="9"/>
  <c r="T1618" i="9"/>
  <c r="T1619" i="9"/>
  <c r="T1620" i="9"/>
  <c r="T1621" i="9"/>
  <c r="T1622" i="9"/>
  <c r="T1623" i="9"/>
  <c r="T1624" i="9"/>
  <c r="T1625" i="9"/>
  <c r="T1626" i="9"/>
  <c r="T1627" i="9"/>
  <c r="T1628" i="9"/>
  <c r="T1629" i="9"/>
  <c r="T1630" i="9"/>
  <c r="T1631" i="9"/>
  <c r="T1632" i="9"/>
  <c r="T1633" i="9"/>
  <c r="T1634" i="9"/>
  <c r="T1635" i="9"/>
  <c r="T1636" i="9"/>
  <c r="T1637" i="9"/>
  <c r="T1638" i="9"/>
  <c r="T1639" i="9"/>
  <c r="T1640" i="9"/>
  <c r="T1641" i="9"/>
  <c r="T1642" i="9"/>
  <c r="T1643" i="9"/>
  <c r="T1644" i="9"/>
  <c r="T1645" i="9"/>
  <c r="T1646" i="9"/>
  <c r="T1647" i="9"/>
  <c r="T1648" i="9"/>
  <c r="T1649" i="9"/>
  <c r="T1650" i="9"/>
  <c r="T1651" i="9"/>
  <c r="T1652" i="9"/>
  <c r="T1653" i="9"/>
  <c r="T1654" i="9"/>
  <c r="T1655" i="9"/>
  <c r="T1656" i="9"/>
  <c r="T1657" i="9"/>
  <c r="T1658" i="9"/>
  <c r="T1659" i="9"/>
  <c r="T1660" i="9"/>
  <c r="T1661" i="9"/>
  <c r="T1662" i="9"/>
  <c r="T1663" i="9"/>
  <c r="T1664" i="9"/>
  <c r="T1665" i="9"/>
  <c r="T1666" i="9"/>
  <c r="T1667" i="9"/>
  <c r="T1668" i="9"/>
  <c r="T1669" i="9"/>
  <c r="T1670" i="9"/>
  <c r="T1671" i="9"/>
  <c r="T1672" i="9"/>
  <c r="T1673" i="9"/>
  <c r="T1674" i="9"/>
  <c r="T1675" i="9"/>
  <c r="T1676" i="9"/>
  <c r="T1677" i="9"/>
  <c r="T1678" i="9"/>
  <c r="T1679" i="9"/>
  <c r="T1680" i="9"/>
  <c r="T1681" i="9"/>
  <c r="T1682" i="9"/>
  <c r="T1683" i="9"/>
  <c r="T1684" i="9"/>
  <c r="T1685" i="9"/>
  <c r="T1686" i="9"/>
  <c r="T1687" i="9"/>
  <c r="T1688" i="9"/>
  <c r="T1689" i="9"/>
  <c r="T1690" i="9"/>
  <c r="T1691" i="9"/>
  <c r="T1692" i="9"/>
  <c r="T1693" i="9"/>
  <c r="T1694" i="9"/>
  <c r="T1695" i="9"/>
  <c r="T1696" i="9"/>
  <c r="T1697" i="9"/>
  <c r="T1698" i="9"/>
  <c r="T1699" i="9"/>
  <c r="T1700" i="9"/>
  <c r="T1701" i="9"/>
  <c r="T1702" i="9"/>
  <c r="T1703" i="9"/>
  <c r="T1704" i="9"/>
  <c r="T1705" i="9"/>
  <c r="T1706" i="9"/>
  <c r="T1707" i="9"/>
  <c r="T1708" i="9"/>
  <c r="T1709" i="9"/>
  <c r="T1710" i="9"/>
  <c r="T1711" i="9"/>
  <c r="T1712" i="9"/>
  <c r="T1713" i="9"/>
  <c r="T1714" i="9"/>
  <c r="T1715" i="9"/>
  <c r="T1716" i="9"/>
  <c r="T1717" i="9"/>
  <c r="T1718" i="9"/>
  <c r="T1719" i="9"/>
  <c r="T1720" i="9"/>
  <c r="T1721" i="9"/>
  <c r="T1722" i="9"/>
  <c r="T1723" i="9"/>
  <c r="T1724" i="9"/>
  <c r="T1725" i="9"/>
  <c r="T1726" i="9"/>
  <c r="T1727" i="9"/>
  <c r="T1728" i="9"/>
  <c r="T1729" i="9"/>
  <c r="T1730" i="9"/>
  <c r="T1731" i="9"/>
  <c r="T1732" i="9"/>
  <c r="T1733" i="9"/>
  <c r="T1734" i="9"/>
  <c r="T1735" i="9"/>
  <c r="T1736" i="9"/>
  <c r="T1737" i="9"/>
  <c r="T1738" i="9"/>
  <c r="T1739" i="9"/>
  <c r="T1740" i="9"/>
  <c r="T1741" i="9"/>
  <c r="T1742" i="9"/>
  <c r="T1743" i="9"/>
  <c r="T1744" i="9"/>
  <c r="T1745" i="9"/>
  <c r="T1746" i="9"/>
  <c r="T1747" i="9"/>
  <c r="T1748" i="9"/>
  <c r="T1749" i="9"/>
  <c r="T1750" i="9"/>
  <c r="T1751" i="9"/>
  <c r="T1752" i="9"/>
  <c r="T1753" i="9"/>
  <c r="T1754" i="9"/>
  <c r="T1755" i="9"/>
  <c r="T1756" i="9"/>
  <c r="T1757" i="9"/>
  <c r="T1758" i="9"/>
  <c r="T1759" i="9"/>
  <c r="T1760" i="9"/>
  <c r="T1761" i="9"/>
  <c r="T1762" i="9"/>
  <c r="T1763" i="9"/>
  <c r="T1764" i="9"/>
  <c r="T1765" i="9"/>
  <c r="T1766" i="9"/>
  <c r="T1767" i="9"/>
  <c r="T1768" i="9"/>
  <c r="T1769" i="9"/>
  <c r="T1770" i="9"/>
  <c r="T1771" i="9"/>
  <c r="T1772" i="9"/>
  <c r="T1773" i="9"/>
  <c r="T1774" i="9"/>
  <c r="T1775" i="9"/>
  <c r="T1776" i="9"/>
  <c r="T1777" i="9"/>
  <c r="T1778" i="9"/>
  <c r="T1779" i="9"/>
  <c r="T1780" i="9"/>
  <c r="T1781" i="9"/>
  <c r="T1782" i="9"/>
  <c r="T1783" i="9"/>
  <c r="T1784" i="9"/>
  <c r="T1785" i="9"/>
  <c r="T1786" i="9"/>
  <c r="T1787" i="9"/>
  <c r="T1788" i="9"/>
  <c r="T1789" i="9"/>
  <c r="T1790" i="9"/>
  <c r="T1791" i="9"/>
  <c r="T1792" i="9"/>
  <c r="T1793" i="9"/>
  <c r="T1794" i="9"/>
  <c r="T1795" i="9"/>
  <c r="T1796" i="9"/>
  <c r="T1797" i="9"/>
  <c r="T1798" i="9"/>
  <c r="T1799" i="9"/>
  <c r="T1800" i="9"/>
  <c r="T1801" i="9"/>
  <c r="T1802" i="9"/>
  <c r="T1803" i="9"/>
  <c r="T1804" i="9"/>
  <c r="T1805" i="9"/>
  <c r="T1806" i="9"/>
  <c r="T1807" i="9"/>
  <c r="T1808" i="9"/>
  <c r="T1809" i="9"/>
  <c r="T1810" i="9"/>
  <c r="T1811" i="9"/>
  <c r="T1812" i="9"/>
  <c r="T1813" i="9"/>
  <c r="T1814" i="9"/>
  <c r="T1815" i="9"/>
  <c r="T1816" i="9"/>
  <c r="T1817" i="9"/>
  <c r="T1818" i="9"/>
  <c r="T1819" i="9"/>
  <c r="T1820" i="9"/>
  <c r="T1821" i="9"/>
  <c r="T1822" i="9"/>
  <c r="T1823" i="9"/>
  <c r="T1824" i="9"/>
  <c r="T1825" i="9"/>
  <c r="T1826" i="9"/>
  <c r="T1827" i="9"/>
  <c r="T1828" i="9"/>
  <c r="T1829" i="9"/>
  <c r="T1830" i="9"/>
  <c r="T1831" i="9"/>
  <c r="T1832" i="9"/>
  <c r="T1833" i="9"/>
  <c r="T1834" i="9"/>
  <c r="T1835" i="9"/>
  <c r="T1836" i="9"/>
  <c r="T1837" i="9"/>
  <c r="T1838" i="9"/>
  <c r="T1839" i="9"/>
  <c r="T1840" i="9"/>
  <c r="T1841" i="9"/>
  <c r="T1842" i="9"/>
  <c r="T1843" i="9"/>
  <c r="T1844" i="9"/>
  <c r="T1845" i="9"/>
  <c r="T1846" i="9"/>
  <c r="T1847" i="9"/>
  <c r="T1848" i="9"/>
  <c r="T1849" i="9"/>
  <c r="T1850" i="9"/>
  <c r="T1851" i="9"/>
  <c r="T1852" i="9"/>
  <c r="T1853" i="9"/>
  <c r="T1854" i="9"/>
  <c r="T1855" i="9"/>
  <c r="T1856" i="9"/>
  <c r="T1857" i="9"/>
  <c r="T1858" i="9"/>
  <c r="T1859" i="9"/>
  <c r="T1860" i="9"/>
  <c r="T1861" i="9"/>
  <c r="T1862" i="9"/>
  <c r="T1863" i="9"/>
  <c r="T1864" i="9"/>
  <c r="T1865" i="9"/>
  <c r="T1866" i="9"/>
  <c r="T1867" i="9"/>
  <c r="T1868" i="9"/>
  <c r="T1869" i="9"/>
  <c r="T1870" i="9"/>
  <c r="T1871" i="9"/>
  <c r="T1872" i="9"/>
  <c r="T1873" i="9"/>
  <c r="T1874" i="9"/>
  <c r="T1875" i="9"/>
  <c r="T1876" i="9"/>
  <c r="T1877" i="9"/>
  <c r="T1878" i="9"/>
  <c r="T1879" i="9"/>
  <c r="T1880" i="9"/>
  <c r="T1881" i="9"/>
  <c r="T1882" i="9"/>
  <c r="T1883" i="9"/>
  <c r="T1884" i="9"/>
  <c r="T1885" i="9"/>
  <c r="T1886" i="9"/>
  <c r="T1887" i="9"/>
  <c r="T1888" i="9"/>
  <c r="T1889" i="9"/>
  <c r="T1890" i="9"/>
  <c r="T1891" i="9"/>
  <c r="T1892" i="9"/>
  <c r="T1893" i="9"/>
  <c r="T1894" i="9"/>
  <c r="T1895" i="9"/>
  <c r="T1896" i="9"/>
  <c r="T1897" i="9"/>
  <c r="T1898" i="9"/>
  <c r="T1899" i="9"/>
  <c r="T1900" i="9"/>
  <c r="T1901" i="9"/>
  <c r="T1902" i="9"/>
  <c r="T1903" i="9"/>
  <c r="T1904" i="9"/>
  <c r="T1905" i="9"/>
  <c r="T1906" i="9"/>
  <c r="T1907" i="9"/>
  <c r="T1908" i="9"/>
  <c r="T1909" i="9"/>
  <c r="T1910" i="9"/>
  <c r="T1911" i="9"/>
  <c r="T1912" i="9"/>
  <c r="T1913" i="9"/>
  <c r="T1914" i="9"/>
  <c r="T1915" i="9"/>
  <c r="T1916" i="9"/>
  <c r="T1917" i="9"/>
  <c r="T1918" i="9"/>
  <c r="T1919" i="9"/>
  <c r="T1920" i="9"/>
  <c r="T1921" i="9"/>
  <c r="T1922" i="9"/>
  <c r="T1923" i="9"/>
  <c r="T1924" i="9"/>
  <c r="T1925" i="9"/>
  <c r="T1926" i="9"/>
  <c r="T1927" i="9"/>
  <c r="T1928" i="9"/>
  <c r="T1929" i="9"/>
  <c r="T1930" i="9"/>
  <c r="T1931" i="9"/>
  <c r="T1932" i="9"/>
  <c r="T1933" i="9"/>
  <c r="T1934" i="9"/>
  <c r="T1935" i="9"/>
  <c r="T1936" i="9"/>
  <c r="T1937" i="9"/>
  <c r="T1938" i="9"/>
  <c r="T1939" i="9"/>
  <c r="T1940" i="9"/>
  <c r="T1941" i="9"/>
  <c r="T1942" i="9"/>
  <c r="T1943" i="9"/>
  <c r="T1944" i="9"/>
  <c r="T1945" i="9"/>
  <c r="T1946" i="9"/>
  <c r="T1947" i="9"/>
  <c r="T1948" i="9"/>
  <c r="T1949" i="9"/>
  <c r="T1950" i="9"/>
  <c r="T1951" i="9"/>
  <c r="T1952" i="9"/>
  <c r="T1953" i="9"/>
  <c r="T1954" i="9"/>
  <c r="T1955" i="9"/>
  <c r="T1956" i="9"/>
  <c r="T1957" i="9"/>
  <c r="T1958" i="9"/>
  <c r="T1959" i="9"/>
  <c r="T1960" i="9"/>
  <c r="T1961" i="9"/>
  <c r="T1962" i="9"/>
  <c r="T1963" i="9"/>
  <c r="T1964" i="9"/>
  <c r="T1965" i="9"/>
  <c r="T1966" i="9"/>
  <c r="T1967" i="9"/>
  <c r="T1968" i="9"/>
  <c r="T1969" i="9"/>
  <c r="T1970" i="9"/>
  <c r="T1971" i="9"/>
  <c r="T1972" i="9"/>
  <c r="T1973" i="9"/>
  <c r="T1974" i="9"/>
  <c r="T1975" i="9"/>
  <c r="T1976" i="9"/>
  <c r="T1977" i="9"/>
  <c r="T1978" i="9"/>
  <c r="T1979" i="9"/>
  <c r="T1980" i="9"/>
  <c r="T1981" i="9"/>
  <c r="T1982" i="9"/>
  <c r="T1983" i="9"/>
  <c r="T1984" i="9"/>
  <c r="T1985" i="9"/>
  <c r="T1986" i="9"/>
  <c r="T1987" i="9"/>
  <c r="T1988" i="9"/>
  <c r="T1989" i="9"/>
  <c r="T1990" i="9"/>
  <c r="T1991" i="9"/>
  <c r="T1992" i="9"/>
  <c r="T1993" i="9"/>
  <c r="T1994" i="9"/>
  <c r="T1995" i="9"/>
  <c r="T1996" i="9"/>
  <c r="T1997" i="9"/>
  <c r="T1998" i="9"/>
  <c r="T1999" i="9"/>
  <c r="T2000" i="9"/>
  <c r="T2001" i="9"/>
  <c r="T2002" i="9"/>
  <c r="T2003" i="9"/>
  <c r="T2004" i="9"/>
  <c r="T2005" i="9"/>
  <c r="T2006" i="9"/>
  <c r="T2007" i="9"/>
  <c r="T2008" i="9"/>
  <c r="T2009" i="9"/>
  <c r="T2010" i="9"/>
  <c r="T2011" i="9"/>
  <c r="T2012" i="9"/>
  <c r="T2013" i="9"/>
  <c r="T2014" i="9"/>
  <c r="T2015" i="9"/>
  <c r="T2016" i="9"/>
  <c r="T2017" i="9"/>
  <c r="T2018" i="9"/>
  <c r="T2019" i="9"/>
  <c r="T2020" i="9"/>
  <c r="T2021" i="9"/>
  <c r="T2022" i="9"/>
  <c r="T2023" i="9"/>
  <c r="T2024" i="9"/>
  <c r="T2025" i="9"/>
  <c r="T2026" i="9"/>
  <c r="T2027" i="9"/>
  <c r="T2028" i="9"/>
  <c r="T2029" i="9"/>
  <c r="T2030" i="9"/>
  <c r="T2031" i="9"/>
  <c r="T2032" i="9"/>
  <c r="T2033" i="9"/>
  <c r="T2034" i="9"/>
  <c r="T2035" i="9"/>
  <c r="T2036" i="9"/>
  <c r="T2037" i="9"/>
  <c r="T2038" i="9"/>
  <c r="T2039" i="9"/>
  <c r="T2040" i="9"/>
  <c r="T2041" i="9"/>
  <c r="T2042" i="9"/>
  <c r="T2043" i="9"/>
  <c r="T2044" i="9"/>
  <c r="T2045" i="9"/>
  <c r="T2046" i="9"/>
  <c r="T2047" i="9"/>
  <c r="T2048" i="9"/>
  <c r="T2049" i="9"/>
  <c r="T2050" i="9"/>
  <c r="T2051" i="9"/>
  <c r="T2052" i="9"/>
  <c r="T2053" i="9"/>
  <c r="T2054" i="9"/>
  <c r="T2055" i="9"/>
  <c r="T2056" i="9"/>
  <c r="T2057" i="9"/>
  <c r="T2058" i="9"/>
  <c r="T2059" i="9"/>
  <c r="T2060" i="9"/>
  <c r="T2061" i="9"/>
  <c r="T2062" i="9"/>
  <c r="T2063" i="9"/>
  <c r="T2064" i="9"/>
  <c r="T2065" i="9"/>
  <c r="T2066" i="9"/>
  <c r="T2067" i="9"/>
  <c r="T2068" i="9"/>
  <c r="T2069" i="9"/>
  <c r="T2070" i="9"/>
  <c r="T2071" i="9"/>
  <c r="T2072" i="9"/>
  <c r="T2073" i="9"/>
  <c r="T2074" i="9"/>
  <c r="T2075" i="9"/>
  <c r="T2076" i="9"/>
  <c r="T2077" i="9"/>
  <c r="T2078" i="9"/>
  <c r="T2079" i="9"/>
  <c r="T2080" i="9"/>
  <c r="T2081" i="9"/>
  <c r="T2082" i="9"/>
  <c r="T2083" i="9"/>
  <c r="T2084" i="9"/>
  <c r="T2085" i="9"/>
  <c r="T2086" i="9"/>
  <c r="T2087" i="9"/>
  <c r="T2088" i="9"/>
  <c r="T2089" i="9"/>
  <c r="T2090" i="9"/>
  <c r="T2091" i="9"/>
  <c r="T2092" i="9"/>
  <c r="T2093" i="9"/>
  <c r="T2094" i="9"/>
  <c r="T2095" i="9"/>
  <c r="T2096" i="9"/>
  <c r="T2097" i="9"/>
  <c r="T2098" i="9"/>
  <c r="T2099" i="9"/>
  <c r="T2100" i="9"/>
  <c r="T2101" i="9"/>
  <c r="T2102" i="9"/>
  <c r="T2103" i="9"/>
  <c r="T2104" i="9"/>
  <c r="T2105" i="9"/>
  <c r="T2106" i="9"/>
  <c r="T2107" i="9"/>
  <c r="T2108" i="9"/>
  <c r="T2109" i="9"/>
  <c r="T2110" i="9"/>
  <c r="T2111" i="9"/>
  <c r="T2112" i="9"/>
  <c r="T2113" i="9"/>
  <c r="T2114" i="9"/>
  <c r="T2115" i="9"/>
  <c r="T2116" i="9"/>
  <c r="T2117" i="9"/>
  <c r="T2118" i="9"/>
  <c r="T2119" i="9"/>
  <c r="T2120" i="9"/>
  <c r="T2121" i="9"/>
  <c r="T2122" i="9"/>
  <c r="T2123" i="9"/>
  <c r="T2124" i="9"/>
  <c r="T2125" i="9"/>
  <c r="T2126" i="9"/>
  <c r="T2127" i="9"/>
  <c r="T2128" i="9"/>
  <c r="T2129" i="9"/>
  <c r="T2130" i="9"/>
  <c r="T2131" i="9"/>
  <c r="T2132" i="9"/>
  <c r="T2133" i="9"/>
  <c r="T2134" i="9"/>
  <c r="T2135" i="9"/>
  <c r="T2136" i="9"/>
  <c r="T2137" i="9"/>
  <c r="T2138" i="9"/>
  <c r="T2139" i="9"/>
  <c r="T2140" i="9"/>
  <c r="T2141" i="9"/>
  <c r="T2142" i="9"/>
  <c r="T2143" i="9"/>
  <c r="T2144" i="9"/>
  <c r="T2145" i="9"/>
  <c r="T2146" i="9"/>
  <c r="T2147" i="9"/>
  <c r="T2148" i="9"/>
  <c r="T2149" i="9"/>
  <c r="T2150" i="9"/>
  <c r="T2151" i="9"/>
  <c r="T2152" i="9"/>
  <c r="T2153" i="9"/>
  <c r="T2154" i="9"/>
  <c r="T2155" i="9"/>
  <c r="T2156" i="9"/>
  <c r="T2157" i="9"/>
  <c r="T2158" i="9"/>
  <c r="T2159" i="9"/>
  <c r="T2160" i="9"/>
  <c r="T2161" i="9"/>
  <c r="T2162" i="9"/>
  <c r="T2163" i="9"/>
  <c r="T2164" i="9"/>
  <c r="T2165" i="9"/>
  <c r="T2166" i="9"/>
  <c r="T2167" i="9"/>
  <c r="T2168" i="9"/>
  <c r="T2169" i="9"/>
  <c r="T2170" i="9"/>
  <c r="T2171" i="9"/>
  <c r="T2172" i="9"/>
  <c r="T2173" i="9"/>
  <c r="T2174" i="9"/>
  <c r="T2175" i="9"/>
  <c r="T2176" i="9"/>
  <c r="T2177" i="9"/>
  <c r="T2178" i="9"/>
  <c r="T2179" i="9"/>
  <c r="T2180" i="9"/>
  <c r="T2181" i="9"/>
  <c r="T2182" i="9"/>
  <c r="T2183" i="9"/>
  <c r="T2184" i="9"/>
  <c r="T2185" i="9"/>
  <c r="T2186" i="9"/>
  <c r="T2187" i="9"/>
  <c r="T2188" i="9"/>
  <c r="T2189" i="9"/>
  <c r="T2190" i="9"/>
  <c r="T2191" i="9"/>
  <c r="T2192" i="9"/>
  <c r="T2193" i="9"/>
  <c r="T2194" i="9"/>
  <c r="T2195" i="9"/>
  <c r="T2196" i="9"/>
  <c r="T2197" i="9"/>
  <c r="T2198" i="9"/>
  <c r="T2199" i="9"/>
  <c r="T2200" i="9"/>
  <c r="T2201" i="9"/>
  <c r="T2202" i="9"/>
  <c r="T2203" i="9"/>
  <c r="T2204" i="9"/>
  <c r="T2205" i="9"/>
  <c r="T2206" i="9"/>
  <c r="T2207" i="9"/>
  <c r="T2208" i="9"/>
  <c r="T2209" i="9"/>
  <c r="T2210" i="9"/>
  <c r="T2211" i="9"/>
  <c r="T2212" i="9"/>
  <c r="T2213" i="9"/>
  <c r="T2214" i="9"/>
  <c r="T2215" i="9"/>
  <c r="T2216" i="9"/>
  <c r="T2217" i="9"/>
  <c r="T2218" i="9"/>
  <c r="T2219" i="9"/>
  <c r="T2220" i="9"/>
  <c r="T2221" i="9"/>
  <c r="T2222" i="9"/>
  <c r="T2223" i="9"/>
  <c r="T2224" i="9"/>
  <c r="T2225" i="9"/>
  <c r="T2226" i="9"/>
  <c r="T2227" i="9"/>
  <c r="T2228" i="9"/>
  <c r="T2229" i="9"/>
  <c r="T2230" i="9"/>
  <c r="T2231" i="9"/>
  <c r="T2232" i="9"/>
  <c r="T2233" i="9"/>
  <c r="T2234" i="9"/>
  <c r="T2235" i="9"/>
  <c r="T2236" i="9"/>
  <c r="T2237" i="9"/>
  <c r="T2238" i="9"/>
  <c r="T2239" i="9"/>
  <c r="T2240" i="9"/>
  <c r="T2241" i="9"/>
  <c r="T2242" i="9"/>
  <c r="T2243" i="9"/>
  <c r="T2244" i="9"/>
  <c r="T2245" i="9"/>
  <c r="T2246" i="9"/>
  <c r="T2247" i="9"/>
  <c r="T2248" i="9"/>
  <c r="T2249" i="9"/>
  <c r="T2250" i="9"/>
  <c r="T2251" i="9"/>
  <c r="T2252" i="9"/>
  <c r="T2253" i="9"/>
  <c r="T2254" i="9"/>
  <c r="T2255" i="9"/>
  <c r="T2256" i="9"/>
  <c r="T2257" i="9"/>
  <c r="T2258" i="9"/>
  <c r="T2259" i="9"/>
  <c r="T2260" i="9"/>
  <c r="T2261" i="9"/>
  <c r="T2262" i="9"/>
  <c r="T2263" i="9"/>
  <c r="T2264" i="9"/>
  <c r="T2265" i="9"/>
  <c r="T2266" i="9"/>
  <c r="T2267" i="9"/>
  <c r="T2268" i="9"/>
  <c r="T2269" i="9"/>
  <c r="T2270" i="9"/>
  <c r="T2271" i="9"/>
  <c r="T2272" i="9"/>
  <c r="T2273" i="9"/>
  <c r="T2274" i="9"/>
  <c r="T2275" i="9"/>
  <c r="T2276" i="9"/>
  <c r="T2277" i="9"/>
  <c r="T2278" i="9"/>
  <c r="T2279" i="9"/>
  <c r="T2280" i="9"/>
  <c r="T2281" i="9"/>
  <c r="T2282" i="9"/>
  <c r="T2283" i="9"/>
  <c r="T2284" i="9"/>
  <c r="T2285" i="9"/>
  <c r="T2286" i="9"/>
  <c r="T2287" i="9"/>
  <c r="T2288" i="9"/>
  <c r="T2289" i="9"/>
  <c r="T2290" i="9"/>
  <c r="T2291" i="9"/>
  <c r="T2292" i="9"/>
  <c r="T2293" i="9"/>
  <c r="T2294" i="9"/>
  <c r="T2295" i="9"/>
  <c r="T2296" i="9"/>
  <c r="T2297" i="9"/>
  <c r="T2298" i="9"/>
  <c r="T2299" i="9"/>
  <c r="T2300" i="9"/>
  <c r="T2301" i="9"/>
  <c r="T2302" i="9"/>
  <c r="T2303" i="9"/>
  <c r="T2304" i="9"/>
  <c r="T2305" i="9"/>
  <c r="T2306" i="9"/>
  <c r="T2307" i="9"/>
  <c r="T2308" i="9"/>
  <c r="T2309" i="9"/>
  <c r="T2310" i="9"/>
  <c r="T2311" i="9"/>
  <c r="T2312" i="9"/>
  <c r="T2313" i="9"/>
  <c r="T2314" i="9"/>
  <c r="T2315" i="9"/>
  <c r="T2316" i="9"/>
  <c r="T2317" i="9"/>
  <c r="T2318" i="9"/>
  <c r="T2319" i="9"/>
  <c r="T2320" i="9"/>
  <c r="T2321" i="9"/>
  <c r="T2322" i="9"/>
  <c r="T2323" i="9"/>
  <c r="T2324" i="9"/>
  <c r="T2325" i="9"/>
  <c r="T2326" i="9"/>
  <c r="T2327" i="9"/>
  <c r="T2328" i="9"/>
  <c r="T2329" i="9"/>
  <c r="T2330" i="9"/>
  <c r="T2331" i="9"/>
  <c r="T2332" i="9"/>
  <c r="T2333" i="9"/>
  <c r="T2334" i="9"/>
  <c r="T2335" i="9"/>
  <c r="T2336" i="9"/>
  <c r="T2337" i="9"/>
  <c r="T2338" i="9"/>
  <c r="T2339" i="9"/>
  <c r="T2340" i="9"/>
  <c r="T2341" i="9"/>
  <c r="T2342" i="9"/>
  <c r="T2343" i="9"/>
  <c r="T2344" i="9"/>
  <c r="T2345" i="9"/>
  <c r="T2346" i="9"/>
  <c r="T2347" i="9"/>
  <c r="T2348" i="9"/>
  <c r="T2349" i="9"/>
  <c r="T2350" i="9"/>
  <c r="T2351" i="9"/>
  <c r="T2352" i="9"/>
  <c r="T2353" i="9"/>
  <c r="T2354" i="9"/>
  <c r="T2355" i="9"/>
  <c r="T2356" i="9"/>
  <c r="T2357" i="9"/>
  <c r="T2358" i="9"/>
  <c r="T2359" i="9"/>
  <c r="T2360" i="9"/>
  <c r="T2361" i="9"/>
  <c r="T2362" i="9"/>
  <c r="T2363" i="9"/>
  <c r="T2364" i="9"/>
  <c r="T2365" i="9"/>
  <c r="T2366" i="9"/>
  <c r="T2367" i="9"/>
  <c r="T2368" i="9"/>
  <c r="T2369" i="9"/>
  <c r="T2370" i="9"/>
  <c r="T2371" i="9"/>
  <c r="T2372" i="9"/>
  <c r="T2373" i="9"/>
  <c r="T2374" i="9"/>
  <c r="T2375" i="9"/>
  <c r="T2376" i="9"/>
  <c r="T2377" i="9"/>
  <c r="T2378" i="9"/>
  <c r="T2379" i="9"/>
  <c r="T2380" i="9"/>
  <c r="T2381" i="9"/>
  <c r="T2382" i="9"/>
  <c r="T2383" i="9"/>
  <c r="T2384" i="9"/>
  <c r="T2385" i="9"/>
  <c r="T2386" i="9"/>
  <c r="T2387" i="9"/>
  <c r="T2388" i="9"/>
  <c r="T2389" i="9"/>
  <c r="T2390" i="9"/>
  <c r="T2391" i="9"/>
  <c r="T2392" i="9"/>
  <c r="T2393" i="9"/>
  <c r="T2394" i="9"/>
  <c r="T2395" i="9"/>
  <c r="T2396" i="9"/>
  <c r="T2397" i="9"/>
  <c r="T2398" i="9"/>
  <c r="T2399" i="9"/>
  <c r="T2400" i="9"/>
  <c r="T2401" i="9"/>
  <c r="T2402" i="9"/>
  <c r="T2403" i="9"/>
  <c r="T2404" i="9"/>
  <c r="T2405" i="9"/>
  <c r="T2406" i="9"/>
  <c r="T2407" i="9"/>
  <c r="T2408" i="9"/>
  <c r="T2409" i="9"/>
  <c r="T2410" i="9"/>
  <c r="T2411" i="9"/>
  <c r="T2412" i="9"/>
  <c r="T2413" i="9"/>
  <c r="T2414" i="9"/>
  <c r="T2415" i="9"/>
  <c r="T2416" i="9"/>
  <c r="T2417" i="9"/>
  <c r="T2418" i="9"/>
  <c r="T2419" i="9"/>
  <c r="T2420" i="9"/>
  <c r="T2421" i="9"/>
  <c r="T2422" i="9"/>
  <c r="T2423" i="9"/>
  <c r="T2424" i="9"/>
  <c r="T2425" i="9"/>
  <c r="T2426" i="9"/>
  <c r="T2427" i="9"/>
  <c r="T2428" i="9"/>
  <c r="T2429" i="9"/>
  <c r="T2430" i="9"/>
  <c r="T2431" i="9"/>
  <c r="T2432" i="9"/>
  <c r="T2433" i="9"/>
  <c r="T2434" i="9"/>
  <c r="T2435" i="9"/>
  <c r="T2436" i="9"/>
  <c r="T2437" i="9"/>
  <c r="T2438" i="9"/>
  <c r="T2439" i="9"/>
  <c r="T2440" i="9"/>
  <c r="T2441" i="9"/>
  <c r="T2442" i="9"/>
  <c r="T2443" i="9"/>
  <c r="T2444" i="9"/>
  <c r="T2445" i="9"/>
  <c r="T2446" i="9"/>
  <c r="T2447" i="9"/>
  <c r="T2448" i="9"/>
  <c r="T2449" i="9"/>
  <c r="T2450" i="9"/>
  <c r="T2451" i="9"/>
  <c r="T2452" i="9"/>
  <c r="T2453" i="9"/>
  <c r="T2454" i="9"/>
  <c r="T2455" i="9"/>
  <c r="T2456" i="9"/>
  <c r="T2457" i="9"/>
  <c r="T2458" i="9"/>
  <c r="T2459" i="9"/>
  <c r="T2460" i="9"/>
  <c r="T2461" i="9"/>
  <c r="T2462" i="9"/>
  <c r="T2463" i="9"/>
  <c r="T2464" i="9"/>
  <c r="T2465" i="9"/>
  <c r="T2466" i="9"/>
  <c r="T2467" i="9"/>
  <c r="T2468" i="9"/>
  <c r="T2469" i="9"/>
  <c r="T2470" i="9"/>
  <c r="T2471" i="9"/>
  <c r="T2472" i="9"/>
  <c r="T2473" i="9"/>
  <c r="T2474" i="9"/>
  <c r="T2475" i="9"/>
  <c r="T2476" i="9"/>
  <c r="T2477" i="9"/>
  <c r="T2478" i="9"/>
  <c r="T2479" i="9"/>
  <c r="T2480" i="9"/>
  <c r="T2481" i="9"/>
  <c r="T2482" i="9"/>
  <c r="T2483" i="9"/>
  <c r="T2484" i="9"/>
  <c r="T2485" i="9"/>
  <c r="T2486" i="9"/>
  <c r="T2487" i="9"/>
  <c r="T2488" i="9"/>
  <c r="T2489" i="9"/>
  <c r="T2490" i="9"/>
  <c r="T2491" i="9"/>
  <c r="T2492" i="9"/>
  <c r="T2493" i="9"/>
  <c r="T2494" i="9"/>
  <c r="T2495" i="9"/>
  <c r="T2496" i="9"/>
  <c r="T2497" i="9"/>
  <c r="T2498" i="9"/>
  <c r="T2499" i="9"/>
  <c r="T2500" i="9"/>
  <c r="T2501" i="9"/>
  <c r="T2502" i="9"/>
  <c r="T2503" i="9"/>
  <c r="T2504" i="9"/>
  <c r="T2505" i="9"/>
  <c r="T2506" i="9"/>
  <c r="T2507" i="9"/>
  <c r="T2508" i="9"/>
  <c r="T2509" i="9"/>
  <c r="T2510" i="9"/>
  <c r="T2511" i="9"/>
  <c r="T2512" i="9"/>
  <c r="T2513" i="9"/>
  <c r="T2514" i="9"/>
  <c r="T2515" i="9"/>
  <c r="T2516" i="9"/>
  <c r="T2517" i="9"/>
  <c r="T2518" i="9"/>
  <c r="T2519" i="9"/>
  <c r="T2520" i="9"/>
  <c r="T2521" i="9"/>
  <c r="T2522" i="9"/>
  <c r="T2523" i="9"/>
  <c r="T2524" i="9"/>
  <c r="T2525" i="9"/>
  <c r="T2526" i="9"/>
  <c r="T2527" i="9"/>
  <c r="T2528" i="9"/>
  <c r="T2529" i="9"/>
  <c r="T2530" i="9"/>
  <c r="T2531" i="9"/>
  <c r="T2532" i="9"/>
  <c r="T2533" i="9"/>
  <c r="T2534" i="9"/>
  <c r="T2535" i="9"/>
  <c r="T2536" i="9"/>
  <c r="T2537" i="9"/>
  <c r="T2538" i="9"/>
  <c r="T2539" i="9"/>
  <c r="T2540" i="9"/>
  <c r="T2541" i="9"/>
  <c r="T2542" i="9"/>
  <c r="T2543" i="9"/>
  <c r="T2544" i="9"/>
  <c r="T2545" i="9"/>
  <c r="T2546" i="9"/>
  <c r="T2547" i="9"/>
  <c r="T2548" i="9"/>
  <c r="T2549" i="9"/>
  <c r="T2550" i="9"/>
  <c r="T2551" i="9"/>
  <c r="T2552" i="9"/>
  <c r="T2553" i="9"/>
  <c r="T2554" i="9"/>
  <c r="T2555" i="9"/>
  <c r="T2556" i="9"/>
  <c r="T2557" i="9"/>
  <c r="T2558" i="9"/>
  <c r="T2559" i="9"/>
  <c r="T2560" i="9"/>
  <c r="T2561" i="9"/>
  <c r="T2562" i="9"/>
  <c r="T2563" i="9"/>
  <c r="T2564" i="9"/>
  <c r="T2565" i="9"/>
  <c r="T2566" i="9"/>
  <c r="T2567" i="9"/>
  <c r="T2568" i="9"/>
  <c r="T2569" i="9"/>
  <c r="T2570" i="9"/>
  <c r="T2571" i="9"/>
  <c r="T2572" i="9"/>
  <c r="T2573" i="9"/>
  <c r="T2574" i="9"/>
  <c r="T2575" i="9"/>
  <c r="T2576" i="9"/>
  <c r="T2577" i="9"/>
  <c r="T2578" i="9"/>
  <c r="T2579" i="9"/>
  <c r="T2580" i="9"/>
  <c r="T2581" i="9"/>
  <c r="T2582" i="9"/>
  <c r="T2583" i="9"/>
  <c r="T2584" i="9"/>
  <c r="T2585" i="9"/>
  <c r="T2586" i="9"/>
  <c r="T2587" i="9"/>
  <c r="T2588" i="9"/>
  <c r="T2589" i="9"/>
  <c r="T2590" i="9"/>
  <c r="T2591" i="9"/>
  <c r="T2592" i="9"/>
  <c r="T2593" i="9"/>
  <c r="T2594" i="9"/>
  <c r="T2595" i="9"/>
  <c r="T2596" i="9"/>
  <c r="T2597" i="9"/>
  <c r="T2598" i="9"/>
  <c r="T2599" i="9"/>
  <c r="T2600" i="9"/>
  <c r="T2601" i="9"/>
  <c r="T2602" i="9"/>
  <c r="T2603" i="9"/>
  <c r="T2604" i="9"/>
  <c r="T2605" i="9"/>
  <c r="T2606" i="9"/>
  <c r="T2607" i="9"/>
  <c r="T2608" i="9"/>
  <c r="T2609" i="9"/>
  <c r="T2610" i="9"/>
  <c r="T2611" i="9"/>
  <c r="T2612" i="9"/>
  <c r="T2613" i="9"/>
  <c r="T2614" i="9"/>
  <c r="T2615" i="9"/>
  <c r="T2616" i="9"/>
  <c r="T2617" i="9"/>
  <c r="T2618" i="9"/>
  <c r="T2619" i="9"/>
  <c r="T2620" i="9"/>
  <c r="T2621" i="9"/>
  <c r="T2622" i="9"/>
  <c r="T2623" i="9"/>
  <c r="T2624" i="9"/>
  <c r="T2625" i="9"/>
  <c r="T2626" i="9"/>
  <c r="T2627" i="9"/>
  <c r="T2628" i="9"/>
  <c r="T2629" i="9"/>
  <c r="T2630" i="9"/>
  <c r="T2631" i="9"/>
  <c r="T2632" i="9"/>
  <c r="T2633" i="9"/>
  <c r="T2634" i="9"/>
  <c r="T2635" i="9"/>
  <c r="T2636" i="9"/>
  <c r="T2637" i="9"/>
  <c r="T2638" i="9"/>
  <c r="T2639" i="9"/>
  <c r="T2640" i="9"/>
  <c r="T2641" i="9"/>
  <c r="T2642" i="9"/>
  <c r="T2643" i="9"/>
  <c r="T2644" i="9"/>
  <c r="T2645" i="9"/>
  <c r="T2646" i="9"/>
  <c r="T2647" i="9"/>
  <c r="T2648" i="9"/>
  <c r="U1244" i="9"/>
  <c r="U1245" i="9"/>
  <c r="U1246" i="9"/>
  <c r="U1247" i="9"/>
  <c r="U1248" i="9"/>
  <c r="U1249" i="9"/>
  <c r="U1250" i="9"/>
  <c r="U1251" i="9"/>
  <c r="U1252" i="9"/>
  <c r="U1253" i="9"/>
  <c r="U1254" i="9"/>
  <c r="U1255" i="9"/>
  <c r="U1256" i="9"/>
  <c r="U1257" i="9"/>
  <c r="U1258" i="9"/>
  <c r="U1259" i="9"/>
  <c r="U1260" i="9"/>
  <c r="U1261" i="9"/>
  <c r="U1262" i="9"/>
  <c r="U1263" i="9"/>
  <c r="U1264" i="9"/>
  <c r="U1265" i="9"/>
  <c r="U1266" i="9"/>
  <c r="U1267" i="9"/>
  <c r="U1268" i="9"/>
  <c r="U1269" i="9"/>
  <c r="U1270" i="9"/>
  <c r="U1271" i="9"/>
  <c r="U1272" i="9"/>
  <c r="U1273" i="9"/>
  <c r="U1274" i="9"/>
  <c r="U1275" i="9"/>
  <c r="U1276" i="9"/>
  <c r="U1277" i="9"/>
  <c r="U1278" i="9"/>
  <c r="U1279" i="9"/>
  <c r="U1280" i="9"/>
  <c r="U1281" i="9"/>
  <c r="U1282" i="9"/>
  <c r="U1283" i="9"/>
  <c r="U1284" i="9"/>
  <c r="U1285" i="9"/>
  <c r="U1286" i="9"/>
  <c r="U1287" i="9"/>
  <c r="U1288" i="9"/>
  <c r="U1289" i="9"/>
  <c r="U1290" i="9"/>
  <c r="U1291" i="9"/>
  <c r="U1292" i="9"/>
  <c r="U1293" i="9"/>
  <c r="U1294" i="9"/>
  <c r="U1295" i="9"/>
  <c r="U1296" i="9"/>
  <c r="U1297" i="9"/>
  <c r="U1298" i="9"/>
  <c r="U1299" i="9"/>
  <c r="U1300" i="9"/>
  <c r="U1301" i="9"/>
  <c r="U1302" i="9"/>
  <c r="U1303" i="9"/>
  <c r="U1304" i="9"/>
  <c r="U1305" i="9"/>
  <c r="U1306" i="9"/>
  <c r="U1307" i="9"/>
  <c r="U1308" i="9"/>
  <c r="U1309" i="9"/>
  <c r="U1310" i="9"/>
  <c r="U1311" i="9"/>
  <c r="U1312" i="9"/>
  <c r="U1313" i="9"/>
  <c r="U1314" i="9"/>
  <c r="U1315" i="9"/>
  <c r="U1316" i="9"/>
  <c r="U1317" i="9"/>
  <c r="U1318" i="9"/>
  <c r="U1319" i="9"/>
  <c r="U1320" i="9"/>
  <c r="U1321" i="9"/>
  <c r="U1322" i="9"/>
  <c r="U1323" i="9"/>
  <c r="U1324" i="9"/>
  <c r="U1325" i="9"/>
  <c r="U1326" i="9"/>
  <c r="U1327" i="9"/>
  <c r="U1328" i="9"/>
  <c r="U1329" i="9"/>
  <c r="U1330" i="9"/>
  <c r="U1331" i="9"/>
  <c r="U1332" i="9"/>
  <c r="U1333" i="9"/>
  <c r="U1334" i="9"/>
  <c r="U1335" i="9"/>
  <c r="U1336" i="9"/>
  <c r="U1337" i="9"/>
  <c r="U1338" i="9"/>
  <c r="U1339" i="9"/>
  <c r="U1340" i="9"/>
  <c r="U1341" i="9"/>
  <c r="U1342" i="9"/>
  <c r="U1343" i="9"/>
  <c r="U1344" i="9"/>
  <c r="U1345" i="9"/>
  <c r="U1346" i="9"/>
  <c r="U1347" i="9"/>
  <c r="U1348" i="9"/>
  <c r="U1349" i="9"/>
  <c r="U1350" i="9"/>
  <c r="U1351" i="9"/>
  <c r="U1352" i="9"/>
  <c r="U1353" i="9"/>
  <c r="U1354" i="9"/>
  <c r="U1355" i="9"/>
  <c r="U1356" i="9"/>
  <c r="U1357" i="9"/>
  <c r="U1358" i="9"/>
  <c r="U1359" i="9"/>
  <c r="U1360" i="9"/>
  <c r="U1361" i="9"/>
  <c r="U1362" i="9"/>
  <c r="U1363" i="9"/>
  <c r="U1364" i="9"/>
  <c r="U1365" i="9"/>
  <c r="U1366" i="9"/>
  <c r="U1367" i="9"/>
  <c r="U1368" i="9"/>
  <c r="U1369" i="9"/>
  <c r="U1370" i="9"/>
  <c r="U1371" i="9"/>
  <c r="U1372" i="9"/>
  <c r="U1373" i="9"/>
  <c r="U1374" i="9"/>
  <c r="U1375" i="9"/>
  <c r="U1376" i="9"/>
  <c r="U1377" i="9"/>
  <c r="U1378" i="9"/>
  <c r="U1379" i="9"/>
  <c r="U1380" i="9"/>
  <c r="U1381" i="9"/>
  <c r="U1382" i="9"/>
  <c r="U1383" i="9"/>
  <c r="U1384" i="9"/>
  <c r="U1385" i="9"/>
  <c r="U1386" i="9"/>
  <c r="U1387" i="9"/>
  <c r="U1388" i="9"/>
  <c r="U1389" i="9"/>
  <c r="U1390" i="9"/>
  <c r="U1391" i="9"/>
  <c r="U1392" i="9"/>
  <c r="U1393" i="9"/>
  <c r="U1394" i="9"/>
  <c r="U1395" i="9"/>
  <c r="U1396" i="9"/>
  <c r="U1397" i="9"/>
  <c r="U1398" i="9"/>
  <c r="U1399" i="9"/>
  <c r="U1400" i="9"/>
  <c r="U1401" i="9"/>
  <c r="U1402" i="9"/>
  <c r="U1403" i="9"/>
  <c r="U1404" i="9"/>
  <c r="U1405" i="9"/>
  <c r="U1406" i="9"/>
  <c r="U1407" i="9"/>
  <c r="U1408" i="9"/>
  <c r="U1409" i="9"/>
  <c r="U1410" i="9"/>
  <c r="U1411" i="9"/>
  <c r="U1412" i="9"/>
  <c r="U1413" i="9"/>
  <c r="U1414" i="9"/>
  <c r="U1415" i="9"/>
  <c r="U1416" i="9"/>
  <c r="U1417" i="9"/>
  <c r="U1418" i="9"/>
  <c r="U1419" i="9"/>
  <c r="U1420" i="9"/>
  <c r="U1421" i="9"/>
  <c r="U1422" i="9"/>
  <c r="U1423" i="9"/>
  <c r="U1424" i="9"/>
  <c r="U1425" i="9"/>
  <c r="U1426" i="9"/>
  <c r="U1427" i="9"/>
  <c r="U1428" i="9"/>
  <c r="U1429" i="9"/>
  <c r="U1430" i="9"/>
  <c r="U1431" i="9"/>
  <c r="U1432" i="9"/>
  <c r="U1433" i="9"/>
  <c r="U1434" i="9"/>
  <c r="U1435" i="9"/>
  <c r="U1436" i="9"/>
  <c r="U1437" i="9"/>
  <c r="U1438" i="9"/>
  <c r="U1439" i="9"/>
  <c r="U1440" i="9"/>
  <c r="U1441" i="9"/>
  <c r="U1442" i="9"/>
  <c r="U1443" i="9"/>
  <c r="U1444" i="9"/>
  <c r="U1445" i="9"/>
  <c r="U1446" i="9"/>
  <c r="U1447" i="9"/>
  <c r="U1448" i="9"/>
  <c r="U1449" i="9"/>
  <c r="U1450" i="9"/>
  <c r="U1451" i="9"/>
  <c r="U1452" i="9"/>
  <c r="U1453" i="9"/>
  <c r="U1454" i="9"/>
  <c r="U1455" i="9"/>
  <c r="U1456" i="9"/>
  <c r="U1457" i="9"/>
  <c r="U1458" i="9"/>
  <c r="U1459" i="9"/>
  <c r="U1460" i="9"/>
  <c r="U1461" i="9"/>
  <c r="U1462" i="9"/>
  <c r="U1463" i="9"/>
  <c r="U1464" i="9"/>
  <c r="U1465" i="9"/>
  <c r="U1466" i="9"/>
  <c r="U1467" i="9"/>
  <c r="U1468" i="9"/>
  <c r="U1469" i="9"/>
  <c r="U1470" i="9"/>
  <c r="U1471" i="9"/>
  <c r="U1472" i="9"/>
  <c r="U1473" i="9"/>
  <c r="U1474" i="9"/>
  <c r="U1475" i="9"/>
  <c r="U1476" i="9"/>
  <c r="U1477" i="9"/>
  <c r="U1478" i="9"/>
  <c r="U1479" i="9"/>
  <c r="U1480" i="9"/>
  <c r="U1481" i="9"/>
  <c r="U1482" i="9"/>
  <c r="U1483" i="9"/>
  <c r="U1484" i="9"/>
  <c r="U1485" i="9"/>
  <c r="U1486" i="9"/>
  <c r="U1487" i="9"/>
  <c r="U1488" i="9"/>
  <c r="U1489" i="9"/>
  <c r="U1490" i="9"/>
  <c r="U1491" i="9"/>
  <c r="U1492" i="9"/>
  <c r="U1493" i="9"/>
  <c r="U1494" i="9"/>
  <c r="U1495" i="9"/>
  <c r="U1496" i="9"/>
  <c r="U1497" i="9"/>
  <c r="U1498" i="9"/>
  <c r="U1499" i="9"/>
  <c r="U1500" i="9"/>
  <c r="U1501" i="9"/>
  <c r="U1502" i="9"/>
  <c r="U1503" i="9"/>
  <c r="U1504" i="9"/>
  <c r="U1505" i="9"/>
  <c r="U1506" i="9"/>
  <c r="U1507" i="9"/>
  <c r="U1508" i="9"/>
  <c r="U1509" i="9"/>
  <c r="U1510" i="9"/>
  <c r="U1511" i="9"/>
  <c r="U1512" i="9"/>
  <c r="U1513" i="9"/>
  <c r="U1514" i="9"/>
  <c r="U1515" i="9"/>
  <c r="U1516" i="9"/>
  <c r="U1517" i="9"/>
  <c r="U1518" i="9"/>
  <c r="U1519" i="9"/>
  <c r="U1520" i="9"/>
  <c r="U1521" i="9"/>
  <c r="U1522" i="9"/>
  <c r="U1523" i="9"/>
  <c r="U1524" i="9"/>
  <c r="U1525" i="9"/>
  <c r="U1526" i="9"/>
  <c r="U1527" i="9"/>
  <c r="U1528" i="9"/>
  <c r="U1529" i="9"/>
  <c r="U1530" i="9"/>
  <c r="U1531" i="9"/>
  <c r="U1532" i="9"/>
  <c r="U1533" i="9"/>
  <c r="U1534" i="9"/>
  <c r="U1535" i="9"/>
  <c r="U1536" i="9"/>
  <c r="U1537" i="9"/>
  <c r="U1538" i="9"/>
  <c r="U1539" i="9"/>
  <c r="U1540" i="9"/>
  <c r="U1541" i="9"/>
  <c r="U1542" i="9"/>
  <c r="U1543" i="9"/>
  <c r="U1544" i="9"/>
  <c r="U1545" i="9"/>
  <c r="U1546" i="9"/>
  <c r="U1547" i="9"/>
  <c r="U1548" i="9"/>
  <c r="U1549" i="9"/>
  <c r="U1550" i="9"/>
  <c r="U1551" i="9"/>
  <c r="U1552" i="9"/>
  <c r="U1553" i="9"/>
  <c r="U1554" i="9"/>
  <c r="U1555" i="9"/>
  <c r="U1556" i="9"/>
  <c r="U1557" i="9"/>
  <c r="U1558" i="9"/>
  <c r="U1559" i="9"/>
  <c r="U1560" i="9"/>
  <c r="U1561" i="9"/>
  <c r="U1562" i="9"/>
  <c r="U1563" i="9"/>
  <c r="U1564" i="9"/>
  <c r="U1565" i="9"/>
  <c r="U1566" i="9"/>
  <c r="U1567" i="9"/>
  <c r="U1568" i="9"/>
  <c r="U1569" i="9"/>
  <c r="U1570" i="9"/>
  <c r="U1571" i="9"/>
  <c r="U1572" i="9"/>
  <c r="U1573" i="9"/>
  <c r="U1574" i="9"/>
  <c r="U1575" i="9"/>
  <c r="U1576" i="9"/>
  <c r="U1577" i="9"/>
  <c r="U1578" i="9"/>
  <c r="U1579" i="9"/>
  <c r="U1580" i="9"/>
  <c r="U1581" i="9"/>
  <c r="U1582" i="9"/>
  <c r="U1583" i="9"/>
  <c r="U1584" i="9"/>
  <c r="U1585" i="9"/>
  <c r="U1586" i="9"/>
  <c r="U1587" i="9"/>
  <c r="U1588" i="9"/>
  <c r="U1589" i="9"/>
  <c r="U1590" i="9"/>
  <c r="U1591" i="9"/>
  <c r="U1592" i="9"/>
  <c r="U1593" i="9"/>
  <c r="U1594" i="9"/>
  <c r="U1595" i="9"/>
  <c r="U1596" i="9"/>
  <c r="U1597" i="9"/>
  <c r="U1598" i="9"/>
  <c r="U1599" i="9"/>
  <c r="U1600" i="9"/>
  <c r="U1601" i="9"/>
  <c r="U1602" i="9"/>
  <c r="U1603" i="9"/>
  <c r="U1604" i="9"/>
  <c r="U1605" i="9"/>
  <c r="U1606" i="9"/>
  <c r="U1607" i="9"/>
  <c r="U1608" i="9"/>
  <c r="U1609" i="9"/>
  <c r="U1610" i="9"/>
  <c r="U1611" i="9"/>
  <c r="U1612" i="9"/>
  <c r="U1613" i="9"/>
  <c r="U1614" i="9"/>
  <c r="U1615" i="9"/>
  <c r="U1616" i="9"/>
  <c r="U1617" i="9"/>
  <c r="U1618" i="9"/>
  <c r="U1619" i="9"/>
  <c r="U1620" i="9"/>
  <c r="U1621" i="9"/>
  <c r="U1622" i="9"/>
  <c r="U1623" i="9"/>
  <c r="U1624" i="9"/>
  <c r="U1625" i="9"/>
  <c r="U1626" i="9"/>
  <c r="U1627" i="9"/>
  <c r="U1628" i="9"/>
  <c r="U1629" i="9"/>
  <c r="U1630" i="9"/>
  <c r="U1631" i="9"/>
  <c r="U1632" i="9"/>
  <c r="U1633" i="9"/>
  <c r="U1634" i="9"/>
  <c r="U1635" i="9"/>
  <c r="U1636" i="9"/>
  <c r="U1637" i="9"/>
  <c r="U1638" i="9"/>
  <c r="U1639" i="9"/>
  <c r="U1640" i="9"/>
  <c r="U1641" i="9"/>
  <c r="U1642" i="9"/>
  <c r="U1643" i="9"/>
  <c r="U1644" i="9"/>
  <c r="U1645" i="9"/>
  <c r="U1646" i="9"/>
  <c r="U1647" i="9"/>
  <c r="U1648" i="9"/>
  <c r="U1649" i="9"/>
  <c r="U1650" i="9"/>
  <c r="U1651" i="9"/>
  <c r="U1652" i="9"/>
  <c r="U1653" i="9"/>
  <c r="U1654" i="9"/>
  <c r="U1655" i="9"/>
  <c r="U1656" i="9"/>
  <c r="U1657" i="9"/>
  <c r="U1658" i="9"/>
  <c r="U1659" i="9"/>
  <c r="U1660" i="9"/>
  <c r="U1661" i="9"/>
  <c r="U1662" i="9"/>
  <c r="U1663" i="9"/>
  <c r="U1664" i="9"/>
  <c r="U1665" i="9"/>
  <c r="U1666" i="9"/>
  <c r="U1667" i="9"/>
  <c r="U1668" i="9"/>
  <c r="U1669" i="9"/>
  <c r="U1670" i="9"/>
  <c r="U1671" i="9"/>
  <c r="U1672" i="9"/>
  <c r="U1673" i="9"/>
  <c r="U1674" i="9"/>
  <c r="U1675" i="9"/>
  <c r="U1676" i="9"/>
  <c r="U1677" i="9"/>
  <c r="U1678" i="9"/>
  <c r="U1679" i="9"/>
  <c r="U1680" i="9"/>
  <c r="U1681" i="9"/>
  <c r="U1682" i="9"/>
  <c r="U1683" i="9"/>
  <c r="U1684" i="9"/>
  <c r="U1685" i="9"/>
  <c r="U1686" i="9"/>
  <c r="U1687" i="9"/>
  <c r="U1688" i="9"/>
  <c r="U1689" i="9"/>
  <c r="U1690" i="9"/>
  <c r="U1691" i="9"/>
  <c r="U1692" i="9"/>
  <c r="U1693" i="9"/>
  <c r="U1694" i="9"/>
  <c r="U1695" i="9"/>
  <c r="U1696" i="9"/>
  <c r="U1697" i="9"/>
  <c r="U1698" i="9"/>
  <c r="U1699" i="9"/>
  <c r="U1700" i="9"/>
  <c r="U1701" i="9"/>
  <c r="U1702" i="9"/>
  <c r="U1703" i="9"/>
  <c r="U1704" i="9"/>
  <c r="U1705" i="9"/>
  <c r="U1706" i="9"/>
  <c r="U1707" i="9"/>
  <c r="U1708" i="9"/>
  <c r="U1709" i="9"/>
  <c r="U1710" i="9"/>
  <c r="U1711" i="9"/>
  <c r="U1712" i="9"/>
  <c r="U1713" i="9"/>
  <c r="U1714" i="9"/>
  <c r="U1715" i="9"/>
  <c r="U1716" i="9"/>
  <c r="U1717" i="9"/>
  <c r="U1718" i="9"/>
  <c r="U1719" i="9"/>
  <c r="U1720" i="9"/>
  <c r="U1721" i="9"/>
  <c r="U1722" i="9"/>
  <c r="U1723" i="9"/>
  <c r="U1724" i="9"/>
  <c r="U1725" i="9"/>
  <c r="U1726" i="9"/>
  <c r="U1727" i="9"/>
  <c r="U1728" i="9"/>
  <c r="U1729" i="9"/>
  <c r="U1730" i="9"/>
  <c r="U1731" i="9"/>
  <c r="U1732" i="9"/>
  <c r="U1733" i="9"/>
  <c r="U1734" i="9"/>
  <c r="U1735" i="9"/>
  <c r="U1736" i="9"/>
  <c r="U1737" i="9"/>
  <c r="U1738" i="9"/>
  <c r="U1739" i="9"/>
  <c r="U1740" i="9"/>
  <c r="U1741" i="9"/>
  <c r="U1742" i="9"/>
  <c r="U1743" i="9"/>
  <c r="U1744" i="9"/>
  <c r="U1745" i="9"/>
  <c r="U1746" i="9"/>
  <c r="U1747" i="9"/>
  <c r="U1748" i="9"/>
  <c r="U1749" i="9"/>
  <c r="U1750" i="9"/>
  <c r="U1751" i="9"/>
  <c r="U1752" i="9"/>
  <c r="U1753" i="9"/>
  <c r="U1754" i="9"/>
  <c r="U1755" i="9"/>
  <c r="U1756" i="9"/>
  <c r="U1757" i="9"/>
  <c r="U1758" i="9"/>
  <c r="U1759" i="9"/>
  <c r="U1760" i="9"/>
  <c r="U1761" i="9"/>
  <c r="U1762" i="9"/>
  <c r="U1763" i="9"/>
  <c r="U1764" i="9"/>
  <c r="U1765" i="9"/>
  <c r="U1766" i="9"/>
  <c r="U1767" i="9"/>
  <c r="U1768" i="9"/>
  <c r="U1769" i="9"/>
  <c r="U1770" i="9"/>
  <c r="U1771" i="9"/>
  <c r="U1772" i="9"/>
  <c r="U1773" i="9"/>
  <c r="U1774" i="9"/>
  <c r="U1775" i="9"/>
  <c r="U1776" i="9"/>
  <c r="U1777" i="9"/>
  <c r="U1778" i="9"/>
  <c r="U1779" i="9"/>
  <c r="U1780" i="9"/>
  <c r="U1781" i="9"/>
  <c r="U1782" i="9"/>
  <c r="U1783" i="9"/>
  <c r="U1784" i="9"/>
  <c r="U1785" i="9"/>
  <c r="U1786" i="9"/>
  <c r="U1787" i="9"/>
  <c r="U1788" i="9"/>
  <c r="U1789" i="9"/>
  <c r="U1790" i="9"/>
  <c r="U1791" i="9"/>
  <c r="U1792" i="9"/>
  <c r="U1793" i="9"/>
  <c r="U1794" i="9"/>
  <c r="U1795" i="9"/>
  <c r="U1796" i="9"/>
  <c r="U1797" i="9"/>
  <c r="U1798" i="9"/>
  <c r="U1799" i="9"/>
  <c r="U1800" i="9"/>
  <c r="U1801" i="9"/>
  <c r="U1802" i="9"/>
  <c r="U1803" i="9"/>
  <c r="U1804" i="9"/>
  <c r="U1805" i="9"/>
  <c r="U1806" i="9"/>
  <c r="U1807" i="9"/>
  <c r="U1808" i="9"/>
  <c r="U1809" i="9"/>
  <c r="U1810" i="9"/>
  <c r="U1811" i="9"/>
  <c r="U1812" i="9"/>
  <c r="U1813" i="9"/>
  <c r="U1814" i="9"/>
  <c r="U1815" i="9"/>
  <c r="U1816" i="9"/>
  <c r="U1817" i="9"/>
  <c r="U1818" i="9"/>
  <c r="U1819" i="9"/>
  <c r="U1820" i="9"/>
  <c r="U1821" i="9"/>
  <c r="U1822" i="9"/>
  <c r="U1823" i="9"/>
  <c r="U1824" i="9"/>
  <c r="U1825" i="9"/>
  <c r="U1826" i="9"/>
  <c r="U1827" i="9"/>
  <c r="U1828" i="9"/>
  <c r="U1829" i="9"/>
  <c r="U1830" i="9"/>
  <c r="U1831" i="9"/>
  <c r="U1832" i="9"/>
  <c r="U1833" i="9"/>
  <c r="U1834" i="9"/>
  <c r="U1835" i="9"/>
  <c r="U1836" i="9"/>
  <c r="U1837" i="9"/>
  <c r="U1838" i="9"/>
  <c r="U1839" i="9"/>
  <c r="U1840" i="9"/>
  <c r="U1841" i="9"/>
  <c r="U1842" i="9"/>
  <c r="U1843" i="9"/>
  <c r="U1844" i="9"/>
  <c r="U1845" i="9"/>
  <c r="U1846" i="9"/>
  <c r="U1847" i="9"/>
  <c r="U1848" i="9"/>
  <c r="U1849" i="9"/>
  <c r="U1850" i="9"/>
  <c r="U1851" i="9"/>
  <c r="U1852" i="9"/>
  <c r="U1853" i="9"/>
  <c r="U1854" i="9"/>
  <c r="U1855" i="9"/>
  <c r="U1856" i="9"/>
  <c r="U1857" i="9"/>
  <c r="U1858" i="9"/>
  <c r="U1859" i="9"/>
  <c r="U1860" i="9"/>
  <c r="U1861" i="9"/>
  <c r="U1862" i="9"/>
  <c r="U1863" i="9"/>
  <c r="U1864" i="9"/>
  <c r="U1865" i="9"/>
  <c r="U1866" i="9"/>
  <c r="U1867" i="9"/>
  <c r="U1868" i="9"/>
  <c r="U1869" i="9"/>
  <c r="U1870" i="9"/>
  <c r="U1871" i="9"/>
  <c r="U1872" i="9"/>
  <c r="U1873" i="9"/>
  <c r="U1874" i="9"/>
  <c r="U1875" i="9"/>
  <c r="U1876" i="9"/>
  <c r="U1877" i="9"/>
  <c r="U1878" i="9"/>
  <c r="U1879" i="9"/>
  <c r="U1880" i="9"/>
  <c r="U1881" i="9"/>
  <c r="U1882" i="9"/>
  <c r="U1883" i="9"/>
  <c r="U1884" i="9"/>
  <c r="U1885" i="9"/>
  <c r="U1886" i="9"/>
  <c r="U1887" i="9"/>
  <c r="U1888" i="9"/>
  <c r="U1889" i="9"/>
  <c r="U1890" i="9"/>
  <c r="U1891" i="9"/>
  <c r="U1892" i="9"/>
  <c r="U1893" i="9"/>
  <c r="U1894" i="9"/>
  <c r="U1895" i="9"/>
  <c r="U1896" i="9"/>
  <c r="U1897" i="9"/>
  <c r="U1898" i="9"/>
  <c r="U1899" i="9"/>
  <c r="U1900" i="9"/>
  <c r="U1901" i="9"/>
  <c r="U1902" i="9"/>
  <c r="U1903" i="9"/>
  <c r="U1904" i="9"/>
  <c r="U1905" i="9"/>
  <c r="U1906" i="9"/>
  <c r="U1907" i="9"/>
  <c r="U1908" i="9"/>
  <c r="U1909" i="9"/>
  <c r="U1910" i="9"/>
  <c r="U1911" i="9"/>
  <c r="U1912" i="9"/>
  <c r="U1913" i="9"/>
  <c r="U1914" i="9"/>
  <c r="U1915" i="9"/>
  <c r="U1916" i="9"/>
  <c r="U1917" i="9"/>
  <c r="U1918" i="9"/>
  <c r="U1919" i="9"/>
  <c r="U1920" i="9"/>
  <c r="U1921" i="9"/>
  <c r="U1922" i="9"/>
  <c r="U1923" i="9"/>
  <c r="U1924" i="9"/>
  <c r="U1925" i="9"/>
  <c r="U1926" i="9"/>
  <c r="U1927" i="9"/>
  <c r="U1928" i="9"/>
  <c r="U1929" i="9"/>
  <c r="U1930" i="9"/>
  <c r="U1931" i="9"/>
  <c r="U1932" i="9"/>
  <c r="U1933" i="9"/>
  <c r="U1934" i="9"/>
  <c r="U1935" i="9"/>
  <c r="U1936" i="9"/>
  <c r="U1937" i="9"/>
  <c r="U1938" i="9"/>
  <c r="U1939" i="9"/>
  <c r="U1940" i="9"/>
  <c r="U1941" i="9"/>
  <c r="U1942" i="9"/>
  <c r="U1943" i="9"/>
  <c r="U1944" i="9"/>
  <c r="U1945" i="9"/>
  <c r="U1946" i="9"/>
  <c r="U1947" i="9"/>
  <c r="U1948" i="9"/>
  <c r="U1949" i="9"/>
  <c r="U1950" i="9"/>
  <c r="U1951" i="9"/>
  <c r="U1952" i="9"/>
  <c r="U1953" i="9"/>
  <c r="U1954" i="9"/>
  <c r="U1955" i="9"/>
  <c r="U1956" i="9"/>
  <c r="U1957" i="9"/>
  <c r="U1958" i="9"/>
  <c r="U1959" i="9"/>
  <c r="U1960" i="9"/>
  <c r="U1961" i="9"/>
  <c r="U1962" i="9"/>
  <c r="U1963" i="9"/>
  <c r="U1964" i="9"/>
  <c r="U1965" i="9"/>
  <c r="U1966" i="9"/>
  <c r="U1967" i="9"/>
  <c r="U1968" i="9"/>
  <c r="U1969" i="9"/>
  <c r="U1970" i="9"/>
  <c r="U1971" i="9"/>
  <c r="U1972" i="9"/>
  <c r="U1973" i="9"/>
  <c r="U1974" i="9"/>
  <c r="U1975" i="9"/>
  <c r="U1976" i="9"/>
  <c r="U1977" i="9"/>
  <c r="U1978" i="9"/>
  <c r="U1979" i="9"/>
  <c r="U1980" i="9"/>
  <c r="U1981" i="9"/>
  <c r="U1982" i="9"/>
  <c r="U1983" i="9"/>
  <c r="U1984" i="9"/>
  <c r="U1985" i="9"/>
  <c r="U1986" i="9"/>
  <c r="U1987" i="9"/>
  <c r="U1988" i="9"/>
  <c r="U1989" i="9"/>
  <c r="U1990" i="9"/>
  <c r="U1991" i="9"/>
  <c r="U1992" i="9"/>
  <c r="U1993" i="9"/>
  <c r="U1994" i="9"/>
  <c r="U1995" i="9"/>
  <c r="U1996" i="9"/>
  <c r="U1997" i="9"/>
  <c r="U1998" i="9"/>
  <c r="U1999" i="9"/>
  <c r="U2000" i="9"/>
  <c r="U2001" i="9"/>
  <c r="U2002" i="9"/>
  <c r="U2003" i="9"/>
  <c r="U2004" i="9"/>
  <c r="U2005" i="9"/>
  <c r="U2006" i="9"/>
  <c r="U2007" i="9"/>
  <c r="U2008" i="9"/>
  <c r="U2009" i="9"/>
  <c r="U2010" i="9"/>
  <c r="U2011" i="9"/>
  <c r="U2012" i="9"/>
  <c r="U2013" i="9"/>
  <c r="U2014" i="9"/>
  <c r="U2015" i="9"/>
  <c r="U2016" i="9"/>
  <c r="U2017" i="9"/>
  <c r="U2018" i="9"/>
  <c r="U2019" i="9"/>
  <c r="U2020" i="9"/>
  <c r="U2021" i="9"/>
  <c r="U2022" i="9"/>
  <c r="U2023" i="9"/>
  <c r="U2024" i="9"/>
  <c r="U2025" i="9"/>
  <c r="U2026" i="9"/>
  <c r="U2027" i="9"/>
  <c r="U2028" i="9"/>
  <c r="U2029" i="9"/>
  <c r="U2030" i="9"/>
  <c r="U2031" i="9"/>
  <c r="U2032" i="9"/>
  <c r="U2033" i="9"/>
  <c r="U2034" i="9"/>
  <c r="U2035" i="9"/>
  <c r="U2036" i="9"/>
  <c r="U2037" i="9"/>
  <c r="U2038" i="9"/>
  <c r="U2039" i="9"/>
  <c r="U2040" i="9"/>
  <c r="U2041" i="9"/>
  <c r="U2042" i="9"/>
  <c r="U2043" i="9"/>
  <c r="U2044" i="9"/>
  <c r="U2045" i="9"/>
  <c r="U2046" i="9"/>
  <c r="U2047" i="9"/>
  <c r="U2048" i="9"/>
  <c r="U2049" i="9"/>
  <c r="U2050" i="9"/>
  <c r="U2051" i="9"/>
  <c r="U2052" i="9"/>
  <c r="U2053" i="9"/>
  <c r="U2054" i="9"/>
  <c r="U2055" i="9"/>
  <c r="U2056" i="9"/>
  <c r="U2057" i="9"/>
  <c r="U2058" i="9"/>
  <c r="U2059" i="9"/>
  <c r="U2060" i="9"/>
  <c r="U2061" i="9"/>
  <c r="U2062" i="9"/>
  <c r="U2063" i="9"/>
  <c r="U2064" i="9"/>
  <c r="U2065" i="9"/>
  <c r="U2066" i="9"/>
  <c r="U2067" i="9"/>
  <c r="U2068" i="9"/>
  <c r="U2069" i="9"/>
  <c r="U2070" i="9"/>
  <c r="U2071" i="9"/>
  <c r="U2072" i="9"/>
  <c r="U2073" i="9"/>
  <c r="U2074" i="9"/>
  <c r="U2075" i="9"/>
  <c r="U2076" i="9"/>
  <c r="U2077" i="9"/>
  <c r="U2078" i="9"/>
  <c r="U2079" i="9"/>
  <c r="U2080" i="9"/>
  <c r="U2081" i="9"/>
  <c r="U2082" i="9"/>
  <c r="U2083" i="9"/>
  <c r="U2084" i="9"/>
  <c r="U2085" i="9"/>
  <c r="U2086" i="9"/>
  <c r="U2087" i="9"/>
  <c r="U2088" i="9"/>
  <c r="U2089" i="9"/>
  <c r="U2090" i="9"/>
  <c r="U2091" i="9"/>
  <c r="U2092" i="9"/>
  <c r="U2093" i="9"/>
  <c r="U2094" i="9"/>
  <c r="U2095" i="9"/>
  <c r="U2096" i="9"/>
  <c r="U2097" i="9"/>
  <c r="U2098" i="9"/>
  <c r="U2099" i="9"/>
  <c r="U2100" i="9"/>
  <c r="U2101" i="9"/>
  <c r="U2102" i="9"/>
  <c r="U2103" i="9"/>
  <c r="U2104" i="9"/>
  <c r="U2105" i="9"/>
  <c r="U2106" i="9"/>
  <c r="U2107" i="9"/>
  <c r="U2108" i="9"/>
  <c r="U2109" i="9"/>
  <c r="U2110" i="9"/>
  <c r="U2111" i="9"/>
  <c r="U2112" i="9"/>
  <c r="U2113" i="9"/>
  <c r="U2114" i="9"/>
  <c r="U2115" i="9"/>
  <c r="U2116" i="9"/>
  <c r="U2117" i="9"/>
  <c r="U2118" i="9"/>
  <c r="U2119" i="9"/>
  <c r="U2120" i="9"/>
  <c r="U2121" i="9"/>
  <c r="U2122" i="9"/>
  <c r="U2123" i="9"/>
  <c r="U2124" i="9"/>
  <c r="U2125" i="9"/>
  <c r="U2126" i="9"/>
  <c r="U2127" i="9"/>
  <c r="U2128" i="9"/>
  <c r="U2129" i="9"/>
  <c r="U2130" i="9"/>
  <c r="U2131" i="9"/>
  <c r="U2132" i="9"/>
  <c r="U2133" i="9"/>
  <c r="U2134" i="9"/>
  <c r="U2135" i="9"/>
  <c r="U2136" i="9"/>
  <c r="U2137" i="9"/>
  <c r="U2138" i="9"/>
  <c r="U2139" i="9"/>
  <c r="U2140" i="9"/>
  <c r="U2141" i="9"/>
  <c r="U2142" i="9"/>
  <c r="U2143" i="9"/>
  <c r="U2144" i="9"/>
  <c r="U2145" i="9"/>
  <c r="U2146" i="9"/>
  <c r="U2147" i="9"/>
  <c r="U2148" i="9"/>
  <c r="U2149" i="9"/>
  <c r="U2150" i="9"/>
  <c r="U2151" i="9"/>
  <c r="U2152" i="9"/>
  <c r="U2153" i="9"/>
  <c r="U2154" i="9"/>
  <c r="U2155" i="9"/>
  <c r="U2156" i="9"/>
  <c r="U2157" i="9"/>
  <c r="U2158" i="9"/>
  <c r="U2159" i="9"/>
  <c r="U2160" i="9"/>
  <c r="U2161" i="9"/>
  <c r="U2162" i="9"/>
  <c r="U2163" i="9"/>
  <c r="U2164" i="9"/>
  <c r="U2165" i="9"/>
  <c r="U2166" i="9"/>
  <c r="U2167" i="9"/>
  <c r="U2168" i="9"/>
  <c r="U2169" i="9"/>
  <c r="U2170" i="9"/>
  <c r="U2171" i="9"/>
  <c r="U2172" i="9"/>
  <c r="U2173" i="9"/>
  <c r="U2174" i="9"/>
  <c r="U2175" i="9"/>
  <c r="U2176" i="9"/>
  <c r="U2177" i="9"/>
  <c r="U2178" i="9"/>
  <c r="U2179" i="9"/>
  <c r="U2180" i="9"/>
  <c r="U2181" i="9"/>
  <c r="U2182" i="9"/>
  <c r="U2183" i="9"/>
  <c r="U2184" i="9"/>
  <c r="U2185" i="9"/>
  <c r="U2186" i="9"/>
  <c r="U2187" i="9"/>
  <c r="U2188" i="9"/>
  <c r="U2189" i="9"/>
  <c r="U2190" i="9"/>
  <c r="U2191" i="9"/>
  <c r="U2192" i="9"/>
  <c r="U2193" i="9"/>
  <c r="U2194" i="9"/>
  <c r="U2195" i="9"/>
  <c r="U2196" i="9"/>
  <c r="U2197" i="9"/>
  <c r="U2198" i="9"/>
  <c r="U2199" i="9"/>
  <c r="U2200" i="9"/>
  <c r="U2201" i="9"/>
  <c r="U2202" i="9"/>
  <c r="U2203" i="9"/>
  <c r="U2204" i="9"/>
  <c r="U2205" i="9"/>
  <c r="U2206" i="9"/>
  <c r="U2207" i="9"/>
  <c r="U2208" i="9"/>
  <c r="U2209" i="9"/>
  <c r="U2210" i="9"/>
  <c r="U2211" i="9"/>
  <c r="U2212" i="9"/>
  <c r="U2213" i="9"/>
  <c r="U2214" i="9"/>
  <c r="U2215" i="9"/>
  <c r="U2216" i="9"/>
  <c r="U2217" i="9"/>
  <c r="U2218" i="9"/>
  <c r="U2219" i="9"/>
  <c r="U2220" i="9"/>
  <c r="U2221" i="9"/>
  <c r="U2222" i="9"/>
  <c r="U2223" i="9"/>
  <c r="U2224" i="9"/>
  <c r="U2225" i="9"/>
  <c r="U2226" i="9"/>
  <c r="U2227" i="9"/>
  <c r="U2228" i="9"/>
  <c r="U2229" i="9"/>
  <c r="U2230" i="9"/>
  <c r="U2231" i="9"/>
  <c r="U2232" i="9"/>
  <c r="U2233" i="9"/>
  <c r="U2234" i="9"/>
  <c r="U2235" i="9"/>
  <c r="U2236" i="9"/>
  <c r="U2237" i="9"/>
  <c r="U2238" i="9"/>
  <c r="U2239" i="9"/>
  <c r="U2240" i="9"/>
  <c r="U2241" i="9"/>
  <c r="U2242" i="9"/>
  <c r="U2243" i="9"/>
  <c r="U2244" i="9"/>
  <c r="U2245" i="9"/>
  <c r="U2246" i="9"/>
  <c r="U2247" i="9"/>
  <c r="U2248" i="9"/>
  <c r="U2249" i="9"/>
  <c r="U2250" i="9"/>
  <c r="U2251" i="9"/>
  <c r="U2252" i="9"/>
  <c r="U2253" i="9"/>
  <c r="U2254" i="9"/>
  <c r="U2255" i="9"/>
  <c r="U2256" i="9"/>
  <c r="U2257" i="9"/>
  <c r="U2258" i="9"/>
  <c r="U2259" i="9"/>
  <c r="U2260" i="9"/>
  <c r="U2261" i="9"/>
  <c r="U2262" i="9"/>
  <c r="U2263" i="9"/>
  <c r="U2264" i="9"/>
  <c r="U2265" i="9"/>
  <c r="U2266" i="9"/>
  <c r="U2267" i="9"/>
  <c r="U2268" i="9"/>
  <c r="U2269" i="9"/>
  <c r="U2270" i="9"/>
  <c r="U2271" i="9"/>
  <c r="U2272" i="9"/>
  <c r="U2273" i="9"/>
  <c r="U2274" i="9"/>
  <c r="U2275" i="9"/>
  <c r="U2276" i="9"/>
  <c r="U2277" i="9"/>
  <c r="U2278" i="9"/>
  <c r="U2279" i="9"/>
  <c r="U2280" i="9"/>
  <c r="U2281" i="9"/>
  <c r="U2282" i="9"/>
  <c r="U2283" i="9"/>
  <c r="U2284" i="9"/>
  <c r="U2285" i="9"/>
  <c r="U2286" i="9"/>
  <c r="U2287" i="9"/>
  <c r="U2288" i="9"/>
  <c r="U2289" i="9"/>
  <c r="U2290" i="9"/>
  <c r="U2291" i="9"/>
  <c r="U2292" i="9"/>
  <c r="U2293" i="9"/>
  <c r="U2294" i="9"/>
  <c r="U2295" i="9"/>
  <c r="U2296" i="9"/>
  <c r="U2297" i="9"/>
  <c r="U2298" i="9"/>
  <c r="U2299" i="9"/>
  <c r="U2300" i="9"/>
  <c r="U2301" i="9"/>
  <c r="U2302" i="9"/>
  <c r="U2303" i="9"/>
  <c r="U2304" i="9"/>
  <c r="U2305" i="9"/>
  <c r="U2306" i="9"/>
  <c r="U2307" i="9"/>
  <c r="U2308" i="9"/>
  <c r="U2309" i="9"/>
  <c r="U2310" i="9"/>
  <c r="U2311" i="9"/>
  <c r="U2312" i="9"/>
  <c r="U2313" i="9"/>
  <c r="U2314" i="9"/>
  <c r="U2315" i="9"/>
  <c r="U2316" i="9"/>
  <c r="U2317" i="9"/>
  <c r="U2318" i="9"/>
  <c r="U2319" i="9"/>
  <c r="U2320" i="9"/>
  <c r="U2321" i="9"/>
  <c r="U2322" i="9"/>
  <c r="U2323" i="9"/>
  <c r="U2324" i="9"/>
  <c r="U2325" i="9"/>
  <c r="U2326" i="9"/>
  <c r="U2327" i="9"/>
  <c r="U2328" i="9"/>
  <c r="U2329" i="9"/>
  <c r="U2330" i="9"/>
  <c r="U2331" i="9"/>
  <c r="U2332" i="9"/>
  <c r="U2333" i="9"/>
  <c r="U2334" i="9"/>
  <c r="U2335" i="9"/>
  <c r="U2336" i="9"/>
  <c r="U2337" i="9"/>
  <c r="U2338" i="9"/>
  <c r="U2339" i="9"/>
  <c r="U2340" i="9"/>
  <c r="U2341" i="9"/>
  <c r="U2342" i="9"/>
  <c r="U2343" i="9"/>
  <c r="U2344" i="9"/>
  <c r="U2345" i="9"/>
  <c r="U2346" i="9"/>
  <c r="U2347" i="9"/>
  <c r="U2348" i="9"/>
  <c r="U2349" i="9"/>
  <c r="U2350" i="9"/>
  <c r="U2351" i="9"/>
  <c r="U2352" i="9"/>
  <c r="U2353" i="9"/>
  <c r="U2354" i="9"/>
  <c r="U2355" i="9"/>
  <c r="U2356" i="9"/>
  <c r="U2357" i="9"/>
  <c r="U2358" i="9"/>
  <c r="U2359" i="9"/>
  <c r="U2360" i="9"/>
  <c r="U2361" i="9"/>
  <c r="U2362" i="9"/>
  <c r="U2363" i="9"/>
  <c r="U2364" i="9"/>
  <c r="U2365" i="9"/>
  <c r="U2366" i="9"/>
  <c r="U2367" i="9"/>
  <c r="U2368" i="9"/>
  <c r="U2369" i="9"/>
  <c r="U2370" i="9"/>
  <c r="U2371" i="9"/>
  <c r="U2372" i="9"/>
  <c r="U2373" i="9"/>
  <c r="U2374" i="9"/>
  <c r="U2375" i="9"/>
  <c r="U2376" i="9"/>
  <c r="U2377" i="9"/>
  <c r="U2378" i="9"/>
  <c r="U2379" i="9"/>
  <c r="U2380" i="9"/>
  <c r="U2381" i="9"/>
  <c r="U2382" i="9"/>
  <c r="U2383" i="9"/>
  <c r="U2384" i="9"/>
  <c r="U2385" i="9"/>
  <c r="U2386" i="9"/>
  <c r="U2387" i="9"/>
  <c r="U2388" i="9"/>
  <c r="U2389" i="9"/>
  <c r="U2390" i="9"/>
  <c r="U2391" i="9"/>
  <c r="U2392" i="9"/>
  <c r="U2393" i="9"/>
  <c r="U2394" i="9"/>
  <c r="U2395" i="9"/>
  <c r="U2396" i="9"/>
  <c r="U2397" i="9"/>
  <c r="U2398" i="9"/>
  <c r="U2399" i="9"/>
  <c r="U2400" i="9"/>
  <c r="U2401" i="9"/>
  <c r="U2402" i="9"/>
  <c r="U2403" i="9"/>
  <c r="U2404" i="9"/>
  <c r="U2405" i="9"/>
  <c r="U2406" i="9"/>
  <c r="U2407" i="9"/>
  <c r="U2408" i="9"/>
  <c r="U2409" i="9"/>
  <c r="U2410" i="9"/>
  <c r="U2411" i="9"/>
  <c r="U2412" i="9"/>
  <c r="U2413" i="9"/>
  <c r="U2414" i="9"/>
  <c r="U2415" i="9"/>
  <c r="U2416" i="9"/>
  <c r="U2417" i="9"/>
  <c r="U2418" i="9"/>
  <c r="U2419" i="9"/>
  <c r="U2420" i="9"/>
  <c r="U2421" i="9"/>
  <c r="U2422" i="9"/>
  <c r="U2423" i="9"/>
  <c r="U2424" i="9"/>
  <c r="U2425" i="9"/>
  <c r="U2426" i="9"/>
  <c r="U2427" i="9"/>
  <c r="U2428" i="9"/>
  <c r="U2429" i="9"/>
  <c r="U2430" i="9"/>
  <c r="U2431" i="9"/>
  <c r="U2432" i="9"/>
  <c r="U2433" i="9"/>
  <c r="U2434" i="9"/>
  <c r="U2435" i="9"/>
  <c r="U2436" i="9"/>
  <c r="U2437" i="9"/>
  <c r="U2438" i="9"/>
  <c r="U2439" i="9"/>
  <c r="U2440" i="9"/>
  <c r="U2441" i="9"/>
  <c r="U2442" i="9"/>
  <c r="U2443" i="9"/>
  <c r="U2444" i="9"/>
  <c r="U2445" i="9"/>
  <c r="U2446" i="9"/>
  <c r="U2447" i="9"/>
  <c r="U2448" i="9"/>
  <c r="U2449" i="9"/>
  <c r="U2450" i="9"/>
  <c r="U2451" i="9"/>
  <c r="U2452" i="9"/>
  <c r="U2453" i="9"/>
  <c r="U2454" i="9"/>
  <c r="U2455" i="9"/>
  <c r="U2456" i="9"/>
  <c r="U2457" i="9"/>
  <c r="U2458" i="9"/>
  <c r="U2459" i="9"/>
  <c r="U2460" i="9"/>
  <c r="U2461" i="9"/>
  <c r="U2462" i="9"/>
  <c r="U2463" i="9"/>
  <c r="U2464" i="9"/>
  <c r="U2465" i="9"/>
  <c r="U2466" i="9"/>
  <c r="U2467" i="9"/>
  <c r="U2468" i="9"/>
  <c r="U2469" i="9"/>
  <c r="U2470" i="9"/>
  <c r="U2471" i="9"/>
  <c r="U2472" i="9"/>
  <c r="U2473" i="9"/>
  <c r="U2474" i="9"/>
  <c r="U2475" i="9"/>
  <c r="U2476" i="9"/>
  <c r="U2477" i="9"/>
  <c r="U2478" i="9"/>
  <c r="U2479" i="9"/>
  <c r="U2480" i="9"/>
  <c r="U2481" i="9"/>
  <c r="U2482" i="9"/>
  <c r="U2483" i="9"/>
  <c r="U2484" i="9"/>
  <c r="U2485" i="9"/>
  <c r="U2486" i="9"/>
  <c r="U2487" i="9"/>
  <c r="U2488" i="9"/>
  <c r="U2489" i="9"/>
  <c r="U2490" i="9"/>
  <c r="U2491" i="9"/>
  <c r="U2492" i="9"/>
  <c r="U2493" i="9"/>
  <c r="U2494" i="9"/>
  <c r="U2495" i="9"/>
  <c r="U2496" i="9"/>
  <c r="U2497" i="9"/>
  <c r="U2498" i="9"/>
  <c r="U2499" i="9"/>
  <c r="U2500" i="9"/>
  <c r="U2501" i="9"/>
  <c r="U2502" i="9"/>
  <c r="U2503" i="9"/>
  <c r="U2504" i="9"/>
  <c r="U2505" i="9"/>
  <c r="U2506" i="9"/>
  <c r="U2507" i="9"/>
  <c r="U2508" i="9"/>
  <c r="U2509" i="9"/>
  <c r="U2510" i="9"/>
  <c r="U2511" i="9"/>
  <c r="U2512" i="9"/>
  <c r="U2513" i="9"/>
  <c r="U2514" i="9"/>
  <c r="U2515" i="9"/>
  <c r="U2516" i="9"/>
  <c r="U2517" i="9"/>
  <c r="U2518" i="9"/>
  <c r="U2519" i="9"/>
  <c r="U2520" i="9"/>
  <c r="U2521" i="9"/>
  <c r="U2522" i="9"/>
  <c r="U2523" i="9"/>
  <c r="U2524" i="9"/>
  <c r="U2525" i="9"/>
  <c r="U2526" i="9"/>
  <c r="U2527" i="9"/>
  <c r="U2528" i="9"/>
  <c r="U2529" i="9"/>
  <c r="U2530" i="9"/>
  <c r="U2531" i="9"/>
  <c r="U2532" i="9"/>
  <c r="U2533" i="9"/>
  <c r="U2534" i="9"/>
  <c r="U2535" i="9"/>
  <c r="U2536" i="9"/>
  <c r="U2537" i="9"/>
  <c r="U2538" i="9"/>
  <c r="U2539" i="9"/>
  <c r="U2540" i="9"/>
  <c r="U2541" i="9"/>
  <c r="U2542" i="9"/>
  <c r="U2543" i="9"/>
  <c r="U2544" i="9"/>
  <c r="U2545" i="9"/>
  <c r="U2546" i="9"/>
  <c r="U2547" i="9"/>
  <c r="U2548" i="9"/>
  <c r="U2549" i="9"/>
  <c r="U2550" i="9"/>
  <c r="U2551" i="9"/>
  <c r="U2552" i="9"/>
  <c r="U2553" i="9"/>
  <c r="U2554" i="9"/>
  <c r="U2555" i="9"/>
  <c r="U2556" i="9"/>
  <c r="U2557" i="9"/>
  <c r="U2558" i="9"/>
  <c r="U2559" i="9"/>
  <c r="U2560" i="9"/>
  <c r="U2561" i="9"/>
  <c r="U2562" i="9"/>
  <c r="U2563" i="9"/>
  <c r="U2564" i="9"/>
  <c r="U2565" i="9"/>
  <c r="U2566" i="9"/>
  <c r="U2567" i="9"/>
  <c r="U2568" i="9"/>
  <c r="U2569" i="9"/>
  <c r="U2570" i="9"/>
  <c r="U2571" i="9"/>
  <c r="U2572" i="9"/>
  <c r="U2573" i="9"/>
  <c r="U2574" i="9"/>
  <c r="U2575" i="9"/>
  <c r="U2576" i="9"/>
  <c r="U2577" i="9"/>
  <c r="U2578" i="9"/>
  <c r="U2579" i="9"/>
  <c r="U2580" i="9"/>
  <c r="U2581" i="9"/>
  <c r="U2582" i="9"/>
  <c r="U2583" i="9"/>
  <c r="U2584" i="9"/>
  <c r="U2585" i="9"/>
  <c r="U2586" i="9"/>
  <c r="U2587" i="9"/>
  <c r="U2588" i="9"/>
  <c r="U2589" i="9"/>
  <c r="U2590" i="9"/>
  <c r="U2591" i="9"/>
  <c r="U2592" i="9"/>
  <c r="U2593" i="9"/>
  <c r="U2594" i="9"/>
  <c r="U2595" i="9"/>
  <c r="U2596" i="9"/>
  <c r="U2597" i="9"/>
  <c r="U2598" i="9"/>
  <c r="U2599" i="9"/>
  <c r="U2600" i="9"/>
  <c r="U2601" i="9"/>
  <c r="U2602" i="9"/>
  <c r="U2603" i="9"/>
  <c r="U2604" i="9"/>
  <c r="U2605" i="9"/>
  <c r="U2606" i="9"/>
  <c r="U2607" i="9"/>
  <c r="U2608" i="9"/>
  <c r="U2609" i="9"/>
  <c r="U2610" i="9"/>
  <c r="U2611" i="9"/>
  <c r="U2612" i="9"/>
  <c r="U2613" i="9"/>
  <c r="U2614" i="9"/>
  <c r="U2615" i="9"/>
  <c r="U2616" i="9"/>
  <c r="U2617" i="9"/>
  <c r="U2618" i="9"/>
  <c r="U2619" i="9"/>
  <c r="U2620" i="9"/>
  <c r="U2621" i="9"/>
  <c r="U2622" i="9"/>
  <c r="U2623" i="9"/>
  <c r="U2624" i="9"/>
  <c r="U2625" i="9"/>
  <c r="U2626" i="9"/>
  <c r="U2627" i="9"/>
  <c r="U2628" i="9"/>
  <c r="U2629" i="9"/>
  <c r="U2630" i="9"/>
  <c r="U2631" i="9"/>
  <c r="U2632" i="9"/>
  <c r="U2633" i="9"/>
  <c r="U2634" i="9"/>
  <c r="U2635" i="9"/>
  <c r="U2636" i="9"/>
  <c r="U2637" i="9"/>
  <c r="U2638" i="9"/>
  <c r="U2639" i="9"/>
  <c r="U2640" i="9"/>
  <c r="U2641" i="9"/>
  <c r="U2642" i="9"/>
  <c r="U2643" i="9"/>
  <c r="U2644" i="9"/>
  <c r="U2645" i="9"/>
  <c r="U2646" i="9"/>
  <c r="U2647" i="9"/>
  <c r="U2648" i="9"/>
  <c r="V1244" i="9"/>
  <c r="V1245" i="9"/>
  <c r="V1246" i="9"/>
  <c r="V1247" i="9"/>
  <c r="V1248" i="9"/>
  <c r="V1249" i="9"/>
  <c r="V1250" i="9"/>
  <c r="V1251" i="9"/>
  <c r="V1252" i="9"/>
  <c r="V1253" i="9"/>
  <c r="V1254" i="9"/>
  <c r="V1255" i="9"/>
  <c r="V1256" i="9"/>
  <c r="V1257" i="9"/>
  <c r="V1258" i="9"/>
  <c r="V1259" i="9"/>
  <c r="V1260" i="9"/>
  <c r="V1261" i="9"/>
  <c r="V1262" i="9"/>
  <c r="V1263" i="9"/>
  <c r="V1264" i="9"/>
  <c r="V1265" i="9"/>
  <c r="V1266" i="9"/>
  <c r="V1267" i="9"/>
  <c r="V1268" i="9"/>
  <c r="V1269" i="9"/>
  <c r="V1270" i="9"/>
  <c r="V1271" i="9"/>
  <c r="V1272" i="9"/>
  <c r="V1273" i="9"/>
  <c r="V1274" i="9"/>
  <c r="V1275" i="9"/>
  <c r="V1277" i="9"/>
  <c r="V1278" i="9"/>
  <c r="V1279" i="9"/>
  <c r="V1280" i="9"/>
  <c r="V1281" i="9"/>
  <c r="V1282" i="9"/>
  <c r="V1283" i="9"/>
  <c r="V1285" i="9"/>
  <c r="V1286" i="9"/>
  <c r="V1287" i="9"/>
  <c r="V1288" i="9"/>
  <c r="V1289" i="9"/>
  <c r="V1292" i="9"/>
  <c r="V1293" i="9"/>
  <c r="V1294" i="9"/>
  <c r="V1295" i="9"/>
  <c r="V1297" i="9"/>
  <c r="V1298" i="9"/>
  <c r="V1299" i="9"/>
  <c r="V1300" i="9"/>
  <c r="V1301" i="9"/>
  <c r="V1302" i="9"/>
  <c r="V1303" i="9"/>
  <c r="V1304" i="9"/>
  <c r="V1305" i="9"/>
  <c r="V1306" i="9"/>
  <c r="V1307" i="9"/>
  <c r="V1308" i="9"/>
  <c r="V1309" i="9"/>
  <c r="V1310" i="9"/>
  <c r="V1311" i="9"/>
  <c r="V1312" i="9"/>
  <c r="V1313" i="9"/>
  <c r="V1314" i="9"/>
  <c r="V1315" i="9"/>
  <c r="V1316" i="9"/>
  <c r="V1317" i="9"/>
  <c r="V1318" i="9"/>
  <c r="V1319" i="9"/>
  <c r="V1320" i="9"/>
  <c r="V1321" i="9"/>
  <c r="V1322" i="9"/>
  <c r="V1323" i="9"/>
  <c r="V1324" i="9"/>
  <c r="V1325" i="9"/>
  <c r="V1326" i="9"/>
  <c r="V1327" i="9"/>
  <c r="V1328" i="9"/>
  <c r="V1330" i="9"/>
  <c r="V1331" i="9"/>
  <c r="V1332" i="9"/>
  <c r="V1333" i="9"/>
  <c r="V1334" i="9"/>
  <c r="V1335" i="9"/>
  <c r="V1336" i="9"/>
  <c r="V1337" i="9"/>
  <c r="V1338" i="9"/>
  <c r="V1340" i="9"/>
  <c r="V1341" i="9"/>
  <c r="V1342" i="9"/>
  <c r="V1343" i="9"/>
  <c r="V1344" i="9"/>
  <c r="V1345" i="9"/>
  <c r="V1346" i="9"/>
  <c r="V1347" i="9"/>
  <c r="V1348" i="9"/>
  <c r="V1349" i="9"/>
  <c r="V1350" i="9"/>
  <c r="V1352" i="9"/>
  <c r="V1353" i="9"/>
  <c r="V1354" i="9"/>
  <c r="V1355" i="9"/>
  <c r="V1356" i="9"/>
  <c r="V1357" i="9"/>
  <c r="V1358" i="9"/>
  <c r="V1359" i="9"/>
  <c r="V1360" i="9"/>
  <c r="V1361" i="9"/>
  <c r="V1362" i="9"/>
  <c r="V1363" i="9"/>
  <c r="V1364" i="9"/>
  <c r="V1366" i="9"/>
  <c r="V1367" i="9"/>
  <c r="V1368" i="9"/>
  <c r="V1369" i="9"/>
  <c r="V1370" i="9"/>
  <c r="V1372" i="9"/>
  <c r="V1373" i="9"/>
  <c r="V1374" i="9"/>
  <c r="V1375" i="9"/>
  <c r="V1376" i="9"/>
  <c r="V1377" i="9"/>
  <c r="V1378" i="9"/>
  <c r="V1379" i="9"/>
  <c r="V1380" i="9"/>
  <c r="V1381" i="9"/>
  <c r="V1382" i="9"/>
  <c r="V1385" i="9"/>
  <c r="V1386" i="9"/>
  <c r="V1387" i="9"/>
  <c r="V1388" i="9"/>
  <c r="V1389" i="9"/>
  <c r="V1390" i="9"/>
  <c r="V1391" i="9"/>
  <c r="V1392" i="9"/>
  <c r="V1393" i="9"/>
  <c r="V1394" i="9"/>
  <c r="V1395" i="9"/>
  <c r="V1396" i="9"/>
  <c r="V1398" i="9"/>
  <c r="V1399" i="9"/>
  <c r="V1400" i="9"/>
  <c r="V1401" i="9"/>
  <c r="V1402" i="9"/>
  <c r="V1403" i="9"/>
  <c r="V1404" i="9"/>
  <c r="V1405" i="9"/>
  <c r="V1406" i="9"/>
  <c r="V1408" i="9"/>
  <c r="V1409" i="9"/>
  <c r="V1410" i="9"/>
  <c r="V1411" i="9"/>
  <c r="V1412" i="9"/>
  <c r="V1413" i="9"/>
  <c r="V1414" i="9"/>
  <c r="V1415" i="9"/>
  <c r="V1416" i="9"/>
  <c r="V1417" i="9"/>
  <c r="V1418" i="9"/>
  <c r="V1419" i="9"/>
  <c r="V1420" i="9"/>
  <c r="V1421" i="9"/>
  <c r="V1422" i="9"/>
  <c r="V1424" i="9"/>
  <c r="V1425" i="9"/>
  <c r="V1426" i="9"/>
  <c r="V1427" i="9"/>
  <c r="V1428" i="9"/>
  <c r="V1429" i="9"/>
  <c r="V1430" i="9"/>
  <c r="V1431" i="9"/>
  <c r="V1432" i="9"/>
  <c r="V1433" i="9"/>
  <c r="V1434" i="9"/>
  <c r="V1435" i="9"/>
  <c r="V1437" i="9"/>
  <c r="V1438" i="9"/>
  <c r="V1439" i="9"/>
  <c r="V1440" i="9"/>
  <c r="V1441" i="9"/>
  <c r="V1442" i="9"/>
  <c r="V1443" i="9"/>
  <c r="V1444" i="9"/>
  <c r="V1446" i="9"/>
  <c r="V1447" i="9"/>
  <c r="V1448" i="9"/>
  <c r="V1449" i="9"/>
  <c r="V1450" i="9"/>
  <c r="V1451" i="9"/>
  <c r="V1452" i="9"/>
  <c r="V1453" i="9"/>
  <c r="V1454" i="9"/>
  <c r="V1456" i="9"/>
  <c r="V1458" i="9"/>
  <c r="V1459" i="9"/>
  <c r="V1460" i="9"/>
  <c r="V1461" i="9"/>
  <c r="V1462" i="9"/>
  <c r="V1464" i="9"/>
  <c r="V1466" i="9"/>
  <c r="V1467" i="9"/>
  <c r="V1468" i="9"/>
  <c r="V1469" i="9"/>
  <c r="V1470" i="9"/>
  <c r="V1471" i="9"/>
  <c r="V1472" i="9"/>
  <c r="V1474" i="9"/>
  <c r="V1475" i="9"/>
  <c r="V1477" i="9"/>
  <c r="V1478" i="9"/>
  <c r="V1479" i="9"/>
  <c r="V1481" i="9"/>
  <c r="V1482" i="9"/>
  <c r="V1483" i="9"/>
  <c r="V1484" i="9"/>
  <c r="V1485" i="9"/>
  <c r="V1486" i="9"/>
  <c r="V1488" i="9"/>
  <c r="V1489" i="9"/>
  <c r="V1490" i="9"/>
  <c r="V1491" i="9"/>
  <c r="V1492" i="9"/>
  <c r="V1493" i="9"/>
  <c r="V1495" i="9"/>
  <c r="V1496" i="9"/>
  <c r="V1497" i="9"/>
  <c r="V1498" i="9"/>
  <c r="V1500" i="9"/>
  <c r="V1502" i="9"/>
  <c r="V1503" i="9"/>
  <c r="V1504" i="9"/>
  <c r="V1505" i="9"/>
  <c r="V1506" i="9"/>
  <c r="V1507" i="9"/>
  <c r="V1509" i="9"/>
  <c r="V1510" i="9"/>
  <c r="V1511" i="9"/>
  <c r="V1512" i="9"/>
  <c r="V1513" i="9"/>
  <c r="V1514" i="9"/>
  <c r="V1516" i="9"/>
  <c r="V1517" i="9"/>
  <c r="V1518" i="9"/>
  <c r="V1519" i="9"/>
  <c r="V1520" i="9"/>
  <c r="V1521" i="9"/>
  <c r="V1523" i="9"/>
  <c r="V1524" i="9"/>
  <c r="V1525" i="9"/>
  <c r="V1526" i="9"/>
  <c r="V1527" i="9"/>
  <c r="V1528" i="9"/>
  <c r="V1530" i="9"/>
  <c r="V1531" i="9"/>
  <c r="V1532" i="9"/>
  <c r="V1533" i="9"/>
  <c r="V1534" i="9"/>
  <c r="V1535" i="9"/>
  <c r="V1537" i="9"/>
  <c r="V1538" i="9"/>
  <c r="V1539" i="9"/>
  <c r="V1540" i="9"/>
  <c r="V1541" i="9"/>
  <c r="V1542" i="9"/>
  <c r="V1544" i="9"/>
  <c r="V1545" i="9"/>
  <c r="V1546" i="9"/>
  <c r="V1547" i="9"/>
  <c r="V1548" i="9"/>
  <c r="V1549" i="9"/>
  <c r="V1551" i="9"/>
  <c r="V1552" i="9"/>
  <c r="V1554" i="9"/>
  <c r="V1555" i="9"/>
  <c r="V1556" i="9"/>
  <c r="V1557" i="9"/>
  <c r="V1559" i="9"/>
  <c r="V1560" i="9"/>
  <c r="V1561" i="9"/>
  <c r="V1562" i="9"/>
  <c r="V1563" i="9"/>
  <c r="V1564" i="9"/>
  <c r="V1565" i="9"/>
  <c r="V1566" i="9"/>
  <c r="V1567" i="9"/>
  <c r="V1568" i="9"/>
  <c r="V1569" i="9"/>
  <c r="V1570" i="9"/>
  <c r="V1571" i="9"/>
  <c r="V1572" i="9"/>
  <c r="V1573" i="9"/>
  <c r="V1574" i="9"/>
  <c r="V1575" i="9"/>
  <c r="V1578" i="9"/>
  <c r="V1579" i="9"/>
  <c r="V1580" i="9"/>
  <c r="V1581" i="9"/>
  <c r="V1582" i="9"/>
  <c r="V1584" i="9"/>
  <c r="V1586" i="9"/>
  <c r="V1587" i="9"/>
  <c r="V1588" i="9"/>
  <c r="V1589" i="9"/>
  <c r="V1590" i="9"/>
  <c r="V1591" i="9"/>
  <c r="V1593" i="9"/>
  <c r="V1594" i="9"/>
  <c r="V1595" i="9"/>
  <c r="V1596" i="9"/>
  <c r="V1597" i="9"/>
  <c r="V1598" i="9"/>
  <c r="V1599" i="9"/>
  <c r="V1600" i="9"/>
  <c r="V1602" i="9"/>
  <c r="V1603" i="9"/>
  <c r="V1604" i="9"/>
  <c r="V1605" i="9"/>
  <c r="V1606" i="9"/>
  <c r="V1607" i="9"/>
  <c r="V1608" i="9"/>
  <c r="V1609" i="9"/>
  <c r="V1610" i="9"/>
  <c r="V1611" i="9"/>
  <c r="V1612" i="9"/>
  <c r="V1613" i="9"/>
  <c r="V1614" i="9"/>
  <c r="V1615" i="9"/>
  <c r="V1617" i="9"/>
  <c r="V1618" i="9"/>
  <c r="V1619" i="9"/>
  <c r="V1620" i="9"/>
  <c r="V1621" i="9"/>
  <c r="V1622" i="9"/>
  <c r="V1623" i="9"/>
  <c r="V1624" i="9"/>
  <c r="V1625" i="9"/>
  <c r="V1627" i="9"/>
  <c r="V1629" i="9"/>
  <c r="V1630" i="9"/>
  <c r="V1631" i="9"/>
  <c r="V1632" i="9"/>
  <c r="V1633" i="9"/>
  <c r="V1635" i="9"/>
  <c r="V1636" i="9"/>
  <c r="V1637" i="9"/>
  <c r="V1638" i="9"/>
  <c r="V1639" i="9"/>
  <c r="V1640" i="9"/>
  <c r="V1641" i="9"/>
  <c r="V1642" i="9"/>
  <c r="V1644" i="9"/>
  <c r="V1645" i="9"/>
  <c r="V1646" i="9"/>
  <c r="V1647" i="9"/>
  <c r="V1648" i="9"/>
  <c r="V1649" i="9"/>
  <c r="V1650" i="9"/>
  <c r="V1652" i="9"/>
  <c r="V1653" i="9"/>
  <c r="V1654" i="9"/>
  <c r="V1655" i="9"/>
  <c r="V1656" i="9"/>
  <c r="V1658" i="9"/>
  <c r="V1659" i="9"/>
  <c r="V1660" i="9"/>
  <c r="V1661" i="9"/>
  <c r="V1662" i="9"/>
  <c r="V1663" i="9"/>
  <c r="V1664" i="9"/>
  <c r="V1665" i="9"/>
  <c r="V1666" i="9"/>
  <c r="V1667" i="9"/>
  <c r="V1668" i="9"/>
  <c r="V1669" i="9"/>
  <c r="V1670" i="9"/>
  <c r="V1671" i="9"/>
  <c r="V1673" i="9"/>
  <c r="V1674" i="9"/>
  <c r="V1675" i="9"/>
  <c r="V1676" i="9"/>
  <c r="V1677" i="9"/>
  <c r="V1678" i="9"/>
  <c r="V1679" i="9"/>
  <c r="V1680" i="9"/>
  <c r="V1681" i="9"/>
  <c r="V1682" i="9"/>
  <c r="V1683" i="9"/>
  <c r="V1684" i="9"/>
  <c r="V1685" i="9"/>
  <c r="V1686" i="9"/>
  <c r="V1688" i="9"/>
  <c r="V1689" i="9"/>
  <c r="V1691" i="9"/>
  <c r="V1692" i="9"/>
  <c r="V1693" i="9"/>
  <c r="V1694" i="9"/>
  <c r="V1696" i="9"/>
  <c r="V1697" i="9"/>
  <c r="V1698" i="9"/>
  <c r="V1699" i="9"/>
  <c r="V1700" i="9"/>
  <c r="V1701" i="9"/>
  <c r="V1702" i="9"/>
  <c r="V1704" i="9"/>
  <c r="V1705" i="9"/>
  <c r="V1706" i="9"/>
  <c r="V1707" i="9"/>
  <c r="V1708" i="9"/>
  <c r="V1709" i="9"/>
  <c r="V1710" i="9"/>
  <c r="V1711" i="9"/>
  <c r="V1712" i="9"/>
  <c r="V1713" i="9"/>
  <c r="V1715" i="9"/>
  <c r="V1716" i="9"/>
  <c r="V1717" i="9"/>
  <c r="V1718" i="9"/>
  <c r="V1719" i="9"/>
  <c r="V1720" i="9"/>
  <c r="V1721" i="9"/>
  <c r="V1722" i="9"/>
  <c r="V1723" i="9"/>
  <c r="V1724" i="9"/>
  <c r="V1725" i="9"/>
  <c r="V1726" i="9"/>
  <c r="V1727" i="9"/>
  <c r="V1729" i="9"/>
  <c r="V1730" i="9"/>
  <c r="V1731" i="9"/>
  <c r="V1732" i="9"/>
  <c r="V1733" i="9"/>
  <c r="V1734" i="9"/>
  <c r="V1735" i="9"/>
  <c r="V1736" i="9"/>
  <c r="V1737" i="9"/>
  <c r="V1738" i="9"/>
  <c r="V1739" i="9"/>
  <c r="V1741" i="9"/>
  <c r="V1743" i="9"/>
  <c r="V1744" i="9"/>
  <c r="V1745" i="9"/>
  <c r="V1746" i="9"/>
  <c r="V1747" i="9"/>
  <c r="V1748" i="9"/>
  <c r="V1749" i="9"/>
  <c r="V1750" i="9"/>
  <c r="V1751" i="9"/>
  <c r="V1752" i="9"/>
  <c r="V1753" i="9"/>
  <c r="V1754" i="9"/>
  <c r="V1755" i="9"/>
  <c r="V1756" i="9"/>
  <c r="V1757" i="9"/>
  <c r="V1758" i="9"/>
  <c r="V1759" i="9"/>
  <c r="V1760" i="9"/>
  <c r="V1761" i="9"/>
  <c r="V1762" i="9"/>
  <c r="V1763" i="9"/>
  <c r="V1764" i="9"/>
  <c r="V1765" i="9"/>
  <c r="V1766" i="9"/>
  <c r="V1768" i="9"/>
  <c r="V1769" i="9"/>
  <c r="V1770" i="9"/>
  <c r="V1771" i="9"/>
  <c r="V1772" i="9"/>
  <c r="V1773" i="9"/>
  <c r="V1775" i="9"/>
  <c r="V1776" i="9"/>
  <c r="V1777" i="9"/>
  <c r="V1778" i="9"/>
  <c r="V1779" i="9"/>
  <c r="V1780" i="9"/>
  <c r="V1781" i="9"/>
  <c r="V1782" i="9"/>
  <c r="V1783" i="9"/>
  <c r="V1784" i="9"/>
  <c r="V1785" i="9"/>
  <c r="V1786" i="9"/>
  <c r="V1788" i="9"/>
  <c r="V1789" i="9"/>
  <c r="V1790" i="9"/>
  <c r="V1791" i="9"/>
  <c r="V1792" i="9"/>
  <c r="V1793" i="9"/>
  <c r="V1794" i="9"/>
  <c r="V1795" i="9"/>
  <c r="V1796" i="9"/>
  <c r="V1797" i="9"/>
  <c r="V1798" i="9"/>
  <c r="V1799" i="9"/>
  <c r="V1800" i="9"/>
  <c r="V1801" i="9"/>
  <c r="V1802" i="9"/>
  <c r="V1803" i="9"/>
  <c r="V1804" i="9"/>
  <c r="V1805" i="9"/>
  <c r="V1806" i="9"/>
  <c r="V1807" i="9"/>
  <c r="V1808" i="9"/>
  <c r="V1809" i="9"/>
  <c r="V1810" i="9"/>
  <c r="V1811" i="9"/>
  <c r="V1812" i="9"/>
  <c r="V1813" i="9"/>
  <c r="V1814" i="9"/>
  <c r="V1815" i="9"/>
  <c r="V1816" i="9"/>
  <c r="V1817" i="9"/>
  <c r="V1819" i="9"/>
  <c r="V1820" i="9"/>
  <c r="V1821" i="9"/>
  <c r="V1822" i="9"/>
  <c r="V1823" i="9"/>
  <c r="V1824" i="9"/>
  <c r="V1825" i="9"/>
  <c r="V1826" i="9"/>
  <c r="V1827" i="9"/>
  <c r="V1829" i="9"/>
  <c r="V1830" i="9"/>
  <c r="V1831" i="9"/>
  <c r="V1832" i="9"/>
  <c r="V1833" i="9"/>
  <c r="V1834" i="9"/>
  <c r="V1835" i="9"/>
  <c r="V1836" i="9"/>
  <c r="V1837" i="9"/>
  <c r="V1838" i="9"/>
  <c r="V1840" i="9"/>
  <c r="V1841" i="9"/>
  <c r="V1842" i="9"/>
  <c r="V1843" i="9"/>
  <c r="V1844" i="9"/>
  <c r="V1845" i="9"/>
  <c r="V1846" i="9"/>
  <c r="V1847" i="9"/>
  <c r="V1848" i="9"/>
  <c r="V1849" i="9"/>
  <c r="V1850" i="9"/>
  <c r="V1851" i="9"/>
  <c r="V1853" i="9"/>
  <c r="V1854" i="9"/>
  <c r="V1855" i="9"/>
  <c r="V1856" i="9"/>
  <c r="V1857" i="9"/>
  <c r="V1858" i="9"/>
  <c r="V1859" i="9"/>
  <c r="V1860" i="9"/>
  <c r="V1861" i="9"/>
  <c r="V1862" i="9"/>
  <c r="V1863" i="9"/>
  <c r="V1864" i="9"/>
  <c r="V1865" i="9"/>
  <c r="V1866" i="9"/>
  <c r="V1867" i="9"/>
  <c r="V1868" i="9"/>
  <c r="V1869" i="9"/>
  <c r="V1871" i="9"/>
  <c r="V1872" i="9"/>
  <c r="V1873" i="9"/>
  <c r="V1874" i="9"/>
  <c r="V1875" i="9"/>
  <c r="V1876" i="9"/>
  <c r="V1877" i="9"/>
  <c r="V1878" i="9"/>
  <c r="V1879" i="9"/>
  <c r="V1880" i="9"/>
  <c r="V1882" i="9"/>
  <c r="V1883" i="9"/>
  <c r="V1884" i="9"/>
  <c r="V1885" i="9"/>
  <c r="V1886" i="9"/>
  <c r="V1887" i="9"/>
  <c r="V1888" i="9"/>
  <c r="V1889" i="9"/>
  <c r="V1890" i="9"/>
  <c r="V1891" i="9"/>
  <c r="V1892" i="9"/>
  <c r="V1893" i="9"/>
  <c r="V1894" i="9"/>
  <c r="V1895" i="9"/>
  <c r="V1896" i="9"/>
  <c r="V1897" i="9"/>
  <c r="V1899" i="9"/>
  <c r="V1901" i="9"/>
  <c r="V1902" i="9"/>
  <c r="V1903" i="9"/>
  <c r="V1904" i="9"/>
  <c r="V1905" i="9"/>
  <c r="V1906" i="9"/>
  <c r="V1907" i="9"/>
  <c r="V1908" i="9"/>
  <c r="V1910" i="9"/>
  <c r="V1911" i="9"/>
  <c r="V1912" i="9"/>
  <c r="V1913" i="9"/>
  <c r="V1914" i="9"/>
  <c r="V1915" i="9"/>
  <c r="V1916" i="9"/>
  <c r="V1917" i="9"/>
  <c r="V1918" i="9"/>
  <c r="V1919" i="9"/>
  <c r="V1920" i="9"/>
  <c r="V1921" i="9"/>
  <c r="V1922" i="9"/>
  <c r="V1924" i="9"/>
  <c r="V1925" i="9"/>
  <c r="V1926" i="9"/>
  <c r="V1927" i="9"/>
  <c r="V1929" i="9"/>
  <c r="V1930" i="9"/>
  <c r="V1931" i="9"/>
  <c r="V1932" i="9"/>
  <c r="V1933" i="9"/>
  <c r="V1934" i="9"/>
  <c r="V1935" i="9"/>
  <c r="V1936" i="9"/>
  <c r="V1937" i="9"/>
  <c r="V1938" i="9"/>
  <c r="V1939" i="9"/>
  <c r="V1940" i="9"/>
  <c r="V1941" i="9"/>
  <c r="V1942" i="9"/>
  <c r="V1945" i="9"/>
  <c r="V1946" i="9"/>
  <c r="V1947" i="9"/>
  <c r="V1948" i="9"/>
  <c r="V1949" i="9"/>
  <c r="V1950" i="9"/>
  <c r="V1951" i="9"/>
  <c r="V1952" i="9"/>
  <c r="V1953" i="9"/>
  <c r="V1955" i="9"/>
  <c r="V1956" i="9"/>
  <c r="V1957" i="9"/>
  <c r="V1958" i="9"/>
  <c r="V1959" i="9"/>
  <c r="V1960" i="9"/>
  <c r="V1961" i="9"/>
  <c r="V1962" i="9"/>
  <c r="V1963" i="9"/>
  <c r="V1964" i="9"/>
  <c r="V1965" i="9"/>
  <c r="V1966" i="9"/>
  <c r="V1967" i="9"/>
  <c r="V1969" i="9"/>
  <c r="V1970" i="9"/>
  <c r="V1971" i="9"/>
  <c r="V1972" i="9"/>
  <c r="V1973" i="9"/>
  <c r="V1974" i="9"/>
  <c r="V1975" i="9"/>
  <c r="V1976" i="9"/>
  <c r="V1977" i="9"/>
  <c r="V1978" i="9"/>
  <c r="V1979" i="9"/>
  <c r="V1981" i="9"/>
  <c r="V1982" i="9"/>
  <c r="V1983" i="9"/>
  <c r="V1984" i="9"/>
  <c r="V1985" i="9"/>
  <c r="V1986" i="9"/>
  <c r="V1987" i="9"/>
  <c r="V1988" i="9"/>
  <c r="V1989" i="9"/>
  <c r="V1990" i="9"/>
  <c r="V1991" i="9"/>
  <c r="V1993" i="9"/>
  <c r="V1994" i="9"/>
  <c r="V1995" i="9"/>
  <c r="V1996" i="9"/>
  <c r="V1997" i="9"/>
  <c r="V1998" i="9"/>
  <c r="V1999" i="9"/>
  <c r="V2002" i="9"/>
  <c r="V2004" i="9"/>
  <c r="V2005" i="9"/>
  <c r="V2006" i="9"/>
  <c r="V2007" i="9"/>
  <c r="V2008" i="9"/>
  <c r="V2011" i="9"/>
  <c r="V2012" i="9"/>
  <c r="V2013" i="9"/>
  <c r="V2014" i="9"/>
  <c r="V2015" i="9"/>
  <c r="V2016" i="9"/>
  <c r="V2019" i="9"/>
  <c r="V2020" i="9"/>
  <c r="V2021" i="9"/>
  <c r="V2022" i="9"/>
  <c r="V2023" i="9"/>
  <c r="V2024" i="9"/>
  <c r="V2025" i="9"/>
  <c r="V2026" i="9"/>
  <c r="V2028" i="9"/>
  <c r="V2029" i="9"/>
  <c r="V2030" i="9"/>
  <c r="V2031" i="9"/>
  <c r="V2032" i="9"/>
  <c r="V2033" i="9"/>
  <c r="V2034" i="9"/>
  <c r="V2035" i="9"/>
  <c r="V2036" i="9"/>
  <c r="V2037" i="9"/>
  <c r="V2038" i="9"/>
  <c r="V2039" i="9"/>
  <c r="V2040" i="9"/>
  <c r="V2041" i="9"/>
  <c r="V2042" i="9"/>
  <c r="V2044" i="9"/>
  <c r="V2045" i="9"/>
  <c r="V2046" i="9"/>
  <c r="V2047" i="9"/>
  <c r="V2048" i="9"/>
  <c r="V2049" i="9"/>
  <c r="V2051" i="9"/>
  <c r="V2052" i="9"/>
  <c r="V2053" i="9"/>
  <c r="V2054" i="9"/>
  <c r="V2055" i="9"/>
  <c r="V2056" i="9"/>
  <c r="V2057" i="9"/>
  <c r="V2058" i="9"/>
  <c r="V2059" i="9"/>
  <c r="V2060" i="9"/>
  <c r="V2062" i="9"/>
  <c r="V2063" i="9"/>
  <c r="V2064" i="9"/>
  <c r="V2065" i="9"/>
  <c r="V2066" i="9"/>
  <c r="V2067" i="9"/>
  <c r="V2068" i="9"/>
  <c r="V2070" i="9"/>
  <c r="V2071" i="9"/>
  <c r="V2072" i="9"/>
  <c r="V2073" i="9"/>
  <c r="V2074" i="9"/>
  <c r="V2075" i="9"/>
  <c r="V2076" i="9"/>
  <c r="V2077" i="9"/>
  <c r="V2078" i="9"/>
  <c r="V2079" i="9"/>
  <c r="V2080" i="9"/>
  <c r="V2081" i="9"/>
  <c r="V2082" i="9"/>
  <c r="V2083" i="9"/>
  <c r="V2084" i="9"/>
  <c r="V2085" i="9"/>
  <c r="V2086" i="9"/>
  <c r="V2087" i="9"/>
  <c r="V2088" i="9"/>
  <c r="V2089" i="9"/>
  <c r="V2090" i="9"/>
  <c r="V2091" i="9"/>
  <c r="V2092" i="9"/>
  <c r="V2093" i="9"/>
  <c r="V2094" i="9"/>
  <c r="V2096" i="9"/>
  <c r="V2097" i="9"/>
  <c r="V2098" i="9"/>
  <c r="V2099" i="9"/>
  <c r="V2100" i="9"/>
  <c r="V2101" i="9"/>
  <c r="V2102" i="9"/>
  <c r="V2103" i="9"/>
  <c r="V2104" i="9"/>
  <c r="V2105" i="9"/>
  <c r="V2106" i="9"/>
  <c r="V2107" i="9"/>
  <c r="V2108" i="9"/>
  <c r="V2109" i="9"/>
  <c r="V2111" i="9"/>
  <c r="V2112" i="9"/>
  <c r="V2113" i="9"/>
  <c r="V2114" i="9"/>
  <c r="V2116" i="9"/>
  <c r="V2117" i="9"/>
  <c r="V2118" i="9"/>
  <c r="V2119" i="9"/>
  <c r="V2120" i="9"/>
  <c r="V2121" i="9"/>
  <c r="V2122" i="9"/>
  <c r="V2124" i="9"/>
  <c r="V2125" i="9"/>
  <c r="V2126" i="9"/>
  <c r="V2127" i="9"/>
  <c r="V2128" i="9"/>
  <c r="V2129" i="9"/>
  <c r="V2130" i="9"/>
  <c r="V2131" i="9"/>
  <c r="V2132" i="9"/>
  <c r="V2133" i="9"/>
  <c r="V2134" i="9"/>
  <c r="V2136" i="9"/>
  <c r="V2137" i="9"/>
  <c r="V2138" i="9"/>
  <c r="V2140" i="9"/>
  <c r="V2141" i="9"/>
  <c r="V2142" i="9"/>
  <c r="V2143" i="9"/>
  <c r="V2144" i="9"/>
  <c r="V2145" i="9"/>
  <c r="V2146" i="9"/>
  <c r="V2147" i="9"/>
  <c r="V2149" i="9"/>
  <c r="V2150" i="9"/>
  <c r="V2151" i="9"/>
  <c r="V2153" i="9"/>
  <c r="V2154" i="9"/>
  <c r="V2155" i="9"/>
  <c r="V2156" i="9"/>
  <c r="V2157" i="9"/>
  <c r="V2158" i="9"/>
  <c r="V2159" i="9"/>
  <c r="V2160" i="9"/>
  <c r="V2161" i="9"/>
  <c r="V2163" i="9"/>
  <c r="V2164" i="9"/>
  <c r="V2166" i="9"/>
  <c r="V2167" i="9"/>
  <c r="V2168" i="9"/>
  <c r="V2169" i="9"/>
  <c r="V2170" i="9"/>
  <c r="V2171" i="9"/>
  <c r="V2172" i="9"/>
  <c r="V2173" i="9"/>
  <c r="V2174" i="9"/>
  <c r="V2175" i="9"/>
  <c r="V2176" i="9"/>
  <c r="V2177" i="9"/>
  <c r="V2178" i="9"/>
  <c r="V2179" i="9"/>
  <c r="V2180" i="9"/>
  <c r="V2181" i="9"/>
  <c r="V2182" i="9"/>
  <c r="V2183" i="9"/>
  <c r="V2184" i="9"/>
  <c r="V2185" i="9"/>
  <c r="V2186" i="9"/>
  <c r="V2188" i="9"/>
  <c r="V2189" i="9"/>
  <c r="V2190" i="9"/>
  <c r="V2191" i="9"/>
  <c r="V2192" i="9"/>
  <c r="V2193" i="9"/>
  <c r="V2195" i="9"/>
  <c r="V2196" i="9"/>
  <c r="V2197" i="9"/>
  <c r="V2198" i="9"/>
  <c r="V2199" i="9"/>
  <c r="V2200" i="9"/>
  <c r="V2201" i="9"/>
  <c r="V2202" i="9"/>
  <c r="V2203" i="9"/>
  <c r="V2204" i="9"/>
  <c r="V2205" i="9"/>
  <c r="V2206" i="9"/>
  <c r="V2208" i="9"/>
  <c r="V2209" i="9"/>
  <c r="V2210" i="9"/>
  <c r="V2211" i="9"/>
  <c r="V2212" i="9"/>
  <c r="V2213" i="9"/>
  <c r="V2214" i="9"/>
  <c r="V2215" i="9"/>
  <c r="V2218" i="9"/>
  <c r="V2219" i="9"/>
  <c r="V2220" i="9"/>
  <c r="V2221" i="9"/>
  <c r="V2222" i="9"/>
  <c r="V2223" i="9"/>
  <c r="V2224" i="9"/>
  <c r="V2225" i="9"/>
  <c r="V2226" i="9"/>
  <c r="V2227" i="9"/>
  <c r="V2228" i="9"/>
  <c r="V2229" i="9"/>
  <c r="V2230" i="9"/>
  <c r="V2231" i="9"/>
  <c r="V2232" i="9"/>
  <c r="V2233" i="9"/>
  <c r="V2234" i="9"/>
  <c r="V2236" i="9"/>
  <c r="V2237" i="9"/>
  <c r="V2238" i="9"/>
  <c r="V2239" i="9"/>
  <c r="V2241" i="9"/>
  <c r="V2243" i="9"/>
  <c r="V2244" i="9"/>
  <c r="V2245" i="9"/>
  <c r="V2246" i="9"/>
  <c r="V2247" i="9"/>
  <c r="V2248" i="9"/>
  <c r="V2249" i="9"/>
  <c r="V2253" i="9"/>
  <c r="V2254" i="9"/>
  <c r="V2255" i="9"/>
  <c r="V2256" i="9"/>
  <c r="V2257" i="9"/>
  <c r="V2258" i="9"/>
  <c r="V2259" i="9"/>
  <c r="V2260" i="9"/>
  <c r="V2261" i="9"/>
  <c r="V2263" i="9"/>
  <c r="V2264" i="9"/>
  <c r="V2265" i="9"/>
  <c r="V2266" i="9"/>
  <c r="V2267" i="9"/>
  <c r="V2268" i="9"/>
  <c r="V2269" i="9"/>
  <c r="V2270" i="9"/>
  <c r="V2271" i="9"/>
  <c r="V2273" i="9"/>
  <c r="V2275" i="9"/>
  <c r="V2276" i="9"/>
  <c r="V2277" i="9"/>
  <c r="V2278" i="9"/>
  <c r="V2279" i="9"/>
  <c r="V2280" i="9"/>
  <c r="V2281" i="9"/>
  <c r="V2282" i="9"/>
  <c r="V2283" i="9"/>
  <c r="V2284" i="9"/>
  <c r="V2285" i="9"/>
  <c r="V2286" i="9"/>
  <c r="V2287" i="9"/>
  <c r="V2289" i="9"/>
  <c r="V2290" i="9"/>
  <c r="V2291" i="9"/>
  <c r="V2292" i="9"/>
  <c r="V2293" i="9"/>
  <c r="V2294" i="9"/>
  <c r="V2295" i="9"/>
  <c r="V2296" i="9"/>
  <c r="V2297" i="9"/>
  <c r="V2298" i="9"/>
  <c r="V2299" i="9"/>
  <c r="V2300" i="9"/>
  <c r="V2301" i="9"/>
  <c r="V2302" i="9"/>
  <c r="V2304" i="9"/>
  <c r="V2305" i="9"/>
  <c r="V2306" i="9"/>
  <c r="V2307" i="9"/>
  <c r="V2308" i="9"/>
  <c r="V2309" i="9"/>
  <c r="V2310" i="9"/>
  <c r="V2311" i="9"/>
  <c r="V2312" i="9"/>
  <c r="V2314" i="9"/>
  <c r="V2315" i="9"/>
  <c r="V2316" i="9"/>
  <c r="V2317" i="9"/>
  <c r="V2318" i="9"/>
  <c r="V2320" i="9"/>
  <c r="V2321" i="9"/>
  <c r="V2322" i="9"/>
  <c r="V2323" i="9"/>
  <c r="V2324" i="9"/>
  <c r="V2326" i="9"/>
  <c r="V2327" i="9"/>
  <c r="V2328" i="9"/>
  <c r="V2329" i="9"/>
  <c r="V2331" i="9"/>
  <c r="V2332" i="9"/>
  <c r="V2333" i="9"/>
  <c r="V2334" i="9"/>
  <c r="V2335" i="9"/>
  <c r="V2336" i="9"/>
  <c r="V2338" i="9"/>
  <c r="V2339" i="9"/>
  <c r="V2340" i="9"/>
  <c r="V2341" i="9"/>
  <c r="V2342" i="9"/>
  <c r="V2343" i="9"/>
  <c r="V2344" i="9"/>
  <c r="V2345" i="9"/>
  <c r="V2346" i="9"/>
  <c r="V2347" i="9"/>
  <c r="V2349" i="9"/>
  <c r="V2350" i="9"/>
  <c r="V2351" i="9"/>
  <c r="V2352" i="9"/>
  <c r="V2353" i="9"/>
  <c r="V2354" i="9"/>
  <c r="V2355" i="9"/>
  <c r="V2356" i="9"/>
  <c r="V2358" i="9"/>
  <c r="V2359" i="9"/>
  <c r="V2360" i="9"/>
  <c r="V2361" i="9"/>
  <c r="V2362" i="9"/>
  <c r="V2364" i="9"/>
  <c r="V2365" i="9"/>
  <c r="V2367" i="9"/>
  <c r="V2368" i="9"/>
  <c r="V2369" i="9"/>
  <c r="V2370" i="9"/>
  <c r="V2371" i="9"/>
  <c r="V2372" i="9"/>
  <c r="V2374" i="9"/>
  <c r="V2375" i="9"/>
  <c r="V2376" i="9"/>
  <c r="V2378" i="9"/>
  <c r="V2379" i="9"/>
  <c r="V2380" i="9"/>
  <c r="V2381" i="9"/>
  <c r="V2382" i="9"/>
  <c r="V2383" i="9"/>
  <c r="V2384" i="9"/>
  <c r="V2385" i="9"/>
  <c r="V2386" i="9"/>
  <c r="V2387" i="9"/>
  <c r="V2389" i="9"/>
  <c r="V2390" i="9"/>
  <c r="V2391" i="9"/>
  <c r="V2392" i="9"/>
  <c r="V2393" i="9"/>
  <c r="V2394" i="9"/>
  <c r="V2395" i="9"/>
  <c r="V2396" i="9"/>
  <c r="V2397" i="9"/>
  <c r="V2398" i="9"/>
  <c r="V2399" i="9"/>
  <c r="V2400" i="9"/>
  <c r="V2401" i="9"/>
  <c r="V2402" i="9"/>
  <c r="V2403" i="9"/>
  <c r="V2404" i="9"/>
  <c r="V2405" i="9"/>
  <c r="V2407" i="9"/>
  <c r="V2408" i="9"/>
  <c r="V2409" i="9"/>
  <c r="V2410" i="9"/>
  <c r="V2412" i="9"/>
  <c r="V2413" i="9"/>
  <c r="V2414" i="9"/>
  <c r="V2415" i="9"/>
  <c r="V2417" i="9"/>
  <c r="V2418" i="9"/>
  <c r="V2419" i="9"/>
  <c r="V2420" i="9"/>
  <c r="V2421" i="9"/>
  <c r="V2422" i="9"/>
  <c r="V2424" i="9"/>
  <c r="V2425" i="9"/>
  <c r="V2426" i="9"/>
  <c r="V2427" i="9"/>
  <c r="V2428" i="9"/>
  <c r="V2429" i="9"/>
  <c r="V2430" i="9"/>
  <c r="V2431" i="9"/>
  <c r="V2433" i="9"/>
  <c r="V2435" i="9"/>
  <c r="V2436" i="9"/>
  <c r="V2437" i="9"/>
  <c r="V2438" i="9"/>
  <c r="V2439" i="9"/>
  <c r="V2440" i="9"/>
  <c r="V2441" i="9"/>
  <c r="V2442" i="9"/>
  <c r="V2443" i="9"/>
  <c r="V2444" i="9"/>
  <c r="V2445" i="9"/>
  <c r="V2447" i="9"/>
  <c r="V2448" i="9"/>
  <c r="V2449" i="9"/>
  <c r="V2450" i="9"/>
  <c r="V2451" i="9"/>
  <c r="V2452" i="9"/>
  <c r="V2453" i="9"/>
  <c r="V2454" i="9"/>
  <c r="V2455" i="9"/>
  <c r="V2456" i="9"/>
  <c r="V2459" i="9"/>
  <c r="V2460" i="9"/>
  <c r="V2461" i="9"/>
  <c r="V2462" i="9"/>
  <c r="V2463" i="9"/>
  <c r="V2464" i="9"/>
  <c r="V2465" i="9"/>
  <c r="V2466" i="9"/>
  <c r="V2467" i="9"/>
  <c r="V2468" i="9"/>
  <c r="V2469" i="9"/>
  <c r="V2470" i="9"/>
  <c r="V2471" i="9"/>
  <c r="V2472" i="9"/>
  <c r="V2474" i="9"/>
  <c r="V2475" i="9"/>
  <c r="V2476" i="9"/>
  <c r="V2477" i="9"/>
  <c r="V2478" i="9"/>
  <c r="V2479" i="9"/>
  <c r="V2480" i="9"/>
  <c r="V2481" i="9"/>
  <c r="V2482" i="9"/>
  <c r="V2483" i="9"/>
  <c r="V2484" i="9"/>
  <c r="V2485" i="9"/>
  <c r="V2486" i="9"/>
  <c r="V2487" i="9"/>
  <c r="V2489" i="9"/>
  <c r="V2490" i="9"/>
  <c r="V2491" i="9"/>
  <c r="V2492" i="9"/>
  <c r="V2493" i="9"/>
  <c r="V2494" i="9"/>
  <c r="V2495" i="9"/>
  <c r="V2496" i="9"/>
  <c r="V2497" i="9"/>
  <c r="V2498" i="9"/>
  <c r="V2499" i="9"/>
  <c r="V2500" i="9"/>
  <c r="V2502" i="9"/>
  <c r="V2503" i="9"/>
  <c r="V2506" i="9"/>
  <c r="V2507" i="9"/>
  <c r="V2508" i="9"/>
  <c r="V2509" i="9"/>
  <c r="V2510" i="9"/>
  <c r="V2511" i="9"/>
  <c r="V2512" i="9"/>
  <c r="V2513" i="9"/>
  <c r="V2514" i="9"/>
  <c r="V2515" i="9"/>
  <c r="V2516" i="9"/>
  <c r="V2517" i="9"/>
  <c r="V2518" i="9"/>
  <c r="V2519" i="9"/>
  <c r="V2520" i="9"/>
  <c r="V2521" i="9"/>
  <c r="V2522" i="9"/>
  <c r="V2523" i="9"/>
  <c r="V2525" i="9"/>
  <c r="V2527" i="9"/>
  <c r="V2529" i="9"/>
  <c r="V2530" i="9"/>
  <c r="V2531" i="9"/>
  <c r="V2532" i="9"/>
  <c r="V2533" i="9"/>
  <c r="V2534" i="9"/>
  <c r="V2535" i="9"/>
  <c r="V2536" i="9"/>
  <c r="V2537" i="9"/>
  <c r="V2539" i="9"/>
  <c r="V2540" i="9"/>
  <c r="V2541" i="9"/>
  <c r="V2542" i="9"/>
  <c r="V2543" i="9"/>
  <c r="V2544" i="9"/>
  <c r="V2546" i="9"/>
  <c r="V2547" i="9"/>
  <c r="V2548" i="9"/>
  <c r="V2549" i="9"/>
  <c r="V2550" i="9"/>
  <c r="V2551" i="9"/>
  <c r="V2553" i="9"/>
  <c r="V2554" i="9"/>
  <c r="V2555" i="9"/>
  <c r="V2556" i="9"/>
  <c r="V2557" i="9"/>
  <c r="V2558" i="9"/>
  <c r="V2559" i="9"/>
  <c r="V2560" i="9"/>
  <c r="V2561" i="9"/>
  <c r="V2562" i="9"/>
  <c r="V2563" i="9"/>
  <c r="V2565" i="9"/>
  <c r="V2567" i="9"/>
  <c r="V2568" i="9"/>
  <c r="V2569" i="9"/>
  <c r="V2570" i="9"/>
  <c r="V2572" i="9"/>
  <c r="V2573" i="9"/>
  <c r="V2574" i="9"/>
  <c r="V2575" i="9"/>
  <c r="V2576" i="9"/>
  <c r="V2577" i="9"/>
  <c r="V2578" i="9"/>
  <c r="V2579" i="9"/>
  <c r="V2581" i="9"/>
  <c r="V2582" i="9"/>
  <c r="V2583" i="9"/>
  <c r="V2584" i="9"/>
  <c r="V2585" i="9"/>
  <c r="V2586" i="9"/>
  <c r="V2587" i="9"/>
  <c r="V2588" i="9"/>
  <c r="V2589" i="9"/>
  <c r="V2590" i="9"/>
  <c r="V2591" i="9"/>
  <c r="V2592" i="9"/>
  <c r="V2593" i="9"/>
  <c r="V2594" i="9"/>
  <c r="V2595" i="9"/>
  <c r="V2596" i="9"/>
  <c r="V2597" i="9"/>
  <c r="V2599" i="9"/>
  <c r="V2600" i="9"/>
  <c r="V2601" i="9"/>
  <c r="V2602" i="9"/>
  <c r="V2603" i="9"/>
  <c r="V2604" i="9"/>
  <c r="V2605" i="9"/>
  <c r="V2606" i="9"/>
  <c r="V2607" i="9"/>
  <c r="V2608" i="9"/>
  <c r="V2609" i="9"/>
  <c r="V2610" i="9"/>
  <c r="V2611" i="9"/>
  <c r="V2613" i="9"/>
  <c r="V2614" i="9"/>
  <c r="V2616" i="9"/>
  <c r="V2617" i="9"/>
  <c r="V2618" i="9"/>
  <c r="V2619" i="9"/>
  <c r="V2620" i="9"/>
  <c r="V2621" i="9"/>
  <c r="V2623" i="9"/>
  <c r="V2624" i="9"/>
  <c r="V2625" i="9"/>
  <c r="V2626" i="9"/>
  <c r="V2628" i="9"/>
  <c r="V2629" i="9"/>
  <c r="V2630" i="9"/>
  <c r="V2631" i="9"/>
  <c r="V2632" i="9"/>
  <c r="V2633" i="9"/>
  <c r="V2634" i="9"/>
  <c r="V2635" i="9"/>
  <c r="V2636" i="9"/>
  <c r="V2637" i="9"/>
  <c r="V2638" i="9"/>
  <c r="V2639" i="9"/>
  <c r="V2641" i="9"/>
  <c r="V2642" i="9"/>
  <c r="V2643" i="9"/>
  <c r="V2644" i="9"/>
  <c r="V2645" i="9"/>
  <c r="V2646" i="9"/>
  <c r="V2647" i="9"/>
  <c r="V2648" i="9"/>
  <c r="W1244" i="9"/>
  <c r="W1245" i="9"/>
  <c r="W1246" i="9"/>
  <c r="W1247" i="9"/>
  <c r="W1248" i="9"/>
  <c r="W1249" i="9"/>
  <c r="W1250" i="9"/>
  <c r="W1251" i="9"/>
  <c r="W1252" i="9"/>
  <c r="W1253" i="9"/>
  <c r="W1254" i="9"/>
  <c r="W1255" i="9"/>
  <c r="W1256" i="9"/>
  <c r="W1257" i="9"/>
  <c r="W1258" i="9"/>
  <c r="W1259" i="9"/>
  <c r="W1260" i="9"/>
  <c r="W1261" i="9"/>
  <c r="W1262" i="9"/>
  <c r="W1263" i="9"/>
  <c r="W1264" i="9"/>
  <c r="W1265" i="9"/>
  <c r="W1266" i="9"/>
  <c r="W1267" i="9"/>
  <c r="W1268" i="9"/>
  <c r="W1269" i="9"/>
  <c r="W1270" i="9"/>
  <c r="W1271" i="9"/>
  <c r="W1272" i="9"/>
  <c r="W1273" i="9"/>
  <c r="W1274" i="9"/>
  <c r="W1275" i="9"/>
  <c r="W1277" i="9"/>
  <c r="W1278" i="9"/>
  <c r="W1279" i="9"/>
  <c r="W1280" i="9"/>
  <c r="W1281" i="9"/>
  <c r="W1282" i="9"/>
  <c r="W1283" i="9"/>
  <c r="W1285" i="9"/>
  <c r="W1286" i="9"/>
  <c r="W1287" i="9"/>
  <c r="W1288" i="9"/>
  <c r="W1289" i="9"/>
  <c r="W1292" i="9"/>
  <c r="W1293" i="9"/>
  <c r="W1294" i="9"/>
  <c r="W1295" i="9"/>
  <c r="W1297" i="9"/>
  <c r="W1298" i="9"/>
  <c r="W1299" i="9"/>
  <c r="W1300" i="9"/>
  <c r="W1301" i="9"/>
  <c r="W1302" i="9"/>
  <c r="W1303" i="9"/>
  <c r="W1304" i="9"/>
  <c r="W1305" i="9"/>
  <c r="W1306" i="9"/>
  <c r="W1307" i="9"/>
  <c r="W1308" i="9"/>
  <c r="W1309" i="9"/>
  <c r="W1310" i="9"/>
  <c r="W1311" i="9"/>
  <c r="W1312" i="9"/>
  <c r="W1313" i="9"/>
  <c r="W1314" i="9"/>
  <c r="W1315" i="9"/>
  <c r="W1316" i="9"/>
  <c r="W1317" i="9"/>
  <c r="W1318" i="9"/>
  <c r="W1319" i="9"/>
  <c r="W1320" i="9"/>
  <c r="W1321" i="9"/>
  <c r="W1322" i="9"/>
  <c r="W1323" i="9"/>
  <c r="W1324" i="9"/>
  <c r="W1325" i="9"/>
  <c r="W1326" i="9"/>
  <c r="W1327" i="9"/>
  <c r="W1328" i="9"/>
  <c r="W1330" i="9"/>
  <c r="W1331" i="9"/>
  <c r="W1332" i="9"/>
  <c r="W1333" i="9"/>
  <c r="W1334" i="9"/>
  <c r="W1335" i="9"/>
  <c r="W1336" i="9"/>
  <c r="W1337" i="9"/>
  <c r="W1338" i="9"/>
  <c r="W1340" i="9"/>
  <c r="W1341" i="9"/>
  <c r="W1342" i="9"/>
  <c r="W1343" i="9"/>
  <c r="W1344" i="9"/>
  <c r="W1345" i="9"/>
  <c r="W1346" i="9"/>
  <c r="W1347" i="9"/>
  <c r="W1348" i="9"/>
  <c r="W1349" i="9"/>
  <c r="W1350" i="9"/>
  <c r="W1352" i="9"/>
  <c r="W1353" i="9"/>
  <c r="W1354" i="9"/>
  <c r="W1355" i="9"/>
  <c r="W1356" i="9"/>
  <c r="W1357" i="9"/>
  <c r="W1358" i="9"/>
  <c r="W1359" i="9"/>
  <c r="W1360" i="9"/>
  <c r="W1361" i="9"/>
  <c r="W1362" i="9"/>
  <c r="W1363" i="9"/>
  <c r="W1364" i="9"/>
  <c r="W1366" i="9"/>
  <c r="W1367" i="9"/>
  <c r="W1368" i="9"/>
  <c r="W1369" i="9"/>
  <c r="W1370" i="9"/>
  <c r="W1372" i="9"/>
  <c r="W1373" i="9"/>
  <c r="W1374" i="9"/>
  <c r="W1375" i="9"/>
  <c r="W1376" i="9"/>
  <c r="W1377" i="9"/>
  <c r="W1378" i="9"/>
  <c r="W1379" i="9"/>
  <c r="W1380" i="9"/>
  <c r="W1381" i="9"/>
  <c r="W1382" i="9"/>
  <c r="W1385" i="9"/>
  <c r="W1386" i="9"/>
  <c r="W1387" i="9"/>
  <c r="W1388" i="9"/>
  <c r="W1389" i="9"/>
  <c r="W1390" i="9"/>
  <c r="W1391" i="9"/>
  <c r="W1392" i="9"/>
  <c r="W1393" i="9"/>
  <c r="W1394" i="9"/>
  <c r="W1395" i="9"/>
  <c r="W1396" i="9"/>
  <c r="W1398" i="9"/>
  <c r="W1399" i="9"/>
  <c r="W1400" i="9"/>
  <c r="W1401" i="9"/>
  <c r="W1402" i="9"/>
  <c r="W1403" i="9"/>
  <c r="W1404" i="9"/>
  <c r="W1405" i="9"/>
  <c r="W1406" i="9"/>
  <c r="W1408" i="9"/>
  <c r="W1409" i="9"/>
  <c r="W1410" i="9"/>
  <c r="W1411" i="9"/>
  <c r="W1412" i="9"/>
  <c r="W1413" i="9"/>
  <c r="W1414" i="9"/>
  <c r="W1415" i="9"/>
  <c r="W1416" i="9"/>
  <c r="W1417" i="9"/>
  <c r="W1418" i="9"/>
  <c r="W1419" i="9"/>
  <c r="W1420" i="9"/>
  <c r="W1421" i="9"/>
  <c r="W1422" i="9"/>
  <c r="W1424" i="9"/>
  <c r="W1425" i="9"/>
  <c r="W1426" i="9"/>
  <c r="W1427" i="9"/>
  <c r="W1428" i="9"/>
  <c r="W1429" i="9"/>
  <c r="W1430" i="9"/>
  <c r="W1431" i="9"/>
  <c r="W1432" i="9"/>
  <c r="W1433" i="9"/>
  <c r="W1434" i="9"/>
  <c r="W1435" i="9"/>
  <c r="W1437" i="9"/>
  <c r="W1438" i="9"/>
  <c r="W1439" i="9"/>
  <c r="W1440" i="9"/>
  <c r="W1441" i="9"/>
  <c r="W1442" i="9"/>
  <c r="W1443" i="9"/>
  <c r="W1444" i="9"/>
  <c r="W1446" i="9"/>
  <c r="W1447" i="9"/>
  <c r="W1448" i="9"/>
  <c r="W1449" i="9"/>
  <c r="W1450" i="9"/>
  <c r="W1451" i="9"/>
  <c r="W1452" i="9"/>
  <c r="W1453" i="9"/>
  <c r="W1454" i="9"/>
  <c r="W1456" i="9"/>
  <c r="W1458" i="9"/>
  <c r="W1459" i="9"/>
  <c r="W1460" i="9"/>
  <c r="W1461" i="9"/>
  <c r="W1462" i="9"/>
  <c r="W1464" i="9"/>
  <c r="W1466" i="9"/>
  <c r="W1467" i="9"/>
  <c r="W1468" i="9"/>
  <c r="W1469" i="9"/>
  <c r="W1470" i="9"/>
  <c r="W1471" i="9"/>
  <c r="W1472" i="9"/>
  <c r="W1474" i="9"/>
  <c r="W1475" i="9"/>
  <c r="W1477" i="9"/>
  <c r="W1478" i="9"/>
  <c r="W1479" i="9"/>
  <c r="W1481" i="9"/>
  <c r="W1482" i="9"/>
  <c r="W1483" i="9"/>
  <c r="W1484" i="9"/>
  <c r="W1485" i="9"/>
  <c r="W1486" i="9"/>
  <c r="W1488" i="9"/>
  <c r="W1489" i="9"/>
  <c r="W1490" i="9"/>
  <c r="W1491" i="9"/>
  <c r="W1492" i="9"/>
  <c r="W1493" i="9"/>
  <c r="W1495" i="9"/>
  <c r="W1496" i="9"/>
  <c r="W1497" i="9"/>
  <c r="W1498" i="9"/>
  <c r="W1500" i="9"/>
  <c r="W1502" i="9"/>
  <c r="W1503" i="9"/>
  <c r="W1504" i="9"/>
  <c r="W1505" i="9"/>
  <c r="W1506" i="9"/>
  <c r="W1507" i="9"/>
  <c r="W1509" i="9"/>
  <c r="W1510" i="9"/>
  <c r="W1511" i="9"/>
  <c r="W1512" i="9"/>
  <c r="W1513" i="9"/>
  <c r="W1514" i="9"/>
  <c r="W1516" i="9"/>
  <c r="W1517" i="9"/>
  <c r="W1518" i="9"/>
  <c r="W1519" i="9"/>
  <c r="W1520" i="9"/>
  <c r="W1521" i="9"/>
  <c r="W1523" i="9"/>
  <c r="W1524" i="9"/>
  <c r="W1525" i="9"/>
  <c r="W1526" i="9"/>
  <c r="W1527" i="9"/>
  <c r="W1528" i="9"/>
  <c r="W1530" i="9"/>
  <c r="W1531" i="9"/>
  <c r="W1532" i="9"/>
  <c r="W1533" i="9"/>
  <c r="W1534" i="9"/>
  <c r="W1535" i="9"/>
  <c r="W1537" i="9"/>
  <c r="W1538" i="9"/>
  <c r="W1539" i="9"/>
  <c r="W1540" i="9"/>
  <c r="W1541" i="9"/>
  <c r="W1542" i="9"/>
  <c r="W1544" i="9"/>
  <c r="W1545" i="9"/>
  <c r="W1546" i="9"/>
  <c r="W1547" i="9"/>
  <c r="W1548" i="9"/>
  <c r="W1549" i="9"/>
  <c r="W1551" i="9"/>
  <c r="W1552" i="9"/>
  <c r="W1554" i="9"/>
  <c r="W1555" i="9"/>
  <c r="W1556" i="9"/>
  <c r="W1557" i="9"/>
  <c r="W1559" i="9"/>
  <c r="W1560" i="9"/>
  <c r="W1561" i="9"/>
  <c r="W1562" i="9"/>
  <c r="W1563" i="9"/>
  <c r="W1564" i="9"/>
  <c r="W1565" i="9"/>
  <c r="W1566" i="9"/>
  <c r="W1567" i="9"/>
  <c r="W1568" i="9"/>
  <c r="W1569" i="9"/>
  <c r="W1570" i="9"/>
  <c r="W1571" i="9"/>
  <c r="W1572" i="9"/>
  <c r="W1573" i="9"/>
  <c r="W1574" i="9"/>
  <c r="W1575" i="9"/>
  <c r="W1578" i="9"/>
  <c r="W1579" i="9"/>
  <c r="W1580" i="9"/>
  <c r="W1581" i="9"/>
  <c r="W1582" i="9"/>
  <c r="W1584" i="9"/>
  <c r="W1586" i="9"/>
  <c r="W1587" i="9"/>
  <c r="W1588" i="9"/>
  <c r="W1589" i="9"/>
  <c r="W1590" i="9"/>
  <c r="W1591" i="9"/>
  <c r="W1593" i="9"/>
  <c r="W1594" i="9"/>
  <c r="W1595" i="9"/>
  <c r="W1596" i="9"/>
  <c r="W1597" i="9"/>
  <c r="W1598" i="9"/>
  <c r="W1599" i="9"/>
  <c r="W1600" i="9"/>
  <c r="W1602" i="9"/>
  <c r="W1603" i="9"/>
  <c r="W1604" i="9"/>
  <c r="W1605" i="9"/>
  <c r="W1606" i="9"/>
  <c r="W1607" i="9"/>
  <c r="W1608" i="9"/>
  <c r="W1609" i="9"/>
  <c r="W1610" i="9"/>
  <c r="W1611" i="9"/>
  <c r="W1612" i="9"/>
  <c r="W1613" i="9"/>
  <c r="W1614" i="9"/>
  <c r="W1615" i="9"/>
  <c r="W1617" i="9"/>
  <c r="W1618" i="9"/>
  <c r="W1619" i="9"/>
  <c r="W1620" i="9"/>
  <c r="W1621" i="9"/>
  <c r="W1622" i="9"/>
  <c r="W1623" i="9"/>
  <c r="W1624" i="9"/>
  <c r="W1625" i="9"/>
  <c r="W1627" i="9"/>
  <c r="W1629" i="9"/>
  <c r="W1630" i="9"/>
  <c r="W1631" i="9"/>
  <c r="W1632" i="9"/>
  <c r="W1633" i="9"/>
  <c r="W1635" i="9"/>
  <c r="W1636" i="9"/>
  <c r="W1637" i="9"/>
  <c r="W1638" i="9"/>
  <c r="W1639" i="9"/>
  <c r="W1640" i="9"/>
  <c r="W1641" i="9"/>
  <c r="W1642" i="9"/>
  <c r="W1644" i="9"/>
  <c r="W1645" i="9"/>
  <c r="W1646" i="9"/>
  <c r="W1647" i="9"/>
  <c r="W1648" i="9"/>
  <c r="W1649" i="9"/>
  <c r="W1650" i="9"/>
  <c r="W1652" i="9"/>
  <c r="W1653" i="9"/>
  <c r="W1654" i="9"/>
  <c r="W1655" i="9"/>
  <c r="W1656" i="9"/>
  <c r="W1658" i="9"/>
  <c r="W1659" i="9"/>
  <c r="W1660" i="9"/>
  <c r="W1661" i="9"/>
  <c r="W1662" i="9"/>
  <c r="W1663" i="9"/>
  <c r="W1664" i="9"/>
  <c r="W1665" i="9"/>
  <c r="W1666" i="9"/>
  <c r="W1667" i="9"/>
  <c r="W1668" i="9"/>
  <c r="W1669" i="9"/>
  <c r="W1670" i="9"/>
  <c r="W1671" i="9"/>
  <c r="W1673" i="9"/>
  <c r="W1674" i="9"/>
  <c r="W1675" i="9"/>
  <c r="W1676" i="9"/>
  <c r="W1677" i="9"/>
  <c r="W1678" i="9"/>
  <c r="W1679" i="9"/>
  <c r="W1680" i="9"/>
  <c r="W1681" i="9"/>
  <c r="W1682" i="9"/>
  <c r="W1683" i="9"/>
  <c r="W1684" i="9"/>
  <c r="W1685" i="9"/>
  <c r="W1686" i="9"/>
  <c r="W1688" i="9"/>
  <c r="W1689" i="9"/>
  <c r="W1691" i="9"/>
  <c r="W1692" i="9"/>
  <c r="W1693" i="9"/>
  <c r="W1694" i="9"/>
  <c r="W1696" i="9"/>
  <c r="W1697" i="9"/>
  <c r="W1698" i="9"/>
  <c r="W1699" i="9"/>
  <c r="W1700" i="9"/>
  <c r="W1701" i="9"/>
  <c r="W1702" i="9"/>
  <c r="W1704" i="9"/>
  <c r="W1705" i="9"/>
  <c r="W1706" i="9"/>
  <c r="W1707" i="9"/>
  <c r="W1708" i="9"/>
  <c r="W1709" i="9"/>
  <c r="W1710" i="9"/>
  <c r="W1711" i="9"/>
  <c r="W1712" i="9"/>
  <c r="W1713" i="9"/>
  <c r="W1715" i="9"/>
  <c r="W1716" i="9"/>
  <c r="W1717" i="9"/>
  <c r="W1718" i="9"/>
  <c r="W1719" i="9"/>
  <c r="W1720" i="9"/>
  <c r="W1721" i="9"/>
  <c r="W1722" i="9"/>
  <c r="W1723" i="9"/>
  <c r="W1724" i="9"/>
  <c r="W1725" i="9"/>
  <c r="W1726" i="9"/>
  <c r="W1727" i="9"/>
  <c r="W1729" i="9"/>
  <c r="W1730" i="9"/>
  <c r="W1731" i="9"/>
  <c r="W1732" i="9"/>
  <c r="W1733" i="9"/>
  <c r="W1734" i="9"/>
  <c r="W1735" i="9"/>
  <c r="W1736" i="9"/>
  <c r="W1737" i="9"/>
  <c r="W1738" i="9"/>
  <c r="W1739" i="9"/>
  <c r="W1741" i="9"/>
  <c r="W1743" i="9"/>
  <c r="W1744" i="9"/>
  <c r="W1745" i="9"/>
  <c r="W1746" i="9"/>
  <c r="W1747" i="9"/>
  <c r="W1748" i="9"/>
  <c r="W1749" i="9"/>
  <c r="W1750" i="9"/>
  <c r="W1751" i="9"/>
  <c r="W1752" i="9"/>
  <c r="W1753" i="9"/>
  <c r="W1754" i="9"/>
  <c r="W1755" i="9"/>
  <c r="W1756" i="9"/>
  <c r="W1757" i="9"/>
  <c r="W1758" i="9"/>
  <c r="W1759" i="9"/>
  <c r="W1760" i="9"/>
  <c r="W1761" i="9"/>
  <c r="W1762" i="9"/>
  <c r="W1763" i="9"/>
  <c r="W1764" i="9"/>
  <c r="W1765" i="9"/>
  <c r="W1766" i="9"/>
  <c r="W1768" i="9"/>
  <c r="W1769" i="9"/>
  <c r="W1770" i="9"/>
  <c r="W1771" i="9"/>
  <c r="W1772" i="9"/>
  <c r="W1773" i="9"/>
  <c r="W1775" i="9"/>
  <c r="W1776" i="9"/>
  <c r="W1777" i="9"/>
  <c r="W1778" i="9"/>
  <c r="W1779" i="9"/>
  <c r="W1780" i="9"/>
  <c r="W1781" i="9"/>
  <c r="W1782" i="9"/>
  <c r="W1783" i="9"/>
  <c r="W1784" i="9"/>
  <c r="W1785" i="9"/>
  <c r="W1786" i="9"/>
  <c r="W1788" i="9"/>
  <c r="W1789" i="9"/>
  <c r="W1790" i="9"/>
  <c r="W1791" i="9"/>
  <c r="W1792" i="9"/>
  <c r="W1793" i="9"/>
  <c r="W1794" i="9"/>
  <c r="W1795" i="9"/>
  <c r="W1796" i="9"/>
  <c r="W1797" i="9"/>
  <c r="W1798" i="9"/>
  <c r="W1799" i="9"/>
  <c r="W1800" i="9"/>
  <c r="W1801" i="9"/>
  <c r="W1802" i="9"/>
  <c r="W1803" i="9"/>
  <c r="W1804" i="9"/>
  <c r="W1805" i="9"/>
  <c r="W1806" i="9"/>
  <c r="W1807" i="9"/>
  <c r="W1808" i="9"/>
  <c r="W1809" i="9"/>
  <c r="W1810" i="9"/>
  <c r="W1811" i="9"/>
  <c r="W1812" i="9"/>
  <c r="W1813" i="9"/>
  <c r="W1814" i="9"/>
  <c r="W1815" i="9"/>
  <c r="W1816" i="9"/>
  <c r="W1817" i="9"/>
  <c r="W1819" i="9"/>
  <c r="W1820" i="9"/>
  <c r="W1821" i="9"/>
  <c r="W1822" i="9"/>
  <c r="W1823" i="9"/>
  <c r="W1824" i="9"/>
  <c r="W1825" i="9"/>
  <c r="W1826" i="9"/>
  <c r="W1827" i="9"/>
  <c r="W1829" i="9"/>
  <c r="W1830" i="9"/>
  <c r="W1831" i="9"/>
  <c r="W1832" i="9"/>
  <c r="W1833" i="9"/>
  <c r="W1834" i="9"/>
  <c r="W1835" i="9"/>
  <c r="W1836" i="9"/>
  <c r="W1837" i="9"/>
  <c r="W1838" i="9"/>
  <c r="W1840" i="9"/>
  <c r="W1841" i="9"/>
  <c r="W1842" i="9"/>
  <c r="W1843" i="9"/>
  <c r="W1844" i="9"/>
  <c r="W1845" i="9"/>
  <c r="W1846" i="9"/>
  <c r="W1847" i="9"/>
  <c r="W1848" i="9"/>
  <c r="W1849" i="9"/>
  <c r="W1850" i="9"/>
  <c r="W1851" i="9"/>
  <c r="W1853" i="9"/>
  <c r="W1854" i="9"/>
  <c r="W1855" i="9"/>
  <c r="W1856" i="9"/>
  <c r="W1857" i="9"/>
  <c r="W1858" i="9"/>
  <c r="W1859" i="9"/>
  <c r="W1860" i="9"/>
  <c r="W1861" i="9"/>
  <c r="W1862" i="9"/>
  <c r="W1863" i="9"/>
  <c r="W1864" i="9"/>
  <c r="W1865" i="9"/>
  <c r="W1866" i="9"/>
  <c r="W1867" i="9"/>
  <c r="W1868" i="9"/>
  <c r="W1869" i="9"/>
  <c r="W1871" i="9"/>
  <c r="W1872" i="9"/>
  <c r="W1873" i="9"/>
  <c r="W1874" i="9"/>
  <c r="W1875" i="9"/>
  <c r="W1876" i="9"/>
  <c r="W1877" i="9"/>
  <c r="W1878" i="9"/>
  <c r="W1879" i="9"/>
  <c r="W1880" i="9"/>
  <c r="W1882" i="9"/>
  <c r="W1883" i="9"/>
  <c r="W1884" i="9"/>
  <c r="W1885" i="9"/>
  <c r="W1886" i="9"/>
  <c r="W1887" i="9"/>
  <c r="W1888" i="9"/>
  <c r="W1889" i="9"/>
  <c r="W1890" i="9"/>
  <c r="W1891" i="9"/>
  <c r="W1892" i="9"/>
  <c r="W1893" i="9"/>
  <c r="W1894" i="9"/>
  <c r="W1895" i="9"/>
  <c r="W1896" i="9"/>
  <c r="W1897" i="9"/>
  <c r="W1899" i="9"/>
  <c r="W1901" i="9"/>
  <c r="W1902" i="9"/>
  <c r="W1903" i="9"/>
  <c r="W1904" i="9"/>
  <c r="W1905" i="9"/>
  <c r="W1906" i="9"/>
  <c r="W1907" i="9"/>
  <c r="W1908" i="9"/>
  <c r="W1910" i="9"/>
  <c r="W1911" i="9"/>
  <c r="W1912" i="9"/>
  <c r="W1913" i="9"/>
  <c r="W1914" i="9"/>
  <c r="W1915" i="9"/>
  <c r="W1916" i="9"/>
  <c r="W1917" i="9"/>
  <c r="W1918" i="9"/>
  <c r="W1919" i="9"/>
  <c r="W1920" i="9"/>
  <c r="W1921" i="9"/>
  <c r="W1922" i="9"/>
  <c r="W1924" i="9"/>
  <c r="W1925" i="9"/>
  <c r="W1926" i="9"/>
  <c r="W1927" i="9"/>
  <c r="W1929" i="9"/>
  <c r="W1930" i="9"/>
  <c r="W1931" i="9"/>
  <c r="W1932" i="9"/>
  <c r="W1933" i="9"/>
  <c r="W1934" i="9"/>
  <c r="W1935" i="9"/>
  <c r="W1936" i="9"/>
  <c r="W1937" i="9"/>
  <c r="W1938" i="9"/>
  <c r="W1939" i="9"/>
  <c r="W1940" i="9"/>
  <c r="W1941" i="9"/>
  <c r="W1942" i="9"/>
  <c r="W1945" i="9"/>
  <c r="W1946" i="9"/>
  <c r="W1947" i="9"/>
  <c r="W1948" i="9"/>
  <c r="W1949" i="9"/>
  <c r="W1950" i="9"/>
  <c r="W1951" i="9"/>
  <c r="W1952" i="9"/>
  <c r="W1953" i="9"/>
  <c r="W1955" i="9"/>
  <c r="W1956" i="9"/>
  <c r="W1957" i="9"/>
  <c r="W1958" i="9"/>
  <c r="W1959" i="9"/>
  <c r="W1960" i="9"/>
  <c r="W1961" i="9"/>
  <c r="W1962" i="9"/>
  <c r="W1963" i="9"/>
  <c r="W1964" i="9"/>
  <c r="W1965" i="9"/>
  <c r="W1966" i="9"/>
  <c r="W1967" i="9"/>
  <c r="W1969" i="9"/>
  <c r="W1970" i="9"/>
  <c r="W1971" i="9"/>
  <c r="W1972" i="9"/>
  <c r="W1973" i="9"/>
  <c r="W1974" i="9"/>
  <c r="W1975" i="9"/>
  <c r="W1976" i="9"/>
  <c r="W1977" i="9"/>
  <c r="W1978" i="9"/>
  <c r="W1979" i="9"/>
  <c r="W1981" i="9"/>
  <c r="W1982" i="9"/>
  <c r="W1983" i="9"/>
  <c r="W1984" i="9"/>
  <c r="W1985" i="9"/>
  <c r="W1986" i="9"/>
  <c r="W1987" i="9"/>
  <c r="W1988" i="9"/>
  <c r="W1989" i="9"/>
  <c r="W1990" i="9"/>
  <c r="W1991" i="9"/>
  <c r="W1993" i="9"/>
  <c r="W1994" i="9"/>
  <c r="W1995" i="9"/>
  <c r="W1996" i="9"/>
  <c r="W1997" i="9"/>
  <c r="W1998" i="9"/>
  <c r="W1999" i="9"/>
  <c r="W2002" i="9"/>
  <c r="W2004" i="9"/>
  <c r="W2005" i="9"/>
  <c r="W2006" i="9"/>
  <c r="W2007" i="9"/>
  <c r="W2008" i="9"/>
  <c r="W2011" i="9"/>
  <c r="W2012" i="9"/>
  <c r="W2013" i="9"/>
  <c r="W2014" i="9"/>
  <c r="W2015" i="9"/>
  <c r="W2016" i="9"/>
  <c r="W2019" i="9"/>
  <c r="W2020" i="9"/>
  <c r="W2021" i="9"/>
  <c r="W2022" i="9"/>
  <c r="W2023" i="9"/>
  <c r="W2024" i="9"/>
  <c r="W2025" i="9"/>
  <c r="W2026" i="9"/>
  <c r="W2028" i="9"/>
  <c r="W2029" i="9"/>
  <c r="W2030" i="9"/>
  <c r="W2031" i="9"/>
  <c r="W2032" i="9"/>
  <c r="W2033" i="9"/>
  <c r="W2034" i="9"/>
  <c r="W2035" i="9"/>
  <c r="W2036" i="9"/>
  <c r="W2037" i="9"/>
  <c r="W2038" i="9"/>
  <c r="W2039" i="9"/>
  <c r="W2040" i="9"/>
  <c r="W2041" i="9"/>
  <c r="W2042" i="9"/>
  <c r="W2044" i="9"/>
  <c r="W2045" i="9"/>
  <c r="W2046" i="9"/>
  <c r="W2047" i="9"/>
  <c r="W2048" i="9"/>
  <c r="W2049" i="9"/>
  <c r="W2051" i="9"/>
  <c r="W2052" i="9"/>
  <c r="W2053" i="9"/>
  <c r="W2054" i="9"/>
  <c r="W2055" i="9"/>
  <c r="W2056" i="9"/>
  <c r="W2057" i="9"/>
  <c r="W2058" i="9"/>
  <c r="W2059" i="9"/>
  <c r="W2060" i="9"/>
  <c r="W2062" i="9"/>
  <c r="W2063" i="9"/>
  <c r="W2064" i="9"/>
  <c r="W2065" i="9"/>
  <c r="W2066" i="9"/>
  <c r="W2067" i="9"/>
  <c r="W2068" i="9"/>
  <c r="W2070" i="9"/>
  <c r="W2071" i="9"/>
  <c r="W2072" i="9"/>
  <c r="W2073" i="9"/>
  <c r="W2074" i="9"/>
  <c r="W2075" i="9"/>
  <c r="W2076" i="9"/>
  <c r="W2077" i="9"/>
  <c r="W2078" i="9"/>
  <c r="W2079" i="9"/>
  <c r="W2080" i="9"/>
  <c r="W2081" i="9"/>
  <c r="W2082" i="9"/>
  <c r="W2083" i="9"/>
  <c r="W2084" i="9"/>
  <c r="W2085" i="9"/>
  <c r="W2086" i="9"/>
  <c r="W2087" i="9"/>
  <c r="W2088" i="9"/>
  <c r="W2089" i="9"/>
  <c r="W2090" i="9"/>
  <c r="W2091" i="9"/>
  <c r="W2092" i="9"/>
  <c r="W2093" i="9"/>
  <c r="W2094" i="9"/>
  <c r="W2096" i="9"/>
  <c r="W2097" i="9"/>
  <c r="W2098" i="9"/>
  <c r="W2099" i="9"/>
  <c r="W2100" i="9"/>
  <c r="W2101" i="9"/>
  <c r="W2102" i="9"/>
  <c r="W2103" i="9"/>
  <c r="W2104" i="9"/>
  <c r="W2105" i="9"/>
  <c r="W2106" i="9"/>
  <c r="W2107" i="9"/>
  <c r="W2108" i="9"/>
  <c r="W2109" i="9"/>
  <c r="W2111" i="9"/>
  <c r="W2112" i="9"/>
  <c r="W2113" i="9"/>
  <c r="W2114" i="9"/>
  <c r="W2116" i="9"/>
  <c r="W2117" i="9"/>
  <c r="W2118" i="9"/>
  <c r="W2119" i="9"/>
  <c r="W2120" i="9"/>
  <c r="W2121" i="9"/>
  <c r="W2122" i="9"/>
  <c r="W2124" i="9"/>
  <c r="W2125" i="9"/>
  <c r="W2126" i="9"/>
  <c r="W2127" i="9"/>
  <c r="W2128" i="9"/>
  <c r="W2129" i="9"/>
  <c r="W2130" i="9"/>
  <c r="W2131" i="9"/>
  <c r="W2132" i="9"/>
  <c r="W2133" i="9"/>
  <c r="W2134" i="9"/>
  <c r="W2136" i="9"/>
  <c r="W2137" i="9"/>
  <c r="W2138" i="9"/>
  <c r="W2140" i="9"/>
  <c r="W2141" i="9"/>
  <c r="W2142" i="9"/>
  <c r="W2143" i="9"/>
  <c r="W2144" i="9"/>
  <c r="W2145" i="9"/>
  <c r="W2146" i="9"/>
  <c r="W2147" i="9"/>
  <c r="W2149" i="9"/>
  <c r="W2150" i="9"/>
  <c r="W2151" i="9"/>
  <c r="W2153" i="9"/>
  <c r="W2154" i="9"/>
  <c r="W2155" i="9"/>
  <c r="W2156" i="9"/>
  <c r="W2157" i="9"/>
  <c r="W2158" i="9"/>
  <c r="W2159" i="9"/>
  <c r="W2160" i="9"/>
  <c r="W2161" i="9"/>
  <c r="W2163" i="9"/>
  <c r="W2164" i="9"/>
  <c r="W2166" i="9"/>
  <c r="W2167" i="9"/>
  <c r="W2168" i="9"/>
  <c r="W2169" i="9"/>
  <c r="W2170" i="9"/>
  <c r="W2171" i="9"/>
  <c r="W2172" i="9"/>
  <c r="W2173" i="9"/>
  <c r="W2174" i="9"/>
  <c r="W2175" i="9"/>
  <c r="W2176" i="9"/>
  <c r="W2177" i="9"/>
  <c r="W2178" i="9"/>
  <c r="W2179" i="9"/>
  <c r="W2180" i="9"/>
  <c r="W2181" i="9"/>
  <c r="W2182" i="9"/>
  <c r="W2183" i="9"/>
  <c r="W2184" i="9"/>
  <c r="W2185" i="9"/>
  <c r="W2186" i="9"/>
  <c r="W2188" i="9"/>
  <c r="W2189" i="9"/>
  <c r="W2190" i="9"/>
  <c r="W2191" i="9"/>
  <c r="W2192" i="9"/>
  <c r="W2193" i="9"/>
  <c r="W2195" i="9"/>
  <c r="W2196" i="9"/>
  <c r="W2197" i="9"/>
  <c r="W2198" i="9"/>
  <c r="W2199" i="9"/>
  <c r="W2200" i="9"/>
  <c r="W2201" i="9"/>
  <c r="W2202" i="9"/>
  <c r="W2203" i="9"/>
  <c r="W2204" i="9"/>
  <c r="W2205" i="9"/>
  <c r="W2206" i="9"/>
  <c r="W2208" i="9"/>
  <c r="W2209" i="9"/>
  <c r="W2210" i="9"/>
  <c r="W2211" i="9"/>
  <c r="W2212" i="9"/>
  <c r="W2213" i="9"/>
  <c r="W2214" i="9"/>
  <c r="W2215" i="9"/>
  <c r="W2218" i="9"/>
  <c r="W2219" i="9"/>
  <c r="W2220" i="9"/>
  <c r="W2221" i="9"/>
  <c r="W2222" i="9"/>
  <c r="W2223" i="9"/>
  <c r="W2224" i="9"/>
  <c r="W2225" i="9"/>
  <c r="W2226" i="9"/>
  <c r="W2227" i="9"/>
  <c r="W2228" i="9"/>
  <c r="W2229" i="9"/>
  <c r="W2230" i="9"/>
  <c r="W2231" i="9"/>
  <c r="W2232" i="9"/>
  <c r="W2233" i="9"/>
  <c r="W2234" i="9"/>
  <c r="W2236" i="9"/>
  <c r="W2237" i="9"/>
  <c r="W2238" i="9"/>
  <c r="W2239" i="9"/>
  <c r="W2241" i="9"/>
  <c r="W2243" i="9"/>
  <c r="W2244" i="9"/>
  <c r="W2245" i="9"/>
  <c r="W2246" i="9"/>
  <c r="W2247" i="9"/>
  <c r="W2248" i="9"/>
  <c r="W2249" i="9"/>
  <c r="W2253" i="9"/>
  <c r="W2254" i="9"/>
  <c r="W2255" i="9"/>
  <c r="W2256" i="9"/>
  <c r="W2257" i="9"/>
  <c r="W2258" i="9"/>
  <c r="W2259" i="9"/>
  <c r="W2260" i="9"/>
  <c r="W2261" i="9"/>
  <c r="W2263" i="9"/>
  <c r="W2264" i="9"/>
  <c r="W2265" i="9"/>
  <c r="W2266" i="9"/>
  <c r="W2267" i="9"/>
  <c r="W2268" i="9"/>
  <c r="W2269" i="9"/>
  <c r="W2270" i="9"/>
  <c r="W2271" i="9"/>
  <c r="W2273" i="9"/>
  <c r="W2275" i="9"/>
  <c r="W2276" i="9"/>
  <c r="W2277" i="9"/>
  <c r="W2278" i="9"/>
  <c r="W2279" i="9"/>
  <c r="W2280" i="9"/>
  <c r="W2281" i="9"/>
  <c r="W2282" i="9"/>
  <c r="W2283" i="9"/>
  <c r="W2284" i="9"/>
  <c r="W2285" i="9"/>
  <c r="W2286" i="9"/>
  <c r="W2287" i="9"/>
  <c r="W2289" i="9"/>
  <c r="W2290" i="9"/>
  <c r="W2291" i="9"/>
  <c r="W2292" i="9"/>
  <c r="W2293" i="9"/>
  <c r="W2294" i="9"/>
  <c r="W2295" i="9"/>
  <c r="W2296" i="9"/>
  <c r="W2297" i="9"/>
  <c r="W2298" i="9"/>
  <c r="W2299" i="9"/>
  <c r="W2300" i="9"/>
  <c r="W2301" i="9"/>
  <c r="W2302" i="9"/>
  <c r="W2304" i="9"/>
  <c r="W2305" i="9"/>
  <c r="W2306" i="9"/>
  <c r="W2307" i="9"/>
  <c r="W2308" i="9"/>
  <c r="W2309" i="9"/>
  <c r="W2310" i="9"/>
  <c r="W2311" i="9"/>
  <c r="W2312" i="9"/>
  <c r="W2314" i="9"/>
  <c r="W2315" i="9"/>
  <c r="W2316" i="9"/>
  <c r="W2317" i="9"/>
  <c r="W2318" i="9"/>
  <c r="W2320" i="9"/>
  <c r="W2321" i="9"/>
  <c r="W2322" i="9"/>
  <c r="W2323" i="9"/>
  <c r="W2324" i="9"/>
  <c r="W2326" i="9"/>
  <c r="W2327" i="9"/>
  <c r="W2328" i="9"/>
  <c r="W2329" i="9"/>
  <c r="W2331" i="9"/>
  <c r="W2332" i="9"/>
  <c r="W2333" i="9"/>
  <c r="W2334" i="9"/>
  <c r="W2335" i="9"/>
  <c r="W2336" i="9"/>
  <c r="W2338" i="9"/>
  <c r="W2339" i="9"/>
  <c r="W2340" i="9"/>
  <c r="W2341" i="9"/>
  <c r="W2342" i="9"/>
  <c r="W2343" i="9"/>
  <c r="W2344" i="9"/>
  <c r="W2345" i="9"/>
  <c r="W2346" i="9"/>
  <c r="W2347" i="9"/>
  <c r="W2349" i="9"/>
  <c r="W2350" i="9"/>
  <c r="W2351" i="9"/>
  <c r="W2352" i="9"/>
  <c r="W2353" i="9"/>
  <c r="W2354" i="9"/>
  <c r="W2355" i="9"/>
  <c r="W2356" i="9"/>
  <c r="W2358" i="9"/>
  <c r="W2359" i="9"/>
  <c r="W2360" i="9"/>
  <c r="W2361" i="9"/>
  <c r="W2362" i="9"/>
  <c r="W2364" i="9"/>
  <c r="W2365" i="9"/>
  <c r="W2367" i="9"/>
  <c r="W2368" i="9"/>
  <c r="W2369" i="9"/>
  <c r="W2370" i="9"/>
  <c r="W2371" i="9"/>
  <c r="W2372" i="9"/>
  <c r="W2374" i="9"/>
  <c r="W2375" i="9"/>
  <c r="W2376" i="9"/>
  <c r="W2378" i="9"/>
  <c r="W2379" i="9"/>
  <c r="W2380" i="9"/>
  <c r="W2381" i="9"/>
  <c r="W2382" i="9"/>
  <c r="W2383" i="9"/>
  <c r="W2384" i="9"/>
  <c r="W2385" i="9"/>
  <c r="W2386" i="9"/>
  <c r="W2387" i="9"/>
  <c r="W2389" i="9"/>
  <c r="W2390" i="9"/>
  <c r="W2391" i="9"/>
  <c r="W2392" i="9"/>
  <c r="W2393" i="9"/>
  <c r="W2394" i="9"/>
  <c r="W2395" i="9"/>
  <c r="W2396" i="9"/>
  <c r="W2397" i="9"/>
  <c r="W2398" i="9"/>
  <c r="W2399" i="9"/>
  <c r="W2400" i="9"/>
  <c r="W2401" i="9"/>
  <c r="W2402" i="9"/>
  <c r="W2403" i="9"/>
  <c r="W2404" i="9"/>
  <c r="W2405" i="9"/>
  <c r="W2407" i="9"/>
  <c r="W2408" i="9"/>
  <c r="W2409" i="9"/>
  <c r="W2410" i="9"/>
  <c r="W2412" i="9"/>
  <c r="W2413" i="9"/>
  <c r="W2414" i="9"/>
  <c r="W2415" i="9"/>
  <c r="W2417" i="9"/>
  <c r="W2418" i="9"/>
  <c r="W2419" i="9"/>
  <c r="W2420" i="9"/>
  <c r="W2421" i="9"/>
  <c r="W2422" i="9"/>
  <c r="W2424" i="9"/>
  <c r="W2425" i="9"/>
  <c r="W2426" i="9"/>
  <c r="W2427" i="9"/>
  <c r="W2428" i="9"/>
  <c r="W2429" i="9"/>
  <c r="W2430" i="9"/>
  <c r="W2431" i="9"/>
  <c r="W2433" i="9"/>
  <c r="W2435" i="9"/>
  <c r="W2436" i="9"/>
  <c r="W2437" i="9"/>
  <c r="W2438" i="9"/>
  <c r="W2439" i="9"/>
  <c r="W2440" i="9"/>
  <c r="W2441" i="9"/>
  <c r="W2442" i="9"/>
  <c r="W2443" i="9"/>
  <c r="W2444" i="9"/>
  <c r="W2445" i="9"/>
  <c r="W2447" i="9"/>
  <c r="W2448" i="9"/>
  <c r="W2449" i="9"/>
  <c r="W2450" i="9"/>
  <c r="W2451" i="9"/>
  <c r="W2452" i="9"/>
  <c r="W2453" i="9"/>
  <c r="W2454" i="9"/>
  <c r="W2455" i="9"/>
  <c r="W2456" i="9"/>
  <c r="W2459" i="9"/>
  <c r="W2460" i="9"/>
  <c r="W2461" i="9"/>
  <c r="W2462" i="9"/>
  <c r="W2463" i="9"/>
  <c r="W2464" i="9"/>
  <c r="W2465" i="9"/>
  <c r="W2466" i="9"/>
  <c r="W2467" i="9"/>
  <c r="W2468" i="9"/>
  <c r="W2469" i="9"/>
  <c r="W2470" i="9"/>
  <c r="W2471" i="9"/>
  <c r="W2472" i="9"/>
  <c r="W2474" i="9"/>
  <c r="W2475" i="9"/>
  <c r="W2476" i="9"/>
  <c r="W2477" i="9"/>
  <c r="W2478" i="9"/>
  <c r="W2479" i="9"/>
  <c r="W2480" i="9"/>
  <c r="W2481" i="9"/>
  <c r="W2482" i="9"/>
  <c r="W2483" i="9"/>
  <c r="W2484" i="9"/>
  <c r="W2485" i="9"/>
  <c r="W2486" i="9"/>
  <c r="W2487" i="9"/>
  <c r="W2489" i="9"/>
  <c r="W2490" i="9"/>
  <c r="W2491" i="9"/>
  <c r="W2492" i="9"/>
  <c r="W2493" i="9"/>
  <c r="W2494" i="9"/>
  <c r="W2495" i="9"/>
  <c r="W2496" i="9"/>
  <c r="W2497" i="9"/>
  <c r="W2498" i="9"/>
  <c r="W2499" i="9"/>
  <c r="W2500" i="9"/>
  <c r="W2502" i="9"/>
  <c r="W2503" i="9"/>
  <c r="W2506" i="9"/>
  <c r="W2507" i="9"/>
  <c r="W2508" i="9"/>
  <c r="W2509" i="9"/>
  <c r="W2510" i="9"/>
  <c r="W2511" i="9"/>
  <c r="W2512" i="9"/>
  <c r="W2513" i="9"/>
  <c r="W2514" i="9"/>
  <c r="W2515" i="9"/>
  <c r="W2516" i="9"/>
  <c r="W2517" i="9"/>
  <c r="W2518" i="9"/>
  <c r="W2519" i="9"/>
  <c r="W2520" i="9"/>
  <c r="W2521" i="9"/>
  <c r="W2522" i="9"/>
  <c r="W2523" i="9"/>
  <c r="W2525" i="9"/>
  <c r="W2527" i="9"/>
  <c r="W2529" i="9"/>
  <c r="W2530" i="9"/>
  <c r="W2531" i="9"/>
  <c r="W2532" i="9"/>
  <c r="W2533" i="9"/>
  <c r="W2534" i="9"/>
  <c r="W2535" i="9"/>
  <c r="W2536" i="9"/>
  <c r="W2537" i="9"/>
  <c r="W2539" i="9"/>
  <c r="W2540" i="9"/>
  <c r="W2541" i="9"/>
  <c r="W2542" i="9"/>
  <c r="W2543" i="9"/>
  <c r="W2544" i="9"/>
  <c r="W2546" i="9"/>
  <c r="W2547" i="9"/>
  <c r="W2548" i="9"/>
  <c r="W2549" i="9"/>
  <c r="W2550" i="9"/>
  <c r="W2551" i="9"/>
  <c r="W2553" i="9"/>
  <c r="W2554" i="9"/>
  <c r="W2555" i="9"/>
  <c r="W2556" i="9"/>
  <c r="W2557" i="9"/>
  <c r="W2558" i="9"/>
  <c r="W2559" i="9"/>
  <c r="W2560" i="9"/>
  <c r="W2561" i="9"/>
  <c r="W2562" i="9"/>
  <c r="W2563" i="9"/>
  <c r="W2565" i="9"/>
  <c r="W2567" i="9"/>
  <c r="W2568" i="9"/>
  <c r="W2569" i="9"/>
  <c r="W2570" i="9"/>
  <c r="W2572" i="9"/>
  <c r="W2573" i="9"/>
  <c r="W2574" i="9"/>
  <c r="W2575" i="9"/>
  <c r="W2576" i="9"/>
  <c r="W2577" i="9"/>
  <c r="W2578" i="9"/>
  <c r="W2579" i="9"/>
  <c r="W2581" i="9"/>
  <c r="W2582" i="9"/>
  <c r="W2583" i="9"/>
  <c r="W2584" i="9"/>
  <c r="W2585" i="9"/>
  <c r="W2586" i="9"/>
  <c r="W2587" i="9"/>
  <c r="W2588" i="9"/>
  <c r="W2589" i="9"/>
  <c r="W2590" i="9"/>
  <c r="W2591" i="9"/>
  <c r="W2592" i="9"/>
  <c r="W2593" i="9"/>
  <c r="W2594" i="9"/>
  <c r="W2595" i="9"/>
  <c r="W2596" i="9"/>
  <c r="W2597" i="9"/>
  <c r="W2599" i="9"/>
  <c r="W2600" i="9"/>
  <c r="W2601" i="9"/>
  <c r="W2602" i="9"/>
  <c r="W2603" i="9"/>
  <c r="W2604" i="9"/>
  <c r="W2605" i="9"/>
  <c r="W2606" i="9"/>
  <c r="W2607" i="9"/>
  <c r="W2608" i="9"/>
  <c r="W2609" i="9"/>
  <c r="W2610" i="9"/>
  <c r="W2611" i="9"/>
  <c r="W2613" i="9"/>
  <c r="W2614" i="9"/>
  <c r="W2616" i="9"/>
  <c r="W2617" i="9"/>
  <c r="W2618" i="9"/>
  <c r="W2619" i="9"/>
  <c r="W2620" i="9"/>
  <c r="W2621" i="9"/>
  <c r="W2623" i="9"/>
  <c r="W2624" i="9"/>
  <c r="W2625" i="9"/>
  <c r="W2626" i="9"/>
  <c r="W2628" i="9"/>
  <c r="W2629" i="9"/>
  <c r="W2630" i="9"/>
  <c r="W2631" i="9"/>
  <c r="W2632" i="9"/>
  <c r="W2633" i="9"/>
  <c r="W2634" i="9"/>
  <c r="W2635" i="9"/>
  <c r="W2636" i="9"/>
  <c r="W2637" i="9"/>
  <c r="W2638" i="9"/>
  <c r="W2639" i="9"/>
  <c r="W2641" i="9"/>
  <c r="W2642" i="9"/>
  <c r="W2643" i="9"/>
  <c r="W2644" i="9"/>
  <c r="W2645" i="9"/>
  <c r="W2646" i="9"/>
  <c r="W2647" i="9"/>
  <c r="W2648" i="9"/>
  <c r="X1244" i="9"/>
  <c r="X1245" i="9"/>
  <c r="X1246" i="9"/>
  <c r="X1247" i="9"/>
  <c r="X1248" i="9"/>
  <c r="X1249" i="9"/>
  <c r="X1250" i="9"/>
  <c r="X1251" i="9"/>
  <c r="X1252" i="9"/>
  <c r="X1253" i="9"/>
  <c r="X1254" i="9"/>
  <c r="X1255" i="9"/>
  <c r="X1256" i="9"/>
  <c r="X1257" i="9"/>
  <c r="X1258" i="9"/>
  <c r="X1259" i="9"/>
  <c r="X1260" i="9"/>
  <c r="X1261" i="9"/>
  <c r="X1262" i="9"/>
  <c r="X1263" i="9"/>
  <c r="X1264" i="9"/>
  <c r="X1265" i="9"/>
  <c r="X1266" i="9"/>
  <c r="X1267" i="9"/>
  <c r="X1268" i="9"/>
  <c r="X1269" i="9"/>
  <c r="X1270" i="9"/>
  <c r="X1271" i="9"/>
  <c r="X1272" i="9"/>
  <c r="X1273" i="9"/>
  <c r="X1274" i="9"/>
  <c r="X1275" i="9"/>
  <c r="X1277" i="9"/>
  <c r="X1278" i="9"/>
  <c r="X1279" i="9"/>
  <c r="X1280" i="9"/>
  <c r="X1281" i="9"/>
  <c r="X1282" i="9"/>
  <c r="X1283" i="9"/>
  <c r="X1285" i="9"/>
  <c r="X1286" i="9"/>
  <c r="X1287" i="9"/>
  <c r="X1288" i="9"/>
  <c r="X1289" i="9"/>
  <c r="X1292" i="9"/>
  <c r="X1293" i="9"/>
  <c r="X1294" i="9"/>
  <c r="X1295" i="9"/>
  <c r="X1297" i="9"/>
  <c r="X1298" i="9"/>
  <c r="X1299" i="9"/>
  <c r="X1300" i="9"/>
  <c r="X1301" i="9"/>
  <c r="X1302" i="9"/>
  <c r="X1303" i="9"/>
  <c r="X1304" i="9"/>
  <c r="X1305" i="9"/>
  <c r="X1306" i="9"/>
  <c r="X1307" i="9"/>
  <c r="X1308" i="9"/>
  <c r="X1309" i="9"/>
  <c r="X1310" i="9"/>
  <c r="X1311" i="9"/>
  <c r="X1312" i="9"/>
  <c r="X1313" i="9"/>
  <c r="X1314" i="9"/>
  <c r="X1315" i="9"/>
  <c r="X1316" i="9"/>
  <c r="X1317" i="9"/>
  <c r="X1318" i="9"/>
  <c r="X1319" i="9"/>
  <c r="X1320" i="9"/>
  <c r="X1321" i="9"/>
  <c r="X1322" i="9"/>
  <c r="X1323" i="9"/>
  <c r="X1324" i="9"/>
  <c r="X1325" i="9"/>
  <c r="X1326" i="9"/>
  <c r="X1327" i="9"/>
  <c r="X1328" i="9"/>
  <c r="X1330" i="9"/>
  <c r="X1331" i="9"/>
  <c r="X1332" i="9"/>
  <c r="X1333" i="9"/>
  <c r="X1334" i="9"/>
  <c r="X1335" i="9"/>
  <c r="X1336" i="9"/>
  <c r="X1337" i="9"/>
  <c r="X1338" i="9"/>
  <c r="X1340" i="9"/>
  <c r="X1341" i="9"/>
  <c r="X1342" i="9"/>
  <c r="X1343" i="9"/>
  <c r="X1344" i="9"/>
  <c r="X1345" i="9"/>
  <c r="X1346" i="9"/>
  <c r="X1347" i="9"/>
  <c r="X1348" i="9"/>
  <c r="X1349" i="9"/>
  <c r="X1350" i="9"/>
  <c r="X1352" i="9"/>
  <c r="X1353" i="9"/>
  <c r="X1354" i="9"/>
  <c r="X1355" i="9"/>
  <c r="X1356" i="9"/>
  <c r="X1357" i="9"/>
  <c r="X1358" i="9"/>
  <c r="X1359" i="9"/>
  <c r="X1360" i="9"/>
  <c r="X1361" i="9"/>
  <c r="X1362" i="9"/>
  <c r="X1363" i="9"/>
  <c r="X1364" i="9"/>
  <c r="X1366" i="9"/>
  <c r="X1367" i="9"/>
  <c r="X1368" i="9"/>
  <c r="X1369" i="9"/>
  <c r="X1370" i="9"/>
  <c r="X1372" i="9"/>
  <c r="X1373" i="9"/>
  <c r="X1374" i="9"/>
  <c r="X1375" i="9"/>
  <c r="X1376" i="9"/>
  <c r="X1377" i="9"/>
  <c r="X1378" i="9"/>
  <c r="X1379" i="9"/>
  <c r="X1380" i="9"/>
  <c r="X1381" i="9"/>
  <c r="X1382" i="9"/>
  <c r="X1385" i="9"/>
  <c r="X1386" i="9"/>
  <c r="X1387" i="9"/>
  <c r="X1388" i="9"/>
  <c r="X1389" i="9"/>
  <c r="X1390" i="9"/>
  <c r="X1391" i="9"/>
  <c r="X1392" i="9"/>
  <c r="X1393" i="9"/>
  <c r="X1394" i="9"/>
  <c r="X1395" i="9"/>
  <c r="X1396" i="9"/>
  <c r="X1398" i="9"/>
  <c r="X1399" i="9"/>
  <c r="X1400" i="9"/>
  <c r="X1401" i="9"/>
  <c r="X1402" i="9"/>
  <c r="X1403" i="9"/>
  <c r="X1404" i="9"/>
  <c r="X1405" i="9"/>
  <c r="X1406" i="9"/>
  <c r="X1408" i="9"/>
  <c r="X1409" i="9"/>
  <c r="X1410" i="9"/>
  <c r="X1411" i="9"/>
  <c r="X1412" i="9"/>
  <c r="X1413" i="9"/>
  <c r="X1414" i="9"/>
  <c r="X1415" i="9"/>
  <c r="X1416" i="9"/>
  <c r="X1417" i="9"/>
  <c r="X1418" i="9"/>
  <c r="X1419" i="9"/>
  <c r="X1420" i="9"/>
  <c r="X1421" i="9"/>
  <c r="X1422" i="9"/>
  <c r="X1424" i="9"/>
  <c r="X1425" i="9"/>
  <c r="X1426" i="9"/>
  <c r="X1427" i="9"/>
  <c r="X1428" i="9"/>
  <c r="X1429" i="9"/>
  <c r="X1430" i="9"/>
  <c r="X1431" i="9"/>
  <c r="X1432" i="9"/>
  <c r="X1433" i="9"/>
  <c r="X1434" i="9"/>
  <c r="X1435" i="9"/>
  <c r="X1437" i="9"/>
  <c r="X1438" i="9"/>
  <c r="X1439" i="9"/>
  <c r="X1440" i="9"/>
  <c r="X1441" i="9"/>
  <c r="X1442" i="9"/>
  <c r="X1443" i="9"/>
  <c r="X1444" i="9"/>
  <c r="X1446" i="9"/>
  <c r="X1447" i="9"/>
  <c r="X1448" i="9"/>
  <c r="X1449" i="9"/>
  <c r="X1450" i="9"/>
  <c r="X1451" i="9"/>
  <c r="X1452" i="9"/>
  <c r="X1453" i="9"/>
  <c r="X1454" i="9"/>
  <c r="X1456" i="9"/>
  <c r="X1458" i="9"/>
  <c r="X1459" i="9"/>
  <c r="X1460" i="9"/>
  <c r="X1461" i="9"/>
  <c r="X1462" i="9"/>
  <c r="X1464" i="9"/>
  <c r="X1466" i="9"/>
  <c r="X1467" i="9"/>
  <c r="X1468" i="9"/>
  <c r="X1469" i="9"/>
  <c r="X1470" i="9"/>
  <c r="X1471" i="9"/>
  <c r="X1472" i="9"/>
  <c r="X1474" i="9"/>
  <c r="X1475" i="9"/>
  <c r="X1477" i="9"/>
  <c r="X1478" i="9"/>
  <c r="X1479" i="9"/>
  <c r="X1481" i="9"/>
  <c r="X1482" i="9"/>
  <c r="X1483" i="9"/>
  <c r="X1484" i="9"/>
  <c r="X1485" i="9"/>
  <c r="X1486" i="9"/>
  <c r="X1488" i="9"/>
  <c r="X1489" i="9"/>
  <c r="X1490" i="9"/>
  <c r="X1491" i="9"/>
  <c r="X1492" i="9"/>
  <c r="X1493" i="9"/>
  <c r="X1495" i="9"/>
  <c r="X1496" i="9"/>
  <c r="X1497" i="9"/>
  <c r="X1498" i="9"/>
  <c r="X1500" i="9"/>
  <c r="X1502" i="9"/>
  <c r="X1503" i="9"/>
  <c r="X1504" i="9"/>
  <c r="X1505" i="9"/>
  <c r="X1506" i="9"/>
  <c r="X1507" i="9"/>
  <c r="X1509" i="9"/>
  <c r="X1510" i="9"/>
  <c r="X1511" i="9"/>
  <c r="X1512" i="9"/>
  <c r="X1513" i="9"/>
  <c r="X1514" i="9"/>
  <c r="X1516" i="9"/>
  <c r="X1517" i="9"/>
  <c r="X1518" i="9"/>
  <c r="X1519" i="9"/>
  <c r="X1520" i="9"/>
  <c r="X1521" i="9"/>
  <c r="X1523" i="9"/>
  <c r="X1524" i="9"/>
  <c r="X1525" i="9"/>
  <c r="X1526" i="9"/>
  <c r="X1527" i="9"/>
  <c r="X1528" i="9"/>
  <c r="X1530" i="9"/>
  <c r="X1531" i="9"/>
  <c r="X1532" i="9"/>
  <c r="X1533" i="9"/>
  <c r="X1534" i="9"/>
  <c r="X1535" i="9"/>
  <c r="X1537" i="9"/>
  <c r="X1538" i="9"/>
  <c r="X1539" i="9"/>
  <c r="X1540" i="9"/>
  <c r="X1541" i="9"/>
  <c r="X1542" i="9"/>
  <c r="X1544" i="9"/>
  <c r="X1545" i="9"/>
  <c r="X1546" i="9"/>
  <c r="X1547" i="9"/>
  <c r="X1548" i="9"/>
  <c r="X1549" i="9"/>
  <c r="X1551" i="9"/>
  <c r="X1552" i="9"/>
  <c r="X1554" i="9"/>
  <c r="X1555" i="9"/>
  <c r="X1556" i="9"/>
  <c r="X1557" i="9"/>
  <c r="X1559" i="9"/>
  <c r="X1560" i="9"/>
  <c r="X1561" i="9"/>
  <c r="X1562" i="9"/>
  <c r="X1563" i="9"/>
  <c r="X1564" i="9"/>
  <c r="X1565" i="9"/>
  <c r="X1566" i="9"/>
  <c r="X1567" i="9"/>
  <c r="X1568" i="9"/>
  <c r="X1569" i="9"/>
  <c r="X1570" i="9"/>
  <c r="X1571" i="9"/>
  <c r="X1572" i="9"/>
  <c r="X1573" i="9"/>
  <c r="X1574" i="9"/>
  <c r="X1575" i="9"/>
  <c r="X1578" i="9"/>
  <c r="X1579" i="9"/>
  <c r="X1580" i="9"/>
  <c r="X1581" i="9"/>
  <c r="X1582" i="9"/>
  <c r="X1584" i="9"/>
  <c r="X1586" i="9"/>
  <c r="X1587" i="9"/>
  <c r="X1588" i="9"/>
  <c r="X1589" i="9"/>
  <c r="X1590" i="9"/>
  <c r="X1591" i="9"/>
  <c r="X1593" i="9"/>
  <c r="X1594" i="9"/>
  <c r="X1595" i="9"/>
  <c r="X1596" i="9"/>
  <c r="X1597" i="9"/>
  <c r="X1598" i="9"/>
  <c r="X1599" i="9"/>
  <c r="X1600" i="9"/>
  <c r="X1602" i="9"/>
  <c r="X1603" i="9"/>
  <c r="X1604" i="9"/>
  <c r="X1605" i="9"/>
  <c r="X1606" i="9"/>
  <c r="X1607" i="9"/>
  <c r="X1608" i="9"/>
  <c r="X1609" i="9"/>
  <c r="X1610" i="9"/>
  <c r="X1611" i="9"/>
  <c r="X1612" i="9"/>
  <c r="X1613" i="9"/>
  <c r="X1614" i="9"/>
  <c r="X1615" i="9"/>
  <c r="X1617" i="9"/>
  <c r="X1618" i="9"/>
  <c r="X1619" i="9"/>
  <c r="X1620" i="9"/>
  <c r="X1621" i="9"/>
  <c r="X1622" i="9"/>
  <c r="X1623" i="9"/>
  <c r="X1624" i="9"/>
  <c r="X1625" i="9"/>
  <c r="X1627" i="9"/>
  <c r="X1629" i="9"/>
  <c r="X1630" i="9"/>
  <c r="X1631" i="9"/>
  <c r="X1632" i="9"/>
  <c r="X1633" i="9"/>
  <c r="X1635" i="9"/>
  <c r="X1636" i="9"/>
  <c r="X1637" i="9"/>
  <c r="X1638" i="9"/>
  <c r="X1639" i="9"/>
  <c r="X1640" i="9"/>
  <c r="X1641" i="9"/>
  <c r="X1642" i="9"/>
  <c r="X1644" i="9"/>
  <c r="X1645" i="9"/>
  <c r="X1646" i="9"/>
  <c r="X1647" i="9"/>
  <c r="X1648" i="9"/>
  <c r="X1649" i="9"/>
  <c r="X1650" i="9"/>
  <c r="X1652" i="9"/>
  <c r="X1653" i="9"/>
  <c r="X1654" i="9"/>
  <c r="X1655" i="9"/>
  <c r="X1656" i="9"/>
  <c r="X1658" i="9"/>
  <c r="X1659" i="9"/>
  <c r="X1660" i="9"/>
  <c r="X1661" i="9"/>
  <c r="X1662" i="9"/>
  <c r="X1663" i="9"/>
  <c r="X1664" i="9"/>
  <c r="X1665" i="9"/>
  <c r="X1666" i="9"/>
  <c r="X1667" i="9"/>
  <c r="X1668" i="9"/>
  <c r="X1669" i="9"/>
  <c r="X1670" i="9"/>
  <c r="X1671" i="9"/>
  <c r="X1673" i="9"/>
  <c r="X1674" i="9"/>
  <c r="X1675" i="9"/>
  <c r="X1676" i="9"/>
  <c r="X1677" i="9"/>
  <c r="X1678" i="9"/>
  <c r="X1679" i="9"/>
  <c r="X1680" i="9"/>
  <c r="X1681" i="9"/>
  <c r="X1682" i="9"/>
  <c r="X1683" i="9"/>
  <c r="X1684" i="9"/>
  <c r="X1685" i="9"/>
  <c r="X1686" i="9"/>
  <c r="X1688" i="9"/>
  <c r="X1689" i="9"/>
  <c r="X1691" i="9"/>
  <c r="X1692" i="9"/>
  <c r="X1693" i="9"/>
  <c r="X1694" i="9"/>
  <c r="X1696" i="9"/>
  <c r="X1697" i="9"/>
  <c r="X1698" i="9"/>
  <c r="X1699" i="9"/>
  <c r="X1700" i="9"/>
  <c r="X1701" i="9"/>
  <c r="X1702" i="9"/>
  <c r="X1704" i="9"/>
  <c r="X1705" i="9"/>
  <c r="X1706" i="9"/>
  <c r="X1707" i="9"/>
  <c r="X1708" i="9"/>
  <c r="X1709" i="9"/>
  <c r="X1710" i="9"/>
  <c r="X1711" i="9"/>
  <c r="X1712" i="9"/>
  <c r="X1713" i="9"/>
  <c r="X1715" i="9"/>
  <c r="X1716" i="9"/>
  <c r="X1717" i="9"/>
  <c r="X1718" i="9"/>
  <c r="X1719" i="9"/>
  <c r="X1720" i="9"/>
  <c r="X1721" i="9"/>
  <c r="X1722" i="9"/>
  <c r="X1723" i="9"/>
  <c r="X1724" i="9"/>
  <c r="X1725" i="9"/>
  <c r="X1726" i="9"/>
  <c r="X1727" i="9"/>
  <c r="X1729" i="9"/>
  <c r="X1730" i="9"/>
  <c r="X1731" i="9"/>
  <c r="X1732" i="9"/>
  <c r="X1733" i="9"/>
  <c r="X1734" i="9"/>
  <c r="X1735" i="9"/>
  <c r="X1736" i="9"/>
  <c r="X1737" i="9"/>
  <c r="X1738" i="9"/>
  <c r="X1739" i="9"/>
  <c r="X1741" i="9"/>
  <c r="X1743" i="9"/>
  <c r="X1744" i="9"/>
  <c r="X1745" i="9"/>
  <c r="X1746" i="9"/>
  <c r="X1747" i="9"/>
  <c r="X1748" i="9"/>
  <c r="X1749" i="9"/>
  <c r="X1750" i="9"/>
  <c r="X1751" i="9"/>
  <c r="X1752" i="9"/>
  <c r="X1753" i="9"/>
  <c r="X1754" i="9"/>
  <c r="X1755" i="9"/>
  <c r="X1756" i="9"/>
  <c r="X1757" i="9"/>
  <c r="X1758" i="9"/>
  <c r="X1759" i="9"/>
  <c r="X1760" i="9"/>
  <c r="X1761" i="9"/>
  <c r="X1762" i="9"/>
  <c r="X1763" i="9"/>
  <c r="X1764" i="9"/>
  <c r="X1765" i="9"/>
  <c r="X1766" i="9"/>
  <c r="X1768" i="9"/>
  <c r="X1769" i="9"/>
  <c r="X1770" i="9"/>
  <c r="X1771" i="9"/>
  <c r="X1772" i="9"/>
  <c r="X1773" i="9"/>
  <c r="X1775" i="9"/>
  <c r="X1776" i="9"/>
  <c r="X1777" i="9"/>
  <c r="X1778" i="9"/>
  <c r="X1779" i="9"/>
  <c r="X1780" i="9"/>
  <c r="X1781" i="9"/>
  <c r="X1782" i="9"/>
  <c r="X1783" i="9"/>
  <c r="X1784" i="9"/>
  <c r="X1785" i="9"/>
  <c r="X1786" i="9"/>
  <c r="X1788" i="9"/>
  <c r="X1789" i="9"/>
  <c r="X1790" i="9"/>
  <c r="X1791" i="9"/>
  <c r="X1792" i="9"/>
  <c r="X1793" i="9"/>
  <c r="X1794" i="9"/>
  <c r="X1795" i="9"/>
  <c r="X1796" i="9"/>
  <c r="X1797" i="9"/>
  <c r="X1798" i="9"/>
  <c r="X1799" i="9"/>
  <c r="X1800" i="9"/>
  <c r="X1801" i="9"/>
  <c r="X1802" i="9"/>
  <c r="X1803" i="9"/>
  <c r="X1804" i="9"/>
  <c r="X1805" i="9"/>
  <c r="X1806" i="9"/>
  <c r="X1807" i="9"/>
  <c r="X1808" i="9"/>
  <c r="X1809" i="9"/>
  <c r="X1810" i="9"/>
  <c r="X1811" i="9"/>
  <c r="X1812" i="9"/>
  <c r="X1813" i="9"/>
  <c r="X1814" i="9"/>
  <c r="X1815" i="9"/>
  <c r="X1816" i="9"/>
  <c r="X1817" i="9"/>
  <c r="X1819" i="9"/>
  <c r="X1820" i="9"/>
  <c r="X1821" i="9"/>
  <c r="X1822" i="9"/>
  <c r="X1823" i="9"/>
  <c r="X1824" i="9"/>
  <c r="X1825" i="9"/>
  <c r="X1826" i="9"/>
  <c r="X1827" i="9"/>
  <c r="X1829" i="9"/>
  <c r="X1830" i="9"/>
  <c r="X1831" i="9"/>
  <c r="X1832" i="9"/>
  <c r="X1833" i="9"/>
  <c r="X1834" i="9"/>
  <c r="X1835" i="9"/>
  <c r="X1836" i="9"/>
  <c r="X1837" i="9"/>
  <c r="X1838" i="9"/>
  <c r="X1840" i="9"/>
  <c r="X1841" i="9"/>
  <c r="X1842" i="9"/>
  <c r="X1843" i="9"/>
  <c r="X1844" i="9"/>
  <c r="X1845" i="9"/>
  <c r="X1846" i="9"/>
  <c r="X1847" i="9"/>
  <c r="X1848" i="9"/>
  <c r="X1849" i="9"/>
  <c r="X1850" i="9"/>
  <c r="X1851" i="9"/>
  <c r="X1853" i="9"/>
  <c r="X1854" i="9"/>
  <c r="X1855" i="9"/>
  <c r="X1856" i="9"/>
  <c r="X1857" i="9"/>
  <c r="X1858" i="9"/>
  <c r="X1859" i="9"/>
  <c r="X1860" i="9"/>
  <c r="X1861" i="9"/>
  <c r="X1862" i="9"/>
  <c r="X1863" i="9"/>
  <c r="X1864" i="9"/>
  <c r="X1865" i="9"/>
  <c r="X1866" i="9"/>
  <c r="X1867" i="9"/>
  <c r="X1868" i="9"/>
  <c r="X1869" i="9"/>
  <c r="X1871" i="9"/>
  <c r="X1872" i="9"/>
  <c r="X1873" i="9"/>
  <c r="X1874" i="9"/>
  <c r="X1875" i="9"/>
  <c r="X1876" i="9"/>
  <c r="X1877" i="9"/>
  <c r="X1878" i="9"/>
  <c r="X1879" i="9"/>
  <c r="X1880" i="9"/>
  <c r="X1882" i="9"/>
  <c r="X1883" i="9"/>
  <c r="X1884" i="9"/>
  <c r="X1885" i="9"/>
  <c r="X1886" i="9"/>
  <c r="X1887" i="9"/>
  <c r="X1888" i="9"/>
  <c r="X1889" i="9"/>
  <c r="X1890" i="9"/>
  <c r="X1891" i="9"/>
  <c r="X1892" i="9"/>
  <c r="X1893" i="9"/>
  <c r="X1894" i="9"/>
  <c r="X1895" i="9"/>
  <c r="X1896" i="9"/>
  <c r="X1897" i="9"/>
  <c r="X1899" i="9"/>
  <c r="X1901" i="9"/>
  <c r="X1902" i="9"/>
  <c r="X1903" i="9"/>
  <c r="X1904" i="9"/>
  <c r="X1905" i="9"/>
  <c r="X1906" i="9"/>
  <c r="X1907" i="9"/>
  <c r="X1908" i="9"/>
  <c r="X1910" i="9"/>
  <c r="X1911" i="9"/>
  <c r="X1912" i="9"/>
  <c r="X1913" i="9"/>
  <c r="X1914" i="9"/>
  <c r="X1915" i="9"/>
  <c r="X1916" i="9"/>
  <c r="X1917" i="9"/>
  <c r="X1918" i="9"/>
  <c r="X1919" i="9"/>
  <c r="X1920" i="9"/>
  <c r="X1921" i="9"/>
  <c r="X1922" i="9"/>
  <c r="X1924" i="9"/>
  <c r="X1925" i="9"/>
  <c r="X1926" i="9"/>
  <c r="X1927" i="9"/>
  <c r="X1929" i="9"/>
  <c r="X1930" i="9"/>
  <c r="X1931" i="9"/>
  <c r="X1932" i="9"/>
  <c r="X1933" i="9"/>
  <c r="X1934" i="9"/>
  <c r="X1935" i="9"/>
  <c r="X1936" i="9"/>
  <c r="X1937" i="9"/>
  <c r="X1938" i="9"/>
  <c r="X1939" i="9"/>
  <c r="X1940" i="9"/>
  <c r="X1941" i="9"/>
  <c r="X1942" i="9"/>
  <c r="X1945" i="9"/>
  <c r="X1946" i="9"/>
  <c r="X1947" i="9"/>
  <c r="X1948" i="9"/>
  <c r="X1949" i="9"/>
  <c r="X1950" i="9"/>
  <c r="X1951" i="9"/>
  <c r="X1952" i="9"/>
  <c r="X1953" i="9"/>
  <c r="X1955" i="9"/>
  <c r="X1956" i="9"/>
  <c r="X1957" i="9"/>
  <c r="X1958" i="9"/>
  <c r="X1959" i="9"/>
  <c r="X1960" i="9"/>
  <c r="X1961" i="9"/>
  <c r="X1962" i="9"/>
  <c r="X1963" i="9"/>
  <c r="X1964" i="9"/>
  <c r="X1965" i="9"/>
  <c r="X1966" i="9"/>
  <c r="X1967" i="9"/>
  <c r="X1969" i="9"/>
  <c r="X1970" i="9"/>
  <c r="X1971" i="9"/>
  <c r="X1972" i="9"/>
  <c r="X1973" i="9"/>
  <c r="X1974" i="9"/>
  <c r="X1975" i="9"/>
  <c r="X1976" i="9"/>
  <c r="X1977" i="9"/>
  <c r="X1978" i="9"/>
  <c r="X1979" i="9"/>
  <c r="X1981" i="9"/>
  <c r="X1982" i="9"/>
  <c r="X1983" i="9"/>
  <c r="X1984" i="9"/>
  <c r="X1985" i="9"/>
  <c r="X1986" i="9"/>
  <c r="X1987" i="9"/>
  <c r="X1988" i="9"/>
  <c r="X1989" i="9"/>
  <c r="X1990" i="9"/>
  <c r="X1991" i="9"/>
  <c r="X1993" i="9"/>
  <c r="X1994" i="9"/>
  <c r="X1995" i="9"/>
  <c r="X1996" i="9"/>
  <c r="X1997" i="9"/>
  <c r="X1998" i="9"/>
  <c r="X1999" i="9"/>
  <c r="X2002" i="9"/>
  <c r="X2004" i="9"/>
  <c r="X2005" i="9"/>
  <c r="X2006" i="9"/>
  <c r="X2007" i="9"/>
  <c r="X2008" i="9"/>
  <c r="X2011" i="9"/>
  <c r="X2012" i="9"/>
  <c r="X2013" i="9"/>
  <c r="X2014" i="9"/>
  <c r="X2015" i="9"/>
  <c r="X2016" i="9"/>
  <c r="X2019" i="9"/>
  <c r="X2020" i="9"/>
  <c r="X2021" i="9"/>
  <c r="X2022" i="9"/>
  <c r="X2023" i="9"/>
  <c r="X2024" i="9"/>
  <c r="X2025" i="9"/>
  <c r="X2026" i="9"/>
  <c r="X2028" i="9"/>
  <c r="X2029" i="9"/>
  <c r="X2030" i="9"/>
  <c r="X2031" i="9"/>
  <c r="X2032" i="9"/>
  <c r="X2033" i="9"/>
  <c r="X2034" i="9"/>
  <c r="X2035" i="9"/>
  <c r="X2036" i="9"/>
  <c r="X2037" i="9"/>
  <c r="X2038" i="9"/>
  <c r="X2039" i="9"/>
  <c r="X2040" i="9"/>
  <c r="X2041" i="9"/>
  <c r="X2042" i="9"/>
  <c r="X2044" i="9"/>
  <c r="X2045" i="9"/>
  <c r="X2046" i="9"/>
  <c r="X2047" i="9"/>
  <c r="X2048" i="9"/>
  <c r="X2049" i="9"/>
  <c r="X2051" i="9"/>
  <c r="X2052" i="9"/>
  <c r="X2053" i="9"/>
  <c r="X2054" i="9"/>
  <c r="X2055" i="9"/>
  <c r="X2056" i="9"/>
  <c r="X2057" i="9"/>
  <c r="X2058" i="9"/>
  <c r="X2059" i="9"/>
  <c r="X2060" i="9"/>
  <c r="X2062" i="9"/>
  <c r="X2063" i="9"/>
  <c r="X2064" i="9"/>
  <c r="X2065" i="9"/>
  <c r="X2066" i="9"/>
  <c r="X2067" i="9"/>
  <c r="X2068" i="9"/>
  <c r="X2070" i="9"/>
  <c r="X2071" i="9"/>
  <c r="X2072" i="9"/>
  <c r="X2073" i="9"/>
  <c r="X2074" i="9"/>
  <c r="X2075" i="9"/>
  <c r="X2076" i="9"/>
  <c r="X2077" i="9"/>
  <c r="X2078" i="9"/>
  <c r="X2079" i="9"/>
  <c r="X2080" i="9"/>
  <c r="X2081" i="9"/>
  <c r="X2082" i="9"/>
  <c r="X2083" i="9"/>
  <c r="X2084" i="9"/>
  <c r="X2085" i="9"/>
  <c r="X2086" i="9"/>
  <c r="X2087" i="9"/>
  <c r="X2088" i="9"/>
  <c r="X2089" i="9"/>
  <c r="X2090" i="9"/>
  <c r="X2091" i="9"/>
  <c r="X2092" i="9"/>
  <c r="X2093" i="9"/>
  <c r="X2094" i="9"/>
  <c r="X2096" i="9"/>
  <c r="X2097" i="9"/>
  <c r="X2098" i="9"/>
  <c r="X2099" i="9"/>
  <c r="X2100" i="9"/>
  <c r="X2101" i="9"/>
  <c r="X2102" i="9"/>
  <c r="X2103" i="9"/>
  <c r="X2104" i="9"/>
  <c r="X2105" i="9"/>
  <c r="X2106" i="9"/>
  <c r="X2107" i="9"/>
  <c r="X2108" i="9"/>
  <c r="X2109" i="9"/>
  <c r="X2111" i="9"/>
  <c r="X2112" i="9"/>
  <c r="X2113" i="9"/>
  <c r="X2114" i="9"/>
  <c r="X2116" i="9"/>
  <c r="X2117" i="9"/>
  <c r="X2118" i="9"/>
  <c r="X2119" i="9"/>
  <c r="X2120" i="9"/>
  <c r="X2121" i="9"/>
  <c r="X2122" i="9"/>
  <c r="X2124" i="9"/>
  <c r="X2125" i="9"/>
  <c r="X2126" i="9"/>
  <c r="X2127" i="9"/>
  <c r="X2128" i="9"/>
  <c r="X2129" i="9"/>
  <c r="X2130" i="9"/>
  <c r="X2131" i="9"/>
  <c r="X2132" i="9"/>
  <c r="X2133" i="9"/>
  <c r="X2134" i="9"/>
  <c r="X2136" i="9"/>
  <c r="X2137" i="9"/>
  <c r="X2138" i="9"/>
  <c r="X2140" i="9"/>
  <c r="X2141" i="9"/>
  <c r="X2142" i="9"/>
  <c r="X2143" i="9"/>
  <c r="X2144" i="9"/>
  <c r="X2145" i="9"/>
  <c r="X2146" i="9"/>
  <c r="X2147" i="9"/>
  <c r="X2149" i="9"/>
  <c r="X2150" i="9"/>
  <c r="X2151" i="9"/>
  <c r="X2153" i="9"/>
  <c r="X2154" i="9"/>
  <c r="X2155" i="9"/>
  <c r="X2156" i="9"/>
  <c r="X2157" i="9"/>
  <c r="X2158" i="9"/>
  <c r="X2159" i="9"/>
  <c r="X2160" i="9"/>
  <c r="X2161" i="9"/>
  <c r="X2163" i="9"/>
  <c r="X2164" i="9"/>
  <c r="X2166" i="9"/>
  <c r="X2167" i="9"/>
  <c r="X2168" i="9"/>
  <c r="X2169" i="9"/>
  <c r="X2170" i="9"/>
  <c r="X2171" i="9"/>
  <c r="X2172" i="9"/>
  <c r="X2173" i="9"/>
  <c r="X2174" i="9"/>
  <c r="X2175" i="9"/>
  <c r="X2176" i="9"/>
  <c r="X2177" i="9"/>
  <c r="X2178" i="9"/>
  <c r="X2179" i="9"/>
  <c r="X2180" i="9"/>
  <c r="X2181" i="9"/>
  <c r="X2182" i="9"/>
  <c r="X2183" i="9"/>
  <c r="X2184" i="9"/>
  <c r="X2185" i="9"/>
  <c r="X2186" i="9"/>
  <c r="X2188" i="9"/>
  <c r="X2189" i="9"/>
  <c r="X2190" i="9"/>
  <c r="X2191" i="9"/>
  <c r="X2192" i="9"/>
  <c r="X2193" i="9"/>
  <c r="X2195" i="9"/>
  <c r="X2196" i="9"/>
  <c r="X2197" i="9"/>
  <c r="X2198" i="9"/>
  <c r="X2199" i="9"/>
  <c r="X2200" i="9"/>
  <c r="X2201" i="9"/>
  <c r="X2202" i="9"/>
  <c r="X2203" i="9"/>
  <c r="X2204" i="9"/>
  <c r="X2205" i="9"/>
  <c r="X2206" i="9"/>
  <c r="X2208" i="9"/>
  <c r="X2209" i="9"/>
  <c r="X2210" i="9"/>
  <c r="X2211" i="9"/>
  <c r="X2212" i="9"/>
  <c r="X2213" i="9"/>
  <c r="X2214" i="9"/>
  <c r="X2215" i="9"/>
  <c r="X2218" i="9"/>
  <c r="X2219" i="9"/>
  <c r="X2220" i="9"/>
  <c r="X2221" i="9"/>
  <c r="X2222" i="9"/>
  <c r="X2223" i="9"/>
  <c r="X2224" i="9"/>
  <c r="X2225" i="9"/>
  <c r="X2226" i="9"/>
  <c r="X2227" i="9"/>
  <c r="X2228" i="9"/>
  <c r="X2229" i="9"/>
  <c r="X2230" i="9"/>
  <c r="X2231" i="9"/>
  <c r="X2232" i="9"/>
  <c r="X2233" i="9"/>
  <c r="X2234" i="9"/>
  <c r="X2236" i="9"/>
  <c r="X2237" i="9"/>
  <c r="X2238" i="9"/>
  <c r="X2239" i="9"/>
  <c r="X2241" i="9"/>
  <c r="X2243" i="9"/>
  <c r="X2244" i="9"/>
  <c r="X2245" i="9"/>
  <c r="X2246" i="9"/>
  <c r="X2247" i="9"/>
  <c r="X2248" i="9"/>
  <c r="X2249" i="9"/>
  <c r="X2253" i="9"/>
  <c r="X2254" i="9"/>
  <c r="X2255" i="9"/>
  <c r="X2256" i="9"/>
  <c r="X2257" i="9"/>
  <c r="X2258" i="9"/>
  <c r="X2259" i="9"/>
  <c r="X2260" i="9"/>
  <c r="X2261" i="9"/>
  <c r="X2263" i="9"/>
  <c r="X2264" i="9"/>
  <c r="X2265" i="9"/>
  <c r="X2266" i="9"/>
  <c r="X2267" i="9"/>
  <c r="X2268" i="9"/>
  <c r="X2269" i="9"/>
  <c r="X2270" i="9"/>
  <c r="X2271" i="9"/>
  <c r="X2273" i="9"/>
  <c r="X2275" i="9"/>
  <c r="X2276" i="9"/>
  <c r="X2277" i="9"/>
  <c r="X2278" i="9"/>
  <c r="X2279" i="9"/>
  <c r="X2280" i="9"/>
  <c r="X2281" i="9"/>
  <c r="X2282" i="9"/>
  <c r="X2283" i="9"/>
  <c r="X2284" i="9"/>
  <c r="X2285" i="9"/>
  <c r="X2286" i="9"/>
  <c r="X2287" i="9"/>
  <c r="X2289" i="9"/>
  <c r="X2290" i="9"/>
  <c r="X2291" i="9"/>
  <c r="X2292" i="9"/>
  <c r="X2293" i="9"/>
  <c r="X2294" i="9"/>
  <c r="X2295" i="9"/>
  <c r="X2296" i="9"/>
  <c r="X2297" i="9"/>
  <c r="X2298" i="9"/>
  <c r="X2299" i="9"/>
  <c r="X2300" i="9"/>
  <c r="X2301" i="9"/>
  <c r="X2302" i="9"/>
  <c r="X2304" i="9"/>
  <c r="X2305" i="9"/>
  <c r="X2306" i="9"/>
  <c r="X2307" i="9"/>
  <c r="X2308" i="9"/>
  <c r="X2309" i="9"/>
  <c r="X2310" i="9"/>
  <c r="X2311" i="9"/>
  <c r="X2312" i="9"/>
  <c r="X2314" i="9"/>
  <c r="X2315" i="9"/>
  <c r="X2316" i="9"/>
  <c r="X2317" i="9"/>
  <c r="X2318" i="9"/>
  <c r="X2320" i="9"/>
  <c r="X2321" i="9"/>
  <c r="X2322" i="9"/>
  <c r="X2323" i="9"/>
  <c r="X2324" i="9"/>
  <c r="X2326" i="9"/>
  <c r="X2327" i="9"/>
  <c r="X2328" i="9"/>
  <c r="X2329" i="9"/>
  <c r="X2331" i="9"/>
  <c r="X2332" i="9"/>
  <c r="X2333" i="9"/>
  <c r="X2334" i="9"/>
  <c r="X2335" i="9"/>
  <c r="X2336" i="9"/>
  <c r="X2338" i="9"/>
  <c r="X2339" i="9"/>
  <c r="X2340" i="9"/>
  <c r="X2341" i="9"/>
  <c r="X2342" i="9"/>
  <c r="X2343" i="9"/>
  <c r="X2344" i="9"/>
  <c r="X2345" i="9"/>
  <c r="X2346" i="9"/>
  <c r="X2347" i="9"/>
  <c r="X2349" i="9"/>
  <c r="X2350" i="9"/>
  <c r="X2351" i="9"/>
  <c r="X2352" i="9"/>
  <c r="X2353" i="9"/>
  <c r="X2354" i="9"/>
  <c r="X2355" i="9"/>
  <c r="X2356" i="9"/>
  <c r="X2358" i="9"/>
  <c r="X2359" i="9"/>
  <c r="X2360" i="9"/>
  <c r="X2361" i="9"/>
  <c r="X2362" i="9"/>
  <c r="X2364" i="9"/>
  <c r="X2365" i="9"/>
  <c r="X2367" i="9"/>
  <c r="X2368" i="9"/>
  <c r="X2369" i="9"/>
  <c r="X2370" i="9"/>
  <c r="X2371" i="9"/>
  <c r="X2372" i="9"/>
  <c r="X2374" i="9"/>
  <c r="X2375" i="9"/>
  <c r="X2376" i="9"/>
  <c r="X2378" i="9"/>
  <c r="X2379" i="9"/>
  <c r="X2380" i="9"/>
  <c r="X2381" i="9"/>
  <c r="X2382" i="9"/>
  <c r="X2383" i="9"/>
  <c r="X2384" i="9"/>
  <c r="X2385" i="9"/>
  <c r="X2386" i="9"/>
  <c r="X2387" i="9"/>
  <c r="X2389" i="9"/>
  <c r="X2390" i="9"/>
  <c r="X2391" i="9"/>
  <c r="X2392" i="9"/>
  <c r="X2393" i="9"/>
  <c r="X2394" i="9"/>
  <c r="X2395" i="9"/>
  <c r="X2396" i="9"/>
  <c r="X2397" i="9"/>
  <c r="X2398" i="9"/>
  <c r="X2399" i="9"/>
  <c r="X2400" i="9"/>
  <c r="X2401" i="9"/>
  <c r="X2402" i="9"/>
  <c r="X2403" i="9"/>
  <c r="X2404" i="9"/>
  <c r="X2405" i="9"/>
  <c r="X2407" i="9"/>
  <c r="X2408" i="9"/>
  <c r="X2409" i="9"/>
  <c r="X2410" i="9"/>
  <c r="X2412" i="9"/>
  <c r="X2413" i="9"/>
  <c r="X2414" i="9"/>
  <c r="X2415" i="9"/>
  <c r="X2417" i="9"/>
  <c r="X2418" i="9"/>
  <c r="X2419" i="9"/>
  <c r="X2420" i="9"/>
  <c r="X2421" i="9"/>
  <c r="X2422" i="9"/>
  <c r="X2424" i="9"/>
  <c r="X2425" i="9"/>
  <c r="X2426" i="9"/>
  <c r="X2427" i="9"/>
  <c r="X2428" i="9"/>
  <c r="X2429" i="9"/>
  <c r="X2430" i="9"/>
  <c r="X2431" i="9"/>
  <c r="X2433" i="9"/>
  <c r="X2435" i="9"/>
  <c r="X2436" i="9"/>
  <c r="X2437" i="9"/>
  <c r="X2438" i="9"/>
  <c r="X2439" i="9"/>
  <c r="X2440" i="9"/>
  <c r="X2441" i="9"/>
  <c r="X2442" i="9"/>
  <c r="X2443" i="9"/>
  <c r="X2444" i="9"/>
  <c r="X2445" i="9"/>
  <c r="X2447" i="9"/>
  <c r="X2448" i="9"/>
  <c r="X2449" i="9"/>
  <c r="X2450" i="9"/>
  <c r="X2451" i="9"/>
  <c r="X2452" i="9"/>
  <c r="X2453" i="9"/>
  <c r="X2454" i="9"/>
  <c r="X2455" i="9"/>
  <c r="X2456" i="9"/>
  <c r="X2459" i="9"/>
  <c r="X2460" i="9"/>
  <c r="X2461" i="9"/>
  <c r="X2462" i="9"/>
  <c r="X2463" i="9"/>
  <c r="X2464" i="9"/>
  <c r="X2465" i="9"/>
  <c r="X2466" i="9"/>
  <c r="X2467" i="9"/>
  <c r="X2468" i="9"/>
  <c r="X2469" i="9"/>
  <c r="X2470" i="9"/>
  <c r="X2471" i="9"/>
  <c r="X2472" i="9"/>
  <c r="X2474" i="9"/>
  <c r="X2475" i="9"/>
  <c r="X2476" i="9"/>
  <c r="X2477" i="9"/>
  <c r="X2478" i="9"/>
  <c r="X2479" i="9"/>
  <c r="X2480" i="9"/>
  <c r="X2481" i="9"/>
  <c r="X2482" i="9"/>
  <c r="X2483" i="9"/>
  <c r="X2484" i="9"/>
  <c r="X2485" i="9"/>
  <c r="X2486" i="9"/>
  <c r="X2487" i="9"/>
  <c r="X2489" i="9"/>
  <c r="X2490" i="9"/>
  <c r="X2491" i="9"/>
  <c r="X2492" i="9"/>
  <c r="X2493" i="9"/>
  <c r="X2494" i="9"/>
  <c r="X2495" i="9"/>
  <c r="X2496" i="9"/>
  <c r="X2497" i="9"/>
  <c r="X2498" i="9"/>
  <c r="X2499" i="9"/>
  <c r="X2500" i="9"/>
  <c r="X2502" i="9"/>
  <c r="X2503" i="9"/>
  <c r="X2506" i="9"/>
  <c r="X2507" i="9"/>
  <c r="X2508" i="9"/>
  <c r="X2509" i="9"/>
  <c r="X2510" i="9"/>
  <c r="X2511" i="9"/>
  <c r="X2512" i="9"/>
  <c r="X2513" i="9"/>
  <c r="X2514" i="9"/>
  <c r="X2515" i="9"/>
  <c r="X2516" i="9"/>
  <c r="X2517" i="9"/>
  <c r="X2518" i="9"/>
  <c r="X2519" i="9"/>
  <c r="X2520" i="9"/>
  <c r="X2521" i="9"/>
  <c r="X2522" i="9"/>
  <c r="X2523" i="9"/>
  <c r="X2525" i="9"/>
  <c r="X2527" i="9"/>
  <c r="X2529" i="9"/>
  <c r="X2530" i="9"/>
  <c r="X2531" i="9"/>
  <c r="X2532" i="9"/>
  <c r="X2533" i="9"/>
  <c r="X2534" i="9"/>
  <c r="X2535" i="9"/>
  <c r="X2536" i="9"/>
  <c r="X2537" i="9"/>
  <c r="X2539" i="9"/>
  <c r="X2540" i="9"/>
  <c r="X2541" i="9"/>
  <c r="X2542" i="9"/>
  <c r="X2543" i="9"/>
  <c r="X2544" i="9"/>
  <c r="X2546" i="9"/>
  <c r="X2547" i="9"/>
  <c r="X2548" i="9"/>
  <c r="X2549" i="9"/>
  <c r="X2550" i="9"/>
  <c r="X2551" i="9"/>
  <c r="X2553" i="9"/>
  <c r="X2554" i="9"/>
  <c r="X2555" i="9"/>
  <c r="X2556" i="9"/>
  <c r="X2557" i="9"/>
  <c r="X2558" i="9"/>
  <c r="X2559" i="9"/>
  <c r="X2560" i="9"/>
  <c r="X2561" i="9"/>
  <c r="X2562" i="9"/>
  <c r="X2563" i="9"/>
  <c r="X2565" i="9"/>
  <c r="X2567" i="9"/>
  <c r="X2568" i="9"/>
  <c r="X2569" i="9"/>
  <c r="X2570" i="9"/>
  <c r="X2572" i="9"/>
  <c r="X2573" i="9"/>
  <c r="X2574" i="9"/>
  <c r="X2575" i="9"/>
  <c r="X2576" i="9"/>
  <c r="X2577" i="9"/>
  <c r="X2578" i="9"/>
  <c r="X2579" i="9"/>
  <c r="X2581" i="9"/>
  <c r="X2582" i="9"/>
  <c r="X2583" i="9"/>
  <c r="X2584" i="9"/>
  <c r="X2585" i="9"/>
  <c r="X2586" i="9"/>
  <c r="X2587" i="9"/>
  <c r="X2588" i="9"/>
  <c r="X2589" i="9"/>
  <c r="X2590" i="9"/>
  <c r="X2591" i="9"/>
  <c r="X2592" i="9"/>
  <c r="X2593" i="9"/>
  <c r="X2594" i="9"/>
  <c r="X2595" i="9"/>
  <c r="X2596" i="9"/>
  <c r="X2597" i="9"/>
  <c r="X2599" i="9"/>
  <c r="X2600" i="9"/>
  <c r="X2601" i="9"/>
  <c r="X2602" i="9"/>
  <c r="X2603" i="9"/>
  <c r="X2604" i="9"/>
  <c r="X2605" i="9"/>
  <c r="X2606" i="9"/>
  <c r="X2607" i="9"/>
  <c r="X2608" i="9"/>
  <c r="X2609" i="9"/>
  <c r="X2610" i="9"/>
  <c r="X2611" i="9"/>
  <c r="X2613" i="9"/>
  <c r="X2614" i="9"/>
  <c r="X2616" i="9"/>
  <c r="X2617" i="9"/>
  <c r="X2618" i="9"/>
  <c r="X2619" i="9"/>
  <c r="X2620" i="9"/>
  <c r="X2621" i="9"/>
  <c r="X2623" i="9"/>
  <c r="X2624" i="9"/>
  <c r="X2625" i="9"/>
  <c r="X2626" i="9"/>
  <c r="X2628" i="9"/>
  <c r="X2629" i="9"/>
  <c r="X2630" i="9"/>
  <c r="X2631" i="9"/>
  <c r="X2632" i="9"/>
  <c r="X2633" i="9"/>
  <c r="X2634" i="9"/>
  <c r="X2635" i="9"/>
  <c r="X2636" i="9"/>
  <c r="X2637" i="9"/>
  <c r="X2638" i="9"/>
  <c r="X2639" i="9"/>
  <c r="X2641" i="9"/>
  <c r="X2642" i="9"/>
  <c r="X2643" i="9"/>
  <c r="X2644" i="9"/>
  <c r="X2645" i="9"/>
  <c r="X2646" i="9"/>
  <c r="X2647" i="9"/>
  <c r="X2648" i="9"/>
  <c r="Y1244" i="9"/>
  <c r="Y1245" i="9"/>
  <c r="Y1246" i="9"/>
  <c r="Y1247" i="9"/>
  <c r="Y1248" i="9"/>
  <c r="Y1249" i="9"/>
  <c r="Y1250" i="9"/>
  <c r="Y1251" i="9"/>
  <c r="Y1252" i="9"/>
  <c r="Y1253" i="9"/>
  <c r="Y1254" i="9"/>
  <c r="Y1255" i="9"/>
  <c r="Y1256" i="9"/>
  <c r="Y1257" i="9"/>
  <c r="Y1258" i="9"/>
  <c r="Y1259" i="9"/>
  <c r="Y1260" i="9"/>
  <c r="Y1261" i="9"/>
  <c r="Y1262" i="9"/>
  <c r="Y1263" i="9"/>
  <c r="Y1264" i="9"/>
  <c r="Y1265" i="9"/>
  <c r="Y1266" i="9"/>
  <c r="Y1267" i="9"/>
  <c r="Y1268" i="9"/>
  <c r="Y1269" i="9"/>
  <c r="Y1270" i="9"/>
  <c r="Y1271" i="9"/>
  <c r="Y1272" i="9"/>
  <c r="Y1273" i="9"/>
  <c r="Y1274" i="9"/>
  <c r="Y1275" i="9"/>
  <c r="Y1277" i="9"/>
  <c r="Y1278" i="9"/>
  <c r="Y1279" i="9"/>
  <c r="Y1280" i="9"/>
  <c r="Y1281" i="9"/>
  <c r="Y1282" i="9"/>
  <c r="Y1283" i="9"/>
  <c r="Y1285" i="9"/>
  <c r="Y1286" i="9"/>
  <c r="Y1287" i="9"/>
  <c r="Y1288" i="9"/>
  <c r="Y1289" i="9"/>
  <c r="Y1292" i="9"/>
  <c r="Y1293" i="9"/>
  <c r="Y1294" i="9"/>
  <c r="Y1295" i="9"/>
  <c r="Y1297" i="9"/>
  <c r="Y1298" i="9"/>
  <c r="Y1299" i="9"/>
  <c r="Y1300" i="9"/>
  <c r="Y1301" i="9"/>
  <c r="Y1302" i="9"/>
  <c r="Y1303" i="9"/>
  <c r="Y1304" i="9"/>
  <c r="Y1305" i="9"/>
  <c r="Y1306" i="9"/>
  <c r="Y1307" i="9"/>
  <c r="Y1308" i="9"/>
  <c r="Y1309" i="9"/>
  <c r="Y1310" i="9"/>
  <c r="Y1311" i="9"/>
  <c r="Y1312" i="9"/>
  <c r="Y1313" i="9"/>
  <c r="Y1314" i="9"/>
  <c r="Y1315" i="9"/>
  <c r="Y1316" i="9"/>
  <c r="Y1317" i="9"/>
  <c r="Y1318" i="9"/>
  <c r="Y1319" i="9"/>
  <c r="Y1320" i="9"/>
  <c r="Y1321" i="9"/>
  <c r="Y1322" i="9"/>
  <c r="Y1323" i="9"/>
  <c r="Y1324" i="9"/>
  <c r="Y1325" i="9"/>
  <c r="Y1326" i="9"/>
  <c r="Y1327" i="9"/>
  <c r="Y1328" i="9"/>
  <c r="Y1330" i="9"/>
  <c r="Y1331" i="9"/>
  <c r="Y1332" i="9"/>
  <c r="Y1333" i="9"/>
  <c r="Y1334" i="9"/>
  <c r="Y1335" i="9"/>
  <c r="Y1336" i="9"/>
  <c r="Y1337" i="9"/>
  <c r="Y1338" i="9"/>
  <c r="Y1340" i="9"/>
  <c r="Y1341" i="9"/>
  <c r="Y1342" i="9"/>
  <c r="Y1343" i="9"/>
  <c r="Y1344" i="9"/>
  <c r="Y1345" i="9"/>
  <c r="Y1346" i="9"/>
  <c r="Y1347" i="9"/>
  <c r="Y1348" i="9"/>
  <c r="Y1349" i="9"/>
  <c r="Y1350" i="9"/>
  <c r="Y1352" i="9"/>
  <c r="Y1353" i="9"/>
  <c r="Y1354" i="9"/>
  <c r="Y1355" i="9"/>
  <c r="Y1356" i="9"/>
  <c r="Y1357" i="9"/>
  <c r="Y1358" i="9"/>
  <c r="Y1359" i="9"/>
  <c r="Y1360" i="9"/>
  <c r="Y1361" i="9"/>
  <c r="Y1362" i="9"/>
  <c r="Y1363" i="9"/>
  <c r="Y1364" i="9"/>
  <c r="Y1366" i="9"/>
  <c r="Y1367" i="9"/>
  <c r="Y1368" i="9"/>
  <c r="Y1369" i="9"/>
  <c r="Y1370" i="9"/>
  <c r="Y1372" i="9"/>
  <c r="Y1373" i="9"/>
  <c r="Y1374" i="9"/>
  <c r="Y1375" i="9"/>
  <c r="Y1376" i="9"/>
  <c r="Y1377" i="9"/>
  <c r="Y1378" i="9"/>
  <c r="Y1379" i="9"/>
  <c r="Y1380" i="9"/>
  <c r="Y1381" i="9"/>
  <c r="Y1382" i="9"/>
  <c r="Y1385" i="9"/>
  <c r="Y1386" i="9"/>
  <c r="Y1387" i="9"/>
  <c r="Y1388" i="9"/>
  <c r="Y1389" i="9"/>
  <c r="Y1390" i="9"/>
  <c r="Y1391" i="9"/>
  <c r="Y1392" i="9"/>
  <c r="Y1393" i="9"/>
  <c r="Y1394" i="9"/>
  <c r="Y1395" i="9"/>
  <c r="Y1396" i="9"/>
  <c r="Y1398" i="9"/>
  <c r="Y1399" i="9"/>
  <c r="Y1400" i="9"/>
  <c r="Y1401" i="9"/>
  <c r="Y1402" i="9"/>
  <c r="Y1403" i="9"/>
  <c r="Y1404" i="9"/>
  <c r="Y1405" i="9"/>
  <c r="Y1406" i="9"/>
  <c r="Y1408" i="9"/>
  <c r="Y1409" i="9"/>
  <c r="Y1410" i="9"/>
  <c r="Y1411" i="9"/>
  <c r="Y1412" i="9"/>
  <c r="Y1413" i="9"/>
  <c r="Y1414" i="9"/>
  <c r="Y1415" i="9"/>
  <c r="Y1416" i="9"/>
  <c r="Y1417" i="9"/>
  <c r="Y1418" i="9"/>
  <c r="Y1419" i="9"/>
  <c r="Y1420" i="9"/>
  <c r="Y1421" i="9"/>
  <c r="Y1422" i="9"/>
  <c r="Y1424" i="9"/>
  <c r="Y1425" i="9"/>
  <c r="Y1426" i="9"/>
  <c r="Y1427" i="9"/>
  <c r="Y1428" i="9"/>
  <c r="Y1429" i="9"/>
  <c r="Y1430" i="9"/>
  <c r="Y1431" i="9"/>
  <c r="Y1432" i="9"/>
  <c r="Y1433" i="9"/>
  <c r="Y1434" i="9"/>
  <c r="Y1435" i="9"/>
  <c r="Y1437" i="9"/>
  <c r="Y1438" i="9"/>
  <c r="Y1439" i="9"/>
  <c r="Y1440" i="9"/>
  <c r="Y1441" i="9"/>
  <c r="Y1442" i="9"/>
  <c r="Y1443" i="9"/>
  <c r="Y1444" i="9"/>
  <c r="Y1446" i="9"/>
  <c r="Y1447" i="9"/>
  <c r="Y1448" i="9"/>
  <c r="Y1449" i="9"/>
  <c r="Y1450" i="9"/>
  <c r="Y1451" i="9"/>
  <c r="Y1452" i="9"/>
  <c r="Y1453" i="9"/>
  <c r="Y1454" i="9"/>
  <c r="Y1456" i="9"/>
  <c r="Y1458" i="9"/>
  <c r="Y1459" i="9"/>
  <c r="Y1460" i="9"/>
  <c r="Y1461" i="9"/>
  <c r="Y1462" i="9"/>
  <c r="Y1464" i="9"/>
  <c r="Y1466" i="9"/>
  <c r="Y1467" i="9"/>
  <c r="Y1468" i="9"/>
  <c r="Y1469" i="9"/>
  <c r="Y1470" i="9"/>
  <c r="Y1471" i="9"/>
  <c r="Y1472" i="9"/>
  <c r="Y1474" i="9"/>
  <c r="Y1475" i="9"/>
  <c r="Y1477" i="9"/>
  <c r="Y1478" i="9"/>
  <c r="Y1479" i="9"/>
  <c r="Y1481" i="9"/>
  <c r="Y1482" i="9"/>
  <c r="Y1483" i="9"/>
  <c r="Y1484" i="9"/>
  <c r="Y1485" i="9"/>
  <c r="Y1486" i="9"/>
  <c r="Y1488" i="9"/>
  <c r="Y1489" i="9"/>
  <c r="Y1490" i="9"/>
  <c r="Y1491" i="9"/>
  <c r="Y1492" i="9"/>
  <c r="Y1493" i="9"/>
  <c r="Y1495" i="9"/>
  <c r="Y1496" i="9"/>
  <c r="Y1497" i="9"/>
  <c r="Y1498" i="9"/>
  <c r="Y1500" i="9"/>
  <c r="Y1502" i="9"/>
  <c r="Y1503" i="9"/>
  <c r="Y1504" i="9"/>
  <c r="Y1505" i="9"/>
  <c r="Y1506" i="9"/>
  <c r="Y1507" i="9"/>
  <c r="Y1509" i="9"/>
  <c r="Y1510" i="9"/>
  <c r="Y1511" i="9"/>
  <c r="Y1512" i="9"/>
  <c r="Y1513" i="9"/>
  <c r="Y1514" i="9"/>
  <c r="Y1516" i="9"/>
  <c r="Y1517" i="9"/>
  <c r="Y1518" i="9"/>
  <c r="Y1519" i="9"/>
  <c r="Y1520" i="9"/>
  <c r="Y1521" i="9"/>
  <c r="Y1523" i="9"/>
  <c r="Y1524" i="9"/>
  <c r="Y1525" i="9"/>
  <c r="Y1526" i="9"/>
  <c r="Y1527" i="9"/>
  <c r="Y1528" i="9"/>
  <c r="Y1530" i="9"/>
  <c r="Y1531" i="9"/>
  <c r="Y1532" i="9"/>
  <c r="Y1533" i="9"/>
  <c r="Y1534" i="9"/>
  <c r="Y1535" i="9"/>
  <c r="Y1537" i="9"/>
  <c r="Y1538" i="9"/>
  <c r="Y1539" i="9"/>
  <c r="Y1540" i="9"/>
  <c r="Y1541" i="9"/>
  <c r="Y1542" i="9"/>
  <c r="Y1544" i="9"/>
  <c r="Y1545" i="9"/>
  <c r="Y1546" i="9"/>
  <c r="Y1547" i="9"/>
  <c r="Y1548" i="9"/>
  <c r="Y1549" i="9"/>
  <c r="Y1551" i="9"/>
  <c r="Y1552" i="9"/>
  <c r="Y1554" i="9"/>
  <c r="Y1555" i="9"/>
  <c r="Y1556" i="9"/>
  <c r="Y1557" i="9"/>
  <c r="Y1559" i="9"/>
  <c r="Y1560" i="9"/>
  <c r="Y1561" i="9"/>
  <c r="Y1562" i="9"/>
  <c r="Y1563" i="9"/>
  <c r="Y1564" i="9"/>
  <c r="Y1565" i="9"/>
  <c r="Y1566" i="9"/>
  <c r="Y1567" i="9"/>
  <c r="Y1568" i="9"/>
  <c r="Y1569" i="9"/>
  <c r="Y1570" i="9"/>
  <c r="Y1571" i="9"/>
  <c r="Y1572" i="9"/>
  <c r="Y1573" i="9"/>
  <c r="Y1574" i="9"/>
  <c r="Y1575" i="9"/>
  <c r="Y1578" i="9"/>
  <c r="Y1579" i="9"/>
  <c r="Y1580" i="9"/>
  <c r="Y1581" i="9"/>
  <c r="Y1582" i="9"/>
  <c r="Y1584" i="9"/>
  <c r="Y1586" i="9"/>
  <c r="Y1587" i="9"/>
  <c r="Y1588" i="9"/>
  <c r="Y1589" i="9"/>
  <c r="Y1590" i="9"/>
  <c r="Y1591" i="9"/>
  <c r="Y1593" i="9"/>
  <c r="Y1594" i="9"/>
  <c r="Y1595" i="9"/>
  <c r="Y1596" i="9"/>
  <c r="Y1597" i="9"/>
  <c r="Y1598" i="9"/>
  <c r="Y1599" i="9"/>
  <c r="Y1600" i="9"/>
  <c r="Y1602" i="9"/>
  <c r="Y1603" i="9"/>
  <c r="Y1604" i="9"/>
  <c r="Y1605" i="9"/>
  <c r="Y1606" i="9"/>
  <c r="Y1607" i="9"/>
  <c r="Y1608" i="9"/>
  <c r="Y1609" i="9"/>
  <c r="Y1610" i="9"/>
  <c r="Y1611" i="9"/>
  <c r="Y1612" i="9"/>
  <c r="Y1613" i="9"/>
  <c r="Y1614" i="9"/>
  <c r="Y1615" i="9"/>
  <c r="Y1617" i="9"/>
  <c r="Y1618" i="9"/>
  <c r="Y1619" i="9"/>
  <c r="Y1620" i="9"/>
  <c r="Y1621" i="9"/>
  <c r="Y1622" i="9"/>
  <c r="Y1623" i="9"/>
  <c r="Y1624" i="9"/>
  <c r="Y1625" i="9"/>
  <c r="Y1627" i="9"/>
  <c r="Y1629" i="9"/>
  <c r="Y1630" i="9"/>
  <c r="Y1631" i="9"/>
  <c r="Y1632" i="9"/>
  <c r="Y1633" i="9"/>
  <c r="Y1635" i="9"/>
  <c r="Y1636" i="9"/>
  <c r="Y1637" i="9"/>
  <c r="Y1638" i="9"/>
  <c r="Y1639" i="9"/>
  <c r="Y1640" i="9"/>
  <c r="Y1641" i="9"/>
  <c r="Y1642" i="9"/>
  <c r="Y1644" i="9"/>
  <c r="Y1645" i="9"/>
  <c r="Y1646" i="9"/>
  <c r="Y1647" i="9"/>
  <c r="Y1648" i="9"/>
  <c r="Y1649" i="9"/>
  <c r="Y1650" i="9"/>
  <c r="Y1652" i="9"/>
  <c r="Y1653" i="9"/>
  <c r="Y1654" i="9"/>
  <c r="Y1655" i="9"/>
  <c r="Y1656" i="9"/>
  <c r="Y1658" i="9"/>
  <c r="Y1659" i="9"/>
  <c r="Y1660" i="9"/>
  <c r="Y1661" i="9"/>
  <c r="Y1662" i="9"/>
  <c r="Y1663" i="9"/>
  <c r="Y1664" i="9"/>
  <c r="Y1665" i="9"/>
  <c r="Y1666" i="9"/>
  <c r="Y1667" i="9"/>
  <c r="Y1668" i="9"/>
  <c r="Y1669" i="9"/>
  <c r="Y1670" i="9"/>
  <c r="Y1671" i="9"/>
  <c r="Y1673" i="9"/>
  <c r="Y1674" i="9"/>
  <c r="Y1675" i="9"/>
  <c r="Y1676" i="9"/>
  <c r="Y1677" i="9"/>
  <c r="Y1678" i="9"/>
  <c r="Y1679" i="9"/>
  <c r="Y1680" i="9"/>
  <c r="Y1681" i="9"/>
  <c r="Y1682" i="9"/>
  <c r="Y1683" i="9"/>
  <c r="Y1684" i="9"/>
  <c r="Y1685" i="9"/>
  <c r="Y1686" i="9"/>
  <c r="Y1688" i="9"/>
  <c r="Y1689" i="9"/>
  <c r="Y1691" i="9"/>
  <c r="Y1692" i="9"/>
  <c r="Y1693" i="9"/>
  <c r="Y1694" i="9"/>
  <c r="Y1696" i="9"/>
  <c r="Y1697" i="9"/>
  <c r="Y1698" i="9"/>
  <c r="Y1699" i="9"/>
  <c r="Y1700" i="9"/>
  <c r="Y1701" i="9"/>
  <c r="Y1702" i="9"/>
  <c r="Y1704" i="9"/>
  <c r="Y1705" i="9"/>
  <c r="Y1706" i="9"/>
  <c r="Y1707" i="9"/>
  <c r="Y1708" i="9"/>
  <c r="Y1709" i="9"/>
  <c r="Y1710" i="9"/>
  <c r="Y1711" i="9"/>
  <c r="Y1712" i="9"/>
  <c r="Y1713" i="9"/>
  <c r="Y1715" i="9"/>
  <c r="Y1716" i="9"/>
  <c r="Y1717" i="9"/>
  <c r="Y1718" i="9"/>
  <c r="Y1719" i="9"/>
  <c r="Y1720" i="9"/>
  <c r="Y1721" i="9"/>
  <c r="Y1722" i="9"/>
  <c r="Y1723" i="9"/>
  <c r="Y1724" i="9"/>
  <c r="Y1725" i="9"/>
  <c r="Y1726" i="9"/>
  <c r="Y1727" i="9"/>
  <c r="Y1729" i="9"/>
  <c r="Y1730" i="9"/>
  <c r="Y1731" i="9"/>
  <c r="Y1732" i="9"/>
  <c r="Y1733" i="9"/>
  <c r="Y1734" i="9"/>
  <c r="Y1735" i="9"/>
  <c r="Y1736" i="9"/>
  <c r="Y1737" i="9"/>
  <c r="Y1738" i="9"/>
  <c r="Y1739" i="9"/>
  <c r="Y1741" i="9"/>
  <c r="Y1743" i="9"/>
  <c r="Y1744" i="9"/>
  <c r="Y1745" i="9"/>
  <c r="Y1746" i="9"/>
  <c r="Y1747" i="9"/>
  <c r="Y1748" i="9"/>
  <c r="Y1749" i="9"/>
  <c r="Y1750" i="9"/>
  <c r="Y1751" i="9"/>
  <c r="Y1752" i="9"/>
  <c r="Y1753" i="9"/>
  <c r="Y1754" i="9"/>
  <c r="Y1755" i="9"/>
  <c r="Y1756" i="9"/>
  <c r="Y1757" i="9"/>
  <c r="Y1758" i="9"/>
  <c r="Y1759" i="9"/>
  <c r="Y1760" i="9"/>
  <c r="Y1761" i="9"/>
  <c r="Y1762" i="9"/>
  <c r="Y1763" i="9"/>
  <c r="Y1764" i="9"/>
  <c r="Y1765" i="9"/>
  <c r="Y1766" i="9"/>
  <c r="Y1768" i="9"/>
  <c r="Y1769" i="9"/>
  <c r="Y1770" i="9"/>
  <c r="Y1771" i="9"/>
  <c r="Y1772" i="9"/>
  <c r="Y1773" i="9"/>
  <c r="Y1775" i="9"/>
  <c r="Y1776" i="9"/>
  <c r="Y1777" i="9"/>
  <c r="Y1778" i="9"/>
  <c r="Y1779" i="9"/>
  <c r="Y1780" i="9"/>
  <c r="Y1781" i="9"/>
  <c r="Y1782" i="9"/>
  <c r="Y1783" i="9"/>
  <c r="Y1784" i="9"/>
  <c r="Y1785" i="9"/>
  <c r="Y1786" i="9"/>
  <c r="Y1788" i="9"/>
  <c r="Y1789" i="9"/>
  <c r="Y1790" i="9"/>
  <c r="Y1791" i="9"/>
  <c r="Y1792" i="9"/>
  <c r="Y1793" i="9"/>
  <c r="Y1794" i="9"/>
  <c r="Y1795" i="9"/>
  <c r="Y1796" i="9"/>
  <c r="Y1797" i="9"/>
  <c r="Y1798" i="9"/>
  <c r="Y1799" i="9"/>
  <c r="Y1800" i="9"/>
  <c r="Y1801" i="9"/>
  <c r="Y1802" i="9"/>
  <c r="Y1803" i="9"/>
  <c r="Y1804" i="9"/>
  <c r="Y1805" i="9"/>
  <c r="Y1806" i="9"/>
  <c r="Y1807" i="9"/>
  <c r="Y1808" i="9"/>
  <c r="Y1809" i="9"/>
  <c r="Y1810" i="9"/>
  <c r="Y1811" i="9"/>
  <c r="Y1812" i="9"/>
  <c r="Y1813" i="9"/>
  <c r="Y1814" i="9"/>
  <c r="Y1815" i="9"/>
  <c r="Y1816" i="9"/>
  <c r="Y1817" i="9"/>
  <c r="Y1819" i="9"/>
  <c r="Y1820" i="9"/>
  <c r="Y1821" i="9"/>
  <c r="Y1822" i="9"/>
  <c r="Y1823" i="9"/>
  <c r="Y1824" i="9"/>
  <c r="Y1825" i="9"/>
  <c r="Y1826" i="9"/>
  <c r="Y1827" i="9"/>
  <c r="Y1829" i="9"/>
  <c r="Y1830" i="9"/>
  <c r="Y1831" i="9"/>
  <c r="Y1832" i="9"/>
  <c r="Y1833" i="9"/>
  <c r="Y1834" i="9"/>
  <c r="Y1835" i="9"/>
  <c r="Y1836" i="9"/>
  <c r="Y1837" i="9"/>
  <c r="Y1838" i="9"/>
  <c r="Y1840" i="9"/>
  <c r="Y1841" i="9"/>
  <c r="Y1842" i="9"/>
  <c r="Y1843" i="9"/>
  <c r="Y1844" i="9"/>
  <c r="Y1845" i="9"/>
  <c r="Y1846" i="9"/>
  <c r="Y1847" i="9"/>
  <c r="Y1848" i="9"/>
  <c r="Y1849" i="9"/>
  <c r="Y1850" i="9"/>
  <c r="Y1851" i="9"/>
  <c r="Y1853" i="9"/>
  <c r="Y1854" i="9"/>
  <c r="Y1855" i="9"/>
  <c r="Y1856" i="9"/>
  <c r="Y1857" i="9"/>
  <c r="Y1858" i="9"/>
  <c r="Y1859" i="9"/>
  <c r="Y1860" i="9"/>
  <c r="Y1861" i="9"/>
  <c r="Y1862" i="9"/>
  <c r="Y1863" i="9"/>
  <c r="Y1864" i="9"/>
  <c r="Y1865" i="9"/>
  <c r="Y1866" i="9"/>
  <c r="Y1867" i="9"/>
  <c r="Y1868" i="9"/>
  <c r="Y1869" i="9"/>
  <c r="Y1871" i="9"/>
  <c r="Y1872" i="9"/>
  <c r="Y1873" i="9"/>
  <c r="Y1874" i="9"/>
  <c r="Y1875" i="9"/>
  <c r="Y1876" i="9"/>
  <c r="Y1877" i="9"/>
  <c r="Y1878" i="9"/>
  <c r="Y1879" i="9"/>
  <c r="Y1880" i="9"/>
  <c r="Y1882" i="9"/>
  <c r="Y1883" i="9"/>
  <c r="Y1884" i="9"/>
  <c r="Y1885" i="9"/>
  <c r="Y1886" i="9"/>
  <c r="Y1887" i="9"/>
  <c r="Y1888" i="9"/>
  <c r="Y1889" i="9"/>
  <c r="Y1890" i="9"/>
  <c r="Y1891" i="9"/>
  <c r="Y1892" i="9"/>
  <c r="Y1893" i="9"/>
  <c r="Y1894" i="9"/>
  <c r="Y1895" i="9"/>
  <c r="Y1896" i="9"/>
  <c r="Y1897" i="9"/>
  <c r="Y1899" i="9"/>
  <c r="Y1901" i="9"/>
  <c r="Y1902" i="9"/>
  <c r="Y1903" i="9"/>
  <c r="Y1904" i="9"/>
  <c r="Y1905" i="9"/>
  <c r="Y1906" i="9"/>
  <c r="Y1907" i="9"/>
  <c r="Y1908" i="9"/>
  <c r="Y1910" i="9"/>
  <c r="Y1911" i="9"/>
  <c r="Y1912" i="9"/>
  <c r="Y1913" i="9"/>
  <c r="Y1914" i="9"/>
  <c r="Y1915" i="9"/>
  <c r="Y1916" i="9"/>
  <c r="Y1917" i="9"/>
  <c r="Y1918" i="9"/>
  <c r="Y1919" i="9"/>
  <c r="Y1920" i="9"/>
  <c r="Y1921" i="9"/>
  <c r="Y1922" i="9"/>
  <c r="Y1924" i="9"/>
  <c r="Y1925" i="9"/>
  <c r="Y1926" i="9"/>
  <c r="Y1927" i="9"/>
  <c r="Y1929" i="9"/>
  <c r="Y1930" i="9"/>
  <c r="Y1931" i="9"/>
  <c r="Y1932" i="9"/>
  <c r="Y1933" i="9"/>
  <c r="Y1934" i="9"/>
  <c r="Y1935" i="9"/>
  <c r="Y1936" i="9"/>
  <c r="Y1937" i="9"/>
  <c r="Y1938" i="9"/>
  <c r="Y1939" i="9"/>
  <c r="Y1940" i="9"/>
  <c r="Y1941" i="9"/>
  <c r="Y1942" i="9"/>
  <c r="Y1945" i="9"/>
  <c r="Y1946" i="9"/>
  <c r="Y1947" i="9"/>
  <c r="Y1948" i="9"/>
  <c r="Y1949" i="9"/>
  <c r="Y1950" i="9"/>
  <c r="Y1951" i="9"/>
  <c r="Y1952" i="9"/>
  <c r="Y1953" i="9"/>
  <c r="Y1955" i="9"/>
  <c r="Y1956" i="9"/>
  <c r="Y1957" i="9"/>
  <c r="Y1958" i="9"/>
  <c r="Y1959" i="9"/>
  <c r="Y1960" i="9"/>
  <c r="Y1961" i="9"/>
  <c r="Y1962" i="9"/>
  <c r="Y1963" i="9"/>
  <c r="Y1964" i="9"/>
  <c r="Y1965" i="9"/>
  <c r="Y1966" i="9"/>
  <c r="Y1967" i="9"/>
  <c r="Y1969" i="9"/>
  <c r="Y1970" i="9"/>
  <c r="Y1971" i="9"/>
  <c r="Y1972" i="9"/>
  <c r="Y1973" i="9"/>
  <c r="Y1974" i="9"/>
  <c r="Y1975" i="9"/>
  <c r="Y1976" i="9"/>
  <c r="Y1977" i="9"/>
  <c r="Y1978" i="9"/>
  <c r="Y1979" i="9"/>
  <c r="Y1981" i="9"/>
  <c r="Y1982" i="9"/>
  <c r="Y1983" i="9"/>
  <c r="Y1984" i="9"/>
  <c r="Y1985" i="9"/>
  <c r="Y1986" i="9"/>
  <c r="Y1987" i="9"/>
  <c r="Y1988" i="9"/>
  <c r="Y1989" i="9"/>
  <c r="Y1990" i="9"/>
  <c r="Y1991" i="9"/>
  <c r="Y1993" i="9"/>
  <c r="Y1994" i="9"/>
  <c r="Y1995" i="9"/>
  <c r="Y1996" i="9"/>
  <c r="Y1997" i="9"/>
  <c r="Y1998" i="9"/>
  <c r="Y1999" i="9"/>
  <c r="Y2002" i="9"/>
  <c r="Y2004" i="9"/>
  <c r="Y2005" i="9"/>
  <c r="Y2006" i="9"/>
  <c r="Y2007" i="9"/>
  <c r="Y2008" i="9"/>
  <c r="Y2011" i="9"/>
  <c r="Y2012" i="9"/>
  <c r="Y2013" i="9"/>
  <c r="Y2014" i="9"/>
  <c r="Y2015" i="9"/>
  <c r="Y2016" i="9"/>
  <c r="Y2019" i="9"/>
  <c r="Y2020" i="9"/>
  <c r="Y2021" i="9"/>
  <c r="Y2022" i="9"/>
  <c r="Y2023" i="9"/>
  <c r="Y2024" i="9"/>
  <c r="Y2025" i="9"/>
  <c r="Y2026" i="9"/>
  <c r="Y2028" i="9"/>
  <c r="Y2029" i="9"/>
  <c r="Y2030" i="9"/>
  <c r="Y2031" i="9"/>
  <c r="Y2032" i="9"/>
  <c r="Y2033" i="9"/>
  <c r="Y2034" i="9"/>
  <c r="Y2035" i="9"/>
  <c r="Y2036" i="9"/>
  <c r="Y2037" i="9"/>
  <c r="Y2038" i="9"/>
  <c r="Y2039" i="9"/>
  <c r="Y2040" i="9"/>
  <c r="Y2041" i="9"/>
  <c r="Y2042" i="9"/>
  <c r="Y2044" i="9"/>
  <c r="Y2045" i="9"/>
  <c r="Y2046" i="9"/>
  <c r="Y2047" i="9"/>
  <c r="Y2048" i="9"/>
  <c r="Y2049" i="9"/>
  <c r="Y2051" i="9"/>
  <c r="Y2052" i="9"/>
  <c r="Y2053" i="9"/>
  <c r="Y2054" i="9"/>
  <c r="Y2055" i="9"/>
  <c r="Y2056" i="9"/>
  <c r="Y2057" i="9"/>
  <c r="Y2058" i="9"/>
  <c r="Y2059" i="9"/>
  <c r="Y2060" i="9"/>
  <c r="Y2062" i="9"/>
  <c r="Y2063" i="9"/>
  <c r="Y2064" i="9"/>
  <c r="Y2065" i="9"/>
  <c r="Y2066" i="9"/>
  <c r="Y2067" i="9"/>
  <c r="Y2068" i="9"/>
  <c r="Y2070" i="9"/>
  <c r="Y2071" i="9"/>
  <c r="Y2072" i="9"/>
  <c r="Y2073" i="9"/>
  <c r="Y2074" i="9"/>
  <c r="Y2075" i="9"/>
  <c r="Y2076" i="9"/>
  <c r="Y2077" i="9"/>
  <c r="Y2078" i="9"/>
  <c r="Y2079" i="9"/>
  <c r="Y2080" i="9"/>
  <c r="Y2081" i="9"/>
  <c r="Y2082" i="9"/>
  <c r="Y2083" i="9"/>
  <c r="Y2084" i="9"/>
  <c r="Y2085" i="9"/>
  <c r="Y2086" i="9"/>
  <c r="Y2087" i="9"/>
  <c r="Y2088" i="9"/>
  <c r="Y2089" i="9"/>
  <c r="Y2090" i="9"/>
  <c r="Y2091" i="9"/>
  <c r="Y2092" i="9"/>
  <c r="Y2093" i="9"/>
  <c r="Y2094" i="9"/>
  <c r="Y2096" i="9"/>
  <c r="Y2097" i="9"/>
  <c r="Y2098" i="9"/>
  <c r="Y2099" i="9"/>
  <c r="Y2100" i="9"/>
  <c r="Y2101" i="9"/>
  <c r="Y2102" i="9"/>
  <c r="Y2103" i="9"/>
  <c r="Y2104" i="9"/>
  <c r="Y2105" i="9"/>
  <c r="Y2106" i="9"/>
  <c r="Y2107" i="9"/>
  <c r="Y2108" i="9"/>
  <c r="Y2109" i="9"/>
  <c r="Y2111" i="9"/>
  <c r="Y2112" i="9"/>
  <c r="Y2113" i="9"/>
  <c r="Y2114" i="9"/>
  <c r="Y2116" i="9"/>
  <c r="Y2117" i="9"/>
  <c r="Y2118" i="9"/>
  <c r="Y2119" i="9"/>
  <c r="Y2120" i="9"/>
  <c r="Y2121" i="9"/>
  <c r="Y2122" i="9"/>
  <c r="Y2124" i="9"/>
  <c r="Y2125" i="9"/>
  <c r="Y2126" i="9"/>
  <c r="Y2127" i="9"/>
  <c r="Y2128" i="9"/>
  <c r="Y2129" i="9"/>
  <c r="Y2130" i="9"/>
  <c r="Y2131" i="9"/>
  <c r="Y2132" i="9"/>
  <c r="Y2133" i="9"/>
  <c r="Y2134" i="9"/>
  <c r="Y2136" i="9"/>
  <c r="Y2137" i="9"/>
  <c r="Y2138" i="9"/>
  <c r="Y2140" i="9"/>
  <c r="Y2141" i="9"/>
  <c r="Y2142" i="9"/>
  <c r="Y2143" i="9"/>
  <c r="Y2144" i="9"/>
  <c r="Y2145" i="9"/>
  <c r="Y2146" i="9"/>
  <c r="Y2147" i="9"/>
  <c r="Y2149" i="9"/>
  <c r="Y2150" i="9"/>
  <c r="Y2151" i="9"/>
  <c r="Y2153" i="9"/>
  <c r="Y2154" i="9"/>
  <c r="Y2155" i="9"/>
  <c r="Y2156" i="9"/>
  <c r="Y2157" i="9"/>
  <c r="Y2158" i="9"/>
  <c r="Y2159" i="9"/>
  <c r="Y2160" i="9"/>
  <c r="Y2161" i="9"/>
  <c r="Y2163" i="9"/>
  <c r="Y2164" i="9"/>
  <c r="Y2166" i="9"/>
  <c r="Y2167" i="9"/>
  <c r="Y2168" i="9"/>
  <c r="Y2169" i="9"/>
  <c r="Y2170" i="9"/>
  <c r="Y2171" i="9"/>
  <c r="Y2172" i="9"/>
  <c r="Y2173" i="9"/>
  <c r="Y2174" i="9"/>
  <c r="Y2175" i="9"/>
  <c r="Y2176" i="9"/>
  <c r="Y2177" i="9"/>
  <c r="Y2178" i="9"/>
  <c r="Y2179" i="9"/>
  <c r="Y2180" i="9"/>
  <c r="Y2181" i="9"/>
  <c r="Y2182" i="9"/>
  <c r="Y2183" i="9"/>
  <c r="Y2184" i="9"/>
  <c r="Y2185" i="9"/>
  <c r="Y2186" i="9"/>
  <c r="Y2188" i="9"/>
  <c r="Y2189" i="9"/>
  <c r="Y2190" i="9"/>
  <c r="Y2191" i="9"/>
  <c r="Y2192" i="9"/>
  <c r="Y2193" i="9"/>
  <c r="Y2195" i="9"/>
  <c r="Y2196" i="9"/>
  <c r="Y2197" i="9"/>
  <c r="Y2198" i="9"/>
  <c r="Y2199" i="9"/>
  <c r="Y2200" i="9"/>
  <c r="Y2201" i="9"/>
  <c r="Y2202" i="9"/>
  <c r="Y2203" i="9"/>
  <c r="Y2204" i="9"/>
  <c r="Y2205" i="9"/>
  <c r="Y2206" i="9"/>
  <c r="Y2208" i="9"/>
  <c r="Y2209" i="9"/>
  <c r="Y2210" i="9"/>
  <c r="Y2211" i="9"/>
  <c r="Y2212" i="9"/>
  <c r="Y2213" i="9"/>
  <c r="Y2214" i="9"/>
  <c r="Y2215" i="9"/>
  <c r="Y2218" i="9"/>
  <c r="Y2219" i="9"/>
  <c r="Y2220" i="9"/>
  <c r="Y2221" i="9"/>
  <c r="Y2222" i="9"/>
  <c r="Y2223" i="9"/>
  <c r="Y2224" i="9"/>
  <c r="Y2225" i="9"/>
  <c r="Y2226" i="9"/>
  <c r="Y2227" i="9"/>
  <c r="Y2228" i="9"/>
  <c r="Y2229" i="9"/>
  <c r="Y2230" i="9"/>
  <c r="Y2231" i="9"/>
  <c r="Y2232" i="9"/>
  <c r="Y2233" i="9"/>
  <c r="Y2234" i="9"/>
  <c r="Y2236" i="9"/>
  <c r="Y2237" i="9"/>
  <c r="Y2238" i="9"/>
  <c r="Y2239" i="9"/>
  <c r="Y2241" i="9"/>
  <c r="Y2243" i="9"/>
  <c r="Y2244" i="9"/>
  <c r="Y2245" i="9"/>
  <c r="Y2246" i="9"/>
  <c r="Y2247" i="9"/>
  <c r="Y2248" i="9"/>
  <c r="Y2249" i="9"/>
  <c r="Y2253" i="9"/>
  <c r="Y2254" i="9"/>
  <c r="Y2255" i="9"/>
  <c r="Y2256" i="9"/>
  <c r="Y2257" i="9"/>
  <c r="Y2258" i="9"/>
  <c r="Y2259" i="9"/>
  <c r="Y2260" i="9"/>
  <c r="Y2261" i="9"/>
  <c r="Y2263" i="9"/>
  <c r="Y2264" i="9"/>
  <c r="Y2265" i="9"/>
  <c r="Y2266" i="9"/>
  <c r="Y2267" i="9"/>
  <c r="Y2268" i="9"/>
  <c r="Y2269" i="9"/>
  <c r="Y2270" i="9"/>
  <c r="Y2271" i="9"/>
  <c r="Y2273" i="9"/>
  <c r="Y2275" i="9"/>
  <c r="Y2276" i="9"/>
  <c r="Y2277" i="9"/>
  <c r="Y2278" i="9"/>
  <c r="Y2279" i="9"/>
  <c r="Y2280" i="9"/>
  <c r="Y2281" i="9"/>
  <c r="Y2282" i="9"/>
  <c r="Y2283" i="9"/>
  <c r="Y2284" i="9"/>
  <c r="Y2285" i="9"/>
  <c r="Y2286" i="9"/>
  <c r="Y2287" i="9"/>
  <c r="Y2289" i="9"/>
  <c r="Y2290" i="9"/>
  <c r="Y2291" i="9"/>
  <c r="Y2292" i="9"/>
  <c r="Y2293" i="9"/>
  <c r="Y2294" i="9"/>
  <c r="Y2295" i="9"/>
  <c r="Y2296" i="9"/>
  <c r="Y2297" i="9"/>
  <c r="Y2298" i="9"/>
  <c r="Y2299" i="9"/>
  <c r="Y2300" i="9"/>
  <c r="Y2301" i="9"/>
  <c r="Y2302" i="9"/>
  <c r="Y2304" i="9"/>
  <c r="Y2305" i="9"/>
  <c r="Y2306" i="9"/>
  <c r="Y2307" i="9"/>
  <c r="Y2308" i="9"/>
  <c r="Y2309" i="9"/>
  <c r="Y2310" i="9"/>
  <c r="Y2311" i="9"/>
  <c r="Y2312" i="9"/>
  <c r="Y2314" i="9"/>
  <c r="Y2315" i="9"/>
  <c r="Y2316" i="9"/>
  <c r="Y2317" i="9"/>
  <c r="Y2318" i="9"/>
  <c r="Y2320" i="9"/>
  <c r="Y2321" i="9"/>
  <c r="Y2322" i="9"/>
  <c r="Y2323" i="9"/>
  <c r="Y2324" i="9"/>
  <c r="Y2326" i="9"/>
  <c r="Y2327" i="9"/>
  <c r="Y2328" i="9"/>
  <c r="Y2329" i="9"/>
  <c r="Y2331" i="9"/>
  <c r="Y2332" i="9"/>
  <c r="Y2333" i="9"/>
  <c r="Y2334" i="9"/>
  <c r="Y2335" i="9"/>
  <c r="Y2336" i="9"/>
  <c r="Y2338" i="9"/>
  <c r="Y2339" i="9"/>
  <c r="Y2340" i="9"/>
  <c r="Y2341" i="9"/>
  <c r="Y2342" i="9"/>
  <c r="Y2343" i="9"/>
  <c r="Y2344" i="9"/>
  <c r="Y2345" i="9"/>
  <c r="Y2346" i="9"/>
  <c r="Y2347" i="9"/>
  <c r="Y2349" i="9"/>
  <c r="Y2350" i="9"/>
  <c r="Y2351" i="9"/>
  <c r="Y2352" i="9"/>
  <c r="Y2353" i="9"/>
  <c r="Y2354" i="9"/>
  <c r="Y2355" i="9"/>
  <c r="Y2356" i="9"/>
  <c r="Y2358" i="9"/>
  <c r="Y2359" i="9"/>
  <c r="Y2360" i="9"/>
  <c r="Y2361" i="9"/>
  <c r="Y2362" i="9"/>
  <c r="Y2364" i="9"/>
  <c r="Y2365" i="9"/>
  <c r="Y2367" i="9"/>
  <c r="Y2368" i="9"/>
  <c r="Y2369" i="9"/>
  <c r="Y2370" i="9"/>
  <c r="Y2371" i="9"/>
  <c r="Y2372" i="9"/>
  <c r="Y2374" i="9"/>
  <c r="Y2375" i="9"/>
  <c r="Y2376" i="9"/>
  <c r="Y2378" i="9"/>
  <c r="Y2379" i="9"/>
  <c r="Y2380" i="9"/>
  <c r="Y2381" i="9"/>
  <c r="Y2382" i="9"/>
  <c r="Y2383" i="9"/>
  <c r="Y2384" i="9"/>
  <c r="Y2385" i="9"/>
  <c r="Y2386" i="9"/>
  <c r="Y2387" i="9"/>
  <c r="Y2389" i="9"/>
  <c r="Y2390" i="9"/>
  <c r="Y2391" i="9"/>
  <c r="Y2392" i="9"/>
  <c r="Y2393" i="9"/>
  <c r="Y2394" i="9"/>
  <c r="Y2395" i="9"/>
  <c r="Y2396" i="9"/>
  <c r="Y2397" i="9"/>
  <c r="Y2398" i="9"/>
  <c r="Y2399" i="9"/>
  <c r="Y2400" i="9"/>
  <c r="Y2401" i="9"/>
  <c r="Y2402" i="9"/>
  <c r="Y2403" i="9"/>
  <c r="Y2404" i="9"/>
  <c r="Y2405" i="9"/>
  <c r="Y2407" i="9"/>
  <c r="Y2408" i="9"/>
  <c r="Y2409" i="9"/>
  <c r="Y2410" i="9"/>
  <c r="Y2412" i="9"/>
  <c r="Y2413" i="9"/>
  <c r="Y2414" i="9"/>
  <c r="Y2415" i="9"/>
  <c r="Y2417" i="9"/>
  <c r="Y2418" i="9"/>
  <c r="Y2419" i="9"/>
  <c r="Y2420" i="9"/>
  <c r="Y2421" i="9"/>
  <c r="Y2422" i="9"/>
  <c r="Y2424" i="9"/>
  <c r="Y2425" i="9"/>
  <c r="Y2426" i="9"/>
  <c r="Y2427" i="9"/>
  <c r="Y2428" i="9"/>
  <c r="Y2429" i="9"/>
  <c r="Y2430" i="9"/>
  <c r="Y2431" i="9"/>
  <c r="Y2433" i="9"/>
  <c r="Y2435" i="9"/>
  <c r="Y2436" i="9"/>
  <c r="Y2437" i="9"/>
  <c r="Y2438" i="9"/>
  <c r="Y2439" i="9"/>
  <c r="Y2440" i="9"/>
  <c r="Y2441" i="9"/>
  <c r="Y2442" i="9"/>
  <c r="Y2443" i="9"/>
  <c r="Y2444" i="9"/>
  <c r="Y2445" i="9"/>
  <c r="Y2447" i="9"/>
  <c r="Y2448" i="9"/>
  <c r="Y2449" i="9"/>
  <c r="Y2450" i="9"/>
  <c r="Y2451" i="9"/>
  <c r="Y2452" i="9"/>
  <c r="Y2453" i="9"/>
  <c r="Y2454" i="9"/>
  <c r="Y2455" i="9"/>
  <c r="Y2456" i="9"/>
  <c r="Y2459" i="9"/>
  <c r="Y2460" i="9"/>
  <c r="Y2461" i="9"/>
  <c r="Y2462" i="9"/>
  <c r="Y2463" i="9"/>
  <c r="Y2464" i="9"/>
  <c r="Y2465" i="9"/>
  <c r="Y2466" i="9"/>
  <c r="Y2467" i="9"/>
  <c r="Y2468" i="9"/>
  <c r="Y2469" i="9"/>
  <c r="Y2470" i="9"/>
  <c r="Y2471" i="9"/>
  <c r="Y2472" i="9"/>
  <c r="Y2474" i="9"/>
  <c r="Y2475" i="9"/>
  <c r="Y2476" i="9"/>
  <c r="Y2477" i="9"/>
  <c r="Y2478" i="9"/>
  <c r="Y2479" i="9"/>
  <c r="Y2480" i="9"/>
  <c r="Y2481" i="9"/>
  <c r="Y2482" i="9"/>
  <c r="Y2483" i="9"/>
  <c r="Y2484" i="9"/>
  <c r="Y2485" i="9"/>
  <c r="Y2486" i="9"/>
  <c r="Y2487" i="9"/>
  <c r="Y2489" i="9"/>
  <c r="Y2490" i="9"/>
  <c r="Y2491" i="9"/>
  <c r="Y2492" i="9"/>
  <c r="Y2493" i="9"/>
  <c r="Y2494" i="9"/>
  <c r="Y2495" i="9"/>
  <c r="Y2496" i="9"/>
  <c r="Y2497" i="9"/>
  <c r="Y2498" i="9"/>
  <c r="Y2499" i="9"/>
  <c r="Y2500" i="9"/>
  <c r="Y2502" i="9"/>
  <c r="Y2503" i="9"/>
  <c r="Y2506" i="9"/>
  <c r="Y2507" i="9"/>
  <c r="Y2508" i="9"/>
  <c r="Y2509" i="9"/>
  <c r="Y2510" i="9"/>
  <c r="Y2511" i="9"/>
  <c r="Y2512" i="9"/>
  <c r="Y2513" i="9"/>
  <c r="Y2514" i="9"/>
  <c r="Y2515" i="9"/>
  <c r="Y2516" i="9"/>
  <c r="Y2517" i="9"/>
  <c r="Y2518" i="9"/>
  <c r="Y2519" i="9"/>
  <c r="Y2520" i="9"/>
  <c r="Y2521" i="9"/>
  <c r="Y2522" i="9"/>
  <c r="Y2523" i="9"/>
  <c r="Y2525" i="9"/>
  <c r="Y2527" i="9"/>
  <c r="Y2529" i="9"/>
  <c r="Y2530" i="9"/>
  <c r="Y2531" i="9"/>
  <c r="Y2532" i="9"/>
  <c r="Y2533" i="9"/>
  <c r="Y2534" i="9"/>
  <c r="Y2535" i="9"/>
  <c r="Y2536" i="9"/>
  <c r="Y2537" i="9"/>
  <c r="Y2539" i="9"/>
  <c r="Y2540" i="9"/>
  <c r="Y2541" i="9"/>
  <c r="Y2542" i="9"/>
  <c r="Y2543" i="9"/>
  <c r="Y2544" i="9"/>
  <c r="Y2546" i="9"/>
  <c r="Y2547" i="9"/>
  <c r="Y2548" i="9"/>
  <c r="Y2549" i="9"/>
  <c r="Y2550" i="9"/>
  <c r="Y2551" i="9"/>
  <c r="Y2553" i="9"/>
  <c r="Y2554" i="9"/>
  <c r="Y2555" i="9"/>
  <c r="Y2556" i="9"/>
  <c r="Y2557" i="9"/>
  <c r="Y2558" i="9"/>
  <c r="Y2559" i="9"/>
  <c r="Y2560" i="9"/>
  <c r="Y2561" i="9"/>
  <c r="Y2562" i="9"/>
  <c r="Y2563" i="9"/>
  <c r="Y2565" i="9"/>
  <c r="Y2567" i="9"/>
  <c r="Y2568" i="9"/>
  <c r="Y2569" i="9"/>
  <c r="Y2570" i="9"/>
  <c r="Y2572" i="9"/>
  <c r="Y2573" i="9"/>
  <c r="Y2574" i="9"/>
  <c r="Y2575" i="9"/>
  <c r="Y2576" i="9"/>
  <c r="Y2577" i="9"/>
  <c r="Y2578" i="9"/>
  <c r="Y2579" i="9"/>
  <c r="Y2581" i="9"/>
  <c r="Y2582" i="9"/>
  <c r="Y2583" i="9"/>
  <c r="Y2584" i="9"/>
  <c r="Y2585" i="9"/>
  <c r="Y2586" i="9"/>
  <c r="Y2587" i="9"/>
  <c r="Y2588" i="9"/>
  <c r="Y2589" i="9"/>
  <c r="Y2590" i="9"/>
  <c r="Y2591" i="9"/>
  <c r="Y2592" i="9"/>
  <c r="Y2593" i="9"/>
  <c r="Y2594" i="9"/>
  <c r="Y2595" i="9"/>
  <c r="Y2596" i="9"/>
  <c r="Y2597" i="9"/>
  <c r="Y2599" i="9"/>
  <c r="Y2600" i="9"/>
  <c r="Y2601" i="9"/>
  <c r="Y2602" i="9"/>
  <c r="Y2603" i="9"/>
  <c r="Y2604" i="9"/>
  <c r="Y2605" i="9"/>
  <c r="Y2606" i="9"/>
  <c r="Y2607" i="9"/>
  <c r="Y2608" i="9"/>
  <c r="Y2609" i="9"/>
  <c r="Y2610" i="9"/>
  <c r="Y2611" i="9"/>
  <c r="Y2613" i="9"/>
  <c r="Y2614" i="9"/>
  <c r="Y2616" i="9"/>
  <c r="Y2617" i="9"/>
  <c r="Y2618" i="9"/>
  <c r="Y2619" i="9"/>
  <c r="Y2620" i="9"/>
  <c r="Y2621" i="9"/>
  <c r="Y2623" i="9"/>
  <c r="Y2624" i="9"/>
  <c r="Y2625" i="9"/>
  <c r="Y2626" i="9"/>
  <c r="Y2628" i="9"/>
  <c r="Y2629" i="9"/>
  <c r="Y2630" i="9"/>
  <c r="Y2631" i="9"/>
  <c r="Y2632" i="9"/>
  <c r="Y2633" i="9"/>
  <c r="Y2634" i="9"/>
  <c r="Y2635" i="9"/>
  <c r="Y2636" i="9"/>
  <c r="Y2637" i="9"/>
  <c r="Y2638" i="9"/>
  <c r="Y2639" i="9"/>
  <c r="Y2641" i="9"/>
  <c r="Y2642" i="9"/>
  <c r="Y2643" i="9"/>
  <c r="Y2644" i="9"/>
  <c r="Y2645" i="9"/>
  <c r="Y2646" i="9"/>
  <c r="Y2647" i="9"/>
  <c r="Y2648" i="9"/>
  <c r="Z1244" i="9"/>
  <c r="Z1245" i="9"/>
  <c r="Z1246" i="9"/>
  <c r="Z1247" i="9"/>
  <c r="Z1248" i="9"/>
  <c r="Z1249" i="9"/>
  <c r="Z1250" i="9"/>
  <c r="Z1251" i="9"/>
  <c r="Z1252" i="9"/>
  <c r="Z1253" i="9"/>
  <c r="Z1254" i="9"/>
  <c r="Z1255" i="9"/>
  <c r="Z1256" i="9"/>
  <c r="Z1257" i="9"/>
  <c r="Z1258" i="9"/>
  <c r="Z1259" i="9"/>
  <c r="Z1260" i="9"/>
  <c r="Z1261" i="9"/>
  <c r="Z1262" i="9"/>
  <c r="Z1263" i="9"/>
  <c r="Z1264" i="9"/>
  <c r="Z1265" i="9"/>
  <c r="Z1266" i="9"/>
  <c r="Z1267" i="9"/>
  <c r="Z1268" i="9"/>
  <c r="Z1269" i="9"/>
  <c r="Z1270" i="9"/>
  <c r="Z1271" i="9"/>
  <c r="Z1272" i="9"/>
  <c r="Z1273" i="9"/>
  <c r="Z1274" i="9"/>
  <c r="Z1275" i="9"/>
  <c r="Z1277" i="9"/>
  <c r="Z1278" i="9"/>
  <c r="Z1279" i="9"/>
  <c r="Z1280" i="9"/>
  <c r="Z1281" i="9"/>
  <c r="Z1282" i="9"/>
  <c r="Z1283" i="9"/>
  <c r="Z1285" i="9"/>
  <c r="Z1286" i="9"/>
  <c r="Z1287" i="9"/>
  <c r="Z1288" i="9"/>
  <c r="Z1289" i="9"/>
  <c r="Z1292" i="9"/>
  <c r="Z1293" i="9"/>
  <c r="Z1294" i="9"/>
  <c r="Z1295" i="9"/>
  <c r="Z1297" i="9"/>
  <c r="Z1298" i="9"/>
  <c r="Z1299" i="9"/>
  <c r="Z1300" i="9"/>
  <c r="Z1301" i="9"/>
  <c r="Z1302" i="9"/>
  <c r="Z1303" i="9"/>
  <c r="Z1304" i="9"/>
  <c r="Z1305" i="9"/>
  <c r="Z1306" i="9"/>
  <c r="Z1307" i="9"/>
  <c r="Z1308" i="9"/>
  <c r="Z1309" i="9"/>
  <c r="Z1310" i="9"/>
  <c r="Z1311" i="9"/>
  <c r="Z1312" i="9"/>
  <c r="Z1313" i="9"/>
  <c r="Z1314" i="9"/>
  <c r="Z1315" i="9"/>
  <c r="Z1316" i="9"/>
  <c r="Z1317" i="9"/>
  <c r="Z1318" i="9"/>
  <c r="Z1319" i="9"/>
  <c r="Z1320" i="9"/>
  <c r="Z1321" i="9"/>
  <c r="Z1322" i="9"/>
  <c r="Z1323" i="9"/>
  <c r="Z1324" i="9"/>
  <c r="Z1325" i="9"/>
  <c r="Z1326" i="9"/>
  <c r="Z1327" i="9"/>
  <c r="Z1328" i="9"/>
  <c r="Z1330" i="9"/>
  <c r="Z1331" i="9"/>
  <c r="Z1332" i="9"/>
  <c r="Z1333" i="9"/>
  <c r="Z1334" i="9"/>
  <c r="Z1335" i="9"/>
  <c r="Z1336" i="9"/>
  <c r="Z1337" i="9"/>
  <c r="Z1338" i="9"/>
  <c r="Z1340" i="9"/>
  <c r="Z1341" i="9"/>
  <c r="Z1342" i="9"/>
  <c r="Z1343" i="9"/>
  <c r="Z1344" i="9"/>
  <c r="Z1345" i="9"/>
  <c r="Z1346" i="9"/>
  <c r="Z1347" i="9"/>
  <c r="Z1348" i="9"/>
  <c r="Z1349" i="9"/>
  <c r="Z1350" i="9"/>
  <c r="Z1352" i="9"/>
  <c r="Z1353" i="9"/>
  <c r="Z1354" i="9"/>
  <c r="Z1355" i="9"/>
  <c r="Z1356" i="9"/>
  <c r="Z1357" i="9"/>
  <c r="Z1358" i="9"/>
  <c r="Z1359" i="9"/>
  <c r="Z1360" i="9"/>
  <c r="Z1361" i="9"/>
  <c r="Z1362" i="9"/>
  <c r="Z1363" i="9"/>
  <c r="Z1364" i="9"/>
  <c r="Z1366" i="9"/>
  <c r="Z1367" i="9"/>
  <c r="Z1368" i="9"/>
  <c r="Z1369" i="9"/>
  <c r="Z1370" i="9"/>
  <c r="Z1372" i="9"/>
  <c r="Z1373" i="9"/>
  <c r="Z1374" i="9"/>
  <c r="Z1375" i="9"/>
  <c r="Z1376" i="9"/>
  <c r="Z1377" i="9"/>
  <c r="Z1378" i="9"/>
  <c r="Z1379" i="9"/>
  <c r="Z1380" i="9"/>
  <c r="Z1381" i="9"/>
  <c r="Z1382" i="9"/>
  <c r="Z1385" i="9"/>
  <c r="Z1386" i="9"/>
  <c r="Z1387" i="9"/>
  <c r="Z1388" i="9"/>
  <c r="Z1389" i="9"/>
  <c r="Z1390" i="9"/>
  <c r="Z1391" i="9"/>
  <c r="Z1392" i="9"/>
  <c r="Z1393" i="9"/>
  <c r="Z1394" i="9"/>
  <c r="Z1395" i="9"/>
  <c r="Z1396" i="9"/>
  <c r="Z1398" i="9"/>
  <c r="Z1399" i="9"/>
  <c r="Z1400" i="9"/>
  <c r="Z1401" i="9"/>
  <c r="Z1402" i="9"/>
  <c r="Z1403" i="9"/>
  <c r="Z1404" i="9"/>
  <c r="Z1405" i="9"/>
  <c r="Z1406" i="9"/>
  <c r="Z1408" i="9"/>
  <c r="Z1409" i="9"/>
  <c r="Z1410" i="9"/>
  <c r="Z1411" i="9"/>
  <c r="Z1412" i="9"/>
  <c r="Z1413" i="9"/>
  <c r="Z1414" i="9"/>
  <c r="Z1415" i="9"/>
  <c r="Z1416" i="9"/>
  <c r="Z1417" i="9"/>
  <c r="Z1418" i="9"/>
  <c r="Z1419" i="9"/>
  <c r="Z1420" i="9"/>
  <c r="Z1421" i="9"/>
  <c r="Z1422" i="9"/>
  <c r="Z1424" i="9"/>
  <c r="Z1425" i="9"/>
  <c r="Z1426" i="9"/>
  <c r="Z1427" i="9"/>
  <c r="Z1428" i="9"/>
  <c r="Z1429" i="9"/>
  <c r="Z1430" i="9"/>
  <c r="Z1431" i="9"/>
  <c r="Z1432" i="9"/>
  <c r="Z1433" i="9"/>
  <c r="Z1434" i="9"/>
  <c r="Z1435" i="9"/>
  <c r="Z1437" i="9"/>
  <c r="Z1438" i="9"/>
  <c r="Z1439" i="9"/>
  <c r="Z1440" i="9"/>
  <c r="Z1441" i="9"/>
  <c r="Z1442" i="9"/>
  <c r="Z1443" i="9"/>
  <c r="Z1444" i="9"/>
  <c r="Z1446" i="9"/>
  <c r="Z1447" i="9"/>
  <c r="Z1448" i="9"/>
  <c r="Z1449" i="9"/>
  <c r="Z1450" i="9"/>
  <c r="Z1451" i="9"/>
  <c r="Z1452" i="9"/>
  <c r="Z1453" i="9"/>
  <c r="Z1454" i="9"/>
  <c r="Z1456" i="9"/>
  <c r="Z1458" i="9"/>
  <c r="Z1459" i="9"/>
  <c r="Z1460" i="9"/>
  <c r="Z1461" i="9"/>
  <c r="Z1462" i="9"/>
  <c r="Z1464" i="9"/>
  <c r="Z1466" i="9"/>
  <c r="Z1467" i="9"/>
  <c r="Z1468" i="9"/>
  <c r="Z1469" i="9"/>
  <c r="Z1470" i="9"/>
  <c r="Z1471" i="9"/>
  <c r="Z1472" i="9"/>
  <c r="Z1474" i="9"/>
  <c r="Z1475" i="9"/>
  <c r="Z1477" i="9"/>
  <c r="Z1478" i="9"/>
  <c r="Z1479" i="9"/>
  <c r="Z1481" i="9"/>
  <c r="Z1482" i="9"/>
  <c r="Z1483" i="9"/>
  <c r="Z1484" i="9"/>
  <c r="Z1485" i="9"/>
  <c r="Z1486" i="9"/>
  <c r="Z1488" i="9"/>
  <c r="Z1489" i="9"/>
  <c r="Z1490" i="9"/>
  <c r="Z1491" i="9"/>
  <c r="Z1492" i="9"/>
  <c r="Z1493" i="9"/>
  <c r="Z1495" i="9"/>
  <c r="Z1496" i="9"/>
  <c r="Z1497" i="9"/>
  <c r="Z1498" i="9"/>
  <c r="Z1500" i="9"/>
  <c r="Z1502" i="9"/>
  <c r="Z1503" i="9"/>
  <c r="Z1504" i="9"/>
  <c r="Z1505" i="9"/>
  <c r="Z1506" i="9"/>
  <c r="Z1507" i="9"/>
  <c r="Z1509" i="9"/>
  <c r="Z1510" i="9"/>
  <c r="Z1511" i="9"/>
  <c r="Z1512" i="9"/>
  <c r="Z1513" i="9"/>
  <c r="Z1514" i="9"/>
  <c r="Z1516" i="9"/>
  <c r="Z1517" i="9"/>
  <c r="Z1518" i="9"/>
  <c r="Z1519" i="9"/>
  <c r="Z1520" i="9"/>
  <c r="Z1521" i="9"/>
  <c r="Z1523" i="9"/>
  <c r="Z1524" i="9"/>
  <c r="Z1525" i="9"/>
  <c r="Z1526" i="9"/>
  <c r="Z1527" i="9"/>
  <c r="Z1528" i="9"/>
  <c r="Z1530" i="9"/>
  <c r="Z1531" i="9"/>
  <c r="Z1532" i="9"/>
  <c r="Z1533" i="9"/>
  <c r="Z1534" i="9"/>
  <c r="Z1535" i="9"/>
  <c r="Z1537" i="9"/>
  <c r="Z1538" i="9"/>
  <c r="Z1539" i="9"/>
  <c r="Z1540" i="9"/>
  <c r="Z1541" i="9"/>
  <c r="Z1542" i="9"/>
  <c r="Z1544" i="9"/>
  <c r="Z1545" i="9"/>
  <c r="Z1546" i="9"/>
  <c r="Z1547" i="9"/>
  <c r="Z1548" i="9"/>
  <c r="Z1549" i="9"/>
  <c r="Z1551" i="9"/>
  <c r="Z1552" i="9"/>
  <c r="Z1554" i="9"/>
  <c r="Z1555" i="9"/>
  <c r="Z1556" i="9"/>
  <c r="Z1557" i="9"/>
  <c r="Z1559" i="9"/>
  <c r="Z1560" i="9"/>
  <c r="Z1561" i="9"/>
  <c r="Z1562" i="9"/>
  <c r="Z1563" i="9"/>
  <c r="Z1564" i="9"/>
  <c r="Z1565" i="9"/>
  <c r="Z1566" i="9"/>
  <c r="Z1567" i="9"/>
  <c r="Z1568" i="9"/>
  <c r="Z1569" i="9"/>
  <c r="Z1570" i="9"/>
  <c r="Z1571" i="9"/>
  <c r="Z1572" i="9"/>
  <c r="Z1573" i="9"/>
  <c r="Z1574" i="9"/>
  <c r="Z1575" i="9"/>
  <c r="Z1578" i="9"/>
  <c r="Z1579" i="9"/>
  <c r="Z1580" i="9"/>
  <c r="Z1581" i="9"/>
  <c r="Z1582" i="9"/>
  <c r="Z1584" i="9"/>
  <c r="Z1586" i="9"/>
  <c r="Z1587" i="9"/>
  <c r="Z1588" i="9"/>
  <c r="Z1589" i="9"/>
  <c r="Z1590" i="9"/>
  <c r="Z1591" i="9"/>
  <c r="Z1593" i="9"/>
  <c r="Z1594" i="9"/>
  <c r="Z1595" i="9"/>
  <c r="Z1596" i="9"/>
  <c r="Z1597" i="9"/>
  <c r="Z1598" i="9"/>
  <c r="Z1599" i="9"/>
  <c r="Z1600" i="9"/>
  <c r="Z1602" i="9"/>
  <c r="Z1603" i="9"/>
  <c r="Z1604" i="9"/>
  <c r="Z1605" i="9"/>
  <c r="Z1606" i="9"/>
  <c r="Z1607" i="9"/>
  <c r="Z1608" i="9"/>
  <c r="Z1609" i="9"/>
  <c r="Z1610" i="9"/>
  <c r="Z1611" i="9"/>
  <c r="Z1612" i="9"/>
  <c r="Z1613" i="9"/>
  <c r="Z1614" i="9"/>
  <c r="Z1615" i="9"/>
  <c r="Z1617" i="9"/>
  <c r="Z1618" i="9"/>
  <c r="Z1619" i="9"/>
  <c r="Z1620" i="9"/>
  <c r="Z1621" i="9"/>
  <c r="Z1622" i="9"/>
  <c r="Z1623" i="9"/>
  <c r="Z1624" i="9"/>
  <c r="Z1625" i="9"/>
  <c r="Z1627" i="9"/>
  <c r="Z1629" i="9"/>
  <c r="Z1630" i="9"/>
  <c r="Z1631" i="9"/>
  <c r="Z1632" i="9"/>
  <c r="Z1633" i="9"/>
  <c r="Z1635" i="9"/>
  <c r="Z1636" i="9"/>
  <c r="Z1637" i="9"/>
  <c r="Z1638" i="9"/>
  <c r="Z1639" i="9"/>
  <c r="Z1640" i="9"/>
  <c r="Z1641" i="9"/>
  <c r="Z1642" i="9"/>
  <c r="Z1644" i="9"/>
  <c r="Z1645" i="9"/>
  <c r="Z1646" i="9"/>
  <c r="Z1647" i="9"/>
  <c r="Z1648" i="9"/>
  <c r="Z1649" i="9"/>
  <c r="Z1650" i="9"/>
  <c r="Z1652" i="9"/>
  <c r="Z1653" i="9"/>
  <c r="Z1654" i="9"/>
  <c r="Z1655" i="9"/>
  <c r="Z1656" i="9"/>
  <c r="Z1658" i="9"/>
  <c r="Z1659" i="9"/>
  <c r="Z1660" i="9"/>
  <c r="Z1661" i="9"/>
  <c r="Z1662" i="9"/>
  <c r="Z1663" i="9"/>
  <c r="Z1664" i="9"/>
  <c r="Z1665" i="9"/>
  <c r="Z1666" i="9"/>
  <c r="Z1667" i="9"/>
  <c r="Z1668" i="9"/>
  <c r="Z1669" i="9"/>
  <c r="Z1670" i="9"/>
  <c r="Z1671" i="9"/>
  <c r="Z1673" i="9"/>
  <c r="Z1674" i="9"/>
  <c r="Z1675" i="9"/>
  <c r="Z1676" i="9"/>
  <c r="Z1677" i="9"/>
  <c r="Z1678" i="9"/>
  <c r="Z1679" i="9"/>
  <c r="Z1680" i="9"/>
  <c r="Z1681" i="9"/>
  <c r="Z1682" i="9"/>
  <c r="Z1683" i="9"/>
  <c r="Z1684" i="9"/>
  <c r="Z1685" i="9"/>
  <c r="Z1686" i="9"/>
  <c r="Z1688" i="9"/>
  <c r="Z1689" i="9"/>
  <c r="Z1691" i="9"/>
  <c r="Z1692" i="9"/>
  <c r="Z1693" i="9"/>
  <c r="Z1694" i="9"/>
  <c r="Z1696" i="9"/>
  <c r="Z1697" i="9"/>
  <c r="Z1698" i="9"/>
  <c r="Z1699" i="9"/>
  <c r="Z1700" i="9"/>
  <c r="Z1701" i="9"/>
  <c r="Z1702" i="9"/>
  <c r="Z1704" i="9"/>
  <c r="Z1705" i="9"/>
  <c r="Z1706" i="9"/>
  <c r="Z1707" i="9"/>
  <c r="Z1708" i="9"/>
  <c r="Z1709" i="9"/>
  <c r="Z1710" i="9"/>
  <c r="Z1711" i="9"/>
  <c r="Z1712" i="9"/>
  <c r="Z1713" i="9"/>
  <c r="Z1715" i="9"/>
  <c r="Z1716" i="9"/>
  <c r="Z1717" i="9"/>
  <c r="Z1718" i="9"/>
  <c r="Z1719" i="9"/>
  <c r="Z1720" i="9"/>
  <c r="Z1721" i="9"/>
  <c r="Z1722" i="9"/>
  <c r="Z1723" i="9"/>
  <c r="Z1724" i="9"/>
  <c r="Z1725" i="9"/>
  <c r="Z1726" i="9"/>
  <c r="Z1727" i="9"/>
  <c r="Z1729" i="9"/>
  <c r="Z1730" i="9"/>
  <c r="Z1731" i="9"/>
  <c r="Z1732" i="9"/>
  <c r="Z1733" i="9"/>
  <c r="Z1734" i="9"/>
  <c r="Z1735" i="9"/>
  <c r="Z1736" i="9"/>
  <c r="Z1737" i="9"/>
  <c r="Z1738" i="9"/>
  <c r="Z1739" i="9"/>
  <c r="Z1741" i="9"/>
  <c r="Z1743" i="9"/>
  <c r="Z1744" i="9"/>
  <c r="Z1745" i="9"/>
  <c r="Z1746" i="9"/>
  <c r="Z1747" i="9"/>
  <c r="Z1748" i="9"/>
  <c r="Z1749" i="9"/>
  <c r="Z1750" i="9"/>
  <c r="Z1751" i="9"/>
  <c r="Z1752" i="9"/>
  <c r="Z1753" i="9"/>
  <c r="Z1754" i="9"/>
  <c r="Z1755" i="9"/>
  <c r="Z1756" i="9"/>
  <c r="Z1757" i="9"/>
  <c r="Z1758" i="9"/>
  <c r="Z1759" i="9"/>
  <c r="Z1760" i="9"/>
  <c r="Z1761" i="9"/>
  <c r="Z1762" i="9"/>
  <c r="Z1763" i="9"/>
  <c r="Z1764" i="9"/>
  <c r="Z1765" i="9"/>
  <c r="Z1766" i="9"/>
  <c r="Z1768" i="9"/>
  <c r="Z1769" i="9"/>
  <c r="Z1770" i="9"/>
  <c r="Z1771" i="9"/>
  <c r="Z1772" i="9"/>
  <c r="Z1773" i="9"/>
  <c r="Z1775" i="9"/>
  <c r="Z1776" i="9"/>
  <c r="Z1777" i="9"/>
  <c r="Z1778" i="9"/>
  <c r="Z1779" i="9"/>
  <c r="Z1780" i="9"/>
  <c r="Z1781" i="9"/>
  <c r="Z1782" i="9"/>
  <c r="Z1783" i="9"/>
  <c r="Z1784" i="9"/>
  <c r="Z1785" i="9"/>
  <c r="Z1786" i="9"/>
  <c r="Z1788" i="9"/>
  <c r="Z1789" i="9"/>
  <c r="Z1790" i="9"/>
  <c r="Z1791" i="9"/>
  <c r="Z1792" i="9"/>
  <c r="Z1793" i="9"/>
  <c r="Z1794" i="9"/>
  <c r="Z1795" i="9"/>
  <c r="Z1796" i="9"/>
  <c r="Z1797" i="9"/>
  <c r="Z1798" i="9"/>
  <c r="Z1799" i="9"/>
  <c r="Z1800" i="9"/>
  <c r="Z1801" i="9"/>
  <c r="Z1802" i="9"/>
  <c r="Z1803" i="9"/>
  <c r="Z1804" i="9"/>
  <c r="Z1805" i="9"/>
  <c r="Z1806" i="9"/>
  <c r="Z1807" i="9"/>
  <c r="Z1808" i="9"/>
  <c r="Z1809" i="9"/>
  <c r="Z1810" i="9"/>
  <c r="Z1811" i="9"/>
  <c r="Z1812" i="9"/>
  <c r="Z1813" i="9"/>
  <c r="Z1814" i="9"/>
  <c r="Z1815" i="9"/>
  <c r="Z1816" i="9"/>
  <c r="Z1817" i="9"/>
  <c r="Z1819" i="9"/>
  <c r="Z1820" i="9"/>
  <c r="Z1821" i="9"/>
  <c r="Z1822" i="9"/>
  <c r="Z1823" i="9"/>
  <c r="Z1824" i="9"/>
  <c r="Z1825" i="9"/>
  <c r="Z1826" i="9"/>
  <c r="Z1827" i="9"/>
  <c r="Z1829" i="9"/>
  <c r="Z1830" i="9"/>
  <c r="Z1831" i="9"/>
  <c r="Z1832" i="9"/>
  <c r="Z1833" i="9"/>
  <c r="Z1834" i="9"/>
  <c r="Z1835" i="9"/>
  <c r="Z1836" i="9"/>
  <c r="Z1837" i="9"/>
  <c r="Z1838" i="9"/>
  <c r="Z1840" i="9"/>
  <c r="Z1841" i="9"/>
  <c r="Z1842" i="9"/>
  <c r="Z1843" i="9"/>
  <c r="Z1844" i="9"/>
  <c r="Z1845" i="9"/>
  <c r="Z1846" i="9"/>
  <c r="Z1847" i="9"/>
  <c r="Z1848" i="9"/>
  <c r="Z1849" i="9"/>
  <c r="Z1850" i="9"/>
  <c r="Z1851" i="9"/>
  <c r="Z1853" i="9"/>
  <c r="Z1854" i="9"/>
  <c r="Z1855" i="9"/>
  <c r="Z1856" i="9"/>
  <c r="Z1857" i="9"/>
  <c r="Z1858" i="9"/>
  <c r="Z1859" i="9"/>
  <c r="Z1860" i="9"/>
  <c r="Z1861" i="9"/>
  <c r="Z1862" i="9"/>
  <c r="Z1863" i="9"/>
  <c r="Z1864" i="9"/>
  <c r="Z1865" i="9"/>
  <c r="Z1866" i="9"/>
  <c r="Z1867" i="9"/>
  <c r="Z1868" i="9"/>
  <c r="Z1869" i="9"/>
  <c r="Z1871" i="9"/>
  <c r="Z1872" i="9"/>
  <c r="Z1873" i="9"/>
  <c r="Z1874" i="9"/>
  <c r="Z1875" i="9"/>
  <c r="Z1876" i="9"/>
  <c r="Z1877" i="9"/>
  <c r="Z1878" i="9"/>
  <c r="Z1879" i="9"/>
  <c r="Z1880" i="9"/>
  <c r="Z1882" i="9"/>
  <c r="Z1883" i="9"/>
  <c r="Z1884" i="9"/>
  <c r="Z1885" i="9"/>
  <c r="Z1886" i="9"/>
  <c r="Z1887" i="9"/>
  <c r="Z1888" i="9"/>
  <c r="Z1889" i="9"/>
  <c r="Z1890" i="9"/>
  <c r="Z1891" i="9"/>
  <c r="Z1892" i="9"/>
  <c r="Z1893" i="9"/>
  <c r="Z1894" i="9"/>
  <c r="Z1895" i="9"/>
  <c r="Z1896" i="9"/>
  <c r="Z1897" i="9"/>
  <c r="Z1899" i="9"/>
  <c r="Z1901" i="9"/>
  <c r="Z1902" i="9"/>
  <c r="Z1903" i="9"/>
  <c r="Z1904" i="9"/>
  <c r="Z1905" i="9"/>
  <c r="Z1906" i="9"/>
  <c r="Z1907" i="9"/>
  <c r="Z1908" i="9"/>
  <c r="Z1910" i="9"/>
  <c r="Z1911" i="9"/>
  <c r="Z1912" i="9"/>
  <c r="Z1913" i="9"/>
  <c r="Z1914" i="9"/>
  <c r="Z1915" i="9"/>
  <c r="Z1916" i="9"/>
  <c r="Z1917" i="9"/>
  <c r="Z1918" i="9"/>
  <c r="Z1919" i="9"/>
  <c r="Z1920" i="9"/>
  <c r="Z1921" i="9"/>
  <c r="Z1922" i="9"/>
  <c r="Z1924" i="9"/>
  <c r="Z1925" i="9"/>
  <c r="Z1926" i="9"/>
  <c r="Z1927" i="9"/>
  <c r="Z1929" i="9"/>
  <c r="Z1930" i="9"/>
  <c r="Z1931" i="9"/>
  <c r="Z1932" i="9"/>
  <c r="Z1933" i="9"/>
  <c r="Z1934" i="9"/>
  <c r="Z1935" i="9"/>
  <c r="Z1936" i="9"/>
  <c r="Z1937" i="9"/>
  <c r="Z1938" i="9"/>
  <c r="Z1939" i="9"/>
  <c r="Z1940" i="9"/>
  <c r="Z1941" i="9"/>
  <c r="Z1942" i="9"/>
  <c r="Z1945" i="9"/>
  <c r="Z1946" i="9"/>
  <c r="Z1947" i="9"/>
  <c r="Z1948" i="9"/>
  <c r="Z1949" i="9"/>
  <c r="Z1950" i="9"/>
  <c r="Z1951" i="9"/>
  <c r="Z1952" i="9"/>
  <c r="Z1953" i="9"/>
  <c r="Z1955" i="9"/>
  <c r="Z1956" i="9"/>
  <c r="Z1957" i="9"/>
  <c r="Z1958" i="9"/>
  <c r="Z1959" i="9"/>
  <c r="Z1960" i="9"/>
  <c r="Z1961" i="9"/>
  <c r="Z1962" i="9"/>
  <c r="Z1963" i="9"/>
  <c r="Z1964" i="9"/>
  <c r="Z1965" i="9"/>
  <c r="Z1966" i="9"/>
  <c r="Z1967" i="9"/>
  <c r="Z1969" i="9"/>
  <c r="Z1970" i="9"/>
  <c r="Z1971" i="9"/>
  <c r="Z1972" i="9"/>
  <c r="Z1973" i="9"/>
  <c r="Z1974" i="9"/>
  <c r="Z1975" i="9"/>
  <c r="Z1976" i="9"/>
  <c r="Z1977" i="9"/>
  <c r="Z1978" i="9"/>
  <c r="Z1979" i="9"/>
  <c r="Z1981" i="9"/>
  <c r="Z1982" i="9"/>
  <c r="Z1983" i="9"/>
  <c r="Z1984" i="9"/>
  <c r="Z1985" i="9"/>
  <c r="Z1986" i="9"/>
  <c r="Z1987" i="9"/>
  <c r="Z1988" i="9"/>
  <c r="Z1989" i="9"/>
  <c r="Z1990" i="9"/>
  <c r="Z1991" i="9"/>
  <c r="Z1993" i="9"/>
  <c r="Z1994" i="9"/>
  <c r="Z1995" i="9"/>
  <c r="Z1996" i="9"/>
  <c r="Z1997" i="9"/>
  <c r="Z1998" i="9"/>
  <c r="Z1999" i="9"/>
  <c r="Z2002" i="9"/>
  <c r="Z2004" i="9"/>
  <c r="Z2005" i="9"/>
  <c r="Z2006" i="9"/>
  <c r="Z2007" i="9"/>
  <c r="Z2008" i="9"/>
  <c r="Z2011" i="9"/>
  <c r="Z2012" i="9"/>
  <c r="Z2013" i="9"/>
  <c r="Z2014" i="9"/>
  <c r="Z2015" i="9"/>
  <c r="Z2016" i="9"/>
  <c r="Z2019" i="9"/>
  <c r="Z2020" i="9"/>
  <c r="Z2021" i="9"/>
  <c r="Z2022" i="9"/>
  <c r="Z2023" i="9"/>
  <c r="Z2024" i="9"/>
  <c r="Z2025" i="9"/>
  <c r="Z2026" i="9"/>
  <c r="Z2028" i="9"/>
  <c r="Z2029" i="9"/>
  <c r="Z2030" i="9"/>
  <c r="Z2031" i="9"/>
  <c r="Z2032" i="9"/>
  <c r="Z2033" i="9"/>
  <c r="Z2034" i="9"/>
  <c r="Z2035" i="9"/>
  <c r="Z2036" i="9"/>
  <c r="Z2037" i="9"/>
  <c r="Z2038" i="9"/>
  <c r="Z2039" i="9"/>
  <c r="Z2040" i="9"/>
  <c r="Z2041" i="9"/>
  <c r="Z2042" i="9"/>
  <c r="Z2044" i="9"/>
  <c r="Z2045" i="9"/>
  <c r="Z2046" i="9"/>
  <c r="Z2047" i="9"/>
  <c r="Z2048" i="9"/>
  <c r="Z2049" i="9"/>
  <c r="Z2051" i="9"/>
  <c r="Z2052" i="9"/>
  <c r="Z2053" i="9"/>
  <c r="Z2054" i="9"/>
  <c r="Z2055" i="9"/>
  <c r="Z2056" i="9"/>
  <c r="Z2057" i="9"/>
  <c r="Z2058" i="9"/>
  <c r="Z2059" i="9"/>
  <c r="Z2060" i="9"/>
  <c r="Z2062" i="9"/>
  <c r="Z2063" i="9"/>
  <c r="Z2064" i="9"/>
  <c r="Z2065" i="9"/>
  <c r="Z2066" i="9"/>
  <c r="Z2067" i="9"/>
  <c r="Z2068" i="9"/>
  <c r="Z2070" i="9"/>
  <c r="Z2071" i="9"/>
  <c r="Z2072" i="9"/>
  <c r="Z2073" i="9"/>
  <c r="Z2074" i="9"/>
  <c r="Z2075" i="9"/>
  <c r="Z2076" i="9"/>
  <c r="Z2077" i="9"/>
  <c r="Z2078" i="9"/>
  <c r="Z2079" i="9"/>
  <c r="Z2080" i="9"/>
  <c r="Z2081" i="9"/>
  <c r="Z2082" i="9"/>
  <c r="Z2083" i="9"/>
  <c r="Z2084" i="9"/>
  <c r="Z2085" i="9"/>
  <c r="Z2086" i="9"/>
  <c r="Z2087" i="9"/>
  <c r="Z2088" i="9"/>
  <c r="Z2089" i="9"/>
  <c r="Z2090" i="9"/>
  <c r="Z2091" i="9"/>
  <c r="Z2092" i="9"/>
  <c r="Z2093" i="9"/>
  <c r="Z2094" i="9"/>
  <c r="Z2096" i="9"/>
  <c r="Z2097" i="9"/>
  <c r="Z2098" i="9"/>
  <c r="Z2099" i="9"/>
  <c r="Z2100" i="9"/>
  <c r="Z2101" i="9"/>
  <c r="Z2102" i="9"/>
  <c r="Z2103" i="9"/>
  <c r="Z2104" i="9"/>
  <c r="Z2105" i="9"/>
  <c r="Z2106" i="9"/>
  <c r="Z2107" i="9"/>
  <c r="Z2108" i="9"/>
  <c r="Z2109" i="9"/>
  <c r="Z2111" i="9"/>
  <c r="Z2112" i="9"/>
  <c r="Z2113" i="9"/>
  <c r="Z2114" i="9"/>
  <c r="Z2116" i="9"/>
  <c r="Z2117" i="9"/>
  <c r="Z2118" i="9"/>
  <c r="Z2119" i="9"/>
  <c r="Z2120" i="9"/>
  <c r="Z2121" i="9"/>
  <c r="Z2122" i="9"/>
  <c r="Z2124" i="9"/>
  <c r="Z2125" i="9"/>
  <c r="Z2126" i="9"/>
  <c r="Z2127" i="9"/>
  <c r="Z2128" i="9"/>
  <c r="Z2129" i="9"/>
  <c r="Z2130" i="9"/>
  <c r="Z2131" i="9"/>
  <c r="Z2132" i="9"/>
  <c r="Z2133" i="9"/>
  <c r="Z2134" i="9"/>
  <c r="Z2136" i="9"/>
  <c r="Z2137" i="9"/>
  <c r="Z2138" i="9"/>
  <c r="Z2140" i="9"/>
  <c r="Z2141" i="9"/>
  <c r="Z2142" i="9"/>
  <c r="Z2143" i="9"/>
  <c r="Z2144" i="9"/>
  <c r="Z2145" i="9"/>
  <c r="Z2146" i="9"/>
  <c r="Z2147" i="9"/>
  <c r="Z2149" i="9"/>
  <c r="Z2150" i="9"/>
  <c r="Z2151" i="9"/>
  <c r="Z2153" i="9"/>
  <c r="Z2154" i="9"/>
  <c r="Z2155" i="9"/>
  <c r="Z2156" i="9"/>
  <c r="Z2157" i="9"/>
  <c r="Z2158" i="9"/>
  <c r="Z2159" i="9"/>
  <c r="Z2160" i="9"/>
  <c r="Z2161" i="9"/>
  <c r="Z2163" i="9"/>
  <c r="Z2164" i="9"/>
  <c r="Z2166" i="9"/>
  <c r="Z2167" i="9"/>
  <c r="Z2168" i="9"/>
  <c r="Z2169" i="9"/>
  <c r="Z2170" i="9"/>
  <c r="Z2171" i="9"/>
  <c r="Z2172" i="9"/>
  <c r="Z2173" i="9"/>
  <c r="Z2174" i="9"/>
  <c r="Z2175" i="9"/>
  <c r="Z2176" i="9"/>
  <c r="Z2177" i="9"/>
  <c r="Z2178" i="9"/>
  <c r="Z2179" i="9"/>
  <c r="Z2180" i="9"/>
  <c r="Z2181" i="9"/>
  <c r="Z2182" i="9"/>
  <c r="Z2183" i="9"/>
  <c r="Z2184" i="9"/>
  <c r="Z2185" i="9"/>
  <c r="Z2186" i="9"/>
  <c r="Z2188" i="9"/>
  <c r="Z2189" i="9"/>
  <c r="Z2190" i="9"/>
  <c r="Z2191" i="9"/>
  <c r="Z2192" i="9"/>
  <c r="Z2193" i="9"/>
  <c r="Z2195" i="9"/>
  <c r="Z2196" i="9"/>
  <c r="Z2197" i="9"/>
  <c r="Z2198" i="9"/>
  <c r="Z2199" i="9"/>
  <c r="Z2200" i="9"/>
  <c r="Z2201" i="9"/>
  <c r="Z2202" i="9"/>
  <c r="Z2203" i="9"/>
  <c r="Z2204" i="9"/>
  <c r="Z2205" i="9"/>
  <c r="Z2206" i="9"/>
  <c r="Z2208" i="9"/>
  <c r="Z2209" i="9"/>
  <c r="Z2210" i="9"/>
  <c r="Z2211" i="9"/>
  <c r="Z2212" i="9"/>
  <c r="Z2213" i="9"/>
  <c r="Z2214" i="9"/>
  <c r="Z2215" i="9"/>
  <c r="Z2218" i="9"/>
  <c r="Z2219" i="9"/>
  <c r="Z2220" i="9"/>
  <c r="Z2221" i="9"/>
  <c r="Z2222" i="9"/>
  <c r="Z2223" i="9"/>
  <c r="Z2224" i="9"/>
  <c r="Z2225" i="9"/>
  <c r="Z2226" i="9"/>
  <c r="Z2227" i="9"/>
  <c r="Z2228" i="9"/>
  <c r="Z2229" i="9"/>
  <c r="Z2230" i="9"/>
  <c r="Z2231" i="9"/>
  <c r="Z2232" i="9"/>
  <c r="Z2233" i="9"/>
  <c r="Z2234" i="9"/>
  <c r="Z2236" i="9"/>
  <c r="Z2237" i="9"/>
  <c r="Z2238" i="9"/>
  <c r="Z2239" i="9"/>
  <c r="Z2241" i="9"/>
  <c r="Z2243" i="9"/>
  <c r="Z2244" i="9"/>
  <c r="Z2245" i="9"/>
  <c r="Z2246" i="9"/>
  <c r="Z2247" i="9"/>
  <c r="Z2248" i="9"/>
  <c r="Z2249" i="9"/>
  <c r="Z2253" i="9"/>
  <c r="Z2254" i="9"/>
  <c r="Z2255" i="9"/>
  <c r="Z2256" i="9"/>
  <c r="Z2257" i="9"/>
  <c r="Z2258" i="9"/>
  <c r="Z2259" i="9"/>
  <c r="Z2260" i="9"/>
  <c r="Z2261" i="9"/>
  <c r="Z2263" i="9"/>
  <c r="Z2264" i="9"/>
  <c r="Z2265" i="9"/>
  <c r="Z2266" i="9"/>
  <c r="Z2267" i="9"/>
  <c r="Z2268" i="9"/>
  <c r="Z2269" i="9"/>
  <c r="Z2270" i="9"/>
  <c r="Z2271" i="9"/>
  <c r="Z2273" i="9"/>
  <c r="Z2275" i="9"/>
  <c r="Z2276" i="9"/>
  <c r="Z2277" i="9"/>
  <c r="Z2278" i="9"/>
  <c r="Z2279" i="9"/>
  <c r="Z2280" i="9"/>
  <c r="Z2281" i="9"/>
  <c r="Z2282" i="9"/>
  <c r="Z2283" i="9"/>
  <c r="Z2284" i="9"/>
  <c r="Z2285" i="9"/>
  <c r="Z2286" i="9"/>
  <c r="Z2287" i="9"/>
  <c r="Z2289" i="9"/>
  <c r="Z2290" i="9"/>
  <c r="Z2291" i="9"/>
  <c r="Z2292" i="9"/>
  <c r="Z2293" i="9"/>
  <c r="Z2294" i="9"/>
  <c r="Z2295" i="9"/>
  <c r="Z2296" i="9"/>
  <c r="Z2297" i="9"/>
  <c r="Z2298" i="9"/>
  <c r="Z2299" i="9"/>
  <c r="Z2300" i="9"/>
  <c r="Z2301" i="9"/>
  <c r="Z2302" i="9"/>
  <c r="Z2304" i="9"/>
  <c r="Z2305" i="9"/>
  <c r="Z2306" i="9"/>
  <c r="Z2307" i="9"/>
  <c r="Z2308" i="9"/>
  <c r="Z2309" i="9"/>
  <c r="Z2310" i="9"/>
  <c r="Z2311" i="9"/>
  <c r="Z2312" i="9"/>
  <c r="Z2314" i="9"/>
  <c r="Z2315" i="9"/>
  <c r="Z2316" i="9"/>
  <c r="Z2317" i="9"/>
  <c r="Z2318" i="9"/>
  <c r="Z2320" i="9"/>
  <c r="Z2321" i="9"/>
  <c r="Z2322" i="9"/>
  <c r="Z2323" i="9"/>
  <c r="Z2324" i="9"/>
  <c r="Z2326" i="9"/>
  <c r="Z2327" i="9"/>
  <c r="Z2328" i="9"/>
  <c r="Z2329" i="9"/>
  <c r="Z2331" i="9"/>
  <c r="Z2332" i="9"/>
  <c r="Z2333" i="9"/>
  <c r="Z2334" i="9"/>
  <c r="Z2335" i="9"/>
  <c r="Z2336" i="9"/>
  <c r="Z2338" i="9"/>
  <c r="Z2339" i="9"/>
  <c r="Z2340" i="9"/>
  <c r="Z2341" i="9"/>
  <c r="Z2342" i="9"/>
  <c r="Z2343" i="9"/>
  <c r="Z2344" i="9"/>
  <c r="Z2345" i="9"/>
  <c r="Z2346" i="9"/>
  <c r="Z2347" i="9"/>
  <c r="Z2349" i="9"/>
  <c r="Z2350" i="9"/>
  <c r="Z2351" i="9"/>
  <c r="Z2352" i="9"/>
  <c r="Z2353" i="9"/>
  <c r="Z2354" i="9"/>
  <c r="Z2355" i="9"/>
  <c r="Z2356" i="9"/>
  <c r="Z2358" i="9"/>
  <c r="Z2359" i="9"/>
  <c r="Z2360" i="9"/>
  <c r="Z2361" i="9"/>
  <c r="Z2362" i="9"/>
  <c r="Z2364" i="9"/>
  <c r="Z2365" i="9"/>
  <c r="Z2367" i="9"/>
  <c r="Z2368" i="9"/>
  <c r="Z2369" i="9"/>
  <c r="Z2370" i="9"/>
  <c r="Z2371" i="9"/>
  <c r="Z2372" i="9"/>
  <c r="Z2374" i="9"/>
  <c r="Z2375" i="9"/>
  <c r="Z2376" i="9"/>
  <c r="Z2378" i="9"/>
  <c r="Z2379" i="9"/>
  <c r="Z2380" i="9"/>
  <c r="Z2381" i="9"/>
  <c r="Z2382" i="9"/>
  <c r="Z2383" i="9"/>
  <c r="Z2384" i="9"/>
  <c r="Z2385" i="9"/>
  <c r="Z2386" i="9"/>
  <c r="Z2387" i="9"/>
  <c r="Z2389" i="9"/>
  <c r="Z2390" i="9"/>
  <c r="Z2391" i="9"/>
  <c r="Z2392" i="9"/>
  <c r="Z2393" i="9"/>
  <c r="Z2394" i="9"/>
  <c r="Z2395" i="9"/>
  <c r="Z2396" i="9"/>
  <c r="Z2397" i="9"/>
  <c r="Z2398" i="9"/>
  <c r="Z2399" i="9"/>
  <c r="Z2400" i="9"/>
  <c r="Z2401" i="9"/>
  <c r="Z2402" i="9"/>
  <c r="Z2403" i="9"/>
  <c r="Z2404" i="9"/>
  <c r="Z2405" i="9"/>
  <c r="Z2407" i="9"/>
  <c r="Z2408" i="9"/>
  <c r="Z2409" i="9"/>
  <c r="Z2410" i="9"/>
  <c r="Z2412" i="9"/>
  <c r="Z2413" i="9"/>
  <c r="Z2414" i="9"/>
  <c r="Z2415" i="9"/>
  <c r="Z2417" i="9"/>
  <c r="Z2418" i="9"/>
  <c r="Z2419" i="9"/>
  <c r="Z2420" i="9"/>
  <c r="Z2421" i="9"/>
  <c r="Z2422" i="9"/>
  <c r="Z2424" i="9"/>
  <c r="Z2425" i="9"/>
  <c r="Z2426" i="9"/>
  <c r="Z2427" i="9"/>
  <c r="Z2428" i="9"/>
  <c r="Z2429" i="9"/>
  <c r="Z2430" i="9"/>
  <c r="Z2431" i="9"/>
  <c r="Z2433" i="9"/>
  <c r="Z2435" i="9"/>
  <c r="Z2436" i="9"/>
  <c r="Z2437" i="9"/>
  <c r="Z2438" i="9"/>
  <c r="Z2439" i="9"/>
  <c r="Z2440" i="9"/>
  <c r="Z2441" i="9"/>
  <c r="Z2442" i="9"/>
  <c r="Z2443" i="9"/>
  <c r="Z2444" i="9"/>
  <c r="Z2445" i="9"/>
  <c r="Z2447" i="9"/>
  <c r="Z2448" i="9"/>
  <c r="Z2449" i="9"/>
  <c r="Z2450" i="9"/>
  <c r="Z2451" i="9"/>
  <c r="Z2452" i="9"/>
  <c r="Z2453" i="9"/>
  <c r="Z2454" i="9"/>
  <c r="Z2455" i="9"/>
  <c r="Z2456" i="9"/>
  <c r="Z2459" i="9"/>
  <c r="Z2460" i="9"/>
  <c r="Z2461" i="9"/>
  <c r="Z2462" i="9"/>
  <c r="Z2463" i="9"/>
  <c r="Z2464" i="9"/>
  <c r="Z2465" i="9"/>
  <c r="Z2466" i="9"/>
  <c r="Z2467" i="9"/>
  <c r="Z2468" i="9"/>
  <c r="Z2469" i="9"/>
  <c r="Z2470" i="9"/>
  <c r="Z2471" i="9"/>
  <c r="Z2472" i="9"/>
  <c r="Z2474" i="9"/>
  <c r="Z2475" i="9"/>
  <c r="Z2476" i="9"/>
  <c r="Z2477" i="9"/>
  <c r="Z2478" i="9"/>
  <c r="Z2479" i="9"/>
  <c r="Z2480" i="9"/>
  <c r="Z2481" i="9"/>
  <c r="Z2482" i="9"/>
  <c r="Z2483" i="9"/>
  <c r="Z2484" i="9"/>
  <c r="Z2485" i="9"/>
  <c r="Z2486" i="9"/>
  <c r="Z2487" i="9"/>
  <c r="Z2489" i="9"/>
  <c r="Z2490" i="9"/>
  <c r="Z2491" i="9"/>
  <c r="Z2492" i="9"/>
  <c r="Z2493" i="9"/>
  <c r="Z2494" i="9"/>
  <c r="Z2495" i="9"/>
  <c r="Z2496" i="9"/>
  <c r="Z2497" i="9"/>
  <c r="Z2498" i="9"/>
  <c r="Z2499" i="9"/>
  <c r="Z2500" i="9"/>
  <c r="Z2502" i="9"/>
  <c r="Z2503" i="9"/>
  <c r="Z2506" i="9"/>
  <c r="Z2507" i="9"/>
  <c r="Z2508" i="9"/>
  <c r="Z2509" i="9"/>
  <c r="Z2510" i="9"/>
  <c r="Z2511" i="9"/>
  <c r="Z2512" i="9"/>
  <c r="Z2513" i="9"/>
  <c r="Z2514" i="9"/>
  <c r="Z2515" i="9"/>
  <c r="Z2516" i="9"/>
  <c r="Z2517" i="9"/>
  <c r="Z2518" i="9"/>
  <c r="Z2519" i="9"/>
  <c r="Z2520" i="9"/>
  <c r="Z2521" i="9"/>
  <c r="Z2522" i="9"/>
  <c r="Z2523" i="9"/>
  <c r="Z2525" i="9"/>
  <c r="Z2527" i="9"/>
  <c r="Z2529" i="9"/>
  <c r="Z2530" i="9"/>
  <c r="Z2531" i="9"/>
  <c r="Z2532" i="9"/>
  <c r="Z2533" i="9"/>
  <c r="Z2534" i="9"/>
  <c r="Z2535" i="9"/>
  <c r="Z2536" i="9"/>
  <c r="Z2537" i="9"/>
  <c r="Z2539" i="9"/>
  <c r="Z2540" i="9"/>
  <c r="Z2541" i="9"/>
  <c r="Z2542" i="9"/>
  <c r="Z2543" i="9"/>
  <c r="Z2544" i="9"/>
  <c r="Z2546" i="9"/>
  <c r="Z2547" i="9"/>
  <c r="Z2548" i="9"/>
  <c r="Z2549" i="9"/>
  <c r="Z2550" i="9"/>
  <c r="Z2551" i="9"/>
  <c r="Z2553" i="9"/>
  <c r="Z2554" i="9"/>
  <c r="Z2555" i="9"/>
  <c r="Z2556" i="9"/>
  <c r="Z2557" i="9"/>
  <c r="Z2558" i="9"/>
  <c r="Z2559" i="9"/>
  <c r="Z2560" i="9"/>
  <c r="Z2561" i="9"/>
  <c r="Z2562" i="9"/>
  <c r="Z2563" i="9"/>
  <c r="Z2565" i="9"/>
  <c r="Z2567" i="9"/>
  <c r="Z2568" i="9"/>
  <c r="Z2569" i="9"/>
  <c r="Z2570" i="9"/>
  <c r="Z2572" i="9"/>
  <c r="Z2573" i="9"/>
  <c r="Z2574" i="9"/>
  <c r="Z2575" i="9"/>
  <c r="Z2576" i="9"/>
  <c r="Z2577" i="9"/>
  <c r="Z2578" i="9"/>
  <c r="Z2579" i="9"/>
  <c r="Z2581" i="9"/>
  <c r="Z2582" i="9"/>
  <c r="Z2583" i="9"/>
  <c r="Z2584" i="9"/>
  <c r="Z2585" i="9"/>
  <c r="Z2586" i="9"/>
  <c r="Z2587" i="9"/>
  <c r="Z2588" i="9"/>
  <c r="Z2589" i="9"/>
  <c r="Z2590" i="9"/>
  <c r="Z2591" i="9"/>
  <c r="Z2592" i="9"/>
  <c r="Z2593" i="9"/>
  <c r="Z2594" i="9"/>
  <c r="Z2595" i="9"/>
  <c r="Z2596" i="9"/>
  <c r="Z2597" i="9"/>
  <c r="Z2599" i="9"/>
  <c r="Z2600" i="9"/>
  <c r="Z2601" i="9"/>
  <c r="Z2602" i="9"/>
  <c r="Z2603" i="9"/>
  <c r="Z2604" i="9"/>
  <c r="Z2605" i="9"/>
  <c r="Z2606" i="9"/>
  <c r="Z2607" i="9"/>
  <c r="Z2608" i="9"/>
  <c r="Z2609" i="9"/>
  <c r="Z2610" i="9"/>
  <c r="Z2611" i="9"/>
  <c r="Z2613" i="9"/>
  <c r="Z2614" i="9"/>
  <c r="Z2616" i="9"/>
  <c r="Z2617" i="9"/>
  <c r="Z2618" i="9"/>
  <c r="Z2619" i="9"/>
  <c r="Z2620" i="9"/>
  <c r="Z2621" i="9"/>
  <c r="Z2623" i="9"/>
  <c r="Z2624" i="9"/>
  <c r="Z2625" i="9"/>
  <c r="Z2626" i="9"/>
  <c r="Z2628" i="9"/>
  <c r="Z2629" i="9"/>
  <c r="Z2630" i="9"/>
  <c r="Z2631" i="9"/>
  <c r="Z2632" i="9"/>
  <c r="Z2633" i="9"/>
  <c r="Z2634" i="9"/>
  <c r="Z2635" i="9"/>
  <c r="Z2636" i="9"/>
  <c r="Z2637" i="9"/>
  <c r="Z2638" i="9"/>
  <c r="Z2639" i="9"/>
  <c r="Z2641" i="9"/>
  <c r="Z2642" i="9"/>
  <c r="Z2643" i="9"/>
  <c r="Z2644" i="9"/>
  <c r="Z2645" i="9"/>
  <c r="Z2646" i="9"/>
  <c r="Z2647" i="9"/>
  <c r="Z2648" i="9"/>
  <c r="AA1244" i="9"/>
  <c r="AA1245" i="9"/>
  <c r="AA1246" i="9"/>
  <c r="AA1247" i="9"/>
  <c r="AA1248" i="9"/>
  <c r="AA1249" i="9"/>
  <c r="AA1250" i="9"/>
  <c r="AA1251" i="9"/>
  <c r="AA1252" i="9"/>
  <c r="AA1253" i="9"/>
  <c r="AA1254" i="9"/>
  <c r="AA1255" i="9"/>
  <c r="AA1256" i="9"/>
  <c r="AA1257" i="9"/>
  <c r="AA1258" i="9"/>
  <c r="AA1259" i="9"/>
  <c r="AA1260" i="9"/>
  <c r="AA1261" i="9"/>
  <c r="AA1262" i="9"/>
  <c r="AA1263" i="9"/>
  <c r="AA1264" i="9"/>
  <c r="AA1265" i="9"/>
  <c r="AA1266" i="9"/>
  <c r="AA1267" i="9"/>
  <c r="AA1268" i="9"/>
  <c r="AA1269" i="9"/>
  <c r="AA1270" i="9"/>
  <c r="AA1271" i="9"/>
  <c r="AA1272" i="9"/>
  <c r="AA1273" i="9"/>
  <c r="AA1274" i="9"/>
  <c r="AA1275" i="9"/>
  <c r="AA1277" i="9"/>
  <c r="AA1278" i="9"/>
  <c r="AA1279" i="9"/>
  <c r="AA1280" i="9"/>
  <c r="AA1281" i="9"/>
  <c r="AA1282" i="9"/>
  <c r="AA1283" i="9"/>
  <c r="AA1285" i="9"/>
  <c r="AA1286" i="9"/>
  <c r="AA1287" i="9"/>
  <c r="AA1288" i="9"/>
  <c r="AA1289" i="9"/>
  <c r="AA1292" i="9"/>
  <c r="AA1293" i="9"/>
  <c r="AA1294" i="9"/>
  <c r="AA1295" i="9"/>
  <c r="AA1297" i="9"/>
  <c r="AA1298" i="9"/>
  <c r="AA1299" i="9"/>
  <c r="AA1300" i="9"/>
  <c r="AA1301" i="9"/>
  <c r="AA1302" i="9"/>
  <c r="AA1303" i="9"/>
  <c r="AA1304" i="9"/>
  <c r="AA1305" i="9"/>
  <c r="AA1306" i="9"/>
  <c r="AA1307" i="9"/>
  <c r="AA1308" i="9"/>
  <c r="AA1309" i="9"/>
  <c r="AA1310" i="9"/>
  <c r="AA1311" i="9"/>
  <c r="AA1312" i="9"/>
  <c r="AA1313" i="9"/>
  <c r="AA1314" i="9"/>
  <c r="AA1315" i="9"/>
  <c r="AA1316" i="9"/>
  <c r="AA1317" i="9"/>
  <c r="AA1318" i="9"/>
  <c r="AA1319" i="9"/>
  <c r="AA1320" i="9"/>
  <c r="AA1321" i="9"/>
  <c r="AA1322" i="9"/>
  <c r="AA1323" i="9"/>
  <c r="AA1324" i="9"/>
  <c r="AA1325" i="9"/>
  <c r="AA1326" i="9"/>
  <c r="AA1327" i="9"/>
  <c r="AA1328" i="9"/>
  <c r="AA1330" i="9"/>
  <c r="AA1331" i="9"/>
  <c r="AA1332" i="9"/>
  <c r="AA1333" i="9"/>
  <c r="AA1334" i="9"/>
  <c r="AA1335" i="9"/>
  <c r="AA1336" i="9"/>
  <c r="AA1337" i="9"/>
  <c r="AA1338" i="9"/>
  <c r="AA1340" i="9"/>
  <c r="AA1341" i="9"/>
  <c r="AA1342" i="9"/>
  <c r="AA1343" i="9"/>
  <c r="AA1344" i="9"/>
  <c r="AA1345" i="9"/>
  <c r="AA1346" i="9"/>
  <c r="AA1347" i="9"/>
  <c r="AA1348" i="9"/>
  <c r="AA1349" i="9"/>
  <c r="AA1350" i="9"/>
  <c r="AA1352" i="9"/>
  <c r="AA1353" i="9"/>
  <c r="AA1354" i="9"/>
  <c r="AA1355" i="9"/>
  <c r="AA1356" i="9"/>
  <c r="AA1357" i="9"/>
  <c r="AA1358" i="9"/>
  <c r="AA1359" i="9"/>
  <c r="AA1360" i="9"/>
  <c r="AA1361" i="9"/>
  <c r="AA1362" i="9"/>
  <c r="AA1363" i="9"/>
  <c r="AA1364" i="9"/>
  <c r="AA1366" i="9"/>
  <c r="AA1367" i="9"/>
  <c r="AA1368" i="9"/>
  <c r="AA1369" i="9"/>
  <c r="AA1370" i="9"/>
  <c r="AA1372" i="9"/>
  <c r="AA1373" i="9"/>
  <c r="AA1374" i="9"/>
  <c r="AA1375" i="9"/>
  <c r="AA1376" i="9"/>
  <c r="AA1377" i="9"/>
  <c r="AA1378" i="9"/>
  <c r="AA1379" i="9"/>
  <c r="AA1380" i="9"/>
  <c r="AA1381" i="9"/>
  <c r="AA1382" i="9"/>
  <c r="AA1385" i="9"/>
  <c r="AA1386" i="9"/>
  <c r="AA1387" i="9"/>
  <c r="AA1388" i="9"/>
  <c r="AA1389" i="9"/>
  <c r="AA1390" i="9"/>
  <c r="AA1391" i="9"/>
  <c r="AA1392" i="9"/>
  <c r="AA1393" i="9"/>
  <c r="AA1394" i="9"/>
  <c r="AA1395" i="9"/>
  <c r="AA1396" i="9"/>
  <c r="AA1398" i="9"/>
  <c r="AA1399" i="9"/>
  <c r="AA1400" i="9"/>
  <c r="AA1401" i="9"/>
  <c r="AA1402" i="9"/>
  <c r="AA1403" i="9"/>
  <c r="AA1404" i="9"/>
  <c r="AA1405" i="9"/>
  <c r="AA1406" i="9"/>
  <c r="AA1408" i="9"/>
  <c r="AA1409" i="9"/>
  <c r="AA1410" i="9"/>
  <c r="AA1411" i="9"/>
  <c r="AA1412" i="9"/>
  <c r="AA1413" i="9"/>
  <c r="AA1414" i="9"/>
  <c r="AA1415" i="9"/>
  <c r="AA1416" i="9"/>
  <c r="AA1417" i="9"/>
  <c r="AA1418" i="9"/>
  <c r="AA1419" i="9"/>
  <c r="AA1420" i="9"/>
  <c r="AA1421" i="9"/>
  <c r="AA1422" i="9"/>
  <c r="AA1424" i="9"/>
  <c r="AA1425" i="9"/>
  <c r="AA1426" i="9"/>
  <c r="AA1427" i="9"/>
  <c r="AA1428" i="9"/>
  <c r="AA1429" i="9"/>
  <c r="AA1430" i="9"/>
  <c r="AA1431" i="9"/>
  <c r="AA1432" i="9"/>
  <c r="AA1433" i="9"/>
  <c r="AA1434" i="9"/>
  <c r="AA1435" i="9"/>
  <c r="AA1437" i="9"/>
  <c r="AA1438" i="9"/>
  <c r="AA1439" i="9"/>
  <c r="AA1440" i="9"/>
  <c r="AA1441" i="9"/>
  <c r="AA1442" i="9"/>
  <c r="AA1443" i="9"/>
  <c r="AA1444" i="9"/>
  <c r="AA1446" i="9"/>
  <c r="AA1447" i="9"/>
  <c r="AA1448" i="9"/>
  <c r="AA1449" i="9"/>
  <c r="AA1450" i="9"/>
  <c r="AA1451" i="9"/>
  <c r="AA1452" i="9"/>
  <c r="AA1453" i="9"/>
  <c r="AA1454" i="9"/>
  <c r="AA1456" i="9"/>
  <c r="AA1458" i="9"/>
  <c r="AA1459" i="9"/>
  <c r="AA1460" i="9"/>
  <c r="AA1461" i="9"/>
  <c r="AA1462" i="9"/>
  <c r="AA1464" i="9"/>
  <c r="AA1466" i="9"/>
  <c r="AA1467" i="9"/>
  <c r="AA1468" i="9"/>
  <c r="AA1469" i="9"/>
  <c r="AA1470" i="9"/>
  <c r="AA1471" i="9"/>
  <c r="AA1472" i="9"/>
  <c r="AA1474" i="9"/>
  <c r="AA1475" i="9"/>
  <c r="AA1477" i="9"/>
  <c r="AA1478" i="9"/>
  <c r="AA1479" i="9"/>
  <c r="AA1481" i="9"/>
  <c r="AA1482" i="9"/>
  <c r="AA1483" i="9"/>
  <c r="AA1484" i="9"/>
  <c r="AA1485" i="9"/>
  <c r="AA1486" i="9"/>
  <c r="AA1488" i="9"/>
  <c r="AA1489" i="9"/>
  <c r="AA1490" i="9"/>
  <c r="AA1491" i="9"/>
  <c r="AA1492" i="9"/>
  <c r="AA1493" i="9"/>
  <c r="AA1495" i="9"/>
  <c r="AA1496" i="9"/>
  <c r="AA1497" i="9"/>
  <c r="AA1498" i="9"/>
  <c r="AA1500" i="9"/>
  <c r="AA1502" i="9"/>
  <c r="AA1503" i="9"/>
  <c r="AA1504" i="9"/>
  <c r="AA1505" i="9"/>
  <c r="AA1506" i="9"/>
  <c r="AA1507" i="9"/>
  <c r="AA1509" i="9"/>
  <c r="AA1510" i="9"/>
  <c r="AA1511" i="9"/>
  <c r="AA1512" i="9"/>
  <c r="AA1513" i="9"/>
  <c r="AA1514" i="9"/>
  <c r="AA1516" i="9"/>
  <c r="AA1517" i="9"/>
  <c r="AA1518" i="9"/>
  <c r="AA1519" i="9"/>
  <c r="AA1520" i="9"/>
  <c r="AA1521" i="9"/>
  <c r="AA1523" i="9"/>
  <c r="AA1524" i="9"/>
  <c r="AA1525" i="9"/>
  <c r="AA1526" i="9"/>
  <c r="AA1527" i="9"/>
  <c r="AA1528" i="9"/>
  <c r="AA1530" i="9"/>
  <c r="AA1531" i="9"/>
  <c r="AA1532" i="9"/>
  <c r="AA1533" i="9"/>
  <c r="AA1534" i="9"/>
  <c r="AA1535" i="9"/>
  <c r="AA1537" i="9"/>
  <c r="AA1538" i="9"/>
  <c r="AA1539" i="9"/>
  <c r="AA1540" i="9"/>
  <c r="AA1541" i="9"/>
  <c r="AA1542" i="9"/>
  <c r="AA1544" i="9"/>
  <c r="AA1545" i="9"/>
  <c r="AA1546" i="9"/>
  <c r="AA1547" i="9"/>
  <c r="AA1548" i="9"/>
  <c r="AA1549" i="9"/>
  <c r="AA1551" i="9"/>
  <c r="AA1552" i="9"/>
  <c r="AA1554" i="9"/>
  <c r="AA1555" i="9"/>
  <c r="AA1556" i="9"/>
  <c r="AA1557" i="9"/>
  <c r="AA1559" i="9"/>
  <c r="AA1560" i="9"/>
  <c r="AA1561" i="9"/>
  <c r="AA1562" i="9"/>
  <c r="AA1563" i="9"/>
  <c r="AA1564" i="9"/>
  <c r="AA1565" i="9"/>
  <c r="AA1566" i="9"/>
  <c r="AA1567" i="9"/>
  <c r="AA1568" i="9"/>
  <c r="AA1569" i="9"/>
  <c r="AA1570" i="9"/>
  <c r="AA1571" i="9"/>
  <c r="AA1572" i="9"/>
  <c r="AA1573" i="9"/>
  <c r="AA1574" i="9"/>
  <c r="AA1575" i="9"/>
  <c r="AA1578" i="9"/>
  <c r="AA1579" i="9"/>
  <c r="AA1580" i="9"/>
  <c r="AA1581" i="9"/>
  <c r="AA1582" i="9"/>
  <c r="AA1584" i="9"/>
  <c r="AA1586" i="9"/>
  <c r="AA1587" i="9"/>
  <c r="AA1588" i="9"/>
  <c r="AA1589" i="9"/>
  <c r="AA1590" i="9"/>
  <c r="AA1591" i="9"/>
  <c r="AA1593" i="9"/>
  <c r="AA1594" i="9"/>
  <c r="AA1595" i="9"/>
  <c r="AA1596" i="9"/>
  <c r="AA1597" i="9"/>
  <c r="AA1598" i="9"/>
  <c r="AA1599" i="9"/>
  <c r="AA1600" i="9"/>
  <c r="AA1602" i="9"/>
  <c r="AA1603" i="9"/>
  <c r="AA1604" i="9"/>
  <c r="AA1605" i="9"/>
  <c r="AA1606" i="9"/>
  <c r="AA1607" i="9"/>
  <c r="AA1608" i="9"/>
  <c r="AA1609" i="9"/>
  <c r="AA1610" i="9"/>
  <c r="AA1611" i="9"/>
  <c r="AA1612" i="9"/>
  <c r="AA1613" i="9"/>
  <c r="AA1614" i="9"/>
  <c r="AA1615" i="9"/>
  <c r="AA1617" i="9"/>
  <c r="AA1618" i="9"/>
  <c r="AA1619" i="9"/>
  <c r="AA1620" i="9"/>
  <c r="AA1621" i="9"/>
  <c r="AA1622" i="9"/>
  <c r="AA1623" i="9"/>
  <c r="AA1624" i="9"/>
  <c r="AA1625" i="9"/>
  <c r="AA1627" i="9"/>
  <c r="AA1629" i="9"/>
  <c r="AA1630" i="9"/>
  <c r="AA1631" i="9"/>
  <c r="AA1632" i="9"/>
  <c r="AA1633" i="9"/>
  <c r="AA1635" i="9"/>
  <c r="AA1636" i="9"/>
  <c r="AA1637" i="9"/>
  <c r="AA1638" i="9"/>
  <c r="AA1639" i="9"/>
  <c r="AA1640" i="9"/>
  <c r="AA1641" i="9"/>
  <c r="AA1642" i="9"/>
  <c r="AA1644" i="9"/>
  <c r="AA1645" i="9"/>
  <c r="AA1646" i="9"/>
  <c r="AA1647" i="9"/>
  <c r="AA1648" i="9"/>
  <c r="AA1649" i="9"/>
  <c r="AA1650" i="9"/>
  <c r="AA1652" i="9"/>
  <c r="AA1653" i="9"/>
  <c r="AA1654" i="9"/>
  <c r="AA1655" i="9"/>
  <c r="AA1656" i="9"/>
  <c r="AA1658" i="9"/>
  <c r="AA1659" i="9"/>
  <c r="AA1660" i="9"/>
  <c r="AA1661" i="9"/>
  <c r="AA1662" i="9"/>
  <c r="AA1663" i="9"/>
  <c r="AA1664" i="9"/>
  <c r="AA1665" i="9"/>
  <c r="AA1666" i="9"/>
  <c r="AA1667" i="9"/>
  <c r="AA1668" i="9"/>
  <c r="AA1669" i="9"/>
  <c r="AA1670" i="9"/>
  <c r="AA1671" i="9"/>
  <c r="AA1673" i="9"/>
  <c r="AA1674" i="9"/>
  <c r="AA1675" i="9"/>
  <c r="AA1676" i="9"/>
  <c r="AA1677" i="9"/>
  <c r="AA1678" i="9"/>
  <c r="AA1679" i="9"/>
  <c r="AA1680" i="9"/>
  <c r="AA1681" i="9"/>
  <c r="AA1682" i="9"/>
  <c r="AA1683" i="9"/>
  <c r="AA1684" i="9"/>
  <c r="AA1685" i="9"/>
  <c r="AA1686" i="9"/>
  <c r="AA1688" i="9"/>
  <c r="AA1689" i="9"/>
  <c r="AA1691" i="9"/>
  <c r="AA1692" i="9"/>
  <c r="AA1693" i="9"/>
  <c r="AA1694" i="9"/>
  <c r="AA1696" i="9"/>
  <c r="AA1697" i="9"/>
  <c r="AA1698" i="9"/>
  <c r="AA1699" i="9"/>
  <c r="AA1700" i="9"/>
  <c r="AA1701" i="9"/>
  <c r="AA1702" i="9"/>
  <c r="AA1704" i="9"/>
  <c r="AA1705" i="9"/>
  <c r="AA1706" i="9"/>
  <c r="AA1707" i="9"/>
  <c r="AA1708" i="9"/>
  <c r="AA1709" i="9"/>
  <c r="AA1710" i="9"/>
  <c r="AA1711" i="9"/>
  <c r="AA1712" i="9"/>
  <c r="AA1713" i="9"/>
  <c r="AA1715" i="9"/>
  <c r="AA1716" i="9"/>
  <c r="AA1717" i="9"/>
  <c r="AA1718" i="9"/>
  <c r="AA1719" i="9"/>
  <c r="AA1720" i="9"/>
  <c r="AA1721" i="9"/>
  <c r="AA1722" i="9"/>
  <c r="AA1723" i="9"/>
  <c r="AA1724" i="9"/>
  <c r="AA1725" i="9"/>
  <c r="AA1726" i="9"/>
  <c r="AA1727" i="9"/>
  <c r="AA1729" i="9"/>
  <c r="AA1730" i="9"/>
  <c r="AA1731" i="9"/>
  <c r="AA1732" i="9"/>
  <c r="AA1733" i="9"/>
  <c r="AA1734" i="9"/>
  <c r="AA1735" i="9"/>
  <c r="AA1736" i="9"/>
  <c r="AA1737" i="9"/>
  <c r="AA1738" i="9"/>
  <c r="AA1739" i="9"/>
  <c r="AA1741" i="9"/>
  <c r="AA1743" i="9"/>
  <c r="AA1744" i="9"/>
  <c r="AA1745" i="9"/>
  <c r="AA1746" i="9"/>
  <c r="AA1747" i="9"/>
  <c r="AA1748" i="9"/>
  <c r="AA1749" i="9"/>
  <c r="AA1750" i="9"/>
  <c r="AA1751" i="9"/>
  <c r="AA1752" i="9"/>
  <c r="AA1753" i="9"/>
  <c r="AA1754" i="9"/>
  <c r="AA1755" i="9"/>
  <c r="AA1756" i="9"/>
  <c r="AA1757" i="9"/>
  <c r="AA1758" i="9"/>
  <c r="AA1759" i="9"/>
  <c r="AA1760" i="9"/>
  <c r="AA1761" i="9"/>
  <c r="AA1762" i="9"/>
  <c r="AA1763" i="9"/>
  <c r="AA1764" i="9"/>
  <c r="AA1765" i="9"/>
  <c r="AA1766" i="9"/>
  <c r="AA1768" i="9"/>
  <c r="AA1769" i="9"/>
  <c r="AA1770" i="9"/>
  <c r="AA1771" i="9"/>
  <c r="AA1772" i="9"/>
  <c r="AA1773" i="9"/>
  <c r="AA1775" i="9"/>
  <c r="AA1776" i="9"/>
  <c r="AA1777" i="9"/>
  <c r="AA1778" i="9"/>
  <c r="AA1779" i="9"/>
  <c r="AA1780" i="9"/>
  <c r="AA1781" i="9"/>
  <c r="AA1782" i="9"/>
  <c r="AA1783" i="9"/>
  <c r="AA1784" i="9"/>
  <c r="AA1785" i="9"/>
  <c r="AA1786" i="9"/>
  <c r="AA1788" i="9"/>
  <c r="AA1789" i="9"/>
  <c r="AA1790" i="9"/>
  <c r="AA1791" i="9"/>
  <c r="AA1792" i="9"/>
  <c r="AA1793" i="9"/>
  <c r="AA1794" i="9"/>
  <c r="AA1795" i="9"/>
  <c r="AA1796" i="9"/>
  <c r="AA1797" i="9"/>
  <c r="AA1798" i="9"/>
  <c r="AA1799" i="9"/>
  <c r="AA1800" i="9"/>
  <c r="AA1801" i="9"/>
  <c r="AA1802" i="9"/>
  <c r="AA1803" i="9"/>
  <c r="AA1804" i="9"/>
  <c r="AA1805" i="9"/>
  <c r="AA1806" i="9"/>
  <c r="AA1807" i="9"/>
  <c r="AA1808" i="9"/>
  <c r="AA1809" i="9"/>
  <c r="AA1810" i="9"/>
  <c r="AA1811" i="9"/>
  <c r="AA1812" i="9"/>
  <c r="AA1813" i="9"/>
  <c r="AA1814" i="9"/>
  <c r="AA1815" i="9"/>
  <c r="AA1816" i="9"/>
  <c r="AA1817" i="9"/>
  <c r="AA1819" i="9"/>
  <c r="AA1820" i="9"/>
  <c r="AA1821" i="9"/>
  <c r="AA1822" i="9"/>
  <c r="AA1823" i="9"/>
  <c r="AA1824" i="9"/>
  <c r="AA1825" i="9"/>
  <c r="AA1826" i="9"/>
  <c r="AA1827" i="9"/>
  <c r="AA1829" i="9"/>
  <c r="AA1830" i="9"/>
  <c r="AA1831" i="9"/>
  <c r="AA1832" i="9"/>
  <c r="AA1833" i="9"/>
  <c r="AA1834" i="9"/>
  <c r="AA1835" i="9"/>
  <c r="AA1836" i="9"/>
  <c r="AA1837" i="9"/>
  <c r="AA1838" i="9"/>
  <c r="AA1840" i="9"/>
  <c r="AA1841" i="9"/>
  <c r="AA1842" i="9"/>
  <c r="AA1843" i="9"/>
  <c r="AA1844" i="9"/>
  <c r="AA1845" i="9"/>
  <c r="AA1846" i="9"/>
  <c r="AA1847" i="9"/>
  <c r="AA1848" i="9"/>
  <c r="AA1849" i="9"/>
  <c r="AA1850" i="9"/>
  <c r="AA1851" i="9"/>
  <c r="AA1853" i="9"/>
  <c r="AA1854" i="9"/>
  <c r="AA1855" i="9"/>
  <c r="AA1856" i="9"/>
  <c r="AA1857" i="9"/>
  <c r="AA1858" i="9"/>
  <c r="AA1859" i="9"/>
  <c r="AA1860" i="9"/>
  <c r="AA1861" i="9"/>
  <c r="AA1862" i="9"/>
  <c r="AA1863" i="9"/>
  <c r="AA1864" i="9"/>
  <c r="AA1865" i="9"/>
  <c r="AA1866" i="9"/>
  <c r="AA1867" i="9"/>
  <c r="AA1868" i="9"/>
  <c r="AA1869" i="9"/>
  <c r="AA1871" i="9"/>
  <c r="AA1872" i="9"/>
  <c r="AA1873" i="9"/>
  <c r="AA1874" i="9"/>
  <c r="AA1875" i="9"/>
  <c r="AA1876" i="9"/>
  <c r="AA1877" i="9"/>
  <c r="AA1878" i="9"/>
  <c r="AA1879" i="9"/>
  <c r="AA1880" i="9"/>
  <c r="AA1882" i="9"/>
  <c r="AA1883" i="9"/>
  <c r="AA1884" i="9"/>
  <c r="AA1885" i="9"/>
  <c r="AA1886" i="9"/>
  <c r="AA1887" i="9"/>
  <c r="AA1888" i="9"/>
  <c r="AA1889" i="9"/>
  <c r="AA1890" i="9"/>
  <c r="AA1891" i="9"/>
  <c r="AA1892" i="9"/>
  <c r="AA1893" i="9"/>
  <c r="AA1894" i="9"/>
  <c r="AA1895" i="9"/>
  <c r="AA1896" i="9"/>
  <c r="AA1897" i="9"/>
  <c r="AA1899" i="9"/>
  <c r="AA1901" i="9"/>
  <c r="AA1902" i="9"/>
  <c r="AA1903" i="9"/>
  <c r="AA1904" i="9"/>
  <c r="AA1905" i="9"/>
  <c r="AA1906" i="9"/>
  <c r="AA1907" i="9"/>
  <c r="AA1908" i="9"/>
  <c r="AA1910" i="9"/>
  <c r="AA1911" i="9"/>
  <c r="AA1912" i="9"/>
  <c r="AA1913" i="9"/>
  <c r="AA1914" i="9"/>
  <c r="AA1915" i="9"/>
  <c r="AA1916" i="9"/>
  <c r="AA1917" i="9"/>
  <c r="AA1918" i="9"/>
  <c r="AA1919" i="9"/>
  <c r="AA1920" i="9"/>
  <c r="AA1921" i="9"/>
  <c r="AA1922" i="9"/>
  <c r="AA1924" i="9"/>
  <c r="AA1925" i="9"/>
  <c r="AA1926" i="9"/>
  <c r="AA1927" i="9"/>
  <c r="AA1929" i="9"/>
  <c r="AA1930" i="9"/>
  <c r="AA1931" i="9"/>
  <c r="AA1932" i="9"/>
  <c r="AA1933" i="9"/>
  <c r="AA1934" i="9"/>
  <c r="AA1935" i="9"/>
  <c r="AA1936" i="9"/>
  <c r="AA1937" i="9"/>
  <c r="AA1938" i="9"/>
  <c r="AA1939" i="9"/>
  <c r="AA1940" i="9"/>
  <c r="AA1941" i="9"/>
  <c r="AA1942" i="9"/>
  <c r="AA1945" i="9"/>
  <c r="AA1946" i="9"/>
  <c r="AA1947" i="9"/>
  <c r="AA1948" i="9"/>
  <c r="AA1949" i="9"/>
  <c r="AA1950" i="9"/>
  <c r="AA1951" i="9"/>
  <c r="AA1952" i="9"/>
  <c r="AA1953" i="9"/>
  <c r="AA1955" i="9"/>
  <c r="AA1956" i="9"/>
  <c r="AA1957" i="9"/>
  <c r="AA1958" i="9"/>
  <c r="AA1959" i="9"/>
  <c r="AA1960" i="9"/>
  <c r="AA1961" i="9"/>
  <c r="AA1962" i="9"/>
  <c r="AA1963" i="9"/>
  <c r="AA1964" i="9"/>
  <c r="AA1965" i="9"/>
  <c r="AA1966" i="9"/>
  <c r="AA1967" i="9"/>
  <c r="AA1969" i="9"/>
  <c r="AA1970" i="9"/>
  <c r="AA1971" i="9"/>
  <c r="AA1972" i="9"/>
  <c r="AA1973" i="9"/>
  <c r="AA1974" i="9"/>
  <c r="AA1975" i="9"/>
  <c r="AA1976" i="9"/>
  <c r="AA1977" i="9"/>
  <c r="AA1978" i="9"/>
  <c r="AA1979" i="9"/>
  <c r="AA1981" i="9"/>
  <c r="AA1982" i="9"/>
  <c r="AA1983" i="9"/>
  <c r="AA1984" i="9"/>
  <c r="AA1985" i="9"/>
  <c r="AA1986" i="9"/>
  <c r="AA1987" i="9"/>
  <c r="AA1988" i="9"/>
  <c r="AA1989" i="9"/>
  <c r="AA1990" i="9"/>
  <c r="AA1991" i="9"/>
  <c r="AA1993" i="9"/>
  <c r="AA1994" i="9"/>
  <c r="AA1995" i="9"/>
  <c r="AA1996" i="9"/>
  <c r="AA1997" i="9"/>
  <c r="AA1998" i="9"/>
  <c r="AA1999" i="9"/>
  <c r="AA2002" i="9"/>
  <c r="AA2004" i="9"/>
  <c r="AA2005" i="9"/>
  <c r="AA2006" i="9"/>
  <c r="AA2007" i="9"/>
  <c r="AA2008" i="9"/>
  <c r="AA2011" i="9"/>
  <c r="AA2012" i="9"/>
  <c r="AA2013" i="9"/>
  <c r="AA2014" i="9"/>
  <c r="AA2015" i="9"/>
  <c r="AA2016" i="9"/>
  <c r="AA2019" i="9"/>
  <c r="AA2020" i="9"/>
  <c r="AA2021" i="9"/>
  <c r="AA2022" i="9"/>
  <c r="AA2023" i="9"/>
  <c r="AA2024" i="9"/>
  <c r="AA2025" i="9"/>
  <c r="AA2026" i="9"/>
  <c r="AA2028" i="9"/>
  <c r="AA2029" i="9"/>
  <c r="AA2030" i="9"/>
  <c r="AA2031" i="9"/>
  <c r="AA2032" i="9"/>
  <c r="AA2033" i="9"/>
  <c r="AA2034" i="9"/>
  <c r="AA2035" i="9"/>
  <c r="AA2036" i="9"/>
  <c r="AA2037" i="9"/>
  <c r="AA2038" i="9"/>
  <c r="AA2039" i="9"/>
  <c r="AA2040" i="9"/>
  <c r="AA2041" i="9"/>
  <c r="AA2042" i="9"/>
  <c r="AA2044" i="9"/>
  <c r="AA2045" i="9"/>
  <c r="AA2046" i="9"/>
  <c r="AA2047" i="9"/>
  <c r="AA2048" i="9"/>
  <c r="AA2049" i="9"/>
  <c r="AA2051" i="9"/>
  <c r="AA2052" i="9"/>
  <c r="AA2053" i="9"/>
  <c r="AA2054" i="9"/>
  <c r="AA2055" i="9"/>
  <c r="AA2056" i="9"/>
  <c r="AA2057" i="9"/>
  <c r="AA2058" i="9"/>
  <c r="AA2059" i="9"/>
  <c r="AA2060" i="9"/>
  <c r="AA2062" i="9"/>
  <c r="AA2063" i="9"/>
  <c r="AA2064" i="9"/>
  <c r="AA2065" i="9"/>
  <c r="AA2066" i="9"/>
  <c r="AA2067" i="9"/>
  <c r="AA2068" i="9"/>
  <c r="AA2070" i="9"/>
  <c r="AA2071" i="9"/>
  <c r="AA2072" i="9"/>
  <c r="AA2073" i="9"/>
  <c r="AA2074" i="9"/>
  <c r="AA2075" i="9"/>
  <c r="AA2076" i="9"/>
  <c r="AA2077" i="9"/>
  <c r="AA2078" i="9"/>
  <c r="AA2079" i="9"/>
  <c r="AA2080" i="9"/>
  <c r="AA2081" i="9"/>
  <c r="AA2082" i="9"/>
  <c r="AA2083" i="9"/>
  <c r="AA2084" i="9"/>
  <c r="AA2085" i="9"/>
  <c r="AA2086" i="9"/>
  <c r="AA2087" i="9"/>
  <c r="AA2088" i="9"/>
  <c r="AA2089" i="9"/>
  <c r="AA2090" i="9"/>
  <c r="AA2091" i="9"/>
  <c r="AA2092" i="9"/>
  <c r="AA2093" i="9"/>
  <c r="AA2094" i="9"/>
  <c r="AA2096" i="9"/>
  <c r="AA2097" i="9"/>
  <c r="AA2098" i="9"/>
  <c r="AA2099" i="9"/>
  <c r="AA2100" i="9"/>
  <c r="AA2101" i="9"/>
  <c r="AA2102" i="9"/>
  <c r="AA2103" i="9"/>
  <c r="AA2104" i="9"/>
  <c r="AA2105" i="9"/>
  <c r="AA2106" i="9"/>
  <c r="AA2107" i="9"/>
  <c r="AA2108" i="9"/>
  <c r="AA2109" i="9"/>
  <c r="AA2111" i="9"/>
  <c r="AA2112" i="9"/>
  <c r="AA2113" i="9"/>
  <c r="AA2114" i="9"/>
  <c r="AA2116" i="9"/>
  <c r="AA2117" i="9"/>
  <c r="AA2118" i="9"/>
  <c r="AA2119" i="9"/>
  <c r="AA2120" i="9"/>
  <c r="AA2121" i="9"/>
  <c r="AA2122" i="9"/>
  <c r="AA2124" i="9"/>
  <c r="AA2125" i="9"/>
  <c r="AA2126" i="9"/>
  <c r="AA2127" i="9"/>
  <c r="AA2128" i="9"/>
  <c r="AA2129" i="9"/>
  <c r="AA2130" i="9"/>
  <c r="AA2131" i="9"/>
  <c r="AA2132" i="9"/>
  <c r="AA2133" i="9"/>
  <c r="AA2134" i="9"/>
  <c r="AA2136" i="9"/>
  <c r="AA2137" i="9"/>
  <c r="AA2138" i="9"/>
  <c r="AA2140" i="9"/>
  <c r="AA2141" i="9"/>
  <c r="AA2142" i="9"/>
  <c r="AA2143" i="9"/>
  <c r="AA2144" i="9"/>
  <c r="AA2145" i="9"/>
  <c r="AA2146" i="9"/>
  <c r="AA2147" i="9"/>
  <c r="AA2149" i="9"/>
  <c r="AA2150" i="9"/>
  <c r="AA2151" i="9"/>
  <c r="AA2153" i="9"/>
  <c r="AA2154" i="9"/>
  <c r="AA2155" i="9"/>
  <c r="AA2156" i="9"/>
  <c r="AA2157" i="9"/>
  <c r="AA2158" i="9"/>
  <c r="AA2159" i="9"/>
  <c r="AA2160" i="9"/>
  <c r="AA2161" i="9"/>
  <c r="AA2163" i="9"/>
  <c r="AA2164" i="9"/>
  <c r="AA2166" i="9"/>
  <c r="AA2167" i="9"/>
  <c r="AA2168" i="9"/>
  <c r="AA2169" i="9"/>
  <c r="AA2170" i="9"/>
  <c r="AA2171" i="9"/>
  <c r="AA2172" i="9"/>
  <c r="AA2173" i="9"/>
  <c r="AA2174" i="9"/>
  <c r="AA2175" i="9"/>
  <c r="AA2176" i="9"/>
  <c r="AA2177" i="9"/>
  <c r="AA2178" i="9"/>
  <c r="AA2179" i="9"/>
  <c r="AA2180" i="9"/>
  <c r="AA2181" i="9"/>
  <c r="AA2182" i="9"/>
  <c r="AA2183" i="9"/>
  <c r="AA2184" i="9"/>
  <c r="AA2185" i="9"/>
  <c r="AA2186" i="9"/>
  <c r="AA2188" i="9"/>
  <c r="AA2189" i="9"/>
  <c r="AA2190" i="9"/>
  <c r="AA2191" i="9"/>
  <c r="AA2192" i="9"/>
  <c r="AA2193" i="9"/>
  <c r="AA2195" i="9"/>
  <c r="AA2196" i="9"/>
  <c r="AA2197" i="9"/>
  <c r="AA2198" i="9"/>
  <c r="AA2199" i="9"/>
  <c r="AA2200" i="9"/>
  <c r="AA2201" i="9"/>
  <c r="AA2202" i="9"/>
  <c r="AA2203" i="9"/>
  <c r="AA2204" i="9"/>
  <c r="AA2205" i="9"/>
  <c r="AA2206" i="9"/>
  <c r="AA2208" i="9"/>
  <c r="AA2209" i="9"/>
  <c r="AA2210" i="9"/>
  <c r="AA2211" i="9"/>
  <c r="AA2212" i="9"/>
  <c r="AA2213" i="9"/>
  <c r="AA2214" i="9"/>
  <c r="AA2215" i="9"/>
  <c r="AA2218" i="9"/>
  <c r="AA2219" i="9"/>
  <c r="AA2220" i="9"/>
  <c r="AA2221" i="9"/>
  <c r="AA2222" i="9"/>
  <c r="AA2223" i="9"/>
  <c r="AA2224" i="9"/>
  <c r="AA2225" i="9"/>
  <c r="AA2226" i="9"/>
  <c r="AA2227" i="9"/>
  <c r="AA2228" i="9"/>
  <c r="AA2229" i="9"/>
  <c r="AA2230" i="9"/>
  <c r="AA2231" i="9"/>
  <c r="AA2232" i="9"/>
  <c r="AA2233" i="9"/>
  <c r="AA2234" i="9"/>
  <c r="AA2236" i="9"/>
  <c r="AA2237" i="9"/>
  <c r="AA2238" i="9"/>
  <c r="AA2239" i="9"/>
  <c r="AA2241" i="9"/>
  <c r="AA2243" i="9"/>
  <c r="AA2244" i="9"/>
  <c r="AA2245" i="9"/>
  <c r="AA2246" i="9"/>
  <c r="AA2247" i="9"/>
  <c r="AA2248" i="9"/>
  <c r="AA2249" i="9"/>
  <c r="AA2253" i="9"/>
  <c r="AA2254" i="9"/>
  <c r="AA2255" i="9"/>
  <c r="AA2256" i="9"/>
  <c r="AA2257" i="9"/>
  <c r="AA2258" i="9"/>
  <c r="AA2259" i="9"/>
  <c r="AA2260" i="9"/>
  <c r="AA2261" i="9"/>
  <c r="AA2263" i="9"/>
  <c r="AA2264" i="9"/>
  <c r="AA2265" i="9"/>
  <c r="AA2266" i="9"/>
  <c r="AA2267" i="9"/>
  <c r="AA2268" i="9"/>
  <c r="AA2269" i="9"/>
  <c r="AA2270" i="9"/>
  <c r="AA2271" i="9"/>
  <c r="AA2273" i="9"/>
  <c r="AA2275" i="9"/>
  <c r="AA2276" i="9"/>
  <c r="AA2277" i="9"/>
  <c r="AA2278" i="9"/>
  <c r="AA2279" i="9"/>
  <c r="AA2280" i="9"/>
  <c r="AA2281" i="9"/>
  <c r="AA2282" i="9"/>
  <c r="AA2283" i="9"/>
  <c r="AA2284" i="9"/>
  <c r="AA2285" i="9"/>
  <c r="AA2286" i="9"/>
  <c r="AA2287" i="9"/>
  <c r="AA2289" i="9"/>
  <c r="AA2290" i="9"/>
  <c r="AA2291" i="9"/>
  <c r="AA2292" i="9"/>
  <c r="AA2293" i="9"/>
  <c r="AA2294" i="9"/>
  <c r="AA2295" i="9"/>
  <c r="AA2296" i="9"/>
  <c r="AA2297" i="9"/>
  <c r="AA2298" i="9"/>
  <c r="AA2299" i="9"/>
  <c r="AA2300" i="9"/>
  <c r="AA2301" i="9"/>
  <c r="AA2302" i="9"/>
  <c r="AA2304" i="9"/>
  <c r="AA2305" i="9"/>
  <c r="AA2306" i="9"/>
  <c r="AA2307" i="9"/>
  <c r="AA2308" i="9"/>
  <c r="AA2309" i="9"/>
  <c r="AA2310" i="9"/>
  <c r="AA2311" i="9"/>
  <c r="AA2312" i="9"/>
  <c r="AA2314" i="9"/>
  <c r="AA2315" i="9"/>
  <c r="AA2316" i="9"/>
  <c r="AA2317" i="9"/>
  <c r="AA2318" i="9"/>
  <c r="AA2320" i="9"/>
  <c r="AA2321" i="9"/>
  <c r="AA2322" i="9"/>
  <c r="AA2323" i="9"/>
  <c r="AA2324" i="9"/>
  <c r="AA2326" i="9"/>
  <c r="AA2327" i="9"/>
  <c r="AA2328" i="9"/>
  <c r="AA2329" i="9"/>
  <c r="AA2331" i="9"/>
  <c r="AA2332" i="9"/>
  <c r="AA2333" i="9"/>
  <c r="AA2334" i="9"/>
  <c r="AA2335" i="9"/>
  <c r="AA2336" i="9"/>
  <c r="AA2338" i="9"/>
  <c r="AA2339" i="9"/>
  <c r="AA2340" i="9"/>
  <c r="AA2341" i="9"/>
  <c r="AA2342" i="9"/>
  <c r="AA2343" i="9"/>
  <c r="AA2344" i="9"/>
  <c r="AA2345" i="9"/>
  <c r="AA2346" i="9"/>
  <c r="AA2347" i="9"/>
  <c r="AA2349" i="9"/>
  <c r="AA2350" i="9"/>
  <c r="AA2351" i="9"/>
  <c r="AA2352" i="9"/>
  <c r="AA2353" i="9"/>
  <c r="AA2354" i="9"/>
  <c r="AA2355" i="9"/>
  <c r="AA2356" i="9"/>
  <c r="AA2358" i="9"/>
  <c r="AA2359" i="9"/>
  <c r="AA2360" i="9"/>
  <c r="AA2361" i="9"/>
  <c r="AA2362" i="9"/>
  <c r="AA2364" i="9"/>
  <c r="AA2365" i="9"/>
  <c r="AA2367" i="9"/>
  <c r="AA2368" i="9"/>
  <c r="AA2369" i="9"/>
  <c r="AA2370" i="9"/>
  <c r="AA2371" i="9"/>
  <c r="AA2372" i="9"/>
  <c r="AA2374" i="9"/>
  <c r="AA2375" i="9"/>
  <c r="AA2376" i="9"/>
  <c r="AA2378" i="9"/>
  <c r="AA2379" i="9"/>
  <c r="AA2380" i="9"/>
  <c r="AA2381" i="9"/>
  <c r="AA2382" i="9"/>
  <c r="AA2383" i="9"/>
  <c r="AA2384" i="9"/>
  <c r="AA2385" i="9"/>
  <c r="AA2386" i="9"/>
  <c r="AA2387" i="9"/>
  <c r="AA2389" i="9"/>
  <c r="AA2390" i="9"/>
  <c r="AA2391" i="9"/>
  <c r="AA2392" i="9"/>
  <c r="AA2393" i="9"/>
  <c r="AA2394" i="9"/>
  <c r="AA2395" i="9"/>
  <c r="AA2396" i="9"/>
  <c r="AA2397" i="9"/>
  <c r="AA2398" i="9"/>
  <c r="AA2399" i="9"/>
  <c r="AA2400" i="9"/>
  <c r="AA2401" i="9"/>
  <c r="AA2402" i="9"/>
  <c r="AA2403" i="9"/>
  <c r="AA2404" i="9"/>
  <c r="AA2405" i="9"/>
  <c r="AA2407" i="9"/>
  <c r="AA2408" i="9"/>
  <c r="AA2409" i="9"/>
  <c r="AA2410" i="9"/>
  <c r="AA2412" i="9"/>
  <c r="AA2413" i="9"/>
  <c r="AA2414" i="9"/>
  <c r="AA2415" i="9"/>
  <c r="AA2417" i="9"/>
  <c r="AA2418" i="9"/>
  <c r="AA2419" i="9"/>
  <c r="AA2420" i="9"/>
  <c r="AA2421" i="9"/>
  <c r="AA2422" i="9"/>
  <c r="AA2424" i="9"/>
  <c r="AA2425" i="9"/>
  <c r="AA2426" i="9"/>
  <c r="AA2427" i="9"/>
  <c r="AA2428" i="9"/>
  <c r="AA2429" i="9"/>
  <c r="AA2430" i="9"/>
  <c r="AA2431" i="9"/>
  <c r="AA2433" i="9"/>
  <c r="AA2435" i="9"/>
  <c r="AA2436" i="9"/>
  <c r="AA2437" i="9"/>
  <c r="AA2438" i="9"/>
  <c r="AA2439" i="9"/>
  <c r="AA2440" i="9"/>
  <c r="AA2441" i="9"/>
  <c r="AA2442" i="9"/>
  <c r="AA2443" i="9"/>
  <c r="AA2444" i="9"/>
  <c r="AA2445" i="9"/>
  <c r="AA2447" i="9"/>
  <c r="AA2448" i="9"/>
  <c r="AA2449" i="9"/>
  <c r="AA2450" i="9"/>
  <c r="AA2451" i="9"/>
  <c r="AA2452" i="9"/>
  <c r="AA2453" i="9"/>
  <c r="AA2454" i="9"/>
  <c r="AA2455" i="9"/>
  <c r="AA2456" i="9"/>
  <c r="AA2459" i="9"/>
  <c r="AA2460" i="9"/>
  <c r="AA2461" i="9"/>
  <c r="AA2462" i="9"/>
  <c r="AA2463" i="9"/>
  <c r="AA2464" i="9"/>
  <c r="AA2465" i="9"/>
  <c r="AA2466" i="9"/>
  <c r="AA2467" i="9"/>
  <c r="AA2468" i="9"/>
  <c r="AA2469" i="9"/>
  <c r="AA2470" i="9"/>
  <c r="AA2471" i="9"/>
  <c r="AA2472" i="9"/>
  <c r="AA2474" i="9"/>
  <c r="AA2475" i="9"/>
  <c r="AA2476" i="9"/>
  <c r="AA2477" i="9"/>
  <c r="AA2478" i="9"/>
  <c r="AA2479" i="9"/>
  <c r="AA2480" i="9"/>
  <c r="AA2481" i="9"/>
  <c r="AA2482" i="9"/>
  <c r="AA2483" i="9"/>
  <c r="AA2484" i="9"/>
  <c r="AA2485" i="9"/>
  <c r="AA2486" i="9"/>
  <c r="AA2487" i="9"/>
  <c r="AA2489" i="9"/>
  <c r="AA2490" i="9"/>
  <c r="AA2491" i="9"/>
  <c r="AA2492" i="9"/>
  <c r="AA2493" i="9"/>
  <c r="AA2494" i="9"/>
  <c r="AA2495" i="9"/>
  <c r="AA2496" i="9"/>
  <c r="AA2497" i="9"/>
  <c r="AA2498" i="9"/>
  <c r="AA2499" i="9"/>
  <c r="AA2500" i="9"/>
  <c r="AA2502" i="9"/>
  <c r="AA2503" i="9"/>
  <c r="AA2506" i="9"/>
  <c r="AA2507" i="9"/>
  <c r="AA2508" i="9"/>
  <c r="AA2509" i="9"/>
  <c r="AA2510" i="9"/>
  <c r="AA2511" i="9"/>
  <c r="AA2512" i="9"/>
  <c r="AA2513" i="9"/>
  <c r="AA2514" i="9"/>
  <c r="AA2515" i="9"/>
  <c r="AA2516" i="9"/>
  <c r="AA2517" i="9"/>
  <c r="AA2518" i="9"/>
  <c r="AA2519" i="9"/>
  <c r="AA2520" i="9"/>
  <c r="AA2521" i="9"/>
  <c r="AA2522" i="9"/>
  <c r="AA2523" i="9"/>
  <c r="AA2525" i="9"/>
  <c r="AA2527" i="9"/>
  <c r="AA2529" i="9"/>
  <c r="AA2530" i="9"/>
  <c r="AA2531" i="9"/>
  <c r="AA2532" i="9"/>
  <c r="AA2533" i="9"/>
  <c r="AA2534" i="9"/>
  <c r="AA2535" i="9"/>
  <c r="AA2536" i="9"/>
  <c r="AA2537" i="9"/>
  <c r="AA2539" i="9"/>
  <c r="AA2540" i="9"/>
  <c r="AA2541" i="9"/>
  <c r="AA2542" i="9"/>
  <c r="AA2543" i="9"/>
  <c r="AA2544" i="9"/>
  <c r="AA2546" i="9"/>
  <c r="AA2547" i="9"/>
  <c r="AA2548" i="9"/>
  <c r="AA2549" i="9"/>
  <c r="AA2550" i="9"/>
  <c r="AA2551" i="9"/>
  <c r="AA2553" i="9"/>
  <c r="AA2554" i="9"/>
  <c r="AA2555" i="9"/>
  <c r="AA2556" i="9"/>
  <c r="AA2557" i="9"/>
  <c r="AA2558" i="9"/>
  <c r="AA2559" i="9"/>
  <c r="AA2560" i="9"/>
  <c r="AA2561" i="9"/>
  <c r="AA2562" i="9"/>
  <c r="AA2563" i="9"/>
  <c r="AA2565" i="9"/>
  <c r="AA2567" i="9"/>
  <c r="AA2568" i="9"/>
  <c r="AA2569" i="9"/>
  <c r="AA2570" i="9"/>
  <c r="AA2572" i="9"/>
  <c r="AA2573" i="9"/>
  <c r="AA2574" i="9"/>
  <c r="AA2575" i="9"/>
  <c r="AA2576" i="9"/>
  <c r="AA2577" i="9"/>
  <c r="AA2578" i="9"/>
  <c r="AA2579" i="9"/>
  <c r="AA2581" i="9"/>
  <c r="AA2582" i="9"/>
  <c r="AA2583" i="9"/>
  <c r="AA2584" i="9"/>
  <c r="AA2585" i="9"/>
  <c r="AA2586" i="9"/>
  <c r="AA2587" i="9"/>
  <c r="AA2588" i="9"/>
  <c r="AA2589" i="9"/>
  <c r="AA2590" i="9"/>
  <c r="AA2591" i="9"/>
  <c r="AA2592" i="9"/>
  <c r="AA2593" i="9"/>
  <c r="AA2594" i="9"/>
  <c r="AA2595" i="9"/>
  <c r="AA2596" i="9"/>
  <c r="AA2597" i="9"/>
  <c r="AA2599" i="9"/>
  <c r="AA2600" i="9"/>
  <c r="AA2601" i="9"/>
  <c r="AA2602" i="9"/>
  <c r="AA2603" i="9"/>
  <c r="AA2604" i="9"/>
  <c r="AA2605" i="9"/>
  <c r="AA2606" i="9"/>
  <c r="AA2607" i="9"/>
  <c r="AA2608" i="9"/>
  <c r="AA2609" i="9"/>
  <c r="AA2610" i="9"/>
  <c r="AA2611" i="9"/>
  <c r="AA2613" i="9"/>
  <c r="AA2614" i="9"/>
  <c r="AA2616" i="9"/>
  <c r="AA2617" i="9"/>
  <c r="AA2618" i="9"/>
  <c r="AA2619" i="9"/>
  <c r="AA2620" i="9"/>
  <c r="AA2621" i="9"/>
  <c r="AA2623" i="9"/>
  <c r="AA2624" i="9"/>
  <c r="AA2625" i="9"/>
  <c r="AA2626" i="9"/>
  <c r="AA2628" i="9"/>
  <c r="AA2629" i="9"/>
  <c r="AA2630" i="9"/>
  <c r="AA2631" i="9"/>
  <c r="AA2632" i="9"/>
  <c r="AA2633" i="9"/>
  <c r="AA2634" i="9"/>
  <c r="AA2635" i="9"/>
  <c r="AA2636" i="9"/>
  <c r="AA2637" i="9"/>
  <c r="AA2638" i="9"/>
  <c r="AA2639" i="9"/>
  <c r="AA2641" i="9"/>
  <c r="AA2642" i="9"/>
  <c r="AA2643" i="9"/>
  <c r="AA2644" i="9"/>
  <c r="AA2645" i="9"/>
  <c r="AA2646" i="9"/>
  <c r="AA2647" i="9"/>
  <c r="AA2648" i="9"/>
  <c r="AB1244" i="9"/>
  <c r="AB1245" i="9"/>
  <c r="AB1246" i="9"/>
  <c r="AB1247" i="9"/>
  <c r="AB1248" i="9"/>
  <c r="AB1249" i="9"/>
  <c r="AB1250" i="9"/>
  <c r="AB1251" i="9"/>
  <c r="AB1252" i="9"/>
  <c r="AB1253" i="9"/>
  <c r="AB1254" i="9"/>
  <c r="AB1255" i="9"/>
  <c r="AB1256" i="9"/>
  <c r="AB1257" i="9"/>
  <c r="AB1258" i="9"/>
  <c r="AB1259" i="9"/>
  <c r="AB1260" i="9"/>
  <c r="AB1261" i="9"/>
  <c r="AB1262" i="9"/>
  <c r="AB1263" i="9"/>
  <c r="AB1264" i="9"/>
  <c r="AB1265" i="9"/>
  <c r="AB1266" i="9"/>
  <c r="AB1267" i="9"/>
  <c r="AB1268" i="9"/>
  <c r="AB1269" i="9"/>
  <c r="AB1270" i="9"/>
  <c r="AB1271" i="9"/>
  <c r="AB1272" i="9"/>
  <c r="AB1273" i="9"/>
  <c r="AB1274" i="9"/>
  <c r="AB1275" i="9"/>
  <c r="AB1277" i="9"/>
  <c r="AB1278" i="9"/>
  <c r="AB1279" i="9"/>
  <c r="AB1280" i="9"/>
  <c r="AB1281" i="9"/>
  <c r="AB1282" i="9"/>
  <c r="AB1283" i="9"/>
  <c r="AB1285" i="9"/>
  <c r="AB1286" i="9"/>
  <c r="AB1287" i="9"/>
  <c r="AB1288" i="9"/>
  <c r="AB1289" i="9"/>
  <c r="AB1292" i="9"/>
  <c r="AB1293" i="9"/>
  <c r="AB1294" i="9"/>
  <c r="AB1295" i="9"/>
  <c r="AB1297" i="9"/>
  <c r="AB1298" i="9"/>
  <c r="AB1299" i="9"/>
  <c r="AB1300" i="9"/>
  <c r="AB1301" i="9"/>
  <c r="AB1302" i="9"/>
  <c r="AB1303" i="9"/>
  <c r="AB1304" i="9"/>
  <c r="AB1305" i="9"/>
  <c r="AB1306" i="9"/>
  <c r="AB1307" i="9"/>
  <c r="AB1308" i="9"/>
  <c r="AB1309" i="9"/>
  <c r="AB1310" i="9"/>
  <c r="AB1311" i="9"/>
  <c r="AB1312" i="9"/>
  <c r="AB1313" i="9"/>
  <c r="AB1314" i="9"/>
  <c r="AB1315" i="9"/>
  <c r="AB1316" i="9"/>
  <c r="AB1317" i="9"/>
  <c r="AB1318" i="9"/>
  <c r="AB1319" i="9"/>
  <c r="AB1320" i="9"/>
  <c r="AB1321" i="9"/>
  <c r="AB1322" i="9"/>
  <c r="AB1323" i="9"/>
  <c r="AB1324" i="9"/>
  <c r="AB1325" i="9"/>
  <c r="AB1326" i="9"/>
  <c r="AB1327" i="9"/>
  <c r="AB1328" i="9"/>
  <c r="AB1330" i="9"/>
  <c r="AB1331" i="9"/>
  <c r="AB1332" i="9"/>
  <c r="AB1333" i="9"/>
  <c r="AB1334" i="9"/>
  <c r="AB1335" i="9"/>
  <c r="AB1336" i="9"/>
  <c r="AB1337" i="9"/>
  <c r="AB1338" i="9"/>
  <c r="AB1340" i="9"/>
  <c r="AB1341" i="9"/>
  <c r="AB1342" i="9"/>
  <c r="AB1343" i="9"/>
  <c r="AB1344" i="9"/>
  <c r="AB1345" i="9"/>
  <c r="AB1346" i="9"/>
  <c r="AB1347" i="9"/>
  <c r="AB1348" i="9"/>
  <c r="AB1349" i="9"/>
  <c r="AB1350" i="9"/>
  <c r="AB1352" i="9"/>
  <c r="AB1353" i="9"/>
  <c r="AB1354" i="9"/>
  <c r="AB1355" i="9"/>
  <c r="AB1356" i="9"/>
  <c r="AB1357" i="9"/>
  <c r="AB1358" i="9"/>
  <c r="AB1359" i="9"/>
  <c r="AB1360" i="9"/>
  <c r="AB1361" i="9"/>
  <c r="AB1362" i="9"/>
  <c r="AB1363" i="9"/>
  <c r="AB1364" i="9"/>
  <c r="AB1366" i="9"/>
  <c r="AB1367" i="9"/>
  <c r="AB1368" i="9"/>
  <c r="AB1369" i="9"/>
  <c r="AB1370" i="9"/>
  <c r="AB1372" i="9"/>
  <c r="AB1373" i="9"/>
  <c r="AB1374" i="9"/>
  <c r="AB1375" i="9"/>
  <c r="AB1376" i="9"/>
  <c r="AB1377" i="9"/>
  <c r="AB1378" i="9"/>
  <c r="AB1379" i="9"/>
  <c r="AB1380" i="9"/>
  <c r="AB1381" i="9"/>
  <c r="AB1382" i="9"/>
  <c r="AB1385" i="9"/>
  <c r="AB1386" i="9"/>
  <c r="AB1387" i="9"/>
  <c r="AB1388" i="9"/>
  <c r="AB1389" i="9"/>
  <c r="AB1390" i="9"/>
  <c r="AB1391" i="9"/>
  <c r="AB1392" i="9"/>
  <c r="AB1393" i="9"/>
  <c r="AB1394" i="9"/>
  <c r="AB1395" i="9"/>
  <c r="AB1396" i="9"/>
  <c r="AB1398" i="9"/>
  <c r="AB1399" i="9"/>
  <c r="AB1400" i="9"/>
  <c r="AB1401" i="9"/>
  <c r="AB1402" i="9"/>
  <c r="AB1403" i="9"/>
  <c r="AB1404" i="9"/>
  <c r="AB1405" i="9"/>
  <c r="AB1406" i="9"/>
  <c r="AB1408" i="9"/>
  <c r="AB1409" i="9"/>
  <c r="AB1410" i="9"/>
  <c r="AB1411" i="9"/>
  <c r="AB1412" i="9"/>
  <c r="AB1413" i="9"/>
  <c r="AB1414" i="9"/>
  <c r="AB1415" i="9"/>
  <c r="AB1416" i="9"/>
  <c r="AB1417" i="9"/>
  <c r="AB1418" i="9"/>
  <c r="AB1419" i="9"/>
  <c r="AB1420" i="9"/>
  <c r="AB1421" i="9"/>
  <c r="AB1422" i="9"/>
  <c r="AB1424" i="9"/>
  <c r="AB1425" i="9"/>
  <c r="AB1426" i="9"/>
  <c r="AB1427" i="9"/>
  <c r="AB1428" i="9"/>
  <c r="AB1429" i="9"/>
  <c r="AB1430" i="9"/>
  <c r="AB1431" i="9"/>
  <c r="AB1432" i="9"/>
  <c r="AB1433" i="9"/>
  <c r="AB1434" i="9"/>
  <c r="AB1435" i="9"/>
  <c r="AB1437" i="9"/>
  <c r="AB1438" i="9"/>
  <c r="AB1439" i="9"/>
  <c r="AB1440" i="9"/>
  <c r="AB1441" i="9"/>
  <c r="AB1442" i="9"/>
  <c r="AB1443" i="9"/>
  <c r="AB1444" i="9"/>
  <c r="AB1446" i="9"/>
  <c r="AB1447" i="9"/>
  <c r="AB1448" i="9"/>
  <c r="AB1449" i="9"/>
  <c r="AB1450" i="9"/>
  <c r="AB1451" i="9"/>
  <c r="AB1452" i="9"/>
  <c r="AB1453" i="9"/>
  <c r="AB1454" i="9"/>
  <c r="AB1456" i="9"/>
  <c r="AB1458" i="9"/>
  <c r="AB1459" i="9"/>
  <c r="AB1460" i="9"/>
  <c r="AB1461" i="9"/>
  <c r="AB1462" i="9"/>
  <c r="AB1464" i="9"/>
  <c r="AB1466" i="9"/>
  <c r="AB1467" i="9"/>
  <c r="AB1468" i="9"/>
  <c r="AB1469" i="9"/>
  <c r="AB1470" i="9"/>
  <c r="AB1471" i="9"/>
  <c r="AB1472" i="9"/>
  <c r="AB1474" i="9"/>
  <c r="AB1475" i="9"/>
  <c r="AB1477" i="9"/>
  <c r="AB1478" i="9"/>
  <c r="AB1479" i="9"/>
  <c r="AB1481" i="9"/>
  <c r="AB1482" i="9"/>
  <c r="AB1483" i="9"/>
  <c r="AB1484" i="9"/>
  <c r="AB1485" i="9"/>
  <c r="AB1486" i="9"/>
  <c r="AB1488" i="9"/>
  <c r="AB1489" i="9"/>
  <c r="AB1490" i="9"/>
  <c r="AB1491" i="9"/>
  <c r="AB1492" i="9"/>
  <c r="AB1493" i="9"/>
  <c r="AB1495" i="9"/>
  <c r="AB1496" i="9"/>
  <c r="AB1497" i="9"/>
  <c r="AB1498" i="9"/>
  <c r="AB1500" i="9"/>
  <c r="AB1502" i="9"/>
  <c r="AB1503" i="9"/>
  <c r="AB1504" i="9"/>
  <c r="AB1505" i="9"/>
  <c r="AB1506" i="9"/>
  <c r="AB1507" i="9"/>
  <c r="AB1509" i="9"/>
  <c r="AB1510" i="9"/>
  <c r="AB1511" i="9"/>
  <c r="AB1512" i="9"/>
  <c r="AB1513" i="9"/>
  <c r="AB1514" i="9"/>
  <c r="AB1516" i="9"/>
  <c r="AB1517" i="9"/>
  <c r="AB1518" i="9"/>
  <c r="AB1519" i="9"/>
  <c r="AB1520" i="9"/>
  <c r="AB1521" i="9"/>
  <c r="AB1523" i="9"/>
  <c r="AB1524" i="9"/>
  <c r="AB1525" i="9"/>
  <c r="AB1526" i="9"/>
  <c r="AB1527" i="9"/>
  <c r="AB1528" i="9"/>
  <c r="AB1530" i="9"/>
  <c r="AB1531" i="9"/>
  <c r="AB1532" i="9"/>
  <c r="AB1533" i="9"/>
  <c r="AB1534" i="9"/>
  <c r="AB1535" i="9"/>
  <c r="AB1537" i="9"/>
  <c r="AB1538" i="9"/>
  <c r="AB1539" i="9"/>
  <c r="AB1540" i="9"/>
  <c r="AB1541" i="9"/>
  <c r="AB1542" i="9"/>
  <c r="AB1544" i="9"/>
  <c r="AB1545" i="9"/>
  <c r="AB1546" i="9"/>
  <c r="AB1547" i="9"/>
  <c r="AB1548" i="9"/>
  <c r="AB1549" i="9"/>
  <c r="AB1551" i="9"/>
  <c r="AB1552" i="9"/>
  <c r="AB1554" i="9"/>
  <c r="AB1555" i="9"/>
  <c r="AB1556" i="9"/>
  <c r="AB1557" i="9"/>
  <c r="AB1559" i="9"/>
  <c r="AB1560" i="9"/>
  <c r="AB1561" i="9"/>
  <c r="AB1562" i="9"/>
  <c r="AB1563" i="9"/>
  <c r="AB1564" i="9"/>
  <c r="AB1565" i="9"/>
  <c r="AB1566" i="9"/>
  <c r="AB1567" i="9"/>
  <c r="AB1568" i="9"/>
  <c r="AB1569" i="9"/>
  <c r="AB1570" i="9"/>
  <c r="AB1571" i="9"/>
  <c r="AB1572" i="9"/>
  <c r="AB1573" i="9"/>
  <c r="AB1574" i="9"/>
  <c r="AB1575" i="9"/>
  <c r="AB1578" i="9"/>
  <c r="AB1579" i="9"/>
  <c r="AB1580" i="9"/>
  <c r="AB1581" i="9"/>
  <c r="AB1582" i="9"/>
  <c r="AB1584" i="9"/>
  <c r="AB1586" i="9"/>
  <c r="AB1587" i="9"/>
  <c r="AB1588" i="9"/>
  <c r="AB1589" i="9"/>
  <c r="AB1590" i="9"/>
  <c r="AB1591" i="9"/>
  <c r="AB1593" i="9"/>
  <c r="AB1594" i="9"/>
  <c r="AB1595" i="9"/>
  <c r="AB1596" i="9"/>
  <c r="AB1597" i="9"/>
  <c r="AB1598" i="9"/>
  <c r="AB1599" i="9"/>
  <c r="AB1600" i="9"/>
  <c r="AB1602" i="9"/>
  <c r="AB1603" i="9"/>
  <c r="AB1604" i="9"/>
  <c r="AB1605" i="9"/>
  <c r="AB1606" i="9"/>
  <c r="AB1607" i="9"/>
  <c r="AB1608" i="9"/>
  <c r="AB1609" i="9"/>
  <c r="AB1610" i="9"/>
  <c r="AB1611" i="9"/>
  <c r="AB1612" i="9"/>
  <c r="AB1613" i="9"/>
  <c r="AB1614" i="9"/>
  <c r="AB1615" i="9"/>
  <c r="AB1617" i="9"/>
  <c r="AB1618" i="9"/>
  <c r="AB1619" i="9"/>
  <c r="AB1620" i="9"/>
  <c r="AB1621" i="9"/>
  <c r="AB1622" i="9"/>
  <c r="AB1623" i="9"/>
  <c r="AB1624" i="9"/>
  <c r="AB1625" i="9"/>
  <c r="AB1627" i="9"/>
  <c r="AB1629" i="9"/>
  <c r="AB1630" i="9"/>
  <c r="AB1631" i="9"/>
  <c r="AB1632" i="9"/>
  <c r="AB1633" i="9"/>
  <c r="AB1635" i="9"/>
  <c r="AB1636" i="9"/>
  <c r="AB1637" i="9"/>
  <c r="AB1638" i="9"/>
  <c r="AB1639" i="9"/>
  <c r="AB1640" i="9"/>
  <c r="AB1641" i="9"/>
  <c r="AB1642" i="9"/>
  <c r="AB1644" i="9"/>
  <c r="AB1645" i="9"/>
  <c r="AB1646" i="9"/>
  <c r="AB1647" i="9"/>
  <c r="AB1648" i="9"/>
  <c r="AB1649" i="9"/>
  <c r="AB1650" i="9"/>
  <c r="AB1652" i="9"/>
  <c r="AB1653" i="9"/>
  <c r="AB1654" i="9"/>
  <c r="AB1655" i="9"/>
  <c r="AB1656" i="9"/>
  <c r="AB1658" i="9"/>
  <c r="AB1659" i="9"/>
  <c r="AB1660" i="9"/>
  <c r="AB1661" i="9"/>
  <c r="AB1662" i="9"/>
  <c r="AB1663" i="9"/>
  <c r="AB1664" i="9"/>
  <c r="AB1665" i="9"/>
  <c r="AB1666" i="9"/>
  <c r="AB1667" i="9"/>
  <c r="AB1668" i="9"/>
  <c r="AB1669" i="9"/>
  <c r="AB1670" i="9"/>
  <c r="AB1671" i="9"/>
  <c r="AB1673" i="9"/>
  <c r="AB1674" i="9"/>
  <c r="AB1675" i="9"/>
  <c r="AB1676" i="9"/>
  <c r="AB1677" i="9"/>
  <c r="AB1678" i="9"/>
  <c r="AB1679" i="9"/>
  <c r="AB1680" i="9"/>
  <c r="AB1681" i="9"/>
  <c r="AB1682" i="9"/>
  <c r="AB1683" i="9"/>
  <c r="AB1684" i="9"/>
  <c r="AB1685" i="9"/>
  <c r="AB1686" i="9"/>
  <c r="AB1688" i="9"/>
  <c r="AB1689" i="9"/>
  <c r="AB1691" i="9"/>
  <c r="AB1692" i="9"/>
  <c r="AB1693" i="9"/>
  <c r="AB1694" i="9"/>
  <c r="AB1696" i="9"/>
  <c r="AB1697" i="9"/>
  <c r="AB1698" i="9"/>
  <c r="AB1699" i="9"/>
  <c r="AB1700" i="9"/>
  <c r="AB1701" i="9"/>
  <c r="AB1702" i="9"/>
  <c r="AB1704" i="9"/>
  <c r="AB1705" i="9"/>
  <c r="AB1706" i="9"/>
  <c r="AB1707" i="9"/>
  <c r="AB1708" i="9"/>
  <c r="AB1709" i="9"/>
  <c r="AB1710" i="9"/>
  <c r="AB1711" i="9"/>
  <c r="AB1712" i="9"/>
  <c r="AB1713" i="9"/>
  <c r="AB1715" i="9"/>
  <c r="AB1716" i="9"/>
  <c r="AB1717" i="9"/>
  <c r="AB1718" i="9"/>
  <c r="AB1719" i="9"/>
  <c r="AB1720" i="9"/>
  <c r="AB1721" i="9"/>
  <c r="AB1722" i="9"/>
  <c r="AB1723" i="9"/>
  <c r="AB1724" i="9"/>
  <c r="AB1725" i="9"/>
  <c r="AB1726" i="9"/>
  <c r="AB1727" i="9"/>
  <c r="AB1729" i="9"/>
  <c r="AB1730" i="9"/>
  <c r="AB1731" i="9"/>
  <c r="AB1732" i="9"/>
  <c r="AB1733" i="9"/>
  <c r="AB1734" i="9"/>
  <c r="AB1735" i="9"/>
  <c r="AB1736" i="9"/>
  <c r="AB1737" i="9"/>
  <c r="AB1738" i="9"/>
  <c r="AB1739" i="9"/>
  <c r="AB1741" i="9"/>
  <c r="AB1743" i="9"/>
  <c r="AB1744" i="9"/>
  <c r="AB1745" i="9"/>
  <c r="AB1746" i="9"/>
  <c r="AB1747" i="9"/>
  <c r="AB1748" i="9"/>
  <c r="AB1749" i="9"/>
  <c r="AB1750" i="9"/>
  <c r="AB1751" i="9"/>
  <c r="AB1752" i="9"/>
  <c r="AB1753" i="9"/>
  <c r="AB1754" i="9"/>
  <c r="AB1755" i="9"/>
  <c r="AB1756" i="9"/>
  <c r="AB1757" i="9"/>
  <c r="AB1758" i="9"/>
  <c r="AB1759" i="9"/>
  <c r="AB1760" i="9"/>
  <c r="AB1761" i="9"/>
  <c r="AB1762" i="9"/>
  <c r="AB1763" i="9"/>
  <c r="AB1764" i="9"/>
  <c r="AB1765" i="9"/>
  <c r="AB1766" i="9"/>
  <c r="AB1768" i="9"/>
  <c r="AB1769" i="9"/>
  <c r="AB1770" i="9"/>
  <c r="AB1771" i="9"/>
  <c r="AB1772" i="9"/>
  <c r="AB1773" i="9"/>
  <c r="AB1775" i="9"/>
  <c r="AB1776" i="9"/>
  <c r="AB1777" i="9"/>
  <c r="AB1778" i="9"/>
  <c r="AB1779" i="9"/>
  <c r="AB1780" i="9"/>
  <c r="AB1781" i="9"/>
  <c r="AB1782" i="9"/>
  <c r="AB1783" i="9"/>
  <c r="AB1784" i="9"/>
  <c r="AB1785" i="9"/>
  <c r="AB1786" i="9"/>
  <c r="AB1788" i="9"/>
  <c r="AB1789" i="9"/>
  <c r="AB1790" i="9"/>
  <c r="AB1791" i="9"/>
  <c r="AB1792" i="9"/>
  <c r="AB1793" i="9"/>
  <c r="AB1794" i="9"/>
  <c r="AB1795" i="9"/>
  <c r="AB1796" i="9"/>
  <c r="AB1797" i="9"/>
  <c r="AB1798" i="9"/>
  <c r="AB1799" i="9"/>
  <c r="AB1800" i="9"/>
  <c r="AB1801" i="9"/>
  <c r="AB1802" i="9"/>
  <c r="AB1803" i="9"/>
  <c r="AB1804" i="9"/>
  <c r="AB1805" i="9"/>
  <c r="AB1806" i="9"/>
  <c r="AB1807" i="9"/>
  <c r="AB1808" i="9"/>
  <c r="AB1809" i="9"/>
  <c r="AB1810" i="9"/>
  <c r="AB1811" i="9"/>
  <c r="AB1812" i="9"/>
  <c r="AB1813" i="9"/>
  <c r="AB1814" i="9"/>
  <c r="AB1815" i="9"/>
  <c r="AB1816" i="9"/>
  <c r="AB1817" i="9"/>
  <c r="AB1819" i="9"/>
  <c r="AB1820" i="9"/>
  <c r="AB1821" i="9"/>
  <c r="AB1822" i="9"/>
  <c r="AB1823" i="9"/>
  <c r="AB1824" i="9"/>
  <c r="AB1825" i="9"/>
  <c r="AB1826" i="9"/>
  <c r="AB1827" i="9"/>
  <c r="AB1829" i="9"/>
  <c r="AB1830" i="9"/>
  <c r="AB1831" i="9"/>
  <c r="AB1832" i="9"/>
  <c r="AB1833" i="9"/>
  <c r="AB1834" i="9"/>
  <c r="AB1835" i="9"/>
  <c r="AB1836" i="9"/>
  <c r="AB1837" i="9"/>
  <c r="AB1838" i="9"/>
  <c r="AB1840" i="9"/>
  <c r="AB1841" i="9"/>
  <c r="AB1842" i="9"/>
  <c r="AB1843" i="9"/>
  <c r="AB1844" i="9"/>
  <c r="AB1845" i="9"/>
  <c r="AB1846" i="9"/>
  <c r="AB1847" i="9"/>
  <c r="AB1848" i="9"/>
  <c r="AB1849" i="9"/>
  <c r="AB1850" i="9"/>
  <c r="AB1851" i="9"/>
  <c r="AB1853" i="9"/>
  <c r="AB1854" i="9"/>
  <c r="AB1855" i="9"/>
  <c r="AB1856" i="9"/>
  <c r="AB1857" i="9"/>
  <c r="AB1858" i="9"/>
  <c r="AB1859" i="9"/>
  <c r="AB1860" i="9"/>
  <c r="AB1861" i="9"/>
  <c r="AB1862" i="9"/>
  <c r="AB1863" i="9"/>
  <c r="AB1864" i="9"/>
  <c r="AB1865" i="9"/>
  <c r="AB1866" i="9"/>
  <c r="AB1867" i="9"/>
  <c r="AB1868" i="9"/>
  <c r="AB1869" i="9"/>
  <c r="AB1871" i="9"/>
  <c r="AB1872" i="9"/>
  <c r="AB1873" i="9"/>
  <c r="AB1874" i="9"/>
  <c r="AB1875" i="9"/>
  <c r="AB1876" i="9"/>
  <c r="AB1877" i="9"/>
  <c r="AB1878" i="9"/>
  <c r="AB1879" i="9"/>
  <c r="AB1880" i="9"/>
  <c r="AB1882" i="9"/>
  <c r="AB1883" i="9"/>
  <c r="AB1884" i="9"/>
  <c r="AB1885" i="9"/>
  <c r="AB1886" i="9"/>
  <c r="AB1887" i="9"/>
  <c r="AB1888" i="9"/>
  <c r="AB1889" i="9"/>
  <c r="AB1890" i="9"/>
  <c r="AB1891" i="9"/>
  <c r="AB1892" i="9"/>
  <c r="AB1893" i="9"/>
  <c r="AB1894" i="9"/>
  <c r="AB1895" i="9"/>
  <c r="AB1896" i="9"/>
  <c r="AB1897" i="9"/>
  <c r="AB1899" i="9"/>
  <c r="AB1901" i="9"/>
  <c r="AB1902" i="9"/>
  <c r="AB1903" i="9"/>
  <c r="AB1904" i="9"/>
  <c r="AB1905" i="9"/>
  <c r="AB1906" i="9"/>
  <c r="AB1907" i="9"/>
  <c r="AB1908" i="9"/>
  <c r="AB1910" i="9"/>
  <c r="AB1911" i="9"/>
  <c r="AB1912" i="9"/>
  <c r="AB1913" i="9"/>
  <c r="AB1914" i="9"/>
  <c r="AB1915" i="9"/>
  <c r="AB1916" i="9"/>
  <c r="AB1917" i="9"/>
  <c r="AB1918" i="9"/>
  <c r="AB1919" i="9"/>
  <c r="AB1920" i="9"/>
  <c r="AB1921" i="9"/>
  <c r="AB1922" i="9"/>
  <c r="AB1924" i="9"/>
  <c r="AB1925" i="9"/>
  <c r="AB1926" i="9"/>
  <c r="AB1927" i="9"/>
  <c r="AB1929" i="9"/>
  <c r="AB1930" i="9"/>
  <c r="AB1931" i="9"/>
  <c r="AB1932" i="9"/>
  <c r="AB1933" i="9"/>
  <c r="AB1934" i="9"/>
  <c r="AB1935" i="9"/>
  <c r="AB1936" i="9"/>
  <c r="AB1937" i="9"/>
  <c r="AB1938" i="9"/>
  <c r="AB1939" i="9"/>
  <c r="AB1940" i="9"/>
  <c r="AB1941" i="9"/>
  <c r="AB1942" i="9"/>
  <c r="AB1945" i="9"/>
  <c r="AB1946" i="9"/>
  <c r="AB1947" i="9"/>
  <c r="AB1948" i="9"/>
  <c r="AB1949" i="9"/>
  <c r="AB1950" i="9"/>
  <c r="AB1951" i="9"/>
  <c r="AB1952" i="9"/>
  <c r="AB1953" i="9"/>
  <c r="AB1955" i="9"/>
  <c r="AB1956" i="9"/>
  <c r="AB1957" i="9"/>
  <c r="AB1958" i="9"/>
  <c r="AB1959" i="9"/>
  <c r="AB1960" i="9"/>
  <c r="AB1961" i="9"/>
  <c r="AB1962" i="9"/>
  <c r="AB1963" i="9"/>
  <c r="AB1964" i="9"/>
  <c r="AB1965" i="9"/>
  <c r="AB1966" i="9"/>
  <c r="AB1967" i="9"/>
  <c r="AB1969" i="9"/>
  <c r="AB1970" i="9"/>
  <c r="AB1971" i="9"/>
  <c r="AB1972" i="9"/>
  <c r="AB1973" i="9"/>
  <c r="AB1974" i="9"/>
  <c r="AB1975" i="9"/>
  <c r="AB1976" i="9"/>
  <c r="AB1977" i="9"/>
  <c r="AB1978" i="9"/>
  <c r="AB1979" i="9"/>
  <c r="AB1981" i="9"/>
  <c r="AB1982" i="9"/>
  <c r="AB1983" i="9"/>
  <c r="AB1984" i="9"/>
  <c r="AB1985" i="9"/>
  <c r="AB1986" i="9"/>
  <c r="AB1987" i="9"/>
  <c r="AB1988" i="9"/>
  <c r="AB1989" i="9"/>
  <c r="AB1990" i="9"/>
  <c r="AB1991" i="9"/>
  <c r="AB1993" i="9"/>
  <c r="AB1994" i="9"/>
  <c r="AB1995" i="9"/>
  <c r="AB1996" i="9"/>
  <c r="AB1997" i="9"/>
  <c r="AB1998" i="9"/>
  <c r="AB1999" i="9"/>
  <c r="AB2002" i="9"/>
  <c r="AB2004" i="9"/>
  <c r="AB2005" i="9"/>
  <c r="AB2006" i="9"/>
  <c r="AB2007" i="9"/>
  <c r="AB2008" i="9"/>
  <c r="AB2011" i="9"/>
  <c r="AB2012" i="9"/>
  <c r="AB2013" i="9"/>
  <c r="AB2014" i="9"/>
  <c r="AB2015" i="9"/>
  <c r="AB2016" i="9"/>
  <c r="AB2019" i="9"/>
  <c r="AB2020" i="9"/>
  <c r="AB2021" i="9"/>
  <c r="AB2022" i="9"/>
  <c r="AB2023" i="9"/>
  <c r="AB2024" i="9"/>
  <c r="AB2025" i="9"/>
  <c r="AB2026" i="9"/>
  <c r="AB2028" i="9"/>
  <c r="AB2029" i="9"/>
  <c r="AB2030" i="9"/>
  <c r="AB2031" i="9"/>
  <c r="AB2032" i="9"/>
  <c r="AB2033" i="9"/>
  <c r="AB2034" i="9"/>
  <c r="AB2035" i="9"/>
  <c r="AB2036" i="9"/>
  <c r="AB2037" i="9"/>
  <c r="AB2038" i="9"/>
  <c r="AB2039" i="9"/>
  <c r="AB2040" i="9"/>
  <c r="AB2041" i="9"/>
  <c r="AB2042" i="9"/>
  <c r="AB2044" i="9"/>
  <c r="AB2045" i="9"/>
  <c r="AB2046" i="9"/>
  <c r="AB2047" i="9"/>
  <c r="AB2048" i="9"/>
  <c r="AB2049" i="9"/>
  <c r="AB2051" i="9"/>
  <c r="AB2052" i="9"/>
  <c r="AB2053" i="9"/>
  <c r="AB2054" i="9"/>
  <c r="AB2055" i="9"/>
  <c r="AB2056" i="9"/>
  <c r="AB2057" i="9"/>
  <c r="AB2058" i="9"/>
  <c r="AB2059" i="9"/>
  <c r="AB2060" i="9"/>
  <c r="AB2062" i="9"/>
  <c r="AB2063" i="9"/>
  <c r="AB2064" i="9"/>
  <c r="AB2065" i="9"/>
  <c r="AB2066" i="9"/>
  <c r="AB2067" i="9"/>
  <c r="AB2068" i="9"/>
  <c r="AB2070" i="9"/>
  <c r="AB2071" i="9"/>
  <c r="AB2072" i="9"/>
  <c r="AB2073" i="9"/>
  <c r="AB2074" i="9"/>
  <c r="AB2075" i="9"/>
  <c r="AB2076" i="9"/>
  <c r="AB2077" i="9"/>
  <c r="AB2078" i="9"/>
  <c r="AB2079" i="9"/>
  <c r="AB2080" i="9"/>
  <c r="AB2081" i="9"/>
  <c r="AB2082" i="9"/>
  <c r="AB2083" i="9"/>
  <c r="AB2084" i="9"/>
  <c r="AB2085" i="9"/>
  <c r="AB2086" i="9"/>
  <c r="AB2087" i="9"/>
  <c r="AB2088" i="9"/>
  <c r="AB2089" i="9"/>
  <c r="AB2090" i="9"/>
  <c r="AB2091" i="9"/>
  <c r="AB2092" i="9"/>
  <c r="AB2093" i="9"/>
  <c r="AB2094" i="9"/>
  <c r="AB2096" i="9"/>
  <c r="AB2097" i="9"/>
  <c r="AB2098" i="9"/>
  <c r="AB2099" i="9"/>
  <c r="AB2100" i="9"/>
  <c r="AB2101" i="9"/>
  <c r="AB2102" i="9"/>
  <c r="AB2103" i="9"/>
  <c r="AB2104" i="9"/>
  <c r="AB2105" i="9"/>
  <c r="AB2106" i="9"/>
  <c r="AB2107" i="9"/>
  <c r="AB2108" i="9"/>
  <c r="AB2109" i="9"/>
  <c r="AB2111" i="9"/>
  <c r="AB2112" i="9"/>
  <c r="AB2113" i="9"/>
  <c r="AB2114" i="9"/>
  <c r="AB2116" i="9"/>
  <c r="AB2117" i="9"/>
  <c r="AB2118" i="9"/>
  <c r="AB2119" i="9"/>
  <c r="AB2120" i="9"/>
  <c r="AB2121" i="9"/>
  <c r="AB2122" i="9"/>
  <c r="AB2124" i="9"/>
  <c r="AB2125" i="9"/>
  <c r="AB2126" i="9"/>
  <c r="AB2127" i="9"/>
  <c r="AB2128" i="9"/>
  <c r="AB2129" i="9"/>
  <c r="AB2130" i="9"/>
  <c r="AB2131" i="9"/>
  <c r="AB2132" i="9"/>
  <c r="AB2133" i="9"/>
  <c r="AB2134" i="9"/>
  <c r="AB2136" i="9"/>
  <c r="AB2137" i="9"/>
  <c r="AB2138" i="9"/>
  <c r="AB2140" i="9"/>
  <c r="AB2141" i="9"/>
  <c r="AB2142" i="9"/>
  <c r="AB2143" i="9"/>
  <c r="AB2144" i="9"/>
  <c r="AB2145" i="9"/>
  <c r="AB2146" i="9"/>
  <c r="AB2147" i="9"/>
  <c r="AB2149" i="9"/>
  <c r="AB2150" i="9"/>
  <c r="AB2151" i="9"/>
  <c r="AB2153" i="9"/>
  <c r="AB2154" i="9"/>
  <c r="AB2155" i="9"/>
  <c r="AB2156" i="9"/>
  <c r="AB2157" i="9"/>
  <c r="AB2158" i="9"/>
  <c r="AB2159" i="9"/>
  <c r="AB2160" i="9"/>
  <c r="AB2161" i="9"/>
  <c r="AB2163" i="9"/>
  <c r="AB2164" i="9"/>
  <c r="AB2166" i="9"/>
  <c r="AB2167" i="9"/>
  <c r="AB2168" i="9"/>
  <c r="AB2169" i="9"/>
  <c r="AB2170" i="9"/>
  <c r="AB2171" i="9"/>
  <c r="AB2172" i="9"/>
  <c r="AB2173" i="9"/>
  <c r="AB2174" i="9"/>
  <c r="AB2175" i="9"/>
  <c r="AB2176" i="9"/>
  <c r="AB2177" i="9"/>
  <c r="AB2178" i="9"/>
  <c r="AB2179" i="9"/>
  <c r="AB2180" i="9"/>
  <c r="AB2181" i="9"/>
  <c r="AB2182" i="9"/>
  <c r="AB2183" i="9"/>
  <c r="AB2184" i="9"/>
  <c r="AB2185" i="9"/>
  <c r="AB2186" i="9"/>
  <c r="AB2188" i="9"/>
  <c r="AB2189" i="9"/>
  <c r="AB2190" i="9"/>
  <c r="AB2191" i="9"/>
  <c r="AB2192" i="9"/>
  <c r="AB2193" i="9"/>
  <c r="AB2195" i="9"/>
  <c r="AB2196" i="9"/>
  <c r="AB2197" i="9"/>
  <c r="AB2198" i="9"/>
  <c r="AB2199" i="9"/>
  <c r="AB2200" i="9"/>
  <c r="AB2201" i="9"/>
  <c r="AB2202" i="9"/>
  <c r="AB2203" i="9"/>
  <c r="AB2204" i="9"/>
  <c r="AB2205" i="9"/>
  <c r="AB2206" i="9"/>
  <c r="AB2208" i="9"/>
  <c r="AB2209" i="9"/>
  <c r="AB2210" i="9"/>
  <c r="AB2211" i="9"/>
  <c r="AB2212" i="9"/>
  <c r="AB2213" i="9"/>
  <c r="AB2214" i="9"/>
  <c r="AB2215" i="9"/>
  <c r="AB2218" i="9"/>
  <c r="AB2219" i="9"/>
  <c r="AB2220" i="9"/>
  <c r="AB2221" i="9"/>
  <c r="AB2222" i="9"/>
  <c r="AB2223" i="9"/>
  <c r="AB2224" i="9"/>
  <c r="AB2225" i="9"/>
  <c r="AB2226" i="9"/>
  <c r="AB2227" i="9"/>
  <c r="AB2228" i="9"/>
  <c r="AB2229" i="9"/>
  <c r="AB2230" i="9"/>
  <c r="AB2231" i="9"/>
  <c r="AB2232" i="9"/>
  <c r="AB2233" i="9"/>
  <c r="AB2234" i="9"/>
  <c r="AB2236" i="9"/>
  <c r="AB2237" i="9"/>
  <c r="AB2238" i="9"/>
  <c r="AB2239" i="9"/>
  <c r="AB2241" i="9"/>
  <c r="AB2243" i="9"/>
  <c r="AB2244" i="9"/>
  <c r="AB2245" i="9"/>
  <c r="AB2246" i="9"/>
  <c r="AB2247" i="9"/>
  <c r="AB2248" i="9"/>
  <c r="AB2249" i="9"/>
  <c r="AB2253" i="9"/>
  <c r="AB2254" i="9"/>
  <c r="AB2255" i="9"/>
  <c r="AB2256" i="9"/>
  <c r="AB2257" i="9"/>
  <c r="AB2258" i="9"/>
  <c r="AB2259" i="9"/>
  <c r="AB2260" i="9"/>
  <c r="AB2261" i="9"/>
  <c r="AB2263" i="9"/>
  <c r="AB2264" i="9"/>
  <c r="AB2265" i="9"/>
  <c r="AB2266" i="9"/>
  <c r="AB2267" i="9"/>
  <c r="AB2268" i="9"/>
  <c r="AB2269" i="9"/>
  <c r="AB2270" i="9"/>
  <c r="AB2271" i="9"/>
  <c r="AB2273" i="9"/>
  <c r="AB2275" i="9"/>
  <c r="AB2276" i="9"/>
  <c r="AB2277" i="9"/>
  <c r="AB2278" i="9"/>
  <c r="AB2279" i="9"/>
  <c r="AB2280" i="9"/>
  <c r="AB2281" i="9"/>
  <c r="AB2282" i="9"/>
  <c r="AB2283" i="9"/>
  <c r="AB2284" i="9"/>
  <c r="AB2285" i="9"/>
  <c r="AB2286" i="9"/>
  <c r="AB2287" i="9"/>
  <c r="AB2289" i="9"/>
  <c r="AB2290" i="9"/>
  <c r="AB2291" i="9"/>
  <c r="AB2292" i="9"/>
  <c r="AB2293" i="9"/>
  <c r="AB2294" i="9"/>
  <c r="AB2295" i="9"/>
  <c r="AB2296" i="9"/>
  <c r="AB2297" i="9"/>
  <c r="AB2298" i="9"/>
  <c r="AB2299" i="9"/>
  <c r="AB2300" i="9"/>
  <c r="AB2301" i="9"/>
  <c r="AB2302" i="9"/>
  <c r="AB2304" i="9"/>
  <c r="AB2305" i="9"/>
  <c r="AB2306" i="9"/>
  <c r="AB2307" i="9"/>
  <c r="AB2308" i="9"/>
  <c r="AB2309" i="9"/>
  <c r="AB2310" i="9"/>
  <c r="AB2311" i="9"/>
  <c r="AB2312" i="9"/>
  <c r="AB2314" i="9"/>
  <c r="AB2315" i="9"/>
  <c r="AB2316" i="9"/>
  <c r="AB2317" i="9"/>
  <c r="AB2318" i="9"/>
  <c r="AB2320" i="9"/>
  <c r="AB2321" i="9"/>
  <c r="AB2322" i="9"/>
  <c r="AB2323" i="9"/>
  <c r="AB2324" i="9"/>
  <c r="AB2326" i="9"/>
  <c r="AB2327" i="9"/>
  <c r="AB2328" i="9"/>
  <c r="AB2329" i="9"/>
  <c r="AB2331" i="9"/>
  <c r="AB2332" i="9"/>
  <c r="AB2333" i="9"/>
  <c r="AB2334" i="9"/>
  <c r="AB2335" i="9"/>
  <c r="AB2336" i="9"/>
  <c r="AB2338" i="9"/>
  <c r="AB2339" i="9"/>
  <c r="AB2340" i="9"/>
  <c r="AB2341" i="9"/>
  <c r="AB2342" i="9"/>
  <c r="AB2343" i="9"/>
  <c r="AB2344" i="9"/>
  <c r="AB2345" i="9"/>
  <c r="AB2346" i="9"/>
  <c r="AB2347" i="9"/>
  <c r="AB2349" i="9"/>
  <c r="AB2350" i="9"/>
  <c r="AB2351" i="9"/>
  <c r="AB2352" i="9"/>
  <c r="AB2353" i="9"/>
  <c r="AB2354" i="9"/>
  <c r="AB2355" i="9"/>
  <c r="AB2356" i="9"/>
  <c r="AB2358" i="9"/>
  <c r="AB2359" i="9"/>
  <c r="AB2360" i="9"/>
  <c r="AB2361" i="9"/>
  <c r="AB2362" i="9"/>
  <c r="AB2364" i="9"/>
  <c r="AB2365" i="9"/>
  <c r="AB2367" i="9"/>
  <c r="AB2368" i="9"/>
  <c r="AB2369" i="9"/>
  <c r="AB2370" i="9"/>
  <c r="AB2371" i="9"/>
  <c r="AB2372" i="9"/>
  <c r="AB2374" i="9"/>
  <c r="AB2375" i="9"/>
  <c r="AB2376" i="9"/>
  <c r="AB2378" i="9"/>
  <c r="AB2379" i="9"/>
  <c r="AB2380" i="9"/>
  <c r="AB2381" i="9"/>
  <c r="AB2382" i="9"/>
  <c r="AB2383" i="9"/>
  <c r="AB2384" i="9"/>
  <c r="AB2385" i="9"/>
  <c r="AB2386" i="9"/>
  <c r="AB2387" i="9"/>
  <c r="AB2389" i="9"/>
  <c r="AB2390" i="9"/>
  <c r="AB2391" i="9"/>
  <c r="AB2392" i="9"/>
  <c r="AB2393" i="9"/>
  <c r="AB2394" i="9"/>
  <c r="AB2395" i="9"/>
  <c r="AB2396" i="9"/>
  <c r="AB2397" i="9"/>
  <c r="AB2398" i="9"/>
  <c r="AB2399" i="9"/>
  <c r="AB2400" i="9"/>
  <c r="AB2401" i="9"/>
  <c r="AB2402" i="9"/>
  <c r="AB2403" i="9"/>
  <c r="AB2404" i="9"/>
  <c r="AB2405" i="9"/>
  <c r="AB2407" i="9"/>
  <c r="AB2408" i="9"/>
  <c r="AB2409" i="9"/>
  <c r="AB2410" i="9"/>
  <c r="AB2412" i="9"/>
  <c r="AB2413" i="9"/>
  <c r="AB2414" i="9"/>
  <c r="AB2415" i="9"/>
  <c r="AB2417" i="9"/>
  <c r="AB2418" i="9"/>
  <c r="AB2419" i="9"/>
  <c r="AB2420" i="9"/>
  <c r="AB2421" i="9"/>
  <c r="AB2422" i="9"/>
  <c r="AB2424" i="9"/>
  <c r="AB2425" i="9"/>
  <c r="AB2426" i="9"/>
  <c r="AB2427" i="9"/>
  <c r="AB2428" i="9"/>
  <c r="AB2429" i="9"/>
  <c r="AB2430" i="9"/>
  <c r="AB2431" i="9"/>
  <c r="AB2433" i="9"/>
  <c r="AB2435" i="9"/>
  <c r="AB2436" i="9"/>
  <c r="AB2437" i="9"/>
  <c r="AB2438" i="9"/>
  <c r="AB2439" i="9"/>
  <c r="AB2440" i="9"/>
  <c r="AB2441" i="9"/>
  <c r="AB2442" i="9"/>
  <c r="AB2443" i="9"/>
  <c r="AB2444" i="9"/>
  <c r="AB2445" i="9"/>
  <c r="AB2447" i="9"/>
  <c r="AB2448" i="9"/>
  <c r="AB2449" i="9"/>
  <c r="AB2450" i="9"/>
  <c r="AB2451" i="9"/>
  <c r="AB2452" i="9"/>
  <c r="AB2453" i="9"/>
  <c r="AB2454" i="9"/>
  <c r="AB2455" i="9"/>
  <c r="AB2456" i="9"/>
  <c r="AB2459" i="9"/>
  <c r="AB2460" i="9"/>
  <c r="AB2461" i="9"/>
  <c r="AB2462" i="9"/>
  <c r="AB2463" i="9"/>
  <c r="AB2464" i="9"/>
  <c r="AB2465" i="9"/>
  <c r="AB2466" i="9"/>
  <c r="AB2467" i="9"/>
  <c r="AB2468" i="9"/>
  <c r="AB2469" i="9"/>
  <c r="AB2470" i="9"/>
  <c r="AB2471" i="9"/>
  <c r="AB2472" i="9"/>
  <c r="AB2474" i="9"/>
  <c r="AB2475" i="9"/>
  <c r="AB2476" i="9"/>
  <c r="AB2477" i="9"/>
  <c r="AB2478" i="9"/>
  <c r="AB2479" i="9"/>
  <c r="AB2480" i="9"/>
  <c r="AB2481" i="9"/>
  <c r="AB2482" i="9"/>
  <c r="AB2483" i="9"/>
  <c r="AB2484" i="9"/>
  <c r="AB2485" i="9"/>
  <c r="AB2486" i="9"/>
  <c r="AB2487" i="9"/>
  <c r="AB2489" i="9"/>
  <c r="AB2490" i="9"/>
  <c r="AB2491" i="9"/>
  <c r="AB2492" i="9"/>
  <c r="AB2493" i="9"/>
  <c r="AB2494" i="9"/>
  <c r="AB2495" i="9"/>
  <c r="AB2496" i="9"/>
  <c r="AB2497" i="9"/>
  <c r="AB2498" i="9"/>
  <c r="AB2499" i="9"/>
  <c r="AB2500" i="9"/>
  <c r="AB2502" i="9"/>
  <c r="AB2503" i="9"/>
  <c r="AB2506" i="9"/>
  <c r="AB2507" i="9"/>
  <c r="AB2508" i="9"/>
  <c r="AB2509" i="9"/>
  <c r="AB2510" i="9"/>
  <c r="AB2511" i="9"/>
  <c r="AB2512" i="9"/>
  <c r="AB2513" i="9"/>
  <c r="AB2514" i="9"/>
  <c r="AB2515" i="9"/>
  <c r="AB2516" i="9"/>
  <c r="AB2517" i="9"/>
  <c r="AB2518" i="9"/>
  <c r="AB2519" i="9"/>
  <c r="AB2520" i="9"/>
  <c r="AB2521" i="9"/>
  <c r="AB2522" i="9"/>
  <c r="AB2523" i="9"/>
  <c r="AB2525" i="9"/>
  <c r="AB2527" i="9"/>
  <c r="AB2529" i="9"/>
  <c r="AB2530" i="9"/>
  <c r="AB2531" i="9"/>
  <c r="AB2532" i="9"/>
  <c r="AB2533" i="9"/>
  <c r="AB2534" i="9"/>
  <c r="AB2535" i="9"/>
  <c r="AB2536" i="9"/>
  <c r="AB2537" i="9"/>
  <c r="AB2539" i="9"/>
  <c r="AB2540" i="9"/>
  <c r="AB2541" i="9"/>
  <c r="AB2542" i="9"/>
  <c r="AB2543" i="9"/>
  <c r="AB2544" i="9"/>
  <c r="AB2546" i="9"/>
  <c r="AB2547" i="9"/>
  <c r="AB2548" i="9"/>
  <c r="AB2549" i="9"/>
  <c r="AB2550" i="9"/>
  <c r="AB2551" i="9"/>
  <c r="AB2553" i="9"/>
  <c r="AB2554" i="9"/>
  <c r="AB2555" i="9"/>
  <c r="AB2556" i="9"/>
  <c r="AB2557" i="9"/>
  <c r="AB2558" i="9"/>
  <c r="AB2559" i="9"/>
  <c r="AB2560" i="9"/>
  <c r="AB2561" i="9"/>
  <c r="AB2562" i="9"/>
  <c r="AB2563" i="9"/>
  <c r="AB2565" i="9"/>
  <c r="AB2567" i="9"/>
  <c r="AB2568" i="9"/>
  <c r="AB2569" i="9"/>
  <c r="AB2570" i="9"/>
  <c r="AB2572" i="9"/>
  <c r="AB2573" i="9"/>
  <c r="AB2574" i="9"/>
  <c r="AB2575" i="9"/>
  <c r="AB2576" i="9"/>
  <c r="AB2577" i="9"/>
  <c r="AB2578" i="9"/>
  <c r="AB2579" i="9"/>
  <c r="AB2581" i="9"/>
  <c r="AB2582" i="9"/>
  <c r="AB2583" i="9"/>
  <c r="AB2584" i="9"/>
  <c r="AB2585" i="9"/>
  <c r="AB2586" i="9"/>
  <c r="AB2587" i="9"/>
  <c r="AB2588" i="9"/>
  <c r="AB2589" i="9"/>
  <c r="AB2590" i="9"/>
  <c r="AB2591" i="9"/>
  <c r="AB2592" i="9"/>
  <c r="AB2593" i="9"/>
  <c r="AB2594" i="9"/>
  <c r="AB2595" i="9"/>
  <c r="AB2596" i="9"/>
  <c r="AB2597" i="9"/>
  <c r="AB2599" i="9"/>
  <c r="AB2600" i="9"/>
  <c r="AB2601" i="9"/>
  <c r="AB2602" i="9"/>
  <c r="AB2603" i="9"/>
  <c r="AB2604" i="9"/>
  <c r="AB2605" i="9"/>
  <c r="AB2606" i="9"/>
  <c r="AB2607" i="9"/>
  <c r="AB2608" i="9"/>
  <c r="AB2609" i="9"/>
  <c r="AB2610" i="9"/>
  <c r="AB2611" i="9"/>
  <c r="AB2613" i="9"/>
  <c r="AB2614" i="9"/>
  <c r="AB2616" i="9"/>
  <c r="AB2617" i="9"/>
  <c r="AB2618" i="9"/>
  <c r="AB2619" i="9"/>
  <c r="AB2620" i="9"/>
  <c r="AB2621" i="9"/>
  <c r="AB2623" i="9"/>
  <c r="AB2624" i="9"/>
  <c r="AB2625" i="9"/>
  <c r="AB2626" i="9"/>
  <c r="AB2628" i="9"/>
  <c r="AB2629" i="9"/>
  <c r="AB2630" i="9"/>
  <c r="AB2631" i="9"/>
  <c r="AB2632" i="9"/>
  <c r="AB2633" i="9"/>
  <c r="AB2634" i="9"/>
  <c r="AB2635" i="9"/>
  <c r="AB2636" i="9"/>
  <c r="AB2637" i="9"/>
  <c r="AB2638" i="9"/>
  <c r="AB2639" i="9"/>
  <c r="AB2641" i="9"/>
  <c r="AB2642" i="9"/>
  <c r="AB2643" i="9"/>
  <c r="AB2644" i="9"/>
  <c r="AB2645" i="9"/>
  <c r="AB2646" i="9"/>
  <c r="AB2647" i="9"/>
  <c r="AB2648" i="9"/>
  <c r="AC1244" i="9"/>
  <c r="AC1245" i="9"/>
  <c r="AC1246" i="9"/>
  <c r="AC1247" i="9"/>
  <c r="AC1248" i="9"/>
  <c r="AC1249" i="9"/>
  <c r="AC1250" i="9"/>
  <c r="AC1251" i="9"/>
  <c r="AC1252" i="9"/>
  <c r="AC1253" i="9"/>
  <c r="AC1254" i="9"/>
  <c r="AC1255" i="9"/>
  <c r="AC1256" i="9"/>
  <c r="AC1257" i="9"/>
  <c r="AC1258" i="9"/>
  <c r="AC1259" i="9"/>
  <c r="AC1260" i="9"/>
  <c r="AC1261" i="9"/>
  <c r="AC1262" i="9"/>
  <c r="AC1263" i="9"/>
  <c r="AC1264" i="9"/>
  <c r="AC1265" i="9"/>
  <c r="AC1266" i="9"/>
  <c r="AC1267" i="9"/>
  <c r="AC1268" i="9"/>
  <c r="AC1269" i="9"/>
  <c r="AC1270" i="9"/>
  <c r="AC1271" i="9"/>
  <c r="AC1272" i="9"/>
  <c r="AC1273" i="9"/>
  <c r="AC1274" i="9"/>
  <c r="AC1275" i="9"/>
  <c r="AC1276" i="9"/>
  <c r="AC1277" i="9"/>
  <c r="AC1278" i="9"/>
  <c r="AC1279" i="9"/>
  <c r="AC1280" i="9"/>
  <c r="AC1281" i="9"/>
  <c r="AC1282" i="9"/>
  <c r="AC1283" i="9"/>
  <c r="AC1284" i="9"/>
  <c r="AC1285" i="9"/>
  <c r="AC1286" i="9"/>
  <c r="AC1287" i="9"/>
  <c r="AC1288" i="9"/>
  <c r="AC1289" i="9"/>
  <c r="AC1290" i="9"/>
  <c r="AC1291" i="9"/>
  <c r="AC1292" i="9"/>
  <c r="AC1293" i="9"/>
  <c r="AC1294" i="9"/>
  <c r="AC1295" i="9"/>
  <c r="AC1296" i="9"/>
  <c r="AC1297" i="9"/>
  <c r="AC1298" i="9"/>
  <c r="AC1299" i="9"/>
  <c r="AC1300" i="9"/>
  <c r="AC1301" i="9"/>
  <c r="AC1302" i="9"/>
  <c r="AC1303" i="9"/>
  <c r="AC1304" i="9"/>
  <c r="AC1305" i="9"/>
  <c r="AC1306" i="9"/>
  <c r="AC1307" i="9"/>
  <c r="AC1308" i="9"/>
  <c r="AC1309" i="9"/>
  <c r="AC1310" i="9"/>
  <c r="AC1311" i="9"/>
  <c r="AC1312" i="9"/>
  <c r="AC1313" i="9"/>
  <c r="AC1314" i="9"/>
  <c r="AC1315" i="9"/>
  <c r="AC1316" i="9"/>
  <c r="AC1317" i="9"/>
  <c r="AC1318" i="9"/>
  <c r="AC1319" i="9"/>
  <c r="AC1320" i="9"/>
  <c r="AC1321" i="9"/>
  <c r="AC1322" i="9"/>
  <c r="AC1323" i="9"/>
  <c r="AC1324" i="9"/>
  <c r="AC1325" i="9"/>
  <c r="AC1326" i="9"/>
  <c r="AC1327" i="9"/>
  <c r="AC1328" i="9"/>
  <c r="AC1329" i="9"/>
  <c r="AC1330" i="9"/>
  <c r="AC1331" i="9"/>
  <c r="AC1332" i="9"/>
  <c r="AC1333" i="9"/>
  <c r="AC1334" i="9"/>
  <c r="AC1335" i="9"/>
  <c r="AC1336" i="9"/>
  <c r="AC1337" i="9"/>
  <c r="AC1338" i="9"/>
  <c r="AC1339" i="9"/>
  <c r="AC1340" i="9"/>
  <c r="AC1341" i="9"/>
  <c r="AC1342" i="9"/>
  <c r="AC1343" i="9"/>
  <c r="AC1344" i="9"/>
  <c r="AC1345" i="9"/>
  <c r="AC1346" i="9"/>
  <c r="AC1347" i="9"/>
  <c r="AC1348" i="9"/>
  <c r="AC1349" i="9"/>
  <c r="AC1350" i="9"/>
  <c r="AC1351" i="9"/>
  <c r="AC1352" i="9"/>
  <c r="AC1353" i="9"/>
  <c r="AC1354" i="9"/>
  <c r="AC1355" i="9"/>
  <c r="AC1356" i="9"/>
  <c r="AC1357" i="9"/>
  <c r="AC1358" i="9"/>
  <c r="AC1359" i="9"/>
  <c r="AC1360" i="9"/>
  <c r="AC1361" i="9"/>
  <c r="AC1362" i="9"/>
  <c r="AC1363" i="9"/>
  <c r="AC1364" i="9"/>
  <c r="AC1365" i="9"/>
  <c r="AC1366" i="9"/>
  <c r="AC1367" i="9"/>
  <c r="AC1368" i="9"/>
  <c r="AC1369" i="9"/>
  <c r="AC1370" i="9"/>
  <c r="AC1371" i="9"/>
  <c r="AC1372" i="9"/>
  <c r="AC1373" i="9"/>
  <c r="AC1374" i="9"/>
  <c r="AC1375" i="9"/>
  <c r="AC1376" i="9"/>
  <c r="AC1377" i="9"/>
  <c r="AC1378" i="9"/>
  <c r="AC1379" i="9"/>
  <c r="AC1380" i="9"/>
  <c r="AC1381" i="9"/>
  <c r="AC1382" i="9"/>
  <c r="AC1383" i="9"/>
  <c r="AC1384" i="9"/>
  <c r="AC1385" i="9"/>
  <c r="AC1386" i="9"/>
  <c r="AC1387" i="9"/>
  <c r="AC1388" i="9"/>
  <c r="AC1389" i="9"/>
  <c r="AC1390" i="9"/>
  <c r="AC1391" i="9"/>
  <c r="AC1392" i="9"/>
  <c r="AC1393" i="9"/>
  <c r="AC1394" i="9"/>
  <c r="AC1395" i="9"/>
  <c r="AC1396" i="9"/>
  <c r="AC1397" i="9"/>
  <c r="AC1398" i="9"/>
  <c r="AC1399" i="9"/>
  <c r="AC1400" i="9"/>
  <c r="AC1401" i="9"/>
  <c r="AC1402" i="9"/>
  <c r="AC1403" i="9"/>
  <c r="AC1404" i="9"/>
  <c r="AC1405" i="9"/>
  <c r="AC1406" i="9"/>
  <c r="AC1407" i="9"/>
  <c r="AC1408" i="9"/>
  <c r="AC1409" i="9"/>
  <c r="AC1410" i="9"/>
  <c r="AC1411" i="9"/>
  <c r="AC1412" i="9"/>
  <c r="AC1413" i="9"/>
  <c r="AC1414" i="9"/>
  <c r="AC1415" i="9"/>
  <c r="AC1416" i="9"/>
  <c r="AC1417" i="9"/>
  <c r="AC1418" i="9"/>
  <c r="AC1419" i="9"/>
  <c r="AC1420" i="9"/>
  <c r="AC1421" i="9"/>
  <c r="AC1422" i="9"/>
  <c r="AC1423" i="9"/>
  <c r="AC1424" i="9"/>
  <c r="AC1425" i="9"/>
  <c r="AC1426" i="9"/>
  <c r="AC1427" i="9"/>
  <c r="AC1428" i="9"/>
  <c r="AC1429" i="9"/>
  <c r="AC1430" i="9"/>
  <c r="AC1431" i="9"/>
  <c r="AC1432" i="9"/>
  <c r="AC1433" i="9"/>
  <c r="AC1434" i="9"/>
  <c r="AC1435" i="9"/>
  <c r="AC1436" i="9"/>
  <c r="AC1437" i="9"/>
  <c r="AC1438" i="9"/>
  <c r="AC1439" i="9"/>
  <c r="AC1440" i="9"/>
  <c r="AC1441" i="9"/>
  <c r="AC1442" i="9"/>
  <c r="AC1443" i="9"/>
  <c r="AC1444" i="9"/>
  <c r="AC1445" i="9"/>
  <c r="AC1446" i="9"/>
  <c r="AC1447" i="9"/>
  <c r="AC1448" i="9"/>
  <c r="AC1449" i="9"/>
  <c r="AC1450" i="9"/>
  <c r="AC1451" i="9"/>
  <c r="AC1452" i="9"/>
  <c r="AC1453" i="9"/>
  <c r="AC1454" i="9"/>
  <c r="AC1455" i="9"/>
  <c r="AC1456" i="9"/>
  <c r="AC1457" i="9"/>
  <c r="AC1458" i="9"/>
  <c r="AC1459" i="9"/>
  <c r="AC1460" i="9"/>
  <c r="AC1461" i="9"/>
  <c r="AC1462" i="9"/>
  <c r="AC1463" i="9"/>
  <c r="AC1464" i="9"/>
  <c r="AC1465" i="9"/>
  <c r="AC1466" i="9"/>
  <c r="AC1467" i="9"/>
  <c r="AC1468" i="9"/>
  <c r="AC1469" i="9"/>
  <c r="AC1470" i="9"/>
  <c r="AC1471" i="9"/>
  <c r="AC1472" i="9"/>
  <c r="AC1473" i="9"/>
  <c r="AC1474" i="9"/>
  <c r="AC1475" i="9"/>
  <c r="AC1476" i="9"/>
  <c r="AC1477" i="9"/>
  <c r="AC1478" i="9"/>
  <c r="AC1479" i="9"/>
  <c r="AC1480" i="9"/>
  <c r="AC1481" i="9"/>
  <c r="AC1482" i="9"/>
  <c r="AC1483" i="9"/>
  <c r="AC1484" i="9"/>
  <c r="AC1485" i="9"/>
  <c r="AC1486" i="9"/>
  <c r="AC1487" i="9"/>
  <c r="AC1488" i="9"/>
  <c r="AC1489" i="9"/>
  <c r="AC1490" i="9"/>
  <c r="AC1491" i="9"/>
  <c r="AC1492" i="9"/>
  <c r="AC1493" i="9"/>
  <c r="AC1494" i="9"/>
  <c r="AC1495" i="9"/>
  <c r="AC1496" i="9"/>
  <c r="AC1497" i="9"/>
  <c r="AC1498" i="9"/>
  <c r="AC1499" i="9"/>
  <c r="AC1500" i="9"/>
  <c r="AC1501" i="9"/>
  <c r="AC1502" i="9"/>
  <c r="AC1503" i="9"/>
  <c r="AC1504" i="9"/>
  <c r="AC1505" i="9"/>
  <c r="AC1506" i="9"/>
  <c r="AC1507" i="9"/>
  <c r="AC1508" i="9"/>
  <c r="AC1509" i="9"/>
  <c r="AC1510" i="9"/>
  <c r="AC1511" i="9"/>
  <c r="AC1512" i="9"/>
  <c r="AC1513" i="9"/>
  <c r="AC1514" i="9"/>
  <c r="AC1515" i="9"/>
  <c r="AC1516" i="9"/>
  <c r="AC1517" i="9"/>
  <c r="AC1518" i="9"/>
  <c r="AC1519" i="9"/>
  <c r="AC1520" i="9"/>
  <c r="AC1521" i="9"/>
  <c r="AC1522" i="9"/>
  <c r="AC1523" i="9"/>
  <c r="AC1524" i="9"/>
  <c r="AC1525" i="9"/>
  <c r="AC1526" i="9"/>
  <c r="AC1527" i="9"/>
  <c r="AC1528" i="9"/>
  <c r="AC1529" i="9"/>
  <c r="AC1530" i="9"/>
  <c r="AC1531" i="9"/>
  <c r="AC1532" i="9"/>
  <c r="AC1533" i="9"/>
  <c r="AC1534" i="9"/>
  <c r="AC1535" i="9"/>
  <c r="AC1536" i="9"/>
  <c r="AC1537" i="9"/>
  <c r="AC1538" i="9"/>
  <c r="AC1539" i="9"/>
  <c r="AC1540" i="9"/>
  <c r="AC1541" i="9"/>
  <c r="AC1542" i="9"/>
  <c r="AC1543" i="9"/>
  <c r="AC1544" i="9"/>
  <c r="AC1545" i="9"/>
  <c r="AC1546" i="9"/>
  <c r="AC1547" i="9"/>
  <c r="AC1548" i="9"/>
  <c r="AC1549" i="9"/>
  <c r="AC1550" i="9"/>
  <c r="AC1551" i="9"/>
  <c r="AC1552" i="9"/>
  <c r="AC1553" i="9"/>
  <c r="AC1554" i="9"/>
  <c r="AC1555" i="9"/>
  <c r="AC1556" i="9"/>
  <c r="AC1557" i="9"/>
  <c r="AC1558" i="9"/>
  <c r="AC1559" i="9"/>
  <c r="AC1560" i="9"/>
  <c r="AC1561" i="9"/>
  <c r="AC1562" i="9"/>
  <c r="AC1563" i="9"/>
  <c r="AC1564" i="9"/>
  <c r="AC1565" i="9"/>
  <c r="AC1566" i="9"/>
  <c r="AC1567" i="9"/>
  <c r="AC1568" i="9"/>
  <c r="AC1569" i="9"/>
  <c r="AC1570" i="9"/>
  <c r="AC1571" i="9"/>
  <c r="AC1572" i="9"/>
  <c r="AC1573" i="9"/>
  <c r="AC1574" i="9"/>
  <c r="AC1575" i="9"/>
  <c r="AC1576" i="9"/>
  <c r="AC1577" i="9"/>
  <c r="AC1578" i="9"/>
  <c r="AC1579" i="9"/>
  <c r="AC1580" i="9"/>
  <c r="AC1581" i="9"/>
  <c r="AC1582" i="9"/>
  <c r="AC1583" i="9"/>
  <c r="AC1584" i="9"/>
  <c r="AC1585" i="9"/>
  <c r="AC1586" i="9"/>
  <c r="AC1587" i="9"/>
  <c r="AC1588" i="9"/>
  <c r="AC1589" i="9"/>
  <c r="AC1590" i="9"/>
  <c r="AC1591" i="9"/>
  <c r="AC1592" i="9"/>
  <c r="AC1593" i="9"/>
  <c r="AC1594" i="9"/>
  <c r="AC1595" i="9"/>
  <c r="AC1596" i="9"/>
  <c r="AC1597" i="9"/>
  <c r="AC1598" i="9"/>
  <c r="AC1599" i="9"/>
  <c r="AC1600" i="9"/>
  <c r="AC1601" i="9"/>
  <c r="AC1602" i="9"/>
  <c r="AC1603" i="9"/>
  <c r="AC1604" i="9"/>
  <c r="AC1605" i="9"/>
  <c r="AC1606" i="9"/>
  <c r="AC1607" i="9"/>
  <c r="AC1608" i="9"/>
  <c r="AC1609" i="9"/>
  <c r="AC1610" i="9"/>
  <c r="AC1611" i="9"/>
  <c r="AC1612" i="9"/>
  <c r="AC1613" i="9"/>
  <c r="AC1614" i="9"/>
  <c r="AC1615" i="9"/>
  <c r="AC1616" i="9"/>
  <c r="AC1617" i="9"/>
  <c r="AC1618" i="9"/>
  <c r="AC1619" i="9"/>
  <c r="AC1620" i="9"/>
  <c r="AC1621" i="9"/>
  <c r="AC1622" i="9"/>
  <c r="AC1623" i="9"/>
  <c r="AC1624" i="9"/>
  <c r="AC1625" i="9"/>
  <c r="AC1626" i="9"/>
  <c r="AC1627" i="9"/>
  <c r="AC1628" i="9"/>
  <c r="AC1629" i="9"/>
  <c r="AC1630" i="9"/>
  <c r="AC1631" i="9"/>
  <c r="AC1632" i="9"/>
  <c r="AC1633" i="9"/>
  <c r="AC1634" i="9"/>
  <c r="AC1635" i="9"/>
  <c r="AC1636" i="9"/>
  <c r="AC1637" i="9"/>
  <c r="AC1638" i="9"/>
  <c r="AC1639" i="9"/>
  <c r="AC1640" i="9"/>
  <c r="AC1641" i="9"/>
  <c r="AC1642" i="9"/>
  <c r="AC1643" i="9"/>
  <c r="AC1644" i="9"/>
  <c r="AC1645" i="9"/>
  <c r="AC1646" i="9"/>
  <c r="AC1647" i="9"/>
  <c r="AC1648" i="9"/>
  <c r="AC1649" i="9"/>
  <c r="AC1650" i="9"/>
  <c r="AC1651" i="9"/>
  <c r="AC1652" i="9"/>
  <c r="AC1653" i="9"/>
  <c r="AC1654" i="9"/>
  <c r="AC1655" i="9"/>
  <c r="AC1656" i="9"/>
  <c r="AC1657" i="9"/>
  <c r="AC1658" i="9"/>
  <c r="AC1659" i="9"/>
  <c r="AC1660" i="9"/>
  <c r="AC1661" i="9"/>
  <c r="AC1662" i="9"/>
  <c r="AC1663" i="9"/>
  <c r="AC1664" i="9"/>
  <c r="AC1665" i="9"/>
  <c r="AC1666" i="9"/>
  <c r="AC1667" i="9"/>
  <c r="AC1668" i="9"/>
  <c r="AC1669" i="9"/>
  <c r="AC1670" i="9"/>
  <c r="AC1671" i="9"/>
  <c r="AC1672" i="9"/>
  <c r="AC1673" i="9"/>
  <c r="AC1674" i="9"/>
  <c r="AC1675" i="9"/>
  <c r="AC1676" i="9"/>
  <c r="AC1677" i="9"/>
  <c r="AC1678" i="9"/>
  <c r="AC1679" i="9"/>
  <c r="AC1680" i="9"/>
  <c r="AC1681" i="9"/>
  <c r="AC1682" i="9"/>
  <c r="AC1683" i="9"/>
  <c r="AC1684" i="9"/>
  <c r="AC1685" i="9"/>
  <c r="AC1686" i="9"/>
  <c r="AC1687" i="9"/>
  <c r="AC1688" i="9"/>
  <c r="AC1689" i="9"/>
  <c r="AC1690" i="9"/>
  <c r="AC1691" i="9"/>
  <c r="AC1692" i="9"/>
  <c r="AC1693" i="9"/>
  <c r="AC1694" i="9"/>
  <c r="AC1695" i="9"/>
  <c r="AC1696" i="9"/>
  <c r="AC1697" i="9"/>
  <c r="AC1698" i="9"/>
  <c r="AC1699" i="9"/>
  <c r="AC1700" i="9"/>
  <c r="AC1701" i="9"/>
  <c r="AC1702" i="9"/>
  <c r="AC1703" i="9"/>
  <c r="AC1704" i="9"/>
  <c r="AC1705" i="9"/>
  <c r="AC1706" i="9"/>
  <c r="AC1707" i="9"/>
  <c r="AC1708" i="9"/>
  <c r="AC1709" i="9"/>
  <c r="AC1710" i="9"/>
  <c r="AC1711" i="9"/>
  <c r="AC1712" i="9"/>
  <c r="AC1713" i="9"/>
  <c r="AC1714" i="9"/>
  <c r="AC1715" i="9"/>
  <c r="AC1716" i="9"/>
  <c r="AC1717" i="9"/>
  <c r="AC1718" i="9"/>
  <c r="AC1719" i="9"/>
  <c r="AC1720" i="9"/>
  <c r="AC1721" i="9"/>
  <c r="AC1722" i="9"/>
  <c r="AC1723" i="9"/>
  <c r="AC1724" i="9"/>
  <c r="AC1725" i="9"/>
  <c r="AC1726" i="9"/>
  <c r="AC1727" i="9"/>
  <c r="AC1728" i="9"/>
  <c r="AC1729" i="9"/>
  <c r="AC1730" i="9"/>
  <c r="AC1731" i="9"/>
  <c r="AC1732" i="9"/>
  <c r="AC1733" i="9"/>
  <c r="AC1734" i="9"/>
  <c r="AC1735" i="9"/>
  <c r="AC1736" i="9"/>
  <c r="AC1737" i="9"/>
  <c r="AC1738" i="9"/>
  <c r="AC1739" i="9"/>
  <c r="AC1740" i="9"/>
  <c r="AC1741" i="9"/>
  <c r="AC1742" i="9"/>
  <c r="AC1743" i="9"/>
  <c r="AC1744" i="9"/>
  <c r="AC1745" i="9"/>
  <c r="AC1746" i="9"/>
  <c r="AC1747" i="9"/>
  <c r="AC1748" i="9"/>
  <c r="AC1749" i="9"/>
  <c r="AC1750" i="9"/>
  <c r="AC1751" i="9"/>
  <c r="AC1752" i="9"/>
  <c r="AC1753" i="9"/>
  <c r="AC1754" i="9"/>
  <c r="AC1755" i="9"/>
  <c r="AC1756" i="9"/>
  <c r="AC1757" i="9"/>
  <c r="AC1758" i="9"/>
  <c r="AC1759" i="9"/>
  <c r="AC1760" i="9"/>
  <c r="AC1761" i="9"/>
  <c r="AC1762" i="9"/>
  <c r="AC1763" i="9"/>
  <c r="AC1764" i="9"/>
  <c r="AC1765" i="9"/>
  <c r="AC1766" i="9"/>
  <c r="AC1767" i="9"/>
  <c r="AC1768" i="9"/>
  <c r="AC1769" i="9"/>
  <c r="AC1770" i="9"/>
  <c r="AC1771" i="9"/>
  <c r="AC1772" i="9"/>
  <c r="AC1773" i="9"/>
  <c r="AC1774" i="9"/>
  <c r="AC1775" i="9"/>
  <c r="AC1776" i="9"/>
  <c r="AC1777" i="9"/>
  <c r="AC1778" i="9"/>
  <c r="AC1779" i="9"/>
  <c r="AC1780" i="9"/>
  <c r="AC1781" i="9"/>
  <c r="AC1782" i="9"/>
  <c r="AC1783" i="9"/>
  <c r="AC1784" i="9"/>
  <c r="AC1785" i="9"/>
  <c r="AC1786" i="9"/>
  <c r="AC1787" i="9"/>
  <c r="AC1788" i="9"/>
  <c r="AC1789" i="9"/>
  <c r="AC1790" i="9"/>
  <c r="AC1791" i="9"/>
  <c r="AC1792" i="9"/>
  <c r="AC1793" i="9"/>
  <c r="AC1794" i="9"/>
  <c r="AC1795" i="9"/>
  <c r="AC1796" i="9"/>
  <c r="AC1797" i="9"/>
  <c r="AC1798" i="9"/>
  <c r="AC1799" i="9"/>
  <c r="AC1800" i="9"/>
  <c r="AC1801" i="9"/>
  <c r="AC1802" i="9"/>
  <c r="AC1803" i="9"/>
  <c r="AC1804" i="9"/>
  <c r="AC1805" i="9"/>
  <c r="AC1806" i="9"/>
  <c r="AC1807" i="9"/>
  <c r="AC1808" i="9"/>
  <c r="AC1809" i="9"/>
  <c r="AC1810" i="9"/>
  <c r="AC1811" i="9"/>
  <c r="AC1812" i="9"/>
  <c r="AC1813" i="9"/>
  <c r="AC1814" i="9"/>
  <c r="AC1815" i="9"/>
  <c r="AC1816" i="9"/>
  <c r="AC1817" i="9"/>
  <c r="AC1818" i="9"/>
  <c r="AC1819" i="9"/>
  <c r="AC1820" i="9"/>
  <c r="AC1821" i="9"/>
  <c r="AC1822" i="9"/>
  <c r="AC1823" i="9"/>
  <c r="AC1824" i="9"/>
  <c r="AC1825" i="9"/>
  <c r="AC1826" i="9"/>
  <c r="AC1827" i="9"/>
  <c r="AC1828" i="9"/>
  <c r="AC1829" i="9"/>
  <c r="AC1830" i="9"/>
  <c r="AC1831" i="9"/>
  <c r="AC1832" i="9"/>
  <c r="AC1833" i="9"/>
  <c r="AC1834" i="9"/>
  <c r="AC1835" i="9"/>
  <c r="AC1836" i="9"/>
  <c r="AC1837" i="9"/>
  <c r="AC1838" i="9"/>
  <c r="AC1839" i="9"/>
  <c r="AC1840" i="9"/>
  <c r="AC1841" i="9"/>
  <c r="AC1842" i="9"/>
  <c r="AC1843" i="9"/>
  <c r="AC1844" i="9"/>
  <c r="AC1845" i="9"/>
  <c r="AC1846" i="9"/>
  <c r="AC1847" i="9"/>
  <c r="AC1848" i="9"/>
  <c r="AC1849" i="9"/>
  <c r="AC1850" i="9"/>
  <c r="AC1851" i="9"/>
  <c r="AC1852" i="9"/>
  <c r="AC1853" i="9"/>
  <c r="AC1854" i="9"/>
  <c r="AC1855" i="9"/>
  <c r="AC1856" i="9"/>
  <c r="AC1857" i="9"/>
  <c r="AC1858" i="9"/>
  <c r="AC1859" i="9"/>
  <c r="AC1860" i="9"/>
  <c r="AC1861" i="9"/>
  <c r="AC1862" i="9"/>
  <c r="AC1863" i="9"/>
  <c r="AC1864" i="9"/>
  <c r="AC1865" i="9"/>
  <c r="AC1866" i="9"/>
  <c r="AC1867" i="9"/>
  <c r="AC1868" i="9"/>
  <c r="AC1869" i="9"/>
  <c r="AC1870" i="9"/>
  <c r="AC1871" i="9"/>
  <c r="AC1872" i="9"/>
  <c r="AC1873" i="9"/>
  <c r="AC1874" i="9"/>
  <c r="AC1875" i="9"/>
  <c r="AC1876" i="9"/>
  <c r="AC1877" i="9"/>
  <c r="AC1878" i="9"/>
  <c r="AC1879" i="9"/>
  <c r="AC1880" i="9"/>
  <c r="AC1881" i="9"/>
  <c r="AC1882" i="9"/>
  <c r="AC1883" i="9"/>
  <c r="AC1884" i="9"/>
  <c r="AC1885" i="9"/>
  <c r="AC1886" i="9"/>
  <c r="AC1887" i="9"/>
  <c r="AC1888" i="9"/>
  <c r="AC1889" i="9"/>
  <c r="AC1890" i="9"/>
  <c r="AC1891" i="9"/>
  <c r="AC1892" i="9"/>
  <c r="AC1893" i="9"/>
  <c r="AC1894" i="9"/>
  <c r="AC1895" i="9"/>
  <c r="AC1896" i="9"/>
  <c r="AC1897" i="9"/>
  <c r="AC1898" i="9"/>
  <c r="AC1899" i="9"/>
  <c r="AC1900" i="9"/>
  <c r="AC1901" i="9"/>
  <c r="AC1902" i="9"/>
  <c r="AC1903" i="9"/>
  <c r="AC1904" i="9"/>
  <c r="AC1905" i="9"/>
  <c r="AC1906" i="9"/>
  <c r="AC1907" i="9"/>
  <c r="AC1908" i="9"/>
  <c r="AC1909" i="9"/>
  <c r="AC1910" i="9"/>
  <c r="AC1911" i="9"/>
  <c r="AC1912" i="9"/>
  <c r="AC1913" i="9"/>
  <c r="AC1914" i="9"/>
  <c r="AC1915" i="9"/>
  <c r="AC1916" i="9"/>
  <c r="AC1917" i="9"/>
  <c r="AC1918" i="9"/>
  <c r="AC1919" i="9"/>
  <c r="AC1920" i="9"/>
  <c r="AC1921" i="9"/>
  <c r="AC1922" i="9"/>
  <c r="AC1923" i="9"/>
  <c r="AC1924" i="9"/>
  <c r="AC1925" i="9"/>
  <c r="AC1926" i="9"/>
  <c r="AC1927" i="9"/>
  <c r="AC1928" i="9"/>
  <c r="AC1929" i="9"/>
  <c r="AC1930" i="9"/>
  <c r="AC1931" i="9"/>
  <c r="AC1932" i="9"/>
  <c r="AC1933" i="9"/>
  <c r="AC1934" i="9"/>
  <c r="AC1935" i="9"/>
  <c r="AC1936" i="9"/>
  <c r="AC1937" i="9"/>
  <c r="AC1938" i="9"/>
  <c r="AC1939" i="9"/>
  <c r="AC1940" i="9"/>
  <c r="AC1941" i="9"/>
  <c r="AC1942" i="9"/>
  <c r="AC1943" i="9"/>
  <c r="AC1944" i="9"/>
  <c r="AC1945" i="9"/>
  <c r="AC1946" i="9"/>
  <c r="AC1947" i="9"/>
  <c r="AC1948" i="9"/>
  <c r="AC1949" i="9"/>
  <c r="AC1950" i="9"/>
  <c r="AC1951" i="9"/>
  <c r="AC1952" i="9"/>
  <c r="AC1953" i="9"/>
  <c r="AC1954" i="9"/>
  <c r="AC1955" i="9"/>
  <c r="AC1956" i="9"/>
  <c r="AC1957" i="9"/>
  <c r="AC1958" i="9"/>
  <c r="AC1959" i="9"/>
  <c r="AC1960" i="9"/>
  <c r="AC1961" i="9"/>
  <c r="AC1962" i="9"/>
  <c r="AC1963" i="9"/>
  <c r="AC1964" i="9"/>
  <c r="AC1965" i="9"/>
  <c r="AC1966" i="9"/>
  <c r="AC1967" i="9"/>
  <c r="AC1968" i="9"/>
  <c r="AC1969" i="9"/>
  <c r="AC1970" i="9"/>
  <c r="AC1971" i="9"/>
  <c r="AC1972" i="9"/>
  <c r="AC1973" i="9"/>
  <c r="AC1974" i="9"/>
  <c r="AC1975" i="9"/>
  <c r="AC1976" i="9"/>
  <c r="AC1977" i="9"/>
  <c r="AC1978" i="9"/>
  <c r="AC1979" i="9"/>
  <c r="AC1980" i="9"/>
  <c r="AC1981" i="9"/>
  <c r="AC1982" i="9"/>
  <c r="AC1983" i="9"/>
  <c r="AC1984" i="9"/>
  <c r="AC1985" i="9"/>
  <c r="AC1986" i="9"/>
  <c r="AC1987" i="9"/>
  <c r="AC1988" i="9"/>
  <c r="AC1989" i="9"/>
  <c r="AC1990" i="9"/>
  <c r="AC1991" i="9"/>
  <c r="AC1992" i="9"/>
  <c r="AC1993" i="9"/>
  <c r="AC1994" i="9"/>
  <c r="AC1995" i="9"/>
  <c r="AC1996" i="9"/>
  <c r="AC1997" i="9"/>
  <c r="AC1998" i="9"/>
  <c r="AC1999" i="9"/>
  <c r="AC2000" i="9"/>
  <c r="AC2001" i="9"/>
  <c r="AC2002" i="9"/>
  <c r="AC2003" i="9"/>
  <c r="AC2004" i="9"/>
  <c r="AC2005" i="9"/>
  <c r="AC2006" i="9"/>
  <c r="AC2007" i="9"/>
  <c r="AC2008" i="9"/>
  <c r="AC2009" i="9"/>
  <c r="AC2010" i="9"/>
  <c r="AC2011" i="9"/>
  <c r="AC2012" i="9"/>
  <c r="AC2013" i="9"/>
  <c r="AC2014" i="9"/>
  <c r="AC2015" i="9"/>
  <c r="AC2016" i="9"/>
  <c r="AC2017" i="9"/>
  <c r="AC2018" i="9"/>
  <c r="AC2019" i="9"/>
  <c r="AC2020" i="9"/>
  <c r="AC2021" i="9"/>
  <c r="AC2022" i="9"/>
  <c r="AC2023" i="9"/>
  <c r="AC2024" i="9"/>
  <c r="AC2025" i="9"/>
  <c r="AC2026" i="9"/>
  <c r="AC2027" i="9"/>
  <c r="AC2028" i="9"/>
  <c r="AC2029" i="9"/>
  <c r="AC2030" i="9"/>
  <c r="AC2031" i="9"/>
  <c r="AC2032" i="9"/>
  <c r="AC2033" i="9"/>
  <c r="AC2034" i="9"/>
  <c r="AC2035" i="9"/>
  <c r="AC2036" i="9"/>
  <c r="AC2037" i="9"/>
  <c r="AC2038" i="9"/>
  <c r="AC2039" i="9"/>
  <c r="AC2040" i="9"/>
  <c r="AC2041" i="9"/>
  <c r="AC2042" i="9"/>
  <c r="AC2043" i="9"/>
  <c r="AC2044" i="9"/>
  <c r="AC2045" i="9"/>
  <c r="AC2046" i="9"/>
  <c r="AC2047" i="9"/>
  <c r="AC2048" i="9"/>
  <c r="AC2049" i="9"/>
  <c r="AC2050" i="9"/>
  <c r="AC2051" i="9"/>
  <c r="AC2052" i="9"/>
  <c r="AC2053" i="9"/>
  <c r="AC2054" i="9"/>
  <c r="AC2055" i="9"/>
  <c r="AC2056" i="9"/>
  <c r="AC2057" i="9"/>
  <c r="AC2058" i="9"/>
  <c r="AC2059" i="9"/>
  <c r="AC2060" i="9"/>
  <c r="AC2061" i="9"/>
  <c r="AC2062" i="9"/>
  <c r="AC2063" i="9"/>
  <c r="AC2064" i="9"/>
  <c r="AC2065" i="9"/>
  <c r="AC2066" i="9"/>
  <c r="AC2067" i="9"/>
  <c r="AC2068" i="9"/>
  <c r="AC2069" i="9"/>
  <c r="AC2070" i="9"/>
  <c r="AC2071" i="9"/>
  <c r="AC2072" i="9"/>
  <c r="AC2073" i="9"/>
  <c r="AC2074" i="9"/>
  <c r="AC2075" i="9"/>
  <c r="AC2076" i="9"/>
  <c r="AC2077" i="9"/>
  <c r="AC2078" i="9"/>
  <c r="AC2079" i="9"/>
  <c r="AC2080" i="9"/>
  <c r="AC2081" i="9"/>
  <c r="AC2082" i="9"/>
  <c r="AC2083" i="9"/>
  <c r="AC2084" i="9"/>
  <c r="AC2085" i="9"/>
  <c r="AC2086" i="9"/>
  <c r="AC2087" i="9"/>
  <c r="AC2088" i="9"/>
  <c r="AC2089" i="9"/>
  <c r="AC2090" i="9"/>
  <c r="AC2091" i="9"/>
  <c r="AC2092" i="9"/>
  <c r="AC2093" i="9"/>
  <c r="AC2094" i="9"/>
  <c r="AC2095" i="9"/>
  <c r="AC2096" i="9"/>
  <c r="AC2097" i="9"/>
  <c r="AC2098" i="9"/>
  <c r="AC2099" i="9"/>
  <c r="AC2100" i="9"/>
  <c r="AC2101" i="9"/>
  <c r="AC2102" i="9"/>
  <c r="AC2103" i="9"/>
  <c r="AC2104" i="9"/>
  <c r="AC2105" i="9"/>
  <c r="AC2106" i="9"/>
  <c r="AC2107" i="9"/>
  <c r="AC2108" i="9"/>
  <c r="AC2109" i="9"/>
  <c r="AC2110" i="9"/>
  <c r="AC2111" i="9"/>
  <c r="AC2112" i="9"/>
  <c r="AC2113" i="9"/>
  <c r="AC2114" i="9"/>
  <c r="AC2115" i="9"/>
  <c r="AC2116" i="9"/>
  <c r="AC2117" i="9"/>
  <c r="AC2118" i="9"/>
  <c r="AC2119" i="9"/>
  <c r="AC2120" i="9"/>
  <c r="AC2121" i="9"/>
  <c r="AC2122" i="9"/>
  <c r="AC2123" i="9"/>
  <c r="AC2124" i="9"/>
  <c r="AC2125" i="9"/>
  <c r="AC2126" i="9"/>
  <c r="AC2127" i="9"/>
  <c r="AC2128" i="9"/>
  <c r="AC2129" i="9"/>
  <c r="AC2130" i="9"/>
  <c r="AC2131" i="9"/>
  <c r="AC2132" i="9"/>
  <c r="AC2133" i="9"/>
  <c r="AC2134" i="9"/>
  <c r="AC2135" i="9"/>
  <c r="AC2136" i="9"/>
  <c r="AC2137" i="9"/>
  <c r="AC2138" i="9"/>
  <c r="AC2139" i="9"/>
  <c r="AC2140" i="9"/>
  <c r="AC2141" i="9"/>
  <c r="AC2142" i="9"/>
  <c r="AC2143" i="9"/>
  <c r="AC2144" i="9"/>
  <c r="AC2145" i="9"/>
  <c r="AC2146" i="9"/>
  <c r="AC2147" i="9"/>
  <c r="AC2148" i="9"/>
  <c r="AC2149" i="9"/>
  <c r="AC2150" i="9"/>
  <c r="AC2151" i="9"/>
  <c r="AC2152" i="9"/>
  <c r="AC2153" i="9"/>
  <c r="AC2154" i="9"/>
  <c r="AC2155" i="9"/>
  <c r="AC2156" i="9"/>
  <c r="AC2157" i="9"/>
  <c r="AC2158" i="9"/>
  <c r="AC2159" i="9"/>
  <c r="AC2160" i="9"/>
  <c r="AC2161" i="9"/>
  <c r="AC2162" i="9"/>
  <c r="AC2163" i="9"/>
  <c r="AC2164" i="9"/>
  <c r="AC2165" i="9"/>
  <c r="AC2166" i="9"/>
  <c r="AC2167" i="9"/>
  <c r="AC2168" i="9"/>
  <c r="AC2169" i="9"/>
  <c r="AC2170" i="9"/>
  <c r="AC2171" i="9"/>
  <c r="AC2172" i="9"/>
  <c r="AC2173" i="9"/>
  <c r="AC2174" i="9"/>
  <c r="AC2175" i="9"/>
  <c r="AC2176" i="9"/>
  <c r="AC2177" i="9"/>
  <c r="AC2178" i="9"/>
  <c r="AC2179" i="9"/>
  <c r="AC2180" i="9"/>
  <c r="AC2181" i="9"/>
  <c r="AC2182" i="9"/>
  <c r="AC2183" i="9"/>
  <c r="AC2184" i="9"/>
  <c r="AC2185" i="9"/>
  <c r="AC2186" i="9"/>
  <c r="AC2187" i="9"/>
  <c r="AC2188" i="9"/>
  <c r="AC2189" i="9"/>
  <c r="AC2190" i="9"/>
  <c r="AC2191" i="9"/>
  <c r="AC2192" i="9"/>
  <c r="AC2193" i="9"/>
  <c r="AC2194" i="9"/>
  <c r="AC2195" i="9"/>
  <c r="AC2196" i="9"/>
  <c r="AC2197" i="9"/>
  <c r="AC2198" i="9"/>
  <c r="AC2199" i="9"/>
  <c r="AC2200" i="9"/>
  <c r="AC2201" i="9"/>
  <c r="AC2202" i="9"/>
  <c r="AC2203" i="9"/>
  <c r="AC2204" i="9"/>
  <c r="AC2205" i="9"/>
  <c r="AC2206" i="9"/>
  <c r="AC2207" i="9"/>
  <c r="AC2208" i="9"/>
  <c r="AC2209" i="9"/>
  <c r="AC2210" i="9"/>
  <c r="AC2211" i="9"/>
  <c r="AC2212" i="9"/>
  <c r="AC2213" i="9"/>
  <c r="AC2214" i="9"/>
  <c r="AC2215" i="9"/>
  <c r="AC2216" i="9"/>
  <c r="AC2217" i="9"/>
  <c r="AC2218" i="9"/>
  <c r="AC2219" i="9"/>
  <c r="AC2220" i="9"/>
  <c r="AC2221" i="9"/>
  <c r="AC2222" i="9"/>
  <c r="AC2223" i="9"/>
  <c r="AC2224" i="9"/>
  <c r="AC2225" i="9"/>
  <c r="AC2226" i="9"/>
  <c r="AC2227" i="9"/>
  <c r="AC2228" i="9"/>
  <c r="AC2229" i="9"/>
  <c r="AC2230" i="9"/>
  <c r="AC2231" i="9"/>
  <c r="AC2232" i="9"/>
  <c r="AC2233" i="9"/>
  <c r="AC2234" i="9"/>
  <c r="AC2235" i="9"/>
  <c r="AC2236" i="9"/>
  <c r="AC2237" i="9"/>
  <c r="AC2238" i="9"/>
  <c r="AC2239" i="9"/>
  <c r="AC2240" i="9"/>
  <c r="AC2241" i="9"/>
  <c r="AC2242" i="9"/>
  <c r="AC2243" i="9"/>
  <c r="AC2244" i="9"/>
  <c r="AC2245" i="9"/>
  <c r="AC2246" i="9"/>
  <c r="AC2247" i="9"/>
  <c r="AC2248" i="9"/>
  <c r="AC2249" i="9"/>
  <c r="AC2250" i="9"/>
  <c r="AC2251" i="9"/>
  <c r="AC2252" i="9"/>
  <c r="AC2253" i="9"/>
  <c r="AC2254" i="9"/>
  <c r="AC2255" i="9"/>
  <c r="AC2256" i="9"/>
  <c r="AC2257" i="9"/>
  <c r="AC2258" i="9"/>
  <c r="AC2259" i="9"/>
  <c r="AC2260" i="9"/>
  <c r="AC2261" i="9"/>
  <c r="AC2262" i="9"/>
  <c r="AC2263" i="9"/>
  <c r="AC2264" i="9"/>
  <c r="AC2265" i="9"/>
  <c r="AC2266" i="9"/>
  <c r="AC2267" i="9"/>
  <c r="AC2268" i="9"/>
  <c r="AC2269" i="9"/>
  <c r="AC2270" i="9"/>
  <c r="AC2271" i="9"/>
  <c r="AC2272" i="9"/>
  <c r="AC2273" i="9"/>
  <c r="AC2274" i="9"/>
  <c r="AC2275" i="9"/>
  <c r="AC2276" i="9"/>
  <c r="AC2277" i="9"/>
  <c r="AC2278" i="9"/>
  <c r="AC2279" i="9"/>
  <c r="AC2280" i="9"/>
  <c r="AC2281" i="9"/>
  <c r="AC2282" i="9"/>
  <c r="AC2283" i="9"/>
  <c r="AC2284" i="9"/>
  <c r="AC2285" i="9"/>
  <c r="AC2286" i="9"/>
  <c r="AC2287" i="9"/>
  <c r="AC2288" i="9"/>
  <c r="AC2289" i="9"/>
  <c r="AC2290" i="9"/>
  <c r="AC2291" i="9"/>
  <c r="AC2292" i="9"/>
  <c r="AC2293" i="9"/>
  <c r="AC2294" i="9"/>
  <c r="AC2295" i="9"/>
  <c r="AC2296" i="9"/>
  <c r="AC2297" i="9"/>
  <c r="AC2298" i="9"/>
  <c r="AC2299" i="9"/>
  <c r="AC2300" i="9"/>
  <c r="AC2301" i="9"/>
  <c r="AC2302" i="9"/>
  <c r="AC2303" i="9"/>
  <c r="AC2304" i="9"/>
  <c r="AC2305" i="9"/>
  <c r="AC2306" i="9"/>
  <c r="AC2307" i="9"/>
  <c r="AC2308" i="9"/>
  <c r="AC2309" i="9"/>
  <c r="AC2310" i="9"/>
  <c r="AC2311" i="9"/>
  <c r="AC2312" i="9"/>
  <c r="AC2313" i="9"/>
  <c r="AC2314" i="9"/>
  <c r="AC2315" i="9"/>
  <c r="AC2316" i="9"/>
  <c r="AC2317" i="9"/>
  <c r="AC2318" i="9"/>
  <c r="AC2319" i="9"/>
  <c r="AC2320" i="9"/>
  <c r="AC2321" i="9"/>
  <c r="AC2322" i="9"/>
  <c r="AC2323" i="9"/>
  <c r="AC2324" i="9"/>
  <c r="AC2325" i="9"/>
  <c r="AC2326" i="9"/>
  <c r="AC2327" i="9"/>
  <c r="AC2328" i="9"/>
  <c r="AC2329" i="9"/>
  <c r="AC2330" i="9"/>
  <c r="AC2331" i="9"/>
  <c r="AC2332" i="9"/>
  <c r="AC2333" i="9"/>
  <c r="AC2334" i="9"/>
  <c r="AC2335" i="9"/>
  <c r="AC2336" i="9"/>
  <c r="AC2337" i="9"/>
  <c r="AC2338" i="9"/>
  <c r="AC2339" i="9"/>
  <c r="AC2340" i="9"/>
  <c r="AC2341" i="9"/>
  <c r="AC2342" i="9"/>
  <c r="AC2343" i="9"/>
  <c r="AC2344" i="9"/>
  <c r="AC2345" i="9"/>
  <c r="AC2346" i="9"/>
  <c r="AC2347" i="9"/>
  <c r="AC2348" i="9"/>
  <c r="AC2349" i="9"/>
  <c r="AC2350" i="9"/>
  <c r="AC2351" i="9"/>
  <c r="AC2352" i="9"/>
  <c r="AC2353" i="9"/>
  <c r="AC2354" i="9"/>
  <c r="AC2355" i="9"/>
  <c r="AC2356" i="9"/>
  <c r="AC2357" i="9"/>
  <c r="AC2358" i="9"/>
  <c r="AC2359" i="9"/>
  <c r="AC2360" i="9"/>
  <c r="AC2361" i="9"/>
  <c r="AC2362" i="9"/>
  <c r="AC2363" i="9"/>
  <c r="AC2364" i="9"/>
  <c r="AC2365" i="9"/>
  <c r="AC2366" i="9"/>
  <c r="AC2367" i="9"/>
  <c r="AC2368" i="9"/>
  <c r="AC2369" i="9"/>
  <c r="AC2370" i="9"/>
  <c r="AC2371" i="9"/>
  <c r="AC2372" i="9"/>
  <c r="AC2373" i="9"/>
  <c r="AC2374" i="9"/>
  <c r="AC2375" i="9"/>
  <c r="AC2376" i="9"/>
  <c r="AC2377" i="9"/>
  <c r="AC2378" i="9"/>
  <c r="AC2379" i="9"/>
  <c r="AC2380" i="9"/>
  <c r="AC2381" i="9"/>
  <c r="AC2382" i="9"/>
  <c r="AC2383" i="9"/>
  <c r="AC2384" i="9"/>
  <c r="AC2385" i="9"/>
  <c r="AC2386" i="9"/>
  <c r="AC2387" i="9"/>
  <c r="AC2388" i="9"/>
  <c r="AC2389" i="9"/>
  <c r="AC2390" i="9"/>
  <c r="AC2391" i="9"/>
  <c r="AC2392" i="9"/>
  <c r="AC2393" i="9"/>
  <c r="AC2394" i="9"/>
  <c r="AC2395" i="9"/>
  <c r="AC2396" i="9"/>
  <c r="AC2397" i="9"/>
  <c r="AC2398" i="9"/>
  <c r="AC2399" i="9"/>
  <c r="AC2400" i="9"/>
  <c r="AC2401" i="9"/>
  <c r="AC2402" i="9"/>
  <c r="AC2403" i="9"/>
  <c r="AC2404" i="9"/>
  <c r="AC2405" i="9"/>
  <c r="AC2406" i="9"/>
  <c r="AC2407" i="9"/>
  <c r="AC2408" i="9"/>
  <c r="AC2409" i="9"/>
  <c r="AC2410" i="9"/>
  <c r="AC2411" i="9"/>
  <c r="AC2412" i="9"/>
  <c r="AC2413" i="9"/>
  <c r="AC2414" i="9"/>
  <c r="AC2415" i="9"/>
  <c r="AC2416" i="9"/>
  <c r="AC2417" i="9"/>
  <c r="AC2418" i="9"/>
  <c r="AC2419" i="9"/>
  <c r="AC2420" i="9"/>
  <c r="AC2421" i="9"/>
  <c r="AC2422" i="9"/>
  <c r="AC2423" i="9"/>
  <c r="AC2424" i="9"/>
  <c r="AC2425" i="9"/>
  <c r="AC2426" i="9"/>
  <c r="AC2427" i="9"/>
  <c r="AC2428" i="9"/>
  <c r="AC2429" i="9"/>
  <c r="AC2430" i="9"/>
  <c r="AC2431" i="9"/>
  <c r="AC2432" i="9"/>
  <c r="AC2433" i="9"/>
  <c r="AC2434" i="9"/>
  <c r="AC2435" i="9"/>
  <c r="AC2436" i="9"/>
  <c r="AC2437" i="9"/>
  <c r="AC2438" i="9"/>
  <c r="AC2439" i="9"/>
  <c r="AC2440" i="9"/>
  <c r="AC2441" i="9"/>
  <c r="AC2442" i="9"/>
  <c r="AC2443" i="9"/>
  <c r="AC2444" i="9"/>
  <c r="AC2445" i="9"/>
  <c r="AC2446" i="9"/>
  <c r="AC2447" i="9"/>
  <c r="AC2448" i="9"/>
  <c r="AC2449" i="9"/>
  <c r="AC2450" i="9"/>
  <c r="AC2451" i="9"/>
  <c r="AC2452" i="9"/>
  <c r="AC2453" i="9"/>
  <c r="AC2454" i="9"/>
  <c r="AC2455" i="9"/>
  <c r="AC2456" i="9"/>
  <c r="AC2457" i="9"/>
  <c r="AC2458" i="9"/>
  <c r="AC2459" i="9"/>
  <c r="AC2460" i="9"/>
  <c r="AC2461" i="9"/>
  <c r="AC2462" i="9"/>
  <c r="AC2463" i="9"/>
  <c r="AC2464" i="9"/>
  <c r="AC2465" i="9"/>
  <c r="AC2466" i="9"/>
  <c r="AC2467" i="9"/>
  <c r="AC2468" i="9"/>
  <c r="AC2469" i="9"/>
  <c r="AC2470" i="9"/>
  <c r="AC2471" i="9"/>
  <c r="AC2472" i="9"/>
  <c r="AC2473" i="9"/>
  <c r="AC2474" i="9"/>
  <c r="AC2475" i="9"/>
  <c r="AC2476" i="9"/>
  <c r="AC2477" i="9"/>
  <c r="AC2478" i="9"/>
  <c r="AC2479" i="9"/>
  <c r="AC2480" i="9"/>
  <c r="AC2481" i="9"/>
  <c r="AC2482" i="9"/>
  <c r="AC2483" i="9"/>
  <c r="AC2484" i="9"/>
  <c r="AC2485" i="9"/>
  <c r="AC2486" i="9"/>
  <c r="AC2487" i="9"/>
  <c r="AC2488" i="9"/>
  <c r="AC2489" i="9"/>
  <c r="AC2490" i="9"/>
  <c r="AC2491" i="9"/>
  <c r="AC2492" i="9"/>
  <c r="AC2493" i="9"/>
  <c r="AC2494" i="9"/>
  <c r="AC2495" i="9"/>
  <c r="AC2496" i="9"/>
  <c r="AC2497" i="9"/>
  <c r="AC2498" i="9"/>
  <c r="AC2499" i="9"/>
  <c r="AC2500" i="9"/>
  <c r="AC2501" i="9"/>
  <c r="AC2502" i="9"/>
  <c r="AC2503" i="9"/>
  <c r="AC2504" i="9"/>
  <c r="AC2505" i="9"/>
  <c r="AC2506" i="9"/>
  <c r="AC2507" i="9"/>
  <c r="AC2508" i="9"/>
  <c r="AC2509" i="9"/>
  <c r="AC2510" i="9"/>
  <c r="AC2511" i="9"/>
  <c r="AC2512" i="9"/>
  <c r="AC2513" i="9"/>
  <c r="AC2514" i="9"/>
  <c r="AC2515" i="9"/>
  <c r="AC2516" i="9"/>
  <c r="AC2517" i="9"/>
  <c r="AC2518" i="9"/>
  <c r="AC2519" i="9"/>
  <c r="AC2520" i="9"/>
  <c r="AC2521" i="9"/>
  <c r="AC2522" i="9"/>
  <c r="AC2523" i="9"/>
  <c r="AC2524" i="9"/>
  <c r="AC2525" i="9"/>
  <c r="AC2526" i="9"/>
  <c r="AC2527" i="9"/>
  <c r="AC2528" i="9"/>
  <c r="AC2529" i="9"/>
  <c r="AC2530" i="9"/>
  <c r="AC2531" i="9"/>
  <c r="AC2532" i="9"/>
  <c r="AC2533" i="9"/>
  <c r="AC2534" i="9"/>
  <c r="AC2535" i="9"/>
  <c r="AC2536" i="9"/>
  <c r="AC2537" i="9"/>
  <c r="AC2538" i="9"/>
  <c r="AC2539" i="9"/>
  <c r="AC2540" i="9"/>
  <c r="AC2541" i="9"/>
  <c r="AC2542" i="9"/>
  <c r="AC2543" i="9"/>
  <c r="AC2544" i="9"/>
  <c r="AC2545" i="9"/>
  <c r="AC2546" i="9"/>
  <c r="AC2547" i="9"/>
  <c r="AC2548" i="9"/>
  <c r="AC2549" i="9"/>
  <c r="AC2550" i="9"/>
  <c r="AC2551" i="9"/>
  <c r="AC2552" i="9"/>
  <c r="AC2553" i="9"/>
  <c r="AC2554" i="9"/>
  <c r="AC2555" i="9"/>
  <c r="AC2556" i="9"/>
  <c r="AC2557" i="9"/>
  <c r="AC2558" i="9"/>
  <c r="AC2559" i="9"/>
  <c r="AC2560" i="9"/>
  <c r="AC2561" i="9"/>
  <c r="AC2562" i="9"/>
  <c r="AC2563" i="9"/>
  <c r="AC2564" i="9"/>
  <c r="AC2565" i="9"/>
  <c r="AC2566" i="9"/>
  <c r="AC2567" i="9"/>
  <c r="AC2568" i="9"/>
  <c r="AC2569" i="9"/>
  <c r="AC2570" i="9"/>
  <c r="AC2571" i="9"/>
  <c r="AC2572" i="9"/>
  <c r="AC2573" i="9"/>
  <c r="AC2574" i="9"/>
  <c r="AC2575" i="9"/>
  <c r="AC2576" i="9"/>
  <c r="AC2577" i="9"/>
  <c r="AC2578" i="9"/>
  <c r="AC2579" i="9"/>
  <c r="AC2580" i="9"/>
  <c r="AC2581" i="9"/>
  <c r="AC2582" i="9"/>
  <c r="AC2583" i="9"/>
  <c r="AC2584" i="9"/>
  <c r="AC2585" i="9"/>
  <c r="AC2586" i="9"/>
  <c r="AC2587" i="9"/>
  <c r="AC2588" i="9"/>
  <c r="AC2589" i="9"/>
  <c r="AC2590" i="9"/>
  <c r="AC2591" i="9"/>
  <c r="AC2592" i="9"/>
  <c r="AC2593" i="9"/>
  <c r="AC2594" i="9"/>
  <c r="AC2595" i="9"/>
  <c r="AC2596" i="9"/>
  <c r="AC2597" i="9"/>
  <c r="AC2598" i="9"/>
  <c r="AC2599" i="9"/>
  <c r="AC2600" i="9"/>
  <c r="AC2601" i="9"/>
  <c r="AC2602" i="9"/>
  <c r="AC2603" i="9"/>
  <c r="AC2604" i="9"/>
  <c r="AC2605" i="9"/>
  <c r="AC2606" i="9"/>
  <c r="AC2607" i="9"/>
  <c r="AC2608" i="9"/>
  <c r="AC2609" i="9"/>
  <c r="AC2610" i="9"/>
  <c r="AC2611" i="9"/>
  <c r="AC2612" i="9"/>
  <c r="AC2613" i="9"/>
  <c r="AC2614" i="9"/>
  <c r="AC2615" i="9"/>
  <c r="AC2616" i="9"/>
  <c r="AC2617" i="9"/>
  <c r="AC2618" i="9"/>
  <c r="AC2619" i="9"/>
  <c r="AC2620" i="9"/>
  <c r="AC2621" i="9"/>
  <c r="AC2622" i="9"/>
  <c r="AC2623" i="9"/>
  <c r="AC2624" i="9"/>
  <c r="AC2625" i="9"/>
  <c r="AC2626" i="9"/>
  <c r="AC2627" i="9"/>
  <c r="AC2628" i="9"/>
  <c r="AC2629" i="9"/>
  <c r="AC2630" i="9"/>
  <c r="AC2631" i="9"/>
  <c r="AC2632" i="9"/>
  <c r="AC2633" i="9"/>
  <c r="AC2634" i="9"/>
  <c r="AC2635" i="9"/>
  <c r="AC2636" i="9"/>
  <c r="AC2637" i="9"/>
  <c r="AC2638" i="9"/>
  <c r="AC2639" i="9"/>
  <c r="AC2640" i="9"/>
  <c r="AC2641" i="9"/>
  <c r="AC2642" i="9"/>
  <c r="AC2643" i="9"/>
  <c r="AC2644" i="9"/>
  <c r="AC2645" i="9"/>
  <c r="AC2646" i="9"/>
  <c r="AC2647" i="9"/>
  <c r="AC2648" i="9"/>
  <c r="AD1244" i="9"/>
  <c r="AD1245" i="9"/>
  <c r="AD1246" i="9"/>
  <c r="AD1247" i="9"/>
  <c r="AD1248" i="9"/>
  <c r="AD1249" i="9"/>
  <c r="AD1250" i="9"/>
  <c r="AD1251" i="9"/>
  <c r="AD1252" i="9"/>
  <c r="AD1253" i="9"/>
  <c r="AD1254" i="9"/>
  <c r="AD1255" i="9"/>
  <c r="AD1256" i="9"/>
  <c r="AD1257" i="9"/>
  <c r="AD1258" i="9"/>
  <c r="AD1259" i="9"/>
  <c r="AD1260" i="9"/>
  <c r="AD1261" i="9"/>
  <c r="AD1262" i="9"/>
  <c r="AD1263" i="9"/>
  <c r="AD1264" i="9"/>
  <c r="AD1265" i="9"/>
  <c r="AD1266" i="9"/>
  <c r="AD1267" i="9"/>
  <c r="AD1268" i="9"/>
  <c r="AD1269" i="9"/>
  <c r="AD1270" i="9"/>
  <c r="AD1271" i="9"/>
  <c r="AD1272" i="9"/>
  <c r="AD1273" i="9"/>
  <c r="AD1274" i="9"/>
  <c r="AD1275" i="9"/>
  <c r="AD1276" i="9"/>
  <c r="AD1277" i="9"/>
  <c r="AD1278" i="9"/>
  <c r="AD1279" i="9"/>
  <c r="AD1280" i="9"/>
  <c r="AD1281" i="9"/>
  <c r="AD1282" i="9"/>
  <c r="AD1283" i="9"/>
  <c r="AD1284" i="9"/>
  <c r="AD1285" i="9"/>
  <c r="AD1286" i="9"/>
  <c r="AD1287" i="9"/>
  <c r="AD1288" i="9"/>
  <c r="AD1289" i="9"/>
  <c r="AD1290" i="9"/>
  <c r="AD1291" i="9"/>
  <c r="AD1292" i="9"/>
  <c r="AD1293" i="9"/>
  <c r="AD1294" i="9"/>
  <c r="AD1295" i="9"/>
  <c r="AD1296" i="9"/>
  <c r="AD1297" i="9"/>
  <c r="AD1298" i="9"/>
  <c r="AD1299" i="9"/>
  <c r="AD1300" i="9"/>
  <c r="AD1301" i="9"/>
  <c r="AD1302" i="9"/>
  <c r="AD1303" i="9"/>
  <c r="AD1304" i="9"/>
  <c r="AD1305" i="9"/>
  <c r="AD1306" i="9"/>
  <c r="AD1307" i="9"/>
  <c r="AD1308" i="9"/>
  <c r="AD1309" i="9"/>
  <c r="AD1310" i="9"/>
  <c r="AD1311" i="9"/>
  <c r="AD1312" i="9"/>
  <c r="AD1313" i="9"/>
  <c r="AD1314" i="9"/>
  <c r="AD1315" i="9"/>
  <c r="AD1316" i="9"/>
  <c r="AD1317" i="9"/>
  <c r="AD1318" i="9"/>
  <c r="AD1319" i="9"/>
  <c r="AD1320" i="9"/>
  <c r="AD1321" i="9"/>
  <c r="AD1322" i="9"/>
  <c r="AD1323" i="9"/>
  <c r="AD1324" i="9"/>
  <c r="AD1325" i="9"/>
  <c r="AD1326" i="9"/>
  <c r="AD1327" i="9"/>
  <c r="AD1328" i="9"/>
  <c r="AD1329" i="9"/>
  <c r="AD1330" i="9"/>
  <c r="AD1331" i="9"/>
  <c r="AD1332" i="9"/>
  <c r="AD1333" i="9"/>
  <c r="AD1334" i="9"/>
  <c r="AD1335" i="9"/>
  <c r="AD1336" i="9"/>
  <c r="AD1337" i="9"/>
  <c r="AD1338" i="9"/>
  <c r="AD1339" i="9"/>
  <c r="AD1340" i="9"/>
  <c r="AD1341" i="9"/>
  <c r="AD1342" i="9"/>
  <c r="AD1343" i="9"/>
  <c r="AD1344" i="9"/>
  <c r="AD1345" i="9"/>
  <c r="AD1346" i="9"/>
  <c r="AD1347" i="9"/>
  <c r="AD1348" i="9"/>
  <c r="AD1349" i="9"/>
  <c r="AD1350" i="9"/>
  <c r="AD1351" i="9"/>
  <c r="AD1352" i="9"/>
  <c r="AD1353" i="9"/>
  <c r="AD1354" i="9"/>
  <c r="AD1355" i="9"/>
  <c r="AD1356" i="9"/>
  <c r="AD1357" i="9"/>
  <c r="AD1358" i="9"/>
  <c r="AD1359" i="9"/>
  <c r="AD1360" i="9"/>
  <c r="AD1361" i="9"/>
  <c r="AD1362" i="9"/>
  <c r="AD1363" i="9"/>
  <c r="AD1364" i="9"/>
  <c r="AD1365" i="9"/>
  <c r="AD1366" i="9"/>
  <c r="AD1367" i="9"/>
  <c r="AD1368" i="9"/>
  <c r="AD1369" i="9"/>
  <c r="AD1370" i="9"/>
  <c r="AD1371" i="9"/>
  <c r="AD1372" i="9"/>
  <c r="AD1373" i="9"/>
  <c r="AD1374" i="9"/>
  <c r="AD1375" i="9"/>
  <c r="AD1376" i="9"/>
  <c r="AD1377" i="9"/>
  <c r="AD1378" i="9"/>
  <c r="AD1379" i="9"/>
  <c r="AD1380" i="9"/>
  <c r="AD1381" i="9"/>
  <c r="AD1382" i="9"/>
  <c r="AD1383" i="9"/>
  <c r="AD1384" i="9"/>
  <c r="AD1385" i="9"/>
  <c r="AD1386" i="9"/>
  <c r="AD1387" i="9"/>
  <c r="AD1388" i="9"/>
  <c r="AD1389" i="9"/>
  <c r="AD1390" i="9"/>
  <c r="AD1391" i="9"/>
  <c r="AD1392" i="9"/>
  <c r="AD1393" i="9"/>
  <c r="AD1394" i="9"/>
  <c r="AD1395" i="9"/>
  <c r="AD1396" i="9"/>
  <c r="AD1397" i="9"/>
  <c r="AD1398" i="9"/>
  <c r="AD1399" i="9"/>
  <c r="AD1400" i="9"/>
  <c r="AD1401" i="9"/>
  <c r="AD1402" i="9"/>
  <c r="AD1403" i="9"/>
  <c r="AD1404" i="9"/>
  <c r="AD1405" i="9"/>
  <c r="AD1406" i="9"/>
  <c r="AD1407" i="9"/>
  <c r="AD1408" i="9"/>
  <c r="AD1409" i="9"/>
  <c r="AD1410" i="9"/>
  <c r="AD1411" i="9"/>
  <c r="AD1412" i="9"/>
  <c r="AD1413" i="9"/>
  <c r="AD1414" i="9"/>
  <c r="AD1415" i="9"/>
  <c r="AD1416" i="9"/>
  <c r="AD1417" i="9"/>
  <c r="AD1418" i="9"/>
  <c r="AD1419" i="9"/>
  <c r="AD1420" i="9"/>
  <c r="AD1421" i="9"/>
  <c r="AD1422" i="9"/>
  <c r="AD1423" i="9"/>
  <c r="AD1424" i="9"/>
  <c r="AD1425" i="9"/>
  <c r="AD1426" i="9"/>
  <c r="AD1427" i="9"/>
  <c r="AD1428" i="9"/>
  <c r="AD1429" i="9"/>
  <c r="AD1430" i="9"/>
  <c r="AD1431" i="9"/>
  <c r="AD1432" i="9"/>
  <c r="AD1433" i="9"/>
  <c r="AD1434" i="9"/>
  <c r="AD1435" i="9"/>
  <c r="AD1436" i="9"/>
  <c r="AD1437" i="9"/>
  <c r="AD1438" i="9"/>
  <c r="AD1439" i="9"/>
  <c r="AD1440" i="9"/>
  <c r="AD1441" i="9"/>
  <c r="AD1442" i="9"/>
  <c r="AD1443" i="9"/>
  <c r="AD1444" i="9"/>
  <c r="AD1445" i="9"/>
  <c r="AD1446" i="9"/>
  <c r="AD1447" i="9"/>
  <c r="AD1448" i="9"/>
  <c r="AD1449" i="9"/>
  <c r="AD1450" i="9"/>
  <c r="AD1451" i="9"/>
  <c r="AD1452" i="9"/>
  <c r="AD1453" i="9"/>
  <c r="AD1454" i="9"/>
  <c r="AD1455" i="9"/>
  <c r="AD1456" i="9"/>
  <c r="AD1457" i="9"/>
  <c r="AD1458" i="9"/>
  <c r="AD1459" i="9"/>
  <c r="AD1460" i="9"/>
  <c r="AD1461" i="9"/>
  <c r="AD1462" i="9"/>
  <c r="AD1463" i="9"/>
  <c r="AD1464" i="9"/>
  <c r="AD1465" i="9"/>
  <c r="AD1466" i="9"/>
  <c r="AD1467" i="9"/>
  <c r="AD1468" i="9"/>
  <c r="AD1469" i="9"/>
  <c r="AD1470" i="9"/>
  <c r="AD1471" i="9"/>
  <c r="AD1472" i="9"/>
  <c r="AD1473" i="9"/>
  <c r="AD1474" i="9"/>
  <c r="AD1475" i="9"/>
  <c r="AD1476" i="9"/>
  <c r="AD1477" i="9"/>
  <c r="AD1478" i="9"/>
  <c r="AD1479" i="9"/>
  <c r="AD1480" i="9"/>
  <c r="AD1481" i="9"/>
  <c r="AD1482" i="9"/>
  <c r="AD1483" i="9"/>
  <c r="AD1484" i="9"/>
  <c r="AD1485" i="9"/>
  <c r="AD1486" i="9"/>
  <c r="AD1487" i="9"/>
  <c r="AD1488" i="9"/>
  <c r="AD1489" i="9"/>
  <c r="AD1490" i="9"/>
  <c r="AD1491" i="9"/>
  <c r="AD1492" i="9"/>
  <c r="AD1493" i="9"/>
  <c r="AD1494" i="9"/>
  <c r="AD1495" i="9"/>
  <c r="AD1496" i="9"/>
  <c r="AD1497" i="9"/>
  <c r="AD1498" i="9"/>
  <c r="AD1499" i="9"/>
  <c r="AD1500" i="9"/>
  <c r="AD1501" i="9"/>
  <c r="AD1502" i="9"/>
  <c r="AD1503" i="9"/>
  <c r="AD1504" i="9"/>
  <c r="AD1505" i="9"/>
  <c r="AD1506" i="9"/>
  <c r="AD1507" i="9"/>
  <c r="AD1508" i="9"/>
  <c r="AD1509" i="9"/>
  <c r="AD1510" i="9"/>
  <c r="AD1511" i="9"/>
  <c r="AD1512" i="9"/>
  <c r="AD1513" i="9"/>
  <c r="AD1514" i="9"/>
  <c r="AD1515" i="9"/>
  <c r="AD1516" i="9"/>
  <c r="AD1517" i="9"/>
  <c r="AD1518" i="9"/>
  <c r="AD1519" i="9"/>
  <c r="AD1520" i="9"/>
  <c r="AD1521" i="9"/>
  <c r="AD1522" i="9"/>
  <c r="AD1523" i="9"/>
  <c r="AD1524" i="9"/>
  <c r="AD1525" i="9"/>
  <c r="AD1526" i="9"/>
  <c r="AD1527" i="9"/>
  <c r="AD1528" i="9"/>
  <c r="AD1529" i="9"/>
  <c r="AD1530" i="9"/>
  <c r="AD1531" i="9"/>
  <c r="AD1532" i="9"/>
  <c r="AD1533" i="9"/>
  <c r="AD1534" i="9"/>
  <c r="AD1535" i="9"/>
  <c r="AD1536" i="9"/>
  <c r="AD1537" i="9"/>
  <c r="AD1538" i="9"/>
  <c r="AD1539" i="9"/>
  <c r="AD1540" i="9"/>
  <c r="AD1541" i="9"/>
  <c r="AD1542" i="9"/>
  <c r="AD1543" i="9"/>
  <c r="AD1544" i="9"/>
  <c r="AD1545" i="9"/>
  <c r="AD1546" i="9"/>
  <c r="AD1547" i="9"/>
  <c r="AD1548" i="9"/>
  <c r="AD1549" i="9"/>
  <c r="AD1550" i="9"/>
  <c r="AD1551" i="9"/>
  <c r="AD1552" i="9"/>
  <c r="AD1553" i="9"/>
  <c r="AD1554" i="9"/>
  <c r="AD1555" i="9"/>
  <c r="AD1556" i="9"/>
  <c r="AD1557" i="9"/>
  <c r="AD1558" i="9"/>
  <c r="AD1559" i="9"/>
  <c r="AD1560" i="9"/>
  <c r="AD1561" i="9"/>
  <c r="AD1562" i="9"/>
  <c r="AD1563" i="9"/>
  <c r="AD1564" i="9"/>
  <c r="AD1565" i="9"/>
  <c r="AD1566" i="9"/>
  <c r="AD1567" i="9"/>
  <c r="AD1568" i="9"/>
  <c r="AD1569" i="9"/>
  <c r="AD1570" i="9"/>
  <c r="AD1571" i="9"/>
  <c r="AD1572" i="9"/>
  <c r="AD1573" i="9"/>
  <c r="AD1574" i="9"/>
  <c r="AD1575" i="9"/>
  <c r="AD1576" i="9"/>
  <c r="AD1577" i="9"/>
  <c r="AD1578" i="9"/>
  <c r="AD1579" i="9"/>
  <c r="AD1580" i="9"/>
  <c r="AD1581" i="9"/>
  <c r="AD1582" i="9"/>
  <c r="AD1583" i="9"/>
  <c r="AD1584" i="9"/>
  <c r="AD1585" i="9"/>
  <c r="AD1586" i="9"/>
  <c r="AD1587" i="9"/>
  <c r="AD1588" i="9"/>
  <c r="AD1589" i="9"/>
  <c r="AD1590" i="9"/>
  <c r="AD1591" i="9"/>
  <c r="AD1592" i="9"/>
  <c r="AD1593" i="9"/>
  <c r="AD1594" i="9"/>
  <c r="AD1595" i="9"/>
  <c r="AD1596" i="9"/>
  <c r="AD1597" i="9"/>
  <c r="AD1598" i="9"/>
  <c r="AD1599" i="9"/>
  <c r="AD1600" i="9"/>
  <c r="AD1601" i="9"/>
  <c r="AD1602" i="9"/>
  <c r="AD1603" i="9"/>
  <c r="AD1604" i="9"/>
  <c r="AD1605" i="9"/>
  <c r="AD1606" i="9"/>
  <c r="AD1607" i="9"/>
  <c r="AD1608" i="9"/>
  <c r="AD1609" i="9"/>
  <c r="AD1610" i="9"/>
  <c r="AD1611" i="9"/>
  <c r="AD1612" i="9"/>
  <c r="AD1613" i="9"/>
  <c r="AD1614" i="9"/>
  <c r="AD1615" i="9"/>
  <c r="AD1616" i="9"/>
  <c r="AD1617" i="9"/>
  <c r="AD1618" i="9"/>
  <c r="AD1619" i="9"/>
  <c r="AD1620" i="9"/>
  <c r="AD1621" i="9"/>
  <c r="AD1622" i="9"/>
  <c r="AD1623" i="9"/>
  <c r="AD1624" i="9"/>
  <c r="AD1625" i="9"/>
  <c r="AD1626" i="9"/>
  <c r="AD1627" i="9"/>
  <c r="AD1628" i="9"/>
  <c r="AD1629" i="9"/>
  <c r="AD1630" i="9"/>
  <c r="AD1631" i="9"/>
  <c r="AD1632" i="9"/>
  <c r="AD1633" i="9"/>
  <c r="AD1634" i="9"/>
  <c r="AD1635" i="9"/>
  <c r="AD1636" i="9"/>
  <c r="AD1637" i="9"/>
  <c r="AD1638" i="9"/>
  <c r="AD1639" i="9"/>
  <c r="AD1640" i="9"/>
  <c r="AD1641" i="9"/>
  <c r="AD1642" i="9"/>
  <c r="AD1643" i="9"/>
  <c r="AD1644" i="9"/>
  <c r="AD1645" i="9"/>
  <c r="AD1646" i="9"/>
  <c r="AD1647" i="9"/>
  <c r="AD1648" i="9"/>
  <c r="AD1649" i="9"/>
  <c r="AD1650" i="9"/>
  <c r="AD1651" i="9"/>
  <c r="AD1652" i="9"/>
  <c r="AD1653" i="9"/>
  <c r="AD1654" i="9"/>
  <c r="AD1655" i="9"/>
  <c r="AD1656" i="9"/>
  <c r="AD1657" i="9"/>
  <c r="AD1658" i="9"/>
  <c r="AD1659" i="9"/>
  <c r="AD1660" i="9"/>
  <c r="AD1661" i="9"/>
  <c r="AD1662" i="9"/>
  <c r="AD1663" i="9"/>
  <c r="AD1664" i="9"/>
  <c r="AD1665" i="9"/>
  <c r="AD1666" i="9"/>
  <c r="AD1667" i="9"/>
  <c r="AD1668" i="9"/>
  <c r="AD1669" i="9"/>
  <c r="AD1670" i="9"/>
  <c r="AD1671" i="9"/>
  <c r="AD1672" i="9"/>
  <c r="AD1673" i="9"/>
  <c r="AD1674" i="9"/>
  <c r="AD1675" i="9"/>
  <c r="AD1676" i="9"/>
  <c r="AD1677" i="9"/>
  <c r="AD1678" i="9"/>
  <c r="AD1679" i="9"/>
  <c r="AD1680" i="9"/>
  <c r="AD1681" i="9"/>
  <c r="AD1682" i="9"/>
  <c r="AD1683" i="9"/>
  <c r="AD1684" i="9"/>
  <c r="AD1685" i="9"/>
  <c r="AD1686" i="9"/>
  <c r="AD1687" i="9"/>
  <c r="AD1688" i="9"/>
  <c r="AD1689" i="9"/>
  <c r="AD1690" i="9"/>
  <c r="AD1691" i="9"/>
  <c r="AD1692" i="9"/>
  <c r="AD1693" i="9"/>
  <c r="AD1694" i="9"/>
  <c r="AD1695" i="9"/>
  <c r="AD1696" i="9"/>
  <c r="AD1697" i="9"/>
  <c r="AD1698" i="9"/>
  <c r="AD1699" i="9"/>
  <c r="AD1700" i="9"/>
  <c r="AD1701" i="9"/>
  <c r="AD1702" i="9"/>
  <c r="AD1703" i="9"/>
  <c r="AD1704" i="9"/>
  <c r="AD1705" i="9"/>
  <c r="AD1706" i="9"/>
  <c r="AD1707" i="9"/>
  <c r="AD1708" i="9"/>
  <c r="AD1709" i="9"/>
  <c r="AD1710" i="9"/>
  <c r="AD1711" i="9"/>
  <c r="AD1712" i="9"/>
  <c r="AD1713" i="9"/>
  <c r="AD1714" i="9"/>
  <c r="AD1715" i="9"/>
  <c r="AD1716" i="9"/>
  <c r="AD1717" i="9"/>
  <c r="AD1718" i="9"/>
  <c r="AD1719" i="9"/>
  <c r="AD1720" i="9"/>
  <c r="AD1721" i="9"/>
  <c r="AD1722" i="9"/>
  <c r="AD1723" i="9"/>
  <c r="AD1724" i="9"/>
  <c r="AD1725" i="9"/>
  <c r="AD1726" i="9"/>
  <c r="AD1727" i="9"/>
  <c r="AD1728" i="9"/>
  <c r="AD1729" i="9"/>
  <c r="AD1730" i="9"/>
  <c r="AD1731" i="9"/>
  <c r="AD1732" i="9"/>
  <c r="AD1733" i="9"/>
  <c r="AD1734" i="9"/>
  <c r="AD1735" i="9"/>
  <c r="AD1736" i="9"/>
  <c r="AD1737" i="9"/>
  <c r="AD1738" i="9"/>
  <c r="AD1739" i="9"/>
  <c r="AD1740" i="9"/>
  <c r="AD1741" i="9"/>
  <c r="AD1742" i="9"/>
  <c r="AD1743" i="9"/>
  <c r="AD1744" i="9"/>
  <c r="AD1745" i="9"/>
  <c r="AD1746" i="9"/>
  <c r="AD1747" i="9"/>
  <c r="AD1748" i="9"/>
  <c r="AD1749" i="9"/>
  <c r="AD1750" i="9"/>
  <c r="AD1751" i="9"/>
  <c r="AD1752" i="9"/>
  <c r="AD1753" i="9"/>
  <c r="AD1754" i="9"/>
  <c r="AD1755" i="9"/>
  <c r="AD1756" i="9"/>
  <c r="AD1757" i="9"/>
  <c r="AD1758" i="9"/>
  <c r="AD1759" i="9"/>
  <c r="AD1760" i="9"/>
  <c r="AD1761" i="9"/>
  <c r="AD1762" i="9"/>
  <c r="AD1763" i="9"/>
  <c r="AD1764" i="9"/>
  <c r="AD1765" i="9"/>
  <c r="AD1766" i="9"/>
  <c r="AD1767" i="9"/>
  <c r="AD1768" i="9"/>
  <c r="AD1769" i="9"/>
  <c r="AD1770" i="9"/>
  <c r="AD1771" i="9"/>
  <c r="AD1772" i="9"/>
  <c r="AD1773" i="9"/>
  <c r="AD1774" i="9"/>
  <c r="AD1775" i="9"/>
  <c r="AD1776" i="9"/>
  <c r="AD1777" i="9"/>
  <c r="AD1778" i="9"/>
  <c r="AD1779" i="9"/>
  <c r="AD1780" i="9"/>
  <c r="AD1781" i="9"/>
  <c r="AD1782" i="9"/>
  <c r="AD1783" i="9"/>
  <c r="AD1784" i="9"/>
  <c r="AD1785" i="9"/>
  <c r="AD1786" i="9"/>
  <c r="AD1787" i="9"/>
  <c r="AD1788" i="9"/>
  <c r="AD1789" i="9"/>
  <c r="AD1790" i="9"/>
  <c r="AD1791" i="9"/>
  <c r="AD1792" i="9"/>
  <c r="AD1793" i="9"/>
  <c r="AD1794" i="9"/>
  <c r="AD1795" i="9"/>
  <c r="AD1796" i="9"/>
  <c r="AD1797" i="9"/>
  <c r="AD1798" i="9"/>
  <c r="AD1799" i="9"/>
  <c r="AD1800" i="9"/>
  <c r="AD1801" i="9"/>
  <c r="AD1802" i="9"/>
  <c r="AD1803" i="9"/>
  <c r="AD1804" i="9"/>
  <c r="AD1805" i="9"/>
  <c r="AD1806" i="9"/>
  <c r="AD1807" i="9"/>
  <c r="AD1808" i="9"/>
  <c r="AD1809" i="9"/>
  <c r="AD1810" i="9"/>
  <c r="AD1811" i="9"/>
  <c r="AD1812" i="9"/>
  <c r="AD1813" i="9"/>
  <c r="AD1814" i="9"/>
  <c r="AD1815" i="9"/>
  <c r="AD1816" i="9"/>
  <c r="AD1817" i="9"/>
  <c r="AD1818" i="9"/>
  <c r="AD1819" i="9"/>
  <c r="AD1820" i="9"/>
  <c r="AD1821" i="9"/>
  <c r="AD1822" i="9"/>
  <c r="AD1823" i="9"/>
  <c r="AD1824" i="9"/>
  <c r="AD1825" i="9"/>
  <c r="AD1826" i="9"/>
  <c r="AD1827" i="9"/>
  <c r="AD1828" i="9"/>
  <c r="AD1829" i="9"/>
  <c r="AD1830" i="9"/>
  <c r="AD1831" i="9"/>
  <c r="AD1832" i="9"/>
  <c r="AD1833" i="9"/>
  <c r="AD1834" i="9"/>
  <c r="AD1835" i="9"/>
  <c r="AD1836" i="9"/>
  <c r="AD1837" i="9"/>
  <c r="AD1838" i="9"/>
  <c r="AD1839" i="9"/>
  <c r="AD1840" i="9"/>
  <c r="AD1841" i="9"/>
  <c r="AD1842" i="9"/>
  <c r="AD1843" i="9"/>
  <c r="AD1844" i="9"/>
  <c r="AD1845" i="9"/>
  <c r="AD1846" i="9"/>
  <c r="AD1847" i="9"/>
  <c r="AD1848" i="9"/>
  <c r="AD1849" i="9"/>
  <c r="AD1850" i="9"/>
  <c r="AD1851" i="9"/>
  <c r="AD1852" i="9"/>
  <c r="AD1853" i="9"/>
  <c r="AD1854" i="9"/>
  <c r="AD1855" i="9"/>
  <c r="AD1856" i="9"/>
  <c r="AD1857" i="9"/>
  <c r="AD1858" i="9"/>
  <c r="AD1859" i="9"/>
  <c r="AD1860" i="9"/>
  <c r="AD1861" i="9"/>
  <c r="AD1862" i="9"/>
  <c r="AD1863" i="9"/>
  <c r="AD1864" i="9"/>
  <c r="AD1865" i="9"/>
  <c r="AD1866" i="9"/>
  <c r="AD1867" i="9"/>
  <c r="AD1868" i="9"/>
  <c r="AD1869" i="9"/>
  <c r="AD1870" i="9"/>
  <c r="AD1871" i="9"/>
  <c r="AD1872" i="9"/>
  <c r="AD1873" i="9"/>
  <c r="AD1874" i="9"/>
  <c r="AD1875" i="9"/>
  <c r="AD1876" i="9"/>
  <c r="AD1877" i="9"/>
  <c r="AD1878" i="9"/>
  <c r="AD1879" i="9"/>
  <c r="AD1880" i="9"/>
  <c r="AD1881" i="9"/>
  <c r="AD1882" i="9"/>
  <c r="AD1883" i="9"/>
  <c r="AD1884" i="9"/>
  <c r="AD1885" i="9"/>
  <c r="AD1886" i="9"/>
  <c r="AD1887" i="9"/>
  <c r="AD1888" i="9"/>
  <c r="AD1889" i="9"/>
  <c r="AD1890" i="9"/>
  <c r="AD1891" i="9"/>
  <c r="AD1892" i="9"/>
  <c r="AD1893" i="9"/>
  <c r="AD1894" i="9"/>
  <c r="AD1895" i="9"/>
  <c r="AD1896" i="9"/>
  <c r="AD1897" i="9"/>
  <c r="AD1898" i="9"/>
  <c r="AD1899" i="9"/>
  <c r="AD1900" i="9"/>
  <c r="AD1901" i="9"/>
  <c r="AD1902" i="9"/>
  <c r="AD1903" i="9"/>
  <c r="AD1904" i="9"/>
  <c r="AD1905" i="9"/>
  <c r="AD1906" i="9"/>
  <c r="AD1907" i="9"/>
  <c r="AD1908" i="9"/>
  <c r="AD1909" i="9"/>
  <c r="AD1910" i="9"/>
  <c r="AD1911" i="9"/>
  <c r="AD1912" i="9"/>
  <c r="AD1913" i="9"/>
  <c r="AD1914" i="9"/>
  <c r="AD1915" i="9"/>
  <c r="AD1916" i="9"/>
  <c r="AD1917" i="9"/>
  <c r="AD1918" i="9"/>
  <c r="AD1919" i="9"/>
  <c r="AD1920" i="9"/>
  <c r="AD1921" i="9"/>
  <c r="AD1922" i="9"/>
  <c r="AD1923" i="9"/>
  <c r="AD1924" i="9"/>
  <c r="AD1925" i="9"/>
  <c r="AD1926" i="9"/>
  <c r="AD1927" i="9"/>
  <c r="AD1928" i="9"/>
  <c r="AD1929" i="9"/>
  <c r="AD1930" i="9"/>
  <c r="AD1931" i="9"/>
  <c r="AD1932" i="9"/>
  <c r="AD1933" i="9"/>
  <c r="AD1934" i="9"/>
  <c r="AD1935" i="9"/>
  <c r="AD1936" i="9"/>
  <c r="AD1937" i="9"/>
  <c r="AD1938" i="9"/>
  <c r="AD1939" i="9"/>
  <c r="AD1940" i="9"/>
  <c r="AD1941" i="9"/>
  <c r="AD1942" i="9"/>
  <c r="AD1943" i="9"/>
  <c r="AD1944" i="9"/>
  <c r="AD1945" i="9"/>
  <c r="AD1946" i="9"/>
  <c r="AD1947" i="9"/>
  <c r="AD1948" i="9"/>
  <c r="AD1949" i="9"/>
  <c r="AD1950" i="9"/>
  <c r="AD1951" i="9"/>
  <c r="AD1952" i="9"/>
  <c r="AD1953" i="9"/>
  <c r="AD1954" i="9"/>
  <c r="AD1955" i="9"/>
  <c r="AD1956" i="9"/>
  <c r="AD1957" i="9"/>
  <c r="AD1958" i="9"/>
  <c r="AD1959" i="9"/>
  <c r="AD1960" i="9"/>
  <c r="AD1961" i="9"/>
  <c r="AD1962" i="9"/>
  <c r="AD1963" i="9"/>
  <c r="AD1964" i="9"/>
  <c r="AD1965" i="9"/>
  <c r="AD1966" i="9"/>
  <c r="AD1967" i="9"/>
  <c r="AD1968" i="9"/>
  <c r="AD1969" i="9"/>
  <c r="AD1970" i="9"/>
  <c r="AD1971" i="9"/>
  <c r="AD1972" i="9"/>
  <c r="AD1973" i="9"/>
  <c r="AD1974" i="9"/>
  <c r="AD1975" i="9"/>
  <c r="AD1976" i="9"/>
  <c r="AD1977" i="9"/>
  <c r="AD1978" i="9"/>
  <c r="AD1979" i="9"/>
  <c r="AD1980" i="9"/>
  <c r="AD1981" i="9"/>
  <c r="AD1982" i="9"/>
  <c r="AD1983" i="9"/>
  <c r="AD1984" i="9"/>
  <c r="AD1985" i="9"/>
  <c r="AD1986" i="9"/>
  <c r="AD1987" i="9"/>
  <c r="AD1988" i="9"/>
  <c r="AD1989" i="9"/>
  <c r="AD1990" i="9"/>
  <c r="AD1991" i="9"/>
  <c r="AD1992" i="9"/>
  <c r="AD1993" i="9"/>
  <c r="AD1994" i="9"/>
  <c r="AD1995" i="9"/>
  <c r="AD1996" i="9"/>
  <c r="AD1997" i="9"/>
  <c r="AD1998" i="9"/>
  <c r="AD1999" i="9"/>
  <c r="AD2000" i="9"/>
  <c r="AD2001" i="9"/>
  <c r="AD2002" i="9"/>
  <c r="AD2003" i="9"/>
  <c r="AD2004" i="9"/>
  <c r="AD2005" i="9"/>
  <c r="AD2006" i="9"/>
  <c r="AD2007" i="9"/>
  <c r="AD2008" i="9"/>
  <c r="AD2009" i="9"/>
  <c r="AD2010" i="9"/>
  <c r="AD2011" i="9"/>
  <c r="AD2012" i="9"/>
  <c r="AD2013" i="9"/>
  <c r="AD2014" i="9"/>
  <c r="AD2015" i="9"/>
  <c r="AD2016" i="9"/>
  <c r="AD2017" i="9"/>
  <c r="AD2018" i="9"/>
  <c r="AD2019" i="9"/>
  <c r="AD2020" i="9"/>
  <c r="AD2021" i="9"/>
  <c r="AD2022" i="9"/>
  <c r="AD2023" i="9"/>
  <c r="AD2024" i="9"/>
  <c r="AD2025" i="9"/>
  <c r="AD2026" i="9"/>
  <c r="AD2027" i="9"/>
  <c r="AD2028" i="9"/>
  <c r="AD2029" i="9"/>
  <c r="AD2030" i="9"/>
  <c r="AD2031" i="9"/>
  <c r="AD2032" i="9"/>
  <c r="AD2033" i="9"/>
  <c r="AD2034" i="9"/>
  <c r="AD2035" i="9"/>
  <c r="AD2036" i="9"/>
  <c r="AD2037" i="9"/>
  <c r="AD2038" i="9"/>
  <c r="AD2039" i="9"/>
  <c r="AD2040" i="9"/>
  <c r="AD2041" i="9"/>
  <c r="AD2042" i="9"/>
  <c r="AD2043" i="9"/>
  <c r="AD2044" i="9"/>
  <c r="AD2045" i="9"/>
  <c r="AD2046" i="9"/>
  <c r="AD2047" i="9"/>
  <c r="AD2048" i="9"/>
  <c r="AD2049" i="9"/>
  <c r="AD2050" i="9"/>
  <c r="AD2051" i="9"/>
  <c r="AD2052" i="9"/>
  <c r="AD2053" i="9"/>
  <c r="AD2054" i="9"/>
  <c r="AD2055" i="9"/>
  <c r="AD2056" i="9"/>
  <c r="AD2057" i="9"/>
  <c r="AD2058" i="9"/>
  <c r="AD2059" i="9"/>
  <c r="AD2060" i="9"/>
  <c r="AD2061" i="9"/>
  <c r="AD2062" i="9"/>
  <c r="AD2063" i="9"/>
  <c r="AD2064" i="9"/>
  <c r="AD2065" i="9"/>
  <c r="AD2066" i="9"/>
  <c r="AD2067" i="9"/>
  <c r="AD2068" i="9"/>
  <c r="AD2069" i="9"/>
  <c r="AD2070" i="9"/>
  <c r="AD2071" i="9"/>
  <c r="AD2072" i="9"/>
  <c r="AD2073" i="9"/>
  <c r="AD2074" i="9"/>
  <c r="AD2075" i="9"/>
  <c r="AD2076" i="9"/>
  <c r="AD2077" i="9"/>
  <c r="AD2078" i="9"/>
  <c r="AD2079" i="9"/>
  <c r="AD2080" i="9"/>
  <c r="AD2081" i="9"/>
  <c r="AD2082" i="9"/>
  <c r="AD2083" i="9"/>
  <c r="AD2084" i="9"/>
  <c r="AD2085" i="9"/>
  <c r="AD2086" i="9"/>
  <c r="AD2087" i="9"/>
  <c r="AD2088" i="9"/>
  <c r="AD2089" i="9"/>
  <c r="AD2090" i="9"/>
  <c r="AD2091" i="9"/>
  <c r="AD2092" i="9"/>
  <c r="AD2093" i="9"/>
  <c r="AD2094" i="9"/>
  <c r="AD2095" i="9"/>
  <c r="AD2096" i="9"/>
  <c r="AD2097" i="9"/>
  <c r="AD2098" i="9"/>
  <c r="AD2099" i="9"/>
  <c r="AD2100" i="9"/>
  <c r="AD2101" i="9"/>
  <c r="AD2102" i="9"/>
  <c r="AD2103" i="9"/>
  <c r="AD2104" i="9"/>
  <c r="AD2105" i="9"/>
  <c r="AD2106" i="9"/>
  <c r="AD2107" i="9"/>
  <c r="AD2108" i="9"/>
  <c r="AD2109" i="9"/>
  <c r="AD2110" i="9"/>
  <c r="AD2111" i="9"/>
  <c r="AD2112" i="9"/>
  <c r="AD2113" i="9"/>
  <c r="AD2114" i="9"/>
  <c r="AD2115" i="9"/>
  <c r="AD2116" i="9"/>
  <c r="AD2117" i="9"/>
  <c r="AD2118" i="9"/>
  <c r="AD2119" i="9"/>
  <c r="AD2120" i="9"/>
  <c r="AD2121" i="9"/>
  <c r="AD2122" i="9"/>
  <c r="AD2123" i="9"/>
  <c r="AD2124" i="9"/>
  <c r="AD2125" i="9"/>
  <c r="AD2126" i="9"/>
  <c r="AD2127" i="9"/>
  <c r="AD2128" i="9"/>
  <c r="AD2129" i="9"/>
  <c r="AD2130" i="9"/>
  <c r="AD2131" i="9"/>
  <c r="AD2132" i="9"/>
  <c r="AD2133" i="9"/>
  <c r="AD2134" i="9"/>
  <c r="AD2135" i="9"/>
  <c r="AD2136" i="9"/>
  <c r="AD2137" i="9"/>
  <c r="AD2138" i="9"/>
  <c r="AD2139" i="9"/>
  <c r="AD2140" i="9"/>
  <c r="AD2141" i="9"/>
  <c r="AD2142" i="9"/>
  <c r="AD2143" i="9"/>
  <c r="AD2144" i="9"/>
  <c r="AD2145" i="9"/>
  <c r="AD2146" i="9"/>
  <c r="AD2147" i="9"/>
  <c r="AD2148" i="9"/>
  <c r="AD2149" i="9"/>
  <c r="AD2150" i="9"/>
  <c r="AD2151" i="9"/>
  <c r="AD2152" i="9"/>
  <c r="AD2153" i="9"/>
  <c r="AD2154" i="9"/>
  <c r="AD2155" i="9"/>
  <c r="AD2156" i="9"/>
  <c r="AD2157" i="9"/>
  <c r="AD2158" i="9"/>
  <c r="AD2159" i="9"/>
  <c r="AD2160" i="9"/>
  <c r="AD2161" i="9"/>
  <c r="AD2162" i="9"/>
  <c r="AD2163" i="9"/>
  <c r="AD2164" i="9"/>
  <c r="AD2165" i="9"/>
  <c r="AD2166" i="9"/>
  <c r="AD2167" i="9"/>
  <c r="AD2168" i="9"/>
  <c r="AD2169" i="9"/>
  <c r="AD2170" i="9"/>
  <c r="AD2171" i="9"/>
  <c r="AD2172" i="9"/>
  <c r="AD2173" i="9"/>
  <c r="AD2174" i="9"/>
  <c r="AD2175" i="9"/>
  <c r="AD2176" i="9"/>
  <c r="AD2177" i="9"/>
  <c r="AD2178" i="9"/>
  <c r="AD2179" i="9"/>
  <c r="AD2180" i="9"/>
  <c r="AD2181" i="9"/>
  <c r="AD2182" i="9"/>
  <c r="AD2183" i="9"/>
  <c r="AD2184" i="9"/>
  <c r="AD2185" i="9"/>
  <c r="AD2186" i="9"/>
  <c r="AD2187" i="9"/>
  <c r="AD2188" i="9"/>
  <c r="AD2189" i="9"/>
  <c r="AD2190" i="9"/>
  <c r="AD2191" i="9"/>
  <c r="AD2192" i="9"/>
  <c r="AD2193" i="9"/>
  <c r="AD2194" i="9"/>
  <c r="AD2195" i="9"/>
  <c r="AD2196" i="9"/>
  <c r="AD2197" i="9"/>
  <c r="AD2198" i="9"/>
  <c r="AD2199" i="9"/>
  <c r="AD2200" i="9"/>
  <c r="AD2201" i="9"/>
  <c r="AD2202" i="9"/>
  <c r="AD2203" i="9"/>
  <c r="AD2204" i="9"/>
  <c r="AD2205" i="9"/>
  <c r="AD2206" i="9"/>
  <c r="AD2207" i="9"/>
  <c r="AD2208" i="9"/>
  <c r="AD2209" i="9"/>
  <c r="AD2210" i="9"/>
  <c r="AD2211" i="9"/>
  <c r="AD2212" i="9"/>
  <c r="AD2213" i="9"/>
  <c r="AD2214" i="9"/>
  <c r="AD2215" i="9"/>
  <c r="AD2216" i="9"/>
  <c r="AD2217" i="9"/>
  <c r="AD2218" i="9"/>
  <c r="AD2219" i="9"/>
  <c r="AD2220" i="9"/>
  <c r="AD2221" i="9"/>
  <c r="AD2222" i="9"/>
  <c r="AD2223" i="9"/>
  <c r="AD2224" i="9"/>
  <c r="AD2225" i="9"/>
  <c r="AD2226" i="9"/>
  <c r="AD2227" i="9"/>
  <c r="AD2228" i="9"/>
  <c r="AD2229" i="9"/>
  <c r="AD2230" i="9"/>
  <c r="AD2231" i="9"/>
  <c r="AD2232" i="9"/>
  <c r="AD2233" i="9"/>
  <c r="AD2234" i="9"/>
  <c r="AD2235" i="9"/>
  <c r="AD2236" i="9"/>
  <c r="AD2237" i="9"/>
  <c r="AD2238" i="9"/>
  <c r="AD2239" i="9"/>
  <c r="AD2240" i="9"/>
  <c r="AD2241" i="9"/>
  <c r="AD2242" i="9"/>
  <c r="AD2243" i="9"/>
  <c r="AD2244" i="9"/>
  <c r="AD2245" i="9"/>
  <c r="AD2246" i="9"/>
  <c r="AD2247" i="9"/>
  <c r="AD2248" i="9"/>
  <c r="AD2249" i="9"/>
  <c r="AD2250" i="9"/>
  <c r="AD2251" i="9"/>
  <c r="AD2252" i="9"/>
  <c r="AD2253" i="9"/>
  <c r="AD2254" i="9"/>
  <c r="AD2255" i="9"/>
  <c r="AD2256" i="9"/>
  <c r="AD2257" i="9"/>
  <c r="AD2258" i="9"/>
  <c r="AD2259" i="9"/>
  <c r="AD2260" i="9"/>
  <c r="AD2261" i="9"/>
  <c r="AD2262" i="9"/>
  <c r="AD2263" i="9"/>
  <c r="AD2264" i="9"/>
  <c r="AD2265" i="9"/>
  <c r="AD2266" i="9"/>
  <c r="AD2267" i="9"/>
  <c r="AD2268" i="9"/>
  <c r="AD2269" i="9"/>
  <c r="AD2270" i="9"/>
  <c r="AD2271" i="9"/>
  <c r="AD2272" i="9"/>
  <c r="AD2273" i="9"/>
  <c r="AD2274" i="9"/>
  <c r="AD2275" i="9"/>
  <c r="AD2276" i="9"/>
  <c r="AD2277" i="9"/>
  <c r="AD2278" i="9"/>
  <c r="AD2279" i="9"/>
  <c r="AD2280" i="9"/>
  <c r="AD2281" i="9"/>
  <c r="AD2282" i="9"/>
  <c r="AD2283" i="9"/>
  <c r="AD2284" i="9"/>
  <c r="AD2285" i="9"/>
  <c r="AD2286" i="9"/>
  <c r="AD2287" i="9"/>
  <c r="AD2288" i="9"/>
  <c r="AD2289" i="9"/>
  <c r="AD2290" i="9"/>
  <c r="AD2291" i="9"/>
  <c r="AD2292" i="9"/>
  <c r="AD2293" i="9"/>
  <c r="AD2294" i="9"/>
  <c r="AD2295" i="9"/>
  <c r="AD2296" i="9"/>
  <c r="AD2297" i="9"/>
  <c r="AD2298" i="9"/>
  <c r="AD2299" i="9"/>
  <c r="AD2300" i="9"/>
  <c r="AD2301" i="9"/>
  <c r="AD2302" i="9"/>
  <c r="AD2303" i="9"/>
  <c r="AD2304" i="9"/>
  <c r="AD2305" i="9"/>
  <c r="AD2306" i="9"/>
  <c r="AD2307" i="9"/>
  <c r="AD2308" i="9"/>
  <c r="AD2309" i="9"/>
  <c r="AD2310" i="9"/>
  <c r="AD2311" i="9"/>
  <c r="AD2312" i="9"/>
  <c r="AD2313" i="9"/>
  <c r="AD2314" i="9"/>
  <c r="AD2315" i="9"/>
  <c r="AD2316" i="9"/>
  <c r="AD2317" i="9"/>
  <c r="AD2318" i="9"/>
  <c r="AD2319" i="9"/>
  <c r="AD2320" i="9"/>
  <c r="AD2321" i="9"/>
  <c r="AD2322" i="9"/>
  <c r="AD2323" i="9"/>
  <c r="AD2324" i="9"/>
  <c r="AD2325" i="9"/>
  <c r="AD2326" i="9"/>
  <c r="AD2327" i="9"/>
  <c r="AD2328" i="9"/>
  <c r="AD2329" i="9"/>
  <c r="AD2330" i="9"/>
  <c r="AD2331" i="9"/>
  <c r="AD2332" i="9"/>
  <c r="AD2333" i="9"/>
  <c r="AD2334" i="9"/>
  <c r="AD2335" i="9"/>
  <c r="AD2336" i="9"/>
  <c r="AD2337" i="9"/>
  <c r="AD2338" i="9"/>
  <c r="AD2339" i="9"/>
  <c r="AD2340" i="9"/>
  <c r="AD2341" i="9"/>
  <c r="AD2342" i="9"/>
  <c r="AD2343" i="9"/>
  <c r="AD2344" i="9"/>
  <c r="AD2345" i="9"/>
  <c r="AD2346" i="9"/>
  <c r="AD2347" i="9"/>
  <c r="AD2348" i="9"/>
  <c r="AD2349" i="9"/>
  <c r="AD2350" i="9"/>
  <c r="AD2351" i="9"/>
  <c r="AD2352" i="9"/>
  <c r="AD2353" i="9"/>
  <c r="AD2354" i="9"/>
  <c r="AD2355" i="9"/>
  <c r="AD2356" i="9"/>
  <c r="AD2357" i="9"/>
  <c r="AD2358" i="9"/>
  <c r="AD2359" i="9"/>
  <c r="AD2360" i="9"/>
  <c r="AD2361" i="9"/>
  <c r="AD2362" i="9"/>
  <c r="AD2363" i="9"/>
  <c r="AD2364" i="9"/>
  <c r="AD2365" i="9"/>
  <c r="AD2366" i="9"/>
  <c r="AD2367" i="9"/>
  <c r="AD2368" i="9"/>
  <c r="AD2369" i="9"/>
  <c r="AD2370" i="9"/>
  <c r="AD2371" i="9"/>
  <c r="AD2372" i="9"/>
  <c r="AD2373" i="9"/>
  <c r="AD2374" i="9"/>
  <c r="AD2375" i="9"/>
  <c r="AD2376" i="9"/>
  <c r="AD2377" i="9"/>
  <c r="AD2378" i="9"/>
  <c r="AD2379" i="9"/>
  <c r="AD2380" i="9"/>
  <c r="AD2381" i="9"/>
  <c r="AD2382" i="9"/>
  <c r="AD2383" i="9"/>
  <c r="AD2384" i="9"/>
  <c r="AD2385" i="9"/>
  <c r="AD2386" i="9"/>
  <c r="AD2387" i="9"/>
  <c r="AD2388" i="9"/>
  <c r="AD2389" i="9"/>
  <c r="AD2390" i="9"/>
  <c r="AD2391" i="9"/>
  <c r="AD2392" i="9"/>
  <c r="AD2393" i="9"/>
  <c r="AD2394" i="9"/>
  <c r="AD2395" i="9"/>
  <c r="AD2396" i="9"/>
  <c r="AD2397" i="9"/>
  <c r="AD2398" i="9"/>
  <c r="AD2399" i="9"/>
  <c r="AD2400" i="9"/>
  <c r="AD2401" i="9"/>
  <c r="AD2402" i="9"/>
  <c r="AD2403" i="9"/>
  <c r="AD2404" i="9"/>
  <c r="AD2405" i="9"/>
  <c r="AD2406" i="9"/>
  <c r="AD2407" i="9"/>
  <c r="AD2408" i="9"/>
  <c r="AD2409" i="9"/>
  <c r="AD2410" i="9"/>
  <c r="AD2411" i="9"/>
  <c r="AD2412" i="9"/>
  <c r="AD2413" i="9"/>
  <c r="AD2414" i="9"/>
  <c r="AD2415" i="9"/>
  <c r="AD2416" i="9"/>
  <c r="AD2417" i="9"/>
  <c r="AD2418" i="9"/>
  <c r="AD2419" i="9"/>
  <c r="AD2420" i="9"/>
  <c r="AD2421" i="9"/>
  <c r="AD2422" i="9"/>
  <c r="AD2423" i="9"/>
  <c r="AD2424" i="9"/>
  <c r="AD2425" i="9"/>
  <c r="AD2426" i="9"/>
  <c r="AD2427" i="9"/>
  <c r="AD2428" i="9"/>
  <c r="AD2429" i="9"/>
  <c r="AD2430" i="9"/>
  <c r="AD2431" i="9"/>
  <c r="AD2432" i="9"/>
  <c r="AD2433" i="9"/>
  <c r="AD2434" i="9"/>
  <c r="AD2435" i="9"/>
  <c r="AD2436" i="9"/>
  <c r="AD2437" i="9"/>
  <c r="AD2438" i="9"/>
  <c r="AD2439" i="9"/>
  <c r="AD2440" i="9"/>
  <c r="AD2441" i="9"/>
  <c r="AD2442" i="9"/>
  <c r="AD2443" i="9"/>
  <c r="AD2444" i="9"/>
  <c r="AD2445" i="9"/>
  <c r="AD2446" i="9"/>
  <c r="AD2447" i="9"/>
  <c r="AD2448" i="9"/>
  <c r="AD2449" i="9"/>
  <c r="AD2450" i="9"/>
  <c r="AD2451" i="9"/>
  <c r="AD2452" i="9"/>
  <c r="AD2453" i="9"/>
  <c r="AD2454" i="9"/>
  <c r="AD2455" i="9"/>
  <c r="AD2456" i="9"/>
  <c r="AD2457" i="9"/>
  <c r="AD2458" i="9"/>
  <c r="AD2459" i="9"/>
  <c r="AD2460" i="9"/>
  <c r="AD2461" i="9"/>
  <c r="AD2462" i="9"/>
  <c r="AD2463" i="9"/>
  <c r="AD2464" i="9"/>
  <c r="AD2465" i="9"/>
  <c r="AD2466" i="9"/>
  <c r="AD2467" i="9"/>
  <c r="AD2468" i="9"/>
  <c r="AD2469" i="9"/>
  <c r="AD2470" i="9"/>
  <c r="AD2471" i="9"/>
  <c r="AD2472" i="9"/>
  <c r="AD2473" i="9"/>
  <c r="AD2474" i="9"/>
  <c r="AD2475" i="9"/>
  <c r="AD2476" i="9"/>
  <c r="AD2477" i="9"/>
  <c r="AD2478" i="9"/>
  <c r="AD2479" i="9"/>
  <c r="AD2480" i="9"/>
  <c r="AD2481" i="9"/>
  <c r="AD2482" i="9"/>
  <c r="AD2483" i="9"/>
  <c r="AD2484" i="9"/>
  <c r="AD2485" i="9"/>
  <c r="AD2486" i="9"/>
  <c r="AD2487" i="9"/>
  <c r="AD2488" i="9"/>
  <c r="AD2489" i="9"/>
  <c r="AD2490" i="9"/>
  <c r="AD2491" i="9"/>
  <c r="AD2492" i="9"/>
  <c r="AD2493" i="9"/>
  <c r="AD2494" i="9"/>
  <c r="AD2495" i="9"/>
  <c r="AD2496" i="9"/>
  <c r="AD2497" i="9"/>
  <c r="AD2498" i="9"/>
  <c r="AD2499" i="9"/>
  <c r="AD2500" i="9"/>
  <c r="AD2501" i="9"/>
  <c r="AD2502" i="9"/>
  <c r="AD2503" i="9"/>
  <c r="AD2504" i="9"/>
  <c r="AD2505" i="9"/>
  <c r="AD2506" i="9"/>
  <c r="AD2507" i="9"/>
  <c r="AD2508" i="9"/>
  <c r="AD2509" i="9"/>
  <c r="AD2510" i="9"/>
  <c r="AD2511" i="9"/>
  <c r="AD2512" i="9"/>
  <c r="AD2513" i="9"/>
  <c r="AD2514" i="9"/>
  <c r="AD2515" i="9"/>
  <c r="AD2516" i="9"/>
  <c r="AD2517" i="9"/>
  <c r="AD2518" i="9"/>
  <c r="AD2519" i="9"/>
  <c r="AD2520" i="9"/>
  <c r="AD2521" i="9"/>
  <c r="AD2522" i="9"/>
  <c r="AD2523" i="9"/>
  <c r="AD2524" i="9"/>
  <c r="AD2525" i="9"/>
  <c r="AD2526" i="9"/>
  <c r="AD2527" i="9"/>
  <c r="AD2528" i="9"/>
  <c r="AD2529" i="9"/>
  <c r="AD2530" i="9"/>
  <c r="AD2531" i="9"/>
  <c r="AD2532" i="9"/>
  <c r="AD2533" i="9"/>
  <c r="AD2534" i="9"/>
  <c r="AD2535" i="9"/>
  <c r="AD2536" i="9"/>
  <c r="AD2537" i="9"/>
  <c r="AD2538" i="9"/>
  <c r="AD2539" i="9"/>
  <c r="AD2540" i="9"/>
  <c r="AD2541" i="9"/>
  <c r="AD2542" i="9"/>
  <c r="AD2543" i="9"/>
  <c r="AD2544" i="9"/>
  <c r="AD2545" i="9"/>
  <c r="AD2546" i="9"/>
  <c r="AD2547" i="9"/>
  <c r="AD2548" i="9"/>
  <c r="AD2549" i="9"/>
  <c r="AD2550" i="9"/>
  <c r="AD2551" i="9"/>
  <c r="AD2552" i="9"/>
  <c r="AD2553" i="9"/>
  <c r="AD2554" i="9"/>
  <c r="AD2555" i="9"/>
  <c r="AD2556" i="9"/>
  <c r="AD2557" i="9"/>
  <c r="AD2558" i="9"/>
  <c r="AD2559" i="9"/>
  <c r="AD2560" i="9"/>
  <c r="AD2561" i="9"/>
  <c r="AD2562" i="9"/>
  <c r="AD2563" i="9"/>
  <c r="AD2564" i="9"/>
  <c r="AD2565" i="9"/>
  <c r="AD2566" i="9"/>
  <c r="AD2567" i="9"/>
  <c r="AD2568" i="9"/>
  <c r="AD2569" i="9"/>
  <c r="AD2570" i="9"/>
  <c r="AD2571" i="9"/>
  <c r="AD2572" i="9"/>
  <c r="AD2573" i="9"/>
  <c r="AD2574" i="9"/>
  <c r="AD2575" i="9"/>
  <c r="AD2576" i="9"/>
  <c r="AD2577" i="9"/>
  <c r="AD2578" i="9"/>
  <c r="AD2579" i="9"/>
  <c r="AD2580" i="9"/>
  <c r="AD2581" i="9"/>
  <c r="AD2582" i="9"/>
  <c r="AD2583" i="9"/>
  <c r="AD2584" i="9"/>
  <c r="AD2585" i="9"/>
  <c r="AD2586" i="9"/>
  <c r="AD2587" i="9"/>
  <c r="AD2588" i="9"/>
  <c r="AD2589" i="9"/>
  <c r="AD2590" i="9"/>
  <c r="AD2591" i="9"/>
  <c r="AD2592" i="9"/>
  <c r="AD2593" i="9"/>
  <c r="AD2594" i="9"/>
  <c r="AD2595" i="9"/>
  <c r="AD2596" i="9"/>
  <c r="AD2597" i="9"/>
  <c r="AD2598" i="9"/>
  <c r="AD2599" i="9"/>
  <c r="AD2600" i="9"/>
  <c r="AD2601" i="9"/>
  <c r="AD2602" i="9"/>
  <c r="AD2603" i="9"/>
  <c r="AD2604" i="9"/>
  <c r="AD2605" i="9"/>
  <c r="AD2606" i="9"/>
  <c r="AD2607" i="9"/>
  <c r="AD2608" i="9"/>
  <c r="AD2609" i="9"/>
  <c r="AD2610" i="9"/>
  <c r="AD2611" i="9"/>
  <c r="AD2612" i="9"/>
  <c r="AD2613" i="9"/>
  <c r="AD2614" i="9"/>
  <c r="AD2615" i="9"/>
  <c r="AD2616" i="9"/>
  <c r="AD2617" i="9"/>
  <c r="AD2618" i="9"/>
  <c r="AD2619" i="9"/>
  <c r="AD2620" i="9"/>
  <c r="AD2621" i="9"/>
  <c r="AD2622" i="9"/>
  <c r="AD2623" i="9"/>
  <c r="AD2624" i="9"/>
  <c r="AD2625" i="9"/>
  <c r="AD2626" i="9"/>
  <c r="AD2627" i="9"/>
  <c r="AD2628" i="9"/>
  <c r="AD2629" i="9"/>
  <c r="AD2630" i="9"/>
  <c r="AD2631" i="9"/>
  <c r="AD2632" i="9"/>
  <c r="AD2633" i="9"/>
  <c r="AD2634" i="9"/>
  <c r="AD2635" i="9"/>
  <c r="AD2636" i="9"/>
  <c r="AD2637" i="9"/>
  <c r="AD2638" i="9"/>
  <c r="AD2639" i="9"/>
  <c r="AD2640" i="9"/>
  <c r="AD2641" i="9"/>
  <c r="AD2642" i="9"/>
  <c r="AD2643" i="9"/>
  <c r="AD2644" i="9"/>
  <c r="AD2645" i="9"/>
  <c r="AD2646" i="9"/>
  <c r="AD2647" i="9"/>
  <c r="AD2648" i="9"/>
  <c r="AE1244" i="9"/>
  <c r="AE1245" i="9"/>
  <c r="AE1246" i="9"/>
  <c r="AE1247" i="9"/>
  <c r="AE1248" i="9"/>
  <c r="AE1249" i="9"/>
  <c r="AE1250" i="9"/>
  <c r="AE1251" i="9"/>
  <c r="AE1252" i="9"/>
  <c r="AE1253" i="9"/>
  <c r="AE1254" i="9"/>
  <c r="AE1255" i="9"/>
  <c r="AE1256" i="9"/>
  <c r="AE1257" i="9"/>
  <c r="AE1258" i="9"/>
  <c r="AE1259" i="9"/>
  <c r="AE1260" i="9"/>
  <c r="AE1261" i="9"/>
  <c r="AE1262" i="9"/>
  <c r="AE1263" i="9"/>
  <c r="AE1264" i="9"/>
  <c r="AE1265" i="9"/>
  <c r="AE1266" i="9"/>
  <c r="AE1267" i="9"/>
  <c r="AE1268" i="9"/>
  <c r="AE1269" i="9"/>
  <c r="AE1270" i="9"/>
  <c r="AE1271" i="9"/>
  <c r="AE1272" i="9"/>
  <c r="AE1273" i="9"/>
  <c r="AE1274" i="9"/>
  <c r="AE1275" i="9"/>
  <c r="AE1276" i="9"/>
  <c r="AE1277" i="9"/>
  <c r="AE1278" i="9"/>
  <c r="AE1279" i="9"/>
  <c r="AE1280" i="9"/>
  <c r="AE1281" i="9"/>
  <c r="AE1282" i="9"/>
  <c r="AE1283" i="9"/>
  <c r="AE1284" i="9"/>
  <c r="AE1285" i="9"/>
  <c r="AE1286" i="9"/>
  <c r="AE1287" i="9"/>
  <c r="AE1288" i="9"/>
  <c r="AE1289" i="9"/>
  <c r="AE1290" i="9"/>
  <c r="AE1291" i="9"/>
  <c r="AE1292" i="9"/>
  <c r="AE1293" i="9"/>
  <c r="AE1294" i="9"/>
  <c r="AE1295" i="9"/>
  <c r="AE1296" i="9"/>
  <c r="AE1297" i="9"/>
  <c r="AE1298" i="9"/>
  <c r="AE1299" i="9"/>
  <c r="AE1300" i="9"/>
  <c r="AE1301" i="9"/>
  <c r="AE1302" i="9"/>
  <c r="AE1303" i="9"/>
  <c r="AE1304" i="9"/>
  <c r="AE1305" i="9"/>
  <c r="AE1306" i="9"/>
  <c r="AE1307" i="9"/>
  <c r="AE1308" i="9"/>
  <c r="AE1309" i="9"/>
  <c r="AE1310" i="9"/>
  <c r="AE1311" i="9"/>
  <c r="AE1312" i="9"/>
  <c r="AE1313" i="9"/>
  <c r="AE1314" i="9"/>
  <c r="AE1315" i="9"/>
  <c r="AE1316" i="9"/>
  <c r="AE1317" i="9"/>
  <c r="AE1318" i="9"/>
  <c r="AE1319" i="9"/>
  <c r="AE1320" i="9"/>
  <c r="AE1321" i="9"/>
  <c r="AE1322" i="9"/>
  <c r="AE1323" i="9"/>
  <c r="AE1324" i="9"/>
  <c r="AE1325" i="9"/>
  <c r="AE1326" i="9"/>
  <c r="AE1327" i="9"/>
  <c r="AE1328" i="9"/>
  <c r="AE1329" i="9"/>
  <c r="AE1330" i="9"/>
  <c r="AE1331" i="9"/>
  <c r="AE1332" i="9"/>
  <c r="AE1333" i="9"/>
  <c r="AE1334" i="9"/>
  <c r="AE1335" i="9"/>
  <c r="AE1336" i="9"/>
  <c r="AE1337" i="9"/>
  <c r="AE1338" i="9"/>
  <c r="AE1339" i="9"/>
  <c r="AE1340" i="9"/>
  <c r="AE1341" i="9"/>
  <c r="AE1342" i="9"/>
  <c r="AE1343" i="9"/>
  <c r="AE1344" i="9"/>
  <c r="AE1345" i="9"/>
  <c r="AE1346" i="9"/>
  <c r="AE1347" i="9"/>
  <c r="AE1348" i="9"/>
  <c r="AE1349" i="9"/>
  <c r="AE1350" i="9"/>
  <c r="AE1351" i="9"/>
  <c r="AE1352" i="9"/>
  <c r="AE1353" i="9"/>
  <c r="AE1354" i="9"/>
  <c r="AE1355" i="9"/>
  <c r="AE1356" i="9"/>
  <c r="AE1357" i="9"/>
  <c r="AE1358" i="9"/>
  <c r="AE1359" i="9"/>
  <c r="AE1360" i="9"/>
  <c r="AE1361" i="9"/>
  <c r="AE1362" i="9"/>
  <c r="AE1363" i="9"/>
  <c r="AE1364" i="9"/>
  <c r="AE1365" i="9"/>
  <c r="AE1366" i="9"/>
  <c r="AE1367" i="9"/>
  <c r="AE1368" i="9"/>
  <c r="AE1369" i="9"/>
  <c r="AE1370" i="9"/>
  <c r="AE1371" i="9"/>
  <c r="AE1372" i="9"/>
  <c r="AE1373" i="9"/>
  <c r="AE1374" i="9"/>
  <c r="AE1375" i="9"/>
  <c r="AE1376" i="9"/>
  <c r="AE1377" i="9"/>
  <c r="AE1378" i="9"/>
  <c r="AE1379" i="9"/>
  <c r="AE1380" i="9"/>
  <c r="AE1381" i="9"/>
  <c r="AE1382" i="9"/>
  <c r="AE1383" i="9"/>
  <c r="AE1384" i="9"/>
  <c r="AE1385" i="9"/>
  <c r="AE1386" i="9"/>
  <c r="AE1387" i="9"/>
  <c r="AE1388" i="9"/>
  <c r="AE1389" i="9"/>
  <c r="AE1390" i="9"/>
  <c r="AE1391" i="9"/>
  <c r="AE1392" i="9"/>
  <c r="AE1393" i="9"/>
  <c r="AE1394" i="9"/>
  <c r="AE1395" i="9"/>
  <c r="AE1396" i="9"/>
  <c r="AE1397" i="9"/>
  <c r="AE1398" i="9"/>
  <c r="AE1399" i="9"/>
  <c r="AE1400" i="9"/>
  <c r="AE1401" i="9"/>
  <c r="AE1402" i="9"/>
  <c r="AE1403" i="9"/>
  <c r="AE1404" i="9"/>
  <c r="AE1405" i="9"/>
  <c r="AE1406" i="9"/>
  <c r="AE1407" i="9"/>
  <c r="AE1408" i="9"/>
  <c r="AE1409" i="9"/>
  <c r="AE1410" i="9"/>
  <c r="AE1411" i="9"/>
  <c r="AE1412" i="9"/>
  <c r="AE1413" i="9"/>
  <c r="AE1414" i="9"/>
  <c r="AE1415" i="9"/>
  <c r="AE1416" i="9"/>
  <c r="AE1417" i="9"/>
  <c r="AE1418" i="9"/>
  <c r="AE1419" i="9"/>
  <c r="AE1420" i="9"/>
  <c r="AE1421" i="9"/>
  <c r="AE1422" i="9"/>
  <c r="AE1423" i="9"/>
  <c r="AE1424" i="9"/>
  <c r="AE1425" i="9"/>
  <c r="AE1426" i="9"/>
  <c r="AE1427" i="9"/>
  <c r="AE1428" i="9"/>
  <c r="AE1429" i="9"/>
  <c r="AE1430" i="9"/>
  <c r="AE1431" i="9"/>
  <c r="AE1432" i="9"/>
  <c r="AE1433" i="9"/>
  <c r="AE1434" i="9"/>
  <c r="AE1435" i="9"/>
  <c r="AE1436" i="9"/>
  <c r="AE1437" i="9"/>
  <c r="AE1438" i="9"/>
  <c r="AE1439" i="9"/>
  <c r="AE1440" i="9"/>
  <c r="AE1441" i="9"/>
  <c r="AE1442" i="9"/>
  <c r="AE1443" i="9"/>
  <c r="AE1444" i="9"/>
  <c r="AE1445" i="9"/>
  <c r="AE1446" i="9"/>
  <c r="AE1447" i="9"/>
  <c r="AE1448" i="9"/>
  <c r="AE1449" i="9"/>
  <c r="AE1450" i="9"/>
  <c r="AE1451" i="9"/>
  <c r="AE1452" i="9"/>
  <c r="AE1453" i="9"/>
  <c r="AE1454" i="9"/>
  <c r="AE1455" i="9"/>
  <c r="AE1456" i="9"/>
  <c r="AE1457" i="9"/>
  <c r="AE1458" i="9"/>
  <c r="AE1459" i="9"/>
  <c r="AE1460" i="9"/>
  <c r="AE1461" i="9"/>
  <c r="AE1462" i="9"/>
  <c r="AE1463" i="9"/>
  <c r="AE1464" i="9"/>
  <c r="AE1465" i="9"/>
  <c r="AE1466" i="9"/>
  <c r="AE1467" i="9"/>
  <c r="AE1468" i="9"/>
  <c r="AE1469" i="9"/>
  <c r="AE1470" i="9"/>
  <c r="AE1471" i="9"/>
  <c r="AE1472" i="9"/>
  <c r="AE1473" i="9"/>
  <c r="AE1474" i="9"/>
  <c r="AE1475" i="9"/>
  <c r="AE1476" i="9"/>
  <c r="AE1477" i="9"/>
  <c r="AE1478" i="9"/>
  <c r="AE1479" i="9"/>
  <c r="AE1480" i="9"/>
  <c r="AE1481" i="9"/>
  <c r="AE1482" i="9"/>
  <c r="AE1483" i="9"/>
  <c r="AE1484" i="9"/>
  <c r="AE1485" i="9"/>
  <c r="AE1486" i="9"/>
  <c r="AE1487" i="9"/>
  <c r="AE1488" i="9"/>
  <c r="AE1489" i="9"/>
  <c r="AE1490" i="9"/>
  <c r="AE1491" i="9"/>
  <c r="AE1492" i="9"/>
  <c r="AE1493" i="9"/>
  <c r="AE1494" i="9"/>
  <c r="AE1495" i="9"/>
  <c r="AE1496" i="9"/>
  <c r="AE1497" i="9"/>
  <c r="AE1498" i="9"/>
  <c r="AE1499" i="9"/>
  <c r="AE1500" i="9"/>
  <c r="AE1501" i="9"/>
  <c r="AE1502" i="9"/>
  <c r="AE1503" i="9"/>
  <c r="AE1504" i="9"/>
  <c r="AE1505" i="9"/>
  <c r="AE1506" i="9"/>
  <c r="AE1507" i="9"/>
  <c r="AE1508" i="9"/>
  <c r="AE1509" i="9"/>
  <c r="AE1510" i="9"/>
  <c r="AE1511" i="9"/>
  <c r="AE1512" i="9"/>
  <c r="AE1513" i="9"/>
  <c r="AE1514" i="9"/>
  <c r="AE1515" i="9"/>
  <c r="AE1516" i="9"/>
  <c r="AE1517" i="9"/>
  <c r="AE1518" i="9"/>
  <c r="AE1519" i="9"/>
  <c r="AE1520" i="9"/>
  <c r="AE1521" i="9"/>
  <c r="AE1522" i="9"/>
  <c r="AE1523" i="9"/>
  <c r="AE1524" i="9"/>
  <c r="AE1525" i="9"/>
  <c r="AE1526" i="9"/>
  <c r="AE1527" i="9"/>
  <c r="AE1528" i="9"/>
  <c r="AE1529" i="9"/>
  <c r="AE1530" i="9"/>
  <c r="AE1531" i="9"/>
  <c r="AE1532" i="9"/>
  <c r="AE1533" i="9"/>
  <c r="AE1534" i="9"/>
  <c r="AE1535" i="9"/>
  <c r="AE1536" i="9"/>
  <c r="AE1537" i="9"/>
  <c r="AE1538" i="9"/>
  <c r="AE1539" i="9"/>
  <c r="AE1540" i="9"/>
  <c r="AE1541" i="9"/>
  <c r="AE1542" i="9"/>
  <c r="AE1543" i="9"/>
  <c r="AE1544" i="9"/>
  <c r="AE1545" i="9"/>
  <c r="AE1546" i="9"/>
  <c r="AE1547" i="9"/>
  <c r="AE1548" i="9"/>
  <c r="AE1549" i="9"/>
  <c r="AE1550" i="9"/>
  <c r="AE1551" i="9"/>
  <c r="AE1552" i="9"/>
  <c r="AE1553" i="9"/>
  <c r="AE1554" i="9"/>
  <c r="AE1555" i="9"/>
  <c r="AE1556" i="9"/>
  <c r="AE1557" i="9"/>
  <c r="AE1558" i="9"/>
  <c r="AE1559" i="9"/>
  <c r="AE1560" i="9"/>
  <c r="AE1561" i="9"/>
  <c r="AE1562" i="9"/>
  <c r="AE1563" i="9"/>
  <c r="AE1564" i="9"/>
  <c r="AE1565" i="9"/>
  <c r="AE1566" i="9"/>
  <c r="AE1567" i="9"/>
  <c r="AE1568" i="9"/>
  <c r="AE1569" i="9"/>
  <c r="AE1570" i="9"/>
  <c r="AE1571" i="9"/>
  <c r="AE1572" i="9"/>
  <c r="AE1573" i="9"/>
  <c r="AE1574" i="9"/>
  <c r="AE1575" i="9"/>
  <c r="AE1576" i="9"/>
  <c r="AE1577" i="9"/>
  <c r="AE1578" i="9"/>
  <c r="AE1579" i="9"/>
  <c r="AE1580" i="9"/>
  <c r="AE1581" i="9"/>
  <c r="AE1582" i="9"/>
  <c r="AE1583" i="9"/>
  <c r="AE1584" i="9"/>
  <c r="AE1585" i="9"/>
  <c r="AE1586" i="9"/>
  <c r="AE1587" i="9"/>
  <c r="AE1588" i="9"/>
  <c r="AE1589" i="9"/>
  <c r="AE1590" i="9"/>
  <c r="AE1591" i="9"/>
  <c r="AE1592" i="9"/>
  <c r="AE1593" i="9"/>
  <c r="AE1594" i="9"/>
  <c r="AE1595" i="9"/>
  <c r="AE1596" i="9"/>
  <c r="AE1597" i="9"/>
  <c r="AE1598" i="9"/>
  <c r="AE1599" i="9"/>
  <c r="AE1600" i="9"/>
  <c r="AE1601" i="9"/>
  <c r="AE1602" i="9"/>
  <c r="AE1603" i="9"/>
  <c r="AE1604" i="9"/>
  <c r="AE1605" i="9"/>
  <c r="AE1606" i="9"/>
  <c r="AE1607" i="9"/>
  <c r="AE1608" i="9"/>
  <c r="AE1609" i="9"/>
  <c r="AE1610" i="9"/>
  <c r="AE1611" i="9"/>
  <c r="AE1612" i="9"/>
  <c r="AE1613" i="9"/>
  <c r="AE1614" i="9"/>
  <c r="AE1615" i="9"/>
  <c r="AE1616" i="9"/>
  <c r="AE1617" i="9"/>
  <c r="AE1618" i="9"/>
  <c r="AE1619" i="9"/>
  <c r="AE1620" i="9"/>
  <c r="AE1621" i="9"/>
  <c r="AE1622" i="9"/>
  <c r="AE1623" i="9"/>
  <c r="AE1624" i="9"/>
  <c r="AE1625" i="9"/>
  <c r="AE1626" i="9"/>
  <c r="AE1627" i="9"/>
  <c r="AE1628" i="9"/>
  <c r="AE1629" i="9"/>
  <c r="AE1630" i="9"/>
  <c r="AE1631" i="9"/>
  <c r="AE1632" i="9"/>
  <c r="AE1633" i="9"/>
  <c r="AE1634" i="9"/>
  <c r="AE1635" i="9"/>
  <c r="AE1636" i="9"/>
  <c r="AE1637" i="9"/>
  <c r="AE1638" i="9"/>
  <c r="AE1639" i="9"/>
  <c r="AE1640" i="9"/>
  <c r="AE1641" i="9"/>
  <c r="AE1642" i="9"/>
  <c r="AE1643" i="9"/>
  <c r="AE1644" i="9"/>
  <c r="AE1645" i="9"/>
  <c r="AE1646" i="9"/>
  <c r="AE1647" i="9"/>
  <c r="AE1648" i="9"/>
  <c r="AE1649" i="9"/>
  <c r="AE1650" i="9"/>
  <c r="AE1651" i="9"/>
  <c r="AE1652" i="9"/>
  <c r="AE1653" i="9"/>
  <c r="AE1654" i="9"/>
  <c r="AE1655" i="9"/>
  <c r="AE1656" i="9"/>
  <c r="AE1657" i="9"/>
  <c r="AE1658" i="9"/>
  <c r="AE1659" i="9"/>
  <c r="AE1660" i="9"/>
  <c r="AE1661" i="9"/>
  <c r="AE1662" i="9"/>
  <c r="AE1663" i="9"/>
  <c r="AE1664" i="9"/>
  <c r="AE1665" i="9"/>
  <c r="AE1666" i="9"/>
  <c r="AE1667" i="9"/>
  <c r="AE1668" i="9"/>
  <c r="AE1669" i="9"/>
  <c r="AE1670" i="9"/>
  <c r="AE1671" i="9"/>
  <c r="AE1672" i="9"/>
  <c r="AE1673" i="9"/>
  <c r="AE1674" i="9"/>
  <c r="AE1675" i="9"/>
  <c r="AE1676" i="9"/>
  <c r="AE1677" i="9"/>
  <c r="AE1678" i="9"/>
  <c r="AE1679" i="9"/>
  <c r="AE1680" i="9"/>
  <c r="AE1681" i="9"/>
  <c r="AE1682" i="9"/>
  <c r="AE1683" i="9"/>
  <c r="AE1684" i="9"/>
  <c r="AE1685" i="9"/>
  <c r="AE1686" i="9"/>
  <c r="AE1687" i="9"/>
  <c r="AE1688" i="9"/>
  <c r="AE1689" i="9"/>
  <c r="AE1690" i="9"/>
  <c r="AE1691" i="9"/>
  <c r="AE1692" i="9"/>
  <c r="AE1693" i="9"/>
  <c r="AE1694" i="9"/>
  <c r="AE1695" i="9"/>
  <c r="AE1696" i="9"/>
  <c r="AE1697" i="9"/>
  <c r="AE1698" i="9"/>
  <c r="AE1699" i="9"/>
  <c r="AE1700" i="9"/>
  <c r="AE1701" i="9"/>
  <c r="AE1702" i="9"/>
  <c r="AE1703" i="9"/>
  <c r="AE1704" i="9"/>
  <c r="AE1705" i="9"/>
  <c r="AE1706" i="9"/>
  <c r="AE1707" i="9"/>
  <c r="AE1708" i="9"/>
  <c r="AE1709" i="9"/>
  <c r="AE1710" i="9"/>
  <c r="AE1711" i="9"/>
  <c r="AE1712" i="9"/>
  <c r="AE1713" i="9"/>
  <c r="AE1714" i="9"/>
  <c r="AE1715" i="9"/>
  <c r="AE1716" i="9"/>
  <c r="AE1717" i="9"/>
  <c r="AE1718" i="9"/>
  <c r="AE1719" i="9"/>
  <c r="AE1720" i="9"/>
  <c r="AE1721" i="9"/>
  <c r="AE1722" i="9"/>
  <c r="AE1723" i="9"/>
  <c r="AE1724" i="9"/>
  <c r="AE1725" i="9"/>
  <c r="AE1726" i="9"/>
  <c r="AE1727" i="9"/>
  <c r="AE1728" i="9"/>
  <c r="AE1729" i="9"/>
  <c r="AE1730" i="9"/>
  <c r="AE1731" i="9"/>
  <c r="AE1732" i="9"/>
  <c r="AE1733" i="9"/>
  <c r="AE1734" i="9"/>
  <c r="AE1735" i="9"/>
  <c r="AE1736" i="9"/>
  <c r="AE1737" i="9"/>
  <c r="AE1738" i="9"/>
  <c r="AE1739" i="9"/>
  <c r="AE1740" i="9"/>
  <c r="AE1741" i="9"/>
  <c r="AE1742" i="9"/>
  <c r="AE1743" i="9"/>
  <c r="AE1744" i="9"/>
  <c r="AE1745" i="9"/>
  <c r="AE1746" i="9"/>
  <c r="AE1747" i="9"/>
  <c r="AE1748" i="9"/>
  <c r="AE1749" i="9"/>
  <c r="AE1750" i="9"/>
  <c r="AE1751" i="9"/>
  <c r="AE1752" i="9"/>
  <c r="AE1753" i="9"/>
  <c r="AE1754" i="9"/>
  <c r="AE1755" i="9"/>
  <c r="AE1756" i="9"/>
  <c r="AE1757" i="9"/>
  <c r="AE1758" i="9"/>
  <c r="AE1759" i="9"/>
  <c r="AE1760" i="9"/>
  <c r="AE1761" i="9"/>
  <c r="AE1762" i="9"/>
  <c r="AE1763" i="9"/>
  <c r="AE1764" i="9"/>
  <c r="AE1765" i="9"/>
  <c r="AE1766" i="9"/>
  <c r="AE1767" i="9"/>
  <c r="AE1768" i="9"/>
  <c r="AE1769" i="9"/>
  <c r="AE1770" i="9"/>
  <c r="AE1771" i="9"/>
  <c r="AE1772" i="9"/>
  <c r="AE1773" i="9"/>
  <c r="AE1774" i="9"/>
  <c r="AE1775" i="9"/>
  <c r="AE1776" i="9"/>
  <c r="AE1777" i="9"/>
  <c r="AE1778" i="9"/>
  <c r="AE1779" i="9"/>
  <c r="AE1780" i="9"/>
  <c r="AE1781" i="9"/>
  <c r="AE1782" i="9"/>
  <c r="AE1783" i="9"/>
  <c r="AE1784" i="9"/>
  <c r="AE1785" i="9"/>
  <c r="AE1786" i="9"/>
  <c r="AE1787" i="9"/>
  <c r="AE1788" i="9"/>
  <c r="AE1789" i="9"/>
  <c r="AE1790" i="9"/>
  <c r="AE1791" i="9"/>
  <c r="AE1792" i="9"/>
  <c r="AE1793" i="9"/>
  <c r="AE1794" i="9"/>
  <c r="AE1795" i="9"/>
  <c r="AE1796" i="9"/>
  <c r="AE1797" i="9"/>
  <c r="AE1798" i="9"/>
  <c r="AE1799" i="9"/>
  <c r="AE1800" i="9"/>
  <c r="AE1801" i="9"/>
  <c r="AE1802" i="9"/>
  <c r="AE1803" i="9"/>
  <c r="AE1804" i="9"/>
  <c r="AE1805" i="9"/>
  <c r="AE1806" i="9"/>
  <c r="AE1807" i="9"/>
  <c r="AE1808" i="9"/>
  <c r="AE1809" i="9"/>
  <c r="AE1810" i="9"/>
  <c r="AE1811" i="9"/>
  <c r="AE1812" i="9"/>
  <c r="AE1813" i="9"/>
  <c r="AE1814" i="9"/>
  <c r="AE1815" i="9"/>
  <c r="AE1816" i="9"/>
  <c r="AE1817" i="9"/>
  <c r="AE1818" i="9"/>
  <c r="AE1819" i="9"/>
  <c r="AE1820" i="9"/>
  <c r="AE1821" i="9"/>
  <c r="AE1822" i="9"/>
  <c r="AE1823" i="9"/>
  <c r="AE1824" i="9"/>
  <c r="AE1825" i="9"/>
  <c r="AE1826" i="9"/>
  <c r="AE1827" i="9"/>
  <c r="AE1828" i="9"/>
  <c r="AE1829" i="9"/>
  <c r="AE1830" i="9"/>
  <c r="AE1831" i="9"/>
  <c r="AE1832" i="9"/>
  <c r="AE1833" i="9"/>
  <c r="AE1834" i="9"/>
  <c r="AE1835" i="9"/>
  <c r="AE1836" i="9"/>
  <c r="AE1837" i="9"/>
  <c r="AE1838" i="9"/>
  <c r="AE1839" i="9"/>
  <c r="AE1840" i="9"/>
  <c r="AE1841" i="9"/>
  <c r="AE1842" i="9"/>
  <c r="AE1843" i="9"/>
  <c r="AE1844" i="9"/>
  <c r="AE1845" i="9"/>
  <c r="AE1846" i="9"/>
  <c r="AE1847" i="9"/>
  <c r="AE1848" i="9"/>
  <c r="AE1849" i="9"/>
  <c r="AE1850" i="9"/>
  <c r="AE1851" i="9"/>
  <c r="AE1852" i="9"/>
  <c r="AE1853" i="9"/>
  <c r="AE1854" i="9"/>
  <c r="AE1855" i="9"/>
  <c r="AE1856" i="9"/>
  <c r="AE1857" i="9"/>
  <c r="AE1858" i="9"/>
  <c r="AE1859" i="9"/>
  <c r="AE1860" i="9"/>
  <c r="AE1861" i="9"/>
  <c r="AE1862" i="9"/>
  <c r="AE1863" i="9"/>
  <c r="AE1864" i="9"/>
  <c r="AE1865" i="9"/>
  <c r="AE1866" i="9"/>
  <c r="AE1867" i="9"/>
  <c r="AE1868" i="9"/>
  <c r="AE1869" i="9"/>
  <c r="AE1870" i="9"/>
  <c r="AE1871" i="9"/>
  <c r="AE1872" i="9"/>
  <c r="AE1873" i="9"/>
  <c r="AE1874" i="9"/>
  <c r="AE1875" i="9"/>
  <c r="AE1876" i="9"/>
  <c r="AE1877" i="9"/>
  <c r="AE1878" i="9"/>
  <c r="AE1879" i="9"/>
  <c r="AE1880" i="9"/>
  <c r="AE1881" i="9"/>
  <c r="AE1882" i="9"/>
  <c r="AE1883" i="9"/>
  <c r="AE1884" i="9"/>
  <c r="AE1885" i="9"/>
  <c r="AE1886" i="9"/>
  <c r="AE1887" i="9"/>
  <c r="AE1888" i="9"/>
  <c r="AE1889" i="9"/>
  <c r="AE1890" i="9"/>
  <c r="AE1891" i="9"/>
  <c r="AE1892" i="9"/>
  <c r="AE1893" i="9"/>
  <c r="AE1894" i="9"/>
  <c r="AE1895" i="9"/>
  <c r="AE1896" i="9"/>
  <c r="AE1897" i="9"/>
  <c r="AE1898" i="9"/>
  <c r="AE1899" i="9"/>
  <c r="AE1900" i="9"/>
  <c r="AE1901" i="9"/>
  <c r="AE1902" i="9"/>
  <c r="AE1903" i="9"/>
  <c r="AE1904" i="9"/>
  <c r="AE1905" i="9"/>
  <c r="AE1906" i="9"/>
  <c r="AE1907" i="9"/>
  <c r="AE1908" i="9"/>
  <c r="AE1909" i="9"/>
  <c r="AE1910" i="9"/>
  <c r="AE1911" i="9"/>
  <c r="AE1912" i="9"/>
  <c r="AE1913" i="9"/>
  <c r="AE1914" i="9"/>
  <c r="AE1915" i="9"/>
  <c r="AE1916" i="9"/>
  <c r="AE1917" i="9"/>
  <c r="AE1918" i="9"/>
  <c r="AE1919" i="9"/>
  <c r="AE1920" i="9"/>
  <c r="AE1921" i="9"/>
  <c r="AE1922" i="9"/>
  <c r="AE1923" i="9"/>
  <c r="AE1924" i="9"/>
  <c r="AE1925" i="9"/>
  <c r="AE1926" i="9"/>
  <c r="AE1927" i="9"/>
  <c r="AE1928" i="9"/>
  <c r="AE1929" i="9"/>
  <c r="AE1930" i="9"/>
  <c r="AE1931" i="9"/>
  <c r="AE1932" i="9"/>
  <c r="AE1933" i="9"/>
  <c r="AE1934" i="9"/>
  <c r="AE1935" i="9"/>
  <c r="AE1936" i="9"/>
  <c r="AE1937" i="9"/>
  <c r="AE1938" i="9"/>
  <c r="AE1939" i="9"/>
  <c r="AE1940" i="9"/>
  <c r="AE1941" i="9"/>
  <c r="AE1942" i="9"/>
  <c r="AE1943" i="9"/>
  <c r="AE1944" i="9"/>
  <c r="AE1945" i="9"/>
  <c r="AE1946" i="9"/>
  <c r="AE1947" i="9"/>
  <c r="AE1948" i="9"/>
  <c r="AE1949" i="9"/>
  <c r="AE1950" i="9"/>
  <c r="AE1951" i="9"/>
  <c r="AE1952" i="9"/>
  <c r="AE1953" i="9"/>
  <c r="AE1954" i="9"/>
  <c r="AE1955" i="9"/>
  <c r="AE1956" i="9"/>
  <c r="AE1957" i="9"/>
  <c r="AE1958" i="9"/>
  <c r="AE1959" i="9"/>
  <c r="AE1960" i="9"/>
  <c r="AE1961" i="9"/>
  <c r="AE1962" i="9"/>
  <c r="AE1963" i="9"/>
  <c r="AE1964" i="9"/>
  <c r="AE1965" i="9"/>
  <c r="AE1966" i="9"/>
  <c r="AE1967" i="9"/>
  <c r="AE1968" i="9"/>
  <c r="AE1969" i="9"/>
  <c r="AE1970" i="9"/>
  <c r="AE1971" i="9"/>
  <c r="AE1972" i="9"/>
  <c r="AE1973" i="9"/>
  <c r="AE1974" i="9"/>
  <c r="AE1975" i="9"/>
  <c r="AE1976" i="9"/>
  <c r="AE1977" i="9"/>
  <c r="AE1978" i="9"/>
  <c r="AE1979" i="9"/>
  <c r="AE1980" i="9"/>
  <c r="AE1981" i="9"/>
  <c r="AE1982" i="9"/>
  <c r="AE1983" i="9"/>
  <c r="AE1984" i="9"/>
  <c r="AE1985" i="9"/>
  <c r="AE1986" i="9"/>
  <c r="AE1987" i="9"/>
  <c r="AE1988" i="9"/>
  <c r="AE1989" i="9"/>
  <c r="AE1990" i="9"/>
  <c r="AE1991" i="9"/>
  <c r="AE1992" i="9"/>
  <c r="AE1993" i="9"/>
  <c r="AE1994" i="9"/>
  <c r="AE1995" i="9"/>
  <c r="AE1996" i="9"/>
  <c r="AE1997" i="9"/>
  <c r="AE1998" i="9"/>
  <c r="AE1999" i="9"/>
  <c r="AE2000" i="9"/>
  <c r="AE2001" i="9"/>
  <c r="AE2002" i="9"/>
  <c r="AE2003" i="9"/>
  <c r="AE2004" i="9"/>
  <c r="AE2005" i="9"/>
  <c r="AE2006" i="9"/>
  <c r="AE2007" i="9"/>
  <c r="AE2008" i="9"/>
  <c r="AE2009" i="9"/>
  <c r="AE2010" i="9"/>
  <c r="AE2011" i="9"/>
  <c r="AE2012" i="9"/>
  <c r="AE2013" i="9"/>
  <c r="AE2014" i="9"/>
  <c r="AE2015" i="9"/>
  <c r="AE2016" i="9"/>
  <c r="AE2017" i="9"/>
  <c r="AE2018" i="9"/>
  <c r="AE2019" i="9"/>
  <c r="AE2020" i="9"/>
  <c r="AE2021" i="9"/>
  <c r="AE2022" i="9"/>
  <c r="AE2023" i="9"/>
  <c r="AE2024" i="9"/>
  <c r="AE2025" i="9"/>
  <c r="AE2026" i="9"/>
  <c r="AE2027" i="9"/>
  <c r="AE2028" i="9"/>
  <c r="AE2029" i="9"/>
  <c r="AE2030" i="9"/>
  <c r="AE2031" i="9"/>
  <c r="AE2032" i="9"/>
  <c r="AE2033" i="9"/>
  <c r="AE2034" i="9"/>
  <c r="AE2035" i="9"/>
  <c r="AE2036" i="9"/>
  <c r="AE2037" i="9"/>
  <c r="AE2038" i="9"/>
  <c r="AE2039" i="9"/>
  <c r="AE2040" i="9"/>
  <c r="AE2041" i="9"/>
  <c r="AE2042" i="9"/>
  <c r="AE2043" i="9"/>
  <c r="AE2044" i="9"/>
  <c r="AE2045" i="9"/>
  <c r="AE2046" i="9"/>
  <c r="AE2047" i="9"/>
  <c r="AE2048" i="9"/>
  <c r="AE2049" i="9"/>
  <c r="AE2050" i="9"/>
  <c r="AE2051" i="9"/>
  <c r="AE2052" i="9"/>
  <c r="AE2053" i="9"/>
  <c r="AE2054" i="9"/>
  <c r="AE2055" i="9"/>
  <c r="AE2056" i="9"/>
  <c r="AE2057" i="9"/>
  <c r="AE2058" i="9"/>
  <c r="AE2059" i="9"/>
  <c r="AE2060" i="9"/>
  <c r="AE2061" i="9"/>
  <c r="AE2062" i="9"/>
  <c r="AE2063" i="9"/>
  <c r="AE2064" i="9"/>
  <c r="AE2065" i="9"/>
  <c r="AE2066" i="9"/>
  <c r="AE2067" i="9"/>
  <c r="AE2068" i="9"/>
  <c r="AE2069" i="9"/>
  <c r="AE2070" i="9"/>
  <c r="AE2071" i="9"/>
  <c r="AE2072" i="9"/>
  <c r="AE2073" i="9"/>
  <c r="AE2074" i="9"/>
  <c r="AE2075" i="9"/>
  <c r="AE2076" i="9"/>
  <c r="AE2077" i="9"/>
  <c r="AE2078" i="9"/>
  <c r="AE2079" i="9"/>
  <c r="AE2080" i="9"/>
  <c r="AE2081" i="9"/>
  <c r="AE2082" i="9"/>
  <c r="AE2083" i="9"/>
  <c r="AE2084" i="9"/>
  <c r="AE2085" i="9"/>
  <c r="AE2086" i="9"/>
  <c r="AE2087" i="9"/>
  <c r="AE2088" i="9"/>
  <c r="AE2089" i="9"/>
  <c r="AE2090" i="9"/>
  <c r="AE2091" i="9"/>
  <c r="AE2092" i="9"/>
  <c r="AE2093" i="9"/>
  <c r="AE2094" i="9"/>
  <c r="AE2095" i="9"/>
  <c r="AE2096" i="9"/>
  <c r="AE2097" i="9"/>
  <c r="AE2098" i="9"/>
  <c r="AE2099" i="9"/>
  <c r="AE2100" i="9"/>
  <c r="AE2101" i="9"/>
  <c r="AE2102" i="9"/>
  <c r="AE2103" i="9"/>
  <c r="AE2104" i="9"/>
  <c r="AE2105" i="9"/>
  <c r="AE2106" i="9"/>
  <c r="AE2107" i="9"/>
  <c r="AE2108" i="9"/>
  <c r="AE2109" i="9"/>
  <c r="AE2110" i="9"/>
  <c r="AE2111" i="9"/>
  <c r="AE2112" i="9"/>
  <c r="AE2113" i="9"/>
  <c r="AE2114" i="9"/>
  <c r="AE2115" i="9"/>
  <c r="AE2116" i="9"/>
  <c r="AE2117" i="9"/>
  <c r="AE2118" i="9"/>
  <c r="AE2119" i="9"/>
  <c r="AE2120" i="9"/>
  <c r="AE2121" i="9"/>
  <c r="AE2122" i="9"/>
  <c r="AE2123" i="9"/>
  <c r="AE2124" i="9"/>
  <c r="AE2125" i="9"/>
  <c r="AE2126" i="9"/>
  <c r="AE2127" i="9"/>
  <c r="AE2128" i="9"/>
  <c r="AE2129" i="9"/>
  <c r="AE2130" i="9"/>
  <c r="AE2131" i="9"/>
  <c r="AE2132" i="9"/>
  <c r="AE2133" i="9"/>
  <c r="AE2134" i="9"/>
  <c r="AE2135" i="9"/>
  <c r="AE2136" i="9"/>
  <c r="AE2137" i="9"/>
  <c r="AE2138" i="9"/>
  <c r="AE2139" i="9"/>
  <c r="AE2140" i="9"/>
  <c r="AE2141" i="9"/>
  <c r="AE2142" i="9"/>
  <c r="AE2143" i="9"/>
  <c r="AE2144" i="9"/>
  <c r="AE2145" i="9"/>
  <c r="AE2146" i="9"/>
  <c r="AE2147" i="9"/>
  <c r="AE2148" i="9"/>
  <c r="AE2149" i="9"/>
  <c r="AE2150" i="9"/>
  <c r="AE2151" i="9"/>
  <c r="AE2152" i="9"/>
  <c r="AE2153" i="9"/>
  <c r="AE2154" i="9"/>
  <c r="AE2155" i="9"/>
  <c r="AE2156" i="9"/>
  <c r="AE2157" i="9"/>
  <c r="AE2158" i="9"/>
  <c r="AE2159" i="9"/>
  <c r="AE2160" i="9"/>
  <c r="AE2161" i="9"/>
  <c r="AE2162" i="9"/>
  <c r="AE2163" i="9"/>
  <c r="AE2164" i="9"/>
  <c r="AE2165" i="9"/>
  <c r="AE2166" i="9"/>
  <c r="AE2167" i="9"/>
  <c r="AE2168" i="9"/>
  <c r="AE2169" i="9"/>
  <c r="AE2170" i="9"/>
  <c r="AE2171" i="9"/>
  <c r="AE2172" i="9"/>
  <c r="AE2173" i="9"/>
  <c r="AE2174" i="9"/>
  <c r="AE2175" i="9"/>
  <c r="AE2176" i="9"/>
  <c r="AE2177" i="9"/>
  <c r="AE2178" i="9"/>
  <c r="AE2179" i="9"/>
  <c r="AE2180" i="9"/>
  <c r="AE2181" i="9"/>
  <c r="AE2182" i="9"/>
  <c r="AE2183" i="9"/>
  <c r="AE2184" i="9"/>
  <c r="AE2185" i="9"/>
  <c r="AE2186" i="9"/>
  <c r="AE2187" i="9"/>
  <c r="AE2188" i="9"/>
  <c r="AE2189" i="9"/>
  <c r="AE2190" i="9"/>
  <c r="AE2191" i="9"/>
  <c r="AE2192" i="9"/>
  <c r="AE2193" i="9"/>
  <c r="AE2194" i="9"/>
  <c r="AE2195" i="9"/>
  <c r="AE2196" i="9"/>
  <c r="AE2197" i="9"/>
  <c r="AE2198" i="9"/>
  <c r="AE2199" i="9"/>
  <c r="AE2200" i="9"/>
  <c r="AE2201" i="9"/>
  <c r="AE2202" i="9"/>
  <c r="AE2203" i="9"/>
  <c r="AE2204" i="9"/>
  <c r="AE2205" i="9"/>
  <c r="AE2206" i="9"/>
  <c r="AE2207" i="9"/>
  <c r="AE2208" i="9"/>
  <c r="AE2209" i="9"/>
  <c r="AE2210" i="9"/>
  <c r="AE2211" i="9"/>
  <c r="AE2212" i="9"/>
  <c r="AE2213" i="9"/>
  <c r="AE2214" i="9"/>
  <c r="AE2215" i="9"/>
  <c r="AE2216" i="9"/>
  <c r="AE2217" i="9"/>
  <c r="AE2218" i="9"/>
  <c r="AE2219" i="9"/>
  <c r="AE2220" i="9"/>
  <c r="AE2221" i="9"/>
  <c r="AE2222" i="9"/>
  <c r="AE2223" i="9"/>
  <c r="AE2224" i="9"/>
  <c r="AE2225" i="9"/>
  <c r="AE2226" i="9"/>
  <c r="AE2227" i="9"/>
  <c r="AE2228" i="9"/>
  <c r="AE2229" i="9"/>
  <c r="AE2230" i="9"/>
  <c r="AE2231" i="9"/>
  <c r="AE2232" i="9"/>
  <c r="AE2233" i="9"/>
  <c r="AE2234" i="9"/>
  <c r="AE2235" i="9"/>
  <c r="AE2236" i="9"/>
  <c r="AE2237" i="9"/>
  <c r="AE2238" i="9"/>
  <c r="AE2239" i="9"/>
  <c r="AE2240" i="9"/>
  <c r="AE2241" i="9"/>
  <c r="AE2242" i="9"/>
  <c r="AE2243" i="9"/>
  <c r="AE2244" i="9"/>
  <c r="AE2245" i="9"/>
  <c r="AE2246" i="9"/>
  <c r="AE2247" i="9"/>
  <c r="AE2248" i="9"/>
  <c r="AE2249" i="9"/>
  <c r="AE2250" i="9"/>
  <c r="AE2251" i="9"/>
  <c r="AE2252" i="9"/>
  <c r="AE2253" i="9"/>
  <c r="AE2254" i="9"/>
  <c r="AE2255" i="9"/>
  <c r="AE2256" i="9"/>
  <c r="AE2257" i="9"/>
  <c r="AE2258" i="9"/>
  <c r="AE2259" i="9"/>
  <c r="AE2260" i="9"/>
  <c r="AE2261" i="9"/>
  <c r="AE2262" i="9"/>
  <c r="AE2263" i="9"/>
  <c r="AE2264" i="9"/>
  <c r="AE2265" i="9"/>
  <c r="AE2266" i="9"/>
  <c r="AE2267" i="9"/>
  <c r="AE2268" i="9"/>
  <c r="AE2269" i="9"/>
  <c r="AE2270" i="9"/>
  <c r="AE2271" i="9"/>
  <c r="AE2272" i="9"/>
  <c r="AE2273" i="9"/>
  <c r="AE2274" i="9"/>
  <c r="AE2275" i="9"/>
  <c r="AE2276" i="9"/>
  <c r="AE2277" i="9"/>
  <c r="AE2278" i="9"/>
  <c r="AE2279" i="9"/>
  <c r="AE2280" i="9"/>
  <c r="AE2281" i="9"/>
  <c r="AE2282" i="9"/>
  <c r="AE2283" i="9"/>
  <c r="AE2284" i="9"/>
  <c r="AE2285" i="9"/>
  <c r="AE2286" i="9"/>
  <c r="AE2287" i="9"/>
  <c r="AE2288" i="9"/>
  <c r="AE2289" i="9"/>
  <c r="AE2290" i="9"/>
  <c r="AE2291" i="9"/>
  <c r="AE2292" i="9"/>
  <c r="AE2293" i="9"/>
  <c r="AE2294" i="9"/>
  <c r="AE2295" i="9"/>
  <c r="AE2296" i="9"/>
  <c r="AE2297" i="9"/>
  <c r="AE2298" i="9"/>
  <c r="AE2299" i="9"/>
  <c r="AE2300" i="9"/>
  <c r="AE2301" i="9"/>
  <c r="AE2302" i="9"/>
  <c r="AE2303" i="9"/>
  <c r="AE2304" i="9"/>
  <c r="AE2305" i="9"/>
  <c r="AE2306" i="9"/>
  <c r="AE2307" i="9"/>
  <c r="AE2308" i="9"/>
  <c r="AE2309" i="9"/>
  <c r="AE2310" i="9"/>
  <c r="AE2311" i="9"/>
  <c r="AE2312" i="9"/>
  <c r="AE2313" i="9"/>
  <c r="AE2314" i="9"/>
  <c r="AE2315" i="9"/>
  <c r="AE2316" i="9"/>
  <c r="AE2317" i="9"/>
  <c r="AE2318" i="9"/>
  <c r="AE2319" i="9"/>
  <c r="AE2320" i="9"/>
  <c r="AE2321" i="9"/>
  <c r="AE2322" i="9"/>
  <c r="AE2323" i="9"/>
  <c r="AE2324" i="9"/>
  <c r="AE2325" i="9"/>
  <c r="AE2326" i="9"/>
  <c r="AE2327" i="9"/>
  <c r="AE2328" i="9"/>
  <c r="AE2329" i="9"/>
  <c r="AE2330" i="9"/>
  <c r="AE2331" i="9"/>
  <c r="AE2332" i="9"/>
  <c r="AE2333" i="9"/>
  <c r="AE2334" i="9"/>
  <c r="AE2335" i="9"/>
  <c r="AE2336" i="9"/>
  <c r="AE2337" i="9"/>
  <c r="AE2338" i="9"/>
  <c r="AE2339" i="9"/>
  <c r="AE2340" i="9"/>
  <c r="AE2341" i="9"/>
  <c r="AE2342" i="9"/>
  <c r="AE2343" i="9"/>
  <c r="AE2344" i="9"/>
  <c r="AE2345" i="9"/>
  <c r="AE2346" i="9"/>
  <c r="AE2347" i="9"/>
  <c r="AE2348" i="9"/>
  <c r="AE2349" i="9"/>
  <c r="AE2350" i="9"/>
  <c r="AE2351" i="9"/>
  <c r="AE2352" i="9"/>
  <c r="AE2353" i="9"/>
  <c r="AE2354" i="9"/>
  <c r="AE2355" i="9"/>
  <c r="AE2356" i="9"/>
  <c r="AE2357" i="9"/>
  <c r="AE2358" i="9"/>
  <c r="AE2359" i="9"/>
  <c r="AE2360" i="9"/>
  <c r="AE2361" i="9"/>
  <c r="AE2362" i="9"/>
  <c r="AE2363" i="9"/>
  <c r="AE2364" i="9"/>
  <c r="AE2365" i="9"/>
  <c r="AE2366" i="9"/>
  <c r="AE2367" i="9"/>
  <c r="AE2368" i="9"/>
  <c r="AE2369" i="9"/>
  <c r="AE2370" i="9"/>
  <c r="AE2371" i="9"/>
  <c r="AE2372" i="9"/>
  <c r="AE2373" i="9"/>
  <c r="AE2374" i="9"/>
  <c r="AE2375" i="9"/>
  <c r="AE2376" i="9"/>
  <c r="AE2377" i="9"/>
  <c r="AE2378" i="9"/>
  <c r="AE2379" i="9"/>
  <c r="AE2380" i="9"/>
  <c r="AE2381" i="9"/>
  <c r="AE2382" i="9"/>
  <c r="AE2383" i="9"/>
  <c r="AE2384" i="9"/>
  <c r="AE2385" i="9"/>
  <c r="AE2386" i="9"/>
  <c r="AE2387" i="9"/>
  <c r="AE2388" i="9"/>
  <c r="AE2389" i="9"/>
  <c r="AE2390" i="9"/>
  <c r="AE2391" i="9"/>
  <c r="AE2392" i="9"/>
  <c r="AE2393" i="9"/>
  <c r="AE2394" i="9"/>
  <c r="AE2395" i="9"/>
  <c r="AE2396" i="9"/>
  <c r="AE2397" i="9"/>
  <c r="AE2398" i="9"/>
  <c r="AE2399" i="9"/>
  <c r="AE2400" i="9"/>
  <c r="AE2401" i="9"/>
  <c r="AE2402" i="9"/>
  <c r="AE2403" i="9"/>
  <c r="AE2404" i="9"/>
  <c r="AE2405" i="9"/>
  <c r="AE2406" i="9"/>
  <c r="AE2407" i="9"/>
  <c r="AE2408" i="9"/>
  <c r="AE2409" i="9"/>
  <c r="AE2410" i="9"/>
  <c r="AE2411" i="9"/>
  <c r="AE2412" i="9"/>
  <c r="AE2413" i="9"/>
  <c r="AE2414" i="9"/>
  <c r="AE2415" i="9"/>
  <c r="AE2416" i="9"/>
  <c r="AE2417" i="9"/>
  <c r="AE2418" i="9"/>
  <c r="AE2419" i="9"/>
  <c r="AE2420" i="9"/>
  <c r="AE2421" i="9"/>
  <c r="AE2422" i="9"/>
  <c r="AE2423" i="9"/>
  <c r="AE2424" i="9"/>
  <c r="AE2425" i="9"/>
  <c r="AE2426" i="9"/>
  <c r="AE2427" i="9"/>
  <c r="AE2428" i="9"/>
  <c r="AE2429" i="9"/>
  <c r="AE2430" i="9"/>
  <c r="AE2431" i="9"/>
  <c r="AE2432" i="9"/>
  <c r="AE2433" i="9"/>
  <c r="AE2434" i="9"/>
  <c r="AE2435" i="9"/>
  <c r="AE2436" i="9"/>
  <c r="AE2437" i="9"/>
  <c r="AE2438" i="9"/>
  <c r="AE2439" i="9"/>
  <c r="AE2440" i="9"/>
  <c r="AE2441" i="9"/>
  <c r="AE2442" i="9"/>
  <c r="AE2443" i="9"/>
  <c r="AE2444" i="9"/>
  <c r="AE2445" i="9"/>
  <c r="AE2446" i="9"/>
  <c r="AE2447" i="9"/>
  <c r="AE2448" i="9"/>
  <c r="AE2449" i="9"/>
  <c r="AE2450" i="9"/>
  <c r="AE2451" i="9"/>
  <c r="AE2452" i="9"/>
  <c r="AE2453" i="9"/>
  <c r="AE2454" i="9"/>
  <c r="AE2455" i="9"/>
  <c r="AE2456" i="9"/>
  <c r="AE2457" i="9"/>
  <c r="AE2458" i="9"/>
  <c r="AE2459" i="9"/>
  <c r="AE2460" i="9"/>
  <c r="AE2461" i="9"/>
  <c r="AE2462" i="9"/>
  <c r="AE2463" i="9"/>
  <c r="AE2464" i="9"/>
  <c r="AE2465" i="9"/>
  <c r="AE2466" i="9"/>
  <c r="AE2467" i="9"/>
  <c r="AE2468" i="9"/>
  <c r="AE2469" i="9"/>
  <c r="AE2470" i="9"/>
  <c r="AE2471" i="9"/>
  <c r="AE2472" i="9"/>
  <c r="AE2473" i="9"/>
  <c r="AE2474" i="9"/>
  <c r="AE2475" i="9"/>
  <c r="AE2476" i="9"/>
  <c r="AE2477" i="9"/>
  <c r="AE2478" i="9"/>
  <c r="AE2479" i="9"/>
  <c r="AE2480" i="9"/>
  <c r="AE2481" i="9"/>
  <c r="AE2482" i="9"/>
  <c r="AE2483" i="9"/>
  <c r="AE2484" i="9"/>
  <c r="AE2485" i="9"/>
  <c r="AE2486" i="9"/>
  <c r="AE2487" i="9"/>
  <c r="AE2488" i="9"/>
  <c r="AE2489" i="9"/>
  <c r="AE2490" i="9"/>
  <c r="AE2491" i="9"/>
  <c r="AE2492" i="9"/>
  <c r="AE2493" i="9"/>
  <c r="AE2494" i="9"/>
  <c r="AE2495" i="9"/>
  <c r="AE2496" i="9"/>
  <c r="AE2497" i="9"/>
  <c r="AE2498" i="9"/>
  <c r="AE2499" i="9"/>
  <c r="AE2500" i="9"/>
  <c r="AE2501" i="9"/>
  <c r="AE2502" i="9"/>
  <c r="AE2503" i="9"/>
  <c r="AE2504" i="9"/>
  <c r="AE2505" i="9"/>
  <c r="AE2506" i="9"/>
  <c r="AE2507" i="9"/>
  <c r="AE2508" i="9"/>
  <c r="AE2509" i="9"/>
  <c r="AE2510" i="9"/>
  <c r="AE2511" i="9"/>
  <c r="AE2512" i="9"/>
  <c r="AE2513" i="9"/>
  <c r="AE2514" i="9"/>
  <c r="AE2515" i="9"/>
  <c r="AE2516" i="9"/>
  <c r="AE2517" i="9"/>
  <c r="AE2518" i="9"/>
  <c r="AE2519" i="9"/>
  <c r="AE2520" i="9"/>
  <c r="AE2521" i="9"/>
  <c r="AE2522" i="9"/>
  <c r="AE2523" i="9"/>
  <c r="AE2524" i="9"/>
  <c r="AE2525" i="9"/>
  <c r="AE2526" i="9"/>
  <c r="AE2527" i="9"/>
  <c r="AE2528" i="9"/>
  <c r="AE2529" i="9"/>
  <c r="AE2530" i="9"/>
  <c r="AE2531" i="9"/>
  <c r="AE2532" i="9"/>
  <c r="AE2533" i="9"/>
  <c r="AE2534" i="9"/>
  <c r="AE2535" i="9"/>
  <c r="AE2536" i="9"/>
  <c r="AE2537" i="9"/>
  <c r="AE2538" i="9"/>
  <c r="AE2539" i="9"/>
  <c r="AE2540" i="9"/>
  <c r="AE2541" i="9"/>
  <c r="AE2542" i="9"/>
  <c r="AE2543" i="9"/>
  <c r="AE2544" i="9"/>
  <c r="AE2545" i="9"/>
  <c r="AE2546" i="9"/>
  <c r="AE2547" i="9"/>
  <c r="AE2548" i="9"/>
  <c r="AE2549" i="9"/>
  <c r="AE2550" i="9"/>
  <c r="AE2551" i="9"/>
  <c r="AE2552" i="9"/>
  <c r="AE2553" i="9"/>
  <c r="AE2554" i="9"/>
  <c r="AE2555" i="9"/>
  <c r="AE2556" i="9"/>
  <c r="AE2557" i="9"/>
  <c r="AE2558" i="9"/>
  <c r="AE2559" i="9"/>
  <c r="AE2560" i="9"/>
  <c r="AE2561" i="9"/>
  <c r="AE2562" i="9"/>
  <c r="AE2563" i="9"/>
  <c r="AE2564" i="9"/>
  <c r="AE2565" i="9"/>
  <c r="AE2566" i="9"/>
  <c r="AE2567" i="9"/>
  <c r="AE2568" i="9"/>
  <c r="AE2569" i="9"/>
  <c r="AE2570" i="9"/>
  <c r="AE2571" i="9"/>
  <c r="AE2572" i="9"/>
  <c r="AE2573" i="9"/>
  <c r="AE2574" i="9"/>
  <c r="AE2575" i="9"/>
  <c r="AE2576" i="9"/>
  <c r="AE2577" i="9"/>
  <c r="AE2578" i="9"/>
  <c r="AE2579" i="9"/>
  <c r="AE2580" i="9"/>
  <c r="AE2581" i="9"/>
  <c r="AE2582" i="9"/>
  <c r="AE2583" i="9"/>
  <c r="AE2584" i="9"/>
  <c r="AE2585" i="9"/>
  <c r="AE2586" i="9"/>
  <c r="AE2587" i="9"/>
  <c r="AE2588" i="9"/>
  <c r="AE2589" i="9"/>
  <c r="AE2590" i="9"/>
  <c r="AE2591" i="9"/>
  <c r="AE2592" i="9"/>
  <c r="AE2593" i="9"/>
  <c r="AE2594" i="9"/>
  <c r="AE2595" i="9"/>
  <c r="AE2596" i="9"/>
  <c r="AE2597" i="9"/>
  <c r="AE2598" i="9"/>
  <c r="AE2599" i="9"/>
  <c r="AE2600" i="9"/>
  <c r="AE2601" i="9"/>
  <c r="AE2602" i="9"/>
  <c r="AE2603" i="9"/>
  <c r="AE2604" i="9"/>
  <c r="AE2605" i="9"/>
  <c r="AE2606" i="9"/>
  <c r="AE2607" i="9"/>
  <c r="AE2608" i="9"/>
  <c r="AE2609" i="9"/>
  <c r="AE2610" i="9"/>
  <c r="AE2611" i="9"/>
  <c r="AE2612" i="9"/>
  <c r="AE2613" i="9"/>
  <c r="AE2614" i="9"/>
  <c r="AE2615" i="9"/>
  <c r="AE2616" i="9"/>
  <c r="AE2617" i="9"/>
  <c r="AE2618" i="9"/>
  <c r="AE2619" i="9"/>
  <c r="AE2620" i="9"/>
  <c r="AE2621" i="9"/>
  <c r="AE2622" i="9"/>
  <c r="AE2623" i="9"/>
  <c r="AE2624" i="9"/>
  <c r="AE2625" i="9"/>
  <c r="AE2626" i="9"/>
  <c r="AE2627" i="9"/>
  <c r="AE2628" i="9"/>
  <c r="AE2629" i="9"/>
  <c r="AE2630" i="9"/>
  <c r="AE2631" i="9"/>
  <c r="AE2632" i="9"/>
  <c r="AE2633" i="9"/>
  <c r="AE2634" i="9"/>
  <c r="AE2635" i="9"/>
  <c r="AE2636" i="9"/>
  <c r="AE2637" i="9"/>
  <c r="AE2638" i="9"/>
  <c r="AE2639" i="9"/>
  <c r="AE2640" i="9"/>
  <c r="AE2641" i="9"/>
  <c r="AE2642" i="9"/>
  <c r="AE2643" i="9"/>
  <c r="AE2644" i="9"/>
  <c r="AE2645" i="9"/>
  <c r="AE2646" i="9"/>
  <c r="AE2647" i="9"/>
  <c r="AE2648" i="9"/>
  <c r="Q2891" i="9" l="1"/>
  <c r="R2890" i="9"/>
  <c r="S2890" i="9"/>
  <c r="Q2856" i="9"/>
  <c r="R2855" i="9"/>
  <c r="S2855" i="9"/>
  <c r="S2683" i="9"/>
  <c r="R2683" i="9"/>
  <c r="Q2684" i="9"/>
  <c r="Q2685" i="9" s="1"/>
  <c r="T13" i="9"/>
  <c r="T14" i="9"/>
  <c r="T15" i="9"/>
  <c r="T16" i="9"/>
  <c r="T17" i="9"/>
  <c r="T18" i="9"/>
  <c r="T19" i="9"/>
  <c r="T20" i="9"/>
  <c r="T21" i="9"/>
  <c r="T22" i="9"/>
  <c r="T23" i="9"/>
  <c r="T24" i="9"/>
  <c r="T25" i="9"/>
  <c r="T26" i="9"/>
  <c r="T27" i="9"/>
  <c r="T28" i="9"/>
  <c r="T29" i="9"/>
  <c r="T30" i="9"/>
  <c r="T31" i="9"/>
  <c r="T32" i="9"/>
  <c r="T33" i="9"/>
  <c r="T34" i="9"/>
  <c r="T35" i="9"/>
  <c r="T36" i="9"/>
  <c r="T37" i="9"/>
  <c r="T38" i="9"/>
  <c r="T39" i="9"/>
  <c r="T40" i="9"/>
  <c r="T41" i="9"/>
  <c r="T42" i="9"/>
  <c r="T43" i="9"/>
  <c r="T44" i="9"/>
  <c r="T45" i="9"/>
  <c r="T46" i="9"/>
  <c r="T47" i="9"/>
  <c r="T48" i="9"/>
  <c r="T49" i="9"/>
  <c r="T50" i="9"/>
  <c r="T51" i="9"/>
  <c r="T52" i="9"/>
  <c r="T53" i="9"/>
  <c r="T54" i="9"/>
  <c r="T55" i="9"/>
  <c r="T56" i="9"/>
  <c r="T57" i="9"/>
  <c r="T58" i="9"/>
  <c r="T59" i="9"/>
  <c r="T60" i="9"/>
  <c r="T61" i="9"/>
  <c r="T62" i="9"/>
  <c r="T63" i="9"/>
  <c r="T64" i="9"/>
  <c r="T65" i="9"/>
  <c r="T66" i="9"/>
  <c r="T67" i="9"/>
  <c r="T68" i="9"/>
  <c r="T69" i="9"/>
  <c r="T70" i="9"/>
  <c r="T71" i="9"/>
  <c r="T72" i="9"/>
  <c r="T73" i="9"/>
  <c r="T74" i="9"/>
  <c r="T75" i="9"/>
  <c r="T76" i="9"/>
  <c r="T77" i="9"/>
  <c r="T78" i="9"/>
  <c r="T79" i="9"/>
  <c r="T80" i="9"/>
  <c r="T81" i="9"/>
  <c r="T82" i="9"/>
  <c r="T83" i="9"/>
  <c r="T84" i="9"/>
  <c r="T85" i="9"/>
  <c r="T86" i="9"/>
  <c r="T87" i="9"/>
  <c r="T88" i="9"/>
  <c r="T89" i="9"/>
  <c r="T90" i="9"/>
  <c r="T91" i="9"/>
  <c r="T92" i="9"/>
  <c r="T93" i="9"/>
  <c r="T94" i="9"/>
  <c r="T95" i="9"/>
  <c r="T96" i="9"/>
  <c r="T97" i="9"/>
  <c r="T98" i="9"/>
  <c r="T99" i="9"/>
  <c r="T100" i="9"/>
  <c r="T101" i="9"/>
  <c r="T102" i="9"/>
  <c r="T103" i="9"/>
  <c r="T104" i="9"/>
  <c r="T105" i="9"/>
  <c r="T106" i="9"/>
  <c r="T107" i="9"/>
  <c r="T108" i="9"/>
  <c r="T109" i="9"/>
  <c r="T110" i="9"/>
  <c r="T111" i="9"/>
  <c r="T112" i="9"/>
  <c r="T113" i="9"/>
  <c r="T114" i="9"/>
  <c r="T115" i="9"/>
  <c r="T116" i="9"/>
  <c r="T117" i="9"/>
  <c r="T118" i="9"/>
  <c r="T119" i="9"/>
  <c r="T120" i="9"/>
  <c r="T121" i="9"/>
  <c r="T122" i="9"/>
  <c r="T123" i="9"/>
  <c r="T124" i="9"/>
  <c r="T125" i="9"/>
  <c r="T126" i="9"/>
  <c r="T127" i="9"/>
  <c r="T128" i="9"/>
  <c r="T129" i="9"/>
  <c r="T130" i="9"/>
  <c r="T131" i="9"/>
  <c r="T132" i="9"/>
  <c r="T133" i="9"/>
  <c r="T134" i="9"/>
  <c r="T135" i="9"/>
  <c r="T136" i="9"/>
  <c r="T137" i="9"/>
  <c r="T138" i="9"/>
  <c r="T139" i="9"/>
  <c r="T140" i="9"/>
  <c r="T141" i="9"/>
  <c r="T142" i="9"/>
  <c r="T143" i="9"/>
  <c r="T144" i="9"/>
  <c r="T145" i="9"/>
  <c r="T146" i="9"/>
  <c r="T147" i="9"/>
  <c r="T148" i="9"/>
  <c r="T149" i="9"/>
  <c r="T150" i="9"/>
  <c r="T151" i="9"/>
  <c r="T152" i="9"/>
  <c r="T153" i="9"/>
  <c r="T154" i="9"/>
  <c r="T155" i="9"/>
  <c r="T156" i="9"/>
  <c r="T157" i="9"/>
  <c r="T158" i="9"/>
  <c r="T159" i="9"/>
  <c r="T160" i="9"/>
  <c r="T161" i="9"/>
  <c r="T162" i="9"/>
  <c r="T163" i="9"/>
  <c r="T164" i="9"/>
  <c r="T165" i="9"/>
  <c r="T166" i="9"/>
  <c r="T167" i="9"/>
  <c r="T168" i="9"/>
  <c r="T169" i="9"/>
  <c r="T170" i="9"/>
  <c r="T171" i="9"/>
  <c r="T172" i="9"/>
  <c r="T173" i="9"/>
  <c r="T174" i="9"/>
  <c r="T175" i="9"/>
  <c r="T176" i="9"/>
  <c r="T177" i="9"/>
  <c r="T178" i="9"/>
  <c r="T179" i="9"/>
  <c r="T180" i="9"/>
  <c r="T181" i="9"/>
  <c r="T182" i="9"/>
  <c r="T183" i="9"/>
  <c r="T184" i="9"/>
  <c r="T185" i="9"/>
  <c r="T186" i="9"/>
  <c r="T187" i="9"/>
  <c r="T188" i="9"/>
  <c r="T189" i="9"/>
  <c r="T190" i="9"/>
  <c r="T191" i="9"/>
  <c r="T192" i="9"/>
  <c r="T193" i="9"/>
  <c r="T194" i="9"/>
  <c r="T195" i="9"/>
  <c r="T196" i="9"/>
  <c r="T197" i="9"/>
  <c r="T198" i="9"/>
  <c r="T199" i="9"/>
  <c r="T200" i="9"/>
  <c r="T201" i="9"/>
  <c r="T202" i="9"/>
  <c r="T203" i="9"/>
  <c r="T204" i="9"/>
  <c r="T205" i="9"/>
  <c r="T206" i="9"/>
  <c r="T207" i="9"/>
  <c r="T208" i="9"/>
  <c r="T209" i="9"/>
  <c r="T210" i="9"/>
  <c r="T211" i="9"/>
  <c r="T212" i="9"/>
  <c r="T213" i="9"/>
  <c r="T214" i="9"/>
  <c r="T215" i="9"/>
  <c r="T216" i="9"/>
  <c r="T217" i="9"/>
  <c r="T218" i="9"/>
  <c r="T219" i="9"/>
  <c r="T220" i="9"/>
  <c r="T221" i="9"/>
  <c r="T222" i="9"/>
  <c r="T223" i="9"/>
  <c r="T224" i="9"/>
  <c r="T225" i="9"/>
  <c r="T226" i="9"/>
  <c r="T227" i="9"/>
  <c r="T228" i="9"/>
  <c r="T229" i="9"/>
  <c r="T230" i="9"/>
  <c r="T231" i="9"/>
  <c r="T232" i="9"/>
  <c r="T233" i="9"/>
  <c r="T234" i="9"/>
  <c r="T235" i="9"/>
  <c r="T236" i="9"/>
  <c r="T237" i="9"/>
  <c r="T238" i="9"/>
  <c r="T239" i="9"/>
  <c r="T240" i="9"/>
  <c r="T241" i="9"/>
  <c r="T242" i="9"/>
  <c r="T243" i="9"/>
  <c r="T244" i="9"/>
  <c r="T245" i="9"/>
  <c r="T246" i="9"/>
  <c r="T247" i="9"/>
  <c r="T248" i="9"/>
  <c r="T249" i="9"/>
  <c r="T250" i="9"/>
  <c r="T251" i="9"/>
  <c r="T252" i="9"/>
  <c r="T253" i="9"/>
  <c r="T254" i="9"/>
  <c r="T255" i="9"/>
  <c r="T256" i="9"/>
  <c r="T257" i="9"/>
  <c r="T258" i="9"/>
  <c r="T259" i="9"/>
  <c r="T260" i="9"/>
  <c r="T261" i="9"/>
  <c r="T262" i="9"/>
  <c r="T263" i="9"/>
  <c r="T264" i="9"/>
  <c r="T265" i="9"/>
  <c r="T266" i="9"/>
  <c r="T267" i="9"/>
  <c r="T268" i="9"/>
  <c r="T269" i="9"/>
  <c r="T270" i="9"/>
  <c r="T271" i="9"/>
  <c r="T272" i="9"/>
  <c r="T273" i="9"/>
  <c r="T274" i="9"/>
  <c r="T275" i="9"/>
  <c r="T276" i="9"/>
  <c r="T277" i="9"/>
  <c r="T278" i="9"/>
  <c r="T279" i="9"/>
  <c r="T280" i="9"/>
  <c r="T281" i="9"/>
  <c r="T282" i="9"/>
  <c r="T283" i="9"/>
  <c r="T284" i="9"/>
  <c r="T285" i="9"/>
  <c r="T286" i="9"/>
  <c r="T287" i="9"/>
  <c r="T288" i="9"/>
  <c r="T289" i="9"/>
  <c r="T290" i="9"/>
  <c r="T291" i="9"/>
  <c r="T292" i="9"/>
  <c r="T293" i="9"/>
  <c r="T294" i="9"/>
  <c r="T295" i="9"/>
  <c r="T296" i="9"/>
  <c r="T297" i="9"/>
  <c r="T298" i="9"/>
  <c r="T299" i="9"/>
  <c r="T300" i="9"/>
  <c r="T301" i="9"/>
  <c r="T302" i="9"/>
  <c r="T303" i="9"/>
  <c r="T304" i="9"/>
  <c r="T305" i="9"/>
  <c r="T306" i="9"/>
  <c r="T307" i="9"/>
  <c r="T308" i="9"/>
  <c r="T309" i="9"/>
  <c r="T310" i="9"/>
  <c r="T311" i="9"/>
  <c r="T312" i="9"/>
  <c r="T313" i="9"/>
  <c r="T314" i="9"/>
  <c r="T315" i="9"/>
  <c r="T316" i="9"/>
  <c r="T317" i="9"/>
  <c r="T318" i="9"/>
  <c r="T319" i="9"/>
  <c r="T320" i="9"/>
  <c r="T321" i="9"/>
  <c r="T322" i="9"/>
  <c r="T323" i="9"/>
  <c r="T324" i="9"/>
  <c r="T325" i="9"/>
  <c r="T326" i="9"/>
  <c r="T327" i="9"/>
  <c r="T328" i="9"/>
  <c r="T329" i="9"/>
  <c r="T330" i="9"/>
  <c r="T331" i="9"/>
  <c r="T332" i="9"/>
  <c r="T333" i="9"/>
  <c r="T334" i="9"/>
  <c r="T335" i="9"/>
  <c r="T336" i="9"/>
  <c r="T337" i="9"/>
  <c r="T338" i="9"/>
  <c r="T339" i="9"/>
  <c r="T340" i="9"/>
  <c r="T341" i="9"/>
  <c r="T342" i="9"/>
  <c r="T343" i="9"/>
  <c r="T344" i="9"/>
  <c r="T345" i="9"/>
  <c r="T346" i="9"/>
  <c r="T347" i="9"/>
  <c r="T348" i="9"/>
  <c r="T349" i="9"/>
  <c r="T350" i="9"/>
  <c r="T351" i="9"/>
  <c r="T352" i="9"/>
  <c r="T353" i="9"/>
  <c r="T354" i="9"/>
  <c r="T355" i="9"/>
  <c r="T356" i="9"/>
  <c r="T357" i="9"/>
  <c r="T358" i="9"/>
  <c r="T359" i="9"/>
  <c r="T360" i="9"/>
  <c r="T361" i="9"/>
  <c r="T362" i="9"/>
  <c r="T363" i="9"/>
  <c r="T364" i="9"/>
  <c r="T365" i="9"/>
  <c r="T366" i="9"/>
  <c r="T367" i="9"/>
  <c r="T368" i="9"/>
  <c r="T369" i="9"/>
  <c r="T370" i="9"/>
  <c r="T371" i="9"/>
  <c r="T372" i="9"/>
  <c r="T373" i="9"/>
  <c r="T374" i="9"/>
  <c r="T375" i="9"/>
  <c r="T376" i="9"/>
  <c r="T377" i="9"/>
  <c r="T378" i="9"/>
  <c r="T379" i="9"/>
  <c r="T380" i="9"/>
  <c r="T381" i="9"/>
  <c r="T382" i="9"/>
  <c r="T383" i="9"/>
  <c r="T384" i="9"/>
  <c r="T385" i="9"/>
  <c r="T386" i="9"/>
  <c r="T387" i="9"/>
  <c r="T388" i="9"/>
  <c r="T389" i="9"/>
  <c r="T390" i="9"/>
  <c r="T391" i="9"/>
  <c r="T392" i="9"/>
  <c r="T393" i="9"/>
  <c r="T394" i="9"/>
  <c r="T395" i="9"/>
  <c r="T396" i="9"/>
  <c r="T397" i="9"/>
  <c r="T398" i="9"/>
  <c r="T399" i="9"/>
  <c r="T400" i="9"/>
  <c r="T401" i="9"/>
  <c r="T402" i="9"/>
  <c r="T403" i="9"/>
  <c r="T404" i="9"/>
  <c r="T405" i="9"/>
  <c r="T406" i="9"/>
  <c r="T407" i="9"/>
  <c r="T408" i="9"/>
  <c r="T409" i="9"/>
  <c r="T410" i="9"/>
  <c r="T411" i="9"/>
  <c r="T412" i="9"/>
  <c r="T413" i="9"/>
  <c r="T414" i="9"/>
  <c r="T415" i="9"/>
  <c r="T416" i="9"/>
  <c r="T417" i="9"/>
  <c r="T418" i="9"/>
  <c r="T419" i="9"/>
  <c r="T420" i="9"/>
  <c r="T421" i="9"/>
  <c r="T422" i="9"/>
  <c r="T423" i="9"/>
  <c r="T424" i="9"/>
  <c r="T425" i="9"/>
  <c r="T426" i="9"/>
  <c r="T427" i="9"/>
  <c r="T428" i="9"/>
  <c r="T429" i="9"/>
  <c r="T430" i="9"/>
  <c r="T431" i="9"/>
  <c r="T432" i="9"/>
  <c r="T433" i="9"/>
  <c r="T434" i="9"/>
  <c r="T435" i="9"/>
  <c r="T436" i="9"/>
  <c r="T437" i="9"/>
  <c r="T438" i="9"/>
  <c r="T439" i="9"/>
  <c r="T440" i="9"/>
  <c r="T441" i="9"/>
  <c r="T442" i="9"/>
  <c r="T443" i="9"/>
  <c r="T444" i="9"/>
  <c r="T445" i="9"/>
  <c r="T446" i="9"/>
  <c r="T447" i="9"/>
  <c r="T448" i="9"/>
  <c r="T449" i="9"/>
  <c r="T450" i="9"/>
  <c r="T451" i="9"/>
  <c r="T452" i="9"/>
  <c r="T453" i="9"/>
  <c r="T454" i="9"/>
  <c r="T455" i="9"/>
  <c r="T456" i="9"/>
  <c r="T457" i="9"/>
  <c r="T458" i="9"/>
  <c r="T459" i="9"/>
  <c r="T460" i="9"/>
  <c r="T461" i="9"/>
  <c r="T462" i="9"/>
  <c r="T463" i="9"/>
  <c r="T464" i="9"/>
  <c r="T465" i="9"/>
  <c r="T466" i="9"/>
  <c r="T467" i="9"/>
  <c r="T468" i="9"/>
  <c r="T469" i="9"/>
  <c r="T470" i="9"/>
  <c r="T471" i="9"/>
  <c r="T472" i="9"/>
  <c r="T473" i="9"/>
  <c r="T474" i="9"/>
  <c r="T475" i="9"/>
  <c r="T476" i="9"/>
  <c r="T477" i="9"/>
  <c r="T478" i="9"/>
  <c r="T479" i="9"/>
  <c r="T480" i="9"/>
  <c r="T481" i="9"/>
  <c r="T482" i="9"/>
  <c r="T483" i="9"/>
  <c r="T484" i="9"/>
  <c r="T485" i="9"/>
  <c r="T486" i="9"/>
  <c r="T487" i="9"/>
  <c r="T488" i="9"/>
  <c r="T489" i="9"/>
  <c r="T490" i="9"/>
  <c r="T491" i="9"/>
  <c r="T492" i="9"/>
  <c r="T493" i="9"/>
  <c r="T494" i="9"/>
  <c r="T495" i="9"/>
  <c r="T496" i="9"/>
  <c r="T497" i="9"/>
  <c r="T498" i="9"/>
  <c r="T499" i="9"/>
  <c r="T500" i="9"/>
  <c r="T501" i="9"/>
  <c r="T502" i="9"/>
  <c r="T503" i="9"/>
  <c r="T504" i="9"/>
  <c r="T505" i="9"/>
  <c r="T506" i="9"/>
  <c r="T507" i="9"/>
  <c r="T508" i="9"/>
  <c r="T509" i="9"/>
  <c r="T510" i="9"/>
  <c r="T511" i="9"/>
  <c r="T512" i="9"/>
  <c r="T513" i="9"/>
  <c r="T514" i="9"/>
  <c r="T515" i="9"/>
  <c r="T516" i="9"/>
  <c r="T517" i="9"/>
  <c r="T518" i="9"/>
  <c r="T519" i="9"/>
  <c r="T520" i="9"/>
  <c r="T521" i="9"/>
  <c r="T522" i="9"/>
  <c r="T523" i="9"/>
  <c r="T524" i="9"/>
  <c r="T525" i="9"/>
  <c r="T526" i="9"/>
  <c r="T527" i="9"/>
  <c r="T528" i="9"/>
  <c r="T529" i="9"/>
  <c r="T530" i="9"/>
  <c r="T531" i="9"/>
  <c r="T532" i="9"/>
  <c r="T533" i="9"/>
  <c r="T534" i="9"/>
  <c r="T535" i="9"/>
  <c r="T536" i="9"/>
  <c r="T537" i="9"/>
  <c r="T538" i="9"/>
  <c r="T539" i="9"/>
  <c r="T540" i="9"/>
  <c r="T541" i="9"/>
  <c r="T542" i="9"/>
  <c r="T543" i="9"/>
  <c r="T544" i="9"/>
  <c r="T545" i="9"/>
  <c r="T546" i="9"/>
  <c r="T547" i="9"/>
  <c r="T548" i="9"/>
  <c r="T549" i="9"/>
  <c r="T550" i="9"/>
  <c r="T551" i="9"/>
  <c r="T552" i="9"/>
  <c r="T553" i="9"/>
  <c r="T554" i="9"/>
  <c r="T555" i="9"/>
  <c r="T556" i="9"/>
  <c r="T557" i="9"/>
  <c r="T558" i="9"/>
  <c r="T559" i="9"/>
  <c r="T560" i="9"/>
  <c r="T561" i="9"/>
  <c r="T562" i="9"/>
  <c r="T563" i="9"/>
  <c r="T564" i="9"/>
  <c r="T565" i="9"/>
  <c r="T566" i="9"/>
  <c r="T567" i="9"/>
  <c r="T568" i="9"/>
  <c r="T569" i="9"/>
  <c r="T570" i="9"/>
  <c r="T571" i="9"/>
  <c r="T572" i="9"/>
  <c r="T573" i="9"/>
  <c r="T574" i="9"/>
  <c r="T575" i="9"/>
  <c r="T576" i="9"/>
  <c r="T577" i="9"/>
  <c r="T578" i="9"/>
  <c r="T579" i="9"/>
  <c r="T580" i="9"/>
  <c r="T581" i="9"/>
  <c r="T582" i="9"/>
  <c r="T583" i="9"/>
  <c r="T584" i="9"/>
  <c r="T585" i="9"/>
  <c r="T586" i="9"/>
  <c r="T587" i="9"/>
  <c r="T588" i="9"/>
  <c r="T589" i="9"/>
  <c r="T590" i="9"/>
  <c r="T591" i="9"/>
  <c r="T592" i="9"/>
  <c r="T593" i="9"/>
  <c r="T594" i="9"/>
  <c r="T595" i="9"/>
  <c r="T596" i="9"/>
  <c r="T597" i="9"/>
  <c r="T598" i="9"/>
  <c r="T599" i="9"/>
  <c r="T600" i="9"/>
  <c r="T601" i="9"/>
  <c r="T602" i="9"/>
  <c r="T603" i="9"/>
  <c r="T604" i="9"/>
  <c r="T605" i="9"/>
  <c r="T606" i="9"/>
  <c r="T607" i="9"/>
  <c r="T608" i="9"/>
  <c r="T609" i="9"/>
  <c r="T610" i="9"/>
  <c r="T611" i="9"/>
  <c r="T612" i="9"/>
  <c r="T613" i="9"/>
  <c r="T614" i="9"/>
  <c r="T615" i="9"/>
  <c r="T616" i="9"/>
  <c r="T617" i="9"/>
  <c r="T618" i="9"/>
  <c r="T619" i="9"/>
  <c r="T620" i="9"/>
  <c r="T621" i="9"/>
  <c r="T622" i="9"/>
  <c r="T623" i="9"/>
  <c r="T624" i="9"/>
  <c r="T625" i="9"/>
  <c r="T626" i="9"/>
  <c r="T627" i="9"/>
  <c r="T628" i="9"/>
  <c r="T629" i="9"/>
  <c r="T630" i="9"/>
  <c r="T631" i="9"/>
  <c r="T632" i="9"/>
  <c r="T633" i="9"/>
  <c r="T634" i="9"/>
  <c r="T635" i="9"/>
  <c r="T636" i="9"/>
  <c r="T637" i="9"/>
  <c r="T638" i="9"/>
  <c r="T639" i="9"/>
  <c r="T640" i="9"/>
  <c r="T641" i="9"/>
  <c r="T642" i="9"/>
  <c r="T643" i="9"/>
  <c r="T644" i="9"/>
  <c r="T645" i="9"/>
  <c r="T646" i="9"/>
  <c r="T647" i="9"/>
  <c r="T648" i="9"/>
  <c r="T649" i="9"/>
  <c r="T650" i="9"/>
  <c r="T651" i="9"/>
  <c r="T652" i="9"/>
  <c r="T653" i="9"/>
  <c r="T654" i="9"/>
  <c r="T655" i="9"/>
  <c r="T656" i="9"/>
  <c r="T657" i="9"/>
  <c r="T658" i="9"/>
  <c r="T659" i="9"/>
  <c r="T660" i="9"/>
  <c r="T661" i="9"/>
  <c r="T662" i="9"/>
  <c r="T663" i="9"/>
  <c r="T664" i="9"/>
  <c r="T665" i="9"/>
  <c r="T666" i="9"/>
  <c r="T667" i="9"/>
  <c r="T668" i="9"/>
  <c r="T669" i="9"/>
  <c r="T670" i="9"/>
  <c r="T671" i="9"/>
  <c r="T672" i="9"/>
  <c r="T673" i="9"/>
  <c r="T674" i="9"/>
  <c r="T675" i="9"/>
  <c r="T676" i="9"/>
  <c r="T677" i="9"/>
  <c r="T678" i="9"/>
  <c r="T679" i="9"/>
  <c r="T680" i="9"/>
  <c r="T681" i="9"/>
  <c r="T682" i="9"/>
  <c r="T683" i="9"/>
  <c r="T684" i="9"/>
  <c r="T685" i="9"/>
  <c r="T686" i="9"/>
  <c r="T687" i="9"/>
  <c r="T688" i="9"/>
  <c r="T689" i="9"/>
  <c r="T690" i="9"/>
  <c r="T691" i="9"/>
  <c r="T692" i="9"/>
  <c r="T693" i="9"/>
  <c r="T694" i="9"/>
  <c r="T695" i="9"/>
  <c r="T696" i="9"/>
  <c r="T697" i="9"/>
  <c r="T698" i="9"/>
  <c r="T699" i="9"/>
  <c r="T700" i="9"/>
  <c r="T701" i="9"/>
  <c r="T702" i="9"/>
  <c r="T703" i="9"/>
  <c r="T704" i="9"/>
  <c r="T705" i="9"/>
  <c r="T706" i="9"/>
  <c r="T707" i="9"/>
  <c r="T708" i="9"/>
  <c r="T709" i="9"/>
  <c r="T710" i="9"/>
  <c r="T711" i="9"/>
  <c r="T712" i="9"/>
  <c r="T713" i="9"/>
  <c r="T714" i="9"/>
  <c r="T715" i="9"/>
  <c r="T716" i="9"/>
  <c r="T717" i="9"/>
  <c r="T718" i="9"/>
  <c r="T719" i="9"/>
  <c r="T720" i="9"/>
  <c r="T721" i="9"/>
  <c r="T722" i="9"/>
  <c r="T723" i="9"/>
  <c r="T724" i="9"/>
  <c r="T725" i="9"/>
  <c r="T726" i="9"/>
  <c r="T727" i="9"/>
  <c r="T728" i="9"/>
  <c r="T729" i="9"/>
  <c r="T730" i="9"/>
  <c r="T731" i="9"/>
  <c r="T732" i="9"/>
  <c r="T733" i="9"/>
  <c r="T734" i="9"/>
  <c r="T735" i="9"/>
  <c r="T736" i="9"/>
  <c r="T737" i="9"/>
  <c r="T738" i="9"/>
  <c r="T739" i="9"/>
  <c r="T740" i="9"/>
  <c r="T741" i="9"/>
  <c r="T742" i="9"/>
  <c r="T743" i="9"/>
  <c r="T744" i="9"/>
  <c r="T745" i="9"/>
  <c r="T746" i="9"/>
  <c r="T747" i="9"/>
  <c r="T748" i="9"/>
  <c r="T749" i="9"/>
  <c r="T750" i="9"/>
  <c r="T751" i="9"/>
  <c r="T752" i="9"/>
  <c r="T753" i="9"/>
  <c r="T754" i="9"/>
  <c r="T755" i="9"/>
  <c r="T756" i="9"/>
  <c r="T757" i="9"/>
  <c r="T758" i="9"/>
  <c r="T759" i="9"/>
  <c r="T760" i="9"/>
  <c r="T761" i="9"/>
  <c r="T762" i="9"/>
  <c r="T763" i="9"/>
  <c r="T764" i="9"/>
  <c r="T765" i="9"/>
  <c r="T766" i="9"/>
  <c r="T767" i="9"/>
  <c r="T768" i="9"/>
  <c r="T769" i="9"/>
  <c r="T770" i="9"/>
  <c r="T771" i="9"/>
  <c r="T772" i="9"/>
  <c r="T773" i="9"/>
  <c r="T774" i="9"/>
  <c r="T775" i="9"/>
  <c r="T776" i="9"/>
  <c r="T777" i="9"/>
  <c r="T778" i="9"/>
  <c r="T779" i="9"/>
  <c r="T780" i="9"/>
  <c r="T781" i="9"/>
  <c r="T782" i="9"/>
  <c r="T783" i="9"/>
  <c r="T784" i="9"/>
  <c r="T785" i="9"/>
  <c r="T786" i="9"/>
  <c r="T787" i="9"/>
  <c r="T788" i="9"/>
  <c r="T789" i="9"/>
  <c r="T790" i="9"/>
  <c r="T791" i="9"/>
  <c r="T792" i="9"/>
  <c r="T793" i="9"/>
  <c r="T794" i="9"/>
  <c r="T795" i="9"/>
  <c r="T796" i="9"/>
  <c r="T797" i="9"/>
  <c r="T798" i="9"/>
  <c r="T799" i="9"/>
  <c r="T800" i="9"/>
  <c r="T801" i="9"/>
  <c r="T802" i="9"/>
  <c r="T803" i="9"/>
  <c r="T804" i="9"/>
  <c r="T805" i="9"/>
  <c r="T806" i="9"/>
  <c r="T807" i="9"/>
  <c r="T808" i="9"/>
  <c r="T809" i="9"/>
  <c r="T810" i="9"/>
  <c r="T811" i="9"/>
  <c r="T812" i="9"/>
  <c r="T813" i="9"/>
  <c r="T814" i="9"/>
  <c r="T815" i="9"/>
  <c r="T816" i="9"/>
  <c r="T817" i="9"/>
  <c r="T818" i="9"/>
  <c r="T819" i="9"/>
  <c r="T820" i="9"/>
  <c r="T821" i="9"/>
  <c r="T822" i="9"/>
  <c r="T823" i="9"/>
  <c r="T824" i="9"/>
  <c r="T825" i="9"/>
  <c r="T826" i="9"/>
  <c r="T827" i="9"/>
  <c r="T828" i="9"/>
  <c r="T829" i="9"/>
  <c r="T830" i="9"/>
  <c r="T831" i="9"/>
  <c r="T832" i="9"/>
  <c r="T833" i="9"/>
  <c r="T834" i="9"/>
  <c r="T835" i="9"/>
  <c r="T836" i="9"/>
  <c r="T837" i="9"/>
  <c r="T838" i="9"/>
  <c r="T839" i="9"/>
  <c r="T840" i="9"/>
  <c r="T841" i="9"/>
  <c r="T842" i="9"/>
  <c r="T843" i="9"/>
  <c r="T844" i="9"/>
  <c r="T845" i="9"/>
  <c r="T846" i="9"/>
  <c r="T847" i="9"/>
  <c r="T848" i="9"/>
  <c r="T849" i="9"/>
  <c r="T850" i="9"/>
  <c r="T851" i="9"/>
  <c r="T852" i="9"/>
  <c r="T853" i="9"/>
  <c r="T854" i="9"/>
  <c r="T855" i="9"/>
  <c r="T856" i="9"/>
  <c r="T857" i="9"/>
  <c r="T858" i="9"/>
  <c r="T859" i="9"/>
  <c r="T860" i="9"/>
  <c r="T861" i="9"/>
  <c r="T862" i="9"/>
  <c r="T863" i="9"/>
  <c r="T864" i="9"/>
  <c r="T865" i="9"/>
  <c r="T866" i="9"/>
  <c r="T867" i="9"/>
  <c r="T868" i="9"/>
  <c r="T869" i="9"/>
  <c r="T870" i="9"/>
  <c r="T871" i="9"/>
  <c r="T872" i="9"/>
  <c r="T873" i="9"/>
  <c r="T874" i="9"/>
  <c r="T875" i="9"/>
  <c r="T876" i="9"/>
  <c r="T877" i="9"/>
  <c r="T878" i="9"/>
  <c r="T879" i="9"/>
  <c r="T880" i="9"/>
  <c r="T881" i="9"/>
  <c r="T882" i="9"/>
  <c r="T883" i="9"/>
  <c r="T884" i="9"/>
  <c r="T885" i="9"/>
  <c r="T886" i="9"/>
  <c r="T887" i="9"/>
  <c r="T888" i="9"/>
  <c r="T889" i="9"/>
  <c r="T890" i="9"/>
  <c r="T891" i="9"/>
  <c r="T892" i="9"/>
  <c r="T893" i="9"/>
  <c r="T894" i="9"/>
  <c r="T895" i="9"/>
  <c r="T896" i="9"/>
  <c r="T897" i="9"/>
  <c r="T898" i="9"/>
  <c r="T899" i="9"/>
  <c r="T900" i="9"/>
  <c r="T901" i="9"/>
  <c r="T902" i="9"/>
  <c r="T903" i="9"/>
  <c r="T904" i="9"/>
  <c r="T905" i="9"/>
  <c r="T906" i="9"/>
  <c r="T907" i="9"/>
  <c r="T908" i="9"/>
  <c r="T909" i="9"/>
  <c r="T910" i="9"/>
  <c r="T911" i="9"/>
  <c r="T912" i="9"/>
  <c r="T913" i="9"/>
  <c r="T914" i="9"/>
  <c r="T915" i="9"/>
  <c r="T916" i="9"/>
  <c r="T917" i="9"/>
  <c r="T918" i="9"/>
  <c r="T919" i="9"/>
  <c r="T920" i="9"/>
  <c r="T921" i="9"/>
  <c r="T922" i="9"/>
  <c r="T923" i="9"/>
  <c r="T924" i="9"/>
  <c r="T925" i="9"/>
  <c r="T926" i="9"/>
  <c r="T927" i="9"/>
  <c r="T928" i="9"/>
  <c r="T929" i="9"/>
  <c r="T930" i="9"/>
  <c r="T931" i="9"/>
  <c r="T932" i="9"/>
  <c r="T933" i="9"/>
  <c r="T934" i="9"/>
  <c r="T935" i="9"/>
  <c r="T936" i="9"/>
  <c r="T937" i="9"/>
  <c r="T938" i="9"/>
  <c r="T939" i="9"/>
  <c r="T940" i="9"/>
  <c r="T941" i="9"/>
  <c r="T942" i="9"/>
  <c r="T943" i="9"/>
  <c r="T944" i="9"/>
  <c r="T945" i="9"/>
  <c r="T946" i="9"/>
  <c r="T947" i="9"/>
  <c r="T948" i="9"/>
  <c r="T949" i="9"/>
  <c r="T950" i="9"/>
  <c r="T951" i="9"/>
  <c r="T952" i="9"/>
  <c r="T953" i="9"/>
  <c r="T954" i="9"/>
  <c r="T955" i="9"/>
  <c r="T956" i="9"/>
  <c r="T957" i="9"/>
  <c r="T958" i="9"/>
  <c r="T959" i="9"/>
  <c r="T960" i="9"/>
  <c r="T961" i="9"/>
  <c r="T962" i="9"/>
  <c r="T963" i="9"/>
  <c r="T964" i="9"/>
  <c r="T965" i="9"/>
  <c r="T966" i="9"/>
  <c r="T967" i="9"/>
  <c r="T968" i="9"/>
  <c r="T969" i="9"/>
  <c r="T970" i="9"/>
  <c r="T971" i="9"/>
  <c r="T972" i="9"/>
  <c r="T973" i="9"/>
  <c r="T974" i="9"/>
  <c r="T975" i="9"/>
  <c r="T976" i="9"/>
  <c r="T977" i="9"/>
  <c r="T978" i="9"/>
  <c r="T979" i="9"/>
  <c r="T980" i="9"/>
  <c r="T981" i="9"/>
  <c r="T982" i="9"/>
  <c r="T983" i="9"/>
  <c r="T984" i="9"/>
  <c r="T985" i="9"/>
  <c r="T986" i="9"/>
  <c r="T987" i="9"/>
  <c r="T988" i="9"/>
  <c r="T989" i="9"/>
  <c r="T990" i="9"/>
  <c r="T991" i="9"/>
  <c r="T992" i="9"/>
  <c r="T993" i="9"/>
  <c r="T994" i="9"/>
  <c r="T995" i="9"/>
  <c r="T996" i="9"/>
  <c r="T997" i="9"/>
  <c r="T998" i="9"/>
  <c r="T999" i="9"/>
  <c r="T1000" i="9"/>
  <c r="T1001" i="9"/>
  <c r="T1002" i="9"/>
  <c r="T1003" i="9"/>
  <c r="T1004" i="9"/>
  <c r="T1005" i="9"/>
  <c r="T1006" i="9"/>
  <c r="T1007" i="9"/>
  <c r="T1008" i="9"/>
  <c r="T1009" i="9"/>
  <c r="T1010" i="9"/>
  <c r="T1011" i="9"/>
  <c r="T1012" i="9"/>
  <c r="T1013" i="9"/>
  <c r="T1014" i="9"/>
  <c r="T1015" i="9"/>
  <c r="T1016" i="9"/>
  <c r="T1017" i="9"/>
  <c r="T1018" i="9"/>
  <c r="T1019" i="9"/>
  <c r="T1020" i="9"/>
  <c r="T1021" i="9"/>
  <c r="T1022" i="9"/>
  <c r="T1023" i="9"/>
  <c r="T1024" i="9"/>
  <c r="T1025" i="9"/>
  <c r="T1026" i="9"/>
  <c r="T1027" i="9"/>
  <c r="T1028" i="9"/>
  <c r="T1029" i="9"/>
  <c r="T1030" i="9"/>
  <c r="T1031" i="9"/>
  <c r="T1032" i="9"/>
  <c r="T1033" i="9"/>
  <c r="T1034" i="9"/>
  <c r="T1035" i="9"/>
  <c r="T1036" i="9"/>
  <c r="T1037" i="9"/>
  <c r="T1038" i="9"/>
  <c r="T1039" i="9"/>
  <c r="T1040" i="9"/>
  <c r="T1041" i="9"/>
  <c r="T1042" i="9"/>
  <c r="T1043" i="9"/>
  <c r="T1044" i="9"/>
  <c r="T1045" i="9"/>
  <c r="T1046" i="9"/>
  <c r="T1047" i="9"/>
  <c r="T1048" i="9"/>
  <c r="T1049" i="9"/>
  <c r="T1050" i="9"/>
  <c r="T1051" i="9"/>
  <c r="T1052" i="9"/>
  <c r="T1053" i="9"/>
  <c r="T1054" i="9"/>
  <c r="T1055" i="9"/>
  <c r="T1056" i="9"/>
  <c r="T1057" i="9"/>
  <c r="T1058" i="9"/>
  <c r="T1059" i="9"/>
  <c r="T1060" i="9"/>
  <c r="T1061" i="9"/>
  <c r="T1062" i="9"/>
  <c r="T1063" i="9"/>
  <c r="T1064" i="9"/>
  <c r="T1065" i="9"/>
  <c r="T1066" i="9"/>
  <c r="T1067" i="9"/>
  <c r="T1068" i="9"/>
  <c r="T1069" i="9"/>
  <c r="T1070" i="9"/>
  <c r="T1071" i="9"/>
  <c r="T1072" i="9"/>
  <c r="T1073" i="9"/>
  <c r="T1074" i="9"/>
  <c r="T1075" i="9"/>
  <c r="T1076" i="9"/>
  <c r="T1077" i="9"/>
  <c r="T1078" i="9"/>
  <c r="T1079" i="9"/>
  <c r="T1080" i="9"/>
  <c r="T1081" i="9"/>
  <c r="T1082" i="9"/>
  <c r="T1083" i="9"/>
  <c r="T1084" i="9"/>
  <c r="T1085" i="9"/>
  <c r="T1086" i="9"/>
  <c r="T1087" i="9"/>
  <c r="T1088" i="9"/>
  <c r="T1089" i="9"/>
  <c r="T1090" i="9"/>
  <c r="T1091" i="9"/>
  <c r="T1092" i="9"/>
  <c r="T1093" i="9"/>
  <c r="T1094" i="9"/>
  <c r="T1095" i="9"/>
  <c r="T1096" i="9"/>
  <c r="T1097" i="9"/>
  <c r="T1098" i="9"/>
  <c r="T1099" i="9"/>
  <c r="T1100" i="9"/>
  <c r="T1101" i="9"/>
  <c r="T1102" i="9"/>
  <c r="T1103" i="9"/>
  <c r="T1104" i="9"/>
  <c r="T1105" i="9"/>
  <c r="T1106" i="9"/>
  <c r="T1107" i="9"/>
  <c r="T1108" i="9"/>
  <c r="T1109" i="9"/>
  <c r="T1110" i="9"/>
  <c r="T1111" i="9"/>
  <c r="T1112" i="9"/>
  <c r="T1113" i="9"/>
  <c r="T1114" i="9"/>
  <c r="T1115" i="9"/>
  <c r="T1116" i="9"/>
  <c r="T1117" i="9"/>
  <c r="T1118" i="9"/>
  <c r="T1119" i="9"/>
  <c r="T1120" i="9"/>
  <c r="T1121" i="9"/>
  <c r="T1122" i="9"/>
  <c r="T1123" i="9"/>
  <c r="T1124" i="9"/>
  <c r="T1125" i="9"/>
  <c r="T1126" i="9"/>
  <c r="T1127" i="9"/>
  <c r="T1128" i="9"/>
  <c r="T1129" i="9"/>
  <c r="T1130" i="9"/>
  <c r="T1131" i="9"/>
  <c r="T1132" i="9"/>
  <c r="T1133" i="9"/>
  <c r="T1134" i="9"/>
  <c r="T1135" i="9"/>
  <c r="T1136" i="9"/>
  <c r="T1137" i="9"/>
  <c r="T1138" i="9"/>
  <c r="T1139" i="9"/>
  <c r="T1140" i="9"/>
  <c r="T1141" i="9"/>
  <c r="T1142" i="9"/>
  <c r="T1143" i="9"/>
  <c r="T1144" i="9"/>
  <c r="T1145" i="9"/>
  <c r="T1146" i="9"/>
  <c r="T1147" i="9"/>
  <c r="T1148" i="9"/>
  <c r="T1149" i="9"/>
  <c r="T1150" i="9"/>
  <c r="T1151" i="9"/>
  <c r="T1152" i="9"/>
  <c r="T1153" i="9"/>
  <c r="T1154" i="9"/>
  <c r="T1155" i="9"/>
  <c r="T1156" i="9"/>
  <c r="T1157" i="9"/>
  <c r="T1158" i="9"/>
  <c r="T1159" i="9"/>
  <c r="T1160" i="9"/>
  <c r="T1161" i="9"/>
  <c r="T1162" i="9"/>
  <c r="T1163" i="9"/>
  <c r="T1164" i="9"/>
  <c r="T1165" i="9"/>
  <c r="T1166" i="9"/>
  <c r="T1167" i="9"/>
  <c r="T1168" i="9"/>
  <c r="T1169" i="9"/>
  <c r="T1170" i="9"/>
  <c r="T1171" i="9"/>
  <c r="T1172" i="9"/>
  <c r="T1173" i="9"/>
  <c r="T1174" i="9"/>
  <c r="T1175" i="9"/>
  <c r="T1176" i="9"/>
  <c r="T1177" i="9"/>
  <c r="T1178" i="9"/>
  <c r="T1179" i="9"/>
  <c r="T1180" i="9"/>
  <c r="T1181" i="9"/>
  <c r="T1182" i="9"/>
  <c r="T1183" i="9"/>
  <c r="T1184" i="9"/>
  <c r="T1185" i="9"/>
  <c r="T1186" i="9"/>
  <c r="T1187" i="9"/>
  <c r="T1188" i="9"/>
  <c r="T1189" i="9"/>
  <c r="T1190" i="9"/>
  <c r="T1191" i="9"/>
  <c r="T1192" i="9"/>
  <c r="T1193" i="9"/>
  <c r="T1194" i="9"/>
  <c r="T1195" i="9"/>
  <c r="T1196" i="9"/>
  <c r="T1197" i="9"/>
  <c r="T1198" i="9"/>
  <c r="T1199" i="9"/>
  <c r="T1200" i="9"/>
  <c r="T1201" i="9"/>
  <c r="T1202" i="9"/>
  <c r="T1203" i="9"/>
  <c r="T1204" i="9"/>
  <c r="T1205" i="9"/>
  <c r="T1206" i="9"/>
  <c r="T1207" i="9"/>
  <c r="T1208" i="9"/>
  <c r="T1209" i="9"/>
  <c r="T1210" i="9"/>
  <c r="T1211" i="9"/>
  <c r="T1212" i="9"/>
  <c r="T1213" i="9"/>
  <c r="T1214" i="9"/>
  <c r="T1215" i="9"/>
  <c r="T1216" i="9"/>
  <c r="T1217" i="9"/>
  <c r="T1218" i="9"/>
  <c r="T1219" i="9"/>
  <c r="T1220" i="9"/>
  <c r="T1221" i="9"/>
  <c r="T1222" i="9"/>
  <c r="T1223" i="9"/>
  <c r="T1224" i="9"/>
  <c r="T1225" i="9"/>
  <c r="T1226" i="9"/>
  <c r="T1227" i="9"/>
  <c r="T1228" i="9"/>
  <c r="T1229" i="9"/>
  <c r="T1230" i="9"/>
  <c r="T1231" i="9"/>
  <c r="T1232" i="9"/>
  <c r="T1233" i="9"/>
  <c r="T1234" i="9"/>
  <c r="T1235" i="9"/>
  <c r="T1236" i="9"/>
  <c r="T1237" i="9"/>
  <c r="T1238" i="9"/>
  <c r="T1239" i="9"/>
  <c r="T1240" i="9"/>
  <c r="T1241" i="9"/>
  <c r="T1242" i="9"/>
  <c r="T1243"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78" i="9"/>
  <c r="U79" i="9"/>
  <c r="U80" i="9"/>
  <c r="U81" i="9"/>
  <c r="U82" i="9"/>
  <c r="U83" i="9"/>
  <c r="U84" i="9"/>
  <c r="U85" i="9"/>
  <c r="U86" i="9"/>
  <c r="U87" i="9"/>
  <c r="U88" i="9"/>
  <c r="U89" i="9"/>
  <c r="U90" i="9"/>
  <c r="U91" i="9"/>
  <c r="U92" i="9"/>
  <c r="U93" i="9"/>
  <c r="U94" i="9"/>
  <c r="U95" i="9"/>
  <c r="U96" i="9"/>
  <c r="U97" i="9"/>
  <c r="U98" i="9"/>
  <c r="U99" i="9"/>
  <c r="U100" i="9"/>
  <c r="U101" i="9"/>
  <c r="U102" i="9"/>
  <c r="U103" i="9"/>
  <c r="U104" i="9"/>
  <c r="U105" i="9"/>
  <c r="U106" i="9"/>
  <c r="U107" i="9"/>
  <c r="U108" i="9"/>
  <c r="U109" i="9"/>
  <c r="U110" i="9"/>
  <c r="U111" i="9"/>
  <c r="U112" i="9"/>
  <c r="U113" i="9"/>
  <c r="U114" i="9"/>
  <c r="U115" i="9"/>
  <c r="U116" i="9"/>
  <c r="U117" i="9"/>
  <c r="U118" i="9"/>
  <c r="U119" i="9"/>
  <c r="U120" i="9"/>
  <c r="U121" i="9"/>
  <c r="U122" i="9"/>
  <c r="U123" i="9"/>
  <c r="U124" i="9"/>
  <c r="U125" i="9"/>
  <c r="U126" i="9"/>
  <c r="U127" i="9"/>
  <c r="U128" i="9"/>
  <c r="U129" i="9"/>
  <c r="U130" i="9"/>
  <c r="U131" i="9"/>
  <c r="U132" i="9"/>
  <c r="U133" i="9"/>
  <c r="U134" i="9"/>
  <c r="U135" i="9"/>
  <c r="U136" i="9"/>
  <c r="U137" i="9"/>
  <c r="U138" i="9"/>
  <c r="U139" i="9"/>
  <c r="U140" i="9"/>
  <c r="U141" i="9"/>
  <c r="U142" i="9"/>
  <c r="U143" i="9"/>
  <c r="U144" i="9"/>
  <c r="U145" i="9"/>
  <c r="U146" i="9"/>
  <c r="U147" i="9"/>
  <c r="U148" i="9"/>
  <c r="U149" i="9"/>
  <c r="U150" i="9"/>
  <c r="U151" i="9"/>
  <c r="U152" i="9"/>
  <c r="U153" i="9"/>
  <c r="U154" i="9"/>
  <c r="U155" i="9"/>
  <c r="U156" i="9"/>
  <c r="U157" i="9"/>
  <c r="U158" i="9"/>
  <c r="U159" i="9"/>
  <c r="U160" i="9"/>
  <c r="U161" i="9"/>
  <c r="U162" i="9"/>
  <c r="U163" i="9"/>
  <c r="U164" i="9"/>
  <c r="U165" i="9"/>
  <c r="U166" i="9"/>
  <c r="U167" i="9"/>
  <c r="U168" i="9"/>
  <c r="U169" i="9"/>
  <c r="U170" i="9"/>
  <c r="U171" i="9"/>
  <c r="U172" i="9"/>
  <c r="U173" i="9"/>
  <c r="U174" i="9"/>
  <c r="U175" i="9"/>
  <c r="U176" i="9"/>
  <c r="U177" i="9"/>
  <c r="U178" i="9"/>
  <c r="U179" i="9"/>
  <c r="U180" i="9"/>
  <c r="U181" i="9"/>
  <c r="U182" i="9"/>
  <c r="U183" i="9"/>
  <c r="U184" i="9"/>
  <c r="U185" i="9"/>
  <c r="U186" i="9"/>
  <c r="U187" i="9"/>
  <c r="U188" i="9"/>
  <c r="U189" i="9"/>
  <c r="U190" i="9"/>
  <c r="U191" i="9"/>
  <c r="U192" i="9"/>
  <c r="U193" i="9"/>
  <c r="U194" i="9"/>
  <c r="U195" i="9"/>
  <c r="U196" i="9"/>
  <c r="U197" i="9"/>
  <c r="U198" i="9"/>
  <c r="U199" i="9"/>
  <c r="U200" i="9"/>
  <c r="U201" i="9"/>
  <c r="U202" i="9"/>
  <c r="U203" i="9"/>
  <c r="U204" i="9"/>
  <c r="U205" i="9"/>
  <c r="U206" i="9"/>
  <c r="U207" i="9"/>
  <c r="U208" i="9"/>
  <c r="U209" i="9"/>
  <c r="U210" i="9"/>
  <c r="U211" i="9"/>
  <c r="U212" i="9"/>
  <c r="U213" i="9"/>
  <c r="U214" i="9"/>
  <c r="U215" i="9"/>
  <c r="U216" i="9"/>
  <c r="U217" i="9"/>
  <c r="U218" i="9"/>
  <c r="U219" i="9"/>
  <c r="U220" i="9"/>
  <c r="U221" i="9"/>
  <c r="U222" i="9"/>
  <c r="U223" i="9"/>
  <c r="U224" i="9"/>
  <c r="U225" i="9"/>
  <c r="U226" i="9"/>
  <c r="U227" i="9"/>
  <c r="U228" i="9"/>
  <c r="U229" i="9"/>
  <c r="U230" i="9"/>
  <c r="U231" i="9"/>
  <c r="U232" i="9"/>
  <c r="U233" i="9"/>
  <c r="U234" i="9"/>
  <c r="U235" i="9"/>
  <c r="U236" i="9"/>
  <c r="U237" i="9"/>
  <c r="U238" i="9"/>
  <c r="U239" i="9"/>
  <c r="U240" i="9"/>
  <c r="U241" i="9"/>
  <c r="U242" i="9"/>
  <c r="U243" i="9"/>
  <c r="U244" i="9"/>
  <c r="U245" i="9"/>
  <c r="U246" i="9"/>
  <c r="U247" i="9"/>
  <c r="U248" i="9"/>
  <c r="U249" i="9"/>
  <c r="U250" i="9"/>
  <c r="U251" i="9"/>
  <c r="U252" i="9"/>
  <c r="U253" i="9"/>
  <c r="U254" i="9"/>
  <c r="U255" i="9"/>
  <c r="U256" i="9"/>
  <c r="U257" i="9"/>
  <c r="U258" i="9"/>
  <c r="U259" i="9"/>
  <c r="U260" i="9"/>
  <c r="U261" i="9"/>
  <c r="U262" i="9"/>
  <c r="U263" i="9"/>
  <c r="U264" i="9"/>
  <c r="U265" i="9"/>
  <c r="U266" i="9"/>
  <c r="U267" i="9"/>
  <c r="U268" i="9"/>
  <c r="U269" i="9"/>
  <c r="U270" i="9"/>
  <c r="U271" i="9"/>
  <c r="U272" i="9"/>
  <c r="U273" i="9"/>
  <c r="U274" i="9"/>
  <c r="U275" i="9"/>
  <c r="U276" i="9"/>
  <c r="U277" i="9"/>
  <c r="U278" i="9"/>
  <c r="U279" i="9"/>
  <c r="U280" i="9"/>
  <c r="U281" i="9"/>
  <c r="U282" i="9"/>
  <c r="U283" i="9"/>
  <c r="U284" i="9"/>
  <c r="U285" i="9"/>
  <c r="U286" i="9"/>
  <c r="U287" i="9"/>
  <c r="U288" i="9"/>
  <c r="U289" i="9"/>
  <c r="U290" i="9"/>
  <c r="U291" i="9"/>
  <c r="U292" i="9"/>
  <c r="U293" i="9"/>
  <c r="U294" i="9"/>
  <c r="U295" i="9"/>
  <c r="U296" i="9"/>
  <c r="U297" i="9"/>
  <c r="U298" i="9"/>
  <c r="U299" i="9"/>
  <c r="U300" i="9"/>
  <c r="U301" i="9"/>
  <c r="U302" i="9"/>
  <c r="U303" i="9"/>
  <c r="U304" i="9"/>
  <c r="U305" i="9"/>
  <c r="U306" i="9"/>
  <c r="U307" i="9"/>
  <c r="U308" i="9"/>
  <c r="U309" i="9"/>
  <c r="U310" i="9"/>
  <c r="U311" i="9"/>
  <c r="U312" i="9"/>
  <c r="U313" i="9"/>
  <c r="U314" i="9"/>
  <c r="U315" i="9"/>
  <c r="U316" i="9"/>
  <c r="U317" i="9"/>
  <c r="U318" i="9"/>
  <c r="U319" i="9"/>
  <c r="U320" i="9"/>
  <c r="U321" i="9"/>
  <c r="U322" i="9"/>
  <c r="U323" i="9"/>
  <c r="U324" i="9"/>
  <c r="U325" i="9"/>
  <c r="U326" i="9"/>
  <c r="U327" i="9"/>
  <c r="U328" i="9"/>
  <c r="U329" i="9"/>
  <c r="U330" i="9"/>
  <c r="U331" i="9"/>
  <c r="U332" i="9"/>
  <c r="U333" i="9"/>
  <c r="U334" i="9"/>
  <c r="U335" i="9"/>
  <c r="U336" i="9"/>
  <c r="U337" i="9"/>
  <c r="U338" i="9"/>
  <c r="U339" i="9"/>
  <c r="U340" i="9"/>
  <c r="U341" i="9"/>
  <c r="U342" i="9"/>
  <c r="U343" i="9"/>
  <c r="U344" i="9"/>
  <c r="U345" i="9"/>
  <c r="U346" i="9"/>
  <c r="U347" i="9"/>
  <c r="U348" i="9"/>
  <c r="U349" i="9"/>
  <c r="U350" i="9"/>
  <c r="U351" i="9"/>
  <c r="U352" i="9"/>
  <c r="U353" i="9"/>
  <c r="U354" i="9"/>
  <c r="U355" i="9"/>
  <c r="U356" i="9"/>
  <c r="U357" i="9"/>
  <c r="U358" i="9"/>
  <c r="U359" i="9"/>
  <c r="U360" i="9"/>
  <c r="U361" i="9"/>
  <c r="U362" i="9"/>
  <c r="U363" i="9"/>
  <c r="U364" i="9"/>
  <c r="U365" i="9"/>
  <c r="U366" i="9"/>
  <c r="U367" i="9"/>
  <c r="U368" i="9"/>
  <c r="U369" i="9"/>
  <c r="U370" i="9"/>
  <c r="U371" i="9"/>
  <c r="U372" i="9"/>
  <c r="U373" i="9"/>
  <c r="U374" i="9"/>
  <c r="U375" i="9"/>
  <c r="U376" i="9"/>
  <c r="U377" i="9"/>
  <c r="U378" i="9"/>
  <c r="U379" i="9"/>
  <c r="U380" i="9"/>
  <c r="U381" i="9"/>
  <c r="U382" i="9"/>
  <c r="U383" i="9"/>
  <c r="U384" i="9"/>
  <c r="U385" i="9"/>
  <c r="U386" i="9"/>
  <c r="U387" i="9"/>
  <c r="U388" i="9"/>
  <c r="U389" i="9"/>
  <c r="U390" i="9"/>
  <c r="U391" i="9"/>
  <c r="U392" i="9"/>
  <c r="U393" i="9"/>
  <c r="U394" i="9"/>
  <c r="U395" i="9"/>
  <c r="U396" i="9"/>
  <c r="U397" i="9"/>
  <c r="U398" i="9"/>
  <c r="U399" i="9"/>
  <c r="U400" i="9"/>
  <c r="U401" i="9"/>
  <c r="U402" i="9"/>
  <c r="U403" i="9"/>
  <c r="U404" i="9"/>
  <c r="U405" i="9"/>
  <c r="U406" i="9"/>
  <c r="U407" i="9"/>
  <c r="U408" i="9"/>
  <c r="U409" i="9"/>
  <c r="U410" i="9"/>
  <c r="U411" i="9"/>
  <c r="U412" i="9"/>
  <c r="U413" i="9"/>
  <c r="U414" i="9"/>
  <c r="U415" i="9"/>
  <c r="U416" i="9"/>
  <c r="U417" i="9"/>
  <c r="U418" i="9"/>
  <c r="U419" i="9"/>
  <c r="U420" i="9"/>
  <c r="U421" i="9"/>
  <c r="U422" i="9"/>
  <c r="U423" i="9"/>
  <c r="U424" i="9"/>
  <c r="U425" i="9"/>
  <c r="U426" i="9"/>
  <c r="U427" i="9"/>
  <c r="U428" i="9"/>
  <c r="U429" i="9"/>
  <c r="U430" i="9"/>
  <c r="U431" i="9"/>
  <c r="U432" i="9"/>
  <c r="U433" i="9"/>
  <c r="U434" i="9"/>
  <c r="U435" i="9"/>
  <c r="U436" i="9"/>
  <c r="U437" i="9"/>
  <c r="U438" i="9"/>
  <c r="U439" i="9"/>
  <c r="U440" i="9"/>
  <c r="U441" i="9"/>
  <c r="U442" i="9"/>
  <c r="U443" i="9"/>
  <c r="U444" i="9"/>
  <c r="U445" i="9"/>
  <c r="U446" i="9"/>
  <c r="U447" i="9"/>
  <c r="U448" i="9"/>
  <c r="U449" i="9"/>
  <c r="U450" i="9"/>
  <c r="U451" i="9"/>
  <c r="U452" i="9"/>
  <c r="U453" i="9"/>
  <c r="U454" i="9"/>
  <c r="U455" i="9"/>
  <c r="U456" i="9"/>
  <c r="U457" i="9"/>
  <c r="U458" i="9"/>
  <c r="U459" i="9"/>
  <c r="U460" i="9"/>
  <c r="U461" i="9"/>
  <c r="U462" i="9"/>
  <c r="U463" i="9"/>
  <c r="U464" i="9"/>
  <c r="U465" i="9"/>
  <c r="U466" i="9"/>
  <c r="U467" i="9"/>
  <c r="U468" i="9"/>
  <c r="U469" i="9"/>
  <c r="U470" i="9"/>
  <c r="U471" i="9"/>
  <c r="U472" i="9"/>
  <c r="U473" i="9"/>
  <c r="U474" i="9"/>
  <c r="U475" i="9"/>
  <c r="U476" i="9"/>
  <c r="U477" i="9"/>
  <c r="U478" i="9"/>
  <c r="U479" i="9"/>
  <c r="U480" i="9"/>
  <c r="U481" i="9"/>
  <c r="U482" i="9"/>
  <c r="U483" i="9"/>
  <c r="U484" i="9"/>
  <c r="U485" i="9"/>
  <c r="U486" i="9"/>
  <c r="U487" i="9"/>
  <c r="U488" i="9"/>
  <c r="U489" i="9"/>
  <c r="U490" i="9"/>
  <c r="U491" i="9"/>
  <c r="U492" i="9"/>
  <c r="U493" i="9"/>
  <c r="U494" i="9"/>
  <c r="U495" i="9"/>
  <c r="U496" i="9"/>
  <c r="U497" i="9"/>
  <c r="U498" i="9"/>
  <c r="U499" i="9"/>
  <c r="U500" i="9"/>
  <c r="U501" i="9"/>
  <c r="U502" i="9"/>
  <c r="U503" i="9"/>
  <c r="U504" i="9"/>
  <c r="U505" i="9"/>
  <c r="U506" i="9"/>
  <c r="U507" i="9"/>
  <c r="U508" i="9"/>
  <c r="U509" i="9"/>
  <c r="U510" i="9"/>
  <c r="U511" i="9"/>
  <c r="U512" i="9"/>
  <c r="U513" i="9"/>
  <c r="U514" i="9"/>
  <c r="U515" i="9"/>
  <c r="U516" i="9"/>
  <c r="U517" i="9"/>
  <c r="U518" i="9"/>
  <c r="U519" i="9"/>
  <c r="U520" i="9"/>
  <c r="U521" i="9"/>
  <c r="U522" i="9"/>
  <c r="U523" i="9"/>
  <c r="U524" i="9"/>
  <c r="U525" i="9"/>
  <c r="U526" i="9"/>
  <c r="U527" i="9"/>
  <c r="U528" i="9"/>
  <c r="U529" i="9"/>
  <c r="U530" i="9"/>
  <c r="U531" i="9"/>
  <c r="U532" i="9"/>
  <c r="U533" i="9"/>
  <c r="U534" i="9"/>
  <c r="U535" i="9"/>
  <c r="U536" i="9"/>
  <c r="U537" i="9"/>
  <c r="U538" i="9"/>
  <c r="U539" i="9"/>
  <c r="U540" i="9"/>
  <c r="U541" i="9"/>
  <c r="U542" i="9"/>
  <c r="U543" i="9"/>
  <c r="U544" i="9"/>
  <c r="U545" i="9"/>
  <c r="U546" i="9"/>
  <c r="U547" i="9"/>
  <c r="U548" i="9"/>
  <c r="U549" i="9"/>
  <c r="U550" i="9"/>
  <c r="U551" i="9"/>
  <c r="U552" i="9"/>
  <c r="U553" i="9"/>
  <c r="U554" i="9"/>
  <c r="U555" i="9"/>
  <c r="U556" i="9"/>
  <c r="U557" i="9"/>
  <c r="U558" i="9"/>
  <c r="U559" i="9"/>
  <c r="U560" i="9"/>
  <c r="U561" i="9"/>
  <c r="U562" i="9"/>
  <c r="U563" i="9"/>
  <c r="U564" i="9"/>
  <c r="U565" i="9"/>
  <c r="U566" i="9"/>
  <c r="U567" i="9"/>
  <c r="U568" i="9"/>
  <c r="U569" i="9"/>
  <c r="U570" i="9"/>
  <c r="U571" i="9"/>
  <c r="U572" i="9"/>
  <c r="U573" i="9"/>
  <c r="U574" i="9"/>
  <c r="U575" i="9"/>
  <c r="U576" i="9"/>
  <c r="U577" i="9"/>
  <c r="U578" i="9"/>
  <c r="U579" i="9"/>
  <c r="U580" i="9"/>
  <c r="U581" i="9"/>
  <c r="U582" i="9"/>
  <c r="U583" i="9"/>
  <c r="U584" i="9"/>
  <c r="U585" i="9"/>
  <c r="U586" i="9"/>
  <c r="U587" i="9"/>
  <c r="U588" i="9"/>
  <c r="U589" i="9"/>
  <c r="U590" i="9"/>
  <c r="U591" i="9"/>
  <c r="U592" i="9"/>
  <c r="U593" i="9"/>
  <c r="U594" i="9"/>
  <c r="U595" i="9"/>
  <c r="U596" i="9"/>
  <c r="U597" i="9"/>
  <c r="U598" i="9"/>
  <c r="U599" i="9"/>
  <c r="U600" i="9"/>
  <c r="U601" i="9"/>
  <c r="U602" i="9"/>
  <c r="U603" i="9"/>
  <c r="U604" i="9"/>
  <c r="U605" i="9"/>
  <c r="U606" i="9"/>
  <c r="U607" i="9"/>
  <c r="U608" i="9"/>
  <c r="U609" i="9"/>
  <c r="U610" i="9"/>
  <c r="U611" i="9"/>
  <c r="U612" i="9"/>
  <c r="U613" i="9"/>
  <c r="U614" i="9"/>
  <c r="U615" i="9"/>
  <c r="U616" i="9"/>
  <c r="U617" i="9"/>
  <c r="U618" i="9"/>
  <c r="U619" i="9"/>
  <c r="U620" i="9"/>
  <c r="U621" i="9"/>
  <c r="U622" i="9"/>
  <c r="U623" i="9"/>
  <c r="U624" i="9"/>
  <c r="U625" i="9"/>
  <c r="U626" i="9"/>
  <c r="U627" i="9"/>
  <c r="U628" i="9"/>
  <c r="U629" i="9"/>
  <c r="U630" i="9"/>
  <c r="U631" i="9"/>
  <c r="U632" i="9"/>
  <c r="U633" i="9"/>
  <c r="U634" i="9"/>
  <c r="U635" i="9"/>
  <c r="U636" i="9"/>
  <c r="U637" i="9"/>
  <c r="U638" i="9"/>
  <c r="U639" i="9"/>
  <c r="U640" i="9"/>
  <c r="U641" i="9"/>
  <c r="U642" i="9"/>
  <c r="U643" i="9"/>
  <c r="U644" i="9"/>
  <c r="U645" i="9"/>
  <c r="U646" i="9"/>
  <c r="U647" i="9"/>
  <c r="U648" i="9"/>
  <c r="U649" i="9"/>
  <c r="U650" i="9"/>
  <c r="U651" i="9"/>
  <c r="U652" i="9"/>
  <c r="U653" i="9"/>
  <c r="U654" i="9"/>
  <c r="U655" i="9"/>
  <c r="U656" i="9"/>
  <c r="U657" i="9"/>
  <c r="U658" i="9"/>
  <c r="U659" i="9"/>
  <c r="U660" i="9"/>
  <c r="U661" i="9"/>
  <c r="U662" i="9"/>
  <c r="U663" i="9"/>
  <c r="U664" i="9"/>
  <c r="U665" i="9"/>
  <c r="U666" i="9"/>
  <c r="U667" i="9"/>
  <c r="U668" i="9"/>
  <c r="U669" i="9"/>
  <c r="U670" i="9"/>
  <c r="U671" i="9"/>
  <c r="U672" i="9"/>
  <c r="U673" i="9"/>
  <c r="U674" i="9"/>
  <c r="U675" i="9"/>
  <c r="U676" i="9"/>
  <c r="U677" i="9"/>
  <c r="U678" i="9"/>
  <c r="U679" i="9"/>
  <c r="U680" i="9"/>
  <c r="U681" i="9"/>
  <c r="U682" i="9"/>
  <c r="U683" i="9"/>
  <c r="U684" i="9"/>
  <c r="U685" i="9"/>
  <c r="U686" i="9"/>
  <c r="U687" i="9"/>
  <c r="U688" i="9"/>
  <c r="U689" i="9"/>
  <c r="U690" i="9"/>
  <c r="U691" i="9"/>
  <c r="U692" i="9"/>
  <c r="U693" i="9"/>
  <c r="U694" i="9"/>
  <c r="U695" i="9"/>
  <c r="U696" i="9"/>
  <c r="U697" i="9"/>
  <c r="U698" i="9"/>
  <c r="U699" i="9"/>
  <c r="U700" i="9"/>
  <c r="U701" i="9"/>
  <c r="U702" i="9"/>
  <c r="U703" i="9"/>
  <c r="U704" i="9"/>
  <c r="U705" i="9"/>
  <c r="U706" i="9"/>
  <c r="U707" i="9"/>
  <c r="U708" i="9"/>
  <c r="U709" i="9"/>
  <c r="U710" i="9"/>
  <c r="U711" i="9"/>
  <c r="U712" i="9"/>
  <c r="U713" i="9"/>
  <c r="U714" i="9"/>
  <c r="U715" i="9"/>
  <c r="U716" i="9"/>
  <c r="U717" i="9"/>
  <c r="U718" i="9"/>
  <c r="U719" i="9"/>
  <c r="U720" i="9"/>
  <c r="U721" i="9"/>
  <c r="U722" i="9"/>
  <c r="U723" i="9"/>
  <c r="U724" i="9"/>
  <c r="U725" i="9"/>
  <c r="U726" i="9"/>
  <c r="U727" i="9"/>
  <c r="U728" i="9"/>
  <c r="U729" i="9"/>
  <c r="U730" i="9"/>
  <c r="U731" i="9"/>
  <c r="U732" i="9"/>
  <c r="U733" i="9"/>
  <c r="U734" i="9"/>
  <c r="U735" i="9"/>
  <c r="U736" i="9"/>
  <c r="U737" i="9"/>
  <c r="U738" i="9"/>
  <c r="U739" i="9"/>
  <c r="U740" i="9"/>
  <c r="U741" i="9"/>
  <c r="U742" i="9"/>
  <c r="U743" i="9"/>
  <c r="U744" i="9"/>
  <c r="U745" i="9"/>
  <c r="U746" i="9"/>
  <c r="U747" i="9"/>
  <c r="U748" i="9"/>
  <c r="U749" i="9"/>
  <c r="U750" i="9"/>
  <c r="U751" i="9"/>
  <c r="U752" i="9"/>
  <c r="U753" i="9"/>
  <c r="U754" i="9"/>
  <c r="U755" i="9"/>
  <c r="U756" i="9"/>
  <c r="U757" i="9"/>
  <c r="U758" i="9"/>
  <c r="U759" i="9"/>
  <c r="U760" i="9"/>
  <c r="U761" i="9"/>
  <c r="U762" i="9"/>
  <c r="U763" i="9"/>
  <c r="U764" i="9"/>
  <c r="U765" i="9"/>
  <c r="U766" i="9"/>
  <c r="U767" i="9"/>
  <c r="U768" i="9"/>
  <c r="U769" i="9"/>
  <c r="U770" i="9"/>
  <c r="U771" i="9"/>
  <c r="U772" i="9"/>
  <c r="U773" i="9"/>
  <c r="U774" i="9"/>
  <c r="U775" i="9"/>
  <c r="U776" i="9"/>
  <c r="U777" i="9"/>
  <c r="U778" i="9"/>
  <c r="U779" i="9"/>
  <c r="U780" i="9"/>
  <c r="U781" i="9"/>
  <c r="U782" i="9"/>
  <c r="U783" i="9"/>
  <c r="U784" i="9"/>
  <c r="U785" i="9"/>
  <c r="U786" i="9"/>
  <c r="U787" i="9"/>
  <c r="U788" i="9"/>
  <c r="U789" i="9"/>
  <c r="U790" i="9"/>
  <c r="U791" i="9"/>
  <c r="U792" i="9"/>
  <c r="U793" i="9"/>
  <c r="U794" i="9"/>
  <c r="U795" i="9"/>
  <c r="U796" i="9"/>
  <c r="U797" i="9"/>
  <c r="U798" i="9"/>
  <c r="U799" i="9"/>
  <c r="U800" i="9"/>
  <c r="U801" i="9"/>
  <c r="U802" i="9"/>
  <c r="U803" i="9"/>
  <c r="U804" i="9"/>
  <c r="U805" i="9"/>
  <c r="U806" i="9"/>
  <c r="U807" i="9"/>
  <c r="U808" i="9"/>
  <c r="U809" i="9"/>
  <c r="U810" i="9"/>
  <c r="U811" i="9"/>
  <c r="U812" i="9"/>
  <c r="U813" i="9"/>
  <c r="U814" i="9"/>
  <c r="U815" i="9"/>
  <c r="U816" i="9"/>
  <c r="U817" i="9"/>
  <c r="U818" i="9"/>
  <c r="U819" i="9"/>
  <c r="U820" i="9"/>
  <c r="U821" i="9"/>
  <c r="U822" i="9"/>
  <c r="U823" i="9"/>
  <c r="U824" i="9"/>
  <c r="U825" i="9"/>
  <c r="U826" i="9"/>
  <c r="U827" i="9"/>
  <c r="U828" i="9"/>
  <c r="U829" i="9"/>
  <c r="U830" i="9"/>
  <c r="U831" i="9"/>
  <c r="U832" i="9"/>
  <c r="U833" i="9"/>
  <c r="U834" i="9"/>
  <c r="U835" i="9"/>
  <c r="U836" i="9"/>
  <c r="U837" i="9"/>
  <c r="U838" i="9"/>
  <c r="U839" i="9"/>
  <c r="U840" i="9"/>
  <c r="U841" i="9"/>
  <c r="U842" i="9"/>
  <c r="U843" i="9"/>
  <c r="U844" i="9"/>
  <c r="U845" i="9"/>
  <c r="U846" i="9"/>
  <c r="U847" i="9"/>
  <c r="U848" i="9"/>
  <c r="U849" i="9"/>
  <c r="U850" i="9"/>
  <c r="U851" i="9"/>
  <c r="U852" i="9"/>
  <c r="U853" i="9"/>
  <c r="U854" i="9"/>
  <c r="U855" i="9"/>
  <c r="U856" i="9"/>
  <c r="U857" i="9"/>
  <c r="U858" i="9"/>
  <c r="U859" i="9"/>
  <c r="U860" i="9"/>
  <c r="U861" i="9"/>
  <c r="U862" i="9"/>
  <c r="U863" i="9"/>
  <c r="U864" i="9"/>
  <c r="U865" i="9"/>
  <c r="U866" i="9"/>
  <c r="U867" i="9"/>
  <c r="U868" i="9"/>
  <c r="U869" i="9"/>
  <c r="U870" i="9"/>
  <c r="U871" i="9"/>
  <c r="U872" i="9"/>
  <c r="U873" i="9"/>
  <c r="U874" i="9"/>
  <c r="U875" i="9"/>
  <c r="U876" i="9"/>
  <c r="U877" i="9"/>
  <c r="U878" i="9"/>
  <c r="U879" i="9"/>
  <c r="U880" i="9"/>
  <c r="U881" i="9"/>
  <c r="U882" i="9"/>
  <c r="U883" i="9"/>
  <c r="U884" i="9"/>
  <c r="U885" i="9"/>
  <c r="U886" i="9"/>
  <c r="U887" i="9"/>
  <c r="U888" i="9"/>
  <c r="U889" i="9"/>
  <c r="U890" i="9"/>
  <c r="U891" i="9"/>
  <c r="U892" i="9"/>
  <c r="U893" i="9"/>
  <c r="U894" i="9"/>
  <c r="U895" i="9"/>
  <c r="U896" i="9"/>
  <c r="U897" i="9"/>
  <c r="U898" i="9"/>
  <c r="U899" i="9"/>
  <c r="U900" i="9"/>
  <c r="U901" i="9"/>
  <c r="U902" i="9"/>
  <c r="U903" i="9"/>
  <c r="U904" i="9"/>
  <c r="U905" i="9"/>
  <c r="U906" i="9"/>
  <c r="U907" i="9"/>
  <c r="U908" i="9"/>
  <c r="U909" i="9"/>
  <c r="U910" i="9"/>
  <c r="U911" i="9"/>
  <c r="U912" i="9"/>
  <c r="U913" i="9"/>
  <c r="U914" i="9"/>
  <c r="U915" i="9"/>
  <c r="U916" i="9"/>
  <c r="U917" i="9"/>
  <c r="U918" i="9"/>
  <c r="U919" i="9"/>
  <c r="U920" i="9"/>
  <c r="U921" i="9"/>
  <c r="U922" i="9"/>
  <c r="U923" i="9"/>
  <c r="U924" i="9"/>
  <c r="U925" i="9"/>
  <c r="U926" i="9"/>
  <c r="U927" i="9"/>
  <c r="U928" i="9"/>
  <c r="U929" i="9"/>
  <c r="U930" i="9"/>
  <c r="U931" i="9"/>
  <c r="U932" i="9"/>
  <c r="U933" i="9"/>
  <c r="U934" i="9"/>
  <c r="U935" i="9"/>
  <c r="U936" i="9"/>
  <c r="U937" i="9"/>
  <c r="U938" i="9"/>
  <c r="U939" i="9"/>
  <c r="U940" i="9"/>
  <c r="U941" i="9"/>
  <c r="U942" i="9"/>
  <c r="U943" i="9"/>
  <c r="U944" i="9"/>
  <c r="U945" i="9"/>
  <c r="U946" i="9"/>
  <c r="U947" i="9"/>
  <c r="U948" i="9"/>
  <c r="U949" i="9"/>
  <c r="U950" i="9"/>
  <c r="U951" i="9"/>
  <c r="U952" i="9"/>
  <c r="U953" i="9"/>
  <c r="U954" i="9"/>
  <c r="U955" i="9"/>
  <c r="U956" i="9"/>
  <c r="U957" i="9"/>
  <c r="U958" i="9"/>
  <c r="U959" i="9"/>
  <c r="U960" i="9"/>
  <c r="U961" i="9"/>
  <c r="U962" i="9"/>
  <c r="U963" i="9"/>
  <c r="U964" i="9"/>
  <c r="U965" i="9"/>
  <c r="U966" i="9"/>
  <c r="U967" i="9"/>
  <c r="U968" i="9"/>
  <c r="U969" i="9"/>
  <c r="U970" i="9"/>
  <c r="U971" i="9"/>
  <c r="U972" i="9"/>
  <c r="U973" i="9"/>
  <c r="U974" i="9"/>
  <c r="U975" i="9"/>
  <c r="U976" i="9"/>
  <c r="U977" i="9"/>
  <c r="U978" i="9"/>
  <c r="U979" i="9"/>
  <c r="U980" i="9"/>
  <c r="U981" i="9"/>
  <c r="U982" i="9"/>
  <c r="U983" i="9"/>
  <c r="U984" i="9"/>
  <c r="U985" i="9"/>
  <c r="U986" i="9"/>
  <c r="U987" i="9"/>
  <c r="U988" i="9"/>
  <c r="U989" i="9"/>
  <c r="U990" i="9"/>
  <c r="U991" i="9"/>
  <c r="U992" i="9"/>
  <c r="U993" i="9"/>
  <c r="U994" i="9"/>
  <c r="U995" i="9"/>
  <c r="U996" i="9"/>
  <c r="U997" i="9"/>
  <c r="U998" i="9"/>
  <c r="U999" i="9"/>
  <c r="U1000" i="9"/>
  <c r="U1001" i="9"/>
  <c r="U1002" i="9"/>
  <c r="U1003" i="9"/>
  <c r="U1004" i="9"/>
  <c r="U1005" i="9"/>
  <c r="U1006" i="9"/>
  <c r="U1007" i="9"/>
  <c r="U1008" i="9"/>
  <c r="U1009" i="9"/>
  <c r="U1010" i="9"/>
  <c r="U1011" i="9"/>
  <c r="U1012" i="9"/>
  <c r="U1013" i="9"/>
  <c r="U1014" i="9"/>
  <c r="U1015" i="9"/>
  <c r="U1016" i="9"/>
  <c r="U1017" i="9"/>
  <c r="U1018" i="9"/>
  <c r="U1019" i="9"/>
  <c r="U1020" i="9"/>
  <c r="U1021" i="9"/>
  <c r="U1022" i="9"/>
  <c r="U1023" i="9"/>
  <c r="U1024" i="9"/>
  <c r="U1025" i="9"/>
  <c r="U1026" i="9"/>
  <c r="U1027" i="9"/>
  <c r="U1028" i="9"/>
  <c r="U1029" i="9"/>
  <c r="U1030" i="9"/>
  <c r="U1031" i="9"/>
  <c r="U1032" i="9"/>
  <c r="U1033" i="9"/>
  <c r="U1034" i="9"/>
  <c r="U1035" i="9"/>
  <c r="U1036" i="9"/>
  <c r="U1037" i="9"/>
  <c r="U1038" i="9"/>
  <c r="U1039" i="9"/>
  <c r="U1040" i="9"/>
  <c r="U1041" i="9"/>
  <c r="U1042" i="9"/>
  <c r="U1043" i="9"/>
  <c r="U1044" i="9"/>
  <c r="U1045" i="9"/>
  <c r="U1046" i="9"/>
  <c r="U1047" i="9"/>
  <c r="U1048" i="9"/>
  <c r="U1049" i="9"/>
  <c r="U1050" i="9"/>
  <c r="U1051" i="9"/>
  <c r="U1052" i="9"/>
  <c r="U1053" i="9"/>
  <c r="U1054" i="9"/>
  <c r="U1055" i="9"/>
  <c r="U1056" i="9"/>
  <c r="U1057" i="9"/>
  <c r="U1058" i="9"/>
  <c r="U1059" i="9"/>
  <c r="U1060" i="9"/>
  <c r="U1061" i="9"/>
  <c r="U1062" i="9"/>
  <c r="U1063" i="9"/>
  <c r="U1064" i="9"/>
  <c r="U1065" i="9"/>
  <c r="U1066" i="9"/>
  <c r="U1067" i="9"/>
  <c r="U1068" i="9"/>
  <c r="U1069" i="9"/>
  <c r="U1070" i="9"/>
  <c r="U1071" i="9"/>
  <c r="U1072" i="9"/>
  <c r="U1073" i="9"/>
  <c r="U1074" i="9"/>
  <c r="U1075" i="9"/>
  <c r="U1076" i="9"/>
  <c r="U1077" i="9"/>
  <c r="U1078" i="9"/>
  <c r="U1079" i="9"/>
  <c r="U1080" i="9"/>
  <c r="U1081" i="9"/>
  <c r="U1082" i="9"/>
  <c r="U1083" i="9"/>
  <c r="U1084" i="9"/>
  <c r="U1085" i="9"/>
  <c r="U1086" i="9"/>
  <c r="U1087" i="9"/>
  <c r="U1088" i="9"/>
  <c r="U1089" i="9"/>
  <c r="U1090" i="9"/>
  <c r="U1091" i="9"/>
  <c r="U1092" i="9"/>
  <c r="U1093" i="9"/>
  <c r="U1094" i="9"/>
  <c r="U1095" i="9"/>
  <c r="U1096" i="9"/>
  <c r="U1097" i="9"/>
  <c r="U1098" i="9"/>
  <c r="U1099" i="9"/>
  <c r="U1100" i="9"/>
  <c r="U1101" i="9"/>
  <c r="U1102" i="9"/>
  <c r="U1103" i="9"/>
  <c r="U1104" i="9"/>
  <c r="U1105" i="9"/>
  <c r="U1106" i="9"/>
  <c r="U1107" i="9"/>
  <c r="U1108" i="9"/>
  <c r="U1109" i="9"/>
  <c r="U1110" i="9"/>
  <c r="U1111" i="9"/>
  <c r="U1112" i="9"/>
  <c r="U1113" i="9"/>
  <c r="U1114" i="9"/>
  <c r="U1115" i="9"/>
  <c r="U1116" i="9"/>
  <c r="U1117" i="9"/>
  <c r="U1118" i="9"/>
  <c r="U1119" i="9"/>
  <c r="U1120" i="9"/>
  <c r="U1121" i="9"/>
  <c r="U1122" i="9"/>
  <c r="U1123" i="9"/>
  <c r="U1124" i="9"/>
  <c r="U1125" i="9"/>
  <c r="U1126" i="9"/>
  <c r="U1127" i="9"/>
  <c r="U1128" i="9"/>
  <c r="U1129" i="9"/>
  <c r="U1130" i="9"/>
  <c r="U1131" i="9"/>
  <c r="U1132" i="9"/>
  <c r="U1133" i="9"/>
  <c r="U1134" i="9"/>
  <c r="U1135" i="9"/>
  <c r="U1136" i="9"/>
  <c r="U1137" i="9"/>
  <c r="U1138" i="9"/>
  <c r="U1139" i="9"/>
  <c r="U1140" i="9"/>
  <c r="U1141" i="9"/>
  <c r="U1142" i="9"/>
  <c r="U1143" i="9"/>
  <c r="U1144" i="9"/>
  <c r="U1145" i="9"/>
  <c r="U1146" i="9"/>
  <c r="U1147" i="9"/>
  <c r="U1148" i="9"/>
  <c r="U1149" i="9"/>
  <c r="U1150" i="9"/>
  <c r="U1151" i="9"/>
  <c r="U1152" i="9"/>
  <c r="U1153" i="9"/>
  <c r="U1154" i="9"/>
  <c r="U1155" i="9"/>
  <c r="U1156" i="9"/>
  <c r="U1157" i="9"/>
  <c r="U1158" i="9"/>
  <c r="U1159" i="9"/>
  <c r="U1160" i="9"/>
  <c r="U1161" i="9"/>
  <c r="U1162" i="9"/>
  <c r="U1163" i="9"/>
  <c r="U1164" i="9"/>
  <c r="U1165" i="9"/>
  <c r="U1166" i="9"/>
  <c r="U1167" i="9"/>
  <c r="U1168" i="9"/>
  <c r="U1169" i="9"/>
  <c r="U1170" i="9"/>
  <c r="U1171" i="9"/>
  <c r="U1172" i="9"/>
  <c r="U1173" i="9"/>
  <c r="U1174" i="9"/>
  <c r="U1175" i="9"/>
  <c r="U1176" i="9"/>
  <c r="U1177" i="9"/>
  <c r="U1178" i="9"/>
  <c r="U1179" i="9"/>
  <c r="U1180" i="9"/>
  <c r="U1181" i="9"/>
  <c r="U1182" i="9"/>
  <c r="U1183" i="9"/>
  <c r="U1184" i="9"/>
  <c r="U1185" i="9"/>
  <c r="U1186" i="9"/>
  <c r="U1187" i="9"/>
  <c r="U1188" i="9"/>
  <c r="U1189" i="9"/>
  <c r="U1190" i="9"/>
  <c r="U1191" i="9"/>
  <c r="U1192" i="9"/>
  <c r="U1193" i="9"/>
  <c r="U1194" i="9"/>
  <c r="U1195" i="9"/>
  <c r="U1196" i="9"/>
  <c r="U1197" i="9"/>
  <c r="U1198" i="9"/>
  <c r="U1199" i="9"/>
  <c r="U1200" i="9"/>
  <c r="U1201" i="9"/>
  <c r="U1202" i="9"/>
  <c r="U1203" i="9"/>
  <c r="U1204" i="9"/>
  <c r="U1205" i="9"/>
  <c r="U1206" i="9"/>
  <c r="U1207" i="9"/>
  <c r="U1208" i="9"/>
  <c r="U1209" i="9"/>
  <c r="U1210" i="9"/>
  <c r="U1211" i="9"/>
  <c r="U1212" i="9"/>
  <c r="U1213" i="9"/>
  <c r="U1214" i="9"/>
  <c r="U1215" i="9"/>
  <c r="U1216" i="9"/>
  <c r="U1217" i="9"/>
  <c r="U1218" i="9"/>
  <c r="U1219" i="9"/>
  <c r="U1220" i="9"/>
  <c r="U1221" i="9"/>
  <c r="U1222" i="9"/>
  <c r="U1223" i="9"/>
  <c r="U1224" i="9"/>
  <c r="U1225" i="9"/>
  <c r="U1226" i="9"/>
  <c r="U1227" i="9"/>
  <c r="U1228" i="9"/>
  <c r="U1229" i="9"/>
  <c r="U1230" i="9"/>
  <c r="U1231" i="9"/>
  <c r="U1232" i="9"/>
  <c r="U1233" i="9"/>
  <c r="U1234" i="9"/>
  <c r="U1235" i="9"/>
  <c r="U1236" i="9"/>
  <c r="U1237" i="9"/>
  <c r="U1238" i="9"/>
  <c r="U1239" i="9"/>
  <c r="U1240" i="9"/>
  <c r="U1241" i="9"/>
  <c r="U1242" i="9"/>
  <c r="U1243" i="9"/>
  <c r="V13" i="9"/>
  <c r="V14" i="9"/>
  <c r="V15" i="9"/>
  <c r="V16" i="9"/>
  <c r="V17" i="9"/>
  <c r="V19" i="9"/>
  <c r="V20" i="9"/>
  <c r="V22" i="9"/>
  <c r="V23" i="9"/>
  <c r="V24" i="9"/>
  <c r="V25" i="9"/>
  <c r="V26" i="9"/>
  <c r="V27" i="9"/>
  <c r="V30" i="9"/>
  <c r="V31" i="9"/>
  <c r="V33" i="9"/>
  <c r="V34" i="9"/>
  <c r="V35" i="9"/>
  <c r="V36" i="9"/>
  <c r="V37" i="9"/>
  <c r="V38" i="9"/>
  <c r="V40" i="9"/>
  <c r="V42" i="9"/>
  <c r="V43" i="9"/>
  <c r="V44" i="9"/>
  <c r="V45" i="9"/>
  <c r="V47" i="9"/>
  <c r="V48" i="9"/>
  <c r="V49" i="9"/>
  <c r="V52" i="9"/>
  <c r="V53" i="9"/>
  <c r="V54" i="9"/>
  <c r="V55" i="9"/>
  <c r="V56" i="9"/>
  <c r="V57" i="9"/>
  <c r="V58" i="9"/>
  <c r="V59" i="9"/>
  <c r="V62" i="9"/>
  <c r="V63" i="9"/>
  <c r="V64" i="9"/>
  <c r="V65" i="9"/>
  <c r="V66" i="9"/>
  <c r="V67" i="9"/>
  <c r="V68" i="9"/>
  <c r="V69" i="9"/>
  <c r="V71" i="9"/>
  <c r="V74" i="9"/>
  <c r="V75" i="9"/>
  <c r="V76" i="9"/>
  <c r="V78" i="9"/>
  <c r="V79" i="9"/>
  <c r="V80" i="9"/>
  <c r="V81" i="9"/>
  <c r="V82" i="9"/>
  <c r="V83" i="9"/>
  <c r="V84" i="9"/>
  <c r="V85" i="9"/>
  <c r="V86" i="9"/>
  <c r="V87" i="9"/>
  <c r="V88" i="9"/>
  <c r="V89" i="9"/>
  <c r="V90" i="9"/>
  <c r="V91" i="9"/>
  <c r="V93" i="9"/>
  <c r="V94" i="9"/>
  <c r="V95" i="9"/>
  <c r="V97" i="9"/>
  <c r="V100" i="9"/>
  <c r="V102" i="9"/>
  <c r="V104" i="9"/>
  <c r="V105" i="9"/>
  <c r="V106" i="9"/>
  <c r="V108" i="9"/>
  <c r="V109" i="9"/>
  <c r="V110" i="9"/>
  <c r="V111" i="9"/>
  <c r="V112" i="9"/>
  <c r="V114" i="9"/>
  <c r="V115" i="9"/>
  <c r="V116" i="9"/>
  <c r="V119" i="9"/>
  <c r="V120" i="9"/>
  <c r="V122" i="9"/>
  <c r="V123" i="9"/>
  <c r="V124" i="9"/>
  <c r="V125" i="9"/>
  <c r="V126" i="9"/>
  <c r="V127" i="9"/>
  <c r="V129" i="9"/>
  <c r="V130" i="9"/>
  <c r="V131" i="9"/>
  <c r="V132" i="9"/>
  <c r="V133" i="9"/>
  <c r="V135" i="9"/>
  <c r="V136" i="9"/>
  <c r="V137" i="9"/>
  <c r="V139" i="9"/>
  <c r="V140" i="9"/>
  <c r="V141" i="9"/>
  <c r="V143" i="9"/>
  <c r="V144" i="9"/>
  <c r="V145" i="9"/>
  <c r="V146" i="9"/>
  <c r="V147" i="9"/>
  <c r="V148" i="9"/>
  <c r="V149" i="9"/>
  <c r="V150" i="9"/>
  <c r="V151" i="9"/>
  <c r="V152" i="9"/>
  <c r="V153" i="9"/>
  <c r="V154" i="9"/>
  <c r="V155" i="9"/>
  <c r="V156" i="9"/>
  <c r="V157" i="9"/>
  <c r="V158" i="9"/>
  <c r="V159" i="9"/>
  <c r="V160" i="9"/>
  <c r="V161" i="9"/>
  <c r="V163" i="9"/>
  <c r="V164" i="9"/>
  <c r="V165" i="9"/>
  <c r="V167" i="9"/>
  <c r="V168" i="9"/>
  <c r="V169" i="9"/>
  <c r="V171" i="9"/>
  <c r="V172" i="9"/>
  <c r="V173" i="9"/>
  <c r="V175" i="9"/>
  <c r="V176" i="9"/>
  <c r="V177" i="9"/>
  <c r="V178" i="9"/>
  <c r="V179" i="9"/>
  <c r="V180" i="9"/>
  <c r="V181" i="9"/>
  <c r="V183" i="9"/>
  <c r="V184" i="9"/>
  <c r="V185" i="9"/>
  <c r="V187" i="9"/>
  <c r="V188" i="9"/>
  <c r="V189" i="9"/>
  <c r="V190" i="9"/>
  <c r="V191" i="9"/>
  <c r="V192" i="9"/>
  <c r="V193" i="9"/>
  <c r="V194" i="9"/>
  <c r="V195" i="9"/>
  <c r="V196" i="9"/>
  <c r="V197" i="9"/>
  <c r="V198" i="9"/>
  <c r="V199" i="9"/>
  <c r="V202" i="9"/>
  <c r="V203" i="9"/>
  <c r="V204" i="9"/>
  <c r="V205" i="9"/>
  <c r="V206" i="9"/>
  <c r="V207" i="9"/>
  <c r="V208" i="9"/>
  <c r="V210" i="9"/>
  <c r="V211" i="9"/>
  <c r="V213" i="9"/>
  <c r="V214" i="9"/>
  <c r="V215" i="9"/>
  <c r="V216" i="9"/>
  <c r="V217" i="9"/>
  <c r="V219" i="9"/>
  <c r="V220" i="9"/>
  <c r="V221" i="9"/>
  <c r="V222" i="9"/>
  <c r="V223" i="9"/>
  <c r="V226" i="9"/>
  <c r="V227" i="9"/>
  <c r="V228" i="9"/>
  <c r="V229" i="9"/>
  <c r="V230" i="9"/>
  <c r="V231" i="9"/>
  <c r="V232" i="9"/>
  <c r="V233" i="9"/>
  <c r="V234" i="9"/>
  <c r="V236" i="9"/>
  <c r="V237" i="9"/>
  <c r="V239" i="9"/>
  <c r="V240" i="9"/>
  <c r="V241" i="9"/>
  <c r="V244" i="9"/>
  <c r="V245" i="9"/>
  <c r="V246" i="9"/>
  <c r="V247" i="9"/>
  <c r="V248" i="9"/>
  <c r="V249" i="9"/>
  <c r="V250" i="9"/>
  <c r="V252" i="9"/>
  <c r="V253" i="9"/>
  <c r="V254" i="9"/>
  <c r="V255" i="9"/>
  <c r="V256" i="9"/>
  <c r="V257" i="9"/>
  <c r="V258" i="9"/>
  <c r="V259" i="9"/>
  <c r="V260" i="9"/>
  <c r="V261" i="9"/>
  <c r="V262" i="9"/>
  <c r="V265" i="9"/>
  <c r="V266" i="9"/>
  <c r="V267" i="9"/>
  <c r="V268" i="9"/>
  <c r="V269" i="9"/>
  <c r="V270" i="9"/>
  <c r="V271" i="9"/>
  <c r="V273" i="9"/>
  <c r="V274" i="9"/>
  <c r="V277" i="9"/>
  <c r="V278" i="9"/>
  <c r="V279" i="9"/>
  <c r="V280" i="9"/>
  <c r="V281" i="9"/>
  <c r="V282" i="9"/>
  <c r="V283" i="9"/>
  <c r="V284" i="9"/>
  <c r="V285" i="9"/>
  <c r="V286" i="9"/>
  <c r="V287" i="9"/>
  <c r="V289" i="9"/>
  <c r="V290" i="9"/>
  <c r="V291" i="9"/>
  <c r="V292" i="9"/>
  <c r="V293" i="9"/>
  <c r="V294" i="9"/>
  <c r="V296" i="9"/>
  <c r="V297" i="9"/>
  <c r="V298" i="9"/>
  <c r="V299" i="9"/>
  <c r="V300" i="9"/>
  <c r="V301" i="9"/>
  <c r="V304" i="9"/>
  <c r="V305" i="9"/>
  <c r="V306" i="9"/>
  <c r="V307" i="9"/>
  <c r="V308" i="9"/>
  <c r="V309" i="9"/>
  <c r="V310" i="9"/>
  <c r="V312" i="9"/>
  <c r="V313" i="9"/>
  <c r="V314" i="9"/>
  <c r="V315" i="9"/>
  <c r="V316" i="9"/>
  <c r="V317" i="9"/>
  <c r="V318" i="9"/>
  <c r="V319" i="9"/>
  <c r="V320" i="9"/>
  <c r="V321" i="9"/>
  <c r="V322" i="9"/>
  <c r="V324" i="9"/>
  <c r="V325" i="9"/>
  <c r="V326" i="9"/>
  <c r="V327" i="9"/>
  <c r="V328" i="9"/>
  <c r="V329" i="9"/>
  <c r="V331" i="9"/>
  <c r="V332" i="9"/>
  <c r="V333" i="9"/>
  <c r="V334" i="9"/>
  <c r="V335" i="9"/>
  <c r="V336" i="9"/>
  <c r="V337" i="9"/>
  <c r="V338" i="9"/>
  <c r="V340" i="9"/>
  <c r="V341" i="9"/>
  <c r="V342" i="9"/>
  <c r="V344" i="9"/>
  <c r="V345" i="9"/>
  <c r="V346" i="9"/>
  <c r="V349" i="9"/>
  <c r="V350" i="9"/>
  <c r="V351" i="9"/>
  <c r="V352" i="9"/>
  <c r="V353" i="9"/>
  <c r="V354" i="9"/>
  <c r="V355" i="9"/>
  <c r="V356" i="9"/>
  <c r="V357" i="9"/>
  <c r="V358" i="9"/>
  <c r="V359" i="9"/>
  <c r="V360" i="9"/>
  <c r="V361" i="9"/>
  <c r="V363" i="9"/>
  <c r="V364" i="9"/>
  <c r="V365" i="9"/>
  <c r="V366" i="9"/>
  <c r="V367" i="9"/>
  <c r="V368" i="9"/>
  <c r="V369" i="9"/>
  <c r="V371" i="9"/>
  <c r="V373" i="9"/>
  <c r="V374" i="9"/>
  <c r="V375" i="9"/>
  <c r="V376" i="9"/>
  <c r="V377" i="9"/>
  <c r="V378" i="9"/>
  <c r="V380" i="9"/>
  <c r="V381" i="9"/>
  <c r="V382" i="9"/>
  <c r="V383" i="9"/>
  <c r="V384" i="9"/>
  <c r="V385" i="9"/>
  <c r="V386" i="9"/>
  <c r="V387" i="9"/>
  <c r="V388" i="9"/>
  <c r="V389" i="9"/>
  <c r="V390" i="9"/>
  <c r="V391" i="9"/>
  <c r="V392" i="9"/>
  <c r="V394" i="9"/>
  <c r="V395" i="9"/>
  <c r="V396" i="9"/>
  <c r="V397" i="9"/>
  <c r="V398" i="9"/>
  <c r="V399" i="9"/>
  <c r="V400" i="9"/>
  <c r="V401" i="9"/>
  <c r="V403" i="9"/>
  <c r="V405" i="9"/>
  <c r="V406" i="9"/>
  <c r="V407" i="9"/>
  <c r="V409" i="9"/>
  <c r="V410" i="9"/>
  <c r="V412" i="9"/>
  <c r="V413" i="9"/>
  <c r="V414" i="9"/>
  <c r="V415" i="9"/>
  <c r="V416" i="9"/>
  <c r="V417" i="9"/>
  <c r="V418" i="9"/>
  <c r="V421" i="9"/>
  <c r="V422" i="9"/>
  <c r="V423" i="9"/>
  <c r="V424" i="9"/>
  <c r="V425" i="9"/>
  <c r="V426" i="9"/>
  <c r="V428" i="9"/>
  <c r="V429" i="9"/>
  <c r="V430" i="9"/>
  <c r="V431" i="9"/>
  <c r="V432" i="9"/>
  <c r="V433" i="9"/>
  <c r="V434" i="9"/>
  <c r="V435" i="9"/>
  <c r="V437" i="9"/>
  <c r="V439" i="9"/>
  <c r="V440" i="9"/>
  <c r="V441" i="9"/>
  <c r="V442" i="9"/>
  <c r="V443" i="9"/>
  <c r="V444" i="9"/>
  <c r="V445" i="9"/>
  <c r="V447" i="9"/>
  <c r="V448" i="9"/>
  <c r="V450" i="9"/>
  <c r="V451" i="9"/>
  <c r="V452" i="9"/>
  <c r="V453" i="9"/>
  <c r="V454" i="9"/>
  <c r="V455" i="9"/>
  <c r="V456" i="9"/>
  <c r="V457" i="9"/>
  <c r="V458" i="9"/>
  <c r="V459" i="9"/>
  <c r="V461" i="9"/>
  <c r="V462" i="9"/>
  <c r="V463" i="9"/>
  <c r="V464" i="9"/>
  <c r="V465" i="9"/>
  <c r="V466" i="9"/>
  <c r="V470" i="9"/>
  <c r="V471" i="9"/>
  <c r="V472" i="9"/>
  <c r="V473" i="9"/>
  <c r="V474" i="9"/>
  <c r="V476" i="9"/>
  <c r="V477" i="9"/>
  <c r="V478" i="9"/>
  <c r="V479" i="9"/>
  <c r="V480" i="9"/>
  <c r="V481" i="9"/>
  <c r="V482" i="9"/>
  <c r="V483" i="9"/>
  <c r="V484" i="9"/>
  <c r="V485" i="9"/>
  <c r="V486" i="9"/>
  <c r="V487" i="9"/>
  <c r="V488" i="9"/>
  <c r="V490" i="9"/>
  <c r="V491" i="9"/>
  <c r="V492" i="9"/>
  <c r="V493" i="9"/>
  <c r="V494" i="9"/>
  <c r="V495" i="9"/>
  <c r="V496" i="9"/>
  <c r="V497" i="9"/>
  <c r="V499" i="9"/>
  <c r="V500" i="9"/>
  <c r="V501" i="9"/>
  <c r="V502" i="9"/>
  <c r="V503" i="9"/>
  <c r="V504" i="9"/>
  <c r="V505" i="9"/>
  <c r="V506" i="9"/>
  <c r="V507" i="9"/>
  <c r="V508" i="9"/>
  <c r="V510" i="9"/>
  <c r="V511" i="9"/>
  <c r="V512" i="9"/>
  <c r="V513" i="9"/>
  <c r="V514" i="9"/>
  <c r="V515" i="9"/>
  <c r="V516" i="9"/>
  <c r="V517" i="9"/>
  <c r="V518" i="9"/>
  <c r="V520" i="9"/>
  <c r="V522" i="9"/>
  <c r="V523" i="9"/>
  <c r="V524" i="9"/>
  <c r="V525" i="9"/>
  <c r="V526" i="9"/>
  <c r="V527" i="9"/>
  <c r="V528" i="9"/>
  <c r="V529" i="9"/>
  <c r="V530" i="9"/>
  <c r="V531" i="9"/>
  <c r="V532" i="9"/>
  <c r="V533" i="9"/>
  <c r="V534" i="9"/>
  <c r="V535" i="9"/>
  <c r="V536" i="9"/>
  <c r="V537" i="9"/>
  <c r="V538" i="9"/>
  <c r="V539" i="9"/>
  <c r="V541" i="9"/>
  <c r="V542" i="9"/>
  <c r="V544" i="9"/>
  <c r="V545" i="9"/>
  <c r="V546" i="9"/>
  <c r="V547" i="9"/>
  <c r="V548" i="9"/>
  <c r="V549" i="9"/>
  <c r="V550" i="9"/>
  <c r="V551" i="9"/>
  <c r="V552" i="9"/>
  <c r="V553" i="9"/>
  <c r="V554" i="9"/>
  <c r="V555" i="9"/>
  <c r="V556" i="9"/>
  <c r="V557" i="9"/>
  <c r="V558" i="9"/>
  <c r="V559" i="9"/>
  <c r="V560" i="9"/>
  <c r="V561" i="9"/>
  <c r="V564" i="9"/>
  <c r="V565" i="9"/>
  <c r="V566" i="9"/>
  <c r="V567" i="9"/>
  <c r="V569" i="9"/>
  <c r="V570" i="9"/>
  <c r="V572" i="9"/>
  <c r="V573" i="9"/>
  <c r="V574" i="9"/>
  <c r="V575" i="9"/>
  <c r="V577" i="9"/>
  <c r="V579" i="9"/>
  <c r="V580" i="9"/>
  <c r="V582" i="9"/>
  <c r="V583" i="9"/>
  <c r="V586" i="9"/>
  <c r="V587" i="9"/>
  <c r="V588" i="9"/>
  <c r="V589" i="9"/>
  <c r="V590" i="9"/>
  <c r="V591" i="9"/>
  <c r="V593" i="9"/>
  <c r="V595" i="9"/>
  <c r="V596" i="9"/>
  <c r="V597" i="9"/>
  <c r="V598" i="9"/>
  <c r="V599" i="9"/>
  <c r="V601" i="9"/>
  <c r="V602" i="9"/>
  <c r="V603" i="9"/>
  <c r="V604" i="9"/>
  <c r="V606" i="9"/>
  <c r="V608" i="9"/>
  <c r="V609" i="9"/>
  <c r="V610" i="9"/>
  <c r="V611" i="9"/>
  <c r="V612" i="9"/>
  <c r="V613" i="9"/>
  <c r="V616" i="9"/>
  <c r="V617" i="9"/>
  <c r="V618" i="9"/>
  <c r="V619" i="9"/>
  <c r="V620" i="9"/>
  <c r="V621" i="9"/>
  <c r="V622" i="9"/>
  <c r="V624" i="9"/>
  <c r="V625" i="9"/>
  <c r="V627" i="9"/>
  <c r="V628" i="9"/>
  <c r="V629" i="9"/>
  <c r="V630" i="9"/>
  <c r="V631" i="9"/>
  <c r="V632" i="9"/>
  <c r="V633" i="9"/>
  <c r="V634" i="9"/>
  <c r="V635" i="9"/>
  <c r="V636" i="9"/>
  <c r="V638" i="9"/>
  <c r="V639" i="9"/>
  <c r="V640" i="9"/>
  <c r="V641" i="9"/>
  <c r="V642" i="9"/>
  <c r="V643" i="9"/>
  <c r="V644" i="9"/>
  <c r="V645" i="9"/>
  <c r="V646" i="9"/>
  <c r="V647" i="9"/>
  <c r="V648" i="9"/>
  <c r="V651" i="9"/>
  <c r="V652" i="9"/>
  <c r="V653" i="9"/>
  <c r="V654" i="9"/>
  <c r="V655" i="9"/>
  <c r="V656" i="9"/>
  <c r="V657" i="9"/>
  <c r="V661" i="9"/>
  <c r="V662" i="9"/>
  <c r="V663" i="9"/>
  <c r="V664" i="9"/>
  <c r="V665" i="9"/>
  <c r="V666" i="9"/>
  <c r="V667" i="9"/>
  <c r="V668" i="9"/>
  <c r="V669" i="9"/>
  <c r="V670" i="9"/>
  <c r="V671" i="9"/>
  <c r="V672" i="9"/>
  <c r="V673" i="9"/>
  <c r="V674" i="9"/>
  <c r="V676" i="9"/>
  <c r="V677" i="9"/>
  <c r="V678" i="9"/>
  <c r="V679" i="9"/>
  <c r="V680" i="9"/>
  <c r="V681" i="9"/>
  <c r="V683" i="9"/>
  <c r="V684" i="9"/>
  <c r="V685" i="9"/>
  <c r="V686" i="9"/>
  <c r="V687" i="9"/>
  <c r="V688" i="9"/>
  <c r="V690" i="9"/>
  <c r="V691" i="9"/>
  <c r="V692" i="9"/>
  <c r="V694" i="9"/>
  <c r="V695" i="9"/>
  <c r="V697" i="9"/>
  <c r="V698" i="9"/>
  <c r="V699" i="9"/>
  <c r="V700" i="9"/>
  <c r="V701" i="9"/>
  <c r="V702" i="9"/>
  <c r="V704" i="9"/>
  <c r="V705" i="9"/>
  <c r="V706" i="9"/>
  <c r="V707" i="9"/>
  <c r="V708" i="9"/>
  <c r="V711" i="9"/>
  <c r="V712" i="9"/>
  <c r="V713" i="9"/>
  <c r="V714" i="9"/>
  <c r="V715" i="9"/>
  <c r="V716" i="9"/>
  <c r="V718" i="9"/>
  <c r="V719" i="9"/>
  <c r="V720" i="9"/>
  <c r="V721" i="9"/>
  <c r="V722" i="9"/>
  <c r="V723" i="9"/>
  <c r="V725" i="9"/>
  <c r="V726" i="9"/>
  <c r="V727" i="9"/>
  <c r="V728" i="9"/>
  <c r="V729" i="9"/>
  <c r="V730" i="9"/>
  <c r="V732" i="9"/>
  <c r="V733" i="9"/>
  <c r="V735" i="9"/>
  <c r="V736" i="9"/>
  <c r="V737" i="9"/>
  <c r="V738" i="9"/>
  <c r="V739" i="9"/>
  <c r="V740" i="9"/>
  <c r="V741" i="9"/>
  <c r="V742" i="9"/>
  <c r="V743" i="9"/>
  <c r="V745" i="9"/>
  <c r="V746" i="9"/>
  <c r="V747" i="9"/>
  <c r="V748" i="9"/>
  <c r="V749" i="9"/>
  <c r="V750" i="9"/>
  <c r="V751" i="9"/>
  <c r="V752" i="9"/>
  <c r="V753" i="9"/>
  <c r="V754" i="9"/>
  <c r="V755" i="9"/>
  <c r="V757" i="9"/>
  <c r="V758" i="9"/>
  <c r="V759" i="9"/>
  <c r="V760" i="9"/>
  <c r="V761" i="9"/>
  <c r="V762" i="9"/>
  <c r="V763" i="9"/>
  <c r="V766" i="9"/>
  <c r="V767" i="9"/>
  <c r="V768" i="9"/>
  <c r="V769" i="9"/>
  <c r="V771" i="9"/>
  <c r="V772" i="9"/>
  <c r="V773" i="9"/>
  <c r="V774" i="9"/>
  <c r="V775" i="9"/>
  <c r="V776" i="9"/>
  <c r="V777" i="9"/>
  <c r="V778" i="9"/>
  <c r="V779" i="9"/>
  <c r="V780" i="9"/>
  <c r="V782" i="9"/>
  <c r="V783" i="9"/>
  <c r="V784" i="9"/>
  <c r="V785" i="9"/>
  <c r="V786" i="9"/>
  <c r="V787" i="9"/>
  <c r="V788" i="9"/>
  <c r="V789" i="9"/>
  <c r="V790" i="9"/>
  <c r="V791" i="9"/>
  <c r="V792" i="9"/>
  <c r="V793" i="9"/>
  <c r="V794" i="9"/>
  <c r="V795" i="9"/>
  <c r="V796" i="9"/>
  <c r="V797" i="9"/>
  <c r="V798" i="9"/>
  <c r="V799" i="9"/>
  <c r="V800" i="9"/>
  <c r="V802" i="9"/>
  <c r="V804" i="9"/>
  <c r="V805" i="9"/>
  <c r="V806" i="9"/>
  <c r="V807" i="9"/>
  <c r="V808" i="9"/>
  <c r="V809" i="9"/>
  <c r="V810" i="9"/>
  <c r="V811" i="9"/>
  <c r="V812" i="9"/>
  <c r="V813" i="9"/>
  <c r="V814" i="9"/>
  <c r="V816" i="9"/>
  <c r="V817" i="9"/>
  <c r="V818" i="9"/>
  <c r="V819" i="9"/>
  <c r="V821" i="9"/>
  <c r="V822" i="9"/>
  <c r="V823" i="9"/>
  <c r="V824" i="9"/>
  <c r="V825" i="9"/>
  <c r="V826" i="9"/>
  <c r="V827" i="9"/>
  <c r="V828" i="9"/>
  <c r="V830" i="9"/>
  <c r="V831" i="9"/>
  <c r="V832" i="9"/>
  <c r="V833" i="9"/>
  <c r="V835" i="9"/>
  <c r="V836" i="9"/>
  <c r="V838" i="9"/>
  <c r="V839" i="9"/>
  <c r="V840" i="9"/>
  <c r="V841" i="9"/>
  <c r="V842" i="9"/>
  <c r="V843" i="9"/>
  <c r="V844" i="9"/>
  <c r="V845" i="9"/>
  <c r="V846" i="9"/>
  <c r="V847" i="9"/>
  <c r="V848" i="9"/>
  <c r="V849" i="9"/>
  <c r="V851" i="9"/>
  <c r="V852" i="9"/>
  <c r="V853" i="9"/>
  <c r="V854" i="9"/>
  <c r="V855" i="9"/>
  <c r="V856" i="9"/>
  <c r="V857" i="9"/>
  <c r="V858" i="9"/>
  <c r="V859" i="9"/>
  <c r="V860" i="9"/>
  <c r="V861" i="9"/>
  <c r="V863" i="9"/>
  <c r="V865" i="9"/>
  <c r="V866" i="9"/>
  <c r="V867" i="9"/>
  <c r="V869" i="9"/>
  <c r="V870" i="9"/>
  <c r="V871" i="9"/>
  <c r="V872" i="9"/>
  <c r="V873" i="9"/>
  <c r="V875" i="9"/>
  <c r="V876" i="9"/>
  <c r="V877" i="9"/>
  <c r="V878" i="9"/>
  <c r="V879" i="9"/>
  <c r="V880" i="9"/>
  <c r="V882" i="9"/>
  <c r="V884" i="9"/>
  <c r="V885" i="9"/>
  <c r="V886" i="9"/>
  <c r="V888" i="9"/>
  <c r="V889" i="9"/>
  <c r="V891" i="9"/>
  <c r="V892" i="9"/>
  <c r="V893" i="9"/>
  <c r="V894" i="9"/>
  <c r="V896" i="9"/>
  <c r="V897" i="9"/>
  <c r="V898" i="9"/>
  <c r="V899" i="9"/>
  <c r="V900" i="9"/>
  <c r="V901" i="9"/>
  <c r="V902" i="9"/>
  <c r="V904" i="9"/>
  <c r="V905" i="9"/>
  <c r="V906" i="9"/>
  <c r="V907" i="9"/>
  <c r="V908" i="9"/>
  <c r="V909" i="9"/>
  <c r="V911" i="9"/>
  <c r="V913" i="9"/>
  <c r="V914" i="9"/>
  <c r="V915" i="9"/>
  <c r="V917" i="9"/>
  <c r="V918" i="9"/>
  <c r="V919" i="9"/>
  <c r="V920" i="9"/>
  <c r="V921" i="9"/>
  <c r="V923" i="9"/>
  <c r="V924" i="9"/>
  <c r="V926" i="9"/>
  <c r="V928" i="9"/>
  <c r="V930" i="9"/>
  <c r="V931" i="9"/>
  <c r="V932" i="9"/>
  <c r="V933" i="9"/>
  <c r="V934" i="9"/>
  <c r="V935" i="9"/>
  <c r="V937" i="9"/>
  <c r="V938" i="9"/>
  <c r="V939" i="9"/>
  <c r="V941" i="9"/>
  <c r="V942" i="9"/>
  <c r="V944" i="9"/>
  <c r="V945" i="9"/>
  <c r="V947" i="9"/>
  <c r="V948" i="9"/>
  <c r="V949" i="9"/>
  <c r="V951" i="9"/>
  <c r="V952" i="9"/>
  <c r="V953" i="9"/>
  <c r="V954" i="9"/>
  <c r="V955" i="9"/>
  <c r="V956" i="9"/>
  <c r="V958" i="9"/>
  <c r="V959" i="9"/>
  <c r="V960" i="9"/>
  <c r="V961" i="9"/>
  <c r="V962" i="9"/>
  <c r="V964" i="9"/>
  <c r="V965" i="9"/>
  <c r="V966" i="9"/>
  <c r="V968" i="9"/>
  <c r="V970" i="9"/>
  <c r="V971" i="9"/>
  <c r="V972" i="9"/>
  <c r="V973" i="9"/>
  <c r="V974" i="9"/>
  <c r="V976" i="9"/>
  <c r="V977" i="9"/>
  <c r="V978" i="9"/>
  <c r="V979" i="9"/>
  <c r="V980" i="9"/>
  <c r="V982" i="9"/>
  <c r="V983" i="9"/>
  <c r="V984" i="9"/>
  <c r="V985" i="9"/>
  <c r="V986" i="9"/>
  <c r="V987" i="9"/>
  <c r="V988" i="9"/>
  <c r="V989" i="9"/>
  <c r="V990" i="9"/>
  <c r="V991" i="9"/>
  <c r="V993" i="9"/>
  <c r="V994" i="9"/>
  <c r="V996" i="9"/>
  <c r="V997" i="9"/>
  <c r="V998" i="9"/>
  <c r="V999" i="9"/>
  <c r="V1000" i="9"/>
  <c r="V1002" i="9"/>
  <c r="V1003" i="9"/>
  <c r="V1004" i="9"/>
  <c r="V1005" i="9"/>
  <c r="V1006" i="9"/>
  <c r="V1008" i="9"/>
  <c r="V1010" i="9"/>
  <c r="V1011" i="9"/>
  <c r="V1012" i="9"/>
  <c r="V1013" i="9"/>
  <c r="V1014" i="9"/>
  <c r="V1015" i="9"/>
  <c r="V1016" i="9"/>
  <c r="V1017" i="9"/>
  <c r="V1019" i="9"/>
  <c r="V1020" i="9"/>
  <c r="V1022" i="9"/>
  <c r="V1023" i="9"/>
  <c r="V1024" i="9"/>
  <c r="V1025" i="9"/>
  <c r="V1026" i="9"/>
  <c r="V1027" i="9"/>
  <c r="V1028" i="9"/>
  <c r="V1029" i="9"/>
  <c r="V1030" i="9"/>
  <c r="V1032" i="9"/>
  <c r="V1035" i="9"/>
  <c r="V1037" i="9"/>
  <c r="V1038" i="9"/>
  <c r="V1039" i="9"/>
  <c r="V1040" i="9"/>
  <c r="V1041" i="9"/>
  <c r="V1042" i="9"/>
  <c r="V1043" i="9"/>
  <c r="V1044" i="9"/>
  <c r="V1045" i="9"/>
  <c r="V1046" i="9"/>
  <c r="V1047" i="9"/>
  <c r="V1048" i="9"/>
  <c r="V1050" i="9"/>
  <c r="V1051" i="9"/>
  <c r="V1052" i="9"/>
  <c r="V1053" i="9"/>
  <c r="V1055" i="9"/>
  <c r="V1056" i="9"/>
  <c r="V1057" i="9"/>
  <c r="V1058" i="9"/>
  <c r="V1059" i="9"/>
  <c r="V1060" i="9"/>
  <c r="V1062" i="9"/>
  <c r="V1063" i="9"/>
  <c r="V1064" i="9"/>
  <c r="V1065" i="9"/>
  <c r="V1067" i="9"/>
  <c r="V1069" i="9"/>
  <c r="V1070" i="9"/>
  <c r="V1071" i="9"/>
  <c r="V1072" i="9"/>
  <c r="V1073" i="9"/>
  <c r="V1075" i="9"/>
  <c r="V1076" i="9"/>
  <c r="V1077" i="9"/>
  <c r="V1078" i="9"/>
  <c r="V1080" i="9"/>
  <c r="V1081" i="9"/>
  <c r="V1082" i="9"/>
  <c r="V1083" i="9"/>
  <c r="V1084" i="9"/>
  <c r="V1086" i="9"/>
  <c r="V1087" i="9"/>
  <c r="V1088" i="9"/>
  <c r="V1089" i="9"/>
  <c r="V1090" i="9"/>
  <c r="V1091" i="9"/>
  <c r="V1092" i="9"/>
  <c r="V1093" i="9"/>
  <c r="V1094" i="9"/>
  <c r="V1095" i="9"/>
  <c r="V1096" i="9"/>
  <c r="V1097" i="9"/>
  <c r="V1099" i="9"/>
  <c r="V1100" i="9"/>
  <c r="V1101" i="9"/>
  <c r="V1102" i="9"/>
  <c r="V1103" i="9"/>
  <c r="V1104" i="9"/>
  <c r="V1106" i="9"/>
  <c r="V1107" i="9"/>
  <c r="V1108" i="9"/>
  <c r="V1110" i="9"/>
  <c r="V1111" i="9"/>
  <c r="V1112" i="9"/>
  <c r="V1113" i="9"/>
  <c r="V1114" i="9"/>
  <c r="V1115" i="9"/>
  <c r="V1116" i="9"/>
  <c r="V1117" i="9"/>
  <c r="V1119" i="9"/>
  <c r="V1120" i="9"/>
  <c r="V1121" i="9"/>
  <c r="V1122" i="9"/>
  <c r="V1124" i="9"/>
  <c r="V1125" i="9"/>
  <c r="V1127" i="9"/>
  <c r="V1128" i="9"/>
  <c r="V1129" i="9"/>
  <c r="V1130" i="9"/>
  <c r="V1131" i="9"/>
  <c r="V1132" i="9"/>
  <c r="V1133" i="9"/>
  <c r="V1134" i="9"/>
  <c r="V1135" i="9"/>
  <c r="V1136" i="9"/>
  <c r="V1137" i="9"/>
  <c r="V1138" i="9"/>
  <c r="V1139" i="9"/>
  <c r="V1140" i="9"/>
  <c r="V1141" i="9"/>
  <c r="V1143" i="9"/>
  <c r="V1145" i="9"/>
  <c r="V1146" i="9"/>
  <c r="V1147" i="9"/>
  <c r="V1149" i="9"/>
  <c r="V1150" i="9"/>
  <c r="V1151" i="9"/>
  <c r="V1152" i="9"/>
  <c r="V1154" i="9"/>
  <c r="V1155" i="9"/>
  <c r="V1156" i="9"/>
  <c r="V1158" i="9"/>
  <c r="V1159" i="9"/>
  <c r="V1160" i="9"/>
  <c r="V1161" i="9"/>
  <c r="V1162" i="9"/>
  <c r="V1164" i="9"/>
  <c r="V1165" i="9"/>
  <c r="V1166" i="9"/>
  <c r="V1167" i="9"/>
  <c r="V1168" i="9"/>
  <c r="V1169" i="9"/>
  <c r="V1171" i="9"/>
  <c r="V1172" i="9"/>
  <c r="V1173" i="9"/>
  <c r="V1174" i="9"/>
  <c r="V1175" i="9"/>
  <c r="V1177" i="9"/>
  <c r="V1178" i="9"/>
  <c r="V1181" i="9"/>
  <c r="V1182" i="9"/>
  <c r="V1183" i="9"/>
  <c r="V1184" i="9"/>
  <c r="V1185" i="9"/>
  <c r="V1187" i="9"/>
  <c r="V1188" i="9"/>
  <c r="V1189" i="9"/>
  <c r="V1191" i="9"/>
  <c r="V1192" i="9"/>
  <c r="V1193" i="9"/>
  <c r="V1195" i="9"/>
  <c r="V1196" i="9"/>
  <c r="V1197" i="9"/>
  <c r="V1198" i="9"/>
  <c r="V1199" i="9"/>
  <c r="V1200" i="9"/>
  <c r="V1201" i="9"/>
  <c r="V1202" i="9"/>
  <c r="V1204" i="9"/>
  <c r="V1205" i="9"/>
  <c r="V1206" i="9"/>
  <c r="V1207" i="9"/>
  <c r="V1208" i="9"/>
  <c r="V1209" i="9"/>
  <c r="V1210" i="9"/>
  <c r="V1213" i="9"/>
  <c r="V1214" i="9"/>
  <c r="V1215" i="9"/>
  <c r="V1216" i="9"/>
  <c r="V1217" i="9"/>
  <c r="V1218" i="9"/>
  <c r="V1219" i="9"/>
  <c r="V1220" i="9"/>
  <c r="V1221" i="9"/>
  <c r="V1222" i="9"/>
  <c r="V1223" i="9"/>
  <c r="V1225" i="9"/>
  <c r="V1227" i="9"/>
  <c r="V1230" i="9"/>
  <c r="V1231" i="9"/>
  <c r="V1232" i="9"/>
  <c r="V1233" i="9"/>
  <c r="V1234" i="9"/>
  <c r="V1235" i="9"/>
  <c r="V1236" i="9"/>
  <c r="V1238" i="9"/>
  <c r="V1239" i="9"/>
  <c r="V1240" i="9"/>
  <c r="V1241" i="9"/>
  <c r="V1242" i="9"/>
  <c r="V1243" i="9"/>
  <c r="W13" i="9"/>
  <c r="W14" i="9"/>
  <c r="W15" i="9"/>
  <c r="W16" i="9"/>
  <c r="W17" i="9"/>
  <c r="W19" i="9"/>
  <c r="W20" i="9"/>
  <c r="W22" i="9"/>
  <c r="W23" i="9"/>
  <c r="W24" i="9"/>
  <c r="W25" i="9"/>
  <c r="W26" i="9"/>
  <c r="W27" i="9"/>
  <c r="W30" i="9"/>
  <c r="W31" i="9"/>
  <c r="W33" i="9"/>
  <c r="W34" i="9"/>
  <c r="W35" i="9"/>
  <c r="W36" i="9"/>
  <c r="W37" i="9"/>
  <c r="W38" i="9"/>
  <c r="W40" i="9"/>
  <c r="W42" i="9"/>
  <c r="W43" i="9"/>
  <c r="W44" i="9"/>
  <c r="W45" i="9"/>
  <c r="W47" i="9"/>
  <c r="W48" i="9"/>
  <c r="W49" i="9"/>
  <c r="W52" i="9"/>
  <c r="W53" i="9"/>
  <c r="W54" i="9"/>
  <c r="W55" i="9"/>
  <c r="W56" i="9"/>
  <c r="W57" i="9"/>
  <c r="W58" i="9"/>
  <c r="W59" i="9"/>
  <c r="W62" i="9"/>
  <c r="W63" i="9"/>
  <c r="W64" i="9"/>
  <c r="W65" i="9"/>
  <c r="W66" i="9"/>
  <c r="W67" i="9"/>
  <c r="W68" i="9"/>
  <c r="W69" i="9"/>
  <c r="W71" i="9"/>
  <c r="W74" i="9"/>
  <c r="W75" i="9"/>
  <c r="W76" i="9"/>
  <c r="W78" i="9"/>
  <c r="W79" i="9"/>
  <c r="W80" i="9"/>
  <c r="W81" i="9"/>
  <c r="W82" i="9"/>
  <c r="W83" i="9"/>
  <c r="W84" i="9"/>
  <c r="W85" i="9"/>
  <c r="W86" i="9"/>
  <c r="W87" i="9"/>
  <c r="W88" i="9"/>
  <c r="W89" i="9"/>
  <c r="W90" i="9"/>
  <c r="W91" i="9"/>
  <c r="W93" i="9"/>
  <c r="W94" i="9"/>
  <c r="W95" i="9"/>
  <c r="W96" i="9"/>
  <c r="W97" i="9"/>
  <c r="W100" i="9"/>
  <c r="W102" i="9"/>
  <c r="W103" i="9"/>
  <c r="W104" i="9"/>
  <c r="W105" i="9"/>
  <c r="W106" i="9"/>
  <c r="W108" i="9"/>
  <c r="W109" i="9"/>
  <c r="W110" i="9"/>
  <c r="W111" i="9"/>
  <c r="W112" i="9"/>
  <c r="W114" i="9"/>
  <c r="W115" i="9"/>
  <c r="W116" i="9"/>
  <c r="W119" i="9"/>
  <c r="W120" i="9"/>
  <c r="W122" i="9"/>
  <c r="W123" i="9"/>
  <c r="W124" i="9"/>
  <c r="W125" i="9"/>
  <c r="W126" i="9"/>
  <c r="W127" i="9"/>
  <c r="W129" i="9"/>
  <c r="W130" i="9"/>
  <c r="W131" i="9"/>
  <c r="W132" i="9"/>
  <c r="W133" i="9"/>
  <c r="W135" i="9"/>
  <c r="W136" i="9"/>
  <c r="W137" i="9"/>
  <c r="W139" i="9"/>
  <c r="W140" i="9"/>
  <c r="W141" i="9"/>
  <c r="W143" i="9"/>
  <c r="W144" i="9"/>
  <c r="W145" i="9"/>
  <c r="W146" i="9"/>
  <c r="W147" i="9"/>
  <c r="W148" i="9"/>
  <c r="W149" i="9"/>
  <c r="W150" i="9"/>
  <c r="W151" i="9"/>
  <c r="W152" i="9"/>
  <c r="W153" i="9"/>
  <c r="W154" i="9"/>
  <c r="W155" i="9"/>
  <c r="W156" i="9"/>
  <c r="W157" i="9"/>
  <c r="W158" i="9"/>
  <c r="W159" i="9"/>
  <c r="W160" i="9"/>
  <c r="W161" i="9"/>
  <c r="W163" i="9"/>
  <c r="W164" i="9"/>
  <c r="W165" i="9"/>
  <c r="W167" i="9"/>
  <c r="W168" i="9"/>
  <c r="W169" i="9"/>
  <c r="W171" i="9"/>
  <c r="W172" i="9"/>
  <c r="W173" i="9"/>
  <c r="W175" i="9"/>
  <c r="W176" i="9"/>
  <c r="W177" i="9"/>
  <c r="W178" i="9"/>
  <c r="W179" i="9"/>
  <c r="W180" i="9"/>
  <c r="W181" i="9"/>
  <c r="W183" i="9"/>
  <c r="W184" i="9"/>
  <c r="W185" i="9"/>
  <c r="W187" i="9"/>
  <c r="W188" i="9"/>
  <c r="W189" i="9"/>
  <c r="W190" i="9"/>
  <c r="W191" i="9"/>
  <c r="W192" i="9"/>
  <c r="W193" i="9"/>
  <c r="W194" i="9"/>
  <c r="W195" i="9"/>
  <c r="W196" i="9"/>
  <c r="W197" i="9"/>
  <c r="W198" i="9"/>
  <c r="W199" i="9"/>
  <c r="W202" i="9"/>
  <c r="W203" i="9"/>
  <c r="W204" i="9"/>
  <c r="W205" i="9"/>
  <c r="W206" i="9"/>
  <c r="W207" i="9"/>
  <c r="W208" i="9"/>
  <c r="W210" i="9"/>
  <c r="W211" i="9"/>
  <c r="W213" i="9"/>
  <c r="W214" i="9"/>
  <c r="W215" i="9"/>
  <c r="W216" i="9"/>
  <c r="W217" i="9"/>
  <c r="W219" i="9"/>
  <c r="W220" i="9"/>
  <c r="W221" i="9"/>
  <c r="W222" i="9"/>
  <c r="W223" i="9"/>
  <c r="W226" i="9"/>
  <c r="W227" i="9"/>
  <c r="W228" i="9"/>
  <c r="W229" i="9"/>
  <c r="W230" i="9"/>
  <c r="W231" i="9"/>
  <c r="W232" i="9"/>
  <c r="W233" i="9"/>
  <c r="W234" i="9"/>
  <c r="W236" i="9"/>
  <c r="W237" i="9"/>
  <c r="W239" i="9"/>
  <c r="W240" i="9"/>
  <c r="W241" i="9"/>
  <c r="W244" i="9"/>
  <c r="W245" i="9"/>
  <c r="W246" i="9"/>
  <c r="W247" i="9"/>
  <c r="W248" i="9"/>
  <c r="W249" i="9"/>
  <c r="W250" i="9"/>
  <c r="W251" i="9"/>
  <c r="W252" i="9"/>
  <c r="W253" i="9"/>
  <c r="W254" i="9"/>
  <c r="W255" i="9"/>
  <c r="W256" i="9"/>
  <c r="W257" i="9"/>
  <c r="W258" i="9"/>
  <c r="W259" i="9"/>
  <c r="W260" i="9"/>
  <c r="W261" i="9"/>
  <c r="W262" i="9"/>
  <c r="W265" i="9"/>
  <c r="W266" i="9"/>
  <c r="W267" i="9"/>
  <c r="W268" i="9"/>
  <c r="W269" i="9"/>
  <c r="W270" i="9"/>
  <c r="W271" i="9"/>
  <c r="W273" i="9"/>
  <c r="W274" i="9"/>
  <c r="W277" i="9"/>
  <c r="W278" i="9"/>
  <c r="W279" i="9"/>
  <c r="W280" i="9"/>
  <c r="W281" i="9"/>
  <c r="W282" i="9"/>
  <c r="W283" i="9"/>
  <c r="W284" i="9"/>
  <c r="W285" i="9"/>
  <c r="W286" i="9"/>
  <c r="W287" i="9"/>
  <c r="W289" i="9"/>
  <c r="W290" i="9"/>
  <c r="W291" i="9"/>
  <c r="W292" i="9"/>
  <c r="W293" i="9"/>
  <c r="W294" i="9"/>
  <c r="W296" i="9"/>
  <c r="W297" i="9"/>
  <c r="W298" i="9"/>
  <c r="W299" i="9"/>
  <c r="W300" i="9"/>
  <c r="W301" i="9"/>
  <c r="W304" i="9"/>
  <c r="W305" i="9"/>
  <c r="W306" i="9"/>
  <c r="W307" i="9"/>
  <c r="W308" i="9"/>
  <c r="W309" i="9"/>
  <c r="W310" i="9"/>
  <c r="W312" i="9"/>
  <c r="W313" i="9"/>
  <c r="W314" i="9"/>
  <c r="W315" i="9"/>
  <c r="W316" i="9"/>
  <c r="W317" i="9"/>
  <c r="W318" i="9"/>
  <c r="W319" i="9"/>
  <c r="W320" i="9"/>
  <c r="W321" i="9"/>
  <c r="W322" i="9"/>
  <c r="W324" i="9"/>
  <c r="W325" i="9"/>
  <c r="W326" i="9"/>
  <c r="W327" i="9"/>
  <c r="W328" i="9"/>
  <c r="W329" i="9"/>
  <c r="W331" i="9"/>
  <c r="W332" i="9"/>
  <c r="W333" i="9"/>
  <c r="W334" i="9"/>
  <c r="W335" i="9"/>
  <c r="W336" i="9"/>
  <c r="W337" i="9"/>
  <c r="W338" i="9"/>
  <c r="W340" i="9"/>
  <c r="W341" i="9"/>
  <c r="W342" i="9"/>
  <c r="W344" i="9"/>
  <c r="W345" i="9"/>
  <c r="W346" i="9"/>
  <c r="W349" i="9"/>
  <c r="W350" i="9"/>
  <c r="W351" i="9"/>
  <c r="W352" i="9"/>
  <c r="W353" i="9"/>
  <c r="W354" i="9"/>
  <c r="W355" i="9"/>
  <c r="W356" i="9"/>
  <c r="W357" i="9"/>
  <c r="W358" i="9"/>
  <c r="W359" i="9"/>
  <c r="W360" i="9"/>
  <c r="W361" i="9"/>
  <c r="W363" i="9"/>
  <c r="W364" i="9"/>
  <c r="W365" i="9"/>
  <c r="W366" i="9"/>
  <c r="W367" i="9"/>
  <c r="W368" i="9"/>
  <c r="W369" i="9"/>
  <c r="W371" i="9"/>
  <c r="W373" i="9"/>
  <c r="W374" i="9"/>
  <c r="W375" i="9"/>
  <c r="W376" i="9"/>
  <c r="W377" i="9"/>
  <c r="W378" i="9"/>
  <c r="W380" i="9"/>
  <c r="W381" i="9"/>
  <c r="W382" i="9"/>
  <c r="W383" i="9"/>
  <c r="W384" i="9"/>
  <c r="W385" i="9"/>
  <c r="W386" i="9"/>
  <c r="W387" i="9"/>
  <c r="W388" i="9"/>
  <c r="W389" i="9"/>
  <c r="W390" i="9"/>
  <c r="W391" i="9"/>
  <c r="W392" i="9"/>
  <c r="W394" i="9"/>
  <c r="W395" i="9"/>
  <c r="W396" i="9"/>
  <c r="W397" i="9"/>
  <c r="W398" i="9"/>
  <c r="W399" i="9"/>
  <c r="W400" i="9"/>
  <c r="W401" i="9"/>
  <c r="W403" i="9"/>
  <c r="W405" i="9"/>
  <c r="W406" i="9"/>
  <c r="W407" i="9"/>
  <c r="W409" i="9"/>
  <c r="W410" i="9"/>
  <c r="W412" i="9"/>
  <c r="W413" i="9"/>
  <c r="W414" i="9"/>
  <c r="W415" i="9"/>
  <c r="W416" i="9"/>
  <c r="W417" i="9"/>
  <c r="W418" i="9"/>
  <c r="W421" i="9"/>
  <c r="W422" i="9"/>
  <c r="W423" i="9"/>
  <c r="W424" i="9"/>
  <c r="W425" i="9"/>
  <c r="W426" i="9"/>
  <c r="W428" i="9"/>
  <c r="W429" i="9"/>
  <c r="W430" i="9"/>
  <c r="W431" i="9"/>
  <c r="W432" i="9"/>
  <c r="W433" i="9"/>
  <c r="W434" i="9"/>
  <c r="W435" i="9"/>
  <c r="W437" i="9"/>
  <c r="W439" i="9"/>
  <c r="W440" i="9"/>
  <c r="W441" i="9"/>
  <c r="W442" i="9"/>
  <c r="W443" i="9"/>
  <c r="W444" i="9"/>
  <c r="W445" i="9"/>
  <c r="W447" i="9"/>
  <c r="W448" i="9"/>
  <c r="W450" i="9"/>
  <c r="W451" i="9"/>
  <c r="W452" i="9"/>
  <c r="W453" i="9"/>
  <c r="W454" i="9"/>
  <c r="W455" i="9"/>
  <c r="W456" i="9"/>
  <c r="W457" i="9"/>
  <c r="W458" i="9"/>
  <c r="W459" i="9"/>
  <c r="W461" i="9"/>
  <c r="W462" i="9"/>
  <c r="W463" i="9"/>
  <c r="W464" i="9"/>
  <c r="W465" i="9"/>
  <c r="W466" i="9"/>
  <c r="W470" i="9"/>
  <c r="W471" i="9"/>
  <c r="W472" i="9"/>
  <c r="W473" i="9"/>
  <c r="W474" i="9"/>
  <c r="W476" i="9"/>
  <c r="W477" i="9"/>
  <c r="W478" i="9"/>
  <c r="W479" i="9"/>
  <c r="W480" i="9"/>
  <c r="W481" i="9"/>
  <c r="W482" i="9"/>
  <c r="W483" i="9"/>
  <c r="W484" i="9"/>
  <c r="W485" i="9"/>
  <c r="W486" i="9"/>
  <c r="W487" i="9"/>
  <c r="W488" i="9"/>
  <c r="W490" i="9"/>
  <c r="W491" i="9"/>
  <c r="W492" i="9"/>
  <c r="W493" i="9"/>
  <c r="W494" i="9"/>
  <c r="W495" i="9"/>
  <c r="W496" i="9"/>
  <c r="W497" i="9"/>
  <c r="W499" i="9"/>
  <c r="W500" i="9"/>
  <c r="W501" i="9"/>
  <c r="W502" i="9"/>
  <c r="W503" i="9"/>
  <c r="W504" i="9"/>
  <c r="W505" i="9"/>
  <c r="W506" i="9"/>
  <c r="W507" i="9"/>
  <c r="W508" i="9"/>
  <c r="W510" i="9"/>
  <c r="W511" i="9"/>
  <c r="W512" i="9"/>
  <c r="W513" i="9"/>
  <c r="W514" i="9"/>
  <c r="W515" i="9"/>
  <c r="W516" i="9"/>
  <c r="W517" i="9"/>
  <c r="W518" i="9"/>
  <c r="W520" i="9"/>
  <c r="W522" i="9"/>
  <c r="W523" i="9"/>
  <c r="W524" i="9"/>
  <c r="W525" i="9"/>
  <c r="W526" i="9"/>
  <c r="W527" i="9"/>
  <c r="W528" i="9"/>
  <c r="W529" i="9"/>
  <c r="W530" i="9"/>
  <c r="W531" i="9"/>
  <c r="W532" i="9"/>
  <c r="W533" i="9"/>
  <c r="W534" i="9"/>
  <c r="W535" i="9"/>
  <c r="W536" i="9"/>
  <c r="W537" i="9"/>
  <c r="W538" i="9"/>
  <c r="W539" i="9"/>
  <c r="W541" i="9"/>
  <c r="W542" i="9"/>
  <c r="W544" i="9"/>
  <c r="W545" i="9"/>
  <c r="W546" i="9"/>
  <c r="W547" i="9"/>
  <c r="W548" i="9"/>
  <c r="W549" i="9"/>
  <c r="W550" i="9"/>
  <c r="W551" i="9"/>
  <c r="W552" i="9"/>
  <c r="W553" i="9"/>
  <c r="W554" i="9"/>
  <c r="W555" i="9"/>
  <c r="W556" i="9"/>
  <c r="W557" i="9"/>
  <c r="W558" i="9"/>
  <c r="W559" i="9"/>
  <c r="W560" i="9"/>
  <c r="W561" i="9"/>
  <c r="W564" i="9"/>
  <c r="W565" i="9"/>
  <c r="W566" i="9"/>
  <c r="W567" i="9"/>
  <c r="W569" i="9"/>
  <c r="W570" i="9"/>
  <c r="W572" i="9"/>
  <c r="W573" i="9"/>
  <c r="W574" i="9"/>
  <c r="W575" i="9"/>
  <c r="W577" i="9"/>
  <c r="W579" i="9"/>
  <c r="W580" i="9"/>
  <c r="W582" i="9"/>
  <c r="W583" i="9"/>
  <c r="W586" i="9"/>
  <c r="W587" i="9"/>
  <c r="W588" i="9"/>
  <c r="W589" i="9"/>
  <c r="W590" i="9"/>
  <c r="W591" i="9"/>
  <c r="W593" i="9"/>
  <c r="W595" i="9"/>
  <c r="W596" i="9"/>
  <c r="W597" i="9"/>
  <c r="W598" i="9"/>
  <c r="W599" i="9"/>
  <c r="W601" i="9"/>
  <c r="W602" i="9"/>
  <c r="W603" i="9"/>
  <c r="W604" i="9"/>
  <c r="W606" i="9"/>
  <c r="W608" i="9"/>
  <c r="W609" i="9"/>
  <c r="W610" i="9"/>
  <c r="W611" i="9"/>
  <c r="W612" i="9"/>
  <c r="W613" i="9"/>
  <c r="W616" i="9"/>
  <c r="W617" i="9"/>
  <c r="W618" i="9"/>
  <c r="W619" i="9"/>
  <c r="W620" i="9"/>
  <c r="W621" i="9"/>
  <c r="W622" i="9"/>
  <c r="W624" i="9"/>
  <c r="W625" i="9"/>
  <c r="W627" i="9"/>
  <c r="W628" i="9"/>
  <c r="W629" i="9"/>
  <c r="W630" i="9"/>
  <c r="W631" i="9"/>
  <c r="W632" i="9"/>
  <c r="W633" i="9"/>
  <c r="W634" i="9"/>
  <c r="W635" i="9"/>
  <c r="W636" i="9"/>
  <c r="W638" i="9"/>
  <c r="W639" i="9"/>
  <c r="W640" i="9"/>
  <c r="W641" i="9"/>
  <c r="W642" i="9"/>
  <c r="W643" i="9"/>
  <c r="W644" i="9"/>
  <c r="W645" i="9"/>
  <c r="W646" i="9"/>
  <c r="W647" i="9"/>
  <c r="W648" i="9"/>
  <c r="W651" i="9"/>
  <c r="W652" i="9"/>
  <c r="W653" i="9"/>
  <c r="W654" i="9"/>
  <c r="W655" i="9"/>
  <c r="W656" i="9"/>
  <c r="W657" i="9"/>
  <c r="W661" i="9"/>
  <c r="W662" i="9"/>
  <c r="W663" i="9"/>
  <c r="W664" i="9"/>
  <c r="W665" i="9"/>
  <c r="W666" i="9"/>
  <c r="W667" i="9"/>
  <c r="W668" i="9"/>
  <c r="W669" i="9"/>
  <c r="W670" i="9"/>
  <c r="W671" i="9"/>
  <c r="W672" i="9"/>
  <c r="W673" i="9"/>
  <c r="W674" i="9"/>
  <c r="W676" i="9"/>
  <c r="W677" i="9"/>
  <c r="W678" i="9"/>
  <c r="W679" i="9"/>
  <c r="W680" i="9"/>
  <c r="W681" i="9"/>
  <c r="W683" i="9"/>
  <c r="W684" i="9"/>
  <c r="W685" i="9"/>
  <c r="W686" i="9"/>
  <c r="W687" i="9"/>
  <c r="W688" i="9"/>
  <c r="W690" i="9"/>
  <c r="W691" i="9"/>
  <c r="W692" i="9"/>
  <c r="W694" i="9"/>
  <c r="W695" i="9"/>
  <c r="W697" i="9"/>
  <c r="W698" i="9"/>
  <c r="W699" i="9"/>
  <c r="W700" i="9"/>
  <c r="W701" i="9"/>
  <c r="W702" i="9"/>
  <c r="W704" i="9"/>
  <c r="W705" i="9"/>
  <c r="W706" i="9"/>
  <c r="W707" i="9"/>
  <c r="W708" i="9"/>
  <c r="W711" i="9"/>
  <c r="W712" i="9"/>
  <c r="W713" i="9"/>
  <c r="W714" i="9"/>
  <c r="W715" i="9"/>
  <c r="W716" i="9"/>
  <c r="W718" i="9"/>
  <c r="W719" i="9"/>
  <c r="W720" i="9"/>
  <c r="W721" i="9"/>
  <c r="W722" i="9"/>
  <c r="W723" i="9"/>
  <c r="W725" i="9"/>
  <c r="W726" i="9"/>
  <c r="W727" i="9"/>
  <c r="W728" i="9"/>
  <c r="W729" i="9"/>
  <c r="W730" i="9"/>
  <c r="W732" i="9"/>
  <c r="W733" i="9"/>
  <c r="W735" i="9"/>
  <c r="W736" i="9"/>
  <c r="W737" i="9"/>
  <c r="W738" i="9"/>
  <c r="W739" i="9"/>
  <c r="W740" i="9"/>
  <c r="W741" i="9"/>
  <c r="W742" i="9"/>
  <c r="W743" i="9"/>
  <c r="W745" i="9"/>
  <c r="W746" i="9"/>
  <c r="W747" i="9"/>
  <c r="W748" i="9"/>
  <c r="W749" i="9"/>
  <c r="W750" i="9"/>
  <c r="W751" i="9"/>
  <c r="W752" i="9"/>
  <c r="W753" i="9"/>
  <c r="W754" i="9"/>
  <c r="W755" i="9"/>
  <c r="W757" i="9"/>
  <c r="W758" i="9"/>
  <c r="W759" i="9"/>
  <c r="W760" i="9"/>
  <c r="W761" i="9"/>
  <c r="W762" i="9"/>
  <c r="W763" i="9"/>
  <c r="W766" i="9"/>
  <c r="W767" i="9"/>
  <c r="W768" i="9"/>
  <c r="W769" i="9"/>
  <c r="W771" i="9"/>
  <c r="W772" i="9"/>
  <c r="W773" i="9"/>
  <c r="W774" i="9"/>
  <c r="W775" i="9"/>
  <c r="W776" i="9"/>
  <c r="W777" i="9"/>
  <c r="W778" i="9"/>
  <c r="W779" i="9"/>
  <c r="W780" i="9"/>
  <c r="W782" i="9"/>
  <c r="W783" i="9"/>
  <c r="W784" i="9"/>
  <c r="W785" i="9"/>
  <c r="W786" i="9"/>
  <c r="W787" i="9"/>
  <c r="W788" i="9"/>
  <c r="W789" i="9"/>
  <c r="W790" i="9"/>
  <c r="W791" i="9"/>
  <c r="W792" i="9"/>
  <c r="W793" i="9"/>
  <c r="W794" i="9"/>
  <c r="W795" i="9"/>
  <c r="W796" i="9"/>
  <c r="W797" i="9"/>
  <c r="W798" i="9"/>
  <c r="W799" i="9"/>
  <c r="W800" i="9"/>
  <c r="W802" i="9"/>
  <c r="W804" i="9"/>
  <c r="W805" i="9"/>
  <c r="W806" i="9"/>
  <c r="W807" i="9"/>
  <c r="W808" i="9"/>
  <c r="W809" i="9"/>
  <c r="W810" i="9"/>
  <c r="W811" i="9"/>
  <c r="W812" i="9"/>
  <c r="W813" i="9"/>
  <c r="W814" i="9"/>
  <c r="W816" i="9"/>
  <c r="W817" i="9"/>
  <c r="W818" i="9"/>
  <c r="W819" i="9"/>
  <c r="W821" i="9"/>
  <c r="W822" i="9"/>
  <c r="W823" i="9"/>
  <c r="W824" i="9"/>
  <c r="W825" i="9"/>
  <c r="W826" i="9"/>
  <c r="W827" i="9"/>
  <c r="W828" i="9"/>
  <c r="W830" i="9"/>
  <c r="W831" i="9"/>
  <c r="W832" i="9"/>
  <c r="W833" i="9"/>
  <c r="W835" i="9"/>
  <c r="W836" i="9"/>
  <c r="W838" i="9"/>
  <c r="W839" i="9"/>
  <c r="W840" i="9"/>
  <c r="W841" i="9"/>
  <c r="W842" i="9"/>
  <c r="W843" i="9"/>
  <c r="W844" i="9"/>
  <c r="W845" i="9"/>
  <c r="W846" i="9"/>
  <c r="W847" i="9"/>
  <c r="W848" i="9"/>
  <c r="W849" i="9"/>
  <c r="W851" i="9"/>
  <c r="W852" i="9"/>
  <c r="W853" i="9"/>
  <c r="W854" i="9"/>
  <c r="W855" i="9"/>
  <c r="W856" i="9"/>
  <c r="W857" i="9"/>
  <c r="W858" i="9"/>
  <c r="W859" i="9"/>
  <c r="W860" i="9"/>
  <c r="W861" i="9"/>
  <c r="W863" i="9"/>
  <c r="W865" i="9"/>
  <c r="W866" i="9"/>
  <c r="W867" i="9"/>
  <c r="W869" i="9"/>
  <c r="W870" i="9"/>
  <c r="W871" i="9"/>
  <c r="W872" i="9"/>
  <c r="W873" i="9"/>
  <c r="W875" i="9"/>
  <c r="W876" i="9"/>
  <c r="W877" i="9"/>
  <c r="W878" i="9"/>
  <c r="W879" i="9"/>
  <c r="W880" i="9"/>
  <c r="W882" i="9"/>
  <c r="W884" i="9"/>
  <c r="W885" i="9"/>
  <c r="W886" i="9"/>
  <c r="W888" i="9"/>
  <c r="W889" i="9"/>
  <c r="W891" i="9"/>
  <c r="W892" i="9"/>
  <c r="W893" i="9"/>
  <c r="W894" i="9"/>
  <c r="W896" i="9"/>
  <c r="W897" i="9"/>
  <c r="W898" i="9"/>
  <c r="W899" i="9"/>
  <c r="W900" i="9"/>
  <c r="W901" i="9"/>
  <c r="W902" i="9"/>
  <c r="W904" i="9"/>
  <c r="W905" i="9"/>
  <c r="W906" i="9"/>
  <c r="W907" i="9"/>
  <c r="W908" i="9"/>
  <c r="W909" i="9"/>
  <c r="W911" i="9"/>
  <c r="W913" i="9"/>
  <c r="W914" i="9"/>
  <c r="W915" i="9"/>
  <c r="W917" i="9"/>
  <c r="W918" i="9"/>
  <c r="W919" i="9"/>
  <c r="W920" i="9"/>
  <c r="W921" i="9"/>
  <c r="W923" i="9"/>
  <c r="W924" i="9"/>
  <c r="W926" i="9"/>
  <c r="W928" i="9"/>
  <c r="W930" i="9"/>
  <c r="W931" i="9"/>
  <c r="W932" i="9"/>
  <c r="W933" i="9"/>
  <c r="W934" i="9"/>
  <c r="W935" i="9"/>
  <c r="W937" i="9"/>
  <c r="W938" i="9"/>
  <c r="W939" i="9"/>
  <c r="W941" i="9"/>
  <c r="W942" i="9"/>
  <c r="W944" i="9"/>
  <c r="W945" i="9"/>
  <c r="W946" i="9"/>
  <c r="W947" i="9"/>
  <c r="W948" i="9"/>
  <c r="W949" i="9"/>
  <c r="W951" i="9"/>
  <c r="W952" i="9"/>
  <c r="W953" i="9"/>
  <c r="W954" i="9"/>
  <c r="W955" i="9"/>
  <c r="W956" i="9"/>
  <c r="W958" i="9"/>
  <c r="W959" i="9"/>
  <c r="W960" i="9"/>
  <c r="W961" i="9"/>
  <c r="W962" i="9"/>
  <c r="W963" i="9"/>
  <c r="W964" i="9"/>
  <c r="W965" i="9"/>
  <c r="W966" i="9"/>
  <c r="W967" i="9"/>
  <c r="W968" i="9"/>
  <c r="W970" i="9"/>
  <c r="W971" i="9"/>
  <c r="W972" i="9"/>
  <c r="W973" i="9"/>
  <c r="W974" i="9"/>
  <c r="W976" i="9"/>
  <c r="W977" i="9"/>
  <c r="W978" i="9"/>
  <c r="W979" i="9"/>
  <c r="W980" i="9"/>
  <c r="W982" i="9"/>
  <c r="W983" i="9"/>
  <c r="W984" i="9"/>
  <c r="W985" i="9"/>
  <c r="W986" i="9"/>
  <c r="W987" i="9"/>
  <c r="W988" i="9"/>
  <c r="W989" i="9"/>
  <c r="W990" i="9"/>
  <c r="W991" i="9"/>
  <c r="W993" i="9"/>
  <c r="W994" i="9"/>
  <c r="W995" i="9"/>
  <c r="W996" i="9"/>
  <c r="W997" i="9"/>
  <c r="W998" i="9"/>
  <c r="W999" i="9"/>
  <c r="W1000" i="9"/>
  <c r="W1002" i="9"/>
  <c r="W1003" i="9"/>
  <c r="W1004" i="9"/>
  <c r="W1005" i="9"/>
  <c r="W1006" i="9"/>
  <c r="W1008" i="9"/>
  <c r="W1010" i="9"/>
  <c r="W1011" i="9"/>
  <c r="W1012" i="9"/>
  <c r="W1013" i="9"/>
  <c r="W1014" i="9"/>
  <c r="W1015" i="9"/>
  <c r="W1016" i="9"/>
  <c r="W1017" i="9"/>
  <c r="W1019" i="9"/>
  <c r="W1020" i="9"/>
  <c r="W1021" i="9"/>
  <c r="W1022" i="9"/>
  <c r="W1023" i="9"/>
  <c r="W1024" i="9"/>
  <c r="W1025" i="9"/>
  <c r="W1026" i="9"/>
  <c r="W1027" i="9"/>
  <c r="W1028" i="9"/>
  <c r="W1029" i="9"/>
  <c r="W1030" i="9"/>
  <c r="W1032" i="9"/>
  <c r="W1035" i="9"/>
  <c r="W1037" i="9"/>
  <c r="W1038" i="9"/>
  <c r="W1039" i="9"/>
  <c r="W1040" i="9"/>
  <c r="W1041" i="9"/>
  <c r="W1042" i="9"/>
  <c r="W1043" i="9"/>
  <c r="W1044" i="9"/>
  <c r="W1045" i="9"/>
  <c r="W1046" i="9"/>
  <c r="W1047" i="9"/>
  <c r="W1048" i="9"/>
  <c r="W1050" i="9"/>
  <c r="W1051" i="9"/>
  <c r="W1052" i="9"/>
  <c r="W1053" i="9"/>
  <c r="W1055" i="9"/>
  <c r="W1056" i="9"/>
  <c r="W1057" i="9"/>
  <c r="W1058" i="9"/>
  <c r="W1059" i="9"/>
  <c r="W1060" i="9"/>
  <c r="W1061" i="9"/>
  <c r="W1062" i="9"/>
  <c r="W1063" i="9"/>
  <c r="W1064" i="9"/>
  <c r="W1065" i="9"/>
  <c r="W1067" i="9"/>
  <c r="W1069" i="9"/>
  <c r="W1070" i="9"/>
  <c r="W1071" i="9"/>
  <c r="W1072" i="9"/>
  <c r="W1073" i="9"/>
  <c r="W1075" i="9"/>
  <c r="W1076" i="9"/>
  <c r="W1077" i="9"/>
  <c r="W1078" i="9"/>
  <c r="W1080" i="9"/>
  <c r="W1081" i="9"/>
  <c r="W1082" i="9"/>
  <c r="W1083" i="9"/>
  <c r="W1084" i="9"/>
  <c r="W1086" i="9"/>
  <c r="W1087" i="9"/>
  <c r="W1088" i="9"/>
  <c r="W1089" i="9"/>
  <c r="W1090" i="9"/>
  <c r="W1091" i="9"/>
  <c r="W1092" i="9"/>
  <c r="W1093" i="9"/>
  <c r="W1094" i="9"/>
  <c r="W1095" i="9"/>
  <c r="W1096" i="9"/>
  <c r="W1097" i="9"/>
  <c r="W1099" i="9"/>
  <c r="W1100" i="9"/>
  <c r="W1101" i="9"/>
  <c r="W1102" i="9"/>
  <c r="W1103" i="9"/>
  <c r="W1104" i="9"/>
  <c r="W1105" i="9"/>
  <c r="W1106" i="9"/>
  <c r="W1107" i="9"/>
  <c r="W1108" i="9"/>
  <c r="W1110" i="9"/>
  <c r="W1111" i="9"/>
  <c r="W1112" i="9"/>
  <c r="W1113" i="9"/>
  <c r="W1114" i="9"/>
  <c r="W1115" i="9"/>
  <c r="W1116" i="9"/>
  <c r="W1117" i="9"/>
  <c r="W1119" i="9"/>
  <c r="W1120" i="9"/>
  <c r="W1121" i="9"/>
  <c r="W1122" i="9"/>
  <c r="W1124" i="9"/>
  <c r="W1125" i="9"/>
  <c r="W1126" i="9"/>
  <c r="W1127" i="9"/>
  <c r="W1128" i="9"/>
  <c r="W1129" i="9"/>
  <c r="W1130" i="9"/>
  <c r="W1131" i="9"/>
  <c r="W1132" i="9"/>
  <c r="W1133" i="9"/>
  <c r="W1134" i="9"/>
  <c r="W1135" i="9"/>
  <c r="W1136" i="9"/>
  <c r="W1137" i="9"/>
  <c r="W1138" i="9"/>
  <c r="W1139" i="9"/>
  <c r="W1140" i="9"/>
  <c r="W1141" i="9"/>
  <c r="W1143" i="9"/>
  <c r="W1145" i="9"/>
  <c r="W1146" i="9"/>
  <c r="W1147" i="9"/>
  <c r="W1149" i="9"/>
  <c r="W1150" i="9"/>
  <c r="W1151" i="9"/>
  <c r="W1152" i="9"/>
  <c r="W1153" i="9"/>
  <c r="W1154" i="9"/>
  <c r="W1155" i="9"/>
  <c r="W1156" i="9"/>
  <c r="W1157" i="9"/>
  <c r="W1158" i="9"/>
  <c r="W1159" i="9"/>
  <c r="W1160" i="9"/>
  <c r="W1161" i="9"/>
  <c r="W1162" i="9"/>
  <c r="W1164" i="9"/>
  <c r="W1165" i="9"/>
  <c r="W1166" i="9"/>
  <c r="W1167" i="9"/>
  <c r="W1168" i="9"/>
  <c r="W1169" i="9"/>
  <c r="W1170" i="9"/>
  <c r="W1171" i="9"/>
  <c r="W1172" i="9"/>
  <c r="W1173" i="9"/>
  <c r="W1174" i="9"/>
  <c r="W1175" i="9"/>
  <c r="W1177" i="9"/>
  <c r="W1178" i="9"/>
  <c r="W1180" i="9"/>
  <c r="W1181" i="9"/>
  <c r="W1182" i="9"/>
  <c r="W1183" i="9"/>
  <c r="W1184" i="9"/>
  <c r="W1185" i="9"/>
  <c r="W1187" i="9"/>
  <c r="W1188" i="9"/>
  <c r="W1189" i="9"/>
  <c r="W1190" i="9"/>
  <c r="W1191" i="9"/>
  <c r="W1192" i="9"/>
  <c r="W1193" i="9"/>
  <c r="W1195" i="9"/>
  <c r="W1196" i="9"/>
  <c r="W1197" i="9"/>
  <c r="W1198" i="9"/>
  <c r="W1199" i="9"/>
  <c r="W1200" i="9"/>
  <c r="W1201" i="9"/>
  <c r="W1202" i="9"/>
  <c r="W1204" i="9"/>
  <c r="W1205" i="9"/>
  <c r="W1206" i="9"/>
  <c r="W1207" i="9"/>
  <c r="W1208" i="9"/>
  <c r="W1209" i="9"/>
  <c r="W1210" i="9"/>
  <c r="W1213" i="9"/>
  <c r="W1214" i="9"/>
  <c r="W1215" i="9"/>
  <c r="W1216" i="9"/>
  <c r="W1217" i="9"/>
  <c r="W1218" i="9"/>
  <c r="W1219" i="9"/>
  <c r="W1220" i="9"/>
  <c r="W1221" i="9"/>
  <c r="W1222" i="9"/>
  <c r="W1223" i="9"/>
  <c r="W1225" i="9"/>
  <c r="W1227" i="9"/>
  <c r="W1230" i="9"/>
  <c r="W1231" i="9"/>
  <c r="W1232" i="9"/>
  <c r="W1233" i="9"/>
  <c r="W1234" i="9"/>
  <c r="W1235" i="9"/>
  <c r="W1236" i="9"/>
  <c r="W1238" i="9"/>
  <c r="W1239" i="9"/>
  <c r="W1240" i="9"/>
  <c r="W1241" i="9"/>
  <c r="W1242" i="9"/>
  <c r="W1243" i="9"/>
  <c r="X13" i="9"/>
  <c r="X14" i="9"/>
  <c r="X15" i="9"/>
  <c r="X16" i="9"/>
  <c r="X17" i="9"/>
  <c r="X19" i="9"/>
  <c r="X20" i="9"/>
  <c r="X22" i="9"/>
  <c r="X23" i="9"/>
  <c r="X24" i="9"/>
  <c r="X25" i="9"/>
  <c r="X26" i="9"/>
  <c r="X27" i="9"/>
  <c r="X30" i="9"/>
  <c r="X31" i="9"/>
  <c r="X33" i="9"/>
  <c r="X34" i="9"/>
  <c r="X35" i="9"/>
  <c r="X36" i="9"/>
  <c r="X37" i="9"/>
  <c r="X38" i="9"/>
  <c r="X40" i="9"/>
  <c r="X42" i="9"/>
  <c r="X43" i="9"/>
  <c r="X44" i="9"/>
  <c r="X45" i="9"/>
  <c r="X47" i="9"/>
  <c r="X48" i="9"/>
  <c r="X49" i="9"/>
  <c r="X52" i="9"/>
  <c r="X53" i="9"/>
  <c r="X54" i="9"/>
  <c r="X55" i="9"/>
  <c r="X56" i="9"/>
  <c r="X57" i="9"/>
  <c r="X58" i="9"/>
  <c r="X59" i="9"/>
  <c r="X62" i="9"/>
  <c r="X63" i="9"/>
  <c r="X64" i="9"/>
  <c r="X65" i="9"/>
  <c r="X66" i="9"/>
  <c r="X67" i="9"/>
  <c r="X68" i="9"/>
  <c r="X69" i="9"/>
  <c r="X71" i="9"/>
  <c r="X74" i="9"/>
  <c r="X75" i="9"/>
  <c r="X76" i="9"/>
  <c r="X78" i="9"/>
  <c r="X79" i="9"/>
  <c r="X80" i="9"/>
  <c r="X81" i="9"/>
  <c r="X82" i="9"/>
  <c r="X83" i="9"/>
  <c r="X84" i="9"/>
  <c r="X85" i="9"/>
  <c r="X86" i="9"/>
  <c r="X87" i="9"/>
  <c r="X88" i="9"/>
  <c r="X89" i="9"/>
  <c r="X90" i="9"/>
  <c r="X91" i="9"/>
  <c r="X93" i="9"/>
  <c r="X94" i="9"/>
  <c r="X95" i="9"/>
  <c r="X96" i="9"/>
  <c r="X97" i="9"/>
  <c r="X100" i="9"/>
  <c r="X102" i="9"/>
  <c r="X103" i="9"/>
  <c r="X104" i="9"/>
  <c r="X105" i="9"/>
  <c r="X106" i="9"/>
  <c r="X108" i="9"/>
  <c r="X109" i="9"/>
  <c r="X110" i="9"/>
  <c r="X111" i="9"/>
  <c r="X112" i="9"/>
  <c r="X114" i="9"/>
  <c r="X115" i="9"/>
  <c r="X116" i="9"/>
  <c r="X119" i="9"/>
  <c r="X120" i="9"/>
  <c r="X122" i="9"/>
  <c r="X123" i="9"/>
  <c r="X124" i="9"/>
  <c r="X125" i="9"/>
  <c r="X126" i="9"/>
  <c r="X127" i="9"/>
  <c r="X129" i="9"/>
  <c r="X130" i="9"/>
  <c r="X131" i="9"/>
  <c r="X132" i="9"/>
  <c r="X133" i="9"/>
  <c r="X135" i="9"/>
  <c r="X136" i="9"/>
  <c r="X137" i="9"/>
  <c r="X139" i="9"/>
  <c r="X140" i="9"/>
  <c r="X141" i="9"/>
  <c r="X143" i="9"/>
  <c r="X144" i="9"/>
  <c r="X145" i="9"/>
  <c r="X146" i="9"/>
  <c r="X147" i="9"/>
  <c r="X148" i="9"/>
  <c r="X149" i="9"/>
  <c r="X150" i="9"/>
  <c r="X151" i="9"/>
  <c r="X152" i="9"/>
  <c r="X153" i="9"/>
  <c r="X154" i="9"/>
  <c r="X155" i="9"/>
  <c r="X156" i="9"/>
  <c r="X157" i="9"/>
  <c r="X158" i="9"/>
  <c r="X159" i="9"/>
  <c r="X160" i="9"/>
  <c r="X161" i="9"/>
  <c r="X163" i="9"/>
  <c r="X164" i="9"/>
  <c r="X165" i="9"/>
  <c r="X167" i="9"/>
  <c r="X168" i="9"/>
  <c r="X169" i="9"/>
  <c r="X171" i="9"/>
  <c r="X172" i="9"/>
  <c r="X173" i="9"/>
  <c r="X175" i="9"/>
  <c r="X176" i="9"/>
  <c r="X177" i="9"/>
  <c r="X178" i="9"/>
  <c r="X179" i="9"/>
  <c r="X180" i="9"/>
  <c r="X181" i="9"/>
  <c r="X183" i="9"/>
  <c r="X184" i="9"/>
  <c r="X185" i="9"/>
  <c r="X187" i="9"/>
  <c r="X188" i="9"/>
  <c r="X189" i="9"/>
  <c r="X190" i="9"/>
  <c r="X191" i="9"/>
  <c r="X192" i="9"/>
  <c r="X193" i="9"/>
  <c r="X194" i="9"/>
  <c r="X195" i="9"/>
  <c r="X196" i="9"/>
  <c r="X197" i="9"/>
  <c r="X198" i="9"/>
  <c r="X199" i="9"/>
  <c r="X202" i="9"/>
  <c r="X203" i="9"/>
  <c r="X204" i="9"/>
  <c r="X205" i="9"/>
  <c r="X206" i="9"/>
  <c r="X207" i="9"/>
  <c r="X208" i="9"/>
  <c r="X210" i="9"/>
  <c r="X211" i="9"/>
  <c r="X213" i="9"/>
  <c r="X214" i="9"/>
  <c r="X215" i="9"/>
  <c r="X216" i="9"/>
  <c r="X217" i="9"/>
  <c r="X219" i="9"/>
  <c r="X220" i="9"/>
  <c r="X221" i="9"/>
  <c r="X222" i="9"/>
  <c r="X223" i="9"/>
  <c r="X226" i="9"/>
  <c r="X227" i="9"/>
  <c r="X228" i="9"/>
  <c r="X229" i="9"/>
  <c r="X230" i="9"/>
  <c r="X231" i="9"/>
  <c r="X232" i="9"/>
  <c r="X233" i="9"/>
  <c r="X234" i="9"/>
  <c r="X236" i="9"/>
  <c r="X237" i="9"/>
  <c r="X239" i="9"/>
  <c r="X240" i="9"/>
  <c r="X241" i="9"/>
  <c r="X244" i="9"/>
  <c r="X245" i="9"/>
  <c r="X246" i="9"/>
  <c r="X247" i="9"/>
  <c r="X248" i="9"/>
  <c r="X249" i="9"/>
  <c r="X250" i="9"/>
  <c r="X252" i="9"/>
  <c r="X253" i="9"/>
  <c r="X254" i="9"/>
  <c r="X255" i="9"/>
  <c r="X256" i="9"/>
  <c r="X257" i="9"/>
  <c r="X258" i="9"/>
  <c r="X259" i="9"/>
  <c r="X260" i="9"/>
  <c r="X261" i="9"/>
  <c r="X262" i="9"/>
  <c r="X265" i="9"/>
  <c r="X266" i="9"/>
  <c r="X267" i="9"/>
  <c r="X268" i="9"/>
  <c r="X269" i="9"/>
  <c r="X270" i="9"/>
  <c r="X271" i="9"/>
  <c r="X273" i="9"/>
  <c r="X274" i="9"/>
  <c r="X277" i="9"/>
  <c r="X278" i="9"/>
  <c r="X279" i="9"/>
  <c r="X280" i="9"/>
  <c r="X281" i="9"/>
  <c r="X282" i="9"/>
  <c r="X283" i="9"/>
  <c r="X284" i="9"/>
  <c r="X285" i="9"/>
  <c r="X286" i="9"/>
  <c r="X287" i="9"/>
  <c r="X289" i="9"/>
  <c r="X290" i="9"/>
  <c r="X291" i="9"/>
  <c r="X292" i="9"/>
  <c r="X293" i="9"/>
  <c r="X294" i="9"/>
  <c r="X296" i="9"/>
  <c r="X297" i="9"/>
  <c r="X298" i="9"/>
  <c r="X299" i="9"/>
  <c r="X300" i="9"/>
  <c r="X301" i="9"/>
  <c r="X304" i="9"/>
  <c r="X305" i="9"/>
  <c r="X306" i="9"/>
  <c r="X307" i="9"/>
  <c r="X308" i="9"/>
  <c r="X309" i="9"/>
  <c r="X310" i="9"/>
  <c r="X312" i="9"/>
  <c r="X313" i="9"/>
  <c r="X314" i="9"/>
  <c r="X315" i="9"/>
  <c r="X316" i="9"/>
  <c r="X317" i="9"/>
  <c r="X318" i="9"/>
  <c r="X319" i="9"/>
  <c r="X320" i="9"/>
  <c r="X321" i="9"/>
  <c r="X322" i="9"/>
  <c r="X324" i="9"/>
  <c r="X325" i="9"/>
  <c r="X326" i="9"/>
  <c r="X327" i="9"/>
  <c r="X328" i="9"/>
  <c r="X329" i="9"/>
  <c r="X331" i="9"/>
  <c r="X332" i="9"/>
  <c r="X333" i="9"/>
  <c r="X334" i="9"/>
  <c r="X335" i="9"/>
  <c r="X336" i="9"/>
  <c r="X337" i="9"/>
  <c r="X338" i="9"/>
  <c r="X340" i="9"/>
  <c r="X341" i="9"/>
  <c r="X342" i="9"/>
  <c r="X344" i="9"/>
  <c r="X345" i="9"/>
  <c r="X346" i="9"/>
  <c r="X349" i="9"/>
  <c r="X350" i="9"/>
  <c r="X351" i="9"/>
  <c r="X352" i="9"/>
  <c r="X353" i="9"/>
  <c r="X354" i="9"/>
  <c r="X355" i="9"/>
  <c r="X356" i="9"/>
  <c r="X357" i="9"/>
  <c r="X358" i="9"/>
  <c r="X359" i="9"/>
  <c r="X360" i="9"/>
  <c r="X361" i="9"/>
  <c r="X363" i="9"/>
  <c r="X364" i="9"/>
  <c r="X365" i="9"/>
  <c r="X366" i="9"/>
  <c r="X367" i="9"/>
  <c r="X368" i="9"/>
  <c r="X369" i="9"/>
  <c r="X371" i="9"/>
  <c r="X373" i="9"/>
  <c r="X374" i="9"/>
  <c r="X375" i="9"/>
  <c r="X376" i="9"/>
  <c r="X377" i="9"/>
  <c r="X378" i="9"/>
  <c r="X380" i="9"/>
  <c r="X381" i="9"/>
  <c r="X382" i="9"/>
  <c r="X383" i="9"/>
  <c r="X384" i="9"/>
  <c r="X385" i="9"/>
  <c r="X386" i="9"/>
  <c r="X387" i="9"/>
  <c r="X388" i="9"/>
  <c r="X389" i="9"/>
  <c r="X390" i="9"/>
  <c r="X391" i="9"/>
  <c r="X392" i="9"/>
  <c r="X394" i="9"/>
  <c r="X395" i="9"/>
  <c r="X396" i="9"/>
  <c r="X397" i="9"/>
  <c r="X398" i="9"/>
  <c r="X399" i="9"/>
  <c r="X400" i="9"/>
  <c r="X401" i="9"/>
  <c r="X403" i="9"/>
  <c r="X405" i="9"/>
  <c r="X406" i="9"/>
  <c r="X407" i="9"/>
  <c r="X409" i="9"/>
  <c r="X410" i="9"/>
  <c r="X412" i="9"/>
  <c r="X413" i="9"/>
  <c r="X414" i="9"/>
  <c r="X415" i="9"/>
  <c r="X416" i="9"/>
  <c r="X417" i="9"/>
  <c r="X418" i="9"/>
  <c r="X421" i="9"/>
  <c r="X422" i="9"/>
  <c r="X423" i="9"/>
  <c r="X424" i="9"/>
  <c r="X425" i="9"/>
  <c r="X426" i="9"/>
  <c r="X428" i="9"/>
  <c r="X429" i="9"/>
  <c r="X430" i="9"/>
  <c r="X431" i="9"/>
  <c r="X432" i="9"/>
  <c r="X433" i="9"/>
  <c r="X434" i="9"/>
  <c r="X435" i="9"/>
  <c r="X437" i="9"/>
  <c r="X439" i="9"/>
  <c r="X440" i="9"/>
  <c r="X441" i="9"/>
  <c r="X442" i="9"/>
  <c r="X443" i="9"/>
  <c r="X444" i="9"/>
  <c r="X445" i="9"/>
  <c r="X447" i="9"/>
  <c r="X448" i="9"/>
  <c r="X450" i="9"/>
  <c r="X451" i="9"/>
  <c r="X452" i="9"/>
  <c r="X453" i="9"/>
  <c r="X454" i="9"/>
  <c r="X455" i="9"/>
  <c r="X456" i="9"/>
  <c r="X457" i="9"/>
  <c r="X458" i="9"/>
  <c r="X459" i="9"/>
  <c r="X461" i="9"/>
  <c r="X462" i="9"/>
  <c r="X463" i="9"/>
  <c r="X464" i="9"/>
  <c r="X465" i="9"/>
  <c r="X466" i="9"/>
  <c r="X470" i="9"/>
  <c r="X471" i="9"/>
  <c r="X472" i="9"/>
  <c r="X473" i="9"/>
  <c r="X474" i="9"/>
  <c r="X476" i="9"/>
  <c r="X477" i="9"/>
  <c r="X478" i="9"/>
  <c r="X479" i="9"/>
  <c r="X480" i="9"/>
  <c r="X481" i="9"/>
  <c r="X482" i="9"/>
  <c r="X483" i="9"/>
  <c r="X484" i="9"/>
  <c r="X485" i="9"/>
  <c r="X486" i="9"/>
  <c r="X487" i="9"/>
  <c r="X488" i="9"/>
  <c r="X490" i="9"/>
  <c r="X491" i="9"/>
  <c r="X492" i="9"/>
  <c r="X493" i="9"/>
  <c r="X494" i="9"/>
  <c r="X495" i="9"/>
  <c r="X496" i="9"/>
  <c r="X497" i="9"/>
  <c r="X499" i="9"/>
  <c r="X500" i="9"/>
  <c r="X501" i="9"/>
  <c r="X502" i="9"/>
  <c r="X503" i="9"/>
  <c r="X504" i="9"/>
  <c r="X505" i="9"/>
  <c r="X506" i="9"/>
  <c r="X507" i="9"/>
  <c r="X508" i="9"/>
  <c r="X510" i="9"/>
  <c r="X511" i="9"/>
  <c r="X512" i="9"/>
  <c r="X513" i="9"/>
  <c r="X514" i="9"/>
  <c r="X515" i="9"/>
  <c r="X516" i="9"/>
  <c r="X517" i="9"/>
  <c r="X518" i="9"/>
  <c r="X520" i="9"/>
  <c r="X522" i="9"/>
  <c r="X523" i="9"/>
  <c r="X524" i="9"/>
  <c r="X525" i="9"/>
  <c r="X526" i="9"/>
  <c r="X527" i="9"/>
  <c r="X528" i="9"/>
  <c r="X529" i="9"/>
  <c r="X530" i="9"/>
  <c r="X531" i="9"/>
  <c r="X532" i="9"/>
  <c r="X533" i="9"/>
  <c r="X534" i="9"/>
  <c r="X535" i="9"/>
  <c r="X536" i="9"/>
  <c r="X537" i="9"/>
  <c r="X538" i="9"/>
  <c r="X539" i="9"/>
  <c r="X541" i="9"/>
  <c r="X542" i="9"/>
  <c r="X544" i="9"/>
  <c r="X545" i="9"/>
  <c r="X546" i="9"/>
  <c r="X547" i="9"/>
  <c r="X548" i="9"/>
  <c r="X549" i="9"/>
  <c r="X550" i="9"/>
  <c r="X551" i="9"/>
  <c r="X552" i="9"/>
  <c r="X553" i="9"/>
  <c r="X554" i="9"/>
  <c r="X555" i="9"/>
  <c r="X556" i="9"/>
  <c r="X557" i="9"/>
  <c r="X558" i="9"/>
  <c r="X559" i="9"/>
  <c r="X560" i="9"/>
  <c r="X561" i="9"/>
  <c r="X564" i="9"/>
  <c r="X565" i="9"/>
  <c r="X566" i="9"/>
  <c r="X567" i="9"/>
  <c r="X569" i="9"/>
  <c r="X570" i="9"/>
  <c r="X572" i="9"/>
  <c r="X573" i="9"/>
  <c r="X574" i="9"/>
  <c r="X575" i="9"/>
  <c r="X577" i="9"/>
  <c r="X579" i="9"/>
  <c r="X580" i="9"/>
  <c r="X582" i="9"/>
  <c r="X583" i="9"/>
  <c r="X586" i="9"/>
  <c r="X587" i="9"/>
  <c r="X588" i="9"/>
  <c r="X589" i="9"/>
  <c r="X590" i="9"/>
  <c r="X591" i="9"/>
  <c r="X593" i="9"/>
  <c r="X595" i="9"/>
  <c r="X596" i="9"/>
  <c r="X597" i="9"/>
  <c r="X598" i="9"/>
  <c r="X599" i="9"/>
  <c r="X601" i="9"/>
  <c r="X602" i="9"/>
  <c r="X603" i="9"/>
  <c r="X604" i="9"/>
  <c r="X606" i="9"/>
  <c r="X608" i="9"/>
  <c r="X609" i="9"/>
  <c r="X610" i="9"/>
  <c r="X611" i="9"/>
  <c r="X612" i="9"/>
  <c r="X613" i="9"/>
  <c r="X616" i="9"/>
  <c r="X617" i="9"/>
  <c r="X618" i="9"/>
  <c r="X619" i="9"/>
  <c r="X620" i="9"/>
  <c r="X621" i="9"/>
  <c r="X622" i="9"/>
  <c r="X624" i="9"/>
  <c r="X625" i="9"/>
  <c r="X627" i="9"/>
  <c r="X628" i="9"/>
  <c r="X629" i="9"/>
  <c r="X630" i="9"/>
  <c r="X631" i="9"/>
  <c r="X632" i="9"/>
  <c r="X633" i="9"/>
  <c r="X634" i="9"/>
  <c r="X635" i="9"/>
  <c r="X636" i="9"/>
  <c r="X638" i="9"/>
  <c r="X639" i="9"/>
  <c r="X640" i="9"/>
  <c r="X641" i="9"/>
  <c r="X642" i="9"/>
  <c r="X643" i="9"/>
  <c r="X644" i="9"/>
  <c r="X645" i="9"/>
  <c r="X646" i="9"/>
  <c r="X647" i="9"/>
  <c r="X648" i="9"/>
  <c r="X651" i="9"/>
  <c r="X652" i="9"/>
  <c r="X653" i="9"/>
  <c r="X654" i="9"/>
  <c r="X655" i="9"/>
  <c r="X656" i="9"/>
  <c r="X657" i="9"/>
  <c r="X661" i="9"/>
  <c r="X662" i="9"/>
  <c r="X663" i="9"/>
  <c r="X664" i="9"/>
  <c r="X665" i="9"/>
  <c r="X666" i="9"/>
  <c r="X667" i="9"/>
  <c r="X668" i="9"/>
  <c r="X669" i="9"/>
  <c r="X670" i="9"/>
  <c r="X671" i="9"/>
  <c r="X672" i="9"/>
  <c r="X673" i="9"/>
  <c r="X674" i="9"/>
  <c r="X676" i="9"/>
  <c r="X677" i="9"/>
  <c r="X678" i="9"/>
  <c r="X679" i="9"/>
  <c r="X680" i="9"/>
  <c r="X681" i="9"/>
  <c r="X683" i="9"/>
  <c r="X684" i="9"/>
  <c r="X685" i="9"/>
  <c r="X686" i="9"/>
  <c r="X687" i="9"/>
  <c r="X688" i="9"/>
  <c r="X690" i="9"/>
  <c r="X691" i="9"/>
  <c r="X692" i="9"/>
  <c r="X694" i="9"/>
  <c r="X695" i="9"/>
  <c r="X697" i="9"/>
  <c r="X698" i="9"/>
  <c r="X699" i="9"/>
  <c r="X700" i="9"/>
  <c r="X701" i="9"/>
  <c r="X702" i="9"/>
  <c r="X704" i="9"/>
  <c r="X705" i="9"/>
  <c r="X706" i="9"/>
  <c r="X707" i="9"/>
  <c r="X708" i="9"/>
  <c r="X711" i="9"/>
  <c r="X712" i="9"/>
  <c r="X713" i="9"/>
  <c r="X714" i="9"/>
  <c r="X715" i="9"/>
  <c r="X716" i="9"/>
  <c r="X718" i="9"/>
  <c r="X719" i="9"/>
  <c r="X720" i="9"/>
  <c r="X721" i="9"/>
  <c r="X722" i="9"/>
  <c r="X723" i="9"/>
  <c r="X725" i="9"/>
  <c r="X726" i="9"/>
  <c r="X727" i="9"/>
  <c r="X728" i="9"/>
  <c r="X729" i="9"/>
  <c r="X730" i="9"/>
  <c r="X732" i="9"/>
  <c r="X733" i="9"/>
  <c r="X735" i="9"/>
  <c r="X736" i="9"/>
  <c r="X737" i="9"/>
  <c r="X738" i="9"/>
  <c r="X739" i="9"/>
  <c r="X740" i="9"/>
  <c r="X741" i="9"/>
  <c r="X742" i="9"/>
  <c r="X743" i="9"/>
  <c r="X745" i="9"/>
  <c r="X746" i="9"/>
  <c r="X747" i="9"/>
  <c r="X748" i="9"/>
  <c r="X749" i="9"/>
  <c r="X750" i="9"/>
  <c r="X751" i="9"/>
  <c r="X752" i="9"/>
  <c r="X753" i="9"/>
  <c r="X754" i="9"/>
  <c r="X755" i="9"/>
  <c r="X757" i="9"/>
  <c r="X758" i="9"/>
  <c r="X759" i="9"/>
  <c r="X760" i="9"/>
  <c r="X761" i="9"/>
  <c r="X762" i="9"/>
  <c r="X763" i="9"/>
  <c r="X766" i="9"/>
  <c r="X767" i="9"/>
  <c r="X768" i="9"/>
  <c r="X769" i="9"/>
  <c r="X771" i="9"/>
  <c r="X772" i="9"/>
  <c r="X773" i="9"/>
  <c r="X774" i="9"/>
  <c r="X775" i="9"/>
  <c r="X776" i="9"/>
  <c r="X777" i="9"/>
  <c r="X778" i="9"/>
  <c r="X779" i="9"/>
  <c r="X780" i="9"/>
  <c r="X782" i="9"/>
  <c r="X783" i="9"/>
  <c r="X784" i="9"/>
  <c r="X785" i="9"/>
  <c r="X786" i="9"/>
  <c r="X787" i="9"/>
  <c r="X788" i="9"/>
  <c r="X789" i="9"/>
  <c r="X790" i="9"/>
  <c r="X791" i="9"/>
  <c r="X792" i="9"/>
  <c r="X793" i="9"/>
  <c r="X794" i="9"/>
  <c r="X795" i="9"/>
  <c r="X796" i="9"/>
  <c r="X797" i="9"/>
  <c r="X798" i="9"/>
  <c r="X799" i="9"/>
  <c r="X800" i="9"/>
  <c r="X802" i="9"/>
  <c r="X804" i="9"/>
  <c r="X805" i="9"/>
  <c r="X806" i="9"/>
  <c r="X807" i="9"/>
  <c r="X808" i="9"/>
  <c r="X809" i="9"/>
  <c r="X810" i="9"/>
  <c r="X811" i="9"/>
  <c r="X812" i="9"/>
  <c r="X813" i="9"/>
  <c r="X814" i="9"/>
  <c r="X816" i="9"/>
  <c r="X817" i="9"/>
  <c r="X818" i="9"/>
  <c r="X819" i="9"/>
  <c r="X821" i="9"/>
  <c r="X822" i="9"/>
  <c r="X823" i="9"/>
  <c r="X824" i="9"/>
  <c r="X825" i="9"/>
  <c r="X826" i="9"/>
  <c r="X827" i="9"/>
  <c r="X828" i="9"/>
  <c r="X830" i="9"/>
  <c r="X831" i="9"/>
  <c r="X832" i="9"/>
  <c r="X833" i="9"/>
  <c r="X835" i="9"/>
  <c r="X836" i="9"/>
  <c r="X838" i="9"/>
  <c r="X839" i="9"/>
  <c r="X840" i="9"/>
  <c r="X841" i="9"/>
  <c r="X842" i="9"/>
  <c r="X843" i="9"/>
  <c r="X844" i="9"/>
  <c r="X845" i="9"/>
  <c r="X846" i="9"/>
  <c r="X847" i="9"/>
  <c r="X848" i="9"/>
  <c r="X849" i="9"/>
  <c r="X851" i="9"/>
  <c r="X852" i="9"/>
  <c r="X853" i="9"/>
  <c r="X854" i="9"/>
  <c r="X855" i="9"/>
  <c r="X856" i="9"/>
  <c r="X857" i="9"/>
  <c r="X858" i="9"/>
  <c r="X859" i="9"/>
  <c r="X860" i="9"/>
  <c r="X861" i="9"/>
  <c r="X863" i="9"/>
  <c r="X865" i="9"/>
  <c r="X866" i="9"/>
  <c r="X867" i="9"/>
  <c r="X869" i="9"/>
  <c r="X870" i="9"/>
  <c r="X871" i="9"/>
  <c r="X872" i="9"/>
  <c r="X873" i="9"/>
  <c r="X875" i="9"/>
  <c r="X876" i="9"/>
  <c r="X877" i="9"/>
  <c r="X878" i="9"/>
  <c r="X879" i="9"/>
  <c r="X880" i="9"/>
  <c r="X882" i="9"/>
  <c r="X884" i="9"/>
  <c r="X885" i="9"/>
  <c r="X886" i="9"/>
  <c r="X888" i="9"/>
  <c r="X889" i="9"/>
  <c r="X891" i="9"/>
  <c r="X892" i="9"/>
  <c r="X893" i="9"/>
  <c r="X894" i="9"/>
  <c r="X896" i="9"/>
  <c r="X897" i="9"/>
  <c r="X898" i="9"/>
  <c r="X899" i="9"/>
  <c r="X900" i="9"/>
  <c r="X901" i="9"/>
  <c r="X902" i="9"/>
  <c r="X904" i="9"/>
  <c r="X905" i="9"/>
  <c r="X906" i="9"/>
  <c r="X907" i="9"/>
  <c r="X908" i="9"/>
  <c r="X909" i="9"/>
  <c r="X911" i="9"/>
  <c r="X913" i="9"/>
  <c r="X914" i="9"/>
  <c r="X915" i="9"/>
  <c r="X917" i="9"/>
  <c r="X918" i="9"/>
  <c r="X919" i="9"/>
  <c r="X920" i="9"/>
  <c r="X921" i="9"/>
  <c r="X923" i="9"/>
  <c r="X924" i="9"/>
  <c r="X926" i="9"/>
  <c r="X928" i="9"/>
  <c r="X930" i="9"/>
  <c r="X931" i="9"/>
  <c r="X932" i="9"/>
  <c r="X933" i="9"/>
  <c r="X934" i="9"/>
  <c r="X935" i="9"/>
  <c r="X937" i="9"/>
  <c r="X938" i="9"/>
  <c r="X939" i="9"/>
  <c r="X941" i="9"/>
  <c r="X942" i="9"/>
  <c r="X944" i="9"/>
  <c r="X945" i="9"/>
  <c r="X946" i="9"/>
  <c r="X947" i="9"/>
  <c r="X948" i="9"/>
  <c r="X949" i="9"/>
  <c r="X951" i="9"/>
  <c r="X952" i="9"/>
  <c r="X953" i="9"/>
  <c r="X954" i="9"/>
  <c r="X955" i="9"/>
  <c r="X956" i="9"/>
  <c r="X958" i="9"/>
  <c r="X959" i="9"/>
  <c r="X960" i="9"/>
  <c r="X961" i="9"/>
  <c r="X962" i="9"/>
  <c r="X963" i="9"/>
  <c r="X964" i="9"/>
  <c r="X965" i="9"/>
  <c r="X966" i="9"/>
  <c r="X968" i="9"/>
  <c r="X970" i="9"/>
  <c r="X971" i="9"/>
  <c r="X972" i="9"/>
  <c r="X973" i="9"/>
  <c r="X974" i="9"/>
  <c r="X976" i="9"/>
  <c r="X977" i="9"/>
  <c r="X978" i="9"/>
  <c r="X979" i="9"/>
  <c r="X980" i="9"/>
  <c r="X982" i="9"/>
  <c r="X983" i="9"/>
  <c r="X984" i="9"/>
  <c r="X985" i="9"/>
  <c r="X986" i="9"/>
  <c r="X987" i="9"/>
  <c r="X988" i="9"/>
  <c r="X989" i="9"/>
  <c r="X990" i="9"/>
  <c r="X991" i="9"/>
  <c r="X993" i="9"/>
  <c r="X994" i="9"/>
  <c r="X996" i="9"/>
  <c r="X997" i="9"/>
  <c r="X998" i="9"/>
  <c r="X999" i="9"/>
  <c r="X1000" i="9"/>
  <c r="X1002" i="9"/>
  <c r="X1003" i="9"/>
  <c r="X1004" i="9"/>
  <c r="X1005" i="9"/>
  <c r="X1006" i="9"/>
  <c r="X1008" i="9"/>
  <c r="X1010" i="9"/>
  <c r="X1011" i="9"/>
  <c r="X1012" i="9"/>
  <c r="X1013" i="9"/>
  <c r="X1014" i="9"/>
  <c r="X1015" i="9"/>
  <c r="X1016" i="9"/>
  <c r="X1017" i="9"/>
  <c r="X1019" i="9"/>
  <c r="X1020" i="9"/>
  <c r="X1022" i="9"/>
  <c r="X1023" i="9"/>
  <c r="X1024" i="9"/>
  <c r="X1025" i="9"/>
  <c r="X1026" i="9"/>
  <c r="X1027" i="9"/>
  <c r="X1028" i="9"/>
  <c r="X1029" i="9"/>
  <c r="X1030" i="9"/>
  <c r="X1032" i="9"/>
  <c r="X1035" i="9"/>
  <c r="X1037" i="9"/>
  <c r="X1038" i="9"/>
  <c r="X1039" i="9"/>
  <c r="X1040" i="9"/>
  <c r="X1041" i="9"/>
  <c r="X1042" i="9"/>
  <c r="X1043" i="9"/>
  <c r="X1044" i="9"/>
  <c r="X1045" i="9"/>
  <c r="X1046" i="9"/>
  <c r="X1047" i="9"/>
  <c r="X1048" i="9"/>
  <c r="X1050" i="9"/>
  <c r="X1051" i="9"/>
  <c r="X1052" i="9"/>
  <c r="X1053" i="9"/>
  <c r="X1055" i="9"/>
  <c r="X1056" i="9"/>
  <c r="X1057" i="9"/>
  <c r="X1058" i="9"/>
  <c r="X1059" i="9"/>
  <c r="X1060" i="9"/>
  <c r="X1062" i="9"/>
  <c r="X1063" i="9"/>
  <c r="X1064" i="9"/>
  <c r="X1065" i="9"/>
  <c r="X1067" i="9"/>
  <c r="X1069" i="9"/>
  <c r="X1070" i="9"/>
  <c r="X1071" i="9"/>
  <c r="X1072" i="9"/>
  <c r="X1073" i="9"/>
  <c r="X1075" i="9"/>
  <c r="X1076" i="9"/>
  <c r="X1077" i="9"/>
  <c r="X1078" i="9"/>
  <c r="X1080" i="9"/>
  <c r="X1081" i="9"/>
  <c r="X1082" i="9"/>
  <c r="X1083" i="9"/>
  <c r="X1084" i="9"/>
  <c r="X1086" i="9"/>
  <c r="X1087" i="9"/>
  <c r="X1088" i="9"/>
  <c r="X1089" i="9"/>
  <c r="X1090" i="9"/>
  <c r="X1091" i="9"/>
  <c r="X1092" i="9"/>
  <c r="X1093" i="9"/>
  <c r="X1094" i="9"/>
  <c r="X1095" i="9"/>
  <c r="X1096" i="9"/>
  <c r="X1097" i="9"/>
  <c r="X1099" i="9"/>
  <c r="X1100" i="9"/>
  <c r="X1101" i="9"/>
  <c r="X1102" i="9"/>
  <c r="X1103" i="9"/>
  <c r="X1104" i="9"/>
  <c r="X1106" i="9"/>
  <c r="X1107" i="9"/>
  <c r="X1108" i="9"/>
  <c r="X1110" i="9"/>
  <c r="X1111" i="9"/>
  <c r="X1112" i="9"/>
  <c r="X1113" i="9"/>
  <c r="X1114" i="9"/>
  <c r="X1115" i="9"/>
  <c r="X1116" i="9"/>
  <c r="X1117" i="9"/>
  <c r="X1119" i="9"/>
  <c r="X1120" i="9"/>
  <c r="X1121" i="9"/>
  <c r="X1122" i="9"/>
  <c r="X1124" i="9"/>
  <c r="X1125" i="9"/>
  <c r="X1127" i="9"/>
  <c r="X1128" i="9"/>
  <c r="X1129" i="9"/>
  <c r="X1130" i="9"/>
  <c r="X1131" i="9"/>
  <c r="X1132" i="9"/>
  <c r="X1133" i="9"/>
  <c r="X1134" i="9"/>
  <c r="X1135" i="9"/>
  <c r="X1136" i="9"/>
  <c r="X1137" i="9"/>
  <c r="X1138" i="9"/>
  <c r="X1139" i="9"/>
  <c r="X1140" i="9"/>
  <c r="X1141" i="9"/>
  <c r="X1143" i="9"/>
  <c r="X1145" i="9"/>
  <c r="X1146" i="9"/>
  <c r="X1147" i="9"/>
  <c r="X1149" i="9"/>
  <c r="X1150" i="9"/>
  <c r="X1151" i="9"/>
  <c r="X1152" i="9"/>
  <c r="X1153" i="9"/>
  <c r="X1154" i="9"/>
  <c r="X1155" i="9"/>
  <c r="X1156" i="9"/>
  <c r="X1158" i="9"/>
  <c r="X1159" i="9"/>
  <c r="X1160" i="9"/>
  <c r="X1161" i="9"/>
  <c r="X1162" i="9"/>
  <c r="X1164" i="9"/>
  <c r="X1165" i="9"/>
  <c r="X1166" i="9"/>
  <c r="X1167" i="9"/>
  <c r="X1168" i="9"/>
  <c r="X1169" i="9"/>
  <c r="X1171" i="9"/>
  <c r="X1172" i="9"/>
  <c r="X1173" i="9"/>
  <c r="X1174" i="9"/>
  <c r="X1175" i="9"/>
  <c r="X1177" i="9"/>
  <c r="X1178" i="9"/>
  <c r="X1181" i="9"/>
  <c r="X1182" i="9"/>
  <c r="X1183" i="9"/>
  <c r="X1184" i="9"/>
  <c r="X1185" i="9"/>
  <c r="X1187" i="9"/>
  <c r="X1188" i="9"/>
  <c r="X1189" i="9"/>
  <c r="X1190" i="9"/>
  <c r="X1191" i="9"/>
  <c r="X1192" i="9"/>
  <c r="X1193" i="9"/>
  <c r="X1194" i="9"/>
  <c r="X1195" i="9"/>
  <c r="X1196" i="9"/>
  <c r="X1197" i="9"/>
  <c r="X1198" i="9"/>
  <c r="X1199" i="9"/>
  <c r="X1200" i="9"/>
  <c r="X1201" i="9"/>
  <c r="X1202" i="9"/>
  <c r="X1204" i="9"/>
  <c r="X1205" i="9"/>
  <c r="X1206" i="9"/>
  <c r="X1207" i="9"/>
  <c r="X1208" i="9"/>
  <c r="X1209" i="9"/>
  <c r="X1210" i="9"/>
  <c r="X1212" i="9"/>
  <c r="X1213" i="9"/>
  <c r="X1214" i="9"/>
  <c r="X1215" i="9"/>
  <c r="X1216" i="9"/>
  <c r="X1217" i="9"/>
  <c r="X1218" i="9"/>
  <c r="X1219" i="9"/>
  <c r="X1220" i="9"/>
  <c r="X1221" i="9"/>
  <c r="X1222" i="9"/>
  <c r="X1223" i="9"/>
  <c r="X1225" i="9"/>
  <c r="X1226" i="9"/>
  <c r="X1227" i="9"/>
  <c r="X1230" i="9"/>
  <c r="X1231" i="9"/>
  <c r="X1232" i="9"/>
  <c r="X1233" i="9"/>
  <c r="X1234" i="9"/>
  <c r="X1235" i="9"/>
  <c r="X1236" i="9"/>
  <c r="X1238" i="9"/>
  <c r="X1239" i="9"/>
  <c r="X1240" i="9"/>
  <c r="X1241" i="9"/>
  <c r="X1242" i="9"/>
  <c r="X1243" i="9"/>
  <c r="Y13" i="9"/>
  <c r="Y14" i="9"/>
  <c r="Y15" i="9"/>
  <c r="Y16" i="9"/>
  <c r="Y17" i="9"/>
  <c r="Y19" i="9"/>
  <c r="Y20" i="9"/>
  <c r="Y22" i="9"/>
  <c r="Y23" i="9"/>
  <c r="Y24" i="9"/>
  <c r="Y25" i="9"/>
  <c r="Y26" i="9"/>
  <c r="Y27" i="9"/>
  <c r="Y30" i="9"/>
  <c r="Y31" i="9"/>
  <c r="Y33" i="9"/>
  <c r="Y34" i="9"/>
  <c r="Y35" i="9"/>
  <c r="Y36" i="9"/>
  <c r="Y37" i="9"/>
  <c r="Y38" i="9"/>
  <c r="Y40" i="9"/>
  <c r="Y42" i="9"/>
  <c r="Y43" i="9"/>
  <c r="Y44" i="9"/>
  <c r="Y45" i="9"/>
  <c r="Y47" i="9"/>
  <c r="Y48" i="9"/>
  <c r="Y49" i="9"/>
  <c r="Y52" i="9"/>
  <c r="Y53" i="9"/>
  <c r="Y54" i="9"/>
  <c r="Y55" i="9"/>
  <c r="Y56" i="9"/>
  <c r="Y57" i="9"/>
  <c r="Y58" i="9"/>
  <c r="Y59" i="9"/>
  <c r="Y62" i="9"/>
  <c r="Y63" i="9"/>
  <c r="Y64" i="9"/>
  <c r="Y65" i="9"/>
  <c r="Y66" i="9"/>
  <c r="Y67" i="9"/>
  <c r="Y68" i="9"/>
  <c r="Y69" i="9"/>
  <c r="Y71" i="9"/>
  <c r="Y74" i="9"/>
  <c r="Y75" i="9"/>
  <c r="Y76" i="9"/>
  <c r="Y78" i="9"/>
  <c r="Y79" i="9"/>
  <c r="Y80" i="9"/>
  <c r="Y81" i="9"/>
  <c r="Y82" i="9"/>
  <c r="Y83" i="9"/>
  <c r="Y84" i="9"/>
  <c r="Y85" i="9"/>
  <c r="Y86" i="9"/>
  <c r="Y87" i="9"/>
  <c r="Y88" i="9"/>
  <c r="Y89" i="9"/>
  <c r="Y90" i="9"/>
  <c r="Y91" i="9"/>
  <c r="Y93" i="9"/>
  <c r="Y94" i="9"/>
  <c r="Y95" i="9"/>
  <c r="Y96" i="9"/>
  <c r="Y97" i="9"/>
  <c r="Y100" i="9"/>
  <c r="Y102" i="9"/>
  <c r="Y103" i="9"/>
  <c r="Y104" i="9"/>
  <c r="Y105" i="9"/>
  <c r="Y106" i="9"/>
  <c r="Y108" i="9"/>
  <c r="Y109" i="9"/>
  <c r="Y110" i="9"/>
  <c r="Y111" i="9"/>
  <c r="Y112" i="9"/>
  <c r="Y114" i="9"/>
  <c r="Y115" i="9"/>
  <c r="Y116" i="9"/>
  <c r="Y119" i="9"/>
  <c r="Y120" i="9"/>
  <c r="Y122" i="9"/>
  <c r="Y123" i="9"/>
  <c r="Y124" i="9"/>
  <c r="Y125" i="9"/>
  <c r="Y126" i="9"/>
  <c r="Y127" i="9"/>
  <c r="Y129" i="9"/>
  <c r="Y130" i="9"/>
  <c r="Y131" i="9"/>
  <c r="Y132" i="9"/>
  <c r="Y133" i="9"/>
  <c r="Y135" i="9"/>
  <c r="Y136" i="9"/>
  <c r="Y137" i="9"/>
  <c r="Y139" i="9"/>
  <c r="Y140" i="9"/>
  <c r="Y141" i="9"/>
  <c r="Y143" i="9"/>
  <c r="Y144" i="9"/>
  <c r="Y145" i="9"/>
  <c r="Y146" i="9"/>
  <c r="Y147" i="9"/>
  <c r="Y148" i="9"/>
  <c r="Y149" i="9"/>
  <c r="Y150" i="9"/>
  <c r="Y151" i="9"/>
  <c r="Y152" i="9"/>
  <c r="Y153" i="9"/>
  <c r="Y154" i="9"/>
  <c r="Y155" i="9"/>
  <c r="Y156" i="9"/>
  <c r="Y157" i="9"/>
  <c r="Y158" i="9"/>
  <c r="Y159" i="9"/>
  <c r="Y160" i="9"/>
  <c r="Y161" i="9"/>
  <c r="Y163" i="9"/>
  <c r="Y164" i="9"/>
  <c r="Y165" i="9"/>
  <c r="Y167" i="9"/>
  <c r="Y168" i="9"/>
  <c r="Y169" i="9"/>
  <c r="Y171" i="9"/>
  <c r="Y172" i="9"/>
  <c r="Y173" i="9"/>
  <c r="Y175" i="9"/>
  <c r="Y176" i="9"/>
  <c r="Y177" i="9"/>
  <c r="Y178" i="9"/>
  <c r="Y179" i="9"/>
  <c r="Y180" i="9"/>
  <c r="Y181" i="9"/>
  <c r="Y183" i="9"/>
  <c r="Y184" i="9"/>
  <c r="Y185" i="9"/>
  <c r="Y187" i="9"/>
  <c r="Y188" i="9"/>
  <c r="Y189" i="9"/>
  <c r="Y190" i="9"/>
  <c r="Y191" i="9"/>
  <c r="Y192" i="9"/>
  <c r="Y193" i="9"/>
  <c r="Y194" i="9"/>
  <c r="Y195" i="9"/>
  <c r="Y196" i="9"/>
  <c r="Y197" i="9"/>
  <c r="Y198" i="9"/>
  <c r="Y199" i="9"/>
  <c r="Y202" i="9"/>
  <c r="Y203" i="9"/>
  <c r="Y204" i="9"/>
  <c r="Y205" i="9"/>
  <c r="Y206" i="9"/>
  <c r="Y207" i="9"/>
  <c r="Y208" i="9"/>
  <c r="Y210" i="9"/>
  <c r="Y211" i="9"/>
  <c r="Y213" i="9"/>
  <c r="Y214" i="9"/>
  <c r="Y215" i="9"/>
  <c r="Y216" i="9"/>
  <c r="Y217" i="9"/>
  <c r="Y219" i="9"/>
  <c r="Y220" i="9"/>
  <c r="Y221" i="9"/>
  <c r="Y222" i="9"/>
  <c r="Y223" i="9"/>
  <c r="Y226" i="9"/>
  <c r="Y227" i="9"/>
  <c r="Y228" i="9"/>
  <c r="Y229" i="9"/>
  <c r="Y230" i="9"/>
  <c r="Y231" i="9"/>
  <c r="Y232" i="9"/>
  <c r="Y233" i="9"/>
  <c r="Y234" i="9"/>
  <c r="Y236" i="9"/>
  <c r="Y237" i="9"/>
  <c r="Y239" i="9"/>
  <c r="Y240" i="9"/>
  <c r="Y241" i="9"/>
  <c r="Y244" i="9"/>
  <c r="Y245" i="9"/>
  <c r="Y246" i="9"/>
  <c r="Y247" i="9"/>
  <c r="Y248" i="9"/>
  <c r="Y249" i="9"/>
  <c r="Y250" i="9"/>
  <c r="Y251" i="9"/>
  <c r="Y252" i="9"/>
  <c r="Y253" i="9"/>
  <c r="Y254" i="9"/>
  <c r="Y255" i="9"/>
  <c r="Y256" i="9"/>
  <c r="Y257" i="9"/>
  <c r="Y258" i="9"/>
  <c r="Y259" i="9"/>
  <c r="Y260" i="9"/>
  <c r="Y261" i="9"/>
  <c r="Y262" i="9"/>
  <c r="Y265" i="9"/>
  <c r="Y266" i="9"/>
  <c r="Y267" i="9"/>
  <c r="Y268" i="9"/>
  <c r="Y269" i="9"/>
  <c r="Y270" i="9"/>
  <c r="Y271" i="9"/>
  <c r="Y273" i="9"/>
  <c r="Y274" i="9"/>
  <c r="Y277" i="9"/>
  <c r="Y278" i="9"/>
  <c r="Y279" i="9"/>
  <c r="Y280" i="9"/>
  <c r="Y281" i="9"/>
  <c r="Y282" i="9"/>
  <c r="Y283" i="9"/>
  <c r="Y284" i="9"/>
  <c r="Y285" i="9"/>
  <c r="Y286" i="9"/>
  <c r="Y287" i="9"/>
  <c r="Y289" i="9"/>
  <c r="Y290" i="9"/>
  <c r="Y291" i="9"/>
  <c r="Y292" i="9"/>
  <c r="Y293" i="9"/>
  <c r="Y294" i="9"/>
  <c r="Y296" i="9"/>
  <c r="Y297" i="9"/>
  <c r="Y298" i="9"/>
  <c r="Y299" i="9"/>
  <c r="Y300" i="9"/>
  <c r="Y301" i="9"/>
  <c r="Y304" i="9"/>
  <c r="Y305" i="9"/>
  <c r="Y306" i="9"/>
  <c r="Y307" i="9"/>
  <c r="Y308" i="9"/>
  <c r="Y309" i="9"/>
  <c r="Y310" i="9"/>
  <c r="Y312" i="9"/>
  <c r="Y313" i="9"/>
  <c r="Y314" i="9"/>
  <c r="Y315" i="9"/>
  <c r="Y316" i="9"/>
  <c r="Y317" i="9"/>
  <c r="Y318" i="9"/>
  <c r="Y319" i="9"/>
  <c r="Y320" i="9"/>
  <c r="Y321" i="9"/>
  <c r="Y322" i="9"/>
  <c r="Y324" i="9"/>
  <c r="Y325" i="9"/>
  <c r="Y326" i="9"/>
  <c r="Y327" i="9"/>
  <c r="Y328" i="9"/>
  <c r="Y329" i="9"/>
  <c r="Y331" i="9"/>
  <c r="Y332" i="9"/>
  <c r="Y333" i="9"/>
  <c r="Y334" i="9"/>
  <c r="Y335" i="9"/>
  <c r="Y336" i="9"/>
  <c r="Y337" i="9"/>
  <c r="Y338" i="9"/>
  <c r="Y340" i="9"/>
  <c r="Y341" i="9"/>
  <c r="Y342" i="9"/>
  <c r="Y344" i="9"/>
  <c r="Y345" i="9"/>
  <c r="Y346" i="9"/>
  <c r="Y349" i="9"/>
  <c r="Y350" i="9"/>
  <c r="Y351" i="9"/>
  <c r="Y352" i="9"/>
  <c r="Y353" i="9"/>
  <c r="Y354" i="9"/>
  <c r="Y355" i="9"/>
  <c r="Y356" i="9"/>
  <c r="Y357" i="9"/>
  <c r="Y358" i="9"/>
  <c r="Y359" i="9"/>
  <c r="Y360" i="9"/>
  <c r="Y361" i="9"/>
  <c r="Y363" i="9"/>
  <c r="Y364" i="9"/>
  <c r="Y365" i="9"/>
  <c r="Y366" i="9"/>
  <c r="Y367" i="9"/>
  <c r="Y368" i="9"/>
  <c r="Y369" i="9"/>
  <c r="Y371" i="9"/>
  <c r="Y373" i="9"/>
  <c r="Y374" i="9"/>
  <c r="Y375" i="9"/>
  <c r="Y376" i="9"/>
  <c r="Y377" i="9"/>
  <c r="Y378" i="9"/>
  <c r="Y380" i="9"/>
  <c r="Y381" i="9"/>
  <c r="Y382" i="9"/>
  <c r="Y383" i="9"/>
  <c r="Y384" i="9"/>
  <c r="Y385" i="9"/>
  <c r="Y386" i="9"/>
  <c r="Y387" i="9"/>
  <c r="Y388" i="9"/>
  <c r="Y389" i="9"/>
  <c r="Y390" i="9"/>
  <c r="Y391" i="9"/>
  <c r="Y392" i="9"/>
  <c r="Y394" i="9"/>
  <c r="Y395" i="9"/>
  <c r="Y396" i="9"/>
  <c r="Y397" i="9"/>
  <c r="Y398" i="9"/>
  <c r="Y399" i="9"/>
  <c r="Y400" i="9"/>
  <c r="Y401" i="9"/>
  <c r="Y403" i="9"/>
  <c r="Y405" i="9"/>
  <c r="Y406" i="9"/>
  <c r="Y407" i="9"/>
  <c r="Y409" i="9"/>
  <c r="Y410" i="9"/>
  <c r="Y412" i="9"/>
  <c r="Y413" i="9"/>
  <c r="Y414" i="9"/>
  <c r="Y415" i="9"/>
  <c r="Y416" i="9"/>
  <c r="Y417" i="9"/>
  <c r="Y418" i="9"/>
  <c r="Y421" i="9"/>
  <c r="Y422" i="9"/>
  <c r="Y423" i="9"/>
  <c r="Y424" i="9"/>
  <c r="Y425" i="9"/>
  <c r="Y426" i="9"/>
  <c r="Y428" i="9"/>
  <c r="Y429" i="9"/>
  <c r="Y430" i="9"/>
  <c r="Y431" i="9"/>
  <c r="Y432" i="9"/>
  <c r="Y433" i="9"/>
  <c r="Y434" i="9"/>
  <c r="Y435" i="9"/>
  <c r="Y437" i="9"/>
  <c r="Y439" i="9"/>
  <c r="Y440" i="9"/>
  <c r="Y441" i="9"/>
  <c r="Y442" i="9"/>
  <c r="Y443" i="9"/>
  <c r="Y444" i="9"/>
  <c r="Y445" i="9"/>
  <c r="Y447" i="9"/>
  <c r="Y448" i="9"/>
  <c r="Y450" i="9"/>
  <c r="Y451" i="9"/>
  <c r="Y452" i="9"/>
  <c r="Y453" i="9"/>
  <c r="Y454" i="9"/>
  <c r="Y455" i="9"/>
  <c r="Y456" i="9"/>
  <c r="Y457" i="9"/>
  <c r="Y458" i="9"/>
  <c r="Y459" i="9"/>
  <c r="Y461" i="9"/>
  <c r="Y462" i="9"/>
  <c r="Y463" i="9"/>
  <c r="Y464" i="9"/>
  <c r="Y465" i="9"/>
  <c r="Y466" i="9"/>
  <c r="Y470" i="9"/>
  <c r="Y471" i="9"/>
  <c r="Y472" i="9"/>
  <c r="Y473" i="9"/>
  <c r="Y474" i="9"/>
  <c r="Y476" i="9"/>
  <c r="Y477" i="9"/>
  <c r="Y478" i="9"/>
  <c r="Y479" i="9"/>
  <c r="Y480" i="9"/>
  <c r="Y481" i="9"/>
  <c r="Y482" i="9"/>
  <c r="Y483" i="9"/>
  <c r="Y484" i="9"/>
  <c r="Y485" i="9"/>
  <c r="Y486" i="9"/>
  <c r="Y487" i="9"/>
  <c r="Y488" i="9"/>
  <c r="Y490" i="9"/>
  <c r="Y491" i="9"/>
  <c r="Y492" i="9"/>
  <c r="Y493" i="9"/>
  <c r="Y494" i="9"/>
  <c r="Y495" i="9"/>
  <c r="Y496" i="9"/>
  <c r="Y497" i="9"/>
  <c r="Y499" i="9"/>
  <c r="Y500" i="9"/>
  <c r="Y501" i="9"/>
  <c r="Y502" i="9"/>
  <c r="Y503" i="9"/>
  <c r="Y504" i="9"/>
  <c r="Y505" i="9"/>
  <c r="Y506" i="9"/>
  <c r="Y507" i="9"/>
  <c r="Y508" i="9"/>
  <c r="Y510" i="9"/>
  <c r="Y511" i="9"/>
  <c r="Y512" i="9"/>
  <c r="Y513" i="9"/>
  <c r="Y514" i="9"/>
  <c r="Y515" i="9"/>
  <c r="Y516" i="9"/>
  <c r="Y517" i="9"/>
  <c r="Y518" i="9"/>
  <c r="Y520" i="9"/>
  <c r="Y522" i="9"/>
  <c r="Y523" i="9"/>
  <c r="Y524" i="9"/>
  <c r="Y525" i="9"/>
  <c r="Y526" i="9"/>
  <c r="Y527" i="9"/>
  <c r="Y528" i="9"/>
  <c r="Y529" i="9"/>
  <c r="Y530" i="9"/>
  <c r="Y531" i="9"/>
  <c r="Y532" i="9"/>
  <c r="Y533" i="9"/>
  <c r="Y534" i="9"/>
  <c r="Y535" i="9"/>
  <c r="Y536" i="9"/>
  <c r="Y537" i="9"/>
  <c r="Y538" i="9"/>
  <c r="Y539" i="9"/>
  <c r="Y541" i="9"/>
  <c r="Y542" i="9"/>
  <c r="Y544" i="9"/>
  <c r="Y545" i="9"/>
  <c r="Y546" i="9"/>
  <c r="Y547" i="9"/>
  <c r="Y548" i="9"/>
  <c r="Y549" i="9"/>
  <c r="Y550" i="9"/>
  <c r="Y551" i="9"/>
  <c r="Y552" i="9"/>
  <c r="Y553" i="9"/>
  <c r="Y554" i="9"/>
  <c r="Y555" i="9"/>
  <c r="Y556" i="9"/>
  <c r="Y557" i="9"/>
  <c r="Y558" i="9"/>
  <c r="Y559" i="9"/>
  <c r="Y560" i="9"/>
  <c r="Y561" i="9"/>
  <c r="Y564" i="9"/>
  <c r="Y565" i="9"/>
  <c r="Y566" i="9"/>
  <c r="Y567" i="9"/>
  <c r="Y569" i="9"/>
  <c r="Y570" i="9"/>
  <c r="Y572" i="9"/>
  <c r="Y573" i="9"/>
  <c r="Y574" i="9"/>
  <c r="Y575" i="9"/>
  <c r="Y577" i="9"/>
  <c r="Y579" i="9"/>
  <c r="Y580" i="9"/>
  <c r="Y582" i="9"/>
  <c r="Y583" i="9"/>
  <c r="Y586" i="9"/>
  <c r="Y587" i="9"/>
  <c r="Y588" i="9"/>
  <c r="Y589" i="9"/>
  <c r="Y590" i="9"/>
  <c r="Y591" i="9"/>
  <c r="Y593" i="9"/>
  <c r="Y595" i="9"/>
  <c r="Y596" i="9"/>
  <c r="Y597" i="9"/>
  <c r="Y598" i="9"/>
  <c r="Y599" i="9"/>
  <c r="Y601" i="9"/>
  <c r="Y602" i="9"/>
  <c r="Y603" i="9"/>
  <c r="Y604" i="9"/>
  <c r="Y606" i="9"/>
  <c r="Y608" i="9"/>
  <c r="Y609" i="9"/>
  <c r="Y610" i="9"/>
  <c r="Y611" i="9"/>
  <c r="Y612" i="9"/>
  <c r="Y613" i="9"/>
  <c r="Y616" i="9"/>
  <c r="Y617" i="9"/>
  <c r="Y618" i="9"/>
  <c r="Y619" i="9"/>
  <c r="Y620" i="9"/>
  <c r="Y621" i="9"/>
  <c r="Y622" i="9"/>
  <c r="Y624" i="9"/>
  <c r="Y625" i="9"/>
  <c r="Y627" i="9"/>
  <c r="Y628" i="9"/>
  <c r="Y629" i="9"/>
  <c r="Y630" i="9"/>
  <c r="Y631" i="9"/>
  <c r="Y632" i="9"/>
  <c r="Y633" i="9"/>
  <c r="Y634" i="9"/>
  <c r="Y635" i="9"/>
  <c r="Y636" i="9"/>
  <c r="Y638" i="9"/>
  <c r="Y639" i="9"/>
  <c r="Y640" i="9"/>
  <c r="Y641" i="9"/>
  <c r="Y642" i="9"/>
  <c r="Y643" i="9"/>
  <c r="Y644" i="9"/>
  <c r="Y645" i="9"/>
  <c r="Y646" i="9"/>
  <c r="Y647" i="9"/>
  <c r="Y648" i="9"/>
  <c r="Y651" i="9"/>
  <c r="Y652" i="9"/>
  <c r="Y653" i="9"/>
  <c r="Y654" i="9"/>
  <c r="Y655" i="9"/>
  <c r="Y656" i="9"/>
  <c r="Y657" i="9"/>
  <c r="Y661" i="9"/>
  <c r="Y662" i="9"/>
  <c r="Y663" i="9"/>
  <c r="Y664" i="9"/>
  <c r="Y665" i="9"/>
  <c r="Y666" i="9"/>
  <c r="Y667" i="9"/>
  <c r="Y668" i="9"/>
  <c r="Y669" i="9"/>
  <c r="Y670" i="9"/>
  <c r="Y671" i="9"/>
  <c r="Y672" i="9"/>
  <c r="Y673" i="9"/>
  <c r="Y674" i="9"/>
  <c r="Y676" i="9"/>
  <c r="Y677" i="9"/>
  <c r="Y678" i="9"/>
  <c r="Y679" i="9"/>
  <c r="Y680" i="9"/>
  <c r="Y681" i="9"/>
  <c r="Y683" i="9"/>
  <c r="Y684" i="9"/>
  <c r="Y685" i="9"/>
  <c r="Y686" i="9"/>
  <c r="Y687" i="9"/>
  <c r="Y688" i="9"/>
  <c r="Y690" i="9"/>
  <c r="Y691" i="9"/>
  <c r="Y692" i="9"/>
  <c r="Y694" i="9"/>
  <c r="Y695" i="9"/>
  <c r="Y697" i="9"/>
  <c r="Y698" i="9"/>
  <c r="Y699" i="9"/>
  <c r="Y700" i="9"/>
  <c r="Y701" i="9"/>
  <c r="Y702" i="9"/>
  <c r="Y704" i="9"/>
  <c r="Y705" i="9"/>
  <c r="Y706" i="9"/>
  <c r="Y707" i="9"/>
  <c r="Y708" i="9"/>
  <c r="Y711" i="9"/>
  <c r="Y712" i="9"/>
  <c r="Y713" i="9"/>
  <c r="Y714" i="9"/>
  <c r="Y715" i="9"/>
  <c r="Y716" i="9"/>
  <c r="Y718" i="9"/>
  <c r="Y719" i="9"/>
  <c r="Y720" i="9"/>
  <c r="Y721" i="9"/>
  <c r="Y722" i="9"/>
  <c r="Y723" i="9"/>
  <c r="Y725" i="9"/>
  <c r="Y726" i="9"/>
  <c r="Y727" i="9"/>
  <c r="Y728" i="9"/>
  <c r="Y729" i="9"/>
  <c r="Y730" i="9"/>
  <c r="Y732" i="9"/>
  <c r="Y733" i="9"/>
  <c r="Y735" i="9"/>
  <c r="Y736" i="9"/>
  <c r="Y737" i="9"/>
  <c r="Y738" i="9"/>
  <c r="Y739" i="9"/>
  <c r="Y740" i="9"/>
  <c r="Y741" i="9"/>
  <c r="Y742" i="9"/>
  <c r="Y743" i="9"/>
  <c r="Y745" i="9"/>
  <c r="Y746" i="9"/>
  <c r="Y747" i="9"/>
  <c r="Y748" i="9"/>
  <c r="Y749" i="9"/>
  <c r="Y750" i="9"/>
  <c r="Y751" i="9"/>
  <c r="Y752" i="9"/>
  <c r="Y753" i="9"/>
  <c r="Y754" i="9"/>
  <c r="Y755" i="9"/>
  <c r="Y757" i="9"/>
  <c r="Y758" i="9"/>
  <c r="Y759" i="9"/>
  <c r="Y760" i="9"/>
  <c r="Y761" i="9"/>
  <c r="Y762" i="9"/>
  <c r="Y763" i="9"/>
  <c r="Y766" i="9"/>
  <c r="Y767" i="9"/>
  <c r="Y768" i="9"/>
  <c r="Y769" i="9"/>
  <c r="Y771" i="9"/>
  <c r="Y772" i="9"/>
  <c r="Y773" i="9"/>
  <c r="Y774" i="9"/>
  <c r="Y775" i="9"/>
  <c r="Y776" i="9"/>
  <c r="Y777" i="9"/>
  <c r="Y778" i="9"/>
  <c r="Y779" i="9"/>
  <c r="Y780" i="9"/>
  <c r="Y782" i="9"/>
  <c r="Y783" i="9"/>
  <c r="Y784" i="9"/>
  <c r="Y785" i="9"/>
  <c r="Y786" i="9"/>
  <c r="Y787" i="9"/>
  <c r="Y788" i="9"/>
  <c r="Y789" i="9"/>
  <c r="Y790" i="9"/>
  <c r="Y791" i="9"/>
  <c r="Y792" i="9"/>
  <c r="Y793" i="9"/>
  <c r="Y794" i="9"/>
  <c r="Y795" i="9"/>
  <c r="Y796" i="9"/>
  <c r="Y797" i="9"/>
  <c r="Y798" i="9"/>
  <c r="Y799" i="9"/>
  <c r="Y800" i="9"/>
  <c r="Y802" i="9"/>
  <c r="Y804" i="9"/>
  <c r="Y805" i="9"/>
  <c r="Y806" i="9"/>
  <c r="Y807" i="9"/>
  <c r="Y808" i="9"/>
  <c r="Y809" i="9"/>
  <c r="Y810" i="9"/>
  <c r="Y811" i="9"/>
  <c r="Y812" i="9"/>
  <c r="Y813" i="9"/>
  <c r="Y814" i="9"/>
  <c r="Y816" i="9"/>
  <c r="Y817" i="9"/>
  <c r="Y818" i="9"/>
  <c r="Y819" i="9"/>
  <c r="Y821" i="9"/>
  <c r="Y822" i="9"/>
  <c r="Y823" i="9"/>
  <c r="Y824" i="9"/>
  <c r="Y825" i="9"/>
  <c r="Y826" i="9"/>
  <c r="Y827" i="9"/>
  <c r="Y828" i="9"/>
  <c r="Y830" i="9"/>
  <c r="Y831" i="9"/>
  <c r="Y832" i="9"/>
  <c r="Y833" i="9"/>
  <c r="Y835" i="9"/>
  <c r="Y836" i="9"/>
  <c r="Y838" i="9"/>
  <c r="Y839" i="9"/>
  <c r="Y840" i="9"/>
  <c r="Y841" i="9"/>
  <c r="Y842" i="9"/>
  <c r="Y843" i="9"/>
  <c r="Y844" i="9"/>
  <c r="Y845" i="9"/>
  <c r="Y846" i="9"/>
  <c r="Y847" i="9"/>
  <c r="Y848" i="9"/>
  <c r="Y849" i="9"/>
  <c r="Y851" i="9"/>
  <c r="Y852" i="9"/>
  <c r="Y853" i="9"/>
  <c r="Y854" i="9"/>
  <c r="Y855" i="9"/>
  <c r="Y856" i="9"/>
  <c r="Y857" i="9"/>
  <c r="Y858" i="9"/>
  <c r="Y859" i="9"/>
  <c r="Y860" i="9"/>
  <c r="Y861" i="9"/>
  <c r="Y863" i="9"/>
  <c r="Y865" i="9"/>
  <c r="Y866" i="9"/>
  <c r="Y867" i="9"/>
  <c r="Y869" i="9"/>
  <c r="Y870" i="9"/>
  <c r="Y871" i="9"/>
  <c r="Y872" i="9"/>
  <c r="Y873" i="9"/>
  <c r="Y875" i="9"/>
  <c r="Y876" i="9"/>
  <c r="Y877" i="9"/>
  <c r="Y878" i="9"/>
  <c r="Y879" i="9"/>
  <c r="Y880" i="9"/>
  <c r="Y882" i="9"/>
  <c r="Y884" i="9"/>
  <c r="Y885" i="9"/>
  <c r="Y886" i="9"/>
  <c r="Y888" i="9"/>
  <c r="Y889" i="9"/>
  <c r="Y891" i="9"/>
  <c r="Y892" i="9"/>
  <c r="Y893" i="9"/>
  <c r="Y894" i="9"/>
  <c r="Y896" i="9"/>
  <c r="Y897" i="9"/>
  <c r="Y898" i="9"/>
  <c r="Y899" i="9"/>
  <c r="Y900" i="9"/>
  <c r="Y901" i="9"/>
  <c r="Y902" i="9"/>
  <c r="Y904" i="9"/>
  <c r="Y905" i="9"/>
  <c r="Y906" i="9"/>
  <c r="Y907" i="9"/>
  <c r="Y908" i="9"/>
  <c r="Y909" i="9"/>
  <c r="Y911" i="9"/>
  <c r="Y913" i="9"/>
  <c r="Y914" i="9"/>
  <c r="Y915" i="9"/>
  <c r="Y917" i="9"/>
  <c r="Y918" i="9"/>
  <c r="Y919" i="9"/>
  <c r="Y920" i="9"/>
  <c r="Y921" i="9"/>
  <c r="Y923" i="9"/>
  <c r="Y924" i="9"/>
  <c r="Y926" i="9"/>
  <c r="Y927" i="9"/>
  <c r="Y928" i="9"/>
  <c r="Y930" i="9"/>
  <c r="Y931" i="9"/>
  <c r="Y932" i="9"/>
  <c r="Y933" i="9"/>
  <c r="Y934" i="9"/>
  <c r="Y935" i="9"/>
  <c r="Y937" i="9"/>
  <c r="Y938" i="9"/>
  <c r="Y939" i="9"/>
  <c r="Y941" i="9"/>
  <c r="Y942" i="9"/>
  <c r="Y944" i="9"/>
  <c r="Y945" i="9"/>
  <c r="Y946" i="9"/>
  <c r="Y947" i="9"/>
  <c r="Y948" i="9"/>
  <c r="Y949" i="9"/>
  <c r="Y951" i="9"/>
  <c r="Y952" i="9"/>
  <c r="Y953" i="9"/>
  <c r="Y954" i="9"/>
  <c r="Y955" i="9"/>
  <c r="Y956" i="9"/>
  <c r="Y958" i="9"/>
  <c r="Y959" i="9"/>
  <c r="Y960" i="9"/>
  <c r="Y961" i="9"/>
  <c r="Y962" i="9"/>
  <c r="Y963" i="9"/>
  <c r="Y964" i="9"/>
  <c r="Y965" i="9"/>
  <c r="Y966" i="9"/>
  <c r="Y967" i="9"/>
  <c r="Y968" i="9"/>
  <c r="Y970" i="9"/>
  <c r="Y971" i="9"/>
  <c r="Y972" i="9"/>
  <c r="Y973" i="9"/>
  <c r="Y974" i="9"/>
  <c r="Y976" i="9"/>
  <c r="Y977" i="9"/>
  <c r="Y978" i="9"/>
  <c r="Y979" i="9"/>
  <c r="Y980" i="9"/>
  <c r="Y982" i="9"/>
  <c r="Y983" i="9"/>
  <c r="Y984" i="9"/>
  <c r="Y985" i="9"/>
  <c r="Y986" i="9"/>
  <c r="Y987" i="9"/>
  <c r="Y988" i="9"/>
  <c r="Y989" i="9"/>
  <c r="Y990" i="9"/>
  <c r="Y991" i="9"/>
  <c r="Y993" i="9"/>
  <c r="Y994" i="9"/>
  <c r="Y995" i="9"/>
  <c r="Y996" i="9"/>
  <c r="Y997" i="9"/>
  <c r="Y998" i="9"/>
  <c r="Y999" i="9"/>
  <c r="Y1000" i="9"/>
  <c r="Y1002" i="9"/>
  <c r="Y1003" i="9"/>
  <c r="Y1004" i="9"/>
  <c r="Y1005" i="9"/>
  <c r="Y1006" i="9"/>
  <c r="Y1008" i="9"/>
  <c r="Y1009" i="9"/>
  <c r="Y1010" i="9"/>
  <c r="Y1011" i="9"/>
  <c r="Y1012" i="9"/>
  <c r="Y1013" i="9"/>
  <c r="Y1014" i="9"/>
  <c r="Y1015" i="9"/>
  <c r="Y1016" i="9"/>
  <c r="Y1017" i="9"/>
  <c r="Y1019" i="9"/>
  <c r="Y1020" i="9"/>
  <c r="Y1021" i="9"/>
  <c r="Y1022" i="9"/>
  <c r="Y1023" i="9"/>
  <c r="Y1024" i="9"/>
  <c r="Y1025" i="9"/>
  <c r="Y1026" i="9"/>
  <c r="Y1027" i="9"/>
  <c r="Y1028" i="9"/>
  <c r="Y1029" i="9"/>
  <c r="Y1030" i="9"/>
  <c r="Y1032" i="9"/>
  <c r="Y1035" i="9"/>
  <c r="Y1036" i="9"/>
  <c r="Y1037" i="9"/>
  <c r="Y1038" i="9"/>
  <c r="Y1039" i="9"/>
  <c r="Y1040" i="9"/>
  <c r="Y1041" i="9"/>
  <c r="Y1042" i="9"/>
  <c r="Y1043" i="9"/>
  <c r="Y1044" i="9"/>
  <c r="Y1045" i="9"/>
  <c r="Y1046" i="9"/>
  <c r="Y1047" i="9"/>
  <c r="Y1048" i="9"/>
  <c r="Y1050" i="9"/>
  <c r="Y1051" i="9"/>
  <c r="Y1052" i="9"/>
  <c r="Y1053" i="9"/>
  <c r="Y1055" i="9"/>
  <c r="Y1056" i="9"/>
  <c r="Y1057" i="9"/>
  <c r="Y1058" i="9"/>
  <c r="Y1059" i="9"/>
  <c r="Y1060" i="9"/>
  <c r="Y1061" i="9"/>
  <c r="Y1062" i="9"/>
  <c r="Y1063" i="9"/>
  <c r="Y1064" i="9"/>
  <c r="Y1065" i="9"/>
  <c r="Y1067" i="9"/>
  <c r="Y1069" i="9"/>
  <c r="Y1070" i="9"/>
  <c r="Y1071" i="9"/>
  <c r="Y1072" i="9"/>
  <c r="Y1073" i="9"/>
  <c r="Y1075" i="9"/>
  <c r="Y1076" i="9"/>
  <c r="Y1077" i="9"/>
  <c r="Y1078" i="9"/>
  <c r="Y1080" i="9"/>
  <c r="Y1081" i="9"/>
  <c r="Y1082" i="9"/>
  <c r="Y1083" i="9"/>
  <c r="Y1084" i="9"/>
  <c r="Y1086" i="9"/>
  <c r="Y1087" i="9"/>
  <c r="Y1088" i="9"/>
  <c r="Y1089" i="9"/>
  <c r="Y1090" i="9"/>
  <c r="Y1091" i="9"/>
  <c r="Y1092" i="9"/>
  <c r="Y1093" i="9"/>
  <c r="Y1094" i="9"/>
  <c r="Y1095" i="9"/>
  <c r="Y1096" i="9"/>
  <c r="Y1097" i="9"/>
  <c r="Y1099" i="9"/>
  <c r="Y1100" i="9"/>
  <c r="Y1101" i="9"/>
  <c r="Y1102" i="9"/>
  <c r="Y1103" i="9"/>
  <c r="Y1104" i="9"/>
  <c r="Y1105" i="9"/>
  <c r="Y1106" i="9"/>
  <c r="Y1107" i="9"/>
  <c r="Y1108" i="9"/>
  <c r="Y1110" i="9"/>
  <c r="Y1111" i="9"/>
  <c r="Y1112" i="9"/>
  <c r="Y1113" i="9"/>
  <c r="Y1114" i="9"/>
  <c r="Y1115" i="9"/>
  <c r="Y1116" i="9"/>
  <c r="Y1117" i="9"/>
  <c r="Y1119" i="9"/>
  <c r="Y1120" i="9"/>
  <c r="Y1121" i="9"/>
  <c r="Y1122" i="9"/>
  <c r="Y1124" i="9"/>
  <c r="Y1125" i="9"/>
  <c r="Y1126" i="9"/>
  <c r="Y1127" i="9"/>
  <c r="Y1128" i="9"/>
  <c r="Y1129" i="9"/>
  <c r="Y1130" i="9"/>
  <c r="Y1131" i="9"/>
  <c r="Y1132" i="9"/>
  <c r="Y1133" i="9"/>
  <c r="Y1134" i="9"/>
  <c r="Y1135" i="9"/>
  <c r="Y1136" i="9"/>
  <c r="Y1137" i="9"/>
  <c r="Y1138" i="9"/>
  <c r="Y1139" i="9"/>
  <c r="Y1140" i="9"/>
  <c r="Y1141" i="9"/>
  <c r="Y1143" i="9"/>
  <c r="Y1145" i="9"/>
  <c r="Y1146" i="9"/>
  <c r="Y1147" i="9"/>
  <c r="Y1149" i="9"/>
  <c r="Y1150" i="9"/>
  <c r="Y1151" i="9"/>
  <c r="Y1152" i="9"/>
  <c r="Y1153" i="9"/>
  <c r="Y1154" i="9"/>
  <c r="Y1155" i="9"/>
  <c r="Y1156" i="9"/>
  <c r="Y1157" i="9"/>
  <c r="Y1158" i="9"/>
  <c r="Y1159" i="9"/>
  <c r="Y1160" i="9"/>
  <c r="Y1161" i="9"/>
  <c r="Y1162" i="9"/>
  <c r="Y1164" i="9"/>
  <c r="Y1165" i="9"/>
  <c r="Y1166" i="9"/>
  <c r="Y1167" i="9"/>
  <c r="Y1168" i="9"/>
  <c r="Y1169" i="9"/>
  <c r="Y1170" i="9"/>
  <c r="Y1171" i="9"/>
  <c r="Y1172" i="9"/>
  <c r="Y1173" i="9"/>
  <c r="Y1174" i="9"/>
  <c r="Y1175" i="9"/>
  <c r="Y1177" i="9"/>
  <c r="Y1178" i="9"/>
  <c r="Y1180" i="9"/>
  <c r="Y1181" i="9"/>
  <c r="Y1182" i="9"/>
  <c r="Y1183" i="9"/>
  <c r="Y1184" i="9"/>
  <c r="Y1185" i="9"/>
  <c r="Y1187" i="9"/>
  <c r="Y1188" i="9"/>
  <c r="Y1189" i="9"/>
  <c r="Y1190" i="9"/>
  <c r="Y1191" i="9"/>
  <c r="Y1192" i="9"/>
  <c r="Y1193" i="9"/>
  <c r="Y1194" i="9"/>
  <c r="Y1195" i="9"/>
  <c r="Y1196" i="9"/>
  <c r="Y1197" i="9"/>
  <c r="Y1198" i="9"/>
  <c r="Y1199" i="9"/>
  <c r="Y1200" i="9"/>
  <c r="Y1201" i="9"/>
  <c r="Y1202" i="9"/>
  <c r="Y1204" i="9"/>
  <c r="Y1205" i="9"/>
  <c r="Y1206" i="9"/>
  <c r="Y1207" i="9"/>
  <c r="Y1208" i="9"/>
  <c r="Y1209" i="9"/>
  <c r="Y1210" i="9"/>
  <c r="Y1212" i="9"/>
  <c r="Y1213" i="9"/>
  <c r="Y1214" i="9"/>
  <c r="Y1215" i="9"/>
  <c r="Y1216" i="9"/>
  <c r="Y1217" i="9"/>
  <c r="Y1218" i="9"/>
  <c r="Y1219" i="9"/>
  <c r="Y1220" i="9"/>
  <c r="Y1221" i="9"/>
  <c r="Y1222" i="9"/>
  <c r="Y1223" i="9"/>
  <c r="Y1225" i="9"/>
  <c r="Y1226" i="9"/>
  <c r="Y1227" i="9"/>
  <c r="Y1230" i="9"/>
  <c r="Y1231" i="9"/>
  <c r="Y1232" i="9"/>
  <c r="Y1233" i="9"/>
  <c r="Y1234" i="9"/>
  <c r="Y1235" i="9"/>
  <c r="Y1236" i="9"/>
  <c r="Y1238" i="9"/>
  <c r="Y1239" i="9"/>
  <c r="Y1240" i="9"/>
  <c r="Y1241" i="9"/>
  <c r="Y1242" i="9"/>
  <c r="Y1243" i="9"/>
  <c r="Z13" i="9"/>
  <c r="Z14" i="9"/>
  <c r="Z15" i="9"/>
  <c r="Z16" i="9"/>
  <c r="Z17" i="9"/>
  <c r="Z19" i="9"/>
  <c r="Z20" i="9"/>
  <c r="Z22" i="9"/>
  <c r="Z23" i="9"/>
  <c r="Z24" i="9"/>
  <c r="Z25" i="9"/>
  <c r="Z26" i="9"/>
  <c r="Z27" i="9"/>
  <c r="Z30" i="9"/>
  <c r="Z31" i="9"/>
  <c r="Z33" i="9"/>
  <c r="Z34" i="9"/>
  <c r="Z35" i="9"/>
  <c r="Z36" i="9"/>
  <c r="Z37" i="9"/>
  <c r="Z38" i="9"/>
  <c r="Z40" i="9"/>
  <c r="Z42" i="9"/>
  <c r="Z43" i="9"/>
  <c r="Z44" i="9"/>
  <c r="Z45" i="9"/>
  <c r="Z47" i="9"/>
  <c r="Z48" i="9"/>
  <c r="Z49" i="9"/>
  <c r="Z52" i="9"/>
  <c r="Z53" i="9"/>
  <c r="Z54" i="9"/>
  <c r="Z55" i="9"/>
  <c r="Z56" i="9"/>
  <c r="Z57" i="9"/>
  <c r="Z58" i="9"/>
  <c r="Z59" i="9"/>
  <c r="Z62" i="9"/>
  <c r="Z63" i="9"/>
  <c r="Z64" i="9"/>
  <c r="Z65" i="9"/>
  <c r="Z66" i="9"/>
  <c r="Z67" i="9"/>
  <c r="Z68" i="9"/>
  <c r="Z69" i="9"/>
  <c r="Z71" i="9"/>
  <c r="Z74" i="9"/>
  <c r="Z75" i="9"/>
  <c r="Z76" i="9"/>
  <c r="Z78" i="9"/>
  <c r="Z79" i="9"/>
  <c r="Z80" i="9"/>
  <c r="Z81" i="9"/>
  <c r="Z82" i="9"/>
  <c r="Z83" i="9"/>
  <c r="Z84" i="9"/>
  <c r="Z85" i="9"/>
  <c r="Z86" i="9"/>
  <c r="Z87" i="9"/>
  <c r="Z88" i="9"/>
  <c r="Z89" i="9"/>
  <c r="Z90" i="9"/>
  <c r="Z91" i="9"/>
  <c r="Z93" i="9"/>
  <c r="Z94" i="9"/>
  <c r="Z95" i="9"/>
  <c r="Z96" i="9"/>
  <c r="Z97" i="9"/>
  <c r="Z100" i="9"/>
  <c r="Z102" i="9"/>
  <c r="Z103" i="9"/>
  <c r="Z104" i="9"/>
  <c r="Z105" i="9"/>
  <c r="Z106" i="9"/>
  <c r="Z108" i="9"/>
  <c r="Z109" i="9"/>
  <c r="Z110" i="9"/>
  <c r="Z111" i="9"/>
  <c r="Z112" i="9"/>
  <c r="Z114" i="9"/>
  <c r="Z115" i="9"/>
  <c r="Z116" i="9"/>
  <c r="Z119" i="9"/>
  <c r="Z120" i="9"/>
  <c r="Z122" i="9"/>
  <c r="Z123" i="9"/>
  <c r="Z124" i="9"/>
  <c r="Z125" i="9"/>
  <c r="Z126" i="9"/>
  <c r="Z127" i="9"/>
  <c r="Z129" i="9"/>
  <c r="Z130" i="9"/>
  <c r="Z131" i="9"/>
  <c r="Z132" i="9"/>
  <c r="Z133" i="9"/>
  <c r="Z135" i="9"/>
  <c r="Z136" i="9"/>
  <c r="Z137" i="9"/>
  <c r="Z139" i="9"/>
  <c r="Z140" i="9"/>
  <c r="Z141" i="9"/>
  <c r="Z143" i="9"/>
  <c r="Z144" i="9"/>
  <c r="Z145" i="9"/>
  <c r="Z146" i="9"/>
  <c r="Z147" i="9"/>
  <c r="Z148" i="9"/>
  <c r="Z149" i="9"/>
  <c r="Z150" i="9"/>
  <c r="Z151" i="9"/>
  <c r="Z152" i="9"/>
  <c r="Z153" i="9"/>
  <c r="Z154" i="9"/>
  <c r="Z155" i="9"/>
  <c r="Z156" i="9"/>
  <c r="Z157" i="9"/>
  <c r="Z158" i="9"/>
  <c r="Z159" i="9"/>
  <c r="Z160" i="9"/>
  <c r="Z161" i="9"/>
  <c r="Z163" i="9"/>
  <c r="Z164" i="9"/>
  <c r="Z165" i="9"/>
  <c r="Z167" i="9"/>
  <c r="Z168" i="9"/>
  <c r="Z169" i="9"/>
  <c r="Z171" i="9"/>
  <c r="Z172" i="9"/>
  <c r="Z173" i="9"/>
  <c r="Z175" i="9"/>
  <c r="Z176" i="9"/>
  <c r="Z177" i="9"/>
  <c r="Z178" i="9"/>
  <c r="Z179" i="9"/>
  <c r="Z180" i="9"/>
  <c r="Z181" i="9"/>
  <c r="Z183" i="9"/>
  <c r="Z184" i="9"/>
  <c r="Z185" i="9"/>
  <c r="Z187" i="9"/>
  <c r="Z188" i="9"/>
  <c r="Z189" i="9"/>
  <c r="Z190" i="9"/>
  <c r="Z191" i="9"/>
  <c r="Z192" i="9"/>
  <c r="Z193" i="9"/>
  <c r="Z194" i="9"/>
  <c r="Z195" i="9"/>
  <c r="Z196" i="9"/>
  <c r="Z197" i="9"/>
  <c r="Z198" i="9"/>
  <c r="Z199" i="9"/>
  <c r="Z202" i="9"/>
  <c r="Z203" i="9"/>
  <c r="Z204" i="9"/>
  <c r="Z205" i="9"/>
  <c r="Z206" i="9"/>
  <c r="Z207" i="9"/>
  <c r="Z208" i="9"/>
  <c r="Z210" i="9"/>
  <c r="Z211" i="9"/>
  <c r="Z213" i="9"/>
  <c r="Z214" i="9"/>
  <c r="Z215" i="9"/>
  <c r="Z216" i="9"/>
  <c r="Z217" i="9"/>
  <c r="Z219" i="9"/>
  <c r="Z220" i="9"/>
  <c r="Z221" i="9"/>
  <c r="Z222" i="9"/>
  <c r="Z223" i="9"/>
  <c r="Z226" i="9"/>
  <c r="Z227" i="9"/>
  <c r="Z228" i="9"/>
  <c r="Z229" i="9"/>
  <c r="Z230" i="9"/>
  <c r="Z231" i="9"/>
  <c r="Z232" i="9"/>
  <c r="Z233" i="9"/>
  <c r="Z234" i="9"/>
  <c r="Z236" i="9"/>
  <c r="Z237" i="9"/>
  <c r="Z239" i="9"/>
  <c r="Z240" i="9"/>
  <c r="Z241" i="9"/>
  <c r="Z244" i="9"/>
  <c r="Z245" i="9"/>
  <c r="Z246" i="9"/>
  <c r="Z247" i="9"/>
  <c r="Z248" i="9"/>
  <c r="Z249" i="9"/>
  <c r="Z250" i="9"/>
  <c r="Z251" i="9"/>
  <c r="Z252" i="9"/>
  <c r="Z253" i="9"/>
  <c r="Z254" i="9"/>
  <c r="Z255" i="9"/>
  <c r="Z256" i="9"/>
  <c r="Z257" i="9"/>
  <c r="Z258" i="9"/>
  <c r="Z259" i="9"/>
  <c r="Z260" i="9"/>
  <c r="Z261" i="9"/>
  <c r="Z262" i="9"/>
  <c r="Z265" i="9"/>
  <c r="Z266" i="9"/>
  <c r="Z267" i="9"/>
  <c r="Z268" i="9"/>
  <c r="Z269" i="9"/>
  <c r="Z270" i="9"/>
  <c r="Z271" i="9"/>
  <c r="Z273" i="9"/>
  <c r="Z274" i="9"/>
  <c r="Z277" i="9"/>
  <c r="Z278" i="9"/>
  <c r="Z279" i="9"/>
  <c r="Z280" i="9"/>
  <c r="Z281" i="9"/>
  <c r="Z282" i="9"/>
  <c r="Z283" i="9"/>
  <c r="Z284" i="9"/>
  <c r="Z285" i="9"/>
  <c r="Z286" i="9"/>
  <c r="Z287" i="9"/>
  <c r="Z289" i="9"/>
  <c r="Z290" i="9"/>
  <c r="Z291" i="9"/>
  <c r="Z292" i="9"/>
  <c r="Z293" i="9"/>
  <c r="Z294" i="9"/>
  <c r="Z296" i="9"/>
  <c r="Z297" i="9"/>
  <c r="Z298" i="9"/>
  <c r="Z299" i="9"/>
  <c r="Z300" i="9"/>
  <c r="Z301" i="9"/>
  <c r="Z304" i="9"/>
  <c r="Z305" i="9"/>
  <c r="Z306" i="9"/>
  <c r="Z307" i="9"/>
  <c r="Z308" i="9"/>
  <c r="Z309" i="9"/>
  <c r="Z310" i="9"/>
  <c r="Z312" i="9"/>
  <c r="Z313" i="9"/>
  <c r="Z314" i="9"/>
  <c r="Z315" i="9"/>
  <c r="Z316" i="9"/>
  <c r="Z317" i="9"/>
  <c r="Z318" i="9"/>
  <c r="Z319" i="9"/>
  <c r="Z320" i="9"/>
  <c r="Z321" i="9"/>
  <c r="Z322" i="9"/>
  <c r="Z324" i="9"/>
  <c r="Z325" i="9"/>
  <c r="Z326" i="9"/>
  <c r="Z327" i="9"/>
  <c r="Z328" i="9"/>
  <c r="Z329" i="9"/>
  <c r="Z331" i="9"/>
  <c r="Z332" i="9"/>
  <c r="Z333" i="9"/>
  <c r="Z334" i="9"/>
  <c r="Z335" i="9"/>
  <c r="Z336" i="9"/>
  <c r="Z337" i="9"/>
  <c r="Z338" i="9"/>
  <c r="Z340" i="9"/>
  <c r="Z341" i="9"/>
  <c r="Z342" i="9"/>
  <c r="Z344" i="9"/>
  <c r="Z345" i="9"/>
  <c r="Z346" i="9"/>
  <c r="Z349" i="9"/>
  <c r="Z350" i="9"/>
  <c r="Z351" i="9"/>
  <c r="Z352" i="9"/>
  <c r="Z353" i="9"/>
  <c r="Z354" i="9"/>
  <c r="Z355" i="9"/>
  <c r="Z356" i="9"/>
  <c r="Z357" i="9"/>
  <c r="Z358" i="9"/>
  <c r="Z359" i="9"/>
  <c r="Z360" i="9"/>
  <c r="Z361" i="9"/>
  <c r="Z363" i="9"/>
  <c r="Z364" i="9"/>
  <c r="Z365" i="9"/>
  <c r="Z366" i="9"/>
  <c r="Z367" i="9"/>
  <c r="Z368" i="9"/>
  <c r="Z369" i="9"/>
  <c r="Z371" i="9"/>
  <c r="Z373" i="9"/>
  <c r="Z374" i="9"/>
  <c r="Z375" i="9"/>
  <c r="Z376" i="9"/>
  <c r="Z377" i="9"/>
  <c r="Z378" i="9"/>
  <c r="Z380" i="9"/>
  <c r="Z381" i="9"/>
  <c r="Z382" i="9"/>
  <c r="Z383" i="9"/>
  <c r="Z384" i="9"/>
  <c r="Z385" i="9"/>
  <c r="Z386" i="9"/>
  <c r="Z387" i="9"/>
  <c r="Z388" i="9"/>
  <c r="Z389" i="9"/>
  <c r="Z390" i="9"/>
  <c r="Z391" i="9"/>
  <c r="Z392" i="9"/>
  <c r="Z394" i="9"/>
  <c r="Z395" i="9"/>
  <c r="Z396" i="9"/>
  <c r="Z397" i="9"/>
  <c r="Z398" i="9"/>
  <c r="Z399" i="9"/>
  <c r="Z400" i="9"/>
  <c r="Z401" i="9"/>
  <c r="Z403" i="9"/>
  <c r="Z405" i="9"/>
  <c r="Z406" i="9"/>
  <c r="Z407" i="9"/>
  <c r="Z409" i="9"/>
  <c r="Z410" i="9"/>
  <c r="Z412" i="9"/>
  <c r="Z413" i="9"/>
  <c r="Z414" i="9"/>
  <c r="Z415" i="9"/>
  <c r="Z416" i="9"/>
  <c r="Z417" i="9"/>
  <c r="Z418" i="9"/>
  <c r="Z421" i="9"/>
  <c r="Z422" i="9"/>
  <c r="Z423" i="9"/>
  <c r="Z424" i="9"/>
  <c r="Z425" i="9"/>
  <c r="Z426" i="9"/>
  <c r="Z428" i="9"/>
  <c r="Z429" i="9"/>
  <c r="Z430" i="9"/>
  <c r="Z431" i="9"/>
  <c r="Z432" i="9"/>
  <c r="Z433" i="9"/>
  <c r="Z434" i="9"/>
  <c r="Z435" i="9"/>
  <c r="Z437" i="9"/>
  <c r="Z439" i="9"/>
  <c r="Z440" i="9"/>
  <c r="Z441" i="9"/>
  <c r="Z442" i="9"/>
  <c r="Z443" i="9"/>
  <c r="Z444" i="9"/>
  <c r="Z445" i="9"/>
  <c r="Z447" i="9"/>
  <c r="Z448" i="9"/>
  <c r="Z450" i="9"/>
  <c r="Z451" i="9"/>
  <c r="Z452" i="9"/>
  <c r="Z453" i="9"/>
  <c r="Z454" i="9"/>
  <c r="Z455" i="9"/>
  <c r="Z456" i="9"/>
  <c r="Z457" i="9"/>
  <c r="Z458" i="9"/>
  <c r="Z459" i="9"/>
  <c r="Z461" i="9"/>
  <c r="Z462" i="9"/>
  <c r="Z463" i="9"/>
  <c r="Z464" i="9"/>
  <c r="Z465" i="9"/>
  <c r="Z466" i="9"/>
  <c r="Z470" i="9"/>
  <c r="Z471" i="9"/>
  <c r="Z472" i="9"/>
  <c r="Z473" i="9"/>
  <c r="Z474" i="9"/>
  <c r="Z476" i="9"/>
  <c r="Z477" i="9"/>
  <c r="Z478" i="9"/>
  <c r="Z479" i="9"/>
  <c r="Z480" i="9"/>
  <c r="Z481" i="9"/>
  <c r="Z482" i="9"/>
  <c r="Z483" i="9"/>
  <c r="Z484" i="9"/>
  <c r="Z485" i="9"/>
  <c r="Z486" i="9"/>
  <c r="Z487" i="9"/>
  <c r="Z488" i="9"/>
  <c r="Z490" i="9"/>
  <c r="Z491" i="9"/>
  <c r="Z492" i="9"/>
  <c r="Z493" i="9"/>
  <c r="Z494" i="9"/>
  <c r="Z495" i="9"/>
  <c r="Z496" i="9"/>
  <c r="Z497" i="9"/>
  <c r="Z499" i="9"/>
  <c r="Z500" i="9"/>
  <c r="Z501" i="9"/>
  <c r="Z502" i="9"/>
  <c r="Z503" i="9"/>
  <c r="Z504" i="9"/>
  <c r="Z505" i="9"/>
  <c r="Z506" i="9"/>
  <c r="Z507" i="9"/>
  <c r="Z508" i="9"/>
  <c r="Z510" i="9"/>
  <c r="Z511" i="9"/>
  <c r="Z512" i="9"/>
  <c r="Z513" i="9"/>
  <c r="Z514" i="9"/>
  <c r="Z515" i="9"/>
  <c r="Z516" i="9"/>
  <c r="Z517" i="9"/>
  <c r="Z518" i="9"/>
  <c r="Z520" i="9"/>
  <c r="Z522" i="9"/>
  <c r="Z523" i="9"/>
  <c r="Z524" i="9"/>
  <c r="Z525" i="9"/>
  <c r="Z526" i="9"/>
  <c r="Z527" i="9"/>
  <c r="Z528" i="9"/>
  <c r="Z529" i="9"/>
  <c r="Z530" i="9"/>
  <c r="Z531" i="9"/>
  <c r="Z532" i="9"/>
  <c r="Z533" i="9"/>
  <c r="Z534" i="9"/>
  <c r="Z535" i="9"/>
  <c r="Z536" i="9"/>
  <c r="Z537" i="9"/>
  <c r="Z538" i="9"/>
  <c r="Z539" i="9"/>
  <c r="Z541" i="9"/>
  <c r="Z542" i="9"/>
  <c r="Z544" i="9"/>
  <c r="Z545" i="9"/>
  <c r="Z546" i="9"/>
  <c r="Z547" i="9"/>
  <c r="Z548" i="9"/>
  <c r="Z549" i="9"/>
  <c r="Z550" i="9"/>
  <c r="Z551" i="9"/>
  <c r="Z552" i="9"/>
  <c r="Z553" i="9"/>
  <c r="Z554" i="9"/>
  <c r="Z555" i="9"/>
  <c r="Z556" i="9"/>
  <c r="Z557" i="9"/>
  <c r="Z558" i="9"/>
  <c r="Z559" i="9"/>
  <c r="Z560" i="9"/>
  <c r="Z561" i="9"/>
  <c r="Z564" i="9"/>
  <c r="Z565" i="9"/>
  <c r="Z566" i="9"/>
  <c r="Z567" i="9"/>
  <c r="Z569" i="9"/>
  <c r="Z570" i="9"/>
  <c r="Z572" i="9"/>
  <c r="Z573" i="9"/>
  <c r="Z574" i="9"/>
  <c r="Z575" i="9"/>
  <c r="Z577" i="9"/>
  <c r="Z579" i="9"/>
  <c r="Z580" i="9"/>
  <c r="Z582" i="9"/>
  <c r="Z583" i="9"/>
  <c r="Z586" i="9"/>
  <c r="Z587" i="9"/>
  <c r="Z588" i="9"/>
  <c r="Z589" i="9"/>
  <c r="Z590" i="9"/>
  <c r="Z591" i="9"/>
  <c r="Z593" i="9"/>
  <c r="Z595" i="9"/>
  <c r="Z596" i="9"/>
  <c r="Z597" i="9"/>
  <c r="Z598" i="9"/>
  <c r="Z599" i="9"/>
  <c r="Z601" i="9"/>
  <c r="Z602" i="9"/>
  <c r="Z603" i="9"/>
  <c r="Z604" i="9"/>
  <c r="Z606" i="9"/>
  <c r="Z608" i="9"/>
  <c r="Z609" i="9"/>
  <c r="Z610" i="9"/>
  <c r="Z611" i="9"/>
  <c r="Z612" i="9"/>
  <c r="Z613" i="9"/>
  <c r="Z616" i="9"/>
  <c r="Z617" i="9"/>
  <c r="Z618" i="9"/>
  <c r="Z619" i="9"/>
  <c r="Z620" i="9"/>
  <c r="Z621" i="9"/>
  <c r="Z622" i="9"/>
  <c r="Z624" i="9"/>
  <c r="Z625" i="9"/>
  <c r="Z627" i="9"/>
  <c r="Z628" i="9"/>
  <c r="Z629" i="9"/>
  <c r="Z630" i="9"/>
  <c r="Z631" i="9"/>
  <c r="Z632" i="9"/>
  <c r="Z633" i="9"/>
  <c r="Z634" i="9"/>
  <c r="Z635" i="9"/>
  <c r="Z636" i="9"/>
  <c r="Z638" i="9"/>
  <c r="Z639" i="9"/>
  <c r="Z640" i="9"/>
  <c r="Z641" i="9"/>
  <c r="Z642" i="9"/>
  <c r="Z643" i="9"/>
  <c r="Z644" i="9"/>
  <c r="Z645" i="9"/>
  <c r="Z646" i="9"/>
  <c r="Z647" i="9"/>
  <c r="Z648" i="9"/>
  <c r="Z651" i="9"/>
  <c r="Z652" i="9"/>
  <c r="Z653" i="9"/>
  <c r="Z654" i="9"/>
  <c r="Z655" i="9"/>
  <c r="Z656" i="9"/>
  <c r="Z657" i="9"/>
  <c r="Z661" i="9"/>
  <c r="Z662" i="9"/>
  <c r="Z663" i="9"/>
  <c r="Z664" i="9"/>
  <c r="Z665" i="9"/>
  <c r="Z666" i="9"/>
  <c r="Z667" i="9"/>
  <c r="Z668" i="9"/>
  <c r="Z669" i="9"/>
  <c r="Z670" i="9"/>
  <c r="Z671" i="9"/>
  <c r="Z672" i="9"/>
  <c r="Z673" i="9"/>
  <c r="Z674" i="9"/>
  <c r="Z676" i="9"/>
  <c r="Z677" i="9"/>
  <c r="Z678" i="9"/>
  <c r="Z679" i="9"/>
  <c r="Z680" i="9"/>
  <c r="Z681" i="9"/>
  <c r="Z683" i="9"/>
  <c r="Z684" i="9"/>
  <c r="Z685" i="9"/>
  <c r="Z686" i="9"/>
  <c r="Z687" i="9"/>
  <c r="Z688" i="9"/>
  <c r="Z690" i="9"/>
  <c r="Z691" i="9"/>
  <c r="Z692" i="9"/>
  <c r="Z694" i="9"/>
  <c r="Z695" i="9"/>
  <c r="Z697" i="9"/>
  <c r="Z698" i="9"/>
  <c r="Z699" i="9"/>
  <c r="Z700" i="9"/>
  <c r="Z701" i="9"/>
  <c r="Z702" i="9"/>
  <c r="Z704" i="9"/>
  <c r="Z705" i="9"/>
  <c r="Z706" i="9"/>
  <c r="Z707" i="9"/>
  <c r="Z708" i="9"/>
  <c r="Z711" i="9"/>
  <c r="Z712" i="9"/>
  <c r="Z713" i="9"/>
  <c r="Z714" i="9"/>
  <c r="Z715" i="9"/>
  <c r="Z716" i="9"/>
  <c r="Z718" i="9"/>
  <c r="Z719" i="9"/>
  <c r="Z720" i="9"/>
  <c r="Z721" i="9"/>
  <c r="Z722" i="9"/>
  <c r="Z723" i="9"/>
  <c r="Z725" i="9"/>
  <c r="Z726" i="9"/>
  <c r="Z727" i="9"/>
  <c r="Z728" i="9"/>
  <c r="Z729" i="9"/>
  <c r="Z730" i="9"/>
  <c r="Z732" i="9"/>
  <c r="Z733" i="9"/>
  <c r="Z735" i="9"/>
  <c r="Z736" i="9"/>
  <c r="Z737" i="9"/>
  <c r="Z738" i="9"/>
  <c r="Z739" i="9"/>
  <c r="Z740" i="9"/>
  <c r="Z741" i="9"/>
  <c r="Z742" i="9"/>
  <c r="Z743" i="9"/>
  <c r="Z745" i="9"/>
  <c r="Z746" i="9"/>
  <c r="Z747" i="9"/>
  <c r="Z748" i="9"/>
  <c r="Z749" i="9"/>
  <c r="Z750" i="9"/>
  <c r="Z751" i="9"/>
  <c r="Z752" i="9"/>
  <c r="Z753" i="9"/>
  <c r="Z754" i="9"/>
  <c r="Z755" i="9"/>
  <c r="Z757" i="9"/>
  <c r="Z758" i="9"/>
  <c r="Z759" i="9"/>
  <c r="Z760" i="9"/>
  <c r="Z761" i="9"/>
  <c r="Z762" i="9"/>
  <c r="Z763" i="9"/>
  <c r="Z766" i="9"/>
  <c r="Z767" i="9"/>
  <c r="Z768" i="9"/>
  <c r="Z769" i="9"/>
  <c r="Z771" i="9"/>
  <c r="Z772" i="9"/>
  <c r="Z773" i="9"/>
  <c r="Z774" i="9"/>
  <c r="Z775" i="9"/>
  <c r="Z776" i="9"/>
  <c r="Z777" i="9"/>
  <c r="Z778" i="9"/>
  <c r="Z779" i="9"/>
  <c r="Z780" i="9"/>
  <c r="Z782" i="9"/>
  <c r="Z783" i="9"/>
  <c r="Z784" i="9"/>
  <c r="Z785" i="9"/>
  <c r="Z786" i="9"/>
  <c r="Z787" i="9"/>
  <c r="Z788" i="9"/>
  <c r="Z789" i="9"/>
  <c r="Z790" i="9"/>
  <c r="Z791" i="9"/>
  <c r="Z792" i="9"/>
  <c r="Z793" i="9"/>
  <c r="Z794" i="9"/>
  <c r="Z795" i="9"/>
  <c r="Z796" i="9"/>
  <c r="Z797" i="9"/>
  <c r="Z798" i="9"/>
  <c r="Z799" i="9"/>
  <c r="Z800" i="9"/>
  <c r="Z802" i="9"/>
  <c r="Z804" i="9"/>
  <c r="Z805" i="9"/>
  <c r="Z806" i="9"/>
  <c r="Z807" i="9"/>
  <c r="Z808" i="9"/>
  <c r="Z809" i="9"/>
  <c r="Z810" i="9"/>
  <c r="Z811" i="9"/>
  <c r="Z812" i="9"/>
  <c r="Z813" i="9"/>
  <c r="Z814" i="9"/>
  <c r="Z816" i="9"/>
  <c r="Z817" i="9"/>
  <c r="Z818" i="9"/>
  <c r="Z819" i="9"/>
  <c r="Z821" i="9"/>
  <c r="Z822" i="9"/>
  <c r="Z823" i="9"/>
  <c r="Z824" i="9"/>
  <c r="Z825" i="9"/>
  <c r="Z826" i="9"/>
  <c r="Z827" i="9"/>
  <c r="Z828" i="9"/>
  <c r="Z830" i="9"/>
  <c r="Z831" i="9"/>
  <c r="Z832" i="9"/>
  <c r="Z833" i="9"/>
  <c r="Z835" i="9"/>
  <c r="Z836" i="9"/>
  <c r="Z838" i="9"/>
  <c r="Z839" i="9"/>
  <c r="Z840" i="9"/>
  <c r="Z841" i="9"/>
  <c r="Z842" i="9"/>
  <c r="Z843" i="9"/>
  <c r="Z844" i="9"/>
  <c r="Z845" i="9"/>
  <c r="Z846" i="9"/>
  <c r="Z847" i="9"/>
  <c r="Z848" i="9"/>
  <c r="Z849" i="9"/>
  <c r="Z851" i="9"/>
  <c r="Z852" i="9"/>
  <c r="Z853" i="9"/>
  <c r="Z854" i="9"/>
  <c r="Z855" i="9"/>
  <c r="Z856" i="9"/>
  <c r="Z857" i="9"/>
  <c r="Z858" i="9"/>
  <c r="Z859" i="9"/>
  <c r="Z860" i="9"/>
  <c r="Z861" i="9"/>
  <c r="Z863" i="9"/>
  <c r="Z865" i="9"/>
  <c r="Z866" i="9"/>
  <c r="Z867" i="9"/>
  <c r="Z869" i="9"/>
  <c r="Z870" i="9"/>
  <c r="Z871" i="9"/>
  <c r="Z872" i="9"/>
  <c r="Z873" i="9"/>
  <c r="Z875" i="9"/>
  <c r="Z876" i="9"/>
  <c r="Z877" i="9"/>
  <c r="Z878" i="9"/>
  <c r="Z879" i="9"/>
  <c r="Z880" i="9"/>
  <c r="Z882" i="9"/>
  <c r="Z884" i="9"/>
  <c r="Z885" i="9"/>
  <c r="Z886" i="9"/>
  <c r="Z888" i="9"/>
  <c r="Z889" i="9"/>
  <c r="Z891" i="9"/>
  <c r="Z892" i="9"/>
  <c r="Z893" i="9"/>
  <c r="Z894" i="9"/>
  <c r="Z896" i="9"/>
  <c r="Z897" i="9"/>
  <c r="Z898" i="9"/>
  <c r="Z899" i="9"/>
  <c r="Z900" i="9"/>
  <c r="Z901" i="9"/>
  <c r="Z902" i="9"/>
  <c r="Z904" i="9"/>
  <c r="Z905" i="9"/>
  <c r="Z906" i="9"/>
  <c r="Z907" i="9"/>
  <c r="Z908" i="9"/>
  <c r="Z909" i="9"/>
  <c r="Z911" i="9"/>
  <c r="Z913" i="9"/>
  <c r="Z914" i="9"/>
  <c r="Z915" i="9"/>
  <c r="Z917" i="9"/>
  <c r="Z918" i="9"/>
  <c r="Z919" i="9"/>
  <c r="Z920" i="9"/>
  <c r="Z921" i="9"/>
  <c r="Z923" i="9"/>
  <c r="Z924" i="9"/>
  <c r="Z926" i="9"/>
  <c r="Z928" i="9"/>
  <c r="Z930" i="9"/>
  <c r="Z931" i="9"/>
  <c r="Z932" i="9"/>
  <c r="Z933" i="9"/>
  <c r="Z934" i="9"/>
  <c r="Z935" i="9"/>
  <c r="Z937" i="9"/>
  <c r="Z938" i="9"/>
  <c r="Z939" i="9"/>
  <c r="Z941" i="9"/>
  <c r="Z942" i="9"/>
  <c r="Z944" i="9"/>
  <c r="Z945" i="9"/>
  <c r="Z946" i="9"/>
  <c r="Z947" i="9"/>
  <c r="Z948" i="9"/>
  <c r="Z949" i="9"/>
  <c r="Z951" i="9"/>
  <c r="Z952" i="9"/>
  <c r="Z953" i="9"/>
  <c r="Z954" i="9"/>
  <c r="Z955" i="9"/>
  <c r="Z956" i="9"/>
  <c r="Z958" i="9"/>
  <c r="Z959" i="9"/>
  <c r="Z960" i="9"/>
  <c r="Z961" i="9"/>
  <c r="Z962" i="9"/>
  <c r="Z963" i="9"/>
  <c r="Z964" i="9"/>
  <c r="Z965" i="9"/>
  <c r="Z966" i="9"/>
  <c r="Z967" i="9"/>
  <c r="Z968" i="9"/>
  <c r="Z970" i="9"/>
  <c r="Z971" i="9"/>
  <c r="Z972" i="9"/>
  <c r="Z973" i="9"/>
  <c r="Z974" i="9"/>
  <c r="Z976" i="9"/>
  <c r="Z977" i="9"/>
  <c r="Z978" i="9"/>
  <c r="Z979" i="9"/>
  <c r="Z980" i="9"/>
  <c r="Z982" i="9"/>
  <c r="Z983" i="9"/>
  <c r="Z984" i="9"/>
  <c r="Z985" i="9"/>
  <c r="Z986" i="9"/>
  <c r="Z987" i="9"/>
  <c r="Z988" i="9"/>
  <c r="Z989" i="9"/>
  <c r="Z990" i="9"/>
  <c r="Z991" i="9"/>
  <c r="Z993" i="9"/>
  <c r="Z994" i="9"/>
  <c r="Z995" i="9"/>
  <c r="Z996" i="9"/>
  <c r="Z997" i="9"/>
  <c r="Z998" i="9"/>
  <c r="Z999" i="9"/>
  <c r="Z1000" i="9"/>
  <c r="Z1002" i="9"/>
  <c r="Z1003" i="9"/>
  <c r="Z1004" i="9"/>
  <c r="Z1005" i="9"/>
  <c r="Z1006" i="9"/>
  <c r="Z1008" i="9"/>
  <c r="Z1010" i="9"/>
  <c r="Z1011" i="9"/>
  <c r="Z1012" i="9"/>
  <c r="Z1013" i="9"/>
  <c r="Z1014" i="9"/>
  <c r="Z1015" i="9"/>
  <c r="Z1016" i="9"/>
  <c r="Z1017" i="9"/>
  <c r="Z1019" i="9"/>
  <c r="Z1020" i="9"/>
  <c r="Z1021" i="9"/>
  <c r="Z1022" i="9"/>
  <c r="Z1023" i="9"/>
  <c r="Z1024" i="9"/>
  <c r="Z1025" i="9"/>
  <c r="Z1026" i="9"/>
  <c r="Z1027" i="9"/>
  <c r="Z1028" i="9"/>
  <c r="Z1029" i="9"/>
  <c r="Z1030" i="9"/>
  <c r="Z1032" i="9"/>
  <c r="Z1035" i="9"/>
  <c r="Z1037" i="9"/>
  <c r="Z1038" i="9"/>
  <c r="Z1039" i="9"/>
  <c r="Z1040" i="9"/>
  <c r="Z1041" i="9"/>
  <c r="Z1042" i="9"/>
  <c r="Z1043" i="9"/>
  <c r="Z1044" i="9"/>
  <c r="Z1045" i="9"/>
  <c r="Z1046" i="9"/>
  <c r="Z1047" i="9"/>
  <c r="Z1048" i="9"/>
  <c r="Z1050" i="9"/>
  <c r="Z1051" i="9"/>
  <c r="Z1052" i="9"/>
  <c r="Z1053" i="9"/>
  <c r="Z1055" i="9"/>
  <c r="Z1056" i="9"/>
  <c r="Z1057" i="9"/>
  <c r="Z1058" i="9"/>
  <c r="Z1059" i="9"/>
  <c r="Z1060" i="9"/>
  <c r="Z1061" i="9"/>
  <c r="Z1062" i="9"/>
  <c r="Z1063" i="9"/>
  <c r="Z1064" i="9"/>
  <c r="Z1065" i="9"/>
  <c r="Z1067" i="9"/>
  <c r="Z1069" i="9"/>
  <c r="Z1070" i="9"/>
  <c r="Z1071" i="9"/>
  <c r="Z1072" i="9"/>
  <c r="Z1073" i="9"/>
  <c r="Z1075" i="9"/>
  <c r="Z1076" i="9"/>
  <c r="Z1077" i="9"/>
  <c r="Z1078" i="9"/>
  <c r="Z1080" i="9"/>
  <c r="Z1081" i="9"/>
  <c r="Z1082" i="9"/>
  <c r="Z1083" i="9"/>
  <c r="Z1084" i="9"/>
  <c r="Z1086" i="9"/>
  <c r="Z1087" i="9"/>
  <c r="Z1088" i="9"/>
  <c r="Z1089" i="9"/>
  <c r="Z1090" i="9"/>
  <c r="Z1091" i="9"/>
  <c r="Z1092" i="9"/>
  <c r="Z1093" i="9"/>
  <c r="Z1094" i="9"/>
  <c r="Z1095" i="9"/>
  <c r="Z1096" i="9"/>
  <c r="Z1097" i="9"/>
  <c r="Z1099" i="9"/>
  <c r="Z1100" i="9"/>
  <c r="Z1101" i="9"/>
  <c r="Z1102" i="9"/>
  <c r="Z1103" i="9"/>
  <c r="Z1104" i="9"/>
  <c r="Z1105" i="9"/>
  <c r="Z1106" i="9"/>
  <c r="Z1107" i="9"/>
  <c r="Z1108" i="9"/>
  <c r="Z1110" i="9"/>
  <c r="Z1111" i="9"/>
  <c r="Z1112" i="9"/>
  <c r="Z1113" i="9"/>
  <c r="Z1114" i="9"/>
  <c r="Z1115" i="9"/>
  <c r="Z1116" i="9"/>
  <c r="Z1117" i="9"/>
  <c r="Z1119" i="9"/>
  <c r="Z1120" i="9"/>
  <c r="Z1121" i="9"/>
  <c r="Z1122" i="9"/>
  <c r="Z1124" i="9"/>
  <c r="Z1125" i="9"/>
  <c r="Z1126" i="9"/>
  <c r="Z1127" i="9"/>
  <c r="Z1128" i="9"/>
  <c r="Z1129" i="9"/>
  <c r="Z1130" i="9"/>
  <c r="Z1131" i="9"/>
  <c r="Z1132" i="9"/>
  <c r="Z1133" i="9"/>
  <c r="Z1134" i="9"/>
  <c r="Z1135" i="9"/>
  <c r="Z1136" i="9"/>
  <c r="Z1137" i="9"/>
  <c r="Z1138" i="9"/>
  <c r="Z1139" i="9"/>
  <c r="Z1140" i="9"/>
  <c r="Z1141" i="9"/>
  <c r="Z1143" i="9"/>
  <c r="Z1145" i="9"/>
  <c r="Z1146" i="9"/>
  <c r="Z1147" i="9"/>
  <c r="Z1149" i="9"/>
  <c r="Z1150" i="9"/>
  <c r="Z1151" i="9"/>
  <c r="Z1152" i="9"/>
  <c r="Z1153" i="9"/>
  <c r="Z1154" i="9"/>
  <c r="Z1155" i="9"/>
  <c r="Z1156" i="9"/>
  <c r="Z1157" i="9"/>
  <c r="Z1158" i="9"/>
  <c r="Z1159" i="9"/>
  <c r="Z1160" i="9"/>
  <c r="Z1161" i="9"/>
  <c r="Z1162" i="9"/>
  <c r="Z1164" i="9"/>
  <c r="Z1165" i="9"/>
  <c r="Z1166" i="9"/>
  <c r="Z1167" i="9"/>
  <c r="Z1168" i="9"/>
  <c r="Z1169" i="9"/>
  <c r="Z1170" i="9"/>
  <c r="Z1171" i="9"/>
  <c r="Z1172" i="9"/>
  <c r="Z1173" i="9"/>
  <c r="Z1174" i="9"/>
  <c r="Z1175" i="9"/>
  <c r="Z1177" i="9"/>
  <c r="Z1178" i="9"/>
  <c r="Z1180" i="9"/>
  <c r="Z1181" i="9"/>
  <c r="Z1182" i="9"/>
  <c r="Z1183" i="9"/>
  <c r="Z1184" i="9"/>
  <c r="Z1185" i="9"/>
  <c r="Z1187" i="9"/>
  <c r="Z1188" i="9"/>
  <c r="Z1189" i="9"/>
  <c r="Z1190" i="9"/>
  <c r="Z1191" i="9"/>
  <c r="Z1192" i="9"/>
  <c r="Z1193" i="9"/>
  <c r="Z1195" i="9"/>
  <c r="Z1196" i="9"/>
  <c r="Z1197" i="9"/>
  <c r="Z1198" i="9"/>
  <c r="Z1199" i="9"/>
  <c r="Z1200" i="9"/>
  <c r="Z1201" i="9"/>
  <c r="Z1202" i="9"/>
  <c r="Z1204" i="9"/>
  <c r="Z1205" i="9"/>
  <c r="Z1206" i="9"/>
  <c r="Z1207" i="9"/>
  <c r="Z1208" i="9"/>
  <c r="Z1209" i="9"/>
  <c r="Z1210" i="9"/>
  <c r="Z1213" i="9"/>
  <c r="Z1214" i="9"/>
  <c r="Z1215" i="9"/>
  <c r="Z1216" i="9"/>
  <c r="Z1217" i="9"/>
  <c r="Z1218" i="9"/>
  <c r="Z1219" i="9"/>
  <c r="Z1220" i="9"/>
  <c r="Z1221" i="9"/>
  <c r="Z1222" i="9"/>
  <c r="Z1223" i="9"/>
  <c r="Z1225" i="9"/>
  <c r="Z1227" i="9"/>
  <c r="Z1230" i="9"/>
  <c r="Z1231" i="9"/>
  <c r="Z1232" i="9"/>
  <c r="Z1233" i="9"/>
  <c r="Z1234" i="9"/>
  <c r="Z1235" i="9"/>
  <c r="Z1236" i="9"/>
  <c r="Z1238" i="9"/>
  <c r="Z1239" i="9"/>
  <c r="Z1240" i="9"/>
  <c r="Z1241" i="9"/>
  <c r="Z1242" i="9"/>
  <c r="Z1243" i="9"/>
  <c r="AA13" i="9"/>
  <c r="AA14" i="9"/>
  <c r="AA15" i="9"/>
  <c r="AA16" i="9"/>
  <c r="AA17" i="9"/>
  <c r="AA19" i="9"/>
  <c r="AA20" i="9"/>
  <c r="AA22" i="9"/>
  <c r="AA23" i="9"/>
  <c r="AA24" i="9"/>
  <c r="AA25" i="9"/>
  <c r="AA26" i="9"/>
  <c r="AA27" i="9"/>
  <c r="AA30" i="9"/>
  <c r="AA31" i="9"/>
  <c r="AA33" i="9"/>
  <c r="AA34" i="9"/>
  <c r="AA35" i="9"/>
  <c r="AA36" i="9"/>
  <c r="AA37" i="9"/>
  <c r="AA38" i="9"/>
  <c r="AA40" i="9"/>
  <c r="AA42" i="9"/>
  <c r="AA43" i="9"/>
  <c r="AA44" i="9"/>
  <c r="AA45" i="9"/>
  <c r="AA47" i="9"/>
  <c r="AA48" i="9"/>
  <c r="AA49" i="9"/>
  <c r="AA52" i="9"/>
  <c r="AA53" i="9"/>
  <c r="AA54" i="9"/>
  <c r="AA55" i="9"/>
  <c r="AA56" i="9"/>
  <c r="AA57" i="9"/>
  <c r="AA58" i="9"/>
  <c r="AA59" i="9"/>
  <c r="AA62" i="9"/>
  <c r="AA63" i="9"/>
  <c r="AA64" i="9"/>
  <c r="AA65" i="9"/>
  <c r="AA66" i="9"/>
  <c r="AA67" i="9"/>
  <c r="AA68" i="9"/>
  <c r="AA69" i="9"/>
  <c r="AA71" i="9"/>
  <c r="AA74" i="9"/>
  <c r="AA75" i="9"/>
  <c r="AA76" i="9"/>
  <c r="AA78" i="9"/>
  <c r="AA79" i="9"/>
  <c r="AA80" i="9"/>
  <c r="AA81" i="9"/>
  <c r="AA82" i="9"/>
  <c r="AA83" i="9"/>
  <c r="AA84" i="9"/>
  <c r="AA85" i="9"/>
  <c r="AA86" i="9"/>
  <c r="AA87" i="9"/>
  <c r="AA88" i="9"/>
  <c r="AA89" i="9"/>
  <c r="AA90" i="9"/>
  <c r="AA91" i="9"/>
  <c r="AA93" i="9"/>
  <c r="AA94" i="9"/>
  <c r="AA95" i="9"/>
  <c r="AA96" i="9"/>
  <c r="AA97" i="9"/>
  <c r="AA100" i="9"/>
  <c r="AA102" i="9"/>
  <c r="AA103" i="9"/>
  <c r="AA104" i="9"/>
  <c r="AA105" i="9"/>
  <c r="AA106" i="9"/>
  <c r="AA108" i="9"/>
  <c r="AA109" i="9"/>
  <c r="AA110" i="9"/>
  <c r="AA111" i="9"/>
  <c r="AA112" i="9"/>
  <c r="AA114" i="9"/>
  <c r="AA115" i="9"/>
  <c r="AA116" i="9"/>
  <c r="AA119" i="9"/>
  <c r="AA120" i="9"/>
  <c r="AA122" i="9"/>
  <c r="AA123" i="9"/>
  <c r="AA124" i="9"/>
  <c r="AA125" i="9"/>
  <c r="AA126" i="9"/>
  <c r="AA127" i="9"/>
  <c r="AA129" i="9"/>
  <c r="AA130" i="9"/>
  <c r="AA131" i="9"/>
  <c r="AA132" i="9"/>
  <c r="AA133" i="9"/>
  <c r="AA135" i="9"/>
  <c r="AA136" i="9"/>
  <c r="AA137" i="9"/>
  <c r="AA139" i="9"/>
  <c r="AA140" i="9"/>
  <c r="AA141" i="9"/>
  <c r="AA143" i="9"/>
  <c r="AA144" i="9"/>
  <c r="AA145" i="9"/>
  <c r="AA146" i="9"/>
  <c r="AA147" i="9"/>
  <c r="AA148" i="9"/>
  <c r="AA149" i="9"/>
  <c r="AA150" i="9"/>
  <c r="AA151" i="9"/>
  <c r="AA152" i="9"/>
  <c r="AA153" i="9"/>
  <c r="AA154" i="9"/>
  <c r="AA155" i="9"/>
  <c r="AA156" i="9"/>
  <c r="AA157" i="9"/>
  <c r="AA158" i="9"/>
  <c r="AA159" i="9"/>
  <c r="AA160" i="9"/>
  <c r="AA161" i="9"/>
  <c r="AA163" i="9"/>
  <c r="AA164" i="9"/>
  <c r="AA165" i="9"/>
  <c r="AA167" i="9"/>
  <c r="AA168" i="9"/>
  <c r="AA169" i="9"/>
  <c r="AA171" i="9"/>
  <c r="AA172" i="9"/>
  <c r="AA173" i="9"/>
  <c r="AA175" i="9"/>
  <c r="AA176" i="9"/>
  <c r="AA177" i="9"/>
  <c r="AA178" i="9"/>
  <c r="AA179" i="9"/>
  <c r="AA180" i="9"/>
  <c r="AA181" i="9"/>
  <c r="AA183" i="9"/>
  <c r="AA184" i="9"/>
  <c r="AA185" i="9"/>
  <c r="AA187" i="9"/>
  <c r="AA188" i="9"/>
  <c r="AA189" i="9"/>
  <c r="AA190" i="9"/>
  <c r="AA191" i="9"/>
  <c r="AA192" i="9"/>
  <c r="AA193" i="9"/>
  <c r="AA194" i="9"/>
  <c r="AA195" i="9"/>
  <c r="AA196" i="9"/>
  <c r="AA197" i="9"/>
  <c r="AA198" i="9"/>
  <c r="AA199" i="9"/>
  <c r="AA202" i="9"/>
  <c r="AA203" i="9"/>
  <c r="AA204" i="9"/>
  <c r="AA205" i="9"/>
  <c r="AA206" i="9"/>
  <c r="AA207" i="9"/>
  <c r="AA208" i="9"/>
  <c r="AA210" i="9"/>
  <c r="AA211" i="9"/>
  <c r="AA213" i="9"/>
  <c r="AA214" i="9"/>
  <c r="AA215" i="9"/>
  <c r="AA216" i="9"/>
  <c r="AA217" i="9"/>
  <c r="AA219" i="9"/>
  <c r="AA220" i="9"/>
  <c r="AA221" i="9"/>
  <c r="AA222" i="9"/>
  <c r="AA223" i="9"/>
  <c r="AA226" i="9"/>
  <c r="AA227" i="9"/>
  <c r="AA228" i="9"/>
  <c r="AA229" i="9"/>
  <c r="AA230" i="9"/>
  <c r="AA231" i="9"/>
  <c r="AA232" i="9"/>
  <c r="AA233" i="9"/>
  <c r="AA234" i="9"/>
  <c r="AA236" i="9"/>
  <c r="AA237" i="9"/>
  <c r="AA239" i="9"/>
  <c r="AA240" i="9"/>
  <c r="AA241" i="9"/>
  <c r="AA244" i="9"/>
  <c r="AA245" i="9"/>
  <c r="AA246" i="9"/>
  <c r="AA247" i="9"/>
  <c r="AA248" i="9"/>
  <c r="AA249" i="9"/>
  <c r="AA250" i="9"/>
  <c r="AA252" i="9"/>
  <c r="AA253" i="9"/>
  <c r="AA254" i="9"/>
  <c r="AA255" i="9"/>
  <c r="AA256" i="9"/>
  <c r="AA257" i="9"/>
  <c r="AA258" i="9"/>
  <c r="AA259" i="9"/>
  <c r="AA260" i="9"/>
  <c r="AA261" i="9"/>
  <c r="AA262" i="9"/>
  <c r="AA265" i="9"/>
  <c r="AA266" i="9"/>
  <c r="AA267" i="9"/>
  <c r="AA268" i="9"/>
  <c r="AA269" i="9"/>
  <c r="AA270" i="9"/>
  <c r="AA271" i="9"/>
  <c r="AA273" i="9"/>
  <c r="AA274" i="9"/>
  <c r="AA277" i="9"/>
  <c r="AA278" i="9"/>
  <c r="AA279" i="9"/>
  <c r="AA280" i="9"/>
  <c r="AA281" i="9"/>
  <c r="AA282" i="9"/>
  <c r="AA283" i="9"/>
  <c r="AA284" i="9"/>
  <c r="AA285" i="9"/>
  <c r="AA286" i="9"/>
  <c r="AA287" i="9"/>
  <c r="AA289" i="9"/>
  <c r="AA290" i="9"/>
  <c r="AA291" i="9"/>
  <c r="AA292" i="9"/>
  <c r="AA293" i="9"/>
  <c r="AA294" i="9"/>
  <c r="AA296" i="9"/>
  <c r="AA297" i="9"/>
  <c r="AA298" i="9"/>
  <c r="AA299" i="9"/>
  <c r="AA300" i="9"/>
  <c r="AA301" i="9"/>
  <c r="AA304" i="9"/>
  <c r="AA305" i="9"/>
  <c r="AA306" i="9"/>
  <c r="AA307" i="9"/>
  <c r="AA308" i="9"/>
  <c r="AA309" i="9"/>
  <c r="AA310" i="9"/>
  <c r="AA312" i="9"/>
  <c r="AA313" i="9"/>
  <c r="AA314" i="9"/>
  <c r="AA315" i="9"/>
  <c r="AA316" i="9"/>
  <c r="AA317" i="9"/>
  <c r="AA318" i="9"/>
  <c r="AA319" i="9"/>
  <c r="AA320" i="9"/>
  <c r="AA321" i="9"/>
  <c r="AA322" i="9"/>
  <c r="AA324" i="9"/>
  <c r="AA325" i="9"/>
  <c r="AA326" i="9"/>
  <c r="AA327" i="9"/>
  <c r="AA328" i="9"/>
  <c r="AA329" i="9"/>
  <c r="AA331" i="9"/>
  <c r="AA332" i="9"/>
  <c r="AA333" i="9"/>
  <c r="AA334" i="9"/>
  <c r="AA335" i="9"/>
  <c r="AA336" i="9"/>
  <c r="AA337" i="9"/>
  <c r="AA338" i="9"/>
  <c r="AA340" i="9"/>
  <c r="AA341" i="9"/>
  <c r="AA342" i="9"/>
  <c r="AA344" i="9"/>
  <c r="AA345" i="9"/>
  <c r="AA346" i="9"/>
  <c r="AA349" i="9"/>
  <c r="AA350" i="9"/>
  <c r="AA351" i="9"/>
  <c r="AA352" i="9"/>
  <c r="AA353" i="9"/>
  <c r="AA354" i="9"/>
  <c r="AA355" i="9"/>
  <c r="AA356" i="9"/>
  <c r="AA357" i="9"/>
  <c r="AA358" i="9"/>
  <c r="AA359" i="9"/>
  <c r="AA360" i="9"/>
  <c r="AA361" i="9"/>
  <c r="AA363" i="9"/>
  <c r="AA364" i="9"/>
  <c r="AA365" i="9"/>
  <c r="AA366" i="9"/>
  <c r="AA367" i="9"/>
  <c r="AA368" i="9"/>
  <c r="AA369" i="9"/>
  <c r="AA371" i="9"/>
  <c r="AA373" i="9"/>
  <c r="AA374" i="9"/>
  <c r="AA375" i="9"/>
  <c r="AA376" i="9"/>
  <c r="AA377" i="9"/>
  <c r="AA378" i="9"/>
  <c r="AA380" i="9"/>
  <c r="AA381" i="9"/>
  <c r="AA382" i="9"/>
  <c r="AA383" i="9"/>
  <c r="AA384" i="9"/>
  <c r="AA385" i="9"/>
  <c r="AA386" i="9"/>
  <c r="AA387" i="9"/>
  <c r="AA388" i="9"/>
  <c r="AA389" i="9"/>
  <c r="AA390" i="9"/>
  <c r="AA391" i="9"/>
  <c r="AA392" i="9"/>
  <c r="AA394" i="9"/>
  <c r="AA395" i="9"/>
  <c r="AA396" i="9"/>
  <c r="AA397" i="9"/>
  <c r="AA398" i="9"/>
  <c r="AA399" i="9"/>
  <c r="AA400" i="9"/>
  <c r="AA401" i="9"/>
  <c r="AA403" i="9"/>
  <c r="AA405" i="9"/>
  <c r="AA406" i="9"/>
  <c r="AA407" i="9"/>
  <c r="AA409" i="9"/>
  <c r="AA410" i="9"/>
  <c r="AA412" i="9"/>
  <c r="AA413" i="9"/>
  <c r="AA414" i="9"/>
  <c r="AA415" i="9"/>
  <c r="AA416" i="9"/>
  <c r="AA417" i="9"/>
  <c r="AA418" i="9"/>
  <c r="AA421" i="9"/>
  <c r="AA422" i="9"/>
  <c r="AA423" i="9"/>
  <c r="AA424" i="9"/>
  <c r="AA425" i="9"/>
  <c r="AA426" i="9"/>
  <c r="AA428" i="9"/>
  <c r="AA429" i="9"/>
  <c r="AA430" i="9"/>
  <c r="AA431" i="9"/>
  <c r="AA432" i="9"/>
  <c r="AA433" i="9"/>
  <c r="AA434" i="9"/>
  <c r="AA435" i="9"/>
  <c r="AA437" i="9"/>
  <c r="AA439" i="9"/>
  <c r="AA440" i="9"/>
  <c r="AA441" i="9"/>
  <c r="AA442" i="9"/>
  <c r="AA443" i="9"/>
  <c r="AA444" i="9"/>
  <c r="AA445" i="9"/>
  <c r="AA447" i="9"/>
  <c r="AA448" i="9"/>
  <c r="AA450" i="9"/>
  <c r="AA451" i="9"/>
  <c r="AA452" i="9"/>
  <c r="AA453" i="9"/>
  <c r="AA454" i="9"/>
  <c r="AA455" i="9"/>
  <c r="AA456" i="9"/>
  <c r="AA457" i="9"/>
  <c r="AA458" i="9"/>
  <c r="AA459" i="9"/>
  <c r="AA461" i="9"/>
  <c r="AA462" i="9"/>
  <c r="AA463" i="9"/>
  <c r="AA464" i="9"/>
  <c r="AA465" i="9"/>
  <c r="AA466" i="9"/>
  <c r="AA470" i="9"/>
  <c r="AA471" i="9"/>
  <c r="AA472" i="9"/>
  <c r="AA473" i="9"/>
  <c r="AA474" i="9"/>
  <c r="AA476" i="9"/>
  <c r="AA477" i="9"/>
  <c r="AA478" i="9"/>
  <c r="AA479" i="9"/>
  <c r="AA480" i="9"/>
  <c r="AA481" i="9"/>
  <c r="AA482" i="9"/>
  <c r="AA483" i="9"/>
  <c r="AA484" i="9"/>
  <c r="AA485" i="9"/>
  <c r="AA486" i="9"/>
  <c r="AA487" i="9"/>
  <c r="AA488" i="9"/>
  <c r="AA490" i="9"/>
  <c r="AA491" i="9"/>
  <c r="AA492" i="9"/>
  <c r="AA493" i="9"/>
  <c r="AA494" i="9"/>
  <c r="AA495" i="9"/>
  <c r="AA496" i="9"/>
  <c r="AA497" i="9"/>
  <c r="AA499" i="9"/>
  <c r="AA500" i="9"/>
  <c r="AA501" i="9"/>
  <c r="AA502" i="9"/>
  <c r="AA503" i="9"/>
  <c r="AA504" i="9"/>
  <c r="AA505" i="9"/>
  <c r="AA506" i="9"/>
  <c r="AA507" i="9"/>
  <c r="AA508" i="9"/>
  <c r="AA510" i="9"/>
  <c r="AA511" i="9"/>
  <c r="AA512" i="9"/>
  <c r="AA513" i="9"/>
  <c r="AA514" i="9"/>
  <c r="AA515" i="9"/>
  <c r="AA516" i="9"/>
  <c r="AA517" i="9"/>
  <c r="AA518" i="9"/>
  <c r="AA520" i="9"/>
  <c r="AA522" i="9"/>
  <c r="AA523" i="9"/>
  <c r="AA524" i="9"/>
  <c r="AA525" i="9"/>
  <c r="AA526" i="9"/>
  <c r="AA527" i="9"/>
  <c r="AA528" i="9"/>
  <c r="AA529" i="9"/>
  <c r="AA530" i="9"/>
  <c r="AA531" i="9"/>
  <c r="AA532" i="9"/>
  <c r="AA533" i="9"/>
  <c r="AA534" i="9"/>
  <c r="AA535" i="9"/>
  <c r="AA536" i="9"/>
  <c r="AA537" i="9"/>
  <c r="AA538" i="9"/>
  <c r="AA539" i="9"/>
  <c r="AA541" i="9"/>
  <c r="AA542" i="9"/>
  <c r="AA544" i="9"/>
  <c r="AA545" i="9"/>
  <c r="AA546" i="9"/>
  <c r="AA547" i="9"/>
  <c r="AA548" i="9"/>
  <c r="AA549" i="9"/>
  <c r="AA550" i="9"/>
  <c r="AA551" i="9"/>
  <c r="AA552" i="9"/>
  <c r="AA553" i="9"/>
  <c r="AA554" i="9"/>
  <c r="AA555" i="9"/>
  <c r="AA556" i="9"/>
  <c r="AA557" i="9"/>
  <c r="AA558" i="9"/>
  <c r="AA559" i="9"/>
  <c r="AA560" i="9"/>
  <c r="AA561" i="9"/>
  <c r="AA564" i="9"/>
  <c r="AA565" i="9"/>
  <c r="AA566" i="9"/>
  <c r="AA567" i="9"/>
  <c r="AA569" i="9"/>
  <c r="AA570" i="9"/>
  <c r="AA572" i="9"/>
  <c r="AA573" i="9"/>
  <c r="AA574" i="9"/>
  <c r="AA575" i="9"/>
  <c r="AA577" i="9"/>
  <c r="AA579" i="9"/>
  <c r="AA580" i="9"/>
  <c r="AA582" i="9"/>
  <c r="AA583" i="9"/>
  <c r="AA586" i="9"/>
  <c r="AA587" i="9"/>
  <c r="AA588" i="9"/>
  <c r="AA589" i="9"/>
  <c r="AA590" i="9"/>
  <c r="AA591" i="9"/>
  <c r="AA593" i="9"/>
  <c r="AA595" i="9"/>
  <c r="AA596" i="9"/>
  <c r="AA597" i="9"/>
  <c r="AA598" i="9"/>
  <c r="AA599" i="9"/>
  <c r="AA601" i="9"/>
  <c r="AA602" i="9"/>
  <c r="AA603" i="9"/>
  <c r="AA604" i="9"/>
  <c r="AA606" i="9"/>
  <c r="AA608" i="9"/>
  <c r="AA609" i="9"/>
  <c r="AA610" i="9"/>
  <c r="AA611" i="9"/>
  <c r="AA612" i="9"/>
  <c r="AA613" i="9"/>
  <c r="AA616" i="9"/>
  <c r="AA617" i="9"/>
  <c r="AA618" i="9"/>
  <c r="AA619" i="9"/>
  <c r="AA620" i="9"/>
  <c r="AA621" i="9"/>
  <c r="AA622" i="9"/>
  <c r="AA624" i="9"/>
  <c r="AA625" i="9"/>
  <c r="AA627" i="9"/>
  <c r="AA628" i="9"/>
  <c r="AA629" i="9"/>
  <c r="AA630" i="9"/>
  <c r="AA631" i="9"/>
  <c r="AA632" i="9"/>
  <c r="AA633" i="9"/>
  <c r="AA634" i="9"/>
  <c r="AA635" i="9"/>
  <c r="AA636" i="9"/>
  <c r="AA638" i="9"/>
  <c r="AA639" i="9"/>
  <c r="AA640" i="9"/>
  <c r="AA641" i="9"/>
  <c r="AA642" i="9"/>
  <c r="AA643" i="9"/>
  <c r="AA644" i="9"/>
  <c r="AA645" i="9"/>
  <c r="AA646" i="9"/>
  <c r="AA647" i="9"/>
  <c r="AA648" i="9"/>
  <c r="AA651" i="9"/>
  <c r="AA652" i="9"/>
  <c r="AA653" i="9"/>
  <c r="AA654" i="9"/>
  <c r="AA655" i="9"/>
  <c r="AA656" i="9"/>
  <c r="AA657" i="9"/>
  <c r="AA661" i="9"/>
  <c r="AA662" i="9"/>
  <c r="AA663" i="9"/>
  <c r="AA664" i="9"/>
  <c r="AA665" i="9"/>
  <c r="AA666" i="9"/>
  <c r="AA667" i="9"/>
  <c r="AA668" i="9"/>
  <c r="AA669" i="9"/>
  <c r="AA670" i="9"/>
  <c r="AA671" i="9"/>
  <c r="AA672" i="9"/>
  <c r="AA673" i="9"/>
  <c r="AA674" i="9"/>
  <c r="AA676" i="9"/>
  <c r="AA677" i="9"/>
  <c r="AA678" i="9"/>
  <c r="AA679" i="9"/>
  <c r="AA680" i="9"/>
  <c r="AA681" i="9"/>
  <c r="AA683" i="9"/>
  <c r="AA684" i="9"/>
  <c r="AA685" i="9"/>
  <c r="AA686" i="9"/>
  <c r="AA687" i="9"/>
  <c r="AA688" i="9"/>
  <c r="AA690" i="9"/>
  <c r="AA691" i="9"/>
  <c r="AA692" i="9"/>
  <c r="AA694" i="9"/>
  <c r="AA695" i="9"/>
  <c r="AA697" i="9"/>
  <c r="AA698" i="9"/>
  <c r="AA699" i="9"/>
  <c r="AA700" i="9"/>
  <c r="AA701" i="9"/>
  <c r="AA702" i="9"/>
  <c r="AA704" i="9"/>
  <c r="AA705" i="9"/>
  <c r="AA706" i="9"/>
  <c r="AA707" i="9"/>
  <c r="AA708" i="9"/>
  <c r="AA711" i="9"/>
  <c r="AA712" i="9"/>
  <c r="AA713" i="9"/>
  <c r="AA714" i="9"/>
  <c r="AA715" i="9"/>
  <c r="AA716" i="9"/>
  <c r="AA718" i="9"/>
  <c r="AA719" i="9"/>
  <c r="AA720" i="9"/>
  <c r="AA721" i="9"/>
  <c r="AA722" i="9"/>
  <c r="AA723" i="9"/>
  <c r="AA725" i="9"/>
  <c r="AA726" i="9"/>
  <c r="AA727" i="9"/>
  <c r="AA728" i="9"/>
  <c r="AA729" i="9"/>
  <c r="AA730" i="9"/>
  <c r="AA732" i="9"/>
  <c r="AA733" i="9"/>
  <c r="AA735" i="9"/>
  <c r="AA736" i="9"/>
  <c r="AA737" i="9"/>
  <c r="AA738" i="9"/>
  <c r="AA739" i="9"/>
  <c r="AA740" i="9"/>
  <c r="AA741" i="9"/>
  <c r="AA742" i="9"/>
  <c r="AA743" i="9"/>
  <c r="AA745" i="9"/>
  <c r="AA746" i="9"/>
  <c r="AA747" i="9"/>
  <c r="AA748" i="9"/>
  <c r="AA749" i="9"/>
  <c r="AA750" i="9"/>
  <c r="AA751" i="9"/>
  <c r="AA752" i="9"/>
  <c r="AA753" i="9"/>
  <c r="AA754" i="9"/>
  <c r="AA755" i="9"/>
  <c r="AA757" i="9"/>
  <c r="AA758" i="9"/>
  <c r="AA759" i="9"/>
  <c r="AA760" i="9"/>
  <c r="AA761" i="9"/>
  <c r="AA762" i="9"/>
  <c r="AA763" i="9"/>
  <c r="AA766" i="9"/>
  <c r="AA767" i="9"/>
  <c r="AA768" i="9"/>
  <c r="AA769" i="9"/>
  <c r="AA771" i="9"/>
  <c r="AA772" i="9"/>
  <c r="AA773" i="9"/>
  <c r="AA774" i="9"/>
  <c r="AA775" i="9"/>
  <c r="AA776" i="9"/>
  <c r="AA777" i="9"/>
  <c r="AA778" i="9"/>
  <c r="AA779" i="9"/>
  <c r="AA780" i="9"/>
  <c r="AA782" i="9"/>
  <c r="AA783" i="9"/>
  <c r="AA784" i="9"/>
  <c r="AA785" i="9"/>
  <c r="AA786" i="9"/>
  <c r="AA787" i="9"/>
  <c r="AA788" i="9"/>
  <c r="AA789" i="9"/>
  <c r="AA790" i="9"/>
  <c r="AA791" i="9"/>
  <c r="AA792" i="9"/>
  <c r="AA793" i="9"/>
  <c r="AA794" i="9"/>
  <c r="AA795" i="9"/>
  <c r="AA796" i="9"/>
  <c r="AA797" i="9"/>
  <c r="AA798" i="9"/>
  <c r="AA799" i="9"/>
  <c r="AA800" i="9"/>
  <c r="AA802" i="9"/>
  <c r="AA804" i="9"/>
  <c r="AA805" i="9"/>
  <c r="AA806" i="9"/>
  <c r="AA807" i="9"/>
  <c r="AA808" i="9"/>
  <c r="AA809" i="9"/>
  <c r="AA810" i="9"/>
  <c r="AA811" i="9"/>
  <c r="AA812" i="9"/>
  <c r="AA813" i="9"/>
  <c r="AA814" i="9"/>
  <c r="AA816" i="9"/>
  <c r="AA817" i="9"/>
  <c r="AA818" i="9"/>
  <c r="AA819" i="9"/>
  <c r="AA821" i="9"/>
  <c r="AA822" i="9"/>
  <c r="AA823" i="9"/>
  <c r="AA824" i="9"/>
  <c r="AA825" i="9"/>
  <c r="AA826" i="9"/>
  <c r="AA827" i="9"/>
  <c r="AA828" i="9"/>
  <c r="AA830" i="9"/>
  <c r="AA831" i="9"/>
  <c r="AA832" i="9"/>
  <c r="AA833" i="9"/>
  <c r="AA835" i="9"/>
  <c r="AA836" i="9"/>
  <c r="AA838" i="9"/>
  <c r="AA839" i="9"/>
  <c r="AA840" i="9"/>
  <c r="AA841" i="9"/>
  <c r="AA842" i="9"/>
  <c r="AA843" i="9"/>
  <c r="AA844" i="9"/>
  <c r="AA845" i="9"/>
  <c r="AA846" i="9"/>
  <c r="AA847" i="9"/>
  <c r="AA848" i="9"/>
  <c r="AA849" i="9"/>
  <c r="AA851" i="9"/>
  <c r="AA852" i="9"/>
  <c r="AA853" i="9"/>
  <c r="AA854" i="9"/>
  <c r="AA855" i="9"/>
  <c r="AA856" i="9"/>
  <c r="AA857" i="9"/>
  <c r="AA858" i="9"/>
  <c r="AA859" i="9"/>
  <c r="AA860" i="9"/>
  <c r="AA861" i="9"/>
  <c r="AA863" i="9"/>
  <c r="AA865" i="9"/>
  <c r="AA866" i="9"/>
  <c r="AA867" i="9"/>
  <c r="AA869" i="9"/>
  <c r="AA870" i="9"/>
  <c r="AA871" i="9"/>
  <c r="AA872" i="9"/>
  <c r="AA873" i="9"/>
  <c r="AA875" i="9"/>
  <c r="AA876" i="9"/>
  <c r="AA877" i="9"/>
  <c r="AA878" i="9"/>
  <c r="AA879" i="9"/>
  <c r="AA880" i="9"/>
  <c r="AA882" i="9"/>
  <c r="AA884" i="9"/>
  <c r="AA885" i="9"/>
  <c r="AA886" i="9"/>
  <c r="AA888" i="9"/>
  <c r="AA889" i="9"/>
  <c r="AA891" i="9"/>
  <c r="AA892" i="9"/>
  <c r="AA893" i="9"/>
  <c r="AA894" i="9"/>
  <c r="AA896" i="9"/>
  <c r="AA897" i="9"/>
  <c r="AA898" i="9"/>
  <c r="AA899" i="9"/>
  <c r="AA900" i="9"/>
  <c r="AA901" i="9"/>
  <c r="AA902" i="9"/>
  <c r="AA904" i="9"/>
  <c r="AA905" i="9"/>
  <c r="AA906" i="9"/>
  <c r="AA907" i="9"/>
  <c r="AA908" i="9"/>
  <c r="AA909" i="9"/>
  <c r="AA911" i="9"/>
  <c r="AA913" i="9"/>
  <c r="AA914" i="9"/>
  <c r="AA915" i="9"/>
  <c r="AA917" i="9"/>
  <c r="AA918" i="9"/>
  <c r="AA919" i="9"/>
  <c r="AA920" i="9"/>
  <c r="AA921" i="9"/>
  <c r="AA923" i="9"/>
  <c r="AA924" i="9"/>
  <c r="AA926" i="9"/>
  <c r="AA928" i="9"/>
  <c r="AA930" i="9"/>
  <c r="AA931" i="9"/>
  <c r="AA932" i="9"/>
  <c r="AA933" i="9"/>
  <c r="AA934" i="9"/>
  <c r="AA935" i="9"/>
  <c r="AA937" i="9"/>
  <c r="AA938" i="9"/>
  <c r="AA939" i="9"/>
  <c r="AA941" i="9"/>
  <c r="AA942" i="9"/>
  <c r="AA944" i="9"/>
  <c r="AA945" i="9"/>
  <c r="AA946" i="9"/>
  <c r="AA947" i="9"/>
  <c r="AA948" i="9"/>
  <c r="AA949" i="9"/>
  <c r="AA951" i="9"/>
  <c r="AA952" i="9"/>
  <c r="AA953" i="9"/>
  <c r="AA954" i="9"/>
  <c r="AA955" i="9"/>
  <c r="AA956" i="9"/>
  <c r="AA958" i="9"/>
  <c r="AA959" i="9"/>
  <c r="AA960" i="9"/>
  <c r="AA961" i="9"/>
  <c r="AA962" i="9"/>
  <c r="AA963" i="9"/>
  <c r="AA964" i="9"/>
  <c r="AA965" i="9"/>
  <c r="AA966" i="9"/>
  <c r="AA968" i="9"/>
  <c r="AA970" i="9"/>
  <c r="AA971" i="9"/>
  <c r="AA972" i="9"/>
  <c r="AA973" i="9"/>
  <c r="AA974" i="9"/>
  <c r="AA976" i="9"/>
  <c r="AA977" i="9"/>
  <c r="AA978" i="9"/>
  <c r="AA979" i="9"/>
  <c r="AA980" i="9"/>
  <c r="AA982" i="9"/>
  <c r="AA983" i="9"/>
  <c r="AA984" i="9"/>
  <c r="AA985" i="9"/>
  <c r="AA986" i="9"/>
  <c r="AA987" i="9"/>
  <c r="AA988" i="9"/>
  <c r="AA989" i="9"/>
  <c r="AA990" i="9"/>
  <c r="AA991" i="9"/>
  <c r="AA993" i="9"/>
  <c r="AA994" i="9"/>
  <c r="AA996" i="9"/>
  <c r="AA997" i="9"/>
  <c r="AA998" i="9"/>
  <c r="AA999" i="9"/>
  <c r="AA1000" i="9"/>
  <c r="AA1002" i="9"/>
  <c r="AA1003" i="9"/>
  <c r="AA1004" i="9"/>
  <c r="AA1005" i="9"/>
  <c r="AA1006" i="9"/>
  <c r="AA1008" i="9"/>
  <c r="AA1010" i="9"/>
  <c r="AA1011" i="9"/>
  <c r="AA1012" i="9"/>
  <c r="AA1013" i="9"/>
  <c r="AA1014" i="9"/>
  <c r="AA1015" i="9"/>
  <c r="AA1016" i="9"/>
  <c r="AA1017" i="9"/>
  <c r="AA1019" i="9"/>
  <c r="AA1020" i="9"/>
  <c r="AA1022" i="9"/>
  <c r="AA1023" i="9"/>
  <c r="AA1024" i="9"/>
  <c r="AA1025" i="9"/>
  <c r="AA1026" i="9"/>
  <c r="AA1027" i="9"/>
  <c r="AA1028" i="9"/>
  <c r="AA1029" i="9"/>
  <c r="AA1030" i="9"/>
  <c r="AA1032" i="9"/>
  <c r="AA1035" i="9"/>
  <c r="AA1037" i="9"/>
  <c r="AA1038" i="9"/>
  <c r="AA1039" i="9"/>
  <c r="AA1040" i="9"/>
  <c r="AA1041" i="9"/>
  <c r="AA1042" i="9"/>
  <c r="AA1043" i="9"/>
  <c r="AA1044" i="9"/>
  <c r="AA1045" i="9"/>
  <c r="AA1046" i="9"/>
  <c r="AA1047" i="9"/>
  <c r="AA1048" i="9"/>
  <c r="AA1050" i="9"/>
  <c r="AA1051" i="9"/>
  <c r="AA1052" i="9"/>
  <c r="AA1053" i="9"/>
  <c r="AA1055" i="9"/>
  <c r="AA1056" i="9"/>
  <c r="AA1057" i="9"/>
  <c r="AA1058" i="9"/>
  <c r="AA1059" i="9"/>
  <c r="AA1060" i="9"/>
  <c r="AA1062" i="9"/>
  <c r="AA1063" i="9"/>
  <c r="AA1064" i="9"/>
  <c r="AA1065" i="9"/>
  <c r="AA1067" i="9"/>
  <c r="AA1069" i="9"/>
  <c r="AA1070" i="9"/>
  <c r="AA1071" i="9"/>
  <c r="AA1072" i="9"/>
  <c r="AA1073" i="9"/>
  <c r="AA1075" i="9"/>
  <c r="AA1076" i="9"/>
  <c r="AA1077" i="9"/>
  <c r="AA1078" i="9"/>
  <c r="AA1080" i="9"/>
  <c r="AA1081" i="9"/>
  <c r="AA1082" i="9"/>
  <c r="AA1083" i="9"/>
  <c r="AA1084" i="9"/>
  <c r="AA1086" i="9"/>
  <c r="AA1087" i="9"/>
  <c r="AA1088" i="9"/>
  <c r="AA1089" i="9"/>
  <c r="AA1090" i="9"/>
  <c r="AA1091" i="9"/>
  <c r="AA1092" i="9"/>
  <c r="AA1093" i="9"/>
  <c r="AA1094" i="9"/>
  <c r="AA1095" i="9"/>
  <c r="AA1096" i="9"/>
  <c r="AA1097" i="9"/>
  <c r="AA1099" i="9"/>
  <c r="AA1100" i="9"/>
  <c r="AA1101" i="9"/>
  <c r="AA1102" i="9"/>
  <c r="AA1103" i="9"/>
  <c r="AA1104" i="9"/>
  <c r="AA1106" i="9"/>
  <c r="AA1107" i="9"/>
  <c r="AA1108" i="9"/>
  <c r="AA1110" i="9"/>
  <c r="AA1111" i="9"/>
  <c r="AA1112" i="9"/>
  <c r="AA1113" i="9"/>
  <c r="AA1114" i="9"/>
  <c r="AA1115" i="9"/>
  <c r="AA1116" i="9"/>
  <c r="AA1117" i="9"/>
  <c r="AA1119" i="9"/>
  <c r="AA1120" i="9"/>
  <c r="AA1121" i="9"/>
  <c r="AA1122" i="9"/>
  <c r="AA1124" i="9"/>
  <c r="AA1125" i="9"/>
  <c r="AA1127" i="9"/>
  <c r="AA1128" i="9"/>
  <c r="AA1129" i="9"/>
  <c r="AA1130" i="9"/>
  <c r="AA1131" i="9"/>
  <c r="AA1132" i="9"/>
  <c r="AA1133" i="9"/>
  <c r="AA1134" i="9"/>
  <c r="AA1135" i="9"/>
  <c r="AA1136" i="9"/>
  <c r="AA1137" i="9"/>
  <c r="AA1138" i="9"/>
  <c r="AA1139" i="9"/>
  <c r="AA1140" i="9"/>
  <c r="AA1141" i="9"/>
  <c r="AA1143" i="9"/>
  <c r="AA1145" i="9"/>
  <c r="AA1146" i="9"/>
  <c r="AA1147" i="9"/>
  <c r="AA1149" i="9"/>
  <c r="AA1150" i="9"/>
  <c r="AA1151" i="9"/>
  <c r="AA1152" i="9"/>
  <c r="AA1153" i="9"/>
  <c r="AA1154" i="9"/>
  <c r="AA1155" i="9"/>
  <c r="AA1156" i="9"/>
  <c r="AA1158" i="9"/>
  <c r="AA1159" i="9"/>
  <c r="AA1160" i="9"/>
  <c r="AA1161" i="9"/>
  <c r="AA1162" i="9"/>
  <c r="AA1164" i="9"/>
  <c r="AA1165" i="9"/>
  <c r="AA1166" i="9"/>
  <c r="AA1167" i="9"/>
  <c r="AA1168" i="9"/>
  <c r="AA1169" i="9"/>
  <c r="AA1171" i="9"/>
  <c r="AA1172" i="9"/>
  <c r="AA1173" i="9"/>
  <c r="AA1174" i="9"/>
  <c r="AA1175" i="9"/>
  <c r="AA1177" i="9"/>
  <c r="AA1178" i="9"/>
  <c r="AA1181" i="9"/>
  <c r="AA1182" i="9"/>
  <c r="AA1183" i="9"/>
  <c r="AA1184" i="9"/>
  <c r="AA1185" i="9"/>
  <c r="AA1187" i="9"/>
  <c r="AA1188" i="9"/>
  <c r="AA1189" i="9"/>
  <c r="AA1190" i="9"/>
  <c r="AA1191" i="9"/>
  <c r="AA1192" i="9"/>
  <c r="AA1193" i="9"/>
  <c r="AA1194" i="9"/>
  <c r="AA1195" i="9"/>
  <c r="AA1196" i="9"/>
  <c r="AA1197" i="9"/>
  <c r="AA1198" i="9"/>
  <c r="AA1199" i="9"/>
  <c r="AA1200" i="9"/>
  <c r="AA1201" i="9"/>
  <c r="AA1202" i="9"/>
  <c r="AA1204" i="9"/>
  <c r="AA1205" i="9"/>
  <c r="AA1206" i="9"/>
  <c r="AA1207" i="9"/>
  <c r="AA1208" i="9"/>
  <c r="AA1209" i="9"/>
  <c r="AA1210" i="9"/>
  <c r="AA1212" i="9"/>
  <c r="AA1213" i="9"/>
  <c r="AA1214" i="9"/>
  <c r="AA1215" i="9"/>
  <c r="AA1216" i="9"/>
  <c r="AA1217" i="9"/>
  <c r="AA1218" i="9"/>
  <c r="AA1219" i="9"/>
  <c r="AA1220" i="9"/>
  <c r="AA1221" i="9"/>
  <c r="AA1222" i="9"/>
  <c r="AA1223" i="9"/>
  <c r="AA1225" i="9"/>
  <c r="AA1226" i="9"/>
  <c r="AA1227" i="9"/>
  <c r="AA1230" i="9"/>
  <c r="AA1231" i="9"/>
  <c r="AA1232" i="9"/>
  <c r="AA1233" i="9"/>
  <c r="AA1234" i="9"/>
  <c r="AA1235" i="9"/>
  <c r="AA1236" i="9"/>
  <c r="AA1238" i="9"/>
  <c r="AA1239" i="9"/>
  <c r="AA1240" i="9"/>
  <c r="AA1241" i="9"/>
  <c r="AA1242" i="9"/>
  <c r="AA1243" i="9"/>
  <c r="AB13" i="9"/>
  <c r="AB14" i="9"/>
  <c r="AB15" i="9"/>
  <c r="AB16" i="9"/>
  <c r="AB17" i="9"/>
  <c r="AB19" i="9"/>
  <c r="AB20" i="9"/>
  <c r="AB22" i="9"/>
  <c r="AB23" i="9"/>
  <c r="AB24" i="9"/>
  <c r="AB25" i="9"/>
  <c r="AB26" i="9"/>
  <c r="AB27" i="9"/>
  <c r="AB30" i="9"/>
  <c r="AB31" i="9"/>
  <c r="AB33" i="9"/>
  <c r="AB34" i="9"/>
  <c r="AB35" i="9"/>
  <c r="AB36" i="9"/>
  <c r="AB37" i="9"/>
  <c r="AB38" i="9"/>
  <c r="AB40" i="9"/>
  <c r="AB42" i="9"/>
  <c r="AB43" i="9"/>
  <c r="AB44" i="9"/>
  <c r="AB45" i="9"/>
  <c r="AB47" i="9"/>
  <c r="AB48" i="9"/>
  <c r="AB49" i="9"/>
  <c r="AB52" i="9"/>
  <c r="AB53" i="9"/>
  <c r="AB54" i="9"/>
  <c r="AB55" i="9"/>
  <c r="AB56" i="9"/>
  <c r="AB57" i="9"/>
  <c r="AB58" i="9"/>
  <c r="AB59" i="9"/>
  <c r="AB62" i="9"/>
  <c r="AB63" i="9"/>
  <c r="AB64" i="9"/>
  <c r="AB65" i="9"/>
  <c r="AB66" i="9"/>
  <c r="AB67" i="9"/>
  <c r="AB68" i="9"/>
  <c r="AB69" i="9"/>
  <c r="AB71" i="9"/>
  <c r="AB74" i="9"/>
  <c r="AB75" i="9"/>
  <c r="AB76" i="9"/>
  <c r="AB78" i="9"/>
  <c r="AB79" i="9"/>
  <c r="AB80" i="9"/>
  <c r="AB81" i="9"/>
  <c r="AB82" i="9"/>
  <c r="AB83" i="9"/>
  <c r="AB84" i="9"/>
  <c r="AB85" i="9"/>
  <c r="AB86" i="9"/>
  <c r="AB87" i="9"/>
  <c r="AB88" i="9"/>
  <c r="AB89" i="9"/>
  <c r="AB90" i="9"/>
  <c r="AB91" i="9"/>
  <c r="AB93" i="9"/>
  <c r="AB94" i="9"/>
  <c r="AB95" i="9"/>
  <c r="AB96" i="9"/>
  <c r="AB97" i="9"/>
  <c r="AB100" i="9"/>
  <c r="AB102" i="9"/>
  <c r="AB103" i="9"/>
  <c r="AB104" i="9"/>
  <c r="AB105" i="9"/>
  <c r="AB106" i="9"/>
  <c r="AB108" i="9"/>
  <c r="AB109" i="9"/>
  <c r="AB110" i="9"/>
  <c r="AB111" i="9"/>
  <c r="AB112" i="9"/>
  <c r="AB114" i="9"/>
  <c r="AB115" i="9"/>
  <c r="AB116" i="9"/>
  <c r="AB119" i="9"/>
  <c r="AB120" i="9"/>
  <c r="AB122" i="9"/>
  <c r="AB123" i="9"/>
  <c r="AB124" i="9"/>
  <c r="AB125" i="9"/>
  <c r="AB126" i="9"/>
  <c r="AB127" i="9"/>
  <c r="AB129" i="9"/>
  <c r="AB130" i="9"/>
  <c r="AB131" i="9"/>
  <c r="AB132" i="9"/>
  <c r="AB133" i="9"/>
  <c r="AB135" i="9"/>
  <c r="AB136" i="9"/>
  <c r="AB137" i="9"/>
  <c r="AB139" i="9"/>
  <c r="AB140" i="9"/>
  <c r="AB141" i="9"/>
  <c r="AB143" i="9"/>
  <c r="AB144" i="9"/>
  <c r="AB145" i="9"/>
  <c r="AB146" i="9"/>
  <c r="AB147" i="9"/>
  <c r="AB148" i="9"/>
  <c r="AB149" i="9"/>
  <c r="AB150" i="9"/>
  <c r="AB151" i="9"/>
  <c r="AB152" i="9"/>
  <c r="AB153" i="9"/>
  <c r="AB154" i="9"/>
  <c r="AB155" i="9"/>
  <c r="AB156" i="9"/>
  <c r="AB157" i="9"/>
  <c r="AB158" i="9"/>
  <c r="AB159" i="9"/>
  <c r="AB160" i="9"/>
  <c r="AB161" i="9"/>
  <c r="AB163" i="9"/>
  <c r="AB164" i="9"/>
  <c r="AB165" i="9"/>
  <c r="AB167" i="9"/>
  <c r="AB168" i="9"/>
  <c r="AB169" i="9"/>
  <c r="AB171" i="9"/>
  <c r="AB172" i="9"/>
  <c r="AB173" i="9"/>
  <c r="AB175" i="9"/>
  <c r="AB176" i="9"/>
  <c r="AB177" i="9"/>
  <c r="AB178" i="9"/>
  <c r="AB179" i="9"/>
  <c r="AB180" i="9"/>
  <c r="AB181" i="9"/>
  <c r="AB183" i="9"/>
  <c r="AB184" i="9"/>
  <c r="AB185" i="9"/>
  <c r="AB187" i="9"/>
  <c r="AB188" i="9"/>
  <c r="AB189" i="9"/>
  <c r="AB190" i="9"/>
  <c r="AB191" i="9"/>
  <c r="AB192" i="9"/>
  <c r="AB193" i="9"/>
  <c r="AB194" i="9"/>
  <c r="AB195" i="9"/>
  <c r="AB196" i="9"/>
  <c r="AB197" i="9"/>
  <c r="AB198" i="9"/>
  <c r="AB199" i="9"/>
  <c r="AB202" i="9"/>
  <c r="AB203" i="9"/>
  <c r="AB204" i="9"/>
  <c r="AB205" i="9"/>
  <c r="AB206" i="9"/>
  <c r="AB207" i="9"/>
  <c r="AB208" i="9"/>
  <c r="AB210" i="9"/>
  <c r="AB211" i="9"/>
  <c r="AB213" i="9"/>
  <c r="AB214" i="9"/>
  <c r="AB215" i="9"/>
  <c r="AB216" i="9"/>
  <c r="AB217" i="9"/>
  <c r="AB219" i="9"/>
  <c r="AB220" i="9"/>
  <c r="AB221" i="9"/>
  <c r="AB222" i="9"/>
  <c r="AB223" i="9"/>
  <c r="AB226" i="9"/>
  <c r="AB227" i="9"/>
  <c r="AB228" i="9"/>
  <c r="AB229" i="9"/>
  <c r="AB230" i="9"/>
  <c r="AB231" i="9"/>
  <c r="AB232" i="9"/>
  <c r="AB233" i="9"/>
  <c r="AB234" i="9"/>
  <c r="AB236" i="9"/>
  <c r="AB237" i="9"/>
  <c r="AB239" i="9"/>
  <c r="AB240" i="9"/>
  <c r="AB241" i="9"/>
  <c r="AB244" i="9"/>
  <c r="AB245" i="9"/>
  <c r="AB246" i="9"/>
  <c r="AB247" i="9"/>
  <c r="AB248" i="9"/>
  <c r="AB249" i="9"/>
  <c r="AB250" i="9"/>
  <c r="AB251" i="9"/>
  <c r="AB252" i="9"/>
  <c r="AB253" i="9"/>
  <c r="AB254" i="9"/>
  <c r="AB255" i="9"/>
  <c r="AB256" i="9"/>
  <c r="AB257" i="9"/>
  <c r="AB258" i="9"/>
  <c r="AB259" i="9"/>
  <c r="AB260" i="9"/>
  <c r="AB261" i="9"/>
  <c r="AB262" i="9"/>
  <c r="AB265" i="9"/>
  <c r="AB266" i="9"/>
  <c r="AB267" i="9"/>
  <c r="AB268" i="9"/>
  <c r="AB269" i="9"/>
  <c r="AB270" i="9"/>
  <c r="AB271" i="9"/>
  <c r="AB273" i="9"/>
  <c r="AB274" i="9"/>
  <c r="AB277" i="9"/>
  <c r="AB278" i="9"/>
  <c r="AB279" i="9"/>
  <c r="AB280" i="9"/>
  <c r="AB281" i="9"/>
  <c r="AB282" i="9"/>
  <c r="AB283" i="9"/>
  <c r="AB284" i="9"/>
  <c r="AB285" i="9"/>
  <c r="AB286" i="9"/>
  <c r="AB287" i="9"/>
  <c r="AB289" i="9"/>
  <c r="AB290" i="9"/>
  <c r="AB291" i="9"/>
  <c r="AB292" i="9"/>
  <c r="AB293" i="9"/>
  <c r="AB294" i="9"/>
  <c r="AB296" i="9"/>
  <c r="AB297" i="9"/>
  <c r="AB298" i="9"/>
  <c r="AB299" i="9"/>
  <c r="AB300" i="9"/>
  <c r="AB301" i="9"/>
  <c r="AB304" i="9"/>
  <c r="AB305" i="9"/>
  <c r="AB306" i="9"/>
  <c r="AB307" i="9"/>
  <c r="AB308" i="9"/>
  <c r="AB309" i="9"/>
  <c r="AB310" i="9"/>
  <c r="AB312" i="9"/>
  <c r="AB313" i="9"/>
  <c r="AB314" i="9"/>
  <c r="AB315" i="9"/>
  <c r="AB316" i="9"/>
  <c r="AB317" i="9"/>
  <c r="AB318" i="9"/>
  <c r="AB319" i="9"/>
  <c r="AB320" i="9"/>
  <c r="AB321" i="9"/>
  <c r="AB322" i="9"/>
  <c r="AB324" i="9"/>
  <c r="AB325" i="9"/>
  <c r="AB326" i="9"/>
  <c r="AB327" i="9"/>
  <c r="AB328" i="9"/>
  <c r="AB329" i="9"/>
  <c r="AB331" i="9"/>
  <c r="AB332" i="9"/>
  <c r="AB333" i="9"/>
  <c r="AB334" i="9"/>
  <c r="AB335" i="9"/>
  <c r="AB336" i="9"/>
  <c r="AB337" i="9"/>
  <c r="AB338" i="9"/>
  <c r="AB340" i="9"/>
  <c r="AB341" i="9"/>
  <c r="AB342" i="9"/>
  <c r="AB344" i="9"/>
  <c r="AB345" i="9"/>
  <c r="AB346" i="9"/>
  <c r="AB349" i="9"/>
  <c r="AB350" i="9"/>
  <c r="AB351" i="9"/>
  <c r="AB352" i="9"/>
  <c r="AB353" i="9"/>
  <c r="AB354" i="9"/>
  <c r="AB355" i="9"/>
  <c r="AB356" i="9"/>
  <c r="AB357" i="9"/>
  <c r="AB358" i="9"/>
  <c r="AB359" i="9"/>
  <c r="AB360" i="9"/>
  <c r="AB361" i="9"/>
  <c r="AB363" i="9"/>
  <c r="AB364" i="9"/>
  <c r="AB365" i="9"/>
  <c r="AB366" i="9"/>
  <c r="AB367" i="9"/>
  <c r="AB368" i="9"/>
  <c r="AB369" i="9"/>
  <c r="AB371" i="9"/>
  <c r="AB373" i="9"/>
  <c r="AB374" i="9"/>
  <c r="AB375" i="9"/>
  <c r="AB376" i="9"/>
  <c r="AB377" i="9"/>
  <c r="AB378" i="9"/>
  <c r="AB380" i="9"/>
  <c r="AB381" i="9"/>
  <c r="AB382" i="9"/>
  <c r="AB383" i="9"/>
  <c r="AB384" i="9"/>
  <c r="AB385" i="9"/>
  <c r="AB386" i="9"/>
  <c r="AB387" i="9"/>
  <c r="AB388" i="9"/>
  <c r="AB389" i="9"/>
  <c r="AB390" i="9"/>
  <c r="AB391" i="9"/>
  <c r="AB392" i="9"/>
  <c r="AB394" i="9"/>
  <c r="AB395" i="9"/>
  <c r="AB396" i="9"/>
  <c r="AB397" i="9"/>
  <c r="AB398" i="9"/>
  <c r="AB399" i="9"/>
  <c r="AB400" i="9"/>
  <c r="AB401" i="9"/>
  <c r="AB403" i="9"/>
  <c r="AB405" i="9"/>
  <c r="AB406" i="9"/>
  <c r="AB407" i="9"/>
  <c r="AB409" i="9"/>
  <c r="AB410" i="9"/>
  <c r="AB412" i="9"/>
  <c r="AB413" i="9"/>
  <c r="AB414" i="9"/>
  <c r="AB415" i="9"/>
  <c r="AB416" i="9"/>
  <c r="AB417" i="9"/>
  <c r="AB418" i="9"/>
  <c r="AB421" i="9"/>
  <c r="AB422" i="9"/>
  <c r="AB423" i="9"/>
  <c r="AB424" i="9"/>
  <c r="AB425" i="9"/>
  <c r="AB426" i="9"/>
  <c r="AB428" i="9"/>
  <c r="AB429" i="9"/>
  <c r="AB430" i="9"/>
  <c r="AB431" i="9"/>
  <c r="AB432" i="9"/>
  <c r="AB433" i="9"/>
  <c r="AB434" i="9"/>
  <c r="AB435" i="9"/>
  <c r="AB437" i="9"/>
  <c r="AB439" i="9"/>
  <c r="AB440" i="9"/>
  <c r="AB441" i="9"/>
  <c r="AB442" i="9"/>
  <c r="AB443" i="9"/>
  <c r="AB444" i="9"/>
  <c r="AB445" i="9"/>
  <c r="AB447" i="9"/>
  <c r="AB448" i="9"/>
  <c r="AB450" i="9"/>
  <c r="AB451" i="9"/>
  <c r="AB452" i="9"/>
  <c r="AB453" i="9"/>
  <c r="AB454" i="9"/>
  <c r="AB455" i="9"/>
  <c r="AB456" i="9"/>
  <c r="AB457" i="9"/>
  <c r="AB458" i="9"/>
  <c r="AB459" i="9"/>
  <c r="AB461" i="9"/>
  <c r="AB462" i="9"/>
  <c r="AB463" i="9"/>
  <c r="AB464" i="9"/>
  <c r="AB465" i="9"/>
  <c r="AB466" i="9"/>
  <c r="AB470" i="9"/>
  <c r="AB471" i="9"/>
  <c r="AB472" i="9"/>
  <c r="AB473" i="9"/>
  <c r="AB474" i="9"/>
  <c r="AB476" i="9"/>
  <c r="AB477" i="9"/>
  <c r="AB478" i="9"/>
  <c r="AB479" i="9"/>
  <c r="AB480" i="9"/>
  <c r="AB481" i="9"/>
  <c r="AB482" i="9"/>
  <c r="AB483" i="9"/>
  <c r="AB484" i="9"/>
  <c r="AB485" i="9"/>
  <c r="AB486" i="9"/>
  <c r="AB487" i="9"/>
  <c r="AB488" i="9"/>
  <c r="AB490" i="9"/>
  <c r="AB491" i="9"/>
  <c r="AB492" i="9"/>
  <c r="AB493" i="9"/>
  <c r="AB494" i="9"/>
  <c r="AB495" i="9"/>
  <c r="AB496" i="9"/>
  <c r="AB497" i="9"/>
  <c r="AB499" i="9"/>
  <c r="AB500" i="9"/>
  <c r="AB501" i="9"/>
  <c r="AB502" i="9"/>
  <c r="AB503" i="9"/>
  <c r="AB504" i="9"/>
  <c r="AB505" i="9"/>
  <c r="AB506" i="9"/>
  <c r="AB507" i="9"/>
  <c r="AB508" i="9"/>
  <c r="AB510" i="9"/>
  <c r="AB511" i="9"/>
  <c r="AB512" i="9"/>
  <c r="AB513" i="9"/>
  <c r="AB514" i="9"/>
  <c r="AB515" i="9"/>
  <c r="AB516" i="9"/>
  <c r="AB517" i="9"/>
  <c r="AB518" i="9"/>
  <c r="AB520" i="9"/>
  <c r="AB522" i="9"/>
  <c r="AB523" i="9"/>
  <c r="AB524" i="9"/>
  <c r="AB525" i="9"/>
  <c r="AB526" i="9"/>
  <c r="AB527" i="9"/>
  <c r="AB528" i="9"/>
  <c r="AB529" i="9"/>
  <c r="AB530" i="9"/>
  <c r="AB531" i="9"/>
  <c r="AB532" i="9"/>
  <c r="AB533" i="9"/>
  <c r="AB534" i="9"/>
  <c r="AB535" i="9"/>
  <c r="AB536" i="9"/>
  <c r="AB537" i="9"/>
  <c r="AB538" i="9"/>
  <c r="AB539" i="9"/>
  <c r="AB541" i="9"/>
  <c r="AB542" i="9"/>
  <c r="AB544" i="9"/>
  <c r="AB545" i="9"/>
  <c r="AB546" i="9"/>
  <c r="AB547" i="9"/>
  <c r="AB548" i="9"/>
  <c r="AB549" i="9"/>
  <c r="AB550" i="9"/>
  <c r="AB551" i="9"/>
  <c r="AB552" i="9"/>
  <c r="AB553" i="9"/>
  <c r="AB554" i="9"/>
  <c r="AB555" i="9"/>
  <c r="AB556" i="9"/>
  <c r="AB557" i="9"/>
  <c r="AB558" i="9"/>
  <c r="AB559" i="9"/>
  <c r="AB560" i="9"/>
  <c r="AB561" i="9"/>
  <c r="AB564" i="9"/>
  <c r="AB565" i="9"/>
  <c r="AB566" i="9"/>
  <c r="AB567" i="9"/>
  <c r="AB569" i="9"/>
  <c r="AB570" i="9"/>
  <c r="AB572" i="9"/>
  <c r="AB573" i="9"/>
  <c r="AB574" i="9"/>
  <c r="AB575" i="9"/>
  <c r="AB577" i="9"/>
  <c r="AB579" i="9"/>
  <c r="AB580" i="9"/>
  <c r="AB582" i="9"/>
  <c r="AB583" i="9"/>
  <c r="AB586" i="9"/>
  <c r="AB587" i="9"/>
  <c r="AB588" i="9"/>
  <c r="AB589" i="9"/>
  <c r="AB590" i="9"/>
  <c r="AB591" i="9"/>
  <c r="AB593" i="9"/>
  <c r="AB595" i="9"/>
  <c r="AB596" i="9"/>
  <c r="AB597" i="9"/>
  <c r="AB598" i="9"/>
  <c r="AB599" i="9"/>
  <c r="AB601" i="9"/>
  <c r="AB602" i="9"/>
  <c r="AB603" i="9"/>
  <c r="AB604" i="9"/>
  <c r="AB606" i="9"/>
  <c r="AB608" i="9"/>
  <c r="AB609" i="9"/>
  <c r="AB610" i="9"/>
  <c r="AB611" i="9"/>
  <c r="AB612" i="9"/>
  <c r="AB613" i="9"/>
  <c r="AB616" i="9"/>
  <c r="AB617" i="9"/>
  <c r="AB618" i="9"/>
  <c r="AB619" i="9"/>
  <c r="AB620" i="9"/>
  <c r="AB621" i="9"/>
  <c r="AB622" i="9"/>
  <c r="AB624" i="9"/>
  <c r="AB625" i="9"/>
  <c r="AB627" i="9"/>
  <c r="AB628" i="9"/>
  <c r="AB629" i="9"/>
  <c r="AB630" i="9"/>
  <c r="AB631" i="9"/>
  <c r="AB632" i="9"/>
  <c r="AB633" i="9"/>
  <c r="AB634" i="9"/>
  <c r="AB635" i="9"/>
  <c r="AB636" i="9"/>
  <c r="AB638" i="9"/>
  <c r="AB639" i="9"/>
  <c r="AB640" i="9"/>
  <c r="AB641" i="9"/>
  <c r="AB642" i="9"/>
  <c r="AB643" i="9"/>
  <c r="AB644" i="9"/>
  <c r="AB645" i="9"/>
  <c r="AB646" i="9"/>
  <c r="AB647" i="9"/>
  <c r="AB648" i="9"/>
  <c r="AB651" i="9"/>
  <c r="AB652" i="9"/>
  <c r="AB653" i="9"/>
  <c r="AB654" i="9"/>
  <c r="AB655" i="9"/>
  <c r="AB656" i="9"/>
  <c r="AB657" i="9"/>
  <c r="AB661" i="9"/>
  <c r="AB662" i="9"/>
  <c r="AB663" i="9"/>
  <c r="AB664" i="9"/>
  <c r="AB665" i="9"/>
  <c r="AB666" i="9"/>
  <c r="AB667" i="9"/>
  <c r="AB668" i="9"/>
  <c r="AB669" i="9"/>
  <c r="AB670" i="9"/>
  <c r="AB671" i="9"/>
  <c r="AB672" i="9"/>
  <c r="AB673" i="9"/>
  <c r="AB674" i="9"/>
  <c r="AB676" i="9"/>
  <c r="AB677" i="9"/>
  <c r="AB678" i="9"/>
  <c r="AB679" i="9"/>
  <c r="AB680" i="9"/>
  <c r="AB681" i="9"/>
  <c r="AB683" i="9"/>
  <c r="AB684" i="9"/>
  <c r="AB685" i="9"/>
  <c r="AB686" i="9"/>
  <c r="AB687" i="9"/>
  <c r="AB688" i="9"/>
  <c r="AB690" i="9"/>
  <c r="AB691" i="9"/>
  <c r="AB692" i="9"/>
  <c r="AB694" i="9"/>
  <c r="AB695" i="9"/>
  <c r="AB697" i="9"/>
  <c r="AB698" i="9"/>
  <c r="AB699" i="9"/>
  <c r="AB700" i="9"/>
  <c r="AB701" i="9"/>
  <c r="AB702" i="9"/>
  <c r="AB704" i="9"/>
  <c r="AB705" i="9"/>
  <c r="AB706" i="9"/>
  <c r="AB707" i="9"/>
  <c r="AB708" i="9"/>
  <c r="AB711" i="9"/>
  <c r="AB712" i="9"/>
  <c r="AB713" i="9"/>
  <c r="AB714" i="9"/>
  <c r="AB715" i="9"/>
  <c r="AB716" i="9"/>
  <c r="AB718" i="9"/>
  <c r="AB719" i="9"/>
  <c r="AB720" i="9"/>
  <c r="AB721" i="9"/>
  <c r="AB722" i="9"/>
  <c r="AB723" i="9"/>
  <c r="AB725" i="9"/>
  <c r="AB726" i="9"/>
  <c r="AB727" i="9"/>
  <c r="AB728" i="9"/>
  <c r="AB729" i="9"/>
  <c r="AB730" i="9"/>
  <c r="AB732" i="9"/>
  <c r="AB733" i="9"/>
  <c r="AB735" i="9"/>
  <c r="AB736" i="9"/>
  <c r="AB737" i="9"/>
  <c r="AB738" i="9"/>
  <c r="AB739" i="9"/>
  <c r="AB740" i="9"/>
  <c r="AB741" i="9"/>
  <c r="AB742" i="9"/>
  <c r="AB743" i="9"/>
  <c r="AB745" i="9"/>
  <c r="AB746" i="9"/>
  <c r="AB747" i="9"/>
  <c r="AB748" i="9"/>
  <c r="AB749" i="9"/>
  <c r="AB750" i="9"/>
  <c r="AB751" i="9"/>
  <c r="AB752" i="9"/>
  <c r="AB753" i="9"/>
  <c r="AB754" i="9"/>
  <c r="AB755" i="9"/>
  <c r="AB757" i="9"/>
  <c r="AB758" i="9"/>
  <c r="AB759" i="9"/>
  <c r="AB760" i="9"/>
  <c r="AB761" i="9"/>
  <c r="AB762" i="9"/>
  <c r="AB763" i="9"/>
  <c r="AB766" i="9"/>
  <c r="AB767" i="9"/>
  <c r="AB768" i="9"/>
  <c r="AB769" i="9"/>
  <c r="AB771" i="9"/>
  <c r="AB772" i="9"/>
  <c r="AB773" i="9"/>
  <c r="AB774" i="9"/>
  <c r="AB775" i="9"/>
  <c r="AB776" i="9"/>
  <c r="AB777" i="9"/>
  <c r="AB778" i="9"/>
  <c r="AB779" i="9"/>
  <c r="AB780" i="9"/>
  <c r="AB782" i="9"/>
  <c r="AB783" i="9"/>
  <c r="AB784" i="9"/>
  <c r="AB785" i="9"/>
  <c r="AB786" i="9"/>
  <c r="AB787" i="9"/>
  <c r="AB788" i="9"/>
  <c r="AB789" i="9"/>
  <c r="AB790" i="9"/>
  <c r="AB791" i="9"/>
  <c r="AB792" i="9"/>
  <c r="AB793" i="9"/>
  <c r="AB794" i="9"/>
  <c r="AB795" i="9"/>
  <c r="AB796" i="9"/>
  <c r="AB797" i="9"/>
  <c r="AB798" i="9"/>
  <c r="AB799" i="9"/>
  <c r="AB800" i="9"/>
  <c r="AB802" i="9"/>
  <c r="AB804" i="9"/>
  <c r="AB805" i="9"/>
  <c r="AB806" i="9"/>
  <c r="AB807" i="9"/>
  <c r="AB808" i="9"/>
  <c r="AB809" i="9"/>
  <c r="AB810" i="9"/>
  <c r="AB811" i="9"/>
  <c r="AB812" i="9"/>
  <c r="AB813" i="9"/>
  <c r="AB814" i="9"/>
  <c r="AB816" i="9"/>
  <c r="AB817" i="9"/>
  <c r="AB818" i="9"/>
  <c r="AB819" i="9"/>
  <c r="AB821" i="9"/>
  <c r="AB822" i="9"/>
  <c r="AB823" i="9"/>
  <c r="AB824" i="9"/>
  <c r="AB825" i="9"/>
  <c r="AB826" i="9"/>
  <c r="AB827" i="9"/>
  <c r="AB828" i="9"/>
  <c r="AB830" i="9"/>
  <c r="AB831" i="9"/>
  <c r="AB832" i="9"/>
  <c r="AB833" i="9"/>
  <c r="AB835" i="9"/>
  <c r="AB836" i="9"/>
  <c r="AB838" i="9"/>
  <c r="AB839" i="9"/>
  <c r="AB840" i="9"/>
  <c r="AB841" i="9"/>
  <c r="AB842" i="9"/>
  <c r="AB843" i="9"/>
  <c r="AB844" i="9"/>
  <c r="AB845" i="9"/>
  <c r="AB846" i="9"/>
  <c r="AB847" i="9"/>
  <c r="AB848" i="9"/>
  <c r="AB849" i="9"/>
  <c r="AB851" i="9"/>
  <c r="AB852" i="9"/>
  <c r="AB853" i="9"/>
  <c r="AB854" i="9"/>
  <c r="AB855" i="9"/>
  <c r="AB856" i="9"/>
  <c r="AB857" i="9"/>
  <c r="AB858" i="9"/>
  <c r="AB859" i="9"/>
  <c r="AB860" i="9"/>
  <c r="AB861" i="9"/>
  <c r="AB863" i="9"/>
  <c r="AB865" i="9"/>
  <c r="AB866" i="9"/>
  <c r="AB867" i="9"/>
  <c r="AB869" i="9"/>
  <c r="AB870" i="9"/>
  <c r="AB871" i="9"/>
  <c r="AB872" i="9"/>
  <c r="AB873" i="9"/>
  <c r="AB875" i="9"/>
  <c r="AB876" i="9"/>
  <c r="AB877" i="9"/>
  <c r="AB878" i="9"/>
  <c r="AB879" i="9"/>
  <c r="AB880" i="9"/>
  <c r="AB882" i="9"/>
  <c r="AB884" i="9"/>
  <c r="AB885" i="9"/>
  <c r="AB886" i="9"/>
  <c r="AB888" i="9"/>
  <c r="AB889" i="9"/>
  <c r="AB891" i="9"/>
  <c r="AB892" i="9"/>
  <c r="AB893" i="9"/>
  <c r="AB894" i="9"/>
  <c r="AB896" i="9"/>
  <c r="AB897" i="9"/>
  <c r="AB898" i="9"/>
  <c r="AB899" i="9"/>
  <c r="AB900" i="9"/>
  <c r="AB901" i="9"/>
  <c r="AB902" i="9"/>
  <c r="AB904" i="9"/>
  <c r="AB905" i="9"/>
  <c r="AB906" i="9"/>
  <c r="AB907" i="9"/>
  <c r="AB908" i="9"/>
  <c r="AB909" i="9"/>
  <c r="AB911" i="9"/>
  <c r="AB913" i="9"/>
  <c r="AB914" i="9"/>
  <c r="AB915" i="9"/>
  <c r="AB917" i="9"/>
  <c r="AB918" i="9"/>
  <c r="AB919" i="9"/>
  <c r="AB920" i="9"/>
  <c r="AB921" i="9"/>
  <c r="AB923" i="9"/>
  <c r="AB924" i="9"/>
  <c r="AB926" i="9"/>
  <c r="AB927" i="9"/>
  <c r="AB928" i="9"/>
  <c r="AB930" i="9"/>
  <c r="AB931" i="9"/>
  <c r="AB932" i="9"/>
  <c r="AB933" i="9"/>
  <c r="AB934" i="9"/>
  <c r="AB935" i="9"/>
  <c r="AB937" i="9"/>
  <c r="AB938" i="9"/>
  <c r="AB939" i="9"/>
  <c r="AB941" i="9"/>
  <c r="AB942" i="9"/>
  <c r="AB944" i="9"/>
  <c r="AB945" i="9"/>
  <c r="AB946" i="9"/>
  <c r="AB947" i="9"/>
  <c r="AB948" i="9"/>
  <c r="AB949" i="9"/>
  <c r="AB951" i="9"/>
  <c r="AB952" i="9"/>
  <c r="AB953" i="9"/>
  <c r="AB954" i="9"/>
  <c r="AB955" i="9"/>
  <c r="AB956" i="9"/>
  <c r="AB958" i="9"/>
  <c r="AB959" i="9"/>
  <c r="AB960" i="9"/>
  <c r="AB961" i="9"/>
  <c r="AB962" i="9"/>
  <c r="AB963" i="9"/>
  <c r="AB964" i="9"/>
  <c r="AB965" i="9"/>
  <c r="AB966" i="9"/>
  <c r="AB967" i="9"/>
  <c r="AB968" i="9"/>
  <c r="AB970" i="9"/>
  <c r="AB971" i="9"/>
  <c r="AB972" i="9"/>
  <c r="AB973" i="9"/>
  <c r="AB974" i="9"/>
  <c r="AB976" i="9"/>
  <c r="AB977" i="9"/>
  <c r="AB978" i="9"/>
  <c r="AB979" i="9"/>
  <c r="AB980" i="9"/>
  <c r="AB982" i="9"/>
  <c r="AB983" i="9"/>
  <c r="AB984" i="9"/>
  <c r="AB985" i="9"/>
  <c r="AB986" i="9"/>
  <c r="AB987" i="9"/>
  <c r="AB988" i="9"/>
  <c r="AB989" i="9"/>
  <c r="AB990" i="9"/>
  <c r="AB991" i="9"/>
  <c r="AB993" i="9"/>
  <c r="AB994" i="9"/>
  <c r="AB995" i="9"/>
  <c r="AB996" i="9"/>
  <c r="AB997" i="9"/>
  <c r="AB998" i="9"/>
  <c r="AB999" i="9"/>
  <c r="AB1000" i="9"/>
  <c r="AB1002" i="9"/>
  <c r="AB1003" i="9"/>
  <c r="AB1004" i="9"/>
  <c r="AB1005" i="9"/>
  <c r="AB1006" i="9"/>
  <c r="AB1008" i="9"/>
  <c r="AB1009" i="9"/>
  <c r="AB1010" i="9"/>
  <c r="AB1011" i="9"/>
  <c r="AB1012" i="9"/>
  <c r="AB1013" i="9"/>
  <c r="AB1014" i="9"/>
  <c r="AB1015" i="9"/>
  <c r="AB1016" i="9"/>
  <c r="AB1017" i="9"/>
  <c r="AB1019" i="9"/>
  <c r="AB1020" i="9"/>
  <c r="AB1021" i="9"/>
  <c r="AB1022" i="9"/>
  <c r="AB1023" i="9"/>
  <c r="AB1024" i="9"/>
  <c r="AB1025" i="9"/>
  <c r="AB1026" i="9"/>
  <c r="AB1027" i="9"/>
  <c r="AB1028" i="9"/>
  <c r="AB1029" i="9"/>
  <c r="AB1030" i="9"/>
  <c r="AB1032" i="9"/>
  <c r="AB1035" i="9"/>
  <c r="AB1036" i="9"/>
  <c r="AB1037" i="9"/>
  <c r="AB1038" i="9"/>
  <c r="AB1039" i="9"/>
  <c r="AB1040" i="9"/>
  <c r="AB1041" i="9"/>
  <c r="AB1042" i="9"/>
  <c r="AB1043" i="9"/>
  <c r="AB1044" i="9"/>
  <c r="AB1045" i="9"/>
  <c r="AB1046" i="9"/>
  <c r="AB1047" i="9"/>
  <c r="AB1048" i="9"/>
  <c r="AB1050" i="9"/>
  <c r="AB1051" i="9"/>
  <c r="AB1052" i="9"/>
  <c r="AB1053" i="9"/>
  <c r="AB1055" i="9"/>
  <c r="AB1056" i="9"/>
  <c r="AB1057" i="9"/>
  <c r="AB1058" i="9"/>
  <c r="AB1059" i="9"/>
  <c r="AB1060" i="9"/>
  <c r="AB1061" i="9"/>
  <c r="AB1062" i="9"/>
  <c r="AB1063" i="9"/>
  <c r="AB1064" i="9"/>
  <c r="AB1065" i="9"/>
  <c r="AB1067" i="9"/>
  <c r="AB1069" i="9"/>
  <c r="AB1070" i="9"/>
  <c r="AB1071" i="9"/>
  <c r="AB1072" i="9"/>
  <c r="AB1073" i="9"/>
  <c r="AB1075" i="9"/>
  <c r="AB1076" i="9"/>
  <c r="AB1077" i="9"/>
  <c r="AB1078" i="9"/>
  <c r="AB1080" i="9"/>
  <c r="AB1081" i="9"/>
  <c r="AB1082" i="9"/>
  <c r="AB1083" i="9"/>
  <c r="AB1084" i="9"/>
  <c r="AB1086" i="9"/>
  <c r="AB1087" i="9"/>
  <c r="AB1088" i="9"/>
  <c r="AB1089" i="9"/>
  <c r="AB1090" i="9"/>
  <c r="AB1091" i="9"/>
  <c r="AB1092" i="9"/>
  <c r="AB1093" i="9"/>
  <c r="AB1094" i="9"/>
  <c r="AB1095" i="9"/>
  <c r="AB1096" i="9"/>
  <c r="AB1097" i="9"/>
  <c r="AB1099" i="9"/>
  <c r="AB1100" i="9"/>
  <c r="AB1101" i="9"/>
  <c r="AB1102" i="9"/>
  <c r="AB1103" i="9"/>
  <c r="AB1104" i="9"/>
  <c r="AB1105" i="9"/>
  <c r="AB1106" i="9"/>
  <c r="AB1107" i="9"/>
  <c r="AB1108" i="9"/>
  <c r="AB1110" i="9"/>
  <c r="AB1111" i="9"/>
  <c r="AB1112" i="9"/>
  <c r="AB1113" i="9"/>
  <c r="AB1114" i="9"/>
  <c r="AB1115" i="9"/>
  <c r="AB1116" i="9"/>
  <c r="AB1117" i="9"/>
  <c r="AB1119" i="9"/>
  <c r="AB1120" i="9"/>
  <c r="AB1121" i="9"/>
  <c r="AB1122" i="9"/>
  <c r="AB1124" i="9"/>
  <c r="AB1125" i="9"/>
  <c r="AB1126" i="9"/>
  <c r="AB1127" i="9"/>
  <c r="AB1128" i="9"/>
  <c r="AB1129" i="9"/>
  <c r="AB1130" i="9"/>
  <c r="AB1131" i="9"/>
  <c r="AB1132" i="9"/>
  <c r="AB1133" i="9"/>
  <c r="AB1134" i="9"/>
  <c r="AB1135" i="9"/>
  <c r="AB1136" i="9"/>
  <c r="AB1137" i="9"/>
  <c r="AB1138" i="9"/>
  <c r="AB1139" i="9"/>
  <c r="AB1140" i="9"/>
  <c r="AB1141" i="9"/>
  <c r="AB1143" i="9"/>
  <c r="AB1145" i="9"/>
  <c r="AB1146" i="9"/>
  <c r="AB1147" i="9"/>
  <c r="AB1149" i="9"/>
  <c r="AB1150" i="9"/>
  <c r="AB1151" i="9"/>
  <c r="AB1152" i="9"/>
  <c r="AB1153" i="9"/>
  <c r="AB1154" i="9"/>
  <c r="AB1155" i="9"/>
  <c r="AB1156" i="9"/>
  <c r="AB1157" i="9"/>
  <c r="AB1158" i="9"/>
  <c r="AB1159" i="9"/>
  <c r="AB1160" i="9"/>
  <c r="AB1161" i="9"/>
  <c r="AB1162" i="9"/>
  <c r="AB1164" i="9"/>
  <c r="AB1165" i="9"/>
  <c r="AB1166" i="9"/>
  <c r="AB1167" i="9"/>
  <c r="AB1168" i="9"/>
  <c r="AB1169" i="9"/>
  <c r="AB1170" i="9"/>
  <c r="AB1171" i="9"/>
  <c r="AB1172" i="9"/>
  <c r="AB1173" i="9"/>
  <c r="AB1174" i="9"/>
  <c r="AB1175" i="9"/>
  <c r="AB1177" i="9"/>
  <c r="AB1178" i="9"/>
  <c r="AB1180" i="9"/>
  <c r="AB1181" i="9"/>
  <c r="AB1182" i="9"/>
  <c r="AB1183" i="9"/>
  <c r="AB1184" i="9"/>
  <c r="AB1185" i="9"/>
  <c r="AB1187" i="9"/>
  <c r="AB1188" i="9"/>
  <c r="AB1189" i="9"/>
  <c r="AB1190" i="9"/>
  <c r="AB1191" i="9"/>
  <c r="AB1192" i="9"/>
  <c r="AB1193" i="9"/>
  <c r="AB1194" i="9"/>
  <c r="AB1195" i="9"/>
  <c r="AB1196" i="9"/>
  <c r="AB1197" i="9"/>
  <c r="AB1198" i="9"/>
  <c r="AB1199" i="9"/>
  <c r="AB1200" i="9"/>
  <c r="AB1201" i="9"/>
  <c r="AB1202" i="9"/>
  <c r="AB1204" i="9"/>
  <c r="AB1205" i="9"/>
  <c r="AB1206" i="9"/>
  <c r="AB1207" i="9"/>
  <c r="AB1208" i="9"/>
  <c r="AB1209" i="9"/>
  <c r="AB1210" i="9"/>
  <c r="AB1212" i="9"/>
  <c r="AB1213" i="9"/>
  <c r="AB1214" i="9"/>
  <c r="AB1215" i="9"/>
  <c r="AB1216" i="9"/>
  <c r="AB1217" i="9"/>
  <c r="AB1218" i="9"/>
  <c r="AB1219" i="9"/>
  <c r="AB1220" i="9"/>
  <c r="AB1221" i="9"/>
  <c r="AB1222" i="9"/>
  <c r="AB1223" i="9"/>
  <c r="AB1225" i="9"/>
  <c r="AB1226" i="9"/>
  <c r="AB1227" i="9"/>
  <c r="AB1230" i="9"/>
  <c r="AB1231" i="9"/>
  <c r="AB1232" i="9"/>
  <c r="AB1233" i="9"/>
  <c r="AB1234" i="9"/>
  <c r="AB1235" i="9"/>
  <c r="AB1236" i="9"/>
  <c r="AB1238" i="9"/>
  <c r="AB1239" i="9"/>
  <c r="AB1240" i="9"/>
  <c r="AB1241" i="9"/>
  <c r="AB1242" i="9"/>
  <c r="AB1243" i="9"/>
  <c r="AC13" i="9"/>
  <c r="AC14" i="9"/>
  <c r="AC15" i="9"/>
  <c r="AC16" i="9"/>
  <c r="AC17" i="9"/>
  <c r="AC18" i="9"/>
  <c r="AC19" i="9"/>
  <c r="AC20" i="9"/>
  <c r="AC21" i="9"/>
  <c r="AC22" i="9"/>
  <c r="AC23" i="9"/>
  <c r="AC24" i="9"/>
  <c r="AC25" i="9"/>
  <c r="AC26" i="9"/>
  <c r="AC27" i="9"/>
  <c r="AC28" i="9"/>
  <c r="AC29" i="9"/>
  <c r="AC30" i="9"/>
  <c r="AC31" i="9"/>
  <c r="AC32" i="9"/>
  <c r="AC33" i="9"/>
  <c r="AC34" i="9"/>
  <c r="AC35" i="9"/>
  <c r="AC36" i="9"/>
  <c r="AC37" i="9"/>
  <c r="AC38" i="9"/>
  <c r="AC39" i="9"/>
  <c r="AC40" i="9"/>
  <c r="AC41" i="9"/>
  <c r="AC42" i="9"/>
  <c r="AC43" i="9"/>
  <c r="AC44" i="9"/>
  <c r="AC45" i="9"/>
  <c r="AC46" i="9"/>
  <c r="AC47" i="9"/>
  <c r="AC48" i="9"/>
  <c r="AC49" i="9"/>
  <c r="AC50" i="9"/>
  <c r="AC51" i="9"/>
  <c r="AC52" i="9"/>
  <c r="AC53" i="9"/>
  <c r="AC54" i="9"/>
  <c r="AC55" i="9"/>
  <c r="AC56" i="9"/>
  <c r="AC57" i="9"/>
  <c r="AC58" i="9"/>
  <c r="AC59" i="9"/>
  <c r="AC60" i="9"/>
  <c r="AC61" i="9"/>
  <c r="AC62" i="9"/>
  <c r="AC63" i="9"/>
  <c r="AC64" i="9"/>
  <c r="AC65" i="9"/>
  <c r="AC66" i="9"/>
  <c r="AC67" i="9"/>
  <c r="AC68" i="9"/>
  <c r="AC69" i="9"/>
  <c r="AC70" i="9"/>
  <c r="AC71" i="9"/>
  <c r="AC72" i="9"/>
  <c r="AC73" i="9"/>
  <c r="AC74" i="9"/>
  <c r="AC75" i="9"/>
  <c r="AC76" i="9"/>
  <c r="AC77" i="9"/>
  <c r="AC78" i="9"/>
  <c r="AC79" i="9"/>
  <c r="AC80" i="9"/>
  <c r="AC81" i="9"/>
  <c r="AC82" i="9"/>
  <c r="AC83" i="9"/>
  <c r="AC84" i="9"/>
  <c r="AC85" i="9"/>
  <c r="AC86" i="9"/>
  <c r="AC87" i="9"/>
  <c r="AC88" i="9"/>
  <c r="AC89" i="9"/>
  <c r="AC90" i="9"/>
  <c r="AC91" i="9"/>
  <c r="AC92" i="9"/>
  <c r="AC93" i="9"/>
  <c r="AC94" i="9"/>
  <c r="AC95" i="9"/>
  <c r="AC96" i="9"/>
  <c r="AC97" i="9"/>
  <c r="AC98" i="9"/>
  <c r="AC99" i="9"/>
  <c r="AC100" i="9"/>
  <c r="AC101" i="9"/>
  <c r="AC102" i="9"/>
  <c r="AC103" i="9"/>
  <c r="AC104" i="9"/>
  <c r="AC105" i="9"/>
  <c r="AC106" i="9"/>
  <c r="AC107" i="9"/>
  <c r="AC108" i="9"/>
  <c r="AC109" i="9"/>
  <c r="AC110" i="9"/>
  <c r="AC111" i="9"/>
  <c r="AC112" i="9"/>
  <c r="AC113" i="9"/>
  <c r="AC114" i="9"/>
  <c r="AC115" i="9"/>
  <c r="AC116" i="9"/>
  <c r="AC117" i="9"/>
  <c r="AC118" i="9"/>
  <c r="AC119" i="9"/>
  <c r="AC120" i="9"/>
  <c r="AC121" i="9"/>
  <c r="AC122" i="9"/>
  <c r="AC123" i="9"/>
  <c r="AC124" i="9"/>
  <c r="AC125" i="9"/>
  <c r="AC126" i="9"/>
  <c r="AC127" i="9"/>
  <c r="AC128" i="9"/>
  <c r="AC129" i="9"/>
  <c r="AC130" i="9"/>
  <c r="AC131" i="9"/>
  <c r="AC132" i="9"/>
  <c r="AC133" i="9"/>
  <c r="AC134" i="9"/>
  <c r="AC135" i="9"/>
  <c r="AC136" i="9"/>
  <c r="AC137" i="9"/>
  <c r="AC138" i="9"/>
  <c r="AC139" i="9"/>
  <c r="AC140" i="9"/>
  <c r="AC141" i="9"/>
  <c r="AC142" i="9"/>
  <c r="AC143" i="9"/>
  <c r="AC144" i="9"/>
  <c r="AC145" i="9"/>
  <c r="AC146" i="9"/>
  <c r="AC147" i="9"/>
  <c r="AC148" i="9"/>
  <c r="AC149" i="9"/>
  <c r="AC150" i="9"/>
  <c r="AC151" i="9"/>
  <c r="AC152" i="9"/>
  <c r="AC153" i="9"/>
  <c r="AC154" i="9"/>
  <c r="AC155" i="9"/>
  <c r="AC156" i="9"/>
  <c r="AC157" i="9"/>
  <c r="AC158" i="9"/>
  <c r="AC159" i="9"/>
  <c r="AC160" i="9"/>
  <c r="AC161" i="9"/>
  <c r="AC162" i="9"/>
  <c r="AC163" i="9"/>
  <c r="AC164" i="9"/>
  <c r="AC165" i="9"/>
  <c r="AC166" i="9"/>
  <c r="AC167" i="9"/>
  <c r="AC168" i="9"/>
  <c r="AC169" i="9"/>
  <c r="AC170" i="9"/>
  <c r="AC171" i="9"/>
  <c r="AC172" i="9"/>
  <c r="AC173" i="9"/>
  <c r="AC174" i="9"/>
  <c r="AC175" i="9"/>
  <c r="AC176" i="9"/>
  <c r="AC177" i="9"/>
  <c r="AC178" i="9"/>
  <c r="AC179" i="9"/>
  <c r="AC180" i="9"/>
  <c r="AC181" i="9"/>
  <c r="AC182" i="9"/>
  <c r="AC183" i="9"/>
  <c r="AC184" i="9"/>
  <c r="AC185" i="9"/>
  <c r="AC186" i="9"/>
  <c r="AC187" i="9"/>
  <c r="AC188" i="9"/>
  <c r="AC189" i="9"/>
  <c r="AC190" i="9"/>
  <c r="AC191" i="9"/>
  <c r="AC192" i="9"/>
  <c r="AC193" i="9"/>
  <c r="AC194" i="9"/>
  <c r="AC195" i="9"/>
  <c r="AC196" i="9"/>
  <c r="AC197" i="9"/>
  <c r="AC198" i="9"/>
  <c r="AC199" i="9"/>
  <c r="AC200" i="9"/>
  <c r="AC201" i="9"/>
  <c r="AC202" i="9"/>
  <c r="AC203" i="9"/>
  <c r="AC204" i="9"/>
  <c r="AC205" i="9"/>
  <c r="AC206" i="9"/>
  <c r="AC207" i="9"/>
  <c r="AC208" i="9"/>
  <c r="AC209" i="9"/>
  <c r="AC210" i="9"/>
  <c r="AC211" i="9"/>
  <c r="AC212" i="9"/>
  <c r="AC213" i="9"/>
  <c r="AC214" i="9"/>
  <c r="AC215" i="9"/>
  <c r="AC216" i="9"/>
  <c r="AC217" i="9"/>
  <c r="AC218" i="9"/>
  <c r="AC219" i="9"/>
  <c r="AC220" i="9"/>
  <c r="AC221" i="9"/>
  <c r="AC222" i="9"/>
  <c r="AC223" i="9"/>
  <c r="AC224" i="9"/>
  <c r="AC225" i="9"/>
  <c r="AC226" i="9"/>
  <c r="AC227" i="9"/>
  <c r="AC228" i="9"/>
  <c r="AC229" i="9"/>
  <c r="AC230" i="9"/>
  <c r="AC231" i="9"/>
  <c r="AC232" i="9"/>
  <c r="AC233" i="9"/>
  <c r="AC234" i="9"/>
  <c r="AC235" i="9"/>
  <c r="AC236" i="9"/>
  <c r="AC237" i="9"/>
  <c r="AC238" i="9"/>
  <c r="AC239" i="9"/>
  <c r="AC240" i="9"/>
  <c r="AC241" i="9"/>
  <c r="AC242" i="9"/>
  <c r="AC243" i="9"/>
  <c r="AC244" i="9"/>
  <c r="AC245" i="9"/>
  <c r="AC246" i="9"/>
  <c r="AC247" i="9"/>
  <c r="AC248" i="9"/>
  <c r="AC249" i="9"/>
  <c r="AC250" i="9"/>
  <c r="AC251" i="9"/>
  <c r="AC252" i="9"/>
  <c r="AC253" i="9"/>
  <c r="AC254" i="9"/>
  <c r="AC255" i="9"/>
  <c r="AC256" i="9"/>
  <c r="AC257" i="9"/>
  <c r="AC258" i="9"/>
  <c r="AC259" i="9"/>
  <c r="AC260" i="9"/>
  <c r="AC261" i="9"/>
  <c r="AC262" i="9"/>
  <c r="AC263" i="9"/>
  <c r="AC264" i="9"/>
  <c r="AC265" i="9"/>
  <c r="AC266" i="9"/>
  <c r="AC267" i="9"/>
  <c r="AC268" i="9"/>
  <c r="AC269" i="9"/>
  <c r="AC270" i="9"/>
  <c r="AC271" i="9"/>
  <c r="AC272" i="9"/>
  <c r="AC273" i="9"/>
  <c r="AC274" i="9"/>
  <c r="AC275" i="9"/>
  <c r="AC276" i="9"/>
  <c r="AC277" i="9"/>
  <c r="AC278" i="9"/>
  <c r="AC279" i="9"/>
  <c r="AC280" i="9"/>
  <c r="AC281" i="9"/>
  <c r="AC282" i="9"/>
  <c r="AC283" i="9"/>
  <c r="AC284" i="9"/>
  <c r="AC285" i="9"/>
  <c r="AC286" i="9"/>
  <c r="AC287" i="9"/>
  <c r="AC288" i="9"/>
  <c r="AC289" i="9"/>
  <c r="AC290" i="9"/>
  <c r="AC291" i="9"/>
  <c r="AC292" i="9"/>
  <c r="AC293" i="9"/>
  <c r="AC294" i="9"/>
  <c r="AC295" i="9"/>
  <c r="AC296" i="9"/>
  <c r="AC297" i="9"/>
  <c r="AC298" i="9"/>
  <c r="AC299" i="9"/>
  <c r="AC300" i="9"/>
  <c r="AC301" i="9"/>
  <c r="AC302" i="9"/>
  <c r="AC303" i="9"/>
  <c r="AC304" i="9"/>
  <c r="AC305" i="9"/>
  <c r="AC306" i="9"/>
  <c r="AC307" i="9"/>
  <c r="AC308" i="9"/>
  <c r="AC309" i="9"/>
  <c r="AC310" i="9"/>
  <c r="AC311" i="9"/>
  <c r="AC312" i="9"/>
  <c r="AC313" i="9"/>
  <c r="AC314" i="9"/>
  <c r="AC315" i="9"/>
  <c r="AC316" i="9"/>
  <c r="AC317" i="9"/>
  <c r="AC318" i="9"/>
  <c r="AC319" i="9"/>
  <c r="AC320" i="9"/>
  <c r="AC321" i="9"/>
  <c r="AC322" i="9"/>
  <c r="AC323" i="9"/>
  <c r="AC324" i="9"/>
  <c r="AC325" i="9"/>
  <c r="AC326" i="9"/>
  <c r="AC327" i="9"/>
  <c r="AC328" i="9"/>
  <c r="AC329" i="9"/>
  <c r="AC330" i="9"/>
  <c r="AC331" i="9"/>
  <c r="AC332" i="9"/>
  <c r="AC333" i="9"/>
  <c r="AC334" i="9"/>
  <c r="AC335" i="9"/>
  <c r="AC336" i="9"/>
  <c r="AC337" i="9"/>
  <c r="AC338" i="9"/>
  <c r="AC339" i="9"/>
  <c r="AC340" i="9"/>
  <c r="AC341" i="9"/>
  <c r="AC342" i="9"/>
  <c r="AC343" i="9"/>
  <c r="AC344" i="9"/>
  <c r="AC345" i="9"/>
  <c r="AC346" i="9"/>
  <c r="AC347" i="9"/>
  <c r="AC348" i="9"/>
  <c r="AC349" i="9"/>
  <c r="AC350" i="9"/>
  <c r="AC351" i="9"/>
  <c r="AC352" i="9"/>
  <c r="AC353" i="9"/>
  <c r="AC354" i="9"/>
  <c r="AC355" i="9"/>
  <c r="AC356" i="9"/>
  <c r="AC357" i="9"/>
  <c r="AC358" i="9"/>
  <c r="AC359" i="9"/>
  <c r="AC360" i="9"/>
  <c r="AC361" i="9"/>
  <c r="AC362" i="9"/>
  <c r="AC363" i="9"/>
  <c r="AC364" i="9"/>
  <c r="AC365" i="9"/>
  <c r="AC366" i="9"/>
  <c r="AC367" i="9"/>
  <c r="AC368" i="9"/>
  <c r="AC369" i="9"/>
  <c r="AC370" i="9"/>
  <c r="AC371" i="9"/>
  <c r="AC372" i="9"/>
  <c r="AC373" i="9"/>
  <c r="AC374" i="9"/>
  <c r="AC375" i="9"/>
  <c r="AC376" i="9"/>
  <c r="AC377" i="9"/>
  <c r="AC378" i="9"/>
  <c r="AC379" i="9"/>
  <c r="AC380" i="9"/>
  <c r="AC381" i="9"/>
  <c r="AC382" i="9"/>
  <c r="AC383" i="9"/>
  <c r="AC384" i="9"/>
  <c r="AC385" i="9"/>
  <c r="AC386" i="9"/>
  <c r="AC387" i="9"/>
  <c r="AC388" i="9"/>
  <c r="AC389" i="9"/>
  <c r="AC390" i="9"/>
  <c r="AC391" i="9"/>
  <c r="AC392" i="9"/>
  <c r="AC393" i="9"/>
  <c r="AC394" i="9"/>
  <c r="AC395" i="9"/>
  <c r="AC396" i="9"/>
  <c r="AC397" i="9"/>
  <c r="AC398" i="9"/>
  <c r="AC399" i="9"/>
  <c r="AC400" i="9"/>
  <c r="AC401" i="9"/>
  <c r="AC402" i="9"/>
  <c r="AC403" i="9"/>
  <c r="AC404" i="9"/>
  <c r="AC405" i="9"/>
  <c r="AC406" i="9"/>
  <c r="AC407" i="9"/>
  <c r="AC408" i="9"/>
  <c r="AC409" i="9"/>
  <c r="AC410" i="9"/>
  <c r="AC411" i="9"/>
  <c r="AC412" i="9"/>
  <c r="AC413" i="9"/>
  <c r="AC414" i="9"/>
  <c r="AC415" i="9"/>
  <c r="AC416" i="9"/>
  <c r="AC417" i="9"/>
  <c r="AC418" i="9"/>
  <c r="AC419" i="9"/>
  <c r="AC420" i="9"/>
  <c r="AC421" i="9"/>
  <c r="AC422" i="9"/>
  <c r="AC423" i="9"/>
  <c r="AC424" i="9"/>
  <c r="AC425" i="9"/>
  <c r="AC426" i="9"/>
  <c r="AC427" i="9"/>
  <c r="AC428" i="9"/>
  <c r="AC429" i="9"/>
  <c r="AC430" i="9"/>
  <c r="AC431" i="9"/>
  <c r="AC432" i="9"/>
  <c r="AC433" i="9"/>
  <c r="AC434" i="9"/>
  <c r="AC435" i="9"/>
  <c r="AC436" i="9"/>
  <c r="AC437" i="9"/>
  <c r="AC438" i="9"/>
  <c r="AC439" i="9"/>
  <c r="AC440" i="9"/>
  <c r="AC441" i="9"/>
  <c r="AC442" i="9"/>
  <c r="AC443" i="9"/>
  <c r="AC444" i="9"/>
  <c r="AC445" i="9"/>
  <c r="AC446" i="9"/>
  <c r="AC447" i="9"/>
  <c r="AC448" i="9"/>
  <c r="AC449" i="9"/>
  <c r="AC450" i="9"/>
  <c r="AC451" i="9"/>
  <c r="AC452" i="9"/>
  <c r="AC453" i="9"/>
  <c r="AC454" i="9"/>
  <c r="AC455" i="9"/>
  <c r="AC456" i="9"/>
  <c r="AC457" i="9"/>
  <c r="AC458" i="9"/>
  <c r="AC459" i="9"/>
  <c r="AC460" i="9"/>
  <c r="AC461" i="9"/>
  <c r="AC462" i="9"/>
  <c r="AC463" i="9"/>
  <c r="AC464" i="9"/>
  <c r="AC465" i="9"/>
  <c r="AC466" i="9"/>
  <c r="AC467" i="9"/>
  <c r="AC468" i="9"/>
  <c r="AC469" i="9"/>
  <c r="AC470" i="9"/>
  <c r="AC471" i="9"/>
  <c r="AC472" i="9"/>
  <c r="AC473" i="9"/>
  <c r="AC474" i="9"/>
  <c r="AC475" i="9"/>
  <c r="AC476" i="9"/>
  <c r="AC477" i="9"/>
  <c r="AC478" i="9"/>
  <c r="AC479" i="9"/>
  <c r="AC480" i="9"/>
  <c r="AC481" i="9"/>
  <c r="AC482" i="9"/>
  <c r="AC483" i="9"/>
  <c r="AC484" i="9"/>
  <c r="AC485" i="9"/>
  <c r="AC486" i="9"/>
  <c r="AC487" i="9"/>
  <c r="AC488" i="9"/>
  <c r="AC489" i="9"/>
  <c r="AC490" i="9"/>
  <c r="AC491" i="9"/>
  <c r="AC492" i="9"/>
  <c r="AC493" i="9"/>
  <c r="AC494" i="9"/>
  <c r="AC495" i="9"/>
  <c r="AC496" i="9"/>
  <c r="AC497" i="9"/>
  <c r="AC498" i="9"/>
  <c r="AC499" i="9"/>
  <c r="AC500" i="9"/>
  <c r="AC501" i="9"/>
  <c r="AC502" i="9"/>
  <c r="AC503" i="9"/>
  <c r="AC504" i="9"/>
  <c r="AC505" i="9"/>
  <c r="AC506" i="9"/>
  <c r="AC507" i="9"/>
  <c r="AC508" i="9"/>
  <c r="AC509" i="9"/>
  <c r="AC510" i="9"/>
  <c r="AC511" i="9"/>
  <c r="AC512" i="9"/>
  <c r="AC513" i="9"/>
  <c r="AC514" i="9"/>
  <c r="AC515" i="9"/>
  <c r="AC516" i="9"/>
  <c r="AC517" i="9"/>
  <c r="AC518" i="9"/>
  <c r="AC519" i="9"/>
  <c r="AC520" i="9"/>
  <c r="AC521" i="9"/>
  <c r="AC522" i="9"/>
  <c r="AC523" i="9"/>
  <c r="AC524" i="9"/>
  <c r="AC525" i="9"/>
  <c r="AC526" i="9"/>
  <c r="AC527" i="9"/>
  <c r="AC528" i="9"/>
  <c r="AC529" i="9"/>
  <c r="AC530" i="9"/>
  <c r="AC531" i="9"/>
  <c r="AC532" i="9"/>
  <c r="AC533" i="9"/>
  <c r="AC534" i="9"/>
  <c r="AC535" i="9"/>
  <c r="AC536" i="9"/>
  <c r="AC537" i="9"/>
  <c r="AC538" i="9"/>
  <c r="AC539" i="9"/>
  <c r="AC540" i="9"/>
  <c r="AC541" i="9"/>
  <c r="AC542" i="9"/>
  <c r="AC543" i="9"/>
  <c r="AC544" i="9"/>
  <c r="AC545" i="9"/>
  <c r="AC546" i="9"/>
  <c r="AC547" i="9"/>
  <c r="AC548" i="9"/>
  <c r="AC549" i="9"/>
  <c r="AC550" i="9"/>
  <c r="AC551" i="9"/>
  <c r="AC552" i="9"/>
  <c r="AC553" i="9"/>
  <c r="AC554" i="9"/>
  <c r="AC555" i="9"/>
  <c r="AC556" i="9"/>
  <c r="AC557" i="9"/>
  <c r="AC558" i="9"/>
  <c r="AC559" i="9"/>
  <c r="AC560" i="9"/>
  <c r="AC561" i="9"/>
  <c r="AC562" i="9"/>
  <c r="AC563" i="9"/>
  <c r="AC564" i="9"/>
  <c r="AC565" i="9"/>
  <c r="AC566" i="9"/>
  <c r="AC567" i="9"/>
  <c r="AC568" i="9"/>
  <c r="AC569" i="9"/>
  <c r="AC570" i="9"/>
  <c r="AC571" i="9"/>
  <c r="AC572" i="9"/>
  <c r="AC573" i="9"/>
  <c r="AC574" i="9"/>
  <c r="AC575" i="9"/>
  <c r="AC576" i="9"/>
  <c r="AC577" i="9"/>
  <c r="AC578" i="9"/>
  <c r="AC579" i="9"/>
  <c r="AC580" i="9"/>
  <c r="AC581" i="9"/>
  <c r="AC582" i="9"/>
  <c r="AC583" i="9"/>
  <c r="AC584" i="9"/>
  <c r="AC585" i="9"/>
  <c r="AC586" i="9"/>
  <c r="AC587" i="9"/>
  <c r="AC588" i="9"/>
  <c r="AC589" i="9"/>
  <c r="AC590" i="9"/>
  <c r="AC591" i="9"/>
  <c r="AC592" i="9"/>
  <c r="AC593" i="9"/>
  <c r="AC594" i="9"/>
  <c r="AC595" i="9"/>
  <c r="AC596" i="9"/>
  <c r="AC597" i="9"/>
  <c r="AC598" i="9"/>
  <c r="AC599" i="9"/>
  <c r="AC600" i="9"/>
  <c r="AC601" i="9"/>
  <c r="AC602" i="9"/>
  <c r="AC603" i="9"/>
  <c r="AC604" i="9"/>
  <c r="AC605" i="9"/>
  <c r="AC606" i="9"/>
  <c r="AC607" i="9"/>
  <c r="AC608" i="9"/>
  <c r="AC609" i="9"/>
  <c r="AC610" i="9"/>
  <c r="AC611" i="9"/>
  <c r="AC612" i="9"/>
  <c r="AC613" i="9"/>
  <c r="AC614" i="9"/>
  <c r="AC615" i="9"/>
  <c r="AC616" i="9"/>
  <c r="AC617" i="9"/>
  <c r="AC618" i="9"/>
  <c r="AC619" i="9"/>
  <c r="AC620" i="9"/>
  <c r="AC621" i="9"/>
  <c r="AC622" i="9"/>
  <c r="AC623" i="9"/>
  <c r="AC624" i="9"/>
  <c r="AC625" i="9"/>
  <c r="AC626" i="9"/>
  <c r="AC627" i="9"/>
  <c r="AC628" i="9"/>
  <c r="AC629" i="9"/>
  <c r="AC630" i="9"/>
  <c r="AC631" i="9"/>
  <c r="AC632" i="9"/>
  <c r="AC633" i="9"/>
  <c r="AC634" i="9"/>
  <c r="AC635" i="9"/>
  <c r="AC636" i="9"/>
  <c r="AC637" i="9"/>
  <c r="AC638" i="9"/>
  <c r="AC639" i="9"/>
  <c r="AC640" i="9"/>
  <c r="AC641" i="9"/>
  <c r="AC642" i="9"/>
  <c r="AC643" i="9"/>
  <c r="AC644" i="9"/>
  <c r="AC645" i="9"/>
  <c r="AC646" i="9"/>
  <c r="AC647" i="9"/>
  <c r="AC648" i="9"/>
  <c r="AC649" i="9"/>
  <c r="AC650" i="9"/>
  <c r="AC651" i="9"/>
  <c r="AC652" i="9"/>
  <c r="AC653" i="9"/>
  <c r="AC654" i="9"/>
  <c r="AC655" i="9"/>
  <c r="AC656" i="9"/>
  <c r="AC657" i="9"/>
  <c r="AC658" i="9"/>
  <c r="AC659" i="9"/>
  <c r="AC660" i="9"/>
  <c r="AC661" i="9"/>
  <c r="AC662" i="9"/>
  <c r="AC663" i="9"/>
  <c r="AC664" i="9"/>
  <c r="AC665" i="9"/>
  <c r="AC666" i="9"/>
  <c r="AC667" i="9"/>
  <c r="AC668" i="9"/>
  <c r="AC669" i="9"/>
  <c r="AC670" i="9"/>
  <c r="AC671" i="9"/>
  <c r="AC672" i="9"/>
  <c r="AC673" i="9"/>
  <c r="AC674" i="9"/>
  <c r="AC675" i="9"/>
  <c r="AC676" i="9"/>
  <c r="AC677" i="9"/>
  <c r="AC678" i="9"/>
  <c r="AC679" i="9"/>
  <c r="AC680" i="9"/>
  <c r="AC681" i="9"/>
  <c r="AC682" i="9"/>
  <c r="AC683" i="9"/>
  <c r="AC684" i="9"/>
  <c r="AC685" i="9"/>
  <c r="AC686" i="9"/>
  <c r="AC687" i="9"/>
  <c r="AC688" i="9"/>
  <c r="AC689" i="9"/>
  <c r="AC690" i="9"/>
  <c r="AC691" i="9"/>
  <c r="AC692" i="9"/>
  <c r="AC693" i="9"/>
  <c r="AC694" i="9"/>
  <c r="AC695" i="9"/>
  <c r="AC696" i="9"/>
  <c r="AC697" i="9"/>
  <c r="AC698" i="9"/>
  <c r="AC699" i="9"/>
  <c r="AC700" i="9"/>
  <c r="AC701" i="9"/>
  <c r="AC702" i="9"/>
  <c r="AC703" i="9"/>
  <c r="AC704" i="9"/>
  <c r="AC705" i="9"/>
  <c r="AC706" i="9"/>
  <c r="AC707" i="9"/>
  <c r="AC708" i="9"/>
  <c r="AC709" i="9"/>
  <c r="AC710" i="9"/>
  <c r="AC711" i="9"/>
  <c r="AC712" i="9"/>
  <c r="AC713" i="9"/>
  <c r="AC714" i="9"/>
  <c r="AC715" i="9"/>
  <c r="AC716" i="9"/>
  <c r="AC717" i="9"/>
  <c r="AC718" i="9"/>
  <c r="AC719" i="9"/>
  <c r="AC720" i="9"/>
  <c r="AC721" i="9"/>
  <c r="AC722" i="9"/>
  <c r="AC723" i="9"/>
  <c r="AC724" i="9"/>
  <c r="AC725" i="9"/>
  <c r="AC726" i="9"/>
  <c r="AC727" i="9"/>
  <c r="AC728" i="9"/>
  <c r="AC729" i="9"/>
  <c r="AC730" i="9"/>
  <c r="AC731" i="9"/>
  <c r="AC732" i="9"/>
  <c r="AC733" i="9"/>
  <c r="AC734" i="9"/>
  <c r="AC735" i="9"/>
  <c r="AC736" i="9"/>
  <c r="AC737" i="9"/>
  <c r="AC738" i="9"/>
  <c r="AC739" i="9"/>
  <c r="AC740" i="9"/>
  <c r="AC741" i="9"/>
  <c r="AC742" i="9"/>
  <c r="AC743" i="9"/>
  <c r="AC744" i="9"/>
  <c r="AC745" i="9"/>
  <c r="AC746" i="9"/>
  <c r="AC747" i="9"/>
  <c r="AC748" i="9"/>
  <c r="AC749" i="9"/>
  <c r="AC750" i="9"/>
  <c r="AC751" i="9"/>
  <c r="AC752" i="9"/>
  <c r="AC753" i="9"/>
  <c r="AC754" i="9"/>
  <c r="AC755" i="9"/>
  <c r="AC756" i="9"/>
  <c r="AC757" i="9"/>
  <c r="AC758" i="9"/>
  <c r="AC759" i="9"/>
  <c r="AC760" i="9"/>
  <c r="AC761" i="9"/>
  <c r="AC762" i="9"/>
  <c r="AC763" i="9"/>
  <c r="AC764" i="9"/>
  <c r="AC765" i="9"/>
  <c r="AC766" i="9"/>
  <c r="AC767" i="9"/>
  <c r="AC768" i="9"/>
  <c r="AC769" i="9"/>
  <c r="AC770" i="9"/>
  <c r="AC771" i="9"/>
  <c r="AC772" i="9"/>
  <c r="AC773" i="9"/>
  <c r="AC774" i="9"/>
  <c r="AC775" i="9"/>
  <c r="AC776" i="9"/>
  <c r="AC777" i="9"/>
  <c r="AC778" i="9"/>
  <c r="AC779" i="9"/>
  <c r="AC780" i="9"/>
  <c r="AC781" i="9"/>
  <c r="AC782" i="9"/>
  <c r="AC783" i="9"/>
  <c r="AC784" i="9"/>
  <c r="AC785" i="9"/>
  <c r="AC786" i="9"/>
  <c r="AC787" i="9"/>
  <c r="AC788" i="9"/>
  <c r="AC789" i="9"/>
  <c r="AC790" i="9"/>
  <c r="AC791" i="9"/>
  <c r="AC792" i="9"/>
  <c r="AC793" i="9"/>
  <c r="AC794" i="9"/>
  <c r="AC795" i="9"/>
  <c r="AC796" i="9"/>
  <c r="AC797" i="9"/>
  <c r="AC798" i="9"/>
  <c r="AC799" i="9"/>
  <c r="AC800" i="9"/>
  <c r="AC801" i="9"/>
  <c r="AC802" i="9"/>
  <c r="AC803" i="9"/>
  <c r="AC804" i="9"/>
  <c r="AC805" i="9"/>
  <c r="AC806" i="9"/>
  <c r="AC807" i="9"/>
  <c r="AC808" i="9"/>
  <c r="AC809" i="9"/>
  <c r="AC810" i="9"/>
  <c r="AC811" i="9"/>
  <c r="AC812" i="9"/>
  <c r="AC813" i="9"/>
  <c r="AC814" i="9"/>
  <c r="AC815" i="9"/>
  <c r="AC816" i="9"/>
  <c r="AC817" i="9"/>
  <c r="AC818" i="9"/>
  <c r="AC819" i="9"/>
  <c r="AC820" i="9"/>
  <c r="AC821" i="9"/>
  <c r="AC822" i="9"/>
  <c r="AC823" i="9"/>
  <c r="AC824" i="9"/>
  <c r="AC825" i="9"/>
  <c r="AC826" i="9"/>
  <c r="AC827" i="9"/>
  <c r="AC828" i="9"/>
  <c r="AC829" i="9"/>
  <c r="AC830" i="9"/>
  <c r="AC831" i="9"/>
  <c r="AC832" i="9"/>
  <c r="AC833" i="9"/>
  <c r="AC834" i="9"/>
  <c r="AC835" i="9"/>
  <c r="AC836" i="9"/>
  <c r="AC837" i="9"/>
  <c r="AC838" i="9"/>
  <c r="AC839" i="9"/>
  <c r="AC840" i="9"/>
  <c r="AC841" i="9"/>
  <c r="AC842" i="9"/>
  <c r="AC843" i="9"/>
  <c r="AC844" i="9"/>
  <c r="AC845" i="9"/>
  <c r="AC846" i="9"/>
  <c r="AC847" i="9"/>
  <c r="AC848" i="9"/>
  <c r="AC849" i="9"/>
  <c r="AC850" i="9"/>
  <c r="AC851" i="9"/>
  <c r="AC852" i="9"/>
  <c r="AC853" i="9"/>
  <c r="AC854" i="9"/>
  <c r="AC855" i="9"/>
  <c r="AC856" i="9"/>
  <c r="AC857" i="9"/>
  <c r="AC858" i="9"/>
  <c r="AC859" i="9"/>
  <c r="AC860" i="9"/>
  <c r="AC861" i="9"/>
  <c r="AC862" i="9"/>
  <c r="AC863" i="9"/>
  <c r="AC864" i="9"/>
  <c r="AC865" i="9"/>
  <c r="AC866" i="9"/>
  <c r="AC867" i="9"/>
  <c r="AC868" i="9"/>
  <c r="AC869" i="9"/>
  <c r="AC870" i="9"/>
  <c r="AC871" i="9"/>
  <c r="AC872" i="9"/>
  <c r="AC873" i="9"/>
  <c r="AC874" i="9"/>
  <c r="AC875" i="9"/>
  <c r="AC876" i="9"/>
  <c r="AC877" i="9"/>
  <c r="AC878" i="9"/>
  <c r="AC879" i="9"/>
  <c r="AC880" i="9"/>
  <c r="AC881" i="9"/>
  <c r="AC882" i="9"/>
  <c r="AC883" i="9"/>
  <c r="AC884" i="9"/>
  <c r="AC885" i="9"/>
  <c r="AC886" i="9"/>
  <c r="AC887" i="9"/>
  <c r="AC888" i="9"/>
  <c r="AC889" i="9"/>
  <c r="AC890" i="9"/>
  <c r="AC891" i="9"/>
  <c r="AC892" i="9"/>
  <c r="AC893" i="9"/>
  <c r="AC894" i="9"/>
  <c r="AC895" i="9"/>
  <c r="AC896" i="9"/>
  <c r="AC897" i="9"/>
  <c r="AC898" i="9"/>
  <c r="AC899" i="9"/>
  <c r="AC900" i="9"/>
  <c r="AC901" i="9"/>
  <c r="AC902" i="9"/>
  <c r="AC903" i="9"/>
  <c r="AC904" i="9"/>
  <c r="AC905" i="9"/>
  <c r="AC906" i="9"/>
  <c r="AC907" i="9"/>
  <c r="AC908" i="9"/>
  <c r="AC909" i="9"/>
  <c r="AC910" i="9"/>
  <c r="AC911" i="9"/>
  <c r="AC912" i="9"/>
  <c r="AC913" i="9"/>
  <c r="AC914" i="9"/>
  <c r="AC915" i="9"/>
  <c r="AC916" i="9"/>
  <c r="AC917" i="9"/>
  <c r="AC918" i="9"/>
  <c r="AC919" i="9"/>
  <c r="AC920" i="9"/>
  <c r="AC921" i="9"/>
  <c r="AC922" i="9"/>
  <c r="AC923" i="9"/>
  <c r="AC924" i="9"/>
  <c r="AC925" i="9"/>
  <c r="AC926" i="9"/>
  <c r="AC927" i="9"/>
  <c r="AC928" i="9"/>
  <c r="AC929" i="9"/>
  <c r="AC930" i="9"/>
  <c r="AC931" i="9"/>
  <c r="AC932" i="9"/>
  <c r="AC933" i="9"/>
  <c r="AC934" i="9"/>
  <c r="AC935" i="9"/>
  <c r="AC936" i="9"/>
  <c r="AC937" i="9"/>
  <c r="AC938" i="9"/>
  <c r="AC939" i="9"/>
  <c r="AC940" i="9"/>
  <c r="AC941" i="9"/>
  <c r="AC942" i="9"/>
  <c r="AC943" i="9"/>
  <c r="AC944" i="9"/>
  <c r="AC945" i="9"/>
  <c r="AC946" i="9"/>
  <c r="AC947" i="9"/>
  <c r="AC948" i="9"/>
  <c r="AC949" i="9"/>
  <c r="AC950" i="9"/>
  <c r="AC951" i="9"/>
  <c r="AC952" i="9"/>
  <c r="AC953" i="9"/>
  <c r="AC954" i="9"/>
  <c r="AC955" i="9"/>
  <c r="AC956" i="9"/>
  <c r="AC957" i="9"/>
  <c r="AC958" i="9"/>
  <c r="AC959" i="9"/>
  <c r="AC960" i="9"/>
  <c r="AC961" i="9"/>
  <c r="AC962" i="9"/>
  <c r="AC963" i="9"/>
  <c r="AC964" i="9"/>
  <c r="AC965" i="9"/>
  <c r="AC966" i="9"/>
  <c r="AC967" i="9"/>
  <c r="AC968" i="9"/>
  <c r="AC969" i="9"/>
  <c r="AC970" i="9"/>
  <c r="AC971" i="9"/>
  <c r="AC972" i="9"/>
  <c r="AC973" i="9"/>
  <c r="AC974" i="9"/>
  <c r="AC975" i="9"/>
  <c r="AC976" i="9"/>
  <c r="AC977" i="9"/>
  <c r="AC978" i="9"/>
  <c r="AC979" i="9"/>
  <c r="AC980" i="9"/>
  <c r="AC981" i="9"/>
  <c r="AC982" i="9"/>
  <c r="AC983" i="9"/>
  <c r="AC984" i="9"/>
  <c r="AC985" i="9"/>
  <c r="AC986" i="9"/>
  <c r="AC987" i="9"/>
  <c r="AC988" i="9"/>
  <c r="AC989" i="9"/>
  <c r="AC990" i="9"/>
  <c r="AC991" i="9"/>
  <c r="AC992" i="9"/>
  <c r="AC993" i="9"/>
  <c r="AC994" i="9"/>
  <c r="AC995" i="9"/>
  <c r="AC996" i="9"/>
  <c r="AC997" i="9"/>
  <c r="AC998" i="9"/>
  <c r="AC999" i="9"/>
  <c r="AC1000" i="9"/>
  <c r="X995" i="9" s="1"/>
  <c r="AC1001" i="9"/>
  <c r="AC1002" i="9"/>
  <c r="AC1003" i="9"/>
  <c r="AC1004" i="9"/>
  <c r="AC1005" i="9"/>
  <c r="AC1006" i="9"/>
  <c r="AC1007" i="9"/>
  <c r="AC1008" i="9"/>
  <c r="AC1009" i="9"/>
  <c r="AC1010" i="9"/>
  <c r="AC1011" i="9"/>
  <c r="AC1012" i="9"/>
  <c r="AC1013" i="9"/>
  <c r="W1009" i="9" s="1"/>
  <c r="AC1014" i="9"/>
  <c r="AC1015" i="9"/>
  <c r="AC1016" i="9"/>
  <c r="AC1017" i="9"/>
  <c r="AC1018" i="9"/>
  <c r="AC1019" i="9"/>
  <c r="AC1020" i="9"/>
  <c r="AC1021" i="9"/>
  <c r="AC1022" i="9"/>
  <c r="AC1023" i="9"/>
  <c r="AC1024" i="9"/>
  <c r="AC1025" i="9"/>
  <c r="AC1026" i="9"/>
  <c r="AC1027" i="9"/>
  <c r="AC1028" i="9"/>
  <c r="AC1029" i="9"/>
  <c r="AC1030" i="9"/>
  <c r="AC1031" i="9"/>
  <c r="AC1032" i="9"/>
  <c r="AC1033" i="9"/>
  <c r="AC1034" i="9"/>
  <c r="AC1035" i="9"/>
  <c r="AC1036" i="9"/>
  <c r="AC1037" i="9"/>
  <c r="AC1038" i="9"/>
  <c r="AC1039" i="9"/>
  <c r="AC1040" i="9"/>
  <c r="AC1041" i="9"/>
  <c r="AC1042" i="9"/>
  <c r="AC1043" i="9"/>
  <c r="AC1044" i="9"/>
  <c r="AC1045" i="9"/>
  <c r="AC1046" i="9"/>
  <c r="AC1047" i="9"/>
  <c r="AC1048" i="9"/>
  <c r="AC1049" i="9"/>
  <c r="AC1050" i="9"/>
  <c r="AC1051" i="9"/>
  <c r="W1036" i="9" s="1"/>
  <c r="AC1052" i="9"/>
  <c r="AC1053" i="9"/>
  <c r="AC1054" i="9"/>
  <c r="AC1055" i="9"/>
  <c r="AC1056" i="9"/>
  <c r="AC1057" i="9"/>
  <c r="AC1058" i="9"/>
  <c r="AC1059" i="9"/>
  <c r="AC1060" i="9"/>
  <c r="AC1061" i="9"/>
  <c r="AC1062" i="9"/>
  <c r="AC1063" i="9"/>
  <c r="AC1064" i="9"/>
  <c r="AC1065" i="9"/>
  <c r="AC1066" i="9"/>
  <c r="AC1067" i="9"/>
  <c r="AC1068" i="9"/>
  <c r="AC1069" i="9"/>
  <c r="AC1070" i="9"/>
  <c r="AC1071" i="9"/>
  <c r="AC1072" i="9"/>
  <c r="AC1073" i="9"/>
  <c r="AC1074" i="9"/>
  <c r="AC1075" i="9"/>
  <c r="AC1076" i="9"/>
  <c r="AC1077" i="9"/>
  <c r="AC1078" i="9"/>
  <c r="AC1079" i="9"/>
  <c r="AC1080" i="9"/>
  <c r="AC1081" i="9"/>
  <c r="AC1082" i="9"/>
  <c r="AC1083" i="9"/>
  <c r="AC1084" i="9"/>
  <c r="AC1085" i="9"/>
  <c r="AC1086" i="9"/>
  <c r="AC1087" i="9"/>
  <c r="AC1088" i="9"/>
  <c r="AC1089" i="9"/>
  <c r="AC1090" i="9"/>
  <c r="AC1091" i="9"/>
  <c r="AC1092" i="9"/>
  <c r="AC1093" i="9"/>
  <c r="AC1094" i="9"/>
  <c r="AC1095" i="9"/>
  <c r="AC1096" i="9"/>
  <c r="AC1097" i="9"/>
  <c r="AC1098" i="9"/>
  <c r="AC1099" i="9"/>
  <c r="AC1100" i="9"/>
  <c r="AC1101" i="9"/>
  <c r="AC1102" i="9"/>
  <c r="AC1103" i="9"/>
  <c r="AC1104" i="9"/>
  <c r="AC1105" i="9"/>
  <c r="AC1106" i="9"/>
  <c r="AC1107" i="9"/>
  <c r="AC1108" i="9"/>
  <c r="AC1109" i="9"/>
  <c r="AC1110" i="9"/>
  <c r="AC1111" i="9"/>
  <c r="AC1112" i="9"/>
  <c r="AC1113" i="9"/>
  <c r="AC1114" i="9"/>
  <c r="AC1115" i="9"/>
  <c r="AC1116" i="9"/>
  <c r="AC1117" i="9"/>
  <c r="AC1118" i="9"/>
  <c r="AC1119" i="9"/>
  <c r="AC1120" i="9"/>
  <c r="AC1121" i="9"/>
  <c r="AC1122" i="9"/>
  <c r="AC1123" i="9"/>
  <c r="AC1124" i="9"/>
  <c r="AC1125" i="9"/>
  <c r="AC1126" i="9"/>
  <c r="AC1127" i="9"/>
  <c r="AC1128" i="9"/>
  <c r="AC1129" i="9"/>
  <c r="AC1130" i="9"/>
  <c r="AC1131" i="9"/>
  <c r="AC1132" i="9"/>
  <c r="AC1133" i="9"/>
  <c r="AC1134" i="9"/>
  <c r="AC1135" i="9"/>
  <c r="AC1136" i="9"/>
  <c r="AC1137" i="9"/>
  <c r="AC1138" i="9"/>
  <c r="AC1139" i="9"/>
  <c r="AC1140" i="9"/>
  <c r="AC1141" i="9"/>
  <c r="AC1142" i="9"/>
  <c r="AC1143" i="9"/>
  <c r="AC1144" i="9"/>
  <c r="AC1145" i="9"/>
  <c r="AC1146" i="9"/>
  <c r="AC1147" i="9"/>
  <c r="AC1148" i="9"/>
  <c r="AC1149" i="9"/>
  <c r="AC1150" i="9"/>
  <c r="AC1151" i="9"/>
  <c r="AC1152" i="9"/>
  <c r="AC1153" i="9"/>
  <c r="AC1154" i="9"/>
  <c r="AC1155" i="9"/>
  <c r="AC1156" i="9"/>
  <c r="AC1157" i="9"/>
  <c r="AC1158" i="9"/>
  <c r="AC1159" i="9"/>
  <c r="AC1160" i="9"/>
  <c r="AC1161" i="9"/>
  <c r="AC1162" i="9"/>
  <c r="AC1163" i="9"/>
  <c r="AC1164" i="9"/>
  <c r="AC1165" i="9"/>
  <c r="AC1166" i="9"/>
  <c r="AC1167" i="9"/>
  <c r="AC1168" i="9"/>
  <c r="AC1169" i="9"/>
  <c r="AC1170" i="9"/>
  <c r="AC1171" i="9"/>
  <c r="AC1172" i="9"/>
  <c r="AC1173" i="9"/>
  <c r="AC1174" i="9"/>
  <c r="AC1175" i="9"/>
  <c r="AC1176" i="9"/>
  <c r="AC1177" i="9"/>
  <c r="AC1178" i="9"/>
  <c r="AC1179" i="9"/>
  <c r="AC1180" i="9"/>
  <c r="AC1181" i="9"/>
  <c r="AC1182" i="9"/>
  <c r="AC1183" i="9"/>
  <c r="AC1184" i="9"/>
  <c r="AC1185" i="9"/>
  <c r="AC1186" i="9"/>
  <c r="AC1187" i="9"/>
  <c r="AC1188" i="9"/>
  <c r="AC1189" i="9"/>
  <c r="AC1190" i="9"/>
  <c r="AC1191" i="9"/>
  <c r="AC1192" i="9"/>
  <c r="AC1193" i="9"/>
  <c r="AC1194" i="9"/>
  <c r="AC1195" i="9"/>
  <c r="AC1196" i="9"/>
  <c r="AC1197" i="9"/>
  <c r="AC1198" i="9"/>
  <c r="AC1199" i="9"/>
  <c r="AC1200" i="9"/>
  <c r="AC1201" i="9"/>
  <c r="AC1202" i="9"/>
  <c r="AC1203" i="9"/>
  <c r="AC1204" i="9"/>
  <c r="AC1205" i="9"/>
  <c r="AC1206" i="9"/>
  <c r="AC1207" i="9"/>
  <c r="AC1208" i="9"/>
  <c r="AC1209" i="9"/>
  <c r="AC1210" i="9"/>
  <c r="AC1211" i="9"/>
  <c r="AC1212" i="9"/>
  <c r="AC1213" i="9"/>
  <c r="AC1214" i="9"/>
  <c r="AC1215" i="9"/>
  <c r="AC1216" i="9"/>
  <c r="AC1217" i="9"/>
  <c r="AC1218" i="9"/>
  <c r="AC1219" i="9"/>
  <c r="AC1220" i="9"/>
  <c r="AC1221" i="9"/>
  <c r="AC1222" i="9"/>
  <c r="AC1223" i="9"/>
  <c r="AC1224" i="9"/>
  <c r="AC1225" i="9"/>
  <c r="AC1226" i="9"/>
  <c r="AC1227" i="9"/>
  <c r="AC1228" i="9"/>
  <c r="AC1229" i="9"/>
  <c r="AC1230" i="9"/>
  <c r="AC1231" i="9"/>
  <c r="AC1232" i="9"/>
  <c r="AC1233" i="9"/>
  <c r="AC1234" i="9"/>
  <c r="AC1235" i="9"/>
  <c r="AC1236" i="9"/>
  <c r="AC1237" i="9"/>
  <c r="AC1238" i="9"/>
  <c r="AC1239" i="9"/>
  <c r="AC1240" i="9"/>
  <c r="AC1241" i="9"/>
  <c r="AC1242" i="9"/>
  <c r="AC1243" i="9"/>
  <c r="AD13" i="9"/>
  <c r="AD14" i="9"/>
  <c r="AD15" i="9"/>
  <c r="AD16" i="9"/>
  <c r="AD17" i="9"/>
  <c r="AD18" i="9"/>
  <c r="AD19" i="9"/>
  <c r="AD20" i="9"/>
  <c r="AD21" i="9"/>
  <c r="AD22" i="9"/>
  <c r="AD23" i="9"/>
  <c r="AD24" i="9"/>
  <c r="AD25" i="9"/>
  <c r="AD26" i="9"/>
  <c r="AD27" i="9"/>
  <c r="AD28" i="9"/>
  <c r="AD29" i="9"/>
  <c r="AD30" i="9"/>
  <c r="AD31" i="9"/>
  <c r="AD32" i="9"/>
  <c r="AD33" i="9"/>
  <c r="AD34" i="9"/>
  <c r="AD35" i="9"/>
  <c r="AD36" i="9"/>
  <c r="AD37" i="9"/>
  <c r="AD38" i="9"/>
  <c r="AD39" i="9"/>
  <c r="AD40" i="9"/>
  <c r="AD41" i="9"/>
  <c r="AD42" i="9"/>
  <c r="AD43" i="9"/>
  <c r="AD44" i="9"/>
  <c r="AD45" i="9"/>
  <c r="AD46" i="9"/>
  <c r="AD47" i="9"/>
  <c r="AD48" i="9"/>
  <c r="AD49" i="9"/>
  <c r="AD50" i="9"/>
  <c r="AD51" i="9"/>
  <c r="AD52" i="9"/>
  <c r="AD53" i="9"/>
  <c r="AD54" i="9"/>
  <c r="AD55" i="9"/>
  <c r="AD56" i="9"/>
  <c r="AD57" i="9"/>
  <c r="AD58" i="9"/>
  <c r="AD59" i="9"/>
  <c r="AD60" i="9"/>
  <c r="AD61" i="9"/>
  <c r="AD62" i="9"/>
  <c r="AD63" i="9"/>
  <c r="AD64" i="9"/>
  <c r="AD65" i="9"/>
  <c r="AD66" i="9"/>
  <c r="AD67" i="9"/>
  <c r="AD68" i="9"/>
  <c r="AD69" i="9"/>
  <c r="AD70" i="9"/>
  <c r="AD71" i="9"/>
  <c r="AD72" i="9"/>
  <c r="AD73" i="9"/>
  <c r="AD74" i="9"/>
  <c r="AD75" i="9"/>
  <c r="AD76" i="9"/>
  <c r="AD77" i="9"/>
  <c r="AD78" i="9"/>
  <c r="AD79" i="9"/>
  <c r="AD80" i="9"/>
  <c r="AD81" i="9"/>
  <c r="AD82" i="9"/>
  <c r="AD83" i="9"/>
  <c r="AD84" i="9"/>
  <c r="AD85" i="9"/>
  <c r="AD86" i="9"/>
  <c r="AD87" i="9"/>
  <c r="AD88" i="9"/>
  <c r="AD89" i="9"/>
  <c r="AD90" i="9"/>
  <c r="AD91" i="9"/>
  <c r="AD92" i="9"/>
  <c r="AD93" i="9"/>
  <c r="AD94" i="9"/>
  <c r="AD95" i="9"/>
  <c r="AD96" i="9"/>
  <c r="AD97" i="9"/>
  <c r="AD98" i="9"/>
  <c r="AD99" i="9"/>
  <c r="AD100" i="9"/>
  <c r="AD101" i="9"/>
  <c r="AD102" i="9"/>
  <c r="AD103" i="9"/>
  <c r="AD104" i="9"/>
  <c r="AD105" i="9"/>
  <c r="AD106" i="9"/>
  <c r="AD107" i="9"/>
  <c r="AD108" i="9"/>
  <c r="AD109" i="9"/>
  <c r="AD110" i="9"/>
  <c r="AD111" i="9"/>
  <c r="AD112" i="9"/>
  <c r="AD113" i="9"/>
  <c r="AD114" i="9"/>
  <c r="AD115" i="9"/>
  <c r="AD116" i="9"/>
  <c r="AD117" i="9"/>
  <c r="AD118" i="9"/>
  <c r="AD119" i="9"/>
  <c r="AD120" i="9"/>
  <c r="AD121" i="9"/>
  <c r="AD122" i="9"/>
  <c r="AD123" i="9"/>
  <c r="AD124" i="9"/>
  <c r="AD125" i="9"/>
  <c r="AD126" i="9"/>
  <c r="AD127" i="9"/>
  <c r="AD128" i="9"/>
  <c r="AD129" i="9"/>
  <c r="AD130" i="9"/>
  <c r="AD131" i="9"/>
  <c r="AD132" i="9"/>
  <c r="AD133" i="9"/>
  <c r="AD134" i="9"/>
  <c r="AD135" i="9"/>
  <c r="AD136" i="9"/>
  <c r="AD137" i="9"/>
  <c r="AD138" i="9"/>
  <c r="AD139" i="9"/>
  <c r="AD140" i="9"/>
  <c r="AD141" i="9"/>
  <c r="AD142" i="9"/>
  <c r="AD143" i="9"/>
  <c r="AD144" i="9"/>
  <c r="AD145" i="9"/>
  <c r="AD146" i="9"/>
  <c r="AD147" i="9"/>
  <c r="AD148" i="9"/>
  <c r="AD149" i="9"/>
  <c r="AD150" i="9"/>
  <c r="AD151" i="9"/>
  <c r="AD152" i="9"/>
  <c r="AD153" i="9"/>
  <c r="AD154" i="9"/>
  <c r="AD155" i="9"/>
  <c r="AD156" i="9"/>
  <c r="AD157" i="9"/>
  <c r="AD158" i="9"/>
  <c r="AD159" i="9"/>
  <c r="AD160" i="9"/>
  <c r="AD161" i="9"/>
  <c r="AD162" i="9"/>
  <c r="AD163" i="9"/>
  <c r="AD164" i="9"/>
  <c r="AD165" i="9"/>
  <c r="AD166" i="9"/>
  <c r="AD167" i="9"/>
  <c r="AD168" i="9"/>
  <c r="AD169" i="9"/>
  <c r="AD170" i="9"/>
  <c r="AD171" i="9"/>
  <c r="AD172" i="9"/>
  <c r="AD173" i="9"/>
  <c r="AD174" i="9"/>
  <c r="AD175" i="9"/>
  <c r="AD176" i="9"/>
  <c r="AD177" i="9"/>
  <c r="AD178" i="9"/>
  <c r="AD179" i="9"/>
  <c r="AD180" i="9"/>
  <c r="AD181" i="9"/>
  <c r="AD182" i="9"/>
  <c r="AD183" i="9"/>
  <c r="AD184" i="9"/>
  <c r="AD185" i="9"/>
  <c r="AD186" i="9"/>
  <c r="AD187" i="9"/>
  <c r="AD188" i="9"/>
  <c r="AD189" i="9"/>
  <c r="AD190" i="9"/>
  <c r="AD191" i="9"/>
  <c r="AD192" i="9"/>
  <c r="AD193" i="9"/>
  <c r="AD194" i="9"/>
  <c r="AD195" i="9"/>
  <c r="AD196" i="9"/>
  <c r="AD197" i="9"/>
  <c r="AD198" i="9"/>
  <c r="AD199" i="9"/>
  <c r="AD200" i="9"/>
  <c r="AD201" i="9"/>
  <c r="AD202" i="9"/>
  <c r="AD203" i="9"/>
  <c r="AD204" i="9"/>
  <c r="AD205" i="9"/>
  <c r="AD206" i="9"/>
  <c r="AD207" i="9"/>
  <c r="AD208" i="9"/>
  <c r="AD209" i="9"/>
  <c r="AD210" i="9"/>
  <c r="AD211" i="9"/>
  <c r="AD212" i="9"/>
  <c r="AD213" i="9"/>
  <c r="AD214" i="9"/>
  <c r="AD215" i="9"/>
  <c r="AD216" i="9"/>
  <c r="AD217" i="9"/>
  <c r="AD218" i="9"/>
  <c r="AD219" i="9"/>
  <c r="AD220" i="9"/>
  <c r="AD221" i="9"/>
  <c r="AD222" i="9"/>
  <c r="AD223" i="9"/>
  <c r="AD224" i="9"/>
  <c r="AD225" i="9"/>
  <c r="AD226" i="9"/>
  <c r="AD227" i="9"/>
  <c r="AD228" i="9"/>
  <c r="AD229" i="9"/>
  <c r="AD230" i="9"/>
  <c r="AD231" i="9"/>
  <c r="AD232" i="9"/>
  <c r="AD233" i="9"/>
  <c r="AD234" i="9"/>
  <c r="AD235" i="9"/>
  <c r="AD236" i="9"/>
  <c r="AD237" i="9"/>
  <c r="AD238" i="9"/>
  <c r="AD239" i="9"/>
  <c r="AD240" i="9"/>
  <c r="AD241" i="9"/>
  <c r="AD242" i="9"/>
  <c r="AD243" i="9"/>
  <c r="AD244" i="9"/>
  <c r="AD245" i="9"/>
  <c r="AD246" i="9"/>
  <c r="AD247" i="9"/>
  <c r="AD248" i="9"/>
  <c r="AD249" i="9"/>
  <c r="AD250" i="9"/>
  <c r="AD251" i="9"/>
  <c r="AD252" i="9"/>
  <c r="AD253" i="9"/>
  <c r="AD254" i="9"/>
  <c r="AD255" i="9"/>
  <c r="AD256" i="9"/>
  <c r="AD257" i="9"/>
  <c r="AD258" i="9"/>
  <c r="AD259" i="9"/>
  <c r="AD260" i="9"/>
  <c r="AD261" i="9"/>
  <c r="AD262" i="9"/>
  <c r="AD263" i="9"/>
  <c r="AD264" i="9"/>
  <c r="AD265" i="9"/>
  <c r="AD266" i="9"/>
  <c r="AD267" i="9"/>
  <c r="AD268" i="9"/>
  <c r="AD269" i="9"/>
  <c r="AD270" i="9"/>
  <c r="AD271" i="9"/>
  <c r="AD272" i="9"/>
  <c r="AD273" i="9"/>
  <c r="AD274" i="9"/>
  <c r="AD275" i="9"/>
  <c r="AD276" i="9"/>
  <c r="AD277" i="9"/>
  <c r="AD278" i="9"/>
  <c r="AD279" i="9"/>
  <c r="AD280" i="9"/>
  <c r="AD281" i="9"/>
  <c r="AD282" i="9"/>
  <c r="AD283" i="9"/>
  <c r="AD284" i="9"/>
  <c r="AD285" i="9"/>
  <c r="AD286" i="9"/>
  <c r="AD287" i="9"/>
  <c r="AD288" i="9"/>
  <c r="AD289" i="9"/>
  <c r="AD290" i="9"/>
  <c r="AD291" i="9"/>
  <c r="AD292" i="9"/>
  <c r="AD293" i="9"/>
  <c r="AD294" i="9"/>
  <c r="AD295" i="9"/>
  <c r="AD296" i="9"/>
  <c r="AD297" i="9"/>
  <c r="AD298" i="9"/>
  <c r="AD299" i="9"/>
  <c r="AD300" i="9"/>
  <c r="AD301" i="9"/>
  <c r="AD302" i="9"/>
  <c r="AD303" i="9"/>
  <c r="AD304" i="9"/>
  <c r="AD305" i="9"/>
  <c r="AD306" i="9"/>
  <c r="AD307" i="9"/>
  <c r="AD308" i="9"/>
  <c r="AD309" i="9"/>
  <c r="AD310" i="9"/>
  <c r="AD311" i="9"/>
  <c r="AD312" i="9"/>
  <c r="AD313" i="9"/>
  <c r="AD314" i="9"/>
  <c r="AD315" i="9"/>
  <c r="AD316" i="9"/>
  <c r="AD317" i="9"/>
  <c r="AD318" i="9"/>
  <c r="AD319" i="9"/>
  <c r="AD320" i="9"/>
  <c r="AD321" i="9"/>
  <c r="AD322" i="9"/>
  <c r="AD323" i="9"/>
  <c r="AD324" i="9"/>
  <c r="AD325" i="9"/>
  <c r="AD326" i="9"/>
  <c r="AD327" i="9"/>
  <c r="AD328" i="9"/>
  <c r="AD329" i="9"/>
  <c r="AD330" i="9"/>
  <c r="AD331" i="9"/>
  <c r="AD332" i="9"/>
  <c r="AD333" i="9"/>
  <c r="AD334" i="9"/>
  <c r="AD335" i="9"/>
  <c r="AD336" i="9"/>
  <c r="AD337" i="9"/>
  <c r="AD338" i="9"/>
  <c r="AD339" i="9"/>
  <c r="AD340" i="9"/>
  <c r="AD341" i="9"/>
  <c r="AD342" i="9"/>
  <c r="AD343" i="9"/>
  <c r="AD344" i="9"/>
  <c r="AD345" i="9"/>
  <c r="AD346" i="9"/>
  <c r="AD347" i="9"/>
  <c r="AD348" i="9"/>
  <c r="AD349" i="9"/>
  <c r="AD350" i="9"/>
  <c r="AD351" i="9"/>
  <c r="AD352" i="9"/>
  <c r="AD353" i="9"/>
  <c r="AD354" i="9"/>
  <c r="AD355" i="9"/>
  <c r="AD356" i="9"/>
  <c r="AD357" i="9"/>
  <c r="AD358" i="9"/>
  <c r="AD359" i="9"/>
  <c r="AD360" i="9"/>
  <c r="AD361" i="9"/>
  <c r="AD362" i="9"/>
  <c r="AD363" i="9"/>
  <c r="AD364" i="9"/>
  <c r="AD365" i="9"/>
  <c r="AD366" i="9"/>
  <c r="AD367" i="9"/>
  <c r="AD368" i="9"/>
  <c r="AD369" i="9"/>
  <c r="AD370" i="9"/>
  <c r="AD371" i="9"/>
  <c r="AD372" i="9"/>
  <c r="AD373" i="9"/>
  <c r="AD374" i="9"/>
  <c r="AD375" i="9"/>
  <c r="AD376" i="9"/>
  <c r="AD377" i="9"/>
  <c r="AD378" i="9"/>
  <c r="AD379" i="9"/>
  <c r="AD380" i="9"/>
  <c r="AD381" i="9"/>
  <c r="AD382" i="9"/>
  <c r="AD383" i="9"/>
  <c r="AD384" i="9"/>
  <c r="AD385" i="9"/>
  <c r="AD386" i="9"/>
  <c r="AD387" i="9"/>
  <c r="AD388" i="9"/>
  <c r="AD389" i="9"/>
  <c r="AD390" i="9"/>
  <c r="AD391" i="9"/>
  <c r="AD392" i="9"/>
  <c r="AD393" i="9"/>
  <c r="AD394" i="9"/>
  <c r="AD395" i="9"/>
  <c r="AD396" i="9"/>
  <c r="AD397" i="9"/>
  <c r="AD398" i="9"/>
  <c r="AD399" i="9"/>
  <c r="AD400" i="9"/>
  <c r="AD401" i="9"/>
  <c r="AD402" i="9"/>
  <c r="AD403" i="9"/>
  <c r="AD404" i="9"/>
  <c r="AD405" i="9"/>
  <c r="AD406" i="9"/>
  <c r="AD407" i="9"/>
  <c r="AD408" i="9"/>
  <c r="AD409" i="9"/>
  <c r="AD410" i="9"/>
  <c r="AD411" i="9"/>
  <c r="AD412" i="9"/>
  <c r="AD413" i="9"/>
  <c r="AD414" i="9"/>
  <c r="AD415" i="9"/>
  <c r="AD416" i="9"/>
  <c r="AD417" i="9"/>
  <c r="AD418" i="9"/>
  <c r="AD419" i="9"/>
  <c r="AD420" i="9"/>
  <c r="AD421" i="9"/>
  <c r="AD422" i="9"/>
  <c r="AD423" i="9"/>
  <c r="AD424" i="9"/>
  <c r="AD425" i="9"/>
  <c r="AD426" i="9"/>
  <c r="AD427" i="9"/>
  <c r="AD428" i="9"/>
  <c r="AD429" i="9"/>
  <c r="AD430" i="9"/>
  <c r="AD431" i="9"/>
  <c r="AD432" i="9"/>
  <c r="AD433" i="9"/>
  <c r="AD434" i="9"/>
  <c r="AD435" i="9"/>
  <c r="AD436" i="9"/>
  <c r="AD437" i="9"/>
  <c r="AD438" i="9"/>
  <c r="AD439" i="9"/>
  <c r="AD440" i="9"/>
  <c r="AD441" i="9"/>
  <c r="AD442" i="9"/>
  <c r="AD443" i="9"/>
  <c r="AD444" i="9"/>
  <c r="AD445" i="9"/>
  <c r="AD446" i="9"/>
  <c r="AD447" i="9"/>
  <c r="AD448" i="9"/>
  <c r="AD449" i="9"/>
  <c r="AD450" i="9"/>
  <c r="AD451" i="9"/>
  <c r="AD452" i="9"/>
  <c r="AD453" i="9"/>
  <c r="AD454" i="9"/>
  <c r="AD455" i="9"/>
  <c r="AD456" i="9"/>
  <c r="AD457" i="9"/>
  <c r="AD458" i="9"/>
  <c r="AD459" i="9"/>
  <c r="AD460" i="9"/>
  <c r="AD461" i="9"/>
  <c r="AD462" i="9"/>
  <c r="AD463" i="9"/>
  <c r="AD464" i="9"/>
  <c r="AD465" i="9"/>
  <c r="AD466" i="9"/>
  <c r="AD467" i="9"/>
  <c r="AD468" i="9"/>
  <c r="AD469" i="9"/>
  <c r="AD470" i="9"/>
  <c r="AD471" i="9"/>
  <c r="AD472" i="9"/>
  <c r="AD473" i="9"/>
  <c r="AD474" i="9"/>
  <c r="AD475" i="9"/>
  <c r="AD476" i="9"/>
  <c r="AD477" i="9"/>
  <c r="AD478" i="9"/>
  <c r="AD479" i="9"/>
  <c r="AD480" i="9"/>
  <c r="AD481" i="9"/>
  <c r="AD482" i="9"/>
  <c r="AD483" i="9"/>
  <c r="AD484" i="9"/>
  <c r="AD485" i="9"/>
  <c r="AD486" i="9"/>
  <c r="AD487" i="9"/>
  <c r="AD488" i="9"/>
  <c r="AD489" i="9"/>
  <c r="AD490" i="9"/>
  <c r="AD491" i="9"/>
  <c r="AD492" i="9"/>
  <c r="AD493" i="9"/>
  <c r="AD494" i="9"/>
  <c r="AD495" i="9"/>
  <c r="AD496" i="9"/>
  <c r="AD497" i="9"/>
  <c r="AD498" i="9"/>
  <c r="AD499" i="9"/>
  <c r="AD500" i="9"/>
  <c r="AD501" i="9"/>
  <c r="AD502" i="9"/>
  <c r="AD503" i="9"/>
  <c r="AD504" i="9"/>
  <c r="AD505" i="9"/>
  <c r="AD506" i="9"/>
  <c r="AD507" i="9"/>
  <c r="AD508" i="9"/>
  <c r="AD509" i="9"/>
  <c r="AD510" i="9"/>
  <c r="AD511" i="9"/>
  <c r="AD512" i="9"/>
  <c r="AD513" i="9"/>
  <c r="AD514" i="9"/>
  <c r="AD515" i="9"/>
  <c r="AD516" i="9"/>
  <c r="AD517" i="9"/>
  <c r="AD518" i="9"/>
  <c r="AD519" i="9"/>
  <c r="AD520" i="9"/>
  <c r="AD521" i="9"/>
  <c r="AD522" i="9"/>
  <c r="AD523" i="9"/>
  <c r="AD524" i="9"/>
  <c r="AD525" i="9"/>
  <c r="AD526" i="9"/>
  <c r="AD527" i="9"/>
  <c r="AD528" i="9"/>
  <c r="AD529" i="9"/>
  <c r="AD530" i="9"/>
  <c r="AD531" i="9"/>
  <c r="AD532" i="9"/>
  <c r="AD533" i="9"/>
  <c r="AD534" i="9"/>
  <c r="AD535" i="9"/>
  <c r="AD536" i="9"/>
  <c r="AD537" i="9"/>
  <c r="AD538" i="9"/>
  <c r="AD539" i="9"/>
  <c r="AD540" i="9"/>
  <c r="AD541" i="9"/>
  <c r="AD542" i="9"/>
  <c r="AD543" i="9"/>
  <c r="AD544" i="9"/>
  <c r="AD545" i="9"/>
  <c r="AD546" i="9"/>
  <c r="AD547" i="9"/>
  <c r="AD548" i="9"/>
  <c r="AD549" i="9"/>
  <c r="AD550" i="9"/>
  <c r="AD551" i="9"/>
  <c r="AD552" i="9"/>
  <c r="AD553" i="9"/>
  <c r="AD554" i="9"/>
  <c r="AD555" i="9"/>
  <c r="AD556" i="9"/>
  <c r="AD557" i="9"/>
  <c r="AD558" i="9"/>
  <c r="AD559" i="9"/>
  <c r="AD560" i="9"/>
  <c r="AD561" i="9"/>
  <c r="AD562" i="9"/>
  <c r="AD563" i="9"/>
  <c r="AD564" i="9"/>
  <c r="AD565" i="9"/>
  <c r="AD566" i="9"/>
  <c r="AD567" i="9"/>
  <c r="AD568" i="9"/>
  <c r="AD569" i="9"/>
  <c r="AD570" i="9"/>
  <c r="AD571" i="9"/>
  <c r="AD572" i="9"/>
  <c r="AD573" i="9"/>
  <c r="AD574" i="9"/>
  <c r="AD575" i="9"/>
  <c r="AD576" i="9"/>
  <c r="AD577" i="9"/>
  <c r="AD578" i="9"/>
  <c r="AD579" i="9"/>
  <c r="AD580" i="9"/>
  <c r="AD581" i="9"/>
  <c r="AD582" i="9"/>
  <c r="AD583" i="9"/>
  <c r="AD584" i="9"/>
  <c r="AD585" i="9"/>
  <c r="AD586" i="9"/>
  <c r="AD587" i="9"/>
  <c r="AD588" i="9"/>
  <c r="AD589" i="9"/>
  <c r="AD590" i="9"/>
  <c r="AD591" i="9"/>
  <c r="AD592" i="9"/>
  <c r="AD593" i="9"/>
  <c r="AD594" i="9"/>
  <c r="AD595" i="9"/>
  <c r="AD596" i="9"/>
  <c r="AD597" i="9"/>
  <c r="AD598" i="9"/>
  <c r="AD599" i="9"/>
  <c r="AD600" i="9"/>
  <c r="AD601" i="9"/>
  <c r="AD602" i="9"/>
  <c r="AD603" i="9"/>
  <c r="AD604" i="9"/>
  <c r="AD605" i="9"/>
  <c r="AD606" i="9"/>
  <c r="AD607" i="9"/>
  <c r="AD608" i="9"/>
  <c r="AD609" i="9"/>
  <c r="AD610" i="9"/>
  <c r="AD611" i="9"/>
  <c r="AD612" i="9"/>
  <c r="AD613" i="9"/>
  <c r="AD614" i="9"/>
  <c r="AD615" i="9"/>
  <c r="AD616" i="9"/>
  <c r="AD617" i="9"/>
  <c r="AD618" i="9"/>
  <c r="AD619" i="9"/>
  <c r="AD620" i="9"/>
  <c r="AD621" i="9"/>
  <c r="AD622" i="9"/>
  <c r="AD623" i="9"/>
  <c r="AD624" i="9"/>
  <c r="AD625" i="9"/>
  <c r="AD626" i="9"/>
  <c r="AD627" i="9"/>
  <c r="AD628" i="9"/>
  <c r="AD629" i="9"/>
  <c r="AD630" i="9"/>
  <c r="AD631" i="9"/>
  <c r="AD632" i="9"/>
  <c r="AD633" i="9"/>
  <c r="AD634" i="9"/>
  <c r="AD635" i="9"/>
  <c r="AD636" i="9"/>
  <c r="AD637" i="9"/>
  <c r="AD638" i="9"/>
  <c r="AD639" i="9"/>
  <c r="AD640" i="9"/>
  <c r="AD641" i="9"/>
  <c r="AD642" i="9"/>
  <c r="AD643" i="9"/>
  <c r="AD644" i="9"/>
  <c r="AD645" i="9"/>
  <c r="AD646" i="9"/>
  <c r="AD647" i="9"/>
  <c r="AD648" i="9"/>
  <c r="AD649" i="9"/>
  <c r="AD650" i="9"/>
  <c r="AD651" i="9"/>
  <c r="AD652" i="9"/>
  <c r="AD653" i="9"/>
  <c r="AD654" i="9"/>
  <c r="AD655" i="9"/>
  <c r="AD656" i="9"/>
  <c r="AD657" i="9"/>
  <c r="AD658" i="9"/>
  <c r="AD659" i="9"/>
  <c r="AD660" i="9"/>
  <c r="AD661" i="9"/>
  <c r="AD662" i="9"/>
  <c r="AD663" i="9"/>
  <c r="AD664" i="9"/>
  <c r="AD665" i="9"/>
  <c r="AD666" i="9"/>
  <c r="AD667" i="9"/>
  <c r="AD668" i="9"/>
  <c r="AD669" i="9"/>
  <c r="AD670" i="9"/>
  <c r="AD671" i="9"/>
  <c r="AD672" i="9"/>
  <c r="AD673" i="9"/>
  <c r="AD674" i="9"/>
  <c r="AD675" i="9"/>
  <c r="AD676" i="9"/>
  <c r="AD677" i="9"/>
  <c r="AD678" i="9"/>
  <c r="AD679" i="9"/>
  <c r="AD680" i="9"/>
  <c r="AD681" i="9"/>
  <c r="AD682" i="9"/>
  <c r="AD683" i="9"/>
  <c r="AD684" i="9"/>
  <c r="AD685" i="9"/>
  <c r="AD686" i="9"/>
  <c r="AD687" i="9"/>
  <c r="AD688" i="9"/>
  <c r="AD689" i="9"/>
  <c r="AD690" i="9"/>
  <c r="AD691" i="9"/>
  <c r="AD692" i="9"/>
  <c r="AD693" i="9"/>
  <c r="AD694" i="9"/>
  <c r="AD695" i="9"/>
  <c r="AD696" i="9"/>
  <c r="AD697" i="9"/>
  <c r="AD698" i="9"/>
  <c r="AD699" i="9"/>
  <c r="AD700" i="9"/>
  <c r="AD701" i="9"/>
  <c r="AD702" i="9"/>
  <c r="AD703" i="9"/>
  <c r="AD704" i="9"/>
  <c r="AD705" i="9"/>
  <c r="AD706" i="9"/>
  <c r="AD707" i="9"/>
  <c r="AD708" i="9"/>
  <c r="AD709" i="9"/>
  <c r="AD710" i="9"/>
  <c r="AD711" i="9"/>
  <c r="AD712" i="9"/>
  <c r="AD713" i="9"/>
  <c r="AD714" i="9"/>
  <c r="AD715" i="9"/>
  <c r="AD716" i="9"/>
  <c r="AD717" i="9"/>
  <c r="AD718" i="9"/>
  <c r="AD719" i="9"/>
  <c r="AD720" i="9"/>
  <c r="AD721" i="9"/>
  <c r="AD722" i="9"/>
  <c r="AD723" i="9"/>
  <c r="AD724" i="9"/>
  <c r="AD725" i="9"/>
  <c r="AD726" i="9"/>
  <c r="AD727" i="9"/>
  <c r="AD728" i="9"/>
  <c r="AD729" i="9"/>
  <c r="AD730" i="9"/>
  <c r="AD731" i="9"/>
  <c r="AD732" i="9"/>
  <c r="AD733" i="9"/>
  <c r="AD734" i="9"/>
  <c r="AD735" i="9"/>
  <c r="AD736" i="9"/>
  <c r="AD737" i="9"/>
  <c r="AD738" i="9"/>
  <c r="AD739" i="9"/>
  <c r="AD740" i="9"/>
  <c r="AD741" i="9"/>
  <c r="AD742" i="9"/>
  <c r="AD743" i="9"/>
  <c r="AD744" i="9"/>
  <c r="AD745" i="9"/>
  <c r="AD746" i="9"/>
  <c r="AD747" i="9"/>
  <c r="AD748" i="9"/>
  <c r="AD749" i="9"/>
  <c r="AD750" i="9"/>
  <c r="AD751" i="9"/>
  <c r="AD752" i="9"/>
  <c r="AD753" i="9"/>
  <c r="AD754" i="9"/>
  <c r="AD755" i="9"/>
  <c r="AD756" i="9"/>
  <c r="AD757" i="9"/>
  <c r="AD758" i="9"/>
  <c r="AD759" i="9"/>
  <c r="AD760" i="9"/>
  <c r="AD761" i="9"/>
  <c r="AD762" i="9"/>
  <c r="AD763" i="9"/>
  <c r="AD764" i="9"/>
  <c r="AD765" i="9"/>
  <c r="AD766" i="9"/>
  <c r="AD767" i="9"/>
  <c r="AD768" i="9"/>
  <c r="AD769" i="9"/>
  <c r="AD770" i="9"/>
  <c r="AD771" i="9"/>
  <c r="AD772" i="9"/>
  <c r="AD773" i="9"/>
  <c r="AD774" i="9"/>
  <c r="AD775" i="9"/>
  <c r="AD776" i="9"/>
  <c r="AD777" i="9"/>
  <c r="AD778" i="9"/>
  <c r="AD779" i="9"/>
  <c r="AD780" i="9"/>
  <c r="AD781" i="9"/>
  <c r="AD782" i="9"/>
  <c r="AD783" i="9"/>
  <c r="AD784" i="9"/>
  <c r="AD785" i="9"/>
  <c r="AD786" i="9"/>
  <c r="AD787" i="9"/>
  <c r="AD788" i="9"/>
  <c r="AD789" i="9"/>
  <c r="AD790" i="9"/>
  <c r="AD791" i="9"/>
  <c r="AD792" i="9"/>
  <c r="AD793" i="9"/>
  <c r="AD794" i="9"/>
  <c r="AD795" i="9"/>
  <c r="AD796" i="9"/>
  <c r="AD797" i="9"/>
  <c r="AD798" i="9"/>
  <c r="AD799" i="9"/>
  <c r="AD800" i="9"/>
  <c r="AD801" i="9"/>
  <c r="AD802" i="9"/>
  <c r="AD803" i="9"/>
  <c r="AD804" i="9"/>
  <c r="AD805" i="9"/>
  <c r="AD806" i="9"/>
  <c r="AD807" i="9"/>
  <c r="AD808" i="9"/>
  <c r="AD809" i="9"/>
  <c r="AD810" i="9"/>
  <c r="AD811" i="9"/>
  <c r="AD812" i="9"/>
  <c r="AD813" i="9"/>
  <c r="AD814" i="9"/>
  <c r="AD815" i="9"/>
  <c r="AD816" i="9"/>
  <c r="AD817" i="9"/>
  <c r="AD818" i="9"/>
  <c r="AD819" i="9"/>
  <c r="AD820" i="9"/>
  <c r="AD821" i="9"/>
  <c r="AD822" i="9"/>
  <c r="AD823" i="9"/>
  <c r="AD824" i="9"/>
  <c r="AD825" i="9"/>
  <c r="AD826" i="9"/>
  <c r="AD827" i="9"/>
  <c r="AD828" i="9"/>
  <c r="AD829" i="9"/>
  <c r="AD830" i="9"/>
  <c r="AD831" i="9"/>
  <c r="AD832" i="9"/>
  <c r="AD833" i="9"/>
  <c r="AD834" i="9"/>
  <c r="AD835" i="9"/>
  <c r="AD836" i="9"/>
  <c r="AD837" i="9"/>
  <c r="AD838" i="9"/>
  <c r="AD839" i="9"/>
  <c r="AD840" i="9"/>
  <c r="AD841" i="9"/>
  <c r="AD842" i="9"/>
  <c r="AD843" i="9"/>
  <c r="AD844" i="9"/>
  <c r="AD845" i="9"/>
  <c r="AD846" i="9"/>
  <c r="AD847" i="9"/>
  <c r="AD848" i="9"/>
  <c r="AD849" i="9"/>
  <c r="AD850" i="9"/>
  <c r="AD851" i="9"/>
  <c r="AD852" i="9"/>
  <c r="AD853" i="9"/>
  <c r="AD854" i="9"/>
  <c r="AD855" i="9"/>
  <c r="AD856" i="9"/>
  <c r="AD857" i="9"/>
  <c r="AD858" i="9"/>
  <c r="AD859" i="9"/>
  <c r="AD860" i="9"/>
  <c r="AD861" i="9"/>
  <c r="AD862" i="9"/>
  <c r="AD863" i="9"/>
  <c r="AD864" i="9"/>
  <c r="AD865" i="9"/>
  <c r="AD866" i="9"/>
  <c r="AD867" i="9"/>
  <c r="AD868" i="9"/>
  <c r="AD869" i="9"/>
  <c r="AD870" i="9"/>
  <c r="AD871" i="9"/>
  <c r="AD872" i="9"/>
  <c r="AD873" i="9"/>
  <c r="AD874" i="9"/>
  <c r="AD875" i="9"/>
  <c r="AD876" i="9"/>
  <c r="AD877" i="9"/>
  <c r="AD878" i="9"/>
  <c r="AD879" i="9"/>
  <c r="AD880" i="9"/>
  <c r="AD881" i="9"/>
  <c r="AD882" i="9"/>
  <c r="AD883" i="9"/>
  <c r="AD884" i="9"/>
  <c r="AD885" i="9"/>
  <c r="AD886" i="9"/>
  <c r="AD887" i="9"/>
  <c r="AD888" i="9"/>
  <c r="AD889" i="9"/>
  <c r="AD890" i="9"/>
  <c r="AD891" i="9"/>
  <c r="AD892" i="9"/>
  <c r="AD893" i="9"/>
  <c r="AD894" i="9"/>
  <c r="AD895" i="9"/>
  <c r="AD896" i="9"/>
  <c r="AD897" i="9"/>
  <c r="AD898" i="9"/>
  <c r="AD899" i="9"/>
  <c r="AD900" i="9"/>
  <c r="AD901" i="9"/>
  <c r="AD902" i="9"/>
  <c r="AD903" i="9"/>
  <c r="AD904" i="9"/>
  <c r="AD905" i="9"/>
  <c r="AD906" i="9"/>
  <c r="AD907" i="9"/>
  <c r="AD908" i="9"/>
  <c r="AD909" i="9"/>
  <c r="AD910" i="9"/>
  <c r="AD911" i="9"/>
  <c r="AD912" i="9"/>
  <c r="AD913" i="9"/>
  <c r="AD914" i="9"/>
  <c r="AD915" i="9"/>
  <c r="AD916" i="9"/>
  <c r="AD917" i="9"/>
  <c r="AD918" i="9"/>
  <c r="AD919" i="9"/>
  <c r="AD920" i="9"/>
  <c r="AD921" i="9"/>
  <c r="AD922" i="9"/>
  <c r="AD923" i="9"/>
  <c r="AD924" i="9"/>
  <c r="AD925" i="9"/>
  <c r="AD926" i="9"/>
  <c r="AD927" i="9"/>
  <c r="AD928" i="9"/>
  <c r="AD929" i="9"/>
  <c r="AD930" i="9"/>
  <c r="AD931" i="9"/>
  <c r="AD932" i="9"/>
  <c r="AD933" i="9"/>
  <c r="AD934" i="9"/>
  <c r="AD935" i="9"/>
  <c r="AD936" i="9"/>
  <c r="AD937" i="9"/>
  <c r="AD938" i="9"/>
  <c r="AD939" i="9"/>
  <c r="AD940" i="9"/>
  <c r="AD941" i="9"/>
  <c r="AD942" i="9"/>
  <c r="AD943" i="9"/>
  <c r="AD944" i="9"/>
  <c r="AD945" i="9"/>
  <c r="AD946" i="9"/>
  <c r="AD947" i="9"/>
  <c r="AD948" i="9"/>
  <c r="AD949" i="9"/>
  <c r="AD950" i="9"/>
  <c r="AD951" i="9"/>
  <c r="AD952" i="9"/>
  <c r="AD953" i="9"/>
  <c r="AD954" i="9"/>
  <c r="AD955" i="9"/>
  <c r="AD956" i="9"/>
  <c r="AD957" i="9"/>
  <c r="AD958" i="9"/>
  <c r="AD959" i="9"/>
  <c r="AD960" i="9"/>
  <c r="AD961" i="9"/>
  <c r="AD962" i="9"/>
  <c r="AD963" i="9"/>
  <c r="AD964" i="9"/>
  <c r="AD965" i="9"/>
  <c r="AD966" i="9"/>
  <c r="AD967" i="9"/>
  <c r="AD968" i="9"/>
  <c r="AD969" i="9"/>
  <c r="AD970" i="9"/>
  <c r="AD971" i="9"/>
  <c r="AD972" i="9"/>
  <c r="AD973" i="9"/>
  <c r="AD974" i="9"/>
  <c r="AD975" i="9"/>
  <c r="AD976" i="9"/>
  <c r="AD977" i="9"/>
  <c r="AD978" i="9"/>
  <c r="AD979" i="9"/>
  <c r="AD980" i="9"/>
  <c r="AD981" i="9"/>
  <c r="AD982" i="9"/>
  <c r="AD983" i="9"/>
  <c r="AD984" i="9"/>
  <c r="AD985" i="9"/>
  <c r="AD986" i="9"/>
  <c r="AD987" i="9"/>
  <c r="AD988" i="9"/>
  <c r="AD989" i="9"/>
  <c r="AD990" i="9"/>
  <c r="AD991" i="9"/>
  <c r="AD992" i="9"/>
  <c r="AD993" i="9"/>
  <c r="AD994" i="9"/>
  <c r="AD995" i="9"/>
  <c r="AD996" i="9"/>
  <c r="AD997" i="9"/>
  <c r="AD998" i="9"/>
  <c r="AD999" i="9"/>
  <c r="AD1000" i="9"/>
  <c r="AD1001" i="9"/>
  <c r="AD1002" i="9"/>
  <c r="AD1003" i="9"/>
  <c r="AD1004" i="9"/>
  <c r="AD1005" i="9"/>
  <c r="AD1006" i="9"/>
  <c r="AD1007" i="9"/>
  <c r="AD1008" i="9"/>
  <c r="AD1009" i="9"/>
  <c r="AD1010" i="9"/>
  <c r="AD1011" i="9"/>
  <c r="AD1012" i="9"/>
  <c r="AD1013" i="9"/>
  <c r="Z1009" i="9" s="1"/>
  <c r="AD1014" i="9"/>
  <c r="AD1015" i="9"/>
  <c r="AD1016" i="9"/>
  <c r="AD1017" i="9"/>
  <c r="AD1018" i="9"/>
  <c r="AD1019" i="9"/>
  <c r="AD1020" i="9"/>
  <c r="AD1021" i="9"/>
  <c r="AD1022" i="9"/>
  <c r="AD1023" i="9"/>
  <c r="AD1024" i="9"/>
  <c r="AD1025" i="9"/>
  <c r="AD1026" i="9"/>
  <c r="AD1027" i="9"/>
  <c r="AD1028" i="9"/>
  <c r="AD1029" i="9"/>
  <c r="AD1030" i="9"/>
  <c r="AD1031" i="9"/>
  <c r="AD1032" i="9"/>
  <c r="AD1033" i="9"/>
  <c r="AD1034" i="9"/>
  <c r="AD1035" i="9"/>
  <c r="AD1036" i="9"/>
  <c r="AD1037" i="9"/>
  <c r="AD1038" i="9"/>
  <c r="AD1039" i="9"/>
  <c r="AD1040" i="9"/>
  <c r="AD1041" i="9"/>
  <c r="AD1042" i="9"/>
  <c r="AD1043" i="9"/>
  <c r="AD1044" i="9"/>
  <c r="AD1045" i="9"/>
  <c r="AD1046" i="9"/>
  <c r="AD1047" i="9"/>
  <c r="AD1048" i="9"/>
  <c r="AD1049" i="9"/>
  <c r="AD1050" i="9"/>
  <c r="AD1051" i="9"/>
  <c r="Z1036" i="9" s="1"/>
  <c r="AD1052" i="9"/>
  <c r="AD1053" i="9"/>
  <c r="AD1054" i="9"/>
  <c r="AD1055" i="9"/>
  <c r="AD1056" i="9"/>
  <c r="AD1057" i="9"/>
  <c r="AD1058" i="9"/>
  <c r="AD1059" i="9"/>
  <c r="AD1060" i="9"/>
  <c r="AD1061" i="9"/>
  <c r="AD1062" i="9"/>
  <c r="AD1063" i="9"/>
  <c r="AD1064" i="9"/>
  <c r="AD1065" i="9"/>
  <c r="AD1066" i="9"/>
  <c r="AD1067" i="9"/>
  <c r="AD1068" i="9"/>
  <c r="AD1069" i="9"/>
  <c r="AD1070" i="9"/>
  <c r="AD1071" i="9"/>
  <c r="AD1072" i="9"/>
  <c r="AD1073" i="9"/>
  <c r="AD1074" i="9"/>
  <c r="AD1075" i="9"/>
  <c r="AD1076" i="9"/>
  <c r="AD1077" i="9"/>
  <c r="AD1078" i="9"/>
  <c r="AD1079" i="9"/>
  <c r="AD1080" i="9"/>
  <c r="AD1081" i="9"/>
  <c r="AD1082" i="9"/>
  <c r="AD1083" i="9"/>
  <c r="AD1084" i="9"/>
  <c r="AD1085" i="9"/>
  <c r="AD1086" i="9"/>
  <c r="AD1087" i="9"/>
  <c r="AD1088" i="9"/>
  <c r="AD1089" i="9"/>
  <c r="AD1090" i="9"/>
  <c r="AD1091" i="9"/>
  <c r="AD1092" i="9"/>
  <c r="AD1093" i="9"/>
  <c r="AD1094" i="9"/>
  <c r="AD1095" i="9"/>
  <c r="AD1096" i="9"/>
  <c r="AD1097" i="9"/>
  <c r="AD1098" i="9"/>
  <c r="AD1099" i="9"/>
  <c r="AD1100" i="9"/>
  <c r="AD1101" i="9"/>
  <c r="AD1102" i="9"/>
  <c r="AD1103" i="9"/>
  <c r="AD1104" i="9"/>
  <c r="AD1105" i="9"/>
  <c r="AD1106" i="9"/>
  <c r="AD1107" i="9"/>
  <c r="AD1108" i="9"/>
  <c r="AD1109" i="9"/>
  <c r="AD1110" i="9"/>
  <c r="AD1111" i="9"/>
  <c r="AD1112" i="9"/>
  <c r="AD1113" i="9"/>
  <c r="AD1114" i="9"/>
  <c r="AD1115" i="9"/>
  <c r="AD1116" i="9"/>
  <c r="AD1117" i="9"/>
  <c r="AD1118" i="9"/>
  <c r="AD1119" i="9"/>
  <c r="AD1120" i="9"/>
  <c r="AD1121" i="9"/>
  <c r="AD1122" i="9"/>
  <c r="AD1123" i="9"/>
  <c r="AD1124" i="9"/>
  <c r="AD1125" i="9"/>
  <c r="AD1126" i="9"/>
  <c r="AD1127" i="9"/>
  <c r="AD1128" i="9"/>
  <c r="AD1129" i="9"/>
  <c r="AD1130" i="9"/>
  <c r="AD1131" i="9"/>
  <c r="AD1132" i="9"/>
  <c r="AD1133" i="9"/>
  <c r="AD1134" i="9"/>
  <c r="AD1135" i="9"/>
  <c r="AD1136" i="9"/>
  <c r="AD1137" i="9"/>
  <c r="AD1138" i="9"/>
  <c r="AD1139" i="9"/>
  <c r="AD1140" i="9"/>
  <c r="AD1141" i="9"/>
  <c r="AD1142" i="9"/>
  <c r="AA1126" i="9" s="1"/>
  <c r="AD1143" i="9"/>
  <c r="AD1144" i="9"/>
  <c r="AD1145" i="9"/>
  <c r="AD1146" i="9"/>
  <c r="AD1147" i="9"/>
  <c r="AD1148" i="9"/>
  <c r="AD1149" i="9"/>
  <c r="AD1150" i="9"/>
  <c r="AD1151" i="9"/>
  <c r="AD1152" i="9"/>
  <c r="AD1153" i="9"/>
  <c r="AD1154" i="9"/>
  <c r="AD1155" i="9"/>
  <c r="AD1156" i="9"/>
  <c r="AD1157" i="9"/>
  <c r="AD1158" i="9"/>
  <c r="AD1159" i="9"/>
  <c r="AD1160" i="9"/>
  <c r="AD1161" i="9"/>
  <c r="AD1162" i="9"/>
  <c r="AD1163" i="9"/>
  <c r="AD1164" i="9"/>
  <c r="AD1165" i="9"/>
  <c r="AD1166" i="9"/>
  <c r="AD1167" i="9"/>
  <c r="AD1168" i="9"/>
  <c r="AD1169" i="9"/>
  <c r="AD1170" i="9"/>
  <c r="AD1171" i="9"/>
  <c r="AD1172" i="9"/>
  <c r="AD1173" i="9"/>
  <c r="AA1170" i="9" s="1"/>
  <c r="AD1174" i="9"/>
  <c r="AD1175" i="9"/>
  <c r="AD1176" i="9"/>
  <c r="AD1177" i="9"/>
  <c r="AD1178" i="9"/>
  <c r="AD1179" i="9"/>
  <c r="AD1180" i="9"/>
  <c r="AD1181" i="9"/>
  <c r="AD1182" i="9"/>
  <c r="AD1183" i="9"/>
  <c r="AD1184" i="9"/>
  <c r="AD1185" i="9"/>
  <c r="AD1186" i="9"/>
  <c r="AD1187" i="9"/>
  <c r="AD1188" i="9"/>
  <c r="AD1189" i="9"/>
  <c r="AD1190" i="9"/>
  <c r="AD1191" i="9"/>
  <c r="AD1192" i="9"/>
  <c r="AD1193" i="9"/>
  <c r="AD1194" i="9"/>
  <c r="AD1195" i="9"/>
  <c r="AD1196" i="9"/>
  <c r="AD1197" i="9"/>
  <c r="AD1198" i="9"/>
  <c r="AD1199" i="9"/>
  <c r="AD1200" i="9"/>
  <c r="AD1201" i="9"/>
  <c r="AD1202" i="9"/>
  <c r="AD1203" i="9"/>
  <c r="AD1204" i="9"/>
  <c r="AD1205" i="9"/>
  <c r="AD1206" i="9"/>
  <c r="AD1207" i="9"/>
  <c r="AD1208" i="9"/>
  <c r="AD1209" i="9"/>
  <c r="AD1210" i="9"/>
  <c r="AD1211" i="9"/>
  <c r="AD1212" i="9"/>
  <c r="AD1213" i="9"/>
  <c r="AD1214" i="9"/>
  <c r="AD1215" i="9"/>
  <c r="AD1216" i="9"/>
  <c r="AD1217" i="9"/>
  <c r="Z1212" i="9" s="1"/>
  <c r="AD1218" i="9"/>
  <c r="AD1219" i="9"/>
  <c r="AD1220" i="9"/>
  <c r="AD1221" i="9"/>
  <c r="AD1222" i="9"/>
  <c r="AD1223" i="9"/>
  <c r="AD1224" i="9"/>
  <c r="AD1225" i="9"/>
  <c r="AD1226" i="9"/>
  <c r="AD1227" i="9"/>
  <c r="AD1228" i="9"/>
  <c r="AD1229" i="9"/>
  <c r="AD1230" i="9"/>
  <c r="AD1231" i="9"/>
  <c r="AD1232" i="9"/>
  <c r="AD1233" i="9"/>
  <c r="AD1234" i="9"/>
  <c r="AD1235" i="9"/>
  <c r="AD1236" i="9"/>
  <c r="AD1237" i="9"/>
  <c r="AD1238" i="9"/>
  <c r="AD1239" i="9"/>
  <c r="AD1240" i="9"/>
  <c r="AD1241" i="9"/>
  <c r="AD1242" i="9"/>
  <c r="AD1243"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6"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306" i="9"/>
  <c r="AE307" i="9"/>
  <c r="AE308" i="9"/>
  <c r="AE309" i="9"/>
  <c r="AE310" i="9"/>
  <c r="AE311" i="9"/>
  <c r="AE312" i="9"/>
  <c r="AE313" i="9"/>
  <c r="AE314" i="9"/>
  <c r="AE315" i="9"/>
  <c r="AE316" i="9"/>
  <c r="AE317" i="9"/>
  <c r="AE318" i="9"/>
  <c r="AE319" i="9"/>
  <c r="AE320" i="9"/>
  <c r="AE321" i="9"/>
  <c r="AE322" i="9"/>
  <c r="AE323" i="9"/>
  <c r="AE324" i="9"/>
  <c r="AE325" i="9"/>
  <c r="AE326" i="9"/>
  <c r="AE327" i="9"/>
  <c r="AE328" i="9"/>
  <c r="AE329" i="9"/>
  <c r="AE330" i="9"/>
  <c r="AE331" i="9"/>
  <c r="AE332" i="9"/>
  <c r="AE333" i="9"/>
  <c r="AE334" i="9"/>
  <c r="AE335" i="9"/>
  <c r="AE336" i="9"/>
  <c r="AE337" i="9"/>
  <c r="AE338" i="9"/>
  <c r="AE339" i="9"/>
  <c r="AE340" i="9"/>
  <c r="AE341" i="9"/>
  <c r="AE342" i="9"/>
  <c r="AE343" i="9"/>
  <c r="AE344" i="9"/>
  <c r="AE345" i="9"/>
  <c r="AE346" i="9"/>
  <c r="AE347" i="9"/>
  <c r="AE348" i="9"/>
  <c r="AE349" i="9"/>
  <c r="AE350" i="9"/>
  <c r="AE351" i="9"/>
  <c r="AE352" i="9"/>
  <c r="AE353" i="9"/>
  <c r="AE354" i="9"/>
  <c r="AE355" i="9"/>
  <c r="AE356" i="9"/>
  <c r="AE357" i="9"/>
  <c r="AE358" i="9"/>
  <c r="AE359" i="9"/>
  <c r="AE360" i="9"/>
  <c r="AE361" i="9"/>
  <c r="AE362" i="9"/>
  <c r="AE363" i="9"/>
  <c r="AE364" i="9"/>
  <c r="AE365" i="9"/>
  <c r="AE366" i="9"/>
  <c r="AE367" i="9"/>
  <c r="AE368" i="9"/>
  <c r="AE369" i="9"/>
  <c r="AE370" i="9"/>
  <c r="AE371" i="9"/>
  <c r="AE372" i="9"/>
  <c r="AE373" i="9"/>
  <c r="AE374" i="9"/>
  <c r="AE375" i="9"/>
  <c r="AE376" i="9"/>
  <c r="AE377" i="9"/>
  <c r="AE378" i="9"/>
  <c r="AE379" i="9"/>
  <c r="AE380" i="9"/>
  <c r="AE381" i="9"/>
  <c r="AE382" i="9"/>
  <c r="AE383" i="9"/>
  <c r="AE384" i="9"/>
  <c r="AE385" i="9"/>
  <c r="AE386" i="9"/>
  <c r="AE387" i="9"/>
  <c r="AE388" i="9"/>
  <c r="AE389" i="9"/>
  <c r="AE390" i="9"/>
  <c r="AE391" i="9"/>
  <c r="AE392" i="9"/>
  <c r="AE393" i="9"/>
  <c r="AE394" i="9"/>
  <c r="AE395" i="9"/>
  <c r="AE396" i="9"/>
  <c r="AE397" i="9"/>
  <c r="AE398" i="9"/>
  <c r="AE399" i="9"/>
  <c r="AE400" i="9"/>
  <c r="AE401" i="9"/>
  <c r="AE402" i="9"/>
  <c r="AE403" i="9"/>
  <c r="AE404" i="9"/>
  <c r="AE405" i="9"/>
  <c r="AE406" i="9"/>
  <c r="AE407" i="9"/>
  <c r="AE408" i="9"/>
  <c r="AE409" i="9"/>
  <c r="AE410" i="9"/>
  <c r="AE411" i="9"/>
  <c r="AE412" i="9"/>
  <c r="AE413" i="9"/>
  <c r="AE414" i="9"/>
  <c r="AE415" i="9"/>
  <c r="AE416" i="9"/>
  <c r="AE417" i="9"/>
  <c r="AE418" i="9"/>
  <c r="AE419" i="9"/>
  <c r="AE420" i="9"/>
  <c r="AE421" i="9"/>
  <c r="AE422" i="9"/>
  <c r="AE423" i="9"/>
  <c r="AE424" i="9"/>
  <c r="AE425" i="9"/>
  <c r="AE426" i="9"/>
  <c r="AE427" i="9"/>
  <c r="AE428" i="9"/>
  <c r="AE429" i="9"/>
  <c r="AE430" i="9"/>
  <c r="AE431" i="9"/>
  <c r="AE432" i="9"/>
  <c r="AE433" i="9"/>
  <c r="AE434" i="9"/>
  <c r="AE435" i="9"/>
  <c r="AE436" i="9"/>
  <c r="AE437" i="9"/>
  <c r="AE438" i="9"/>
  <c r="AE439" i="9"/>
  <c r="AE440" i="9"/>
  <c r="AE441" i="9"/>
  <c r="AE442" i="9"/>
  <c r="AE443" i="9"/>
  <c r="AE444" i="9"/>
  <c r="AE445" i="9"/>
  <c r="AE446" i="9"/>
  <c r="AE447" i="9"/>
  <c r="AE448" i="9"/>
  <c r="AE449" i="9"/>
  <c r="AE450" i="9"/>
  <c r="AE451" i="9"/>
  <c r="AE452" i="9"/>
  <c r="AE453" i="9"/>
  <c r="AE454" i="9"/>
  <c r="AE455" i="9"/>
  <c r="AE456" i="9"/>
  <c r="AE457" i="9"/>
  <c r="AE458" i="9"/>
  <c r="AE459" i="9"/>
  <c r="AE460" i="9"/>
  <c r="AE461" i="9"/>
  <c r="AE462" i="9"/>
  <c r="AE463" i="9"/>
  <c r="AE464" i="9"/>
  <c r="AE465" i="9"/>
  <c r="AE466" i="9"/>
  <c r="AE467" i="9"/>
  <c r="AE468" i="9"/>
  <c r="AE469" i="9"/>
  <c r="AE470" i="9"/>
  <c r="AE471" i="9"/>
  <c r="AE472" i="9"/>
  <c r="AE473" i="9"/>
  <c r="AE474" i="9"/>
  <c r="AE475" i="9"/>
  <c r="AE476" i="9"/>
  <c r="AE477" i="9"/>
  <c r="AE478" i="9"/>
  <c r="AE479" i="9"/>
  <c r="AE480" i="9"/>
  <c r="AE481" i="9"/>
  <c r="AE482" i="9"/>
  <c r="AE483" i="9"/>
  <c r="AE484" i="9"/>
  <c r="AE485" i="9"/>
  <c r="AE486" i="9"/>
  <c r="AE487" i="9"/>
  <c r="AE488" i="9"/>
  <c r="AE489" i="9"/>
  <c r="AE490" i="9"/>
  <c r="AE491" i="9"/>
  <c r="AE492" i="9"/>
  <c r="AE493" i="9"/>
  <c r="AE494" i="9"/>
  <c r="AE495" i="9"/>
  <c r="AE496" i="9"/>
  <c r="AE497" i="9"/>
  <c r="AE498" i="9"/>
  <c r="AE499" i="9"/>
  <c r="AE500" i="9"/>
  <c r="AE501" i="9"/>
  <c r="AE502" i="9"/>
  <c r="AE503" i="9"/>
  <c r="AE504" i="9"/>
  <c r="AE505" i="9"/>
  <c r="AE506" i="9"/>
  <c r="AE507" i="9"/>
  <c r="AE508" i="9"/>
  <c r="AE509" i="9"/>
  <c r="AE510" i="9"/>
  <c r="AE511" i="9"/>
  <c r="AE512" i="9"/>
  <c r="AE513" i="9"/>
  <c r="AE514" i="9"/>
  <c r="AE515" i="9"/>
  <c r="AE516" i="9"/>
  <c r="AE517" i="9"/>
  <c r="AE518" i="9"/>
  <c r="AE519" i="9"/>
  <c r="AE520" i="9"/>
  <c r="AE521" i="9"/>
  <c r="AE522" i="9"/>
  <c r="AE523" i="9"/>
  <c r="AE524" i="9"/>
  <c r="AE525" i="9"/>
  <c r="AE526" i="9"/>
  <c r="AE527" i="9"/>
  <c r="AE528" i="9"/>
  <c r="AE529" i="9"/>
  <c r="AE530" i="9"/>
  <c r="AE531" i="9"/>
  <c r="AE532" i="9"/>
  <c r="AE533" i="9"/>
  <c r="AE534" i="9"/>
  <c r="AE535" i="9"/>
  <c r="AE536" i="9"/>
  <c r="AE537" i="9"/>
  <c r="AE538" i="9"/>
  <c r="AE539" i="9"/>
  <c r="AE540" i="9"/>
  <c r="AE541" i="9"/>
  <c r="AE542" i="9"/>
  <c r="AE543" i="9"/>
  <c r="AE544" i="9"/>
  <c r="AE545" i="9"/>
  <c r="AE546" i="9"/>
  <c r="AE547" i="9"/>
  <c r="AE548" i="9"/>
  <c r="AE549" i="9"/>
  <c r="AE550" i="9"/>
  <c r="AE551" i="9"/>
  <c r="AE552" i="9"/>
  <c r="AE553" i="9"/>
  <c r="AE554" i="9"/>
  <c r="AE555" i="9"/>
  <c r="AE556" i="9"/>
  <c r="AE557" i="9"/>
  <c r="AE558" i="9"/>
  <c r="AE559" i="9"/>
  <c r="AE560" i="9"/>
  <c r="AE561" i="9"/>
  <c r="AE562" i="9"/>
  <c r="AE563" i="9"/>
  <c r="AE564" i="9"/>
  <c r="AE565" i="9"/>
  <c r="AE566" i="9"/>
  <c r="AE567" i="9"/>
  <c r="AE568" i="9"/>
  <c r="AE569" i="9"/>
  <c r="AE570" i="9"/>
  <c r="AE571" i="9"/>
  <c r="AE572" i="9"/>
  <c r="AE573" i="9"/>
  <c r="AE574" i="9"/>
  <c r="AE575" i="9"/>
  <c r="AE576" i="9"/>
  <c r="AE577" i="9"/>
  <c r="AE578" i="9"/>
  <c r="AE579" i="9"/>
  <c r="AE580" i="9"/>
  <c r="AE581" i="9"/>
  <c r="AE582" i="9"/>
  <c r="AE583" i="9"/>
  <c r="AE584" i="9"/>
  <c r="AE585" i="9"/>
  <c r="AE586" i="9"/>
  <c r="AE587" i="9"/>
  <c r="AE588" i="9"/>
  <c r="AE589" i="9"/>
  <c r="AE590" i="9"/>
  <c r="AE591" i="9"/>
  <c r="AE592" i="9"/>
  <c r="AE593" i="9"/>
  <c r="AE594" i="9"/>
  <c r="AE595" i="9"/>
  <c r="AE596" i="9"/>
  <c r="AE597" i="9"/>
  <c r="AE598" i="9"/>
  <c r="AE599" i="9"/>
  <c r="AE600" i="9"/>
  <c r="AE601" i="9"/>
  <c r="AE602" i="9"/>
  <c r="AE603" i="9"/>
  <c r="AE604" i="9"/>
  <c r="AE605" i="9"/>
  <c r="AE606" i="9"/>
  <c r="AE607" i="9"/>
  <c r="AE608" i="9"/>
  <c r="AE609" i="9"/>
  <c r="AE610" i="9"/>
  <c r="AE611" i="9"/>
  <c r="AE612" i="9"/>
  <c r="AE613" i="9"/>
  <c r="AE614" i="9"/>
  <c r="AE615" i="9"/>
  <c r="AE616" i="9"/>
  <c r="AE617" i="9"/>
  <c r="AE618" i="9"/>
  <c r="AE619" i="9"/>
  <c r="AE620" i="9"/>
  <c r="AE621" i="9"/>
  <c r="AE622" i="9"/>
  <c r="AE623" i="9"/>
  <c r="AE624" i="9"/>
  <c r="AE625" i="9"/>
  <c r="AE626" i="9"/>
  <c r="AE627" i="9"/>
  <c r="AE628" i="9"/>
  <c r="AE629" i="9"/>
  <c r="AE630" i="9"/>
  <c r="AE631" i="9"/>
  <c r="AE632" i="9"/>
  <c r="AE633" i="9"/>
  <c r="AE634" i="9"/>
  <c r="AE635" i="9"/>
  <c r="AE636" i="9"/>
  <c r="AE637" i="9"/>
  <c r="AE638" i="9"/>
  <c r="AE639" i="9"/>
  <c r="AE640" i="9"/>
  <c r="AE641" i="9"/>
  <c r="AE642" i="9"/>
  <c r="AE643" i="9"/>
  <c r="AE644" i="9"/>
  <c r="AE645" i="9"/>
  <c r="AE646" i="9"/>
  <c r="AE647" i="9"/>
  <c r="AE648" i="9"/>
  <c r="AE649" i="9"/>
  <c r="AE650" i="9"/>
  <c r="AE651" i="9"/>
  <c r="AE652" i="9"/>
  <c r="AE653" i="9"/>
  <c r="AE654" i="9"/>
  <c r="AE655" i="9"/>
  <c r="AE656" i="9"/>
  <c r="AE657" i="9"/>
  <c r="AE658" i="9"/>
  <c r="AE659" i="9"/>
  <c r="AE660" i="9"/>
  <c r="AE661" i="9"/>
  <c r="AE662" i="9"/>
  <c r="AE663" i="9"/>
  <c r="AE664" i="9"/>
  <c r="AE665" i="9"/>
  <c r="AE666" i="9"/>
  <c r="AE667" i="9"/>
  <c r="AE668" i="9"/>
  <c r="AE669" i="9"/>
  <c r="AE670" i="9"/>
  <c r="AE671" i="9"/>
  <c r="AE672" i="9"/>
  <c r="AE673" i="9"/>
  <c r="AE674" i="9"/>
  <c r="AE675" i="9"/>
  <c r="AE676" i="9"/>
  <c r="AE677" i="9"/>
  <c r="AE678" i="9"/>
  <c r="AE679" i="9"/>
  <c r="AE680" i="9"/>
  <c r="AE681" i="9"/>
  <c r="AE682" i="9"/>
  <c r="AE683" i="9"/>
  <c r="AE684" i="9"/>
  <c r="AE685" i="9"/>
  <c r="AE686" i="9"/>
  <c r="AE687" i="9"/>
  <c r="AE688" i="9"/>
  <c r="AE689" i="9"/>
  <c r="AE690" i="9"/>
  <c r="AE691" i="9"/>
  <c r="AE692" i="9"/>
  <c r="AE693" i="9"/>
  <c r="AE694" i="9"/>
  <c r="AE695" i="9"/>
  <c r="AE696" i="9"/>
  <c r="AE697" i="9"/>
  <c r="AE698" i="9"/>
  <c r="AE699" i="9"/>
  <c r="AE700" i="9"/>
  <c r="AE701" i="9"/>
  <c r="AE702" i="9"/>
  <c r="AE703" i="9"/>
  <c r="AE704" i="9"/>
  <c r="AE705" i="9"/>
  <c r="AE706" i="9"/>
  <c r="AE707" i="9"/>
  <c r="AE708" i="9"/>
  <c r="AE709" i="9"/>
  <c r="AE710" i="9"/>
  <c r="AE711" i="9"/>
  <c r="AE712" i="9"/>
  <c r="AE713" i="9"/>
  <c r="AE714" i="9"/>
  <c r="AE715" i="9"/>
  <c r="AE716" i="9"/>
  <c r="AE717" i="9"/>
  <c r="AE718" i="9"/>
  <c r="AE719" i="9"/>
  <c r="AE720" i="9"/>
  <c r="AE721" i="9"/>
  <c r="AE722" i="9"/>
  <c r="AE723" i="9"/>
  <c r="AE724" i="9"/>
  <c r="AE725" i="9"/>
  <c r="AE726" i="9"/>
  <c r="AE727" i="9"/>
  <c r="AE728" i="9"/>
  <c r="AE729" i="9"/>
  <c r="AE730" i="9"/>
  <c r="AE731" i="9"/>
  <c r="AE732" i="9"/>
  <c r="AE733" i="9"/>
  <c r="AE734" i="9"/>
  <c r="AE735" i="9"/>
  <c r="AE736" i="9"/>
  <c r="AE737" i="9"/>
  <c r="AE738" i="9"/>
  <c r="AE739" i="9"/>
  <c r="AE740" i="9"/>
  <c r="AE741" i="9"/>
  <c r="AE742" i="9"/>
  <c r="AE743" i="9"/>
  <c r="AE744" i="9"/>
  <c r="AE745" i="9"/>
  <c r="AE746" i="9"/>
  <c r="AE747" i="9"/>
  <c r="AE748" i="9"/>
  <c r="AE749" i="9"/>
  <c r="AE750" i="9"/>
  <c r="AE751" i="9"/>
  <c r="AE752" i="9"/>
  <c r="AE753" i="9"/>
  <c r="AE754" i="9"/>
  <c r="AE755" i="9"/>
  <c r="AE756" i="9"/>
  <c r="AE757" i="9"/>
  <c r="AE758" i="9"/>
  <c r="AE759" i="9"/>
  <c r="AE760" i="9"/>
  <c r="AE761" i="9"/>
  <c r="AE762" i="9"/>
  <c r="AE763" i="9"/>
  <c r="AE764" i="9"/>
  <c r="AE765" i="9"/>
  <c r="AE766" i="9"/>
  <c r="AE767" i="9"/>
  <c r="AE768" i="9"/>
  <c r="AE769" i="9"/>
  <c r="AE770" i="9"/>
  <c r="AE771" i="9"/>
  <c r="AE772" i="9"/>
  <c r="AE773" i="9"/>
  <c r="AE774" i="9"/>
  <c r="AE775" i="9"/>
  <c r="AE776" i="9"/>
  <c r="AE777" i="9"/>
  <c r="AE778" i="9"/>
  <c r="AE779" i="9"/>
  <c r="AE780" i="9"/>
  <c r="AE781" i="9"/>
  <c r="AE782" i="9"/>
  <c r="AE783" i="9"/>
  <c r="AE784" i="9"/>
  <c r="AE785" i="9"/>
  <c r="AE786" i="9"/>
  <c r="AE787" i="9"/>
  <c r="AE788" i="9"/>
  <c r="AE789" i="9"/>
  <c r="AE790" i="9"/>
  <c r="AE791" i="9"/>
  <c r="AE792" i="9"/>
  <c r="AE793" i="9"/>
  <c r="AE794" i="9"/>
  <c r="AE795" i="9"/>
  <c r="AE796" i="9"/>
  <c r="AE797" i="9"/>
  <c r="AE798" i="9"/>
  <c r="AE799" i="9"/>
  <c r="AE800" i="9"/>
  <c r="AE801" i="9"/>
  <c r="AE802" i="9"/>
  <c r="AE803" i="9"/>
  <c r="AE804" i="9"/>
  <c r="AE805" i="9"/>
  <c r="AE806" i="9"/>
  <c r="AE807" i="9"/>
  <c r="AE808" i="9"/>
  <c r="AE809" i="9"/>
  <c r="AE810" i="9"/>
  <c r="AE811" i="9"/>
  <c r="AE812" i="9"/>
  <c r="AE813" i="9"/>
  <c r="AE814" i="9"/>
  <c r="AE815" i="9"/>
  <c r="AE816" i="9"/>
  <c r="AE817" i="9"/>
  <c r="AE818" i="9"/>
  <c r="AE819" i="9"/>
  <c r="AE820" i="9"/>
  <c r="AE821" i="9"/>
  <c r="AE822" i="9"/>
  <c r="AE823" i="9"/>
  <c r="AE824" i="9"/>
  <c r="AE825" i="9"/>
  <c r="AE826" i="9"/>
  <c r="AE827" i="9"/>
  <c r="AE828" i="9"/>
  <c r="AE829" i="9"/>
  <c r="AE830" i="9"/>
  <c r="AE831" i="9"/>
  <c r="AE832" i="9"/>
  <c r="AE833" i="9"/>
  <c r="AE834" i="9"/>
  <c r="AE835" i="9"/>
  <c r="AE836" i="9"/>
  <c r="AE837" i="9"/>
  <c r="AE838" i="9"/>
  <c r="AE839" i="9"/>
  <c r="AE840" i="9"/>
  <c r="AE841" i="9"/>
  <c r="AE842" i="9"/>
  <c r="AE843" i="9"/>
  <c r="AE844" i="9"/>
  <c r="AE845" i="9"/>
  <c r="AE846" i="9"/>
  <c r="AE847" i="9"/>
  <c r="AE848" i="9"/>
  <c r="AE849" i="9"/>
  <c r="AE850" i="9"/>
  <c r="AE851" i="9"/>
  <c r="AE852" i="9"/>
  <c r="AE853" i="9"/>
  <c r="AE854" i="9"/>
  <c r="AE855" i="9"/>
  <c r="AE856" i="9"/>
  <c r="AE857" i="9"/>
  <c r="AE858" i="9"/>
  <c r="AE859" i="9"/>
  <c r="AE860" i="9"/>
  <c r="AE861" i="9"/>
  <c r="AE862" i="9"/>
  <c r="AE863" i="9"/>
  <c r="AE864" i="9"/>
  <c r="AE865" i="9"/>
  <c r="AE866" i="9"/>
  <c r="AE867" i="9"/>
  <c r="AE868" i="9"/>
  <c r="AE869" i="9"/>
  <c r="AE870" i="9"/>
  <c r="AE871" i="9"/>
  <c r="AE872" i="9"/>
  <c r="AE873" i="9"/>
  <c r="AE874" i="9"/>
  <c r="AE875" i="9"/>
  <c r="AE876" i="9"/>
  <c r="AE877" i="9"/>
  <c r="AE878" i="9"/>
  <c r="AE879" i="9"/>
  <c r="AE880" i="9"/>
  <c r="AE881" i="9"/>
  <c r="AE882" i="9"/>
  <c r="AE883" i="9"/>
  <c r="AE884" i="9"/>
  <c r="AE885" i="9"/>
  <c r="AE886" i="9"/>
  <c r="AE887" i="9"/>
  <c r="AE888" i="9"/>
  <c r="AE889" i="9"/>
  <c r="AE890" i="9"/>
  <c r="AE891" i="9"/>
  <c r="AE892" i="9"/>
  <c r="AE893" i="9"/>
  <c r="AE894" i="9"/>
  <c r="AE895" i="9"/>
  <c r="AE896" i="9"/>
  <c r="AE897" i="9"/>
  <c r="AE898" i="9"/>
  <c r="AE899" i="9"/>
  <c r="AE900" i="9"/>
  <c r="AE901" i="9"/>
  <c r="AE902" i="9"/>
  <c r="AE903" i="9"/>
  <c r="AE904" i="9"/>
  <c r="AE905" i="9"/>
  <c r="AE906" i="9"/>
  <c r="AE907" i="9"/>
  <c r="AE908" i="9"/>
  <c r="AE909" i="9"/>
  <c r="AE910" i="9"/>
  <c r="AE911" i="9"/>
  <c r="AE912" i="9"/>
  <c r="AE913" i="9"/>
  <c r="AE914" i="9"/>
  <c r="AE915" i="9"/>
  <c r="AE916" i="9"/>
  <c r="AE917" i="9"/>
  <c r="AE918" i="9"/>
  <c r="AE919" i="9"/>
  <c r="AE920" i="9"/>
  <c r="AE921" i="9"/>
  <c r="AE922" i="9"/>
  <c r="AE923" i="9"/>
  <c r="AE924" i="9"/>
  <c r="AE925" i="9"/>
  <c r="AE926" i="9"/>
  <c r="AE927" i="9"/>
  <c r="AE928" i="9"/>
  <c r="AE929" i="9"/>
  <c r="AE930" i="9"/>
  <c r="AE931" i="9"/>
  <c r="AE932" i="9"/>
  <c r="AE933" i="9"/>
  <c r="AE934" i="9"/>
  <c r="AE935" i="9"/>
  <c r="AE936" i="9"/>
  <c r="AE937" i="9"/>
  <c r="AE938" i="9"/>
  <c r="AE939" i="9"/>
  <c r="AE940" i="9"/>
  <c r="AE941" i="9"/>
  <c r="AE942" i="9"/>
  <c r="AE943" i="9"/>
  <c r="AE944" i="9"/>
  <c r="AE945" i="9"/>
  <c r="AE946" i="9"/>
  <c r="AE947" i="9"/>
  <c r="AE948" i="9"/>
  <c r="AE949" i="9"/>
  <c r="AE950" i="9"/>
  <c r="AE951" i="9"/>
  <c r="AE952" i="9"/>
  <c r="AE953" i="9"/>
  <c r="AE954" i="9"/>
  <c r="AE955" i="9"/>
  <c r="AE956" i="9"/>
  <c r="AE957" i="9"/>
  <c r="AE958" i="9"/>
  <c r="AE959" i="9"/>
  <c r="AE960" i="9"/>
  <c r="AE961" i="9"/>
  <c r="AE962" i="9"/>
  <c r="AE963" i="9"/>
  <c r="AE964" i="9"/>
  <c r="AE965" i="9"/>
  <c r="AE966" i="9"/>
  <c r="AE967" i="9"/>
  <c r="AE968" i="9"/>
  <c r="AE969" i="9"/>
  <c r="AE970" i="9"/>
  <c r="AE971" i="9"/>
  <c r="AE972" i="9"/>
  <c r="AE973" i="9"/>
  <c r="AE974" i="9"/>
  <c r="AE975" i="9"/>
  <c r="AE976" i="9"/>
  <c r="AE977" i="9"/>
  <c r="AE978" i="9"/>
  <c r="AE979" i="9"/>
  <c r="AE980" i="9"/>
  <c r="AE981" i="9"/>
  <c r="AE982" i="9"/>
  <c r="AE983" i="9"/>
  <c r="AE984" i="9"/>
  <c r="AE985" i="9"/>
  <c r="AE986" i="9"/>
  <c r="AE987" i="9"/>
  <c r="AE988" i="9"/>
  <c r="AE989" i="9"/>
  <c r="AE990" i="9"/>
  <c r="AE991" i="9"/>
  <c r="AE992" i="9"/>
  <c r="AE993" i="9"/>
  <c r="AE994" i="9"/>
  <c r="AE995" i="9"/>
  <c r="AE996" i="9"/>
  <c r="AE997" i="9"/>
  <c r="AE998" i="9"/>
  <c r="AE999" i="9"/>
  <c r="AE1000" i="9"/>
  <c r="AE1001" i="9"/>
  <c r="AE1002" i="9"/>
  <c r="AE1003" i="9"/>
  <c r="AE1004" i="9"/>
  <c r="AE1005" i="9"/>
  <c r="AE1006" i="9"/>
  <c r="AE1007" i="9"/>
  <c r="AE1008" i="9"/>
  <c r="AE1009" i="9"/>
  <c r="AE1010" i="9"/>
  <c r="AE1011" i="9"/>
  <c r="AE1012" i="9"/>
  <c r="AE1013" i="9"/>
  <c r="AE1014" i="9"/>
  <c r="AE1015" i="9"/>
  <c r="AE1016" i="9"/>
  <c r="AE1017" i="9"/>
  <c r="AE1018" i="9"/>
  <c r="AE1019" i="9"/>
  <c r="AE1020" i="9"/>
  <c r="AE1021" i="9"/>
  <c r="AE1022" i="9"/>
  <c r="AE1023" i="9"/>
  <c r="AE1024" i="9"/>
  <c r="AE1025" i="9"/>
  <c r="AE1026" i="9"/>
  <c r="AE1027" i="9"/>
  <c r="AE1028" i="9"/>
  <c r="AE1029" i="9"/>
  <c r="AE1030" i="9"/>
  <c r="AE1031" i="9"/>
  <c r="AE1032" i="9"/>
  <c r="AE1033" i="9"/>
  <c r="AE1034" i="9"/>
  <c r="AE1035" i="9"/>
  <c r="AE1036" i="9"/>
  <c r="AE1037" i="9"/>
  <c r="AE1038" i="9"/>
  <c r="AE1039" i="9"/>
  <c r="AE1040" i="9"/>
  <c r="AE1041" i="9"/>
  <c r="AE1042" i="9"/>
  <c r="AE1043" i="9"/>
  <c r="AE1044" i="9"/>
  <c r="AE1045" i="9"/>
  <c r="AE1046" i="9"/>
  <c r="AE1047" i="9"/>
  <c r="AE1048" i="9"/>
  <c r="AE1049" i="9"/>
  <c r="AE1050" i="9"/>
  <c r="AE1051" i="9"/>
  <c r="AE1052" i="9"/>
  <c r="AE1053" i="9"/>
  <c r="AE1054" i="9"/>
  <c r="AE1055" i="9"/>
  <c r="AE1056" i="9"/>
  <c r="AE1057" i="9"/>
  <c r="AE1058" i="9"/>
  <c r="AE1059" i="9"/>
  <c r="AE1060" i="9"/>
  <c r="AE1061" i="9"/>
  <c r="AE1062" i="9"/>
  <c r="AE1063" i="9"/>
  <c r="AE1064" i="9"/>
  <c r="AE1065" i="9"/>
  <c r="AE1066" i="9"/>
  <c r="AE1067" i="9"/>
  <c r="AE1068" i="9"/>
  <c r="AE1069" i="9"/>
  <c r="AE1070" i="9"/>
  <c r="AE1071" i="9"/>
  <c r="AE1072" i="9"/>
  <c r="AE1073" i="9"/>
  <c r="AE1074" i="9"/>
  <c r="AE1075" i="9"/>
  <c r="AE1076" i="9"/>
  <c r="AE1077" i="9"/>
  <c r="AE1078" i="9"/>
  <c r="AE1079" i="9"/>
  <c r="AE1080" i="9"/>
  <c r="AE1081" i="9"/>
  <c r="AE1082" i="9"/>
  <c r="AE1083" i="9"/>
  <c r="AE1084" i="9"/>
  <c r="AE1085" i="9"/>
  <c r="AE1086" i="9"/>
  <c r="AE1087" i="9"/>
  <c r="AE1088" i="9"/>
  <c r="AE1089" i="9"/>
  <c r="AE1090" i="9"/>
  <c r="AE1091" i="9"/>
  <c r="AE1092" i="9"/>
  <c r="AE1093" i="9"/>
  <c r="AE1094" i="9"/>
  <c r="AE1095" i="9"/>
  <c r="AE1096" i="9"/>
  <c r="AE1097" i="9"/>
  <c r="AE1098" i="9"/>
  <c r="AE1099" i="9"/>
  <c r="AE1100" i="9"/>
  <c r="AE1101" i="9"/>
  <c r="AE1102" i="9"/>
  <c r="AE1103" i="9"/>
  <c r="AE1104" i="9"/>
  <c r="AE1105" i="9"/>
  <c r="AE1106" i="9"/>
  <c r="AE1107" i="9"/>
  <c r="AE1108" i="9"/>
  <c r="AE1109" i="9"/>
  <c r="AE1110" i="9"/>
  <c r="AE1111" i="9"/>
  <c r="AE1112" i="9"/>
  <c r="AE1113" i="9"/>
  <c r="AE1114" i="9"/>
  <c r="AE1115" i="9"/>
  <c r="AE1116" i="9"/>
  <c r="AE1117" i="9"/>
  <c r="AE1118" i="9"/>
  <c r="AE1119" i="9"/>
  <c r="AE1120" i="9"/>
  <c r="AE1121" i="9"/>
  <c r="AE1122" i="9"/>
  <c r="AE1123" i="9"/>
  <c r="AE1124" i="9"/>
  <c r="AE1125" i="9"/>
  <c r="AE1126" i="9"/>
  <c r="AE1127" i="9"/>
  <c r="AE1128" i="9"/>
  <c r="AE1129" i="9"/>
  <c r="AE1130" i="9"/>
  <c r="AE1131" i="9"/>
  <c r="AE1132" i="9"/>
  <c r="AE1133" i="9"/>
  <c r="AE1134" i="9"/>
  <c r="AE1135" i="9"/>
  <c r="AE1136" i="9"/>
  <c r="AE1137" i="9"/>
  <c r="AE1138" i="9"/>
  <c r="AE1139" i="9"/>
  <c r="AE1140" i="9"/>
  <c r="AE1141" i="9"/>
  <c r="AE1142" i="9"/>
  <c r="AE1143" i="9"/>
  <c r="AE1144" i="9"/>
  <c r="AE1145" i="9"/>
  <c r="AE1146" i="9"/>
  <c r="AE1147" i="9"/>
  <c r="AE1148" i="9"/>
  <c r="AE1149" i="9"/>
  <c r="AE1150" i="9"/>
  <c r="AE1151" i="9"/>
  <c r="AE1152" i="9"/>
  <c r="AE1153" i="9"/>
  <c r="AE1154" i="9"/>
  <c r="AE1155" i="9"/>
  <c r="AE1156" i="9"/>
  <c r="AE1157" i="9"/>
  <c r="AE1158" i="9"/>
  <c r="AE1159" i="9"/>
  <c r="AE1160" i="9"/>
  <c r="AE1161" i="9"/>
  <c r="AE1162" i="9"/>
  <c r="AE1163" i="9"/>
  <c r="AE1164" i="9"/>
  <c r="AE1165" i="9"/>
  <c r="AE1166" i="9"/>
  <c r="AE1167" i="9"/>
  <c r="AE1168" i="9"/>
  <c r="AE1169" i="9"/>
  <c r="AE1170" i="9"/>
  <c r="AE1171" i="9"/>
  <c r="AE1172" i="9"/>
  <c r="AE1173" i="9"/>
  <c r="AE1174" i="9"/>
  <c r="AE1175" i="9"/>
  <c r="AE1176" i="9"/>
  <c r="AE1177" i="9"/>
  <c r="AE1178" i="9"/>
  <c r="AE1179" i="9"/>
  <c r="AE1180" i="9"/>
  <c r="AE1181" i="9"/>
  <c r="AE1182" i="9"/>
  <c r="AE1183" i="9"/>
  <c r="AE1184" i="9"/>
  <c r="AE1185" i="9"/>
  <c r="AE1186" i="9"/>
  <c r="AE1187" i="9"/>
  <c r="AE1188" i="9"/>
  <c r="AE1189" i="9"/>
  <c r="AE1190" i="9"/>
  <c r="AE1191" i="9"/>
  <c r="AE1192" i="9"/>
  <c r="AE1193" i="9"/>
  <c r="AE1194" i="9"/>
  <c r="AE1195" i="9"/>
  <c r="AE1196" i="9"/>
  <c r="AE1197" i="9"/>
  <c r="AE1198" i="9"/>
  <c r="AE1199" i="9"/>
  <c r="AE1200" i="9"/>
  <c r="AE1201" i="9"/>
  <c r="AE1202" i="9"/>
  <c r="AE1203" i="9"/>
  <c r="AE1204" i="9"/>
  <c r="AE1205" i="9"/>
  <c r="AE1206" i="9"/>
  <c r="AE1207" i="9"/>
  <c r="AE1208" i="9"/>
  <c r="AE1209" i="9"/>
  <c r="AE1210" i="9"/>
  <c r="AE1211" i="9"/>
  <c r="AE1212" i="9"/>
  <c r="AE1213" i="9"/>
  <c r="AE1214" i="9"/>
  <c r="AE1215" i="9"/>
  <c r="AE1216" i="9"/>
  <c r="AE1217" i="9"/>
  <c r="AE1218" i="9"/>
  <c r="AE1219" i="9"/>
  <c r="AE1220" i="9"/>
  <c r="AE1221" i="9"/>
  <c r="AE1222" i="9"/>
  <c r="AE1223" i="9"/>
  <c r="AE1224" i="9"/>
  <c r="AE1225" i="9"/>
  <c r="AE1226" i="9"/>
  <c r="AE1227" i="9"/>
  <c r="AE1228" i="9"/>
  <c r="AE1229" i="9"/>
  <c r="AE1230" i="9"/>
  <c r="AE1231" i="9"/>
  <c r="AE1232" i="9"/>
  <c r="AE1233" i="9"/>
  <c r="AE1234" i="9"/>
  <c r="AE1235" i="9"/>
  <c r="AE1236" i="9"/>
  <c r="AE1237" i="9"/>
  <c r="AE1238" i="9"/>
  <c r="AE1239" i="9"/>
  <c r="AE1240" i="9"/>
  <c r="AE1241" i="9"/>
  <c r="AE1242" i="9"/>
  <c r="AE1243" i="9"/>
  <c r="Q2686" i="9" l="1"/>
  <c r="S2685" i="9"/>
  <c r="R2685" i="9"/>
  <c r="Q2892" i="9"/>
  <c r="R2891" i="9"/>
  <c r="S2891" i="9"/>
  <c r="S2856" i="9"/>
  <c r="Q2857" i="9"/>
  <c r="R2856" i="9"/>
  <c r="R2684" i="9"/>
  <c r="S2684" i="9"/>
  <c r="Q2692" i="9"/>
  <c r="Z1226" i="9"/>
  <c r="AA967" i="9"/>
  <c r="AA995" i="9"/>
  <c r="W1194" i="9"/>
  <c r="V1194" i="9" s="1"/>
  <c r="X1180" i="9"/>
  <c r="X1105" i="9"/>
  <c r="X1061" i="9"/>
  <c r="X1036" i="9"/>
  <c r="X1021" i="9"/>
  <c r="X1009" i="9"/>
  <c r="X927" i="9"/>
  <c r="X251" i="9"/>
  <c r="Z1194" i="9"/>
  <c r="AA1180" i="9"/>
  <c r="AA1105" i="9"/>
  <c r="AA1061" i="9"/>
  <c r="AA1036" i="9"/>
  <c r="AA1021" i="9"/>
  <c r="AA1009" i="9"/>
  <c r="AA927" i="9"/>
  <c r="AA251" i="9"/>
  <c r="X1157" i="9"/>
  <c r="X1126" i="9"/>
  <c r="AA1157" i="9"/>
  <c r="Z927" i="9"/>
  <c r="W1226" i="9"/>
  <c r="V1226" i="9" s="1"/>
  <c r="X1170" i="9"/>
  <c r="V1170" i="9" s="1"/>
  <c r="X967" i="9"/>
  <c r="V967" i="9" s="1"/>
  <c r="Q51" i="9"/>
  <c r="V96" i="9"/>
  <c r="V1036" i="9"/>
  <c r="V1190" i="9"/>
  <c r="V1126" i="9"/>
  <c r="V1021" i="9"/>
  <c r="V251" i="9"/>
  <c r="V103" i="9"/>
  <c r="V1157" i="9"/>
  <c r="V1153" i="9"/>
  <c r="V1105" i="9"/>
  <c r="V1061" i="9"/>
  <c r="V995" i="9"/>
  <c r="V963" i="9"/>
  <c r="W927" i="9"/>
  <c r="V927" i="9" s="1"/>
  <c r="W1212" i="9"/>
  <c r="V1212" i="9" s="1"/>
  <c r="V1009" i="9"/>
  <c r="V1180" i="9"/>
  <c r="V946" i="9"/>
  <c r="AB3" i="9"/>
  <c r="AB4" i="9"/>
  <c r="AB5" i="9"/>
  <c r="AB6" i="9"/>
  <c r="AB8" i="9"/>
  <c r="AB9" i="9"/>
  <c r="AB10" i="9"/>
  <c r="AB11" i="9"/>
  <c r="AB12" i="9"/>
  <c r="AA3" i="9"/>
  <c r="AA4" i="9"/>
  <c r="AA5" i="9"/>
  <c r="AA6" i="9"/>
  <c r="AA8" i="9"/>
  <c r="AA9" i="9"/>
  <c r="AA10" i="9"/>
  <c r="AA11" i="9"/>
  <c r="AA12" i="9"/>
  <c r="Z3" i="9"/>
  <c r="Z4" i="9"/>
  <c r="Z5" i="9"/>
  <c r="Z6" i="9"/>
  <c r="Z8" i="9"/>
  <c r="Z9" i="9"/>
  <c r="Z10" i="9"/>
  <c r="Z11" i="9"/>
  <c r="Z12" i="9"/>
  <c r="Y3" i="9"/>
  <c r="Y4" i="9"/>
  <c r="Y5" i="9"/>
  <c r="Y6" i="9"/>
  <c r="Y8" i="9"/>
  <c r="Y9" i="9"/>
  <c r="Y10" i="9"/>
  <c r="Y11" i="9"/>
  <c r="Y12" i="9"/>
  <c r="X3" i="9"/>
  <c r="X4" i="9"/>
  <c r="X5" i="9"/>
  <c r="X6" i="9"/>
  <c r="X8" i="9"/>
  <c r="X9" i="9"/>
  <c r="X10" i="9"/>
  <c r="X11" i="9"/>
  <c r="X12" i="9"/>
  <c r="W3" i="9"/>
  <c r="W4" i="9"/>
  <c r="W5" i="9"/>
  <c r="W6" i="9"/>
  <c r="W8" i="9"/>
  <c r="W9" i="9"/>
  <c r="W10" i="9"/>
  <c r="W11" i="9"/>
  <c r="W12" i="9"/>
  <c r="V3" i="9"/>
  <c r="V4" i="9"/>
  <c r="V5" i="9"/>
  <c r="V6" i="9"/>
  <c r="V8" i="9"/>
  <c r="V9" i="9"/>
  <c r="V10" i="9"/>
  <c r="V11" i="9"/>
  <c r="V12" i="9"/>
  <c r="Q2858" i="9" l="1"/>
  <c r="R2857" i="9"/>
  <c r="S2857" i="9"/>
  <c r="Q2687" i="9"/>
  <c r="S2686" i="9"/>
  <c r="R2686" i="9"/>
  <c r="S2892" i="9"/>
  <c r="Q2893" i="9"/>
  <c r="Q2894" i="9" s="1"/>
  <c r="R2892" i="9"/>
  <c r="Q2693" i="9"/>
  <c r="R2692" i="9"/>
  <c r="S2692" i="9"/>
  <c r="Q52" i="9"/>
  <c r="R51" i="9"/>
  <c r="S51" i="9"/>
  <c r="T5" i="9"/>
  <c r="T6" i="9"/>
  <c r="T7" i="9"/>
  <c r="T8" i="9"/>
  <c r="T9" i="9"/>
  <c r="T10" i="9"/>
  <c r="T11" i="9"/>
  <c r="T12" i="9"/>
  <c r="U5" i="9"/>
  <c r="U6" i="9"/>
  <c r="U7" i="9"/>
  <c r="U8" i="9"/>
  <c r="U9" i="9"/>
  <c r="U10" i="9"/>
  <c r="U11" i="9"/>
  <c r="U12" i="9"/>
  <c r="AC5" i="9"/>
  <c r="AC6" i="9"/>
  <c r="AC7" i="9"/>
  <c r="AC8" i="9"/>
  <c r="AC9" i="9"/>
  <c r="AC10" i="9"/>
  <c r="AC11" i="9"/>
  <c r="AC12" i="9"/>
  <c r="AD5" i="9"/>
  <c r="AD6" i="9"/>
  <c r="AD7" i="9"/>
  <c r="AD8" i="9"/>
  <c r="AD9" i="9"/>
  <c r="AD10" i="9"/>
  <c r="AD11" i="9"/>
  <c r="AD12" i="9"/>
  <c r="S2894" i="9" l="1"/>
  <c r="R2894" i="9"/>
  <c r="Q2688" i="9"/>
  <c r="S2687" i="9"/>
  <c r="R2687" i="9"/>
  <c r="Q2859" i="9"/>
  <c r="R2858" i="9"/>
  <c r="S2858" i="9"/>
  <c r="R2893" i="9"/>
  <c r="S2893" i="9"/>
  <c r="Q2694" i="9"/>
  <c r="R2693" i="9"/>
  <c r="S2693" i="9"/>
  <c r="X162" i="9"/>
  <c r="Z162" i="9"/>
  <c r="W162" i="9"/>
  <c r="AB162" i="9"/>
  <c r="Y162" i="9"/>
  <c r="AA162" i="9"/>
  <c r="Q53" i="9"/>
  <c r="R52" i="9"/>
  <c r="S52" i="9"/>
  <c r="X166" i="9"/>
  <c r="Z166" i="9"/>
  <c r="W166" i="9"/>
  <c r="AB166" i="9"/>
  <c r="Y166" i="9"/>
  <c r="AA166" i="9"/>
  <c r="Z99" i="9"/>
  <c r="AB99" i="9"/>
  <c r="W99" i="9"/>
  <c r="Y99" i="9"/>
  <c r="AA99" i="9"/>
  <c r="X99" i="9"/>
  <c r="W182" i="9"/>
  <c r="Z182" i="9"/>
  <c r="Y182" i="9"/>
  <c r="AB182" i="9"/>
  <c r="X182" i="9"/>
  <c r="AA182" i="9"/>
  <c r="T4" i="9"/>
  <c r="U4" i="9"/>
  <c r="AC4" i="9"/>
  <c r="AD4" i="9"/>
  <c r="S2688" i="9" l="1"/>
  <c r="Q2689" i="9"/>
  <c r="R2688" i="9"/>
  <c r="Q2860" i="9"/>
  <c r="R2859" i="9"/>
  <c r="S2859" i="9"/>
  <c r="R2694" i="9"/>
  <c r="S2694" i="9"/>
  <c r="Q2695" i="9"/>
  <c r="V166" i="9"/>
  <c r="W46" i="9"/>
  <c r="Y134" i="9"/>
  <c r="X134" i="9"/>
  <c r="Y138" i="9"/>
  <c r="X138" i="9"/>
  <c r="Y73" i="9"/>
  <c r="X73" i="9"/>
  <c r="Z46" i="9"/>
  <c r="AB134" i="9"/>
  <c r="AA134" i="9"/>
  <c r="AB138" i="9"/>
  <c r="AA138" i="9"/>
  <c r="W73" i="9"/>
  <c r="V73" i="9" s="1"/>
  <c r="AA73" i="9"/>
  <c r="V99" i="9"/>
  <c r="AB46" i="9"/>
  <c r="Y46" i="9"/>
  <c r="Q54" i="9"/>
  <c r="R53" i="9"/>
  <c r="S53" i="9"/>
  <c r="V162" i="9"/>
  <c r="W134" i="9"/>
  <c r="V134" i="9" s="1"/>
  <c r="W138" i="9"/>
  <c r="V138" i="9" s="1"/>
  <c r="AB73" i="9"/>
  <c r="AA46" i="9"/>
  <c r="V182" i="9"/>
  <c r="J10" i="13"/>
  <c r="J9" i="13"/>
  <c r="J8" i="13"/>
  <c r="J7" i="13"/>
  <c r="J6" i="13"/>
  <c r="J5" i="13"/>
  <c r="J4" i="13"/>
  <c r="J3" i="13"/>
  <c r="S2860" i="9" l="1"/>
  <c r="Q2861" i="9"/>
  <c r="R2860" i="9"/>
  <c r="R2689" i="9"/>
  <c r="S2689" i="9"/>
  <c r="Q2690" i="9"/>
  <c r="AA2884" i="9"/>
  <c r="AB2884" i="9"/>
  <c r="W2884" i="9"/>
  <c r="X2884" i="9"/>
  <c r="Z2884" i="9"/>
  <c r="Y2884" i="9"/>
  <c r="AB2790" i="9"/>
  <c r="S2695" i="9"/>
  <c r="R2695" i="9"/>
  <c r="Q2696" i="9"/>
  <c r="AA2790" i="9"/>
  <c r="Z2790" i="9"/>
  <c r="W117" i="9"/>
  <c r="Y117" i="9"/>
  <c r="R54" i="9"/>
  <c r="Q55" i="9"/>
  <c r="S54" i="9"/>
  <c r="Z117" i="9"/>
  <c r="X117" i="9"/>
  <c r="V117" i="9" s="1"/>
  <c r="AA117" i="9"/>
  <c r="V46" i="9"/>
  <c r="AB117" i="9"/>
  <c r="AB107" i="9"/>
  <c r="AA107" i="9"/>
  <c r="Z107" i="9"/>
  <c r="D8" i="2"/>
  <c r="D9" i="2"/>
  <c r="D10" i="2"/>
  <c r="D11" i="2"/>
  <c r="D12" i="2"/>
  <c r="D13" i="2"/>
  <c r="D14" i="2"/>
  <c r="D15" i="2"/>
  <c r="D16" i="2"/>
  <c r="D17" i="2"/>
  <c r="D18" i="2"/>
  <c r="D19" i="2"/>
  <c r="D20" i="2"/>
  <c r="D21" i="2"/>
  <c r="D22" i="2"/>
  <c r="D23" i="2"/>
  <c r="D24" i="2"/>
  <c r="D26" i="2"/>
  <c r="D27" i="2"/>
  <c r="D28" i="2"/>
  <c r="D29" i="2"/>
  <c r="D30" i="2"/>
  <c r="D31" i="2"/>
  <c r="D32" i="2"/>
  <c r="D33" i="2"/>
  <c r="D34" i="2"/>
  <c r="D35" i="2"/>
  <c r="D36" i="2"/>
  <c r="D37" i="2"/>
  <c r="D38" i="2"/>
  <c r="D39" i="2"/>
  <c r="D40" i="2"/>
  <c r="D7" i="2"/>
  <c r="D25" i="2" s="1"/>
  <c r="C7" i="2"/>
  <c r="V2884" i="9" l="1"/>
  <c r="Q2691" i="9"/>
  <c r="S2690" i="9"/>
  <c r="R2690" i="9"/>
  <c r="Q2862" i="9"/>
  <c r="R2861" i="9"/>
  <c r="S2861" i="9"/>
  <c r="Q2697" i="9"/>
  <c r="R2696" i="9"/>
  <c r="S2696" i="9"/>
  <c r="Q56" i="9"/>
  <c r="R55" i="9"/>
  <c r="S55" i="9"/>
  <c r="D41" i="2"/>
  <c r="C40" i="2"/>
  <c r="G40" i="2" s="1"/>
  <c r="H40" i="2"/>
  <c r="AD2" i="9"/>
  <c r="AD3" i="9"/>
  <c r="W2678" i="9" l="1"/>
  <c r="R2691" i="9"/>
  <c r="S2691" i="9"/>
  <c r="Z2678" i="9" s="1"/>
  <c r="Q2863" i="9"/>
  <c r="R2862" i="9"/>
  <c r="S2862" i="9"/>
  <c r="Q2698" i="9"/>
  <c r="R2697" i="9"/>
  <c r="S2697" i="9"/>
  <c r="Q57" i="9"/>
  <c r="S56" i="9"/>
  <c r="R56" i="9"/>
  <c r="Y8" i="10"/>
  <c r="Y6" i="10"/>
  <c r="Y4" i="10"/>
  <c r="Z10" i="1"/>
  <c r="AA2678" i="9" l="1"/>
  <c r="Q2864" i="9"/>
  <c r="R2863" i="9"/>
  <c r="S2863" i="9"/>
  <c r="Q2699" i="9"/>
  <c r="R2698" i="9"/>
  <c r="S2698" i="9"/>
  <c r="Q58" i="9"/>
  <c r="S57" i="9"/>
  <c r="R57" i="9"/>
  <c r="C24" i="2"/>
  <c r="G24" i="2" s="1"/>
  <c r="C19" i="2"/>
  <c r="G19" i="2" s="1"/>
  <c r="H19" i="2"/>
  <c r="C20" i="2"/>
  <c r="G20" i="2" s="1"/>
  <c r="H20" i="2"/>
  <c r="C21" i="2"/>
  <c r="G21" i="2" s="1"/>
  <c r="H21" i="2"/>
  <c r="C22" i="2"/>
  <c r="G22" i="2" s="1"/>
  <c r="H22" i="2"/>
  <c r="C23" i="2"/>
  <c r="G23" i="2" s="1"/>
  <c r="H23" i="2"/>
  <c r="H24" i="2"/>
  <c r="C26" i="2"/>
  <c r="G26" i="2" s="1"/>
  <c r="H26" i="2"/>
  <c r="C27" i="2"/>
  <c r="G27" i="2" s="1"/>
  <c r="H27" i="2"/>
  <c r="C28" i="2"/>
  <c r="G28" i="2" s="1"/>
  <c r="H28" i="2"/>
  <c r="C29" i="2"/>
  <c r="G29" i="2" s="1"/>
  <c r="H29" i="2"/>
  <c r="C30" i="2"/>
  <c r="G30" i="2" s="1"/>
  <c r="H30" i="2"/>
  <c r="C31" i="2"/>
  <c r="G31" i="2" s="1"/>
  <c r="H31" i="2"/>
  <c r="C32" i="2"/>
  <c r="G32" i="2" s="1"/>
  <c r="H32" i="2"/>
  <c r="C33" i="2"/>
  <c r="G33" i="2" s="1"/>
  <c r="H33" i="2"/>
  <c r="C34" i="2"/>
  <c r="G34" i="2" s="1"/>
  <c r="H34" i="2"/>
  <c r="C35" i="2"/>
  <c r="G35" i="2" s="1"/>
  <c r="H35" i="2"/>
  <c r="C36" i="2"/>
  <c r="G36" i="2" s="1"/>
  <c r="H36" i="2"/>
  <c r="C37" i="2"/>
  <c r="G37" i="2" s="1"/>
  <c r="H37" i="2"/>
  <c r="C38" i="2"/>
  <c r="G38" i="2" s="1"/>
  <c r="H38" i="2"/>
  <c r="C39" i="2"/>
  <c r="G39" i="2" s="1"/>
  <c r="H39" i="2"/>
  <c r="H8" i="2"/>
  <c r="H9" i="2"/>
  <c r="H10" i="2"/>
  <c r="H11" i="2"/>
  <c r="H12" i="2"/>
  <c r="H13" i="2"/>
  <c r="H14" i="2"/>
  <c r="H15" i="2"/>
  <c r="H16" i="2"/>
  <c r="H17" i="2"/>
  <c r="H18" i="2"/>
  <c r="S2864" i="9" l="1"/>
  <c r="Q2865" i="9"/>
  <c r="R2864" i="9"/>
  <c r="Q2700" i="9"/>
  <c r="R2699" i="9"/>
  <c r="S2699" i="9"/>
  <c r="Q59" i="9"/>
  <c r="S58" i="9"/>
  <c r="R58" i="9"/>
  <c r="H25" i="2"/>
  <c r="C41" i="2"/>
  <c r="G41" i="2" s="1"/>
  <c r="H7" i="2"/>
  <c r="H41" i="2"/>
  <c r="Q2866" i="9" l="1"/>
  <c r="R2865" i="9"/>
  <c r="S2865" i="9"/>
  <c r="Q2701" i="9"/>
  <c r="S2700" i="9"/>
  <c r="R2700" i="9"/>
  <c r="Y212" i="9"/>
  <c r="X212" i="9"/>
  <c r="R59" i="9"/>
  <c r="S59" i="9"/>
  <c r="Q60" i="9"/>
  <c r="B10" i="1"/>
  <c r="Q2867" i="9" l="1"/>
  <c r="R2866" i="9"/>
  <c r="S2866" i="9"/>
  <c r="Q2702" i="9"/>
  <c r="R2701" i="9"/>
  <c r="S2701" i="9"/>
  <c r="Q61" i="9"/>
  <c r="S60" i="9"/>
  <c r="R60" i="9"/>
  <c r="Z170" i="9"/>
  <c r="B17" i="13"/>
  <c r="B19" i="13"/>
  <c r="B21" i="13"/>
  <c r="B23" i="13"/>
  <c r="B17" i="10"/>
  <c r="B19" i="10"/>
  <c r="B21" i="10"/>
  <c r="B23" i="10"/>
  <c r="B9" i="10"/>
  <c r="B22" i="13" s="1"/>
  <c r="B7" i="10"/>
  <c r="B20" i="13" s="1"/>
  <c r="B5" i="10"/>
  <c r="B18" i="13" s="1"/>
  <c r="B3" i="10"/>
  <c r="B16" i="13" s="1"/>
  <c r="B4" i="1"/>
  <c r="B5" i="1"/>
  <c r="B6" i="1"/>
  <c r="B7" i="1"/>
  <c r="B8" i="1"/>
  <c r="B9" i="1"/>
  <c r="B3" i="1"/>
  <c r="Q2868" i="9" l="1"/>
  <c r="R2867" i="9"/>
  <c r="S2867" i="9"/>
  <c r="S2702" i="9"/>
  <c r="Q2703" i="9"/>
  <c r="R2702" i="9"/>
  <c r="Q62" i="9"/>
  <c r="S61" i="9"/>
  <c r="R61" i="9"/>
  <c r="W238" i="9"/>
  <c r="B20" i="10"/>
  <c r="B16" i="10"/>
  <c r="B22" i="10"/>
  <c r="B18" i="10"/>
  <c r="V38" i="16"/>
  <c r="T38" i="16"/>
  <c r="V37" i="16"/>
  <c r="T37" i="16"/>
  <c r="V36" i="16"/>
  <c r="T36" i="16"/>
  <c r="V35" i="16"/>
  <c r="T35" i="16"/>
  <c r="V34" i="16"/>
  <c r="T34" i="16"/>
  <c r="V33" i="16"/>
  <c r="T33" i="16"/>
  <c r="V32" i="16"/>
  <c r="T32" i="16"/>
  <c r="V31" i="16"/>
  <c r="T31" i="16"/>
  <c r="V30" i="16"/>
  <c r="T30" i="16"/>
  <c r="V29" i="16"/>
  <c r="T29" i="16"/>
  <c r="V28" i="16"/>
  <c r="T28" i="16"/>
  <c r="V27" i="16"/>
  <c r="T27" i="16"/>
  <c r="V26" i="16"/>
  <c r="T26" i="16"/>
  <c r="V25" i="16"/>
  <c r="T25" i="16"/>
  <c r="V23" i="16"/>
  <c r="T23" i="16"/>
  <c r="V22" i="16"/>
  <c r="T22" i="16"/>
  <c r="V21" i="16"/>
  <c r="T21" i="16"/>
  <c r="V20" i="16"/>
  <c r="T20" i="16"/>
  <c r="V19" i="16"/>
  <c r="T19" i="16"/>
  <c r="V18" i="16"/>
  <c r="T18" i="16"/>
  <c r="V17" i="16"/>
  <c r="T17" i="16"/>
  <c r="V16" i="16"/>
  <c r="T16" i="16"/>
  <c r="V15" i="16"/>
  <c r="T15" i="16"/>
  <c r="V14" i="16"/>
  <c r="T14" i="16"/>
  <c r="V13" i="16"/>
  <c r="T13" i="16"/>
  <c r="V12" i="16"/>
  <c r="T12" i="16"/>
  <c r="V11" i="16"/>
  <c r="T11" i="16"/>
  <c r="V10" i="16"/>
  <c r="T10" i="16"/>
  <c r="V9" i="16"/>
  <c r="T9" i="16"/>
  <c r="V8" i="16"/>
  <c r="T8" i="16"/>
  <c r="V7" i="16"/>
  <c r="T7" i="16"/>
  <c r="C8" i="16"/>
  <c r="E8" i="16"/>
  <c r="C9" i="16"/>
  <c r="E9" i="16"/>
  <c r="C10" i="16"/>
  <c r="E10" i="16"/>
  <c r="C11" i="16"/>
  <c r="E11" i="16"/>
  <c r="C12" i="16"/>
  <c r="E12" i="16"/>
  <c r="C13" i="16"/>
  <c r="E13" i="16"/>
  <c r="C14" i="16"/>
  <c r="E14" i="16"/>
  <c r="C15" i="16"/>
  <c r="E15" i="16"/>
  <c r="C16" i="16"/>
  <c r="E16" i="16"/>
  <c r="C17" i="16"/>
  <c r="E17" i="16"/>
  <c r="C18" i="16"/>
  <c r="E18" i="16"/>
  <c r="C19" i="16"/>
  <c r="E19" i="16"/>
  <c r="C20" i="16"/>
  <c r="E20" i="16"/>
  <c r="C21" i="16"/>
  <c r="E21" i="16"/>
  <c r="C22" i="16"/>
  <c r="E22" i="16"/>
  <c r="C23" i="16"/>
  <c r="E23" i="16"/>
  <c r="E38" i="16"/>
  <c r="C38" i="16"/>
  <c r="E37" i="16"/>
  <c r="C37" i="16"/>
  <c r="E36" i="16"/>
  <c r="C36" i="16"/>
  <c r="E35" i="16"/>
  <c r="C35" i="16"/>
  <c r="E34" i="16"/>
  <c r="C34" i="16"/>
  <c r="E33" i="16"/>
  <c r="C33" i="16"/>
  <c r="E32" i="16"/>
  <c r="C32" i="16"/>
  <c r="E31" i="16"/>
  <c r="C31" i="16"/>
  <c r="E30" i="16"/>
  <c r="C30" i="16"/>
  <c r="E29" i="16"/>
  <c r="C29" i="16"/>
  <c r="E28" i="16"/>
  <c r="C28" i="16"/>
  <c r="E27" i="16"/>
  <c r="C27" i="16"/>
  <c r="E26" i="16"/>
  <c r="C26" i="16"/>
  <c r="E25" i="16"/>
  <c r="C25" i="16"/>
  <c r="E7" i="16"/>
  <c r="C7" i="16"/>
  <c r="S2868" i="9" l="1"/>
  <c r="Q2869" i="9"/>
  <c r="R2868" i="9"/>
  <c r="S2703" i="9"/>
  <c r="R2703" i="9"/>
  <c r="Q2704" i="9"/>
  <c r="Q2815" i="9"/>
  <c r="Q63" i="9"/>
  <c r="R62" i="9"/>
  <c r="S62" i="9"/>
  <c r="X69" i="12"/>
  <c r="X68" i="12"/>
  <c r="X67" i="12"/>
  <c r="X64" i="12"/>
  <c r="X62" i="12"/>
  <c r="X60" i="12"/>
  <c r="Q69" i="12"/>
  <c r="Q68" i="12"/>
  <c r="Q67" i="12"/>
  <c r="Q64" i="12"/>
  <c r="Q62" i="12"/>
  <c r="Q60" i="12"/>
  <c r="J69" i="12"/>
  <c r="J68" i="12"/>
  <c r="J67" i="12"/>
  <c r="J64" i="12"/>
  <c r="J62" i="12"/>
  <c r="J60" i="12"/>
  <c r="Q2870" i="9" l="1"/>
  <c r="R2869" i="9"/>
  <c r="S2869" i="9"/>
  <c r="Q2705" i="9"/>
  <c r="R2704" i="9"/>
  <c r="S2704" i="9"/>
  <c r="Q2816" i="9"/>
  <c r="R2815" i="9"/>
  <c r="S2815" i="9"/>
  <c r="Q64" i="9"/>
  <c r="R63" i="9"/>
  <c r="S63" i="9"/>
  <c r="C68" i="12"/>
  <c r="B37" i="16" s="1"/>
  <c r="C67" i="12"/>
  <c r="B36" i="16" s="1"/>
  <c r="C60" i="12"/>
  <c r="B29" i="16" s="1"/>
  <c r="C64" i="12"/>
  <c r="B33" i="16" s="1"/>
  <c r="C62" i="12"/>
  <c r="B31" i="16" s="1"/>
  <c r="C69" i="12"/>
  <c r="B38" i="16" s="1"/>
  <c r="Y34" i="12"/>
  <c r="R34" i="12"/>
  <c r="K34" i="12"/>
  <c r="Q2871" i="9" l="1"/>
  <c r="R2870" i="9"/>
  <c r="S2870" i="9"/>
  <c r="Q2817" i="9"/>
  <c r="R2816" i="9"/>
  <c r="S2816" i="9"/>
  <c r="Q2706" i="9"/>
  <c r="R2705" i="9"/>
  <c r="S2705" i="9"/>
  <c r="Q2363" i="9"/>
  <c r="X46" i="9"/>
  <c r="Q65" i="9"/>
  <c r="S64" i="9"/>
  <c r="R64" i="9"/>
  <c r="W142" i="9"/>
  <c r="R60" i="12"/>
  <c r="R50" i="12"/>
  <c r="R40" i="12"/>
  <c r="R69" i="12"/>
  <c r="R68" i="12"/>
  <c r="R62" i="12"/>
  <c r="R67" i="12"/>
  <c r="K62" i="12"/>
  <c r="K67" i="12"/>
  <c r="K60" i="12"/>
  <c r="K40" i="12"/>
  <c r="K50" i="12"/>
  <c r="K69" i="12"/>
  <c r="K68" i="12"/>
  <c r="Y69" i="12"/>
  <c r="Y68" i="12"/>
  <c r="Y62" i="12"/>
  <c r="Y67" i="12"/>
  <c r="Y60" i="12"/>
  <c r="Y50" i="12"/>
  <c r="Y40" i="12"/>
  <c r="S34" i="12"/>
  <c r="L34" i="12"/>
  <c r="Z34" i="12"/>
  <c r="Q2872" i="9" l="1"/>
  <c r="R2871" i="9"/>
  <c r="S2871" i="9"/>
  <c r="Q2707" i="9"/>
  <c r="S2706" i="9"/>
  <c r="R2706" i="9"/>
  <c r="Q2818" i="9"/>
  <c r="R2817" i="9"/>
  <c r="S2817" i="9"/>
  <c r="Q2364" i="9"/>
  <c r="R2363" i="9"/>
  <c r="S2363" i="9"/>
  <c r="Z142" i="9"/>
  <c r="AB142" i="9"/>
  <c r="Y142" i="9"/>
  <c r="Q66" i="9"/>
  <c r="S65" i="9"/>
  <c r="R65" i="9"/>
  <c r="D68" i="12"/>
  <c r="D60" i="12"/>
  <c r="D67" i="12"/>
  <c r="D62" i="12"/>
  <c r="T34" i="12"/>
  <c r="S69" i="12"/>
  <c r="S68" i="12"/>
  <c r="S67" i="12"/>
  <c r="S66" i="12"/>
  <c r="S62" i="12"/>
  <c r="S60" i="12"/>
  <c r="S58" i="12"/>
  <c r="S57" i="12"/>
  <c r="D69" i="12"/>
  <c r="AA34" i="12"/>
  <c r="Z69" i="12"/>
  <c r="Z68" i="12"/>
  <c r="Z67" i="12"/>
  <c r="Z66" i="12"/>
  <c r="Z62" i="12"/>
  <c r="Z60" i="12"/>
  <c r="Z58" i="12"/>
  <c r="Z57" i="12"/>
  <c r="L67" i="12"/>
  <c r="L57" i="12"/>
  <c r="L66" i="12"/>
  <c r="L60" i="12"/>
  <c r="M34" i="12"/>
  <c r="L69" i="12"/>
  <c r="L68" i="12"/>
  <c r="L62" i="12"/>
  <c r="L58" i="12"/>
  <c r="L54" i="12"/>
  <c r="L64" i="12"/>
  <c r="L50" i="12"/>
  <c r="L53" i="12"/>
  <c r="Z64" i="12"/>
  <c r="S64" i="12"/>
  <c r="Z50" i="12"/>
  <c r="S50" i="12"/>
  <c r="Z54" i="12"/>
  <c r="S54" i="12"/>
  <c r="Z53" i="12"/>
  <c r="S53" i="12"/>
  <c r="Q54" i="12"/>
  <c r="X54" i="12"/>
  <c r="J54" i="12"/>
  <c r="X40" i="12"/>
  <c r="J40" i="12"/>
  <c r="Q40" i="12"/>
  <c r="X47" i="12"/>
  <c r="J47" i="12"/>
  <c r="Q47" i="12"/>
  <c r="Q50" i="12"/>
  <c r="X50" i="12"/>
  <c r="J50" i="12"/>
  <c r="X52" i="12"/>
  <c r="J52" i="12"/>
  <c r="Q52" i="12"/>
  <c r="S2872" i="9" l="1"/>
  <c r="Q2873" i="9"/>
  <c r="R2872" i="9"/>
  <c r="Q2819" i="9"/>
  <c r="S2818" i="9"/>
  <c r="R2818" i="9"/>
  <c r="Q2708" i="9"/>
  <c r="S2707" i="9"/>
  <c r="R2707" i="9"/>
  <c r="Q2365" i="9"/>
  <c r="R2364" i="9"/>
  <c r="S2364" i="9"/>
  <c r="Q67" i="9"/>
  <c r="S66" i="9"/>
  <c r="R66" i="9"/>
  <c r="M67" i="12"/>
  <c r="M62" i="12"/>
  <c r="M52" i="12"/>
  <c r="M69" i="12"/>
  <c r="M64" i="12"/>
  <c r="M60" i="12"/>
  <c r="M68" i="12"/>
  <c r="M40" i="12"/>
  <c r="M50" i="12"/>
  <c r="M54" i="12"/>
  <c r="M47" i="12"/>
  <c r="AA67" i="12"/>
  <c r="AA62" i="12"/>
  <c r="AA52" i="12"/>
  <c r="AA69" i="12"/>
  <c r="AA64" i="12"/>
  <c r="AA60" i="12"/>
  <c r="AA54" i="12"/>
  <c r="AA50" i="12"/>
  <c r="AA40" i="12"/>
  <c r="AA68" i="12"/>
  <c r="AA47" i="12"/>
  <c r="T69" i="12"/>
  <c r="T64" i="12"/>
  <c r="T60" i="12"/>
  <c r="T54" i="12"/>
  <c r="T50" i="12"/>
  <c r="T40" i="12"/>
  <c r="T68" i="12"/>
  <c r="T67" i="12"/>
  <c r="T62" i="12"/>
  <c r="T52" i="12"/>
  <c r="T47" i="12"/>
  <c r="E62" i="12"/>
  <c r="S31" i="16" s="1"/>
  <c r="E69" i="12"/>
  <c r="S38" i="16" s="1"/>
  <c r="E68" i="12"/>
  <c r="S37" i="16" s="1"/>
  <c r="E58" i="12"/>
  <c r="S27" i="16" s="1"/>
  <c r="E66" i="12"/>
  <c r="S35" i="16" s="1"/>
  <c r="E60" i="12"/>
  <c r="S29" i="16" s="1"/>
  <c r="E67" i="12"/>
  <c r="S36" i="16" s="1"/>
  <c r="E57" i="12"/>
  <c r="S26" i="16" s="1"/>
  <c r="C50" i="12"/>
  <c r="B19" i="16" s="1"/>
  <c r="E53" i="12"/>
  <c r="S22" i="16" s="1"/>
  <c r="E54" i="12"/>
  <c r="S23" i="16" s="1"/>
  <c r="C52" i="12"/>
  <c r="B21" i="16" s="1"/>
  <c r="C47" i="12"/>
  <c r="B16" i="16" s="1"/>
  <c r="C54" i="12"/>
  <c r="B23" i="16" s="1"/>
  <c r="E50" i="12"/>
  <c r="S19" i="16" s="1"/>
  <c r="C40" i="12"/>
  <c r="B9" i="16" s="1"/>
  <c r="E64" i="12"/>
  <c r="S33" i="16" s="1"/>
  <c r="N34" i="12"/>
  <c r="AB34" i="12"/>
  <c r="U34" i="12"/>
  <c r="U2" i="9"/>
  <c r="Q2874" i="9" l="1"/>
  <c r="R2873" i="9"/>
  <c r="S2873" i="9"/>
  <c r="Q2709" i="9"/>
  <c r="R2708" i="9"/>
  <c r="S2708" i="9"/>
  <c r="S2819" i="9"/>
  <c r="R2819" i="9"/>
  <c r="Q2820" i="9"/>
  <c r="Q2821" i="9" s="1"/>
  <c r="Q2822" i="9" s="1"/>
  <c r="Q2366" i="9"/>
  <c r="R2365" i="9"/>
  <c r="S2365" i="9"/>
  <c r="Q68" i="9"/>
  <c r="R67" i="9"/>
  <c r="S67" i="9"/>
  <c r="U60" i="12"/>
  <c r="U50" i="12"/>
  <c r="U40" i="12"/>
  <c r="U69" i="12"/>
  <c r="U68" i="12"/>
  <c r="U62" i="12"/>
  <c r="U67" i="12"/>
  <c r="AB69" i="12"/>
  <c r="AB68" i="12"/>
  <c r="AB62" i="12"/>
  <c r="AB67" i="12"/>
  <c r="AB60" i="12"/>
  <c r="AB50" i="12"/>
  <c r="AB40" i="12"/>
  <c r="F40" i="12"/>
  <c r="D9" i="16" s="1"/>
  <c r="F9" i="16" s="1"/>
  <c r="F64" i="12"/>
  <c r="D33" i="16" s="1"/>
  <c r="F33" i="16" s="1"/>
  <c r="N69" i="12"/>
  <c r="N68" i="12"/>
  <c r="N60" i="12"/>
  <c r="N62" i="12"/>
  <c r="N67" i="12"/>
  <c r="N40" i="12"/>
  <c r="N50" i="12"/>
  <c r="F69" i="12"/>
  <c r="D38" i="16" s="1"/>
  <c r="F38" i="16" s="1"/>
  <c r="F47" i="12"/>
  <c r="D16" i="16" s="1"/>
  <c r="F16" i="16" s="1"/>
  <c r="F54" i="12"/>
  <c r="D23" i="16" s="1"/>
  <c r="F23" i="16" s="1"/>
  <c r="F52" i="12"/>
  <c r="D21" i="16" s="1"/>
  <c r="F21" i="16" s="1"/>
  <c r="F62" i="12"/>
  <c r="D31" i="16" s="1"/>
  <c r="F31" i="16" s="1"/>
  <c r="F50" i="12"/>
  <c r="D19" i="16" s="1"/>
  <c r="F19" i="16" s="1"/>
  <c r="F68" i="12"/>
  <c r="D37" i="16" s="1"/>
  <c r="F37" i="16" s="1"/>
  <c r="F60" i="12"/>
  <c r="D29" i="16" s="1"/>
  <c r="F29" i="16" s="1"/>
  <c r="F67" i="12"/>
  <c r="D36" i="16" s="1"/>
  <c r="F36" i="16" s="1"/>
  <c r="U3" i="9"/>
  <c r="V34" i="12"/>
  <c r="AC34" i="12"/>
  <c r="O34" i="12"/>
  <c r="P6" i="13"/>
  <c r="P10" i="13"/>
  <c r="P10" i="12"/>
  <c r="O10" i="12"/>
  <c r="O8" i="12"/>
  <c r="P6" i="12"/>
  <c r="O6" i="12"/>
  <c r="P4" i="12"/>
  <c r="O4" i="12"/>
  <c r="Q2823" i="9" l="1"/>
  <c r="R2822" i="9"/>
  <c r="S2822" i="9"/>
  <c r="Q2875" i="9"/>
  <c r="R2874" i="9"/>
  <c r="S2874" i="9"/>
  <c r="R2821" i="9"/>
  <c r="S2821" i="9"/>
  <c r="R2820" i="9"/>
  <c r="S2820" i="9"/>
  <c r="Q2710" i="9"/>
  <c r="R2709" i="9"/>
  <c r="S2709" i="9"/>
  <c r="Q2367" i="9"/>
  <c r="R2366" i="9"/>
  <c r="S2366" i="9"/>
  <c r="Q69" i="9"/>
  <c r="S68" i="9"/>
  <c r="R68" i="9"/>
  <c r="O60" i="12"/>
  <c r="P60" i="12" s="1"/>
  <c r="O54" i="12"/>
  <c r="O50" i="12"/>
  <c r="O40" i="12"/>
  <c r="O69" i="12"/>
  <c r="P69" i="12" s="1"/>
  <c r="O53" i="12"/>
  <c r="O68" i="12"/>
  <c r="P68" i="12" s="1"/>
  <c r="O62" i="12"/>
  <c r="P62" i="12" s="1"/>
  <c r="O58" i="12"/>
  <c r="O67" i="12"/>
  <c r="P67" i="12" s="1"/>
  <c r="O57" i="12"/>
  <c r="O64" i="12"/>
  <c r="O66" i="12"/>
  <c r="O47" i="12"/>
  <c r="V69" i="12"/>
  <c r="W69" i="12" s="1"/>
  <c r="V53" i="12"/>
  <c r="V68" i="12"/>
  <c r="W68" i="12" s="1"/>
  <c r="V62" i="12"/>
  <c r="W62" i="12" s="1"/>
  <c r="V58" i="12"/>
  <c r="V67" i="12"/>
  <c r="W67" i="12" s="1"/>
  <c r="V57" i="12"/>
  <c r="V60" i="12"/>
  <c r="W60" i="12" s="1"/>
  <c r="V54" i="12"/>
  <c r="V50" i="12"/>
  <c r="V40" i="12"/>
  <c r="V64" i="12"/>
  <c r="V66" i="12"/>
  <c r="V47" i="12"/>
  <c r="AC68" i="12"/>
  <c r="AD68" i="12" s="1"/>
  <c r="AC62" i="12"/>
  <c r="AD62" i="12" s="1"/>
  <c r="AC58" i="12"/>
  <c r="AC67" i="12"/>
  <c r="AD67" i="12" s="1"/>
  <c r="AC57" i="12"/>
  <c r="AC60" i="12"/>
  <c r="AD60" i="12" s="1"/>
  <c r="AC54" i="12"/>
  <c r="AC50" i="12"/>
  <c r="AC40" i="12"/>
  <c r="AC69" i="12"/>
  <c r="AD69" i="12" s="1"/>
  <c r="AC53" i="12"/>
  <c r="AC66" i="12"/>
  <c r="AC64" i="12"/>
  <c r="AC47" i="12"/>
  <c r="G69" i="12"/>
  <c r="G60" i="12"/>
  <c r="G62" i="12"/>
  <c r="G67" i="12"/>
  <c r="G68" i="12"/>
  <c r="P34" i="12"/>
  <c r="AD34" i="12"/>
  <c r="W34" i="12"/>
  <c r="K34" i="10"/>
  <c r="K33" i="10"/>
  <c r="K32" i="10"/>
  <c r="K31" i="10"/>
  <c r="K30" i="10"/>
  <c r="K29" i="10"/>
  <c r="K28" i="10"/>
  <c r="K27" i="10"/>
  <c r="Q2876" i="9" l="1"/>
  <c r="R2875" i="9"/>
  <c r="S2875" i="9"/>
  <c r="Q2824" i="9"/>
  <c r="R2823" i="9"/>
  <c r="S2823" i="9"/>
  <c r="R2710" i="9"/>
  <c r="S2710" i="9"/>
  <c r="Q2711" i="9"/>
  <c r="Q2368" i="9"/>
  <c r="R2367" i="9"/>
  <c r="S2367" i="9"/>
  <c r="Q70" i="9"/>
  <c r="S69" i="9"/>
  <c r="R69" i="9"/>
  <c r="H54" i="12"/>
  <c r="U23" i="16" s="1"/>
  <c r="W23" i="16" s="1"/>
  <c r="H50" i="12"/>
  <c r="U19" i="16" s="1"/>
  <c r="W19" i="16" s="1"/>
  <c r="H53" i="12"/>
  <c r="U22" i="16" s="1"/>
  <c r="W22" i="16" s="1"/>
  <c r="H64" i="12"/>
  <c r="H66" i="12"/>
  <c r="H58" i="12"/>
  <c r="H57" i="12"/>
  <c r="H62" i="12"/>
  <c r="H69" i="12"/>
  <c r="H68" i="12"/>
  <c r="H60" i="12"/>
  <c r="H67" i="12"/>
  <c r="AE2" i="9"/>
  <c r="AE3" i="9" s="1"/>
  <c r="AE4" i="9" s="1"/>
  <c r="AE5" i="9" s="1"/>
  <c r="AE6" i="9" s="1"/>
  <c r="AE7" i="9" s="1"/>
  <c r="AE8" i="9" s="1"/>
  <c r="AE9" i="9" s="1"/>
  <c r="AE10" i="9" s="1"/>
  <c r="AE11" i="9" s="1"/>
  <c r="AE12" i="9" s="1"/>
  <c r="S2876" i="9" l="1"/>
  <c r="Q2877" i="9"/>
  <c r="R2876" i="9"/>
  <c r="S2824" i="9"/>
  <c r="Q2825" i="9"/>
  <c r="R2824" i="9"/>
  <c r="S2711" i="9"/>
  <c r="R2711" i="9"/>
  <c r="Q2712" i="9"/>
  <c r="Y2678" i="9"/>
  <c r="Y2790" i="9"/>
  <c r="W2790" i="9"/>
  <c r="X2790" i="9"/>
  <c r="AB2799" i="9"/>
  <c r="Y2348" i="9"/>
  <c r="X2799" i="9"/>
  <c r="Y2799" i="9"/>
  <c r="Z2799" i="9"/>
  <c r="Z2348" i="9"/>
  <c r="AA2348" i="9"/>
  <c r="AA2799" i="9"/>
  <c r="W2348" i="9"/>
  <c r="X2348" i="9"/>
  <c r="W2799" i="9"/>
  <c r="AB2348" i="9"/>
  <c r="Q2369" i="9"/>
  <c r="R2368" i="9"/>
  <c r="S2368" i="9"/>
  <c r="X1687" i="9"/>
  <c r="AA1687" i="9"/>
  <c r="AB1687" i="9"/>
  <c r="Y1687" i="9"/>
  <c r="Z1687" i="9"/>
  <c r="Q71" i="9"/>
  <c r="R70" i="9"/>
  <c r="S70" i="9"/>
  <c r="I68" i="12"/>
  <c r="U37" i="16"/>
  <c r="W37" i="16" s="1"/>
  <c r="I62" i="12"/>
  <c r="U31" i="16"/>
  <c r="W31" i="16" s="1"/>
  <c r="U27" i="16"/>
  <c r="W27" i="16" s="1"/>
  <c r="U35" i="16"/>
  <c r="W35" i="16" s="1"/>
  <c r="U33" i="16"/>
  <c r="W33" i="16" s="1"/>
  <c r="I67" i="12"/>
  <c r="U36" i="16"/>
  <c r="W36" i="16" s="1"/>
  <c r="U26" i="16"/>
  <c r="W26" i="16" s="1"/>
  <c r="I60" i="12"/>
  <c r="U29" i="16"/>
  <c r="W29" i="16" s="1"/>
  <c r="I69" i="12"/>
  <c r="U38" i="16"/>
  <c r="W38" i="16" s="1"/>
  <c r="T3" i="9"/>
  <c r="AC3" i="9"/>
  <c r="Q2826" i="9" l="1"/>
  <c r="R2825" i="9"/>
  <c r="S2825" i="9"/>
  <c r="Q2878" i="9"/>
  <c r="R2877" i="9"/>
  <c r="S2877" i="9"/>
  <c r="V2348" i="9"/>
  <c r="V2790" i="9"/>
  <c r="Q2713" i="9"/>
  <c r="R2712" i="9"/>
  <c r="S2712" i="9"/>
  <c r="V2799" i="9"/>
  <c r="Q2370" i="9"/>
  <c r="R2369" i="9"/>
  <c r="S2369" i="9"/>
  <c r="Q72" i="9"/>
  <c r="Q73" i="9" s="1"/>
  <c r="R71" i="9"/>
  <c r="S71" i="9"/>
  <c r="L47" i="12"/>
  <c r="Z47" i="12"/>
  <c r="S47" i="12"/>
  <c r="Q2879" i="9" l="1"/>
  <c r="R2878" i="9"/>
  <c r="S2878" i="9"/>
  <c r="Q2827" i="9"/>
  <c r="R2826" i="9"/>
  <c r="S2826" i="9"/>
  <c r="Q2714" i="9"/>
  <c r="R2713" i="9"/>
  <c r="S2713" i="9"/>
  <c r="Q1672" i="9"/>
  <c r="Q2371" i="9"/>
  <c r="R2370" i="9"/>
  <c r="S2370" i="9"/>
  <c r="Q74" i="9"/>
  <c r="R73" i="9"/>
  <c r="S73" i="9"/>
  <c r="R72" i="9"/>
  <c r="S72" i="9"/>
  <c r="H47" i="12"/>
  <c r="U16" i="16" s="1"/>
  <c r="E47" i="12"/>
  <c r="S16" i="16" s="1"/>
  <c r="Q2828" i="9" l="1"/>
  <c r="R2827" i="9"/>
  <c r="S2827" i="9"/>
  <c r="Q2880" i="9"/>
  <c r="R2879" i="9"/>
  <c r="S2879" i="9"/>
  <c r="Q2715" i="9"/>
  <c r="R2714" i="9"/>
  <c r="S2714" i="9"/>
  <c r="Q2372" i="9"/>
  <c r="R2371" i="9"/>
  <c r="S2371" i="9"/>
  <c r="S1672" i="9"/>
  <c r="Q1673" i="9"/>
  <c r="R1672" i="9"/>
  <c r="S74" i="9"/>
  <c r="R74" i="9"/>
  <c r="Q75" i="9"/>
  <c r="W16" i="16"/>
  <c r="S2880" i="9" l="1"/>
  <c r="Q2881" i="9"/>
  <c r="R2880" i="9"/>
  <c r="S2828" i="9"/>
  <c r="Q2829" i="9"/>
  <c r="R2828" i="9"/>
  <c r="Q2716" i="9"/>
  <c r="R2715" i="9"/>
  <c r="S2715" i="9"/>
  <c r="Q1674" i="9"/>
  <c r="R1673" i="9"/>
  <c r="S1673" i="9"/>
  <c r="Q2373" i="9"/>
  <c r="R2372" i="9"/>
  <c r="S2372" i="9"/>
  <c r="Q76" i="9"/>
  <c r="S75" i="9"/>
  <c r="R75" i="9"/>
  <c r="Q2882" i="9" l="1"/>
  <c r="R2881" i="9"/>
  <c r="S2881" i="9"/>
  <c r="Q2830" i="9"/>
  <c r="R2829" i="9"/>
  <c r="S2829" i="9"/>
  <c r="Q2717" i="9"/>
  <c r="R2716" i="9"/>
  <c r="S2716" i="9"/>
  <c r="S1674" i="9"/>
  <c r="Q1675" i="9"/>
  <c r="R1674" i="9"/>
  <c r="Q2374" i="9"/>
  <c r="R2373" i="9"/>
  <c r="S2373" i="9"/>
  <c r="Q77" i="9"/>
  <c r="R76" i="9"/>
  <c r="S76" i="9"/>
  <c r="Q2831" i="9" l="1"/>
  <c r="R2830" i="9"/>
  <c r="S2830" i="9"/>
  <c r="Q2883" i="9"/>
  <c r="R2882" i="9"/>
  <c r="S2882" i="9"/>
  <c r="Q2718" i="9"/>
  <c r="R2717" i="9"/>
  <c r="S2717" i="9"/>
  <c r="Q2375" i="9"/>
  <c r="R2374" i="9"/>
  <c r="S2374" i="9"/>
  <c r="Q1676" i="9"/>
  <c r="R1675" i="9"/>
  <c r="S1675" i="9"/>
  <c r="Z73" i="9"/>
  <c r="Q78" i="9"/>
  <c r="S77" i="9"/>
  <c r="R77" i="9"/>
  <c r="Q2832" i="9" l="1"/>
  <c r="R2831" i="9"/>
  <c r="S2831" i="9"/>
  <c r="R2883" i="9"/>
  <c r="S2883" i="9"/>
  <c r="S2718" i="9"/>
  <c r="Q2719" i="9"/>
  <c r="R2718" i="9"/>
  <c r="S1676" i="9"/>
  <c r="Q1677" i="9"/>
  <c r="R1676" i="9"/>
  <c r="Q2376" i="9"/>
  <c r="R2375" i="9"/>
  <c r="S2375" i="9"/>
  <c r="S78" i="9"/>
  <c r="R78" i="9"/>
  <c r="Q79" i="9"/>
  <c r="S2832" i="9" l="1"/>
  <c r="Q2833" i="9"/>
  <c r="R2832" i="9"/>
  <c r="AA2850" i="9"/>
  <c r="Z2850" i="9"/>
  <c r="X2678" i="9"/>
  <c r="V2678" i="9" s="1"/>
  <c r="AB2692" i="9"/>
  <c r="W2692" i="9"/>
  <c r="AA2692" i="9"/>
  <c r="AB2678" i="9"/>
  <c r="AB2850" i="9"/>
  <c r="Y2692" i="9"/>
  <c r="X2692" i="9"/>
  <c r="Z2692" i="9"/>
  <c r="W2850" i="9"/>
  <c r="Y2850" i="9"/>
  <c r="X2850" i="9"/>
  <c r="Y61" i="9"/>
  <c r="X61" i="9"/>
  <c r="AB61" i="9"/>
  <c r="AA61" i="9"/>
  <c r="Z61" i="9"/>
  <c r="W61" i="9"/>
  <c r="S2719" i="9"/>
  <c r="R2719" i="9"/>
  <c r="Q2720" i="9"/>
  <c r="R2376" i="9"/>
  <c r="Q2377" i="9"/>
  <c r="S2376" i="9"/>
  <c r="Q1678" i="9"/>
  <c r="S1677" i="9"/>
  <c r="R1677" i="9"/>
  <c r="S79" i="9"/>
  <c r="Q80" i="9"/>
  <c r="R79" i="9"/>
  <c r="Q379" i="9"/>
  <c r="V61" i="9" l="1"/>
  <c r="V2850" i="9"/>
  <c r="Q2834" i="9"/>
  <c r="R2833" i="9"/>
  <c r="S2833" i="9"/>
  <c r="V2692" i="9"/>
  <c r="Q2721" i="9"/>
  <c r="R2720" i="9"/>
  <c r="S2720" i="9"/>
  <c r="Q2378" i="9"/>
  <c r="R2377" i="9"/>
  <c r="S2377" i="9"/>
  <c r="R1678" i="9"/>
  <c r="S1678" i="9"/>
  <c r="Q1679" i="9"/>
  <c r="R80" i="9"/>
  <c r="S80" i="9"/>
  <c r="Q81" i="9"/>
  <c r="Q380" i="9"/>
  <c r="R379" i="9"/>
  <c r="S379" i="9"/>
  <c r="S40" i="12"/>
  <c r="L40" i="12"/>
  <c r="Z40" i="12"/>
  <c r="Q2835" i="9" l="1"/>
  <c r="R2834" i="9"/>
  <c r="S2834" i="9"/>
  <c r="Q2722" i="9"/>
  <c r="R2721" i="9"/>
  <c r="S2721" i="9"/>
  <c r="Q2379" i="9"/>
  <c r="R2378" i="9"/>
  <c r="S2378" i="9"/>
  <c r="S1679" i="9"/>
  <c r="Q1680" i="9"/>
  <c r="R1679" i="9"/>
  <c r="R81" i="9"/>
  <c r="S81" i="9"/>
  <c r="Q82" i="9"/>
  <c r="Q272" i="9"/>
  <c r="Q381" i="9"/>
  <c r="R380" i="9"/>
  <c r="S380" i="9"/>
  <c r="E40" i="12"/>
  <c r="S9" i="16" s="1"/>
  <c r="H40" i="12"/>
  <c r="U9" i="16" s="1"/>
  <c r="Q2836" i="9" l="1"/>
  <c r="R2835" i="9"/>
  <c r="S2835" i="9"/>
  <c r="Q2723" i="9"/>
  <c r="S2722" i="9"/>
  <c r="R2722" i="9"/>
  <c r="Q2380" i="9"/>
  <c r="R2379" i="9"/>
  <c r="S2379" i="9"/>
  <c r="R1680" i="9"/>
  <c r="Q1681" i="9"/>
  <c r="S1680" i="9"/>
  <c r="S272" i="9"/>
  <c r="Q273" i="9"/>
  <c r="R272" i="9"/>
  <c r="Q660" i="9"/>
  <c r="Q83" i="9"/>
  <c r="R82" i="9"/>
  <c r="S82" i="9"/>
  <c r="Q382" i="9"/>
  <c r="R381" i="9"/>
  <c r="S381" i="9"/>
  <c r="W9" i="16"/>
  <c r="S2836" i="9" l="1"/>
  <c r="Q2837" i="9"/>
  <c r="R2836" i="9"/>
  <c r="Q2724" i="9"/>
  <c r="S2723" i="9"/>
  <c r="R2723" i="9"/>
  <c r="R1681" i="9"/>
  <c r="S1681" i="9"/>
  <c r="Q1682" i="9"/>
  <c r="Q2381" i="9"/>
  <c r="R2380" i="9"/>
  <c r="S2380" i="9"/>
  <c r="S83" i="9"/>
  <c r="R83" i="9"/>
  <c r="Q84" i="9"/>
  <c r="R273" i="9"/>
  <c r="S273" i="9"/>
  <c r="Q274" i="9"/>
  <c r="Q661" i="9"/>
  <c r="R660" i="9"/>
  <c r="S660" i="9"/>
  <c r="Q383" i="9"/>
  <c r="R382" i="9"/>
  <c r="S382" i="9"/>
  <c r="Q2838" i="9" l="1"/>
  <c r="R2837" i="9"/>
  <c r="S2837" i="9"/>
  <c r="Q2725" i="9"/>
  <c r="R2724" i="9"/>
  <c r="S2724" i="9"/>
  <c r="Q2382" i="9"/>
  <c r="R2381" i="9"/>
  <c r="S2381" i="9"/>
  <c r="S1682" i="9"/>
  <c r="R1682" i="9"/>
  <c r="Q1683" i="9"/>
  <c r="Q662" i="9"/>
  <c r="R661" i="9"/>
  <c r="S661" i="9"/>
  <c r="R84" i="9"/>
  <c r="Q85" i="9"/>
  <c r="S84" i="9"/>
  <c r="Q275" i="9"/>
  <c r="Q276" i="9" s="1"/>
  <c r="R274" i="9"/>
  <c r="S274" i="9"/>
  <c r="Q384" i="9"/>
  <c r="R383" i="9"/>
  <c r="S383" i="9"/>
  <c r="Q2839" i="9" l="1"/>
  <c r="R2838" i="9"/>
  <c r="S2838" i="9"/>
  <c r="Q2726" i="9"/>
  <c r="R2725" i="9"/>
  <c r="S2725" i="9"/>
  <c r="Q277" i="9"/>
  <c r="R276" i="9"/>
  <c r="S276" i="9"/>
  <c r="Q2383" i="9"/>
  <c r="R2382" i="9"/>
  <c r="S2382" i="9"/>
  <c r="Q1684" i="9"/>
  <c r="R1683" i="9"/>
  <c r="S1683" i="9"/>
  <c r="S275" i="9"/>
  <c r="R275" i="9"/>
  <c r="Q86" i="9"/>
  <c r="R85" i="9"/>
  <c r="S85" i="9"/>
  <c r="Q663" i="9"/>
  <c r="R662" i="9"/>
  <c r="S662" i="9"/>
  <c r="Q385" i="9"/>
  <c r="R384" i="9"/>
  <c r="S384" i="9"/>
  <c r="Q2840" i="9" l="1"/>
  <c r="R2839" i="9"/>
  <c r="S2839" i="9"/>
  <c r="R2726" i="9"/>
  <c r="S2726" i="9"/>
  <c r="Q2727" i="9"/>
  <c r="Q2384" i="9"/>
  <c r="R2383" i="9"/>
  <c r="S2383" i="9"/>
  <c r="Q278" i="9"/>
  <c r="R277" i="9"/>
  <c r="S277" i="9"/>
  <c r="Y264" i="9"/>
  <c r="S1684" i="9"/>
  <c r="Q1685" i="9"/>
  <c r="R1684" i="9"/>
  <c r="Q87" i="9"/>
  <c r="S86" i="9"/>
  <c r="R86" i="9"/>
  <c r="Q664" i="9"/>
  <c r="R663" i="9"/>
  <c r="S663" i="9"/>
  <c r="Q386" i="9"/>
  <c r="R385" i="9"/>
  <c r="S385" i="9"/>
  <c r="K34" i="1"/>
  <c r="K33" i="1"/>
  <c r="K32" i="1"/>
  <c r="K31" i="1"/>
  <c r="K30" i="1"/>
  <c r="K29" i="1"/>
  <c r="K28" i="1"/>
  <c r="K27" i="1"/>
  <c r="S2840" i="9" l="1"/>
  <c r="Q2841" i="9"/>
  <c r="R2840" i="9"/>
  <c r="S2727" i="9"/>
  <c r="R2727" i="9"/>
  <c r="Q2728" i="9"/>
  <c r="Q279" i="9"/>
  <c r="S278" i="9"/>
  <c r="R278" i="9"/>
  <c r="Q1686" i="9"/>
  <c r="Q1687" i="9" s="1"/>
  <c r="R1685" i="9"/>
  <c r="S1685" i="9"/>
  <c r="Q2385" i="9"/>
  <c r="R2384" i="9"/>
  <c r="S2384" i="9"/>
  <c r="R87" i="9"/>
  <c r="S87" i="9"/>
  <c r="Q88" i="9"/>
  <c r="Q665" i="9"/>
  <c r="R664" i="9"/>
  <c r="S664" i="9"/>
  <c r="Q387" i="9"/>
  <c r="R386" i="9"/>
  <c r="S386" i="9"/>
  <c r="C16" i="2"/>
  <c r="G16" i="2" s="1"/>
  <c r="C17" i="2"/>
  <c r="G17" i="2" s="1"/>
  <c r="C18" i="2"/>
  <c r="G18" i="2" s="1"/>
  <c r="Q2842" i="9" l="1"/>
  <c r="R2841" i="9"/>
  <c r="S2841" i="9"/>
  <c r="Q1688" i="9"/>
  <c r="R1687" i="9"/>
  <c r="S1687" i="9"/>
  <c r="Q2729" i="9"/>
  <c r="S2728" i="9"/>
  <c r="R2728" i="9"/>
  <c r="R1686" i="9"/>
  <c r="S1686" i="9"/>
  <c r="S279" i="9"/>
  <c r="R279" i="9"/>
  <c r="Q280" i="9"/>
  <c r="Q2386" i="9"/>
  <c r="R2385" i="9"/>
  <c r="S2385" i="9"/>
  <c r="Q666" i="9"/>
  <c r="R665" i="9"/>
  <c r="S665" i="9"/>
  <c r="S88" i="9"/>
  <c r="Q89" i="9"/>
  <c r="R88" i="9"/>
  <c r="Q388" i="9"/>
  <c r="R387" i="9"/>
  <c r="S387" i="9"/>
  <c r="C8" i="2"/>
  <c r="G8" i="2" s="1"/>
  <c r="C9" i="2"/>
  <c r="G9" i="2" s="1"/>
  <c r="C10" i="2"/>
  <c r="G10" i="2" s="1"/>
  <c r="C11" i="2"/>
  <c r="G11" i="2" s="1"/>
  <c r="C12" i="2"/>
  <c r="G12" i="2" s="1"/>
  <c r="C13" i="2"/>
  <c r="G13" i="2" s="1"/>
  <c r="C14" i="2"/>
  <c r="G14" i="2" s="1"/>
  <c r="C15" i="2"/>
  <c r="G15" i="2" s="1"/>
  <c r="Q2843" i="9" l="1"/>
  <c r="R2842" i="9"/>
  <c r="S2842" i="9"/>
  <c r="Q1689" i="9"/>
  <c r="R1688" i="9"/>
  <c r="S1688" i="9"/>
  <c r="Q2730" i="9"/>
  <c r="R2729" i="9"/>
  <c r="S2729" i="9"/>
  <c r="S280" i="9"/>
  <c r="Q281" i="9"/>
  <c r="R280" i="9"/>
  <c r="Q2387" i="9"/>
  <c r="R2386" i="9"/>
  <c r="S2386" i="9"/>
  <c r="R89" i="9"/>
  <c r="S89" i="9"/>
  <c r="Q90" i="9"/>
  <c r="Q667" i="9"/>
  <c r="R666" i="9"/>
  <c r="S666" i="9"/>
  <c r="Q389" i="9"/>
  <c r="R388" i="9"/>
  <c r="S388" i="9"/>
  <c r="G7" i="2"/>
  <c r="C25" i="2"/>
  <c r="G25" i="2" s="1"/>
  <c r="G50" i="12"/>
  <c r="AD50" i="12"/>
  <c r="P50" i="12"/>
  <c r="D50" i="12"/>
  <c r="W50" i="12"/>
  <c r="A176" i="8"/>
  <c r="A177" i="8" s="1"/>
  <c r="A178" i="8" s="1"/>
  <c r="A179" i="8" s="1"/>
  <c r="A180" i="8" s="1"/>
  <c r="A181" i="8" s="1"/>
  <c r="A182" i="8" s="1"/>
  <c r="A183" i="8" s="1"/>
  <c r="A184" i="8" s="1"/>
  <c r="A185" i="8" s="1"/>
  <c r="A186" i="8" s="1"/>
  <c r="A187" i="8" s="1"/>
  <c r="A188" i="8" s="1"/>
  <c r="A189" i="8" s="1"/>
  <c r="A190" i="8" s="1"/>
  <c r="A191" i="8" s="1"/>
  <c r="A192" i="8" s="1"/>
  <c r="A193" i="8" s="1"/>
  <c r="A194" i="8" s="1"/>
  <c r="A195" i="8" s="1"/>
  <c r="A196" i="8" s="1"/>
  <c r="A197" i="8" s="1"/>
  <c r="A198" i="8" s="1"/>
  <c r="A199" i="8" s="1"/>
  <c r="A200" i="8" s="1"/>
  <c r="A201" i="8" s="1"/>
  <c r="A202" i="8" s="1"/>
  <c r="A203" i="8"/>
  <c r="A204" i="8" s="1"/>
  <c r="A205" i="8" s="1"/>
  <c r="A206" i="8" s="1"/>
  <c r="A207" i="8" s="1"/>
  <c r="A208" i="8" s="1"/>
  <c r="A209" i="8" s="1"/>
  <c r="A210" i="8" s="1"/>
  <c r="A211" i="8" s="1"/>
  <c r="A212" i="8" s="1"/>
  <c r="A213" i="8" s="1"/>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251" i="8" s="1"/>
  <c r="A252" i="8" s="1"/>
  <c r="A253" i="8" s="1"/>
  <c r="A254" i="8" s="1"/>
  <c r="A255" i="8" s="1"/>
  <c r="A256" i="8" s="1"/>
  <c r="A257" i="8" s="1"/>
  <c r="A258" i="8" s="1"/>
  <c r="A259" i="8" s="1"/>
  <c r="A260" i="8" s="1"/>
  <c r="A261" i="8" s="1"/>
  <c r="A262" i="8" s="1"/>
  <c r="A263" i="8" s="1"/>
  <c r="A264" i="8" s="1"/>
  <c r="A265" i="8" s="1"/>
  <c r="A266" i="8" s="1"/>
  <c r="A267" i="8" s="1"/>
  <c r="A268" i="8" s="1"/>
  <c r="A269" i="8" s="1"/>
  <c r="A270" i="8" s="1"/>
  <c r="A271" i="8" s="1"/>
  <c r="A272" i="8" s="1"/>
  <c r="A273" i="8" s="1"/>
  <c r="A274" i="8" s="1"/>
  <c r="A275" i="8" s="1"/>
  <c r="A276" i="8"/>
  <c r="A277" i="8" s="1"/>
  <c r="A278" i="8" s="1"/>
  <c r="A279" i="8" s="1"/>
  <c r="A280" i="8" s="1"/>
  <c r="A281" i="8" s="1"/>
  <c r="A282" i="8" s="1"/>
  <c r="A283" i="8" s="1"/>
  <c r="A284" i="8" s="1"/>
  <c r="A285" i="8" s="1"/>
  <c r="A286" i="8" s="1"/>
  <c r="A287" i="8" s="1"/>
  <c r="A288" i="8"/>
  <c r="A289" i="8" s="1"/>
  <c r="A290" i="8" s="1"/>
  <c r="A291" i="8" s="1"/>
  <c r="A292" i="8" s="1"/>
  <c r="A293" i="8" s="1"/>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c r="A326" i="8" s="1"/>
  <c r="A327" i="8" s="1"/>
  <c r="A328" i="8"/>
  <c r="A329" i="8" s="1"/>
  <c r="A330" i="8" s="1"/>
  <c r="A331" i="8" s="1"/>
  <c r="A332" i="8" s="1"/>
  <c r="A333" i="8"/>
  <c r="A334" i="8" s="1"/>
  <c r="A335" i="8" s="1"/>
  <c r="A336" i="8" s="1"/>
  <c r="A337" i="8" s="1"/>
  <c r="A338" i="8"/>
  <c r="A339" i="8" s="1"/>
  <c r="A340" i="8" s="1"/>
  <c r="A341" i="8" s="1"/>
  <c r="A342" i="8" s="1"/>
  <c r="A343" i="8" s="1"/>
  <c r="A344" i="8" s="1"/>
  <c r="A345" i="8" s="1"/>
  <c r="A346" i="8" s="1"/>
  <c r="A347" i="8" s="1"/>
  <c r="A348" i="8" s="1"/>
  <c r="A349" i="8" s="1"/>
  <c r="A350" i="8" s="1"/>
  <c r="A351" i="8"/>
  <c r="A352" i="8" s="1"/>
  <c r="A353" i="8" s="1"/>
  <c r="A354" i="8" s="1"/>
  <c r="A355" i="8" s="1"/>
  <c r="A356" i="8" s="1"/>
  <c r="A357" i="8" s="1"/>
  <c r="A358" i="8" s="1"/>
  <c r="A359" i="8" s="1"/>
  <c r="A360" i="8" s="1"/>
  <c r="A361" i="8" s="1"/>
  <c r="A362" i="8" s="1"/>
  <c r="A363" i="8" s="1"/>
  <c r="A364" i="8"/>
  <c r="A365" i="8" s="1"/>
  <c r="A366" i="8" s="1"/>
  <c r="A367" i="8" s="1"/>
  <c r="A368" i="8" s="1"/>
  <c r="A369" i="8" s="1"/>
  <c r="A370" i="8" s="1"/>
  <c r="A371" i="8" s="1"/>
  <c r="A372" i="8" s="1"/>
  <c r="A373" i="8" s="1"/>
  <c r="A374" i="8" s="1"/>
  <c r="A375" i="8" s="1"/>
  <c r="A376" i="8" s="1"/>
  <c r="A377" i="8"/>
  <c r="A378" i="8" s="1"/>
  <c r="A379" i="8" s="1"/>
  <c r="A380" i="8" s="1"/>
  <c r="A381" i="8" s="1"/>
  <c r="A382" i="8" s="1"/>
  <c r="A383" i="8" s="1"/>
  <c r="M176" i="8"/>
  <c r="M177" i="8" s="1"/>
  <c r="M178" i="8" s="1"/>
  <c r="N178" i="8" s="1"/>
  <c r="M203" i="8"/>
  <c r="M204" i="8" s="1"/>
  <c r="M205" i="8" s="1"/>
  <c r="M206" i="8" s="1"/>
  <c r="M207" i="8" s="1"/>
  <c r="O207" i="8" s="1"/>
  <c r="M276" i="8"/>
  <c r="M277" i="8" s="1"/>
  <c r="M278" i="8" s="1"/>
  <c r="M279" i="8" s="1"/>
  <c r="M280" i="8" s="1"/>
  <c r="M288" i="8"/>
  <c r="M289" i="8" s="1"/>
  <c r="M290" i="8" s="1"/>
  <c r="N290" i="8" s="1"/>
  <c r="M325" i="8"/>
  <c r="N325" i="8" s="1"/>
  <c r="M328" i="8"/>
  <c r="M329" i="8" s="1"/>
  <c r="O329" i="8" s="1"/>
  <c r="M333" i="8"/>
  <c r="O333" i="8" s="1"/>
  <c r="M338" i="8"/>
  <c r="O338" i="8" s="1"/>
  <c r="M351" i="8"/>
  <c r="M352" i="8" s="1"/>
  <c r="M364" i="8"/>
  <c r="M365" i="8" s="1"/>
  <c r="M366" i="8" s="1"/>
  <c r="M377" i="8"/>
  <c r="O377" i="8" s="1"/>
  <c r="P175" i="8"/>
  <c r="P177" i="8"/>
  <c r="P178" i="8"/>
  <c r="P179" i="8"/>
  <c r="P180" i="8"/>
  <c r="P181" i="8"/>
  <c r="P182" i="8"/>
  <c r="P183" i="8"/>
  <c r="P184" i="8"/>
  <c r="P185" i="8"/>
  <c r="P186" i="8"/>
  <c r="P187" i="8"/>
  <c r="P188" i="8"/>
  <c r="P189" i="8"/>
  <c r="P190" i="8"/>
  <c r="P191" i="8"/>
  <c r="P192" i="8"/>
  <c r="P193" i="8"/>
  <c r="P194" i="8"/>
  <c r="P195" i="8"/>
  <c r="P196" i="8"/>
  <c r="P197" i="8"/>
  <c r="P198" i="8"/>
  <c r="P199" i="8"/>
  <c r="P200" i="8"/>
  <c r="P201" i="8"/>
  <c r="P202" i="8"/>
  <c r="P204" i="8"/>
  <c r="P205" i="8"/>
  <c r="P206" i="8"/>
  <c r="P207" i="8"/>
  <c r="P208" i="8"/>
  <c r="P209" i="8"/>
  <c r="P210" i="8"/>
  <c r="P211" i="8"/>
  <c r="P212" i="8"/>
  <c r="P213" i="8"/>
  <c r="P214" i="8"/>
  <c r="P215" i="8"/>
  <c r="P216" i="8"/>
  <c r="P217" i="8"/>
  <c r="P218" i="8"/>
  <c r="P219" i="8"/>
  <c r="P220" i="8"/>
  <c r="P221" i="8"/>
  <c r="P222" i="8"/>
  <c r="P223" i="8"/>
  <c r="P224" i="8"/>
  <c r="P225" i="8"/>
  <c r="P226" i="8"/>
  <c r="P227" i="8"/>
  <c r="P228" i="8"/>
  <c r="P229" i="8"/>
  <c r="P230" i="8"/>
  <c r="P231" i="8"/>
  <c r="P232" i="8"/>
  <c r="P233" i="8"/>
  <c r="P234" i="8"/>
  <c r="P235" i="8"/>
  <c r="P236" i="8"/>
  <c r="P237" i="8"/>
  <c r="P238" i="8"/>
  <c r="P239" i="8"/>
  <c r="P240" i="8"/>
  <c r="P241" i="8"/>
  <c r="P242" i="8"/>
  <c r="P243" i="8"/>
  <c r="P244" i="8"/>
  <c r="P245" i="8"/>
  <c r="P246" i="8"/>
  <c r="P247" i="8"/>
  <c r="P248" i="8"/>
  <c r="P249" i="8"/>
  <c r="P250" i="8"/>
  <c r="P251" i="8"/>
  <c r="P252" i="8"/>
  <c r="P253" i="8"/>
  <c r="P254" i="8"/>
  <c r="P255" i="8"/>
  <c r="P256" i="8"/>
  <c r="P257" i="8"/>
  <c r="P258" i="8"/>
  <c r="P259" i="8"/>
  <c r="P260" i="8"/>
  <c r="P261" i="8"/>
  <c r="P262" i="8"/>
  <c r="P263" i="8"/>
  <c r="P264" i="8"/>
  <c r="P265" i="8"/>
  <c r="P266" i="8"/>
  <c r="P267" i="8"/>
  <c r="P268" i="8"/>
  <c r="P269" i="8"/>
  <c r="P270" i="8"/>
  <c r="P271" i="8"/>
  <c r="P272" i="8"/>
  <c r="P273" i="8"/>
  <c r="P274" i="8"/>
  <c r="P275" i="8"/>
  <c r="P277" i="8"/>
  <c r="P278" i="8"/>
  <c r="P279" i="8"/>
  <c r="P280" i="8"/>
  <c r="P281" i="8"/>
  <c r="P282" i="8"/>
  <c r="P283" i="8"/>
  <c r="P284" i="8"/>
  <c r="P285" i="8"/>
  <c r="P286" i="8"/>
  <c r="P287" i="8"/>
  <c r="P289" i="8"/>
  <c r="P290" i="8"/>
  <c r="P291" i="8"/>
  <c r="P292" i="8"/>
  <c r="P293" i="8"/>
  <c r="P294" i="8"/>
  <c r="P295" i="8"/>
  <c r="P296" i="8"/>
  <c r="P297" i="8"/>
  <c r="P298" i="8"/>
  <c r="P299" i="8"/>
  <c r="P300" i="8"/>
  <c r="P301" i="8"/>
  <c r="P302" i="8"/>
  <c r="P303" i="8"/>
  <c r="P304" i="8"/>
  <c r="P305" i="8"/>
  <c r="P306" i="8"/>
  <c r="P307" i="8"/>
  <c r="P308" i="8"/>
  <c r="P309" i="8"/>
  <c r="P310" i="8"/>
  <c r="P311" i="8"/>
  <c r="P312" i="8"/>
  <c r="P313" i="8"/>
  <c r="P314" i="8"/>
  <c r="P315" i="8"/>
  <c r="P316" i="8"/>
  <c r="P317" i="8"/>
  <c r="P318" i="8"/>
  <c r="P319" i="8"/>
  <c r="P320" i="8"/>
  <c r="P321" i="8"/>
  <c r="P322" i="8"/>
  <c r="P323" i="8"/>
  <c r="P324" i="8"/>
  <c r="P326" i="8"/>
  <c r="P327" i="8"/>
  <c r="P329" i="8"/>
  <c r="P330" i="8"/>
  <c r="P331" i="8"/>
  <c r="P332" i="8"/>
  <c r="P334" i="8"/>
  <c r="P335" i="8"/>
  <c r="P336" i="8"/>
  <c r="P337" i="8"/>
  <c r="P339" i="8"/>
  <c r="P340" i="8"/>
  <c r="P341" i="8"/>
  <c r="P342" i="8"/>
  <c r="P343" i="8"/>
  <c r="P344" i="8"/>
  <c r="P345" i="8"/>
  <c r="P346" i="8"/>
  <c r="P347" i="8"/>
  <c r="P348" i="8"/>
  <c r="P349" i="8"/>
  <c r="P350" i="8"/>
  <c r="P352" i="8"/>
  <c r="P353" i="8"/>
  <c r="P354" i="8"/>
  <c r="P355" i="8"/>
  <c r="P356" i="8"/>
  <c r="P357" i="8"/>
  <c r="P358" i="8"/>
  <c r="P359" i="8"/>
  <c r="P360" i="8"/>
  <c r="P361" i="8"/>
  <c r="P362" i="8"/>
  <c r="P363" i="8"/>
  <c r="P365" i="8"/>
  <c r="P366" i="8"/>
  <c r="P367" i="8"/>
  <c r="P368" i="8"/>
  <c r="P369" i="8"/>
  <c r="P370" i="8"/>
  <c r="P371" i="8"/>
  <c r="P372" i="8"/>
  <c r="P373" i="8"/>
  <c r="P374" i="8"/>
  <c r="P375" i="8"/>
  <c r="P376" i="8"/>
  <c r="P378" i="8"/>
  <c r="P379" i="8"/>
  <c r="P380" i="8"/>
  <c r="P381" i="8"/>
  <c r="P382" i="8"/>
  <c r="P383" i="8"/>
  <c r="Q175"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255" i="8"/>
  <c r="Q256" i="8"/>
  <c r="Q257" i="8"/>
  <c r="Q258" i="8"/>
  <c r="Q259" i="8"/>
  <c r="Q260" i="8"/>
  <c r="Q261" i="8"/>
  <c r="Q262" i="8"/>
  <c r="Q263" i="8"/>
  <c r="Q264" i="8"/>
  <c r="Q265" i="8"/>
  <c r="Q266" i="8"/>
  <c r="Q267" i="8"/>
  <c r="Q268" i="8"/>
  <c r="Q269" i="8"/>
  <c r="Q270" i="8"/>
  <c r="Q271" i="8"/>
  <c r="Q272" i="8"/>
  <c r="Q273" i="8"/>
  <c r="Q274" i="8"/>
  <c r="Q275" i="8"/>
  <c r="Q277" i="8"/>
  <c r="Q278" i="8"/>
  <c r="Q279" i="8"/>
  <c r="Q280" i="8"/>
  <c r="Q281" i="8"/>
  <c r="Q282" i="8"/>
  <c r="Q283" i="8"/>
  <c r="Q284" i="8"/>
  <c r="Q285" i="8"/>
  <c r="Q286" i="8"/>
  <c r="Q287" i="8"/>
  <c r="Q289" i="8"/>
  <c r="Q290" i="8"/>
  <c r="Q291" i="8"/>
  <c r="Q292" i="8"/>
  <c r="Q293" i="8"/>
  <c r="Q294" i="8"/>
  <c r="Q295" i="8"/>
  <c r="Q296" i="8"/>
  <c r="Q297" i="8"/>
  <c r="Q298" i="8"/>
  <c r="Q299" i="8"/>
  <c r="Q300" i="8"/>
  <c r="Q301" i="8"/>
  <c r="Q302" i="8"/>
  <c r="Q303" i="8"/>
  <c r="Q304" i="8"/>
  <c r="Q305" i="8"/>
  <c r="Q306" i="8"/>
  <c r="Q307" i="8"/>
  <c r="Q308" i="8"/>
  <c r="Q309" i="8"/>
  <c r="Q310" i="8"/>
  <c r="Q311" i="8"/>
  <c r="Q312" i="8"/>
  <c r="Q313" i="8"/>
  <c r="Q314" i="8"/>
  <c r="Q315" i="8"/>
  <c r="Q316" i="8"/>
  <c r="Q317" i="8"/>
  <c r="Q318" i="8"/>
  <c r="Q319" i="8"/>
  <c r="Q320" i="8"/>
  <c r="Q321" i="8"/>
  <c r="Q322" i="8"/>
  <c r="Q323" i="8"/>
  <c r="Q324" i="8"/>
  <c r="Q326" i="8"/>
  <c r="Q327" i="8"/>
  <c r="Q329" i="8"/>
  <c r="Q330" i="8"/>
  <c r="Q331" i="8"/>
  <c r="Q332" i="8"/>
  <c r="Q334" i="8"/>
  <c r="Q335" i="8"/>
  <c r="Q336" i="8"/>
  <c r="Q337" i="8"/>
  <c r="Q339" i="8"/>
  <c r="Q340" i="8"/>
  <c r="Q341" i="8"/>
  <c r="Q342" i="8"/>
  <c r="Q343" i="8"/>
  <c r="Q344" i="8"/>
  <c r="Q345" i="8"/>
  <c r="Q346" i="8"/>
  <c r="Q347" i="8"/>
  <c r="Q348" i="8"/>
  <c r="Q349" i="8"/>
  <c r="Q350" i="8"/>
  <c r="Q352" i="8"/>
  <c r="Q353" i="8"/>
  <c r="Q354" i="8"/>
  <c r="Q355" i="8"/>
  <c r="Q356" i="8"/>
  <c r="Q357" i="8"/>
  <c r="Q358" i="8"/>
  <c r="Q359" i="8"/>
  <c r="Q360" i="8"/>
  <c r="Q361" i="8"/>
  <c r="Q362" i="8"/>
  <c r="Q363" i="8"/>
  <c r="Q365" i="8"/>
  <c r="Q366" i="8"/>
  <c r="Q367" i="8"/>
  <c r="Q368" i="8"/>
  <c r="Q369" i="8"/>
  <c r="Q370" i="8"/>
  <c r="Q371" i="8"/>
  <c r="Q372" i="8"/>
  <c r="Q373" i="8"/>
  <c r="Q374" i="8"/>
  <c r="Q375" i="8"/>
  <c r="Q376" i="8"/>
  <c r="Q378" i="8"/>
  <c r="Q379" i="8"/>
  <c r="Q380" i="8"/>
  <c r="Q381" i="8"/>
  <c r="Q382" i="8"/>
  <c r="Q383" i="8"/>
  <c r="R175" i="8"/>
  <c r="R177" i="8"/>
  <c r="R178" i="8"/>
  <c r="R179" i="8"/>
  <c r="R180" i="8"/>
  <c r="R181" i="8"/>
  <c r="R182" i="8"/>
  <c r="R183" i="8"/>
  <c r="R184" i="8"/>
  <c r="R185" i="8"/>
  <c r="R186" i="8"/>
  <c r="R187" i="8"/>
  <c r="R188" i="8"/>
  <c r="R189" i="8"/>
  <c r="R190" i="8"/>
  <c r="R191" i="8"/>
  <c r="R192" i="8"/>
  <c r="R193" i="8"/>
  <c r="R194" i="8"/>
  <c r="R195" i="8"/>
  <c r="R196" i="8"/>
  <c r="R197" i="8"/>
  <c r="R198" i="8"/>
  <c r="R199" i="8"/>
  <c r="R200" i="8"/>
  <c r="R201" i="8"/>
  <c r="R202" i="8"/>
  <c r="R204" i="8"/>
  <c r="R205" i="8"/>
  <c r="R206" i="8"/>
  <c r="R207" i="8"/>
  <c r="R208" i="8"/>
  <c r="R209" i="8"/>
  <c r="R210" i="8"/>
  <c r="R211" i="8"/>
  <c r="R212" i="8"/>
  <c r="R213" i="8"/>
  <c r="R214" i="8"/>
  <c r="R215" i="8"/>
  <c r="R216" i="8"/>
  <c r="R217" i="8"/>
  <c r="R218" i="8"/>
  <c r="R219" i="8"/>
  <c r="R220" i="8"/>
  <c r="R221" i="8"/>
  <c r="R222" i="8"/>
  <c r="R223" i="8"/>
  <c r="R224" i="8"/>
  <c r="R225" i="8"/>
  <c r="R226" i="8"/>
  <c r="R227" i="8"/>
  <c r="R228" i="8"/>
  <c r="R229" i="8"/>
  <c r="R230" i="8"/>
  <c r="R231" i="8"/>
  <c r="R232" i="8"/>
  <c r="R233" i="8"/>
  <c r="R234" i="8"/>
  <c r="R235" i="8"/>
  <c r="R236" i="8"/>
  <c r="R237" i="8"/>
  <c r="R238" i="8"/>
  <c r="R239" i="8"/>
  <c r="R240" i="8"/>
  <c r="R241" i="8"/>
  <c r="R242" i="8"/>
  <c r="R243" i="8"/>
  <c r="R244" i="8"/>
  <c r="R245" i="8"/>
  <c r="R246" i="8"/>
  <c r="R247" i="8"/>
  <c r="R248" i="8"/>
  <c r="R249" i="8"/>
  <c r="R250" i="8"/>
  <c r="R251" i="8"/>
  <c r="R252" i="8"/>
  <c r="R253" i="8"/>
  <c r="R254" i="8"/>
  <c r="R255" i="8"/>
  <c r="R256" i="8"/>
  <c r="R257" i="8"/>
  <c r="R258" i="8"/>
  <c r="R259" i="8"/>
  <c r="R260" i="8"/>
  <c r="R261" i="8"/>
  <c r="R262" i="8"/>
  <c r="R263" i="8"/>
  <c r="R264" i="8"/>
  <c r="R265" i="8"/>
  <c r="R266" i="8"/>
  <c r="R267" i="8"/>
  <c r="R268" i="8"/>
  <c r="R269" i="8"/>
  <c r="R270" i="8"/>
  <c r="R271" i="8"/>
  <c r="R272" i="8"/>
  <c r="R273" i="8"/>
  <c r="R274" i="8"/>
  <c r="R275" i="8"/>
  <c r="R277" i="8"/>
  <c r="R278" i="8"/>
  <c r="R279" i="8"/>
  <c r="R280" i="8"/>
  <c r="R281" i="8"/>
  <c r="R282" i="8"/>
  <c r="R283" i="8"/>
  <c r="R284" i="8"/>
  <c r="R285" i="8"/>
  <c r="R286" i="8"/>
  <c r="R287" i="8"/>
  <c r="R289" i="8"/>
  <c r="R290" i="8"/>
  <c r="R291" i="8"/>
  <c r="R292" i="8"/>
  <c r="R293" i="8"/>
  <c r="R294" i="8"/>
  <c r="R295" i="8"/>
  <c r="R296" i="8"/>
  <c r="R297" i="8"/>
  <c r="R298" i="8"/>
  <c r="R299" i="8"/>
  <c r="R300" i="8"/>
  <c r="R301" i="8"/>
  <c r="R302" i="8"/>
  <c r="R303" i="8"/>
  <c r="R304" i="8"/>
  <c r="R305" i="8"/>
  <c r="R306" i="8"/>
  <c r="R307" i="8"/>
  <c r="R308" i="8"/>
  <c r="R309" i="8"/>
  <c r="R310" i="8"/>
  <c r="R311" i="8"/>
  <c r="R312" i="8"/>
  <c r="R313" i="8"/>
  <c r="R314" i="8"/>
  <c r="R315" i="8"/>
  <c r="R316" i="8"/>
  <c r="R317" i="8"/>
  <c r="R318" i="8"/>
  <c r="R319" i="8"/>
  <c r="R320" i="8"/>
  <c r="R321" i="8"/>
  <c r="R322" i="8"/>
  <c r="R323" i="8"/>
  <c r="R324" i="8"/>
  <c r="R326" i="8"/>
  <c r="R327" i="8"/>
  <c r="R329" i="8"/>
  <c r="R330" i="8"/>
  <c r="R331" i="8"/>
  <c r="R332" i="8"/>
  <c r="R334" i="8"/>
  <c r="R335" i="8"/>
  <c r="R336" i="8"/>
  <c r="R337" i="8"/>
  <c r="R339" i="8"/>
  <c r="R340" i="8"/>
  <c r="R341" i="8"/>
  <c r="R342" i="8"/>
  <c r="R343" i="8"/>
  <c r="R344" i="8"/>
  <c r="R345" i="8"/>
  <c r="R346" i="8"/>
  <c r="R347" i="8"/>
  <c r="R348" i="8"/>
  <c r="R349" i="8"/>
  <c r="R350" i="8"/>
  <c r="R352" i="8"/>
  <c r="R353" i="8"/>
  <c r="R354" i="8"/>
  <c r="R355" i="8"/>
  <c r="R356" i="8"/>
  <c r="R357" i="8"/>
  <c r="R358" i="8"/>
  <c r="R359" i="8"/>
  <c r="R360" i="8"/>
  <c r="R361" i="8"/>
  <c r="R362" i="8"/>
  <c r="R363" i="8"/>
  <c r="R365" i="8"/>
  <c r="R366" i="8"/>
  <c r="R367" i="8"/>
  <c r="R368" i="8"/>
  <c r="R369" i="8"/>
  <c r="R370" i="8"/>
  <c r="R371" i="8"/>
  <c r="R372" i="8"/>
  <c r="R373" i="8"/>
  <c r="R374" i="8"/>
  <c r="R375" i="8"/>
  <c r="R376" i="8"/>
  <c r="R378" i="8"/>
  <c r="R379" i="8"/>
  <c r="R380" i="8"/>
  <c r="R381" i="8"/>
  <c r="R382" i="8"/>
  <c r="R383" i="8"/>
  <c r="S175" i="8"/>
  <c r="S177" i="8"/>
  <c r="S178" i="8"/>
  <c r="S179" i="8"/>
  <c r="S180" i="8"/>
  <c r="S181" i="8"/>
  <c r="S182" i="8"/>
  <c r="S183" i="8"/>
  <c r="S184" i="8"/>
  <c r="S185" i="8"/>
  <c r="S186" i="8"/>
  <c r="S187" i="8"/>
  <c r="S188" i="8"/>
  <c r="S189" i="8"/>
  <c r="S190" i="8"/>
  <c r="S191" i="8"/>
  <c r="S192" i="8"/>
  <c r="S193" i="8"/>
  <c r="S194" i="8"/>
  <c r="S195" i="8"/>
  <c r="S196" i="8"/>
  <c r="S197" i="8"/>
  <c r="S198" i="8"/>
  <c r="S199" i="8"/>
  <c r="S200" i="8"/>
  <c r="S201" i="8"/>
  <c r="S202" i="8"/>
  <c r="S204" i="8"/>
  <c r="S205" i="8"/>
  <c r="S206" i="8"/>
  <c r="S207" i="8"/>
  <c r="S208" i="8"/>
  <c r="S209" i="8"/>
  <c r="S210" i="8"/>
  <c r="S211" i="8"/>
  <c r="S212" i="8"/>
  <c r="S213" i="8"/>
  <c r="S214" i="8"/>
  <c r="S215" i="8"/>
  <c r="S216" i="8"/>
  <c r="S217" i="8"/>
  <c r="S218" i="8"/>
  <c r="S219" i="8"/>
  <c r="S220" i="8"/>
  <c r="S221" i="8"/>
  <c r="S222" i="8"/>
  <c r="S223" i="8"/>
  <c r="S224" i="8"/>
  <c r="S225" i="8"/>
  <c r="S226" i="8"/>
  <c r="S227" i="8"/>
  <c r="S228" i="8"/>
  <c r="S229" i="8"/>
  <c r="S230" i="8"/>
  <c r="S231" i="8"/>
  <c r="S232" i="8"/>
  <c r="S233" i="8"/>
  <c r="S234" i="8"/>
  <c r="S235" i="8"/>
  <c r="S236" i="8"/>
  <c r="S237" i="8"/>
  <c r="S238" i="8"/>
  <c r="S239" i="8"/>
  <c r="S240" i="8"/>
  <c r="S241" i="8"/>
  <c r="S242" i="8"/>
  <c r="S243" i="8"/>
  <c r="S244" i="8"/>
  <c r="S245" i="8"/>
  <c r="S246" i="8"/>
  <c r="S247" i="8"/>
  <c r="S248" i="8"/>
  <c r="S249" i="8"/>
  <c r="S250" i="8"/>
  <c r="S251" i="8"/>
  <c r="S252" i="8"/>
  <c r="S253" i="8"/>
  <c r="S254" i="8"/>
  <c r="S255" i="8"/>
  <c r="S256" i="8"/>
  <c r="S257" i="8"/>
  <c r="S258" i="8"/>
  <c r="S259" i="8"/>
  <c r="S260" i="8"/>
  <c r="S261" i="8"/>
  <c r="S262" i="8"/>
  <c r="S263" i="8"/>
  <c r="S264" i="8"/>
  <c r="S265" i="8"/>
  <c r="S266" i="8"/>
  <c r="S267" i="8"/>
  <c r="S268" i="8"/>
  <c r="S269" i="8"/>
  <c r="S270" i="8"/>
  <c r="S271" i="8"/>
  <c r="S272" i="8"/>
  <c r="S273" i="8"/>
  <c r="S274" i="8"/>
  <c r="S275" i="8"/>
  <c r="S277" i="8"/>
  <c r="S278" i="8"/>
  <c r="S279" i="8"/>
  <c r="S280" i="8"/>
  <c r="S281" i="8"/>
  <c r="S282" i="8"/>
  <c r="S283" i="8"/>
  <c r="S284" i="8"/>
  <c r="S285" i="8"/>
  <c r="S286" i="8"/>
  <c r="S287" i="8"/>
  <c r="S289" i="8"/>
  <c r="S290" i="8"/>
  <c r="S291" i="8"/>
  <c r="S292" i="8"/>
  <c r="S293" i="8"/>
  <c r="S294" i="8"/>
  <c r="S295" i="8"/>
  <c r="S296" i="8"/>
  <c r="S297" i="8"/>
  <c r="S298" i="8"/>
  <c r="S299" i="8"/>
  <c r="S300" i="8"/>
  <c r="S301" i="8"/>
  <c r="S302" i="8"/>
  <c r="S303" i="8"/>
  <c r="S304" i="8"/>
  <c r="S305" i="8"/>
  <c r="S306" i="8"/>
  <c r="S307" i="8"/>
  <c r="S308" i="8"/>
  <c r="S309" i="8"/>
  <c r="S310" i="8"/>
  <c r="S311" i="8"/>
  <c r="S312" i="8"/>
  <c r="S313" i="8"/>
  <c r="S314" i="8"/>
  <c r="S315" i="8"/>
  <c r="S316" i="8"/>
  <c r="S317" i="8"/>
  <c r="S318" i="8"/>
  <c r="S319" i="8"/>
  <c r="S320" i="8"/>
  <c r="S321" i="8"/>
  <c r="S322" i="8"/>
  <c r="S323" i="8"/>
  <c r="S324" i="8"/>
  <c r="S326" i="8"/>
  <c r="S327" i="8"/>
  <c r="S329" i="8"/>
  <c r="S330" i="8"/>
  <c r="S331" i="8"/>
  <c r="S332" i="8"/>
  <c r="S334" i="8"/>
  <c r="S335" i="8"/>
  <c r="S336" i="8"/>
  <c r="S337" i="8"/>
  <c r="S339" i="8"/>
  <c r="S340" i="8"/>
  <c r="S341" i="8"/>
  <c r="S342" i="8"/>
  <c r="S343" i="8"/>
  <c r="S344" i="8"/>
  <c r="S345" i="8"/>
  <c r="S346" i="8"/>
  <c r="S347" i="8"/>
  <c r="S348" i="8"/>
  <c r="S349" i="8"/>
  <c r="S350" i="8"/>
  <c r="S352" i="8"/>
  <c r="S353" i="8"/>
  <c r="S354" i="8"/>
  <c r="S355" i="8"/>
  <c r="S356" i="8"/>
  <c r="S357" i="8"/>
  <c r="S358" i="8"/>
  <c r="S359" i="8"/>
  <c r="S360" i="8"/>
  <c r="S361" i="8"/>
  <c r="S362" i="8"/>
  <c r="S363" i="8"/>
  <c r="S365" i="8"/>
  <c r="S366" i="8"/>
  <c r="S367" i="8"/>
  <c r="S368" i="8"/>
  <c r="S369" i="8"/>
  <c r="S370" i="8"/>
  <c r="S371" i="8"/>
  <c r="S372" i="8"/>
  <c r="S373" i="8"/>
  <c r="S374" i="8"/>
  <c r="S375" i="8"/>
  <c r="S376" i="8"/>
  <c r="S378" i="8"/>
  <c r="S379" i="8"/>
  <c r="S380" i="8"/>
  <c r="S381" i="8"/>
  <c r="S382" i="8"/>
  <c r="S383" i="8"/>
  <c r="T175" i="8"/>
  <c r="T177" i="8"/>
  <c r="T178" i="8"/>
  <c r="T179" i="8"/>
  <c r="T180" i="8"/>
  <c r="T181" i="8"/>
  <c r="T182" i="8"/>
  <c r="T183" i="8"/>
  <c r="T184" i="8"/>
  <c r="T185" i="8"/>
  <c r="T186" i="8"/>
  <c r="T187" i="8"/>
  <c r="T188" i="8"/>
  <c r="T189" i="8"/>
  <c r="T190" i="8"/>
  <c r="T191" i="8"/>
  <c r="T192" i="8"/>
  <c r="T193" i="8"/>
  <c r="T194" i="8"/>
  <c r="T195" i="8"/>
  <c r="T196" i="8"/>
  <c r="T197" i="8"/>
  <c r="T198" i="8"/>
  <c r="T199" i="8"/>
  <c r="T200" i="8"/>
  <c r="T201" i="8"/>
  <c r="T202" i="8"/>
  <c r="T204" i="8"/>
  <c r="T205" i="8"/>
  <c r="T206" i="8"/>
  <c r="T207" i="8"/>
  <c r="T208" i="8"/>
  <c r="T209" i="8"/>
  <c r="T210" i="8"/>
  <c r="T211" i="8"/>
  <c r="T212" i="8"/>
  <c r="T213" i="8"/>
  <c r="T214" i="8"/>
  <c r="T215" i="8"/>
  <c r="T216" i="8"/>
  <c r="T217" i="8"/>
  <c r="T218" i="8"/>
  <c r="T219" i="8"/>
  <c r="T220" i="8"/>
  <c r="T221" i="8"/>
  <c r="T222" i="8"/>
  <c r="T223" i="8"/>
  <c r="T224" i="8"/>
  <c r="T225" i="8"/>
  <c r="T226" i="8"/>
  <c r="T227" i="8"/>
  <c r="T228" i="8"/>
  <c r="T229" i="8"/>
  <c r="T230" i="8"/>
  <c r="T231" i="8"/>
  <c r="T232" i="8"/>
  <c r="T233" i="8"/>
  <c r="T234" i="8"/>
  <c r="T235" i="8"/>
  <c r="T236" i="8"/>
  <c r="T237" i="8"/>
  <c r="T238" i="8"/>
  <c r="T239" i="8"/>
  <c r="T240" i="8"/>
  <c r="T241" i="8"/>
  <c r="T242" i="8"/>
  <c r="T243" i="8"/>
  <c r="T244" i="8"/>
  <c r="T245" i="8"/>
  <c r="T246" i="8"/>
  <c r="T247" i="8"/>
  <c r="T248" i="8"/>
  <c r="T249" i="8"/>
  <c r="T250" i="8"/>
  <c r="T251" i="8"/>
  <c r="T252" i="8"/>
  <c r="T253" i="8"/>
  <c r="T254" i="8"/>
  <c r="T255" i="8"/>
  <c r="T256" i="8"/>
  <c r="T257" i="8"/>
  <c r="T258" i="8"/>
  <c r="T259" i="8"/>
  <c r="T260" i="8"/>
  <c r="T261" i="8"/>
  <c r="T262" i="8"/>
  <c r="T263" i="8"/>
  <c r="T264" i="8"/>
  <c r="T265" i="8"/>
  <c r="T266" i="8"/>
  <c r="T267" i="8"/>
  <c r="T268" i="8"/>
  <c r="T269" i="8"/>
  <c r="T270" i="8"/>
  <c r="T271" i="8"/>
  <c r="T272" i="8"/>
  <c r="T273" i="8"/>
  <c r="T274" i="8"/>
  <c r="T275" i="8"/>
  <c r="T277" i="8"/>
  <c r="T278" i="8"/>
  <c r="T279" i="8"/>
  <c r="T280" i="8"/>
  <c r="T281" i="8"/>
  <c r="T282" i="8"/>
  <c r="T283" i="8"/>
  <c r="T284" i="8"/>
  <c r="T285" i="8"/>
  <c r="T286" i="8"/>
  <c r="T287" i="8"/>
  <c r="T289" i="8"/>
  <c r="T290" i="8"/>
  <c r="T291" i="8"/>
  <c r="T292" i="8"/>
  <c r="T293" i="8"/>
  <c r="T294" i="8"/>
  <c r="T295" i="8"/>
  <c r="T296" i="8"/>
  <c r="T297" i="8"/>
  <c r="T298" i="8"/>
  <c r="T299" i="8"/>
  <c r="T300" i="8"/>
  <c r="T301" i="8"/>
  <c r="T302" i="8"/>
  <c r="T303" i="8"/>
  <c r="T304" i="8"/>
  <c r="T305" i="8"/>
  <c r="T306" i="8"/>
  <c r="T307" i="8"/>
  <c r="T308" i="8"/>
  <c r="T309" i="8"/>
  <c r="T310" i="8"/>
  <c r="T311" i="8"/>
  <c r="T312" i="8"/>
  <c r="T313" i="8"/>
  <c r="T314" i="8"/>
  <c r="T315" i="8"/>
  <c r="T316" i="8"/>
  <c r="T317" i="8"/>
  <c r="T318" i="8"/>
  <c r="T319" i="8"/>
  <c r="T320" i="8"/>
  <c r="T321" i="8"/>
  <c r="T322" i="8"/>
  <c r="T323" i="8"/>
  <c r="T324" i="8"/>
  <c r="T326" i="8"/>
  <c r="T327" i="8"/>
  <c r="T329" i="8"/>
  <c r="T330" i="8"/>
  <c r="T331" i="8"/>
  <c r="T332" i="8"/>
  <c r="T334" i="8"/>
  <c r="T335" i="8"/>
  <c r="T336" i="8"/>
  <c r="T337" i="8"/>
  <c r="T339" i="8"/>
  <c r="T340" i="8"/>
  <c r="T341" i="8"/>
  <c r="T342" i="8"/>
  <c r="T343" i="8"/>
  <c r="T344" i="8"/>
  <c r="T345" i="8"/>
  <c r="T346" i="8"/>
  <c r="T347" i="8"/>
  <c r="T348" i="8"/>
  <c r="T349" i="8"/>
  <c r="T350" i="8"/>
  <c r="T352" i="8"/>
  <c r="T353" i="8"/>
  <c r="T354" i="8"/>
  <c r="T355" i="8"/>
  <c r="T356" i="8"/>
  <c r="T357" i="8"/>
  <c r="T358" i="8"/>
  <c r="T359" i="8"/>
  <c r="T360" i="8"/>
  <c r="T361" i="8"/>
  <c r="T362" i="8"/>
  <c r="T363" i="8"/>
  <c r="T365" i="8"/>
  <c r="T366" i="8"/>
  <c r="T367" i="8"/>
  <c r="T368" i="8"/>
  <c r="T369" i="8"/>
  <c r="T370" i="8"/>
  <c r="T371" i="8"/>
  <c r="T372" i="8"/>
  <c r="T373" i="8"/>
  <c r="T374" i="8"/>
  <c r="T375" i="8"/>
  <c r="T376" i="8"/>
  <c r="T378" i="8"/>
  <c r="T379" i="8"/>
  <c r="T380" i="8"/>
  <c r="T381" i="8"/>
  <c r="T382" i="8"/>
  <c r="T383" i="8"/>
  <c r="U175" i="8"/>
  <c r="U176" i="8"/>
  <c r="U177" i="8"/>
  <c r="U178" i="8"/>
  <c r="U179" i="8"/>
  <c r="U180" i="8"/>
  <c r="U181" i="8"/>
  <c r="U182" i="8"/>
  <c r="U183" i="8"/>
  <c r="U184" i="8"/>
  <c r="U185" i="8"/>
  <c r="U186" i="8"/>
  <c r="U187" i="8"/>
  <c r="U188" i="8"/>
  <c r="U189" i="8"/>
  <c r="U190" i="8"/>
  <c r="U191" i="8"/>
  <c r="U192" i="8"/>
  <c r="U193" i="8"/>
  <c r="U194" i="8"/>
  <c r="U195" i="8"/>
  <c r="U196" i="8"/>
  <c r="U197" i="8"/>
  <c r="U198" i="8"/>
  <c r="U199" i="8"/>
  <c r="U200" i="8"/>
  <c r="U201" i="8"/>
  <c r="U202" i="8"/>
  <c r="U203" i="8"/>
  <c r="U204" i="8"/>
  <c r="U205" i="8"/>
  <c r="U206" i="8"/>
  <c r="U207" i="8"/>
  <c r="U208" i="8"/>
  <c r="U209" i="8"/>
  <c r="U210" i="8"/>
  <c r="U211" i="8"/>
  <c r="U212" i="8"/>
  <c r="U213" i="8"/>
  <c r="U214" i="8"/>
  <c r="U215" i="8"/>
  <c r="U216" i="8"/>
  <c r="U217" i="8"/>
  <c r="U218" i="8"/>
  <c r="U219" i="8"/>
  <c r="U220" i="8"/>
  <c r="U221" i="8"/>
  <c r="U222" i="8"/>
  <c r="U223" i="8"/>
  <c r="U224" i="8"/>
  <c r="U225" i="8"/>
  <c r="U226" i="8"/>
  <c r="U227" i="8"/>
  <c r="U228" i="8"/>
  <c r="U229" i="8"/>
  <c r="U230" i="8"/>
  <c r="U231" i="8"/>
  <c r="U232" i="8"/>
  <c r="U233" i="8"/>
  <c r="U234" i="8"/>
  <c r="U235" i="8"/>
  <c r="U236" i="8"/>
  <c r="U237" i="8"/>
  <c r="U238" i="8"/>
  <c r="U239" i="8"/>
  <c r="U240" i="8"/>
  <c r="U241" i="8"/>
  <c r="U242" i="8"/>
  <c r="U243" i="8"/>
  <c r="U244" i="8"/>
  <c r="U245" i="8"/>
  <c r="U246" i="8"/>
  <c r="U247" i="8"/>
  <c r="U248" i="8"/>
  <c r="U249" i="8"/>
  <c r="U250" i="8"/>
  <c r="U251" i="8"/>
  <c r="U252" i="8"/>
  <c r="U253" i="8"/>
  <c r="U254" i="8"/>
  <c r="U255" i="8"/>
  <c r="U256" i="8"/>
  <c r="U257" i="8"/>
  <c r="U258" i="8"/>
  <c r="U259" i="8"/>
  <c r="U260" i="8"/>
  <c r="U261" i="8"/>
  <c r="U262" i="8"/>
  <c r="U263" i="8"/>
  <c r="U264" i="8"/>
  <c r="U265" i="8"/>
  <c r="U266" i="8"/>
  <c r="U267" i="8"/>
  <c r="U268" i="8"/>
  <c r="U269" i="8"/>
  <c r="U270" i="8"/>
  <c r="U271" i="8"/>
  <c r="U272" i="8"/>
  <c r="U273" i="8"/>
  <c r="U274" i="8"/>
  <c r="U275" i="8"/>
  <c r="U276" i="8"/>
  <c r="U277" i="8"/>
  <c r="U278" i="8"/>
  <c r="U279" i="8"/>
  <c r="U280" i="8"/>
  <c r="U281" i="8"/>
  <c r="U282" i="8"/>
  <c r="U283" i="8"/>
  <c r="U284" i="8"/>
  <c r="U285" i="8"/>
  <c r="U286" i="8"/>
  <c r="U287" i="8"/>
  <c r="U288" i="8"/>
  <c r="U289" i="8"/>
  <c r="U290" i="8"/>
  <c r="U291" i="8"/>
  <c r="U292" i="8"/>
  <c r="U293" i="8"/>
  <c r="U294" i="8"/>
  <c r="U295" i="8"/>
  <c r="U296" i="8"/>
  <c r="U297" i="8"/>
  <c r="U298" i="8"/>
  <c r="U299" i="8"/>
  <c r="U300" i="8"/>
  <c r="U301" i="8"/>
  <c r="U302" i="8"/>
  <c r="U303" i="8"/>
  <c r="U304" i="8"/>
  <c r="U305" i="8"/>
  <c r="U306" i="8"/>
  <c r="U307" i="8"/>
  <c r="U308" i="8"/>
  <c r="U309" i="8"/>
  <c r="U310" i="8"/>
  <c r="U311" i="8"/>
  <c r="U312" i="8"/>
  <c r="U313" i="8"/>
  <c r="U314" i="8"/>
  <c r="U315" i="8"/>
  <c r="U316" i="8"/>
  <c r="U317" i="8"/>
  <c r="U318" i="8"/>
  <c r="U319" i="8"/>
  <c r="U320" i="8"/>
  <c r="U321" i="8"/>
  <c r="U322" i="8"/>
  <c r="U323" i="8"/>
  <c r="U324" i="8"/>
  <c r="U325" i="8"/>
  <c r="U326" i="8"/>
  <c r="U327" i="8"/>
  <c r="U328" i="8"/>
  <c r="U329" i="8"/>
  <c r="U330" i="8"/>
  <c r="U331" i="8"/>
  <c r="U332" i="8"/>
  <c r="U333" i="8"/>
  <c r="U334" i="8"/>
  <c r="U335" i="8"/>
  <c r="U336" i="8"/>
  <c r="U337" i="8"/>
  <c r="U338" i="8"/>
  <c r="U339" i="8"/>
  <c r="U340" i="8"/>
  <c r="U341" i="8"/>
  <c r="U342" i="8"/>
  <c r="U343" i="8"/>
  <c r="U344" i="8"/>
  <c r="U345" i="8"/>
  <c r="U346" i="8"/>
  <c r="U347" i="8"/>
  <c r="U348" i="8"/>
  <c r="U349" i="8"/>
  <c r="U350" i="8"/>
  <c r="U351" i="8"/>
  <c r="U352" i="8"/>
  <c r="U353" i="8"/>
  <c r="U354" i="8"/>
  <c r="U355" i="8"/>
  <c r="U356" i="8"/>
  <c r="U357" i="8"/>
  <c r="U358" i="8"/>
  <c r="U359" i="8"/>
  <c r="U360" i="8"/>
  <c r="U361" i="8"/>
  <c r="U362" i="8"/>
  <c r="U363" i="8"/>
  <c r="U364" i="8"/>
  <c r="U365" i="8"/>
  <c r="U366" i="8"/>
  <c r="U367" i="8"/>
  <c r="U368" i="8"/>
  <c r="U369" i="8"/>
  <c r="U370" i="8"/>
  <c r="U371" i="8"/>
  <c r="U372" i="8"/>
  <c r="U373" i="8"/>
  <c r="U374" i="8"/>
  <c r="U375" i="8"/>
  <c r="U376" i="8"/>
  <c r="U377" i="8"/>
  <c r="U378" i="8"/>
  <c r="U379" i="8"/>
  <c r="U380" i="8"/>
  <c r="U381" i="8"/>
  <c r="U382" i="8"/>
  <c r="U383" i="8"/>
  <c r="V175" i="8"/>
  <c r="V176" i="8"/>
  <c r="V177" i="8"/>
  <c r="V178" i="8"/>
  <c r="V179" i="8"/>
  <c r="V180" i="8"/>
  <c r="V181" i="8"/>
  <c r="V182" i="8"/>
  <c r="V183" i="8"/>
  <c r="V184" i="8"/>
  <c r="V185" i="8"/>
  <c r="V186" i="8"/>
  <c r="V187" i="8"/>
  <c r="V188" i="8"/>
  <c r="V189" i="8"/>
  <c r="V190" i="8"/>
  <c r="V191" i="8"/>
  <c r="V192" i="8"/>
  <c r="V193" i="8"/>
  <c r="V194" i="8"/>
  <c r="V195" i="8"/>
  <c r="V196" i="8"/>
  <c r="V197" i="8"/>
  <c r="V198" i="8"/>
  <c r="V199" i="8"/>
  <c r="V200" i="8"/>
  <c r="V201" i="8"/>
  <c r="V202" i="8"/>
  <c r="V203" i="8"/>
  <c r="V204" i="8"/>
  <c r="V205" i="8"/>
  <c r="V206" i="8"/>
  <c r="V207" i="8"/>
  <c r="V208" i="8"/>
  <c r="V209" i="8"/>
  <c r="V210" i="8"/>
  <c r="V211" i="8"/>
  <c r="V212" i="8"/>
  <c r="V213" i="8"/>
  <c r="V214" i="8"/>
  <c r="V215" i="8"/>
  <c r="V216" i="8"/>
  <c r="V217" i="8"/>
  <c r="V218" i="8"/>
  <c r="V219" i="8"/>
  <c r="V220" i="8"/>
  <c r="V221" i="8"/>
  <c r="V222" i="8"/>
  <c r="V223" i="8"/>
  <c r="V224" i="8"/>
  <c r="V225" i="8"/>
  <c r="V226" i="8"/>
  <c r="V227" i="8"/>
  <c r="V228" i="8"/>
  <c r="V229" i="8"/>
  <c r="V230" i="8"/>
  <c r="V231" i="8"/>
  <c r="V232" i="8"/>
  <c r="V233" i="8"/>
  <c r="V234" i="8"/>
  <c r="V235" i="8"/>
  <c r="V236" i="8"/>
  <c r="V237" i="8"/>
  <c r="V238" i="8"/>
  <c r="V239" i="8"/>
  <c r="V240" i="8"/>
  <c r="V241" i="8"/>
  <c r="V242" i="8"/>
  <c r="V243" i="8"/>
  <c r="V244" i="8"/>
  <c r="V245" i="8"/>
  <c r="V246" i="8"/>
  <c r="V247" i="8"/>
  <c r="V248" i="8"/>
  <c r="V249" i="8"/>
  <c r="V250" i="8"/>
  <c r="V251" i="8"/>
  <c r="V252" i="8"/>
  <c r="V253" i="8"/>
  <c r="V254" i="8"/>
  <c r="V255" i="8"/>
  <c r="V256" i="8"/>
  <c r="V257" i="8"/>
  <c r="V258" i="8"/>
  <c r="V259" i="8"/>
  <c r="V260" i="8"/>
  <c r="V261" i="8"/>
  <c r="V262" i="8"/>
  <c r="V263" i="8"/>
  <c r="V264" i="8"/>
  <c r="V265" i="8"/>
  <c r="V266" i="8"/>
  <c r="V267" i="8"/>
  <c r="V268" i="8"/>
  <c r="V269" i="8"/>
  <c r="V270" i="8"/>
  <c r="V271" i="8"/>
  <c r="V272" i="8"/>
  <c r="V273" i="8"/>
  <c r="V274" i="8"/>
  <c r="V275" i="8"/>
  <c r="V276" i="8"/>
  <c r="V277" i="8"/>
  <c r="V278" i="8"/>
  <c r="V279" i="8"/>
  <c r="V280" i="8"/>
  <c r="V281" i="8"/>
  <c r="V282" i="8"/>
  <c r="V283" i="8"/>
  <c r="V284" i="8"/>
  <c r="V285" i="8"/>
  <c r="V286" i="8"/>
  <c r="V287" i="8"/>
  <c r="V288" i="8"/>
  <c r="V289" i="8"/>
  <c r="V290" i="8"/>
  <c r="V291" i="8"/>
  <c r="V292" i="8"/>
  <c r="V293" i="8"/>
  <c r="V294" i="8"/>
  <c r="V295" i="8"/>
  <c r="V296" i="8"/>
  <c r="V297" i="8"/>
  <c r="V298" i="8"/>
  <c r="V299" i="8"/>
  <c r="V300" i="8"/>
  <c r="V301" i="8"/>
  <c r="V302" i="8"/>
  <c r="V303" i="8"/>
  <c r="V304" i="8"/>
  <c r="V305" i="8"/>
  <c r="V306" i="8"/>
  <c r="V307" i="8"/>
  <c r="V308" i="8"/>
  <c r="V309" i="8"/>
  <c r="V310" i="8"/>
  <c r="V311" i="8"/>
  <c r="V312" i="8"/>
  <c r="V313" i="8"/>
  <c r="V314" i="8"/>
  <c r="V315" i="8"/>
  <c r="V316" i="8"/>
  <c r="V317" i="8"/>
  <c r="V318" i="8"/>
  <c r="V319" i="8"/>
  <c r="V320" i="8"/>
  <c r="V321" i="8"/>
  <c r="V322" i="8"/>
  <c r="V323" i="8"/>
  <c r="V324" i="8"/>
  <c r="V325" i="8"/>
  <c r="V326" i="8"/>
  <c r="V327" i="8"/>
  <c r="V328" i="8"/>
  <c r="V329" i="8"/>
  <c r="V330" i="8"/>
  <c r="V331" i="8"/>
  <c r="V332" i="8"/>
  <c r="V333" i="8"/>
  <c r="V334" i="8"/>
  <c r="V335" i="8"/>
  <c r="V336" i="8"/>
  <c r="V337" i="8"/>
  <c r="V338" i="8"/>
  <c r="V339" i="8"/>
  <c r="V340" i="8"/>
  <c r="V341" i="8"/>
  <c r="V342" i="8"/>
  <c r="V343" i="8"/>
  <c r="V344" i="8"/>
  <c r="V345" i="8"/>
  <c r="V346" i="8"/>
  <c r="V347" i="8"/>
  <c r="V348" i="8"/>
  <c r="V349" i="8"/>
  <c r="V350" i="8"/>
  <c r="V351" i="8"/>
  <c r="V352" i="8"/>
  <c r="V353" i="8"/>
  <c r="V354" i="8"/>
  <c r="V355" i="8"/>
  <c r="V356" i="8"/>
  <c r="V357" i="8"/>
  <c r="V358" i="8"/>
  <c r="V359" i="8"/>
  <c r="V360" i="8"/>
  <c r="V361" i="8"/>
  <c r="V362" i="8"/>
  <c r="V363" i="8"/>
  <c r="V364" i="8"/>
  <c r="V365" i="8"/>
  <c r="V366" i="8"/>
  <c r="V367" i="8"/>
  <c r="V368" i="8"/>
  <c r="V369" i="8"/>
  <c r="V370" i="8"/>
  <c r="V371" i="8"/>
  <c r="V372" i="8"/>
  <c r="V373" i="8"/>
  <c r="V374" i="8"/>
  <c r="V375" i="8"/>
  <c r="V376" i="8"/>
  <c r="V377" i="8"/>
  <c r="V378" i="8"/>
  <c r="V379" i="8"/>
  <c r="V380" i="8"/>
  <c r="V381" i="8"/>
  <c r="V382" i="8"/>
  <c r="V383" i="8"/>
  <c r="W176" i="8"/>
  <c r="W177" i="8" s="1"/>
  <c r="W178" i="8" s="1"/>
  <c r="W179" i="8" s="1"/>
  <c r="W180" i="8" s="1"/>
  <c r="W181" i="8" s="1"/>
  <c r="W182" i="8" s="1"/>
  <c r="W183" i="8" s="1"/>
  <c r="W184" i="8" s="1"/>
  <c r="W185" i="8" s="1"/>
  <c r="W186" i="8" s="1"/>
  <c r="W187" i="8" s="1"/>
  <c r="W188" i="8" s="1"/>
  <c r="W189" i="8" s="1"/>
  <c r="W190" i="8" s="1"/>
  <c r="W191" i="8" s="1"/>
  <c r="W192" i="8" s="1"/>
  <c r="W193" i="8" s="1"/>
  <c r="W194" i="8" s="1"/>
  <c r="W195" i="8" s="1"/>
  <c r="W196" i="8" s="1"/>
  <c r="W197" i="8" s="1"/>
  <c r="W198" i="8" s="1"/>
  <c r="W199" i="8" s="1"/>
  <c r="W200" i="8" s="1"/>
  <c r="W201" i="8" s="1"/>
  <c r="W202" i="8" s="1"/>
  <c r="W203" i="8"/>
  <c r="W204" i="8" s="1"/>
  <c r="W205" i="8" s="1"/>
  <c r="W206" i="8" s="1"/>
  <c r="W207" i="8" s="1"/>
  <c r="W208" i="8" s="1"/>
  <c r="W209" i="8" s="1"/>
  <c r="W210" i="8" s="1"/>
  <c r="W211" i="8" s="1"/>
  <c r="W212" i="8" s="1"/>
  <c r="W213" i="8" s="1"/>
  <c r="W214" i="8" s="1"/>
  <c r="W215" i="8" s="1"/>
  <c r="W216" i="8" s="1"/>
  <c r="W217" i="8" s="1"/>
  <c r="W218" i="8" s="1"/>
  <c r="W219" i="8" s="1"/>
  <c r="W220" i="8" s="1"/>
  <c r="W221" i="8" s="1"/>
  <c r="W222" i="8" s="1"/>
  <c r="W223" i="8" s="1"/>
  <c r="W224" i="8" s="1"/>
  <c r="W225" i="8" s="1"/>
  <c r="W226" i="8" s="1"/>
  <c r="W227" i="8" s="1"/>
  <c r="W228" i="8" s="1"/>
  <c r="W229" i="8" s="1"/>
  <c r="W230" i="8" s="1"/>
  <c r="W231" i="8" s="1"/>
  <c r="W232" i="8" s="1"/>
  <c r="W233" i="8" s="1"/>
  <c r="W234" i="8" s="1"/>
  <c r="W235" i="8" s="1"/>
  <c r="W236" i="8" s="1"/>
  <c r="W237" i="8" s="1"/>
  <c r="W238" i="8" s="1"/>
  <c r="W239" i="8" s="1"/>
  <c r="W240" i="8" s="1"/>
  <c r="W241" i="8" s="1"/>
  <c r="W242" i="8" s="1"/>
  <c r="W243" i="8" s="1"/>
  <c r="W244" i="8" s="1"/>
  <c r="W245" i="8" s="1"/>
  <c r="W246" i="8" s="1"/>
  <c r="W247" i="8" s="1"/>
  <c r="W248" i="8" s="1"/>
  <c r="W249" i="8" s="1"/>
  <c r="W250" i="8" s="1"/>
  <c r="W251" i="8" s="1"/>
  <c r="W252" i="8" s="1"/>
  <c r="W253" i="8" s="1"/>
  <c r="W254" i="8" s="1"/>
  <c r="W255" i="8" s="1"/>
  <c r="W256" i="8" s="1"/>
  <c r="W257" i="8" s="1"/>
  <c r="W258" i="8" s="1"/>
  <c r="W259" i="8" s="1"/>
  <c r="W260" i="8" s="1"/>
  <c r="W261" i="8" s="1"/>
  <c r="W262" i="8" s="1"/>
  <c r="W263" i="8" s="1"/>
  <c r="W264" i="8" s="1"/>
  <c r="W265" i="8" s="1"/>
  <c r="W266" i="8" s="1"/>
  <c r="W267" i="8" s="1"/>
  <c r="W268" i="8" s="1"/>
  <c r="W269" i="8" s="1"/>
  <c r="W270" i="8" s="1"/>
  <c r="W271" i="8" s="1"/>
  <c r="W272" i="8" s="1"/>
  <c r="W273" i="8" s="1"/>
  <c r="W274" i="8" s="1"/>
  <c r="W275" i="8" s="1"/>
  <c r="W276" i="8"/>
  <c r="W277" i="8" s="1"/>
  <c r="W278" i="8" s="1"/>
  <c r="W279" i="8" s="1"/>
  <c r="W280" i="8" s="1"/>
  <c r="W281" i="8" s="1"/>
  <c r="W282" i="8" s="1"/>
  <c r="W283" i="8" s="1"/>
  <c r="W284" i="8" s="1"/>
  <c r="W285" i="8" s="1"/>
  <c r="W286" i="8" s="1"/>
  <c r="W287" i="8" s="1"/>
  <c r="W288" i="8"/>
  <c r="W289" i="8" s="1"/>
  <c r="W290" i="8" s="1"/>
  <c r="W291" i="8" s="1"/>
  <c r="W292" i="8" s="1"/>
  <c r="W293" i="8" s="1"/>
  <c r="W294" i="8" s="1"/>
  <c r="W295" i="8" s="1"/>
  <c r="W296" i="8" s="1"/>
  <c r="W297" i="8" s="1"/>
  <c r="W298" i="8" s="1"/>
  <c r="W299" i="8" s="1"/>
  <c r="W300" i="8" s="1"/>
  <c r="W301" i="8" s="1"/>
  <c r="W302" i="8" s="1"/>
  <c r="W303" i="8" s="1"/>
  <c r="W304" i="8" s="1"/>
  <c r="W305" i="8" s="1"/>
  <c r="W306" i="8" s="1"/>
  <c r="W307" i="8" s="1"/>
  <c r="W308" i="8" s="1"/>
  <c r="W309" i="8" s="1"/>
  <c r="W310" i="8" s="1"/>
  <c r="W311" i="8" s="1"/>
  <c r="W312" i="8" s="1"/>
  <c r="W313" i="8" s="1"/>
  <c r="W314" i="8" s="1"/>
  <c r="W315" i="8" s="1"/>
  <c r="W316" i="8" s="1"/>
  <c r="W317" i="8" s="1"/>
  <c r="W318" i="8" s="1"/>
  <c r="W319" i="8" s="1"/>
  <c r="W320" i="8" s="1"/>
  <c r="W321" i="8" s="1"/>
  <c r="W322" i="8" s="1"/>
  <c r="W323" i="8" s="1"/>
  <c r="W324" i="8" s="1"/>
  <c r="W325" i="8"/>
  <c r="W326" i="8" s="1"/>
  <c r="W327" i="8" s="1"/>
  <c r="W328" i="8"/>
  <c r="W329" i="8" s="1"/>
  <c r="W330" i="8" s="1"/>
  <c r="W331" i="8" s="1"/>
  <c r="W332" i="8" s="1"/>
  <c r="W333" i="8"/>
  <c r="W334" i="8" s="1"/>
  <c r="W335" i="8" s="1"/>
  <c r="W336" i="8" s="1"/>
  <c r="W337" i="8" s="1"/>
  <c r="W338" i="8"/>
  <c r="W339" i="8" s="1"/>
  <c r="W340" i="8" s="1"/>
  <c r="W341" i="8" s="1"/>
  <c r="W342" i="8" s="1"/>
  <c r="W343" i="8" s="1"/>
  <c r="W344" i="8" s="1"/>
  <c r="W345" i="8" s="1"/>
  <c r="W346" i="8" s="1"/>
  <c r="W347" i="8" s="1"/>
  <c r="W348" i="8" s="1"/>
  <c r="W349" i="8" s="1"/>
  <c r="W350" i="8" s="1"/>
  <c r="W351" i="8"/>
  <c r="W352" i="8" s="1"/>
  <c r="W353" i="8" s="1"/>
  <c r="W354" i="8" s="1"/>
  <c r="W355" i="8" s="1"/>
  <c r="W356" i="8" s="1"/>
  <c r="W357" i="8" s="1"/>
  <c r="W358" i="8" s="1"/>
  <c r="W359" i="8" s="1"/>
  <c r="W360" i="8" s="1"/>
  <c r="W361" i="8" s="1"/>
  <c r="W362" i="8" s="1"/>
  <c r="W363" i="8" s="1"/>
  <c r="W364" i="8"/>
  <c r="W365" i="8" s="1"/>
  <c r="W366" i="8" s="1"/>
  <c r="W367" i="8" s="1"/>
  <c r="W368" i="8" s="1"/>
  <c r="W369" i="8" s="1"/>
  <c r="W370" i="8" s="1"/>
  <c r="W371" i="8" s="1"/>
  <c r="W372" i="8" s="1"/>
  <c r="W373" i="8" s="1"/>
  <c r="W374" i="8" s="1"/>
  <c r="W375" i="8" s="1"/>
  <c r="W376" i="8" s="1"/>
  <c r="W377" i="8"/>
  <c r="W378" i="8" s="1"/>
  <c r="W379" i="8" s="1"/>
  <c r="W380" i="8" s="1"/>
  <c r="W381" i="8" s="1"/>
  <c r="W382" i="8" s="1"/>
  <c r="W383" i="8" s="1"/>
  <c r="T2" i="9"/>
  <c r="AC2" i="9"/>
  <c r="Q2" i="9"/>
  <c r="S2" i="9" s="1"/>
  <c r="T3" i="8"/>
  <c r="T4" i="8"/>
  <c r="T5" i="8"/>
  <c r="T6" i="8"/>
  <c r="T8" i="8"/>
  <c r="T9" i="8"/>
  <c r="T10" i="8"/>
  <c r="T11" i="8"/>
  <c r="T12" i="8"/>
  <c r="T13" i="8"/>
  <c r="T14" i="8"/>
  <c r="T17" i="8"/>
  <c r="T18" i="8"/>
  <c r="T19" i="8"/>
  <c r="T20" i="8"/>
  <c r="T21" i="8"/>
  <c r="T23" i="8"/>
  <c r="T24" i="8"/>
  <c r="T25" i="8"/>
  <c r="T26" i="8"/>
  <c r="T27" i="8"/>
  <c r="T28" i="8"/>
  <c r="T29" i="8"/>
  <c r="T31" i="8"/>
  <c r="T32" i="8"/>
  <c r="T33" i="8"/>
  <c r="T34" i="8"/>
  <c r="T35" i="8"/>
  <c r="T36" i="8"/>
  <c r="T37" i="8"/>
  <c r="T39" i="8"/>
  <c r="T40" i="8"/>
  <c r="T41" i="8"/>
  <c r="T42" i="8"/>
  <c r="T43" i="8"/>
  <c r="T44" i="8"/>
  <c r="T46" i="8"/>
  <c r="T47" i="8"/>
  <c r="T48" i="8"/>
  <c r="T49" i="8"/>
  <c r="T50" i="8"/>
  <c r="T51" i="8"/>
  <c r="T52" i="8"/>
  <c r="T53" i="8"/>
  <c r="T55" i="8"/>
  <c r="T56" i="8"/>
  <c r="T57" i="8"/>
  <c r="T58" i="8"/>
  <c r="T59" i="8"/>
  <c r="T60" i="8"/>
  <c r="T61" i="8"/>
  <c r="T63" i="8"/>
  <c r="T64" i="8"/>
  <c r="T65" i="8"/>
  <c r="T66" i="8"/>
  <c r="T67" i="8"/>
  <c r="T68" i="8"/>
  <c r="T69" i="8"/>
  <c r="T70" i="8"/>
  <c r="T71" i="8"/>
  <c r="T72" i="8"/>
  <c r="T73" i="8"/>
  <c r="T74" i="8"/>
  <c r="T75" i="8"/>
  <c r="T76" i="8"/>
  <c r="T78" i="8"/>
  <c r="T79" i="8"/>
  <c r="T80" i="8"/>
  <c r="T81" i="8"/>
  <c r="T82" i="8"/>
  <c r="T83" i="8"/>
  <c r="T84" i="8"/>
  <c r="T85" i="8"/>
  <c r="T86" i="8"/>
  <c r="T87" i="8"/>
  <c r="T88" i="8"/>
  <c r="T89" i="8"/>
  <c r="T90" i="8"/>
  <c r="T91" i="8"/>
  <c r="T92" i="8"/>
  <c r="T94" i="8"/>
  <c r="T95" i="8"/>
  <c r="T96" i="8"/>
  <c r="T97" i="8"/>
  <c r="T98" i="8"/>
  <c r="T99" i="8"/>
  <c r="T100" i="8"/>
  <c r="T101" i="8"/>
  <c r="T102" i="8"/>
  <c r="T103" i="8"/>
  <c r="T104" i="8"/>
  <c r="T105" i="8"/>
  <c r="T106" i="8"/>
  <c r="T108" i="8"/>
  <c r="T109" i="8"/>
  <c r="T110" i="8"/>
  <c r="T111" i="8"/>
  <c r="T112" i="8"/>
  <c r="T113" i="8"/>
  <c r="T114" i="8"/>
  <c r="T115" i="8"/>
  <c r="T116" i="8"/>
  <c r="T117" i="8"/>
  <c r="T118" i="8"/>
  <c r="T119" i="8"/>
  <c r="T120" i="8"/>
  <c r="T121" i="8"/>
  <c r="T123" i="8"/>
  <c r="T124" i="8"/>
  <c r="T125" i="8"/>
  <c r="T126" i="8"/>
  <c r="T127" i="8"/>
  <c r="T128" i="8"/>
  <c r="T129" i="8"/>
  <c r="T130" i="8"/>
  <c r="T131" i="8"/>
  <c r="T132" i="8"/>
  <c r="T133" i="8"/>
  <c r="T134" i="8"/>
  <c r="T135" i="8"/>
  <c r="T136" i="8"/>
  <c r="T137" i="8"/>
  <c r="T138" i="8"/>
  <c r="T140" i="8"/>
  <c r="T141" i="8"/>
  <c r="T143" i="8"/>
  <c r="T144" i="8"/>
  <c r="T145" i="8"/>
  <c r="T146" i="8"/>
  <c r="T147" i="8"/>
  <c r="T148" i="8"/>
  <c r="T150" i="8"/>
  <c r="T151" i="8"/>
  <c r="T152" i="8"/>
  <c r="T153" i="8"/>
  <c r="T154" i="8"/>
  <c r="T155" i="8"/>
  <c r="T156" i="8"/>
  <c r="T157" i="8"/>
  <c r="T158" i="8"/>
  <c r="T159" i="8"/>
  <c r="T161" i="8"/>
  <c r="T162" i="8"/>
  <c r="T163" i="8"/>
  <c r="T164" i="8"/>
  <c r="T165" i="8"/>
  <c r="T166" i="8"/>
  <c r="T167" i="8"/>
  <c r="T168" i="8"/>
  <c r="T169" i="8"/>
  <c r="T170" i="8"/>
  <c r="T171" i="8"/>
  <c r="T172" i="8"/>
  <c r="T173" i="8"/>
  <c r="T174" i="8"/>
  <c r="S3" i="8"/>
  <c r="S4" i="8"/>
  <c r="S5" i="8"/>
  <c r="S6" i="8"/>
  <c r="S8" i="8"/>
  <c r="S9" i="8"/>
  <c r="S10" i="8"/>
  <c r="S11" i="8"/>
  <c r="S12" i="8"/>
  <c r="S13" i="8"/>
  <c r="S14" i="8"/>
  <c r="S17" i="8"/>
  <c r="S18" i="8"/>
  <c r="S19" i="8"/>
  <c r="S20" i="8"/>
  <c r="S21" i="8"/>
  <c r="S23" i="8"/>
  <c r="S24" i="8"/>
  <c r="S25" i="8"/>
  <c r="S26" i="8"/>
  <c r="S27" i="8"/>
  <c r="S28" i="8"/>
  <c r="S29" i="8"/>
  <c r="S31" i="8"/>
  <c r="S32" i="8"/>
  <c r="S33" i="8"/>
  <c r="S34" i="8"/>
  <c r="S35" i="8"/>
  <c r="S36" i="8"/>
  <c r="S37" i="8"/>
  <c r="S39" i="8"/>
  <c r="S40" i="8"/>
  <c r="S41" i="8"/>
  <c r="S42" i="8"/>
  <c r="S43" i="8"/>
  <c r="S44" i="8"/>
  <c r="S46" i="8"/>
  <c r="S47" i="8"/>
  <c r="S48" i="8"/>
  <c r="S49" i="8"/>
  <c r="S50" i="8"/>
  <c r="S51" i="8"/>
  <c r="S52" i="8"/>
  <c r="S53" i="8"/>
  <c r="S55" i="8"/>
  <c r="S56" i="8"/>
  <c r="S57" i="8"/>
  <c r="S58" i="8"/>
  <c r="S59" i="8"/>
  <c r="S60" i="8"/>
  <c r="S61" i="8"/>
  <c r="S63" i="8"/>
  <c r="S64" i="8"/>
  <c r="S65" i="8"/>
  <c r="S66" i="8"/>
  <c r="S67" i="8"/>
  <c r="S68" i="8"/>
  <c r="S69" i="8"/>
  <c r="S70" i="8"/>
  <c r="S71" i="8"/>
  <c r="S72" i="8"/>
  <c r="S73" i="8"/>
  <c r="S74" i="8"/>
  <c r="S75" i="8"/>
  <c r="S76" i="8"/>
  <c r="S78" i="8"/>
  <c r="S79" i="8"/>
  <c r="S80" i="8"/>
  <c r="S81" i="8"/>
  <c r="S82" i="8"/>
  <c r="S83" i="8"/>
  <c r="S84" i="8"/>
  <c r="S85" i="8"/>
  <c r="S86" i="8"/>
  <c r="S87" i="8"/>
  <c r="S88" i="8"/>
  <c r="S89" i="8"/>
  <c r="S90" i="8"/>
  <c r="S91" i="8"/>
  <c r="S92" i="8"/>
  <c r="S94" i="8"/>
  <c r="S95" i="8"/>
  <c r="S96" i="8"/>
  <c r="S97" i="8"/>
  <c r="S98" i="8"/>
  <c r="S99" i="8"/>
  <c r="S100" i="8"/>
  <c r="S101" i="8"/>
  <c r="S102" i="8"/>
  <c r="S103" i="8"/>
  <c r="S104" i="8"/>
  <c r="S105" i="8"/>
  <c r="S106" i="8"/>
  <c r="S108" i="8"/>
  <c r="S109" i="8"/>
  <c r="S110" i="8"/>
  <c r="S111" i="8"/>
  <c r="S112" i="8"/>
  <c r="S113" i="8"/>
  <c r="S114" i="8"/>
  <c r="S115" i="8"/>
  <c r="S116" i="8"/>
  <c r="S117" i="8"/>
  <c r="S118" i="8"/>
  <c r="S119" i="8"/>
  <c r="S120" i="8"/>
  <c r="S121" i="8"/>
  <c r="S123" i="8"/>
  <c r="S124" i="8"/>
  <c r="S125" i="8"/>
  <c r="S126" i="8"/>
  <c r="S127" i="8"/>
  <c r="S128" i="8"/>
  <c r="S129" i="8"/>
  <c r="S130" i="8"/>
  <c r="S131" i="8"/>
  <c r="S132" i="8"/>
  <c r="S133" i="8"/>
  <c r="S134" i="8"/>
  <c r="S135" i="8"/>
  <c r="S136" i="8"/>
  <c r="S137" i="8"/>
  <c r="S138" i="8"/>
  <c r="S140" i="8"/>
  <c r="S141" i="8"/>
  <c r="S143" i="8"/>
  <c r="S144" i="8"/>
  <c r="S145" i="8"/>
  <c r="S146" i="8"/>
  <c r="S147" i="8"/>
  <c r="S148" i="8"/>
  <c r="S150" i="8"/>
  <c r="S151" i="8"/>
  <c r="S152" i="8"/>
  <c r="S153" i="8"/>
  <c r="S154" i="8"/>
  <c r="S155" i="8"/>
  <c r="S156" i="8"/>
  <c r="S157" i="8"/>
  <c r="S158" i="8"/>
  <c r="S159" i="8"/>
  <c r="S161" i="8"/>
  <c r="S162" i="8"/>
  <c r="S163" i="8"/>
  <c r="S164" i="8"/>
  <c r="S165" i="8"/>
  <c r="S166" i="8"/>
  <c r="S167" i="8"/>
  <c r="S168" i="8"/>
  <c r="S169" i="8"/>
  <c r="S170" i="8"/>
  <c r="S171" i="8"/>
  <c r="S172" i="8"/>
  <c r="S173" i="8"/>
  <c r="S174" i="8"/>
  <c r="R3" i="8"/>
  <c r="R4" i="8"/>
  <c r="R5" i="8"/>
  <c r="R6" i="8"/>
  <c r="R8" i="8"/>
  <c r="R9" i="8"/>
  <c r="R10" i="8"/>
  <c r="R11" i="8"/>
  <c r="R12" i="8"/>
  <c r="R13" i="8"/>
  <c r="R14" i="8"/>
  <c r="R17" i="8"/>
  <c r="R18" i="8"/>
  <c r="R19" i="8"/>
  <c r="R20" i="8"/>
  <c r="R21" i="8"/>
  <c r="R23" i="8"/>
  <c r="R24" i="8"/>
  <c r="R25" i="8"/>
  <c r="R26" i="8"/>
  <c r="R27" i="8"/>
  <c r="R28" i="8"/>
  <c r="R29" i="8"/>
  <c r="R31" i="8"/>
  <c r="R32" i="8"/>
  <c r="R33" i="8"/>
  <c r="R34" i="8"/>
  <c r="R35" i="8"/>
  <c r="R36" i="8"/>
  <c r="R37" i="8"/>
  <c r="R39" i="8"/>
  <c r="R40" i="8"/>
  <c r="R41" i="8"/>
  <c r="R42" i="8"/>
  <c r="R43" i="8"/>
  <c r="R44" i="8"/>
  <c r="R46" i="8"/>
  <c r="R47" i="8"/>
  <c r="R48" i="8"/>
  <c r="R49" i="8"/>
  <c r="R50" i="8"/>
  <c r="R51" i="8"/>
  <c r="R52" i="8"/>
  <c r="R53" i="8"/>
  <c r="R55" i="8"/>
  <c r="R56" i="8"/>
  <c r="R57" i="8"/>
  <c r="R58" i="8"/>
  <c r="R59" i="8"/>
  <c r="R60" i="8"/>
  <c r="R61" i="8"/>
  <c r="R63" i="8"/>
  <c r="R64" i="8"/>
  <c r="R65" i="8"/>
  <c r="R66" i="8"/>
  <c r="R67" i="8"/>
  <c r="R68" i="8"/>
  <c r="R69" i="8"/>
  <c r="R70" i="8"/>
  <c r="R71" i="8"/>
  <c r="R72" i="8"/>
  <c r="R73" i="8"/>
  <c r="R74" i="8"/>
  <c r="R75" i="8"/>
  <c r="R76" i="8"/>
  <c r="R78" i="8"/>
  <c r="R79" i="8"/>
  <c r="R80" i="8"/>
  <c r="R81" i="8"/>
  <c r="R82" i="8"/>
  <c r="R83" i="8"/>
  <c r="R84" i="8"/>
  <c r="R85" i="8"/>
  <c r="R86" i="8"/>
  <c r="R87" i="8"/>
  <c r="R88" i="8"/>
  <c r="R89" i="8"/>
  <c r="R90" i="8"/>
  <c r="R91" i="8"/>
  <c r="R92" i="8"/>
  <c r="R94" i="8"/>
  <c r="R95" i="8"/>
  <c r="R96" i="8"/>
  <c r="R97" i="8"/>
  <c r="R98" i="8"/>
  <c r="R99" i="8"/>
  <c r="R100" i="8"/>
  <c r="R101" i="8"/>
  <c r="R102" i="8"/>
  <c r="R103" i="8"/>
  <c r="R104" i="8"/>
  <c r="R105" i="8"/>
  <c r="R106" i="8"/>
  <c r="R108" i="8"/>
  <c r="R109" i="8"/>
  <c r="R110" i="8"/>
  <c r="R111" i="8"/>
  <c r="R112" i="8"/>
  <c r="R113" i="8"/>
  <c r="R114" i="8"/>
  <c r="R115" i="8"/>
  <c r="R116" i="8"/>
  <c r="R117" i="8"/>
  <c r="R118" i="8"/>
  <c r="R119" i="8"/>
  <c r="R120" i="8"/>
  <c r="R121" i="8"/>
  <c r="R123" i="8"/>
  <c r="R124" i="8"/>
  <c r="R125" i="8"/>
  <c r="R126" i="8"/>
  <c r="R127" i="8"/>
  <c r="R128" i="8"/>
  <c r="R129" i="8"/>
  <c r="R130" i="8"/>
  <c r="R131" i="8"/>
  <c r="R132" i="8"/>
  <c r="R133" i="8"/>
  <c r="R134" i="8"/>
  <c r="R135" i="8"/>
  <c r="R136" i="8"/>
  <c r="R137" i="8"/>
  <c r="R138" i="8"/>
  <c r="R140" i="8"/>
  <c r="R141" i="8"/>
  <c r="R143" i="8"/>
  <c r="R144" i="8"/>
  <c r="R145" i="8"/>
  <c r="R146" i="8"/>
  <c r="R147" i="8"/>
  <c r="R148" i="8"/>
  <c r="R150" i="8"/>
  <c r="R151" i="8"/>
  <c r="R152" i="8"/>
  <c r="R153" i="8"/>
  <c r="R154" i="8"/>
  <c r="R155" i="8"/>
  <c r="R156" i="8"/>
  <c r="R157" i="8"/>
  <c r="R158" i="8"/>
  <c r="R159" i="8"/>
  <c r="R161" i="8"/>
  <c r="R162" i="8"/>
  <c r="R163" i="8"/>
  <c r="R164" i="8"/>
  <c r="R165" i="8"/>
  <c r="R166" i="8"/>
  <c r="R167" i="8"/>
  <c r="R168" i="8"/>
  <c r="R169" i="8"/>
  <c r="R170" i="8"/>
  <c r="R171" i="8"/>
  <c r="R172" i="8"/>
  <c r="R173" i="8"/>
  <c r="R174" i="8"/>
  <c r="M2" i="8"/>
  <c r="N2" i="8" s="1"/>
  <c r="M107" i="8"/>
  <c r="M108" i="8" s="1"/>
  <c r="Q2844" i="9" l="1"/>
  <c r="R2843" i="9"/>
  <c r="S2843" i="9"/>
  <c r="Q2731" i="9"/>
  <c r="R2730" i="9"/>
  <c r="S2730" i="9"/>
  <c r="Q1690" i="9"/>
  <c r="R1689" i="9"/>
  <c r="S1689" i="9"/>
  <c r="S281" i="9"/>
  <c r="Q282" i="9"/>
  <c r="R281" i="9"/>
  <c r="Q1465" i="9"/>
  <c r="R2387" i="9"/>
  <c r="Q2388" i="9"/>
  <c r="S2387" i="9"/>
  <c r="Q91" i="9"/>
  <c r="R90" i="9"/>
  <c r="S90" i="9"/>
  <c r="Q668" i="9"/>
  <c r="S667" i="9"/>
  <c r="R667" i="9"/>
  <c r="Q390" i="9"/>
  <c r="R389" i="9"/>
  <c r="S389" i="9"/>
  <c r="I50" i="12"/>
  <c r="R2" i="9"/>
  <c r="L21" i="10"/>
  <c r="L21" i="1"/>
  <c r="L19" i="10"/>
  <c r="L19" i="1"/>
  <c r="O176" i="8"/>
  <c r="L20" i="10"/>
  <c r="L18" i="10"/>
  <c r="L17" i="10"/>
  <c r="L16" i="10"/>
  <c r="L23" i="10"/>
  <c r="L22" i="10"/>
  <c r="L23" i="1"/>
  <c r="L22" i="1"/>
  <c r="L20" i="1"/>
  <c r="L18" i="1"/>
  <c r="L17" i="1"/>
  <c r="L16" i="1"/>
  <c r="Q3" i="9"/>
  <c r="Q4" i="9" s="1"/>
  <c r="Q5" i="9" s="1"/>
  <c r="O277" i="8"/>
  <c r="M334" i="8"/>
  <c r="N334" i="8" s="1"/>
  <c r="O364" i="8"/>
  <c r="N333" i="8"/>
  <c r="O278" i="8"/>
  <c r="N278" i="8"/>
  <c r="O276" i="8"/>
  <c r="N276" i="8"/>
  <c r="M281" i="8"/>
  <c r="M282" i="8" s="1"/>
  <c r="N282" i="8" s="1"/>
  <c r="N280" i="8"/>
  <c r="O325" i="8"/>
  <c r="O204" i="8"/>
  <c r="N203" i="8"/>
  <c r="O328" i="8"/>
  <c r="O178" i="8"/>
  <c r="N279" i="8"/>
  <c r="M378" i="8"/>
  <c r="O378" i="8" s="1"/>
  <c r="M326" i="8"/>
  <c r="M327" i="8" s="1"/>
  <c r="M179" i="8"/>
  <c r="O179" i="8" s="1"/>
  <c r="O280" i="8"/>
  <c r="N377" i="8"/>
  <c r="N328" i="8"/>
  <c r="N288" i="8"/>
  <c r="O288" i="8"/>
  <c r="O279" i="8"/>
  <c r="N365" i="8"/>
  <c r="N277" i="8"/>
  <c r="N177" i="8"/>
  <c r="M330" i="8"/>
  <c r="O330" i="8" s="1"/>
  <c r="M291" i="8"/>
  <c r="M292" i="8" s="1"/>
  <c r="N329" i="8"/>
  <c r="N289" i="8"/>
  <c r="M353" i="8"/>
  <c r="N352" i="8"/>
  <c r="O352" i="8"/>
  <c r="N206" i="8"/>
  <c r="O290" i="8"/>
  <c r="O206" i="8"/>
  <c r="N351" i="8"/>
  <c r="N205" i="8"/>
  <c r="O203" i="8"/>
  <c r="O365" i="8"/>
  <c r="O351" i="8"/>
  <c r="O289" i="8"/>
  <c r="O205" i="8"/>
  <c r="O177" i="8"/>
  <c r="N364" i="8"/>
  <c r="N204" i="8"/>
  <c r="N176" i="8"/>
  <c r="M367" i="8"/>
  <c r="N366" i="8"/>
  <c r="O366" i="8"/>
  <c r="M208" i="8"/>
  <c r="N207" i="8"/>
  <c r="M339" i="8"/>
  <c r="N338" i="8"/>
  <c r="M3" i="8"/>
  <c r="M4" i="8" s="1"/>
  <c r="N4" i="8" s="1"/>
  <c r="N107" i="8"/>
  <c r="M109" i="8"/>
  <c r="O109" i="8" s="1"/>
  <c r="N108" i="8"/>
  <c r="U2" i="8"/>
  <c r="U3" i="8"/>
  <c r="U4" i="8"/>
  <c r="U5" i="8"/>
  <c r="U6" i="8"/>
  <c r="U7" i="8"/>
  <c r="U8" i="8"/>
  <c r="U9" i="8"/>
  <c r="U10" i="8"/>
  <c r="U11" i="8"/>
  <c r="U12" i="8"/>
  <c r="U13" i="8"/>
  <c r="U14" i="8"/>
  <c r="U15" i="8"/>
  <c r="U16" i="8"/>
  <c r="U17" i="8"/>
  <c r="U18" i="8"/>
  <c r="U19" i="8"/>
  <c r="U20" i="8"/>
  <c r="U21" i="8"/>
  <c r="U22" i="8"/>
  <c r="U23" i="8"/>
  <c r="U24" i="8"/>
  <c r="U25" i="8"/>
  <c r="U26" i="8"/>
  <c r="U27" i="8"/>
  <c r="U28" i="8"/>
  <c r="U29" i="8"/>
  <c r="U30" i="8"/>
  <c r="U31" i="8"/>
  <c r="U32" i="8"/>
  <c r="U33" i="8"/>
  <c r="U34" i="8"/>
  <c r="U35" i="8"/>
  <c r="U36" i="8"/>
  <c r="U37" i="8"/>
  <c r="U38" i="8"/>
  <c r="U39" i="8"/>
  <c r="U40" i="8"/>
  <c r="U41" i="8"/>
  <c r="U42" i="8"/>
  <c r="U43" i="8"/>
  <c r="U44" i="8"/>
  <c r="U45" i="8"/>
  <c r="U46" i="8"/>
  <c r="U47" i="8"/>
  <c r="U48" i="8"/>
  <c r="U49" i="8"/>
  <c r="U50" i="8"/>
  <c r="U51" i="8"/>
  <c r="U52" i="8"/>
  <c r="U53" i="8"/>
  <c r="U54" i="8"/>
  <c r="U55" i="8"/>
  <c r="U56" i="8"/>
  <c r="U57" i="8"/>
  <c r="U58" i="8"/>
  <c r="U59" i="8"/>
  <c r="U60" i="8"/>
  <c r="U61" i="8"/>
  <c r="U62" i="8"/>
  <c r="U63" i="8"/>
  <c r="U64" i="8"/>
  <c r="U65" i="8"/>
  <c r="U66" i="8"/>
  <c r="U67" i="8"/>
  <c r="U68" i="8"/>
  <c r="U69" i="8"/>
  <c r="U70" i="8"/>
  <c r="U71" i="8"/>
  <c r="U72" i="8"/>
  <c r="U73" i="8"/>
  <c r="U74" i="8"/>
  <c r="U75" i="8"/>
  <c r="U76" i="8"/>
  <c r="U77" i="8"/>
  <c r="U78" i="8"/>
  <c r="U79" i="8"/>
  <c r="U80" i="8"/>
  <c r="U81" i="8"/>
  <c r="U82" i="8"/>
  <c r="U83" i="8"/>
  <c r="U84" i="8"/>
  <c r="U85" i="8"/>
  <c r="U86" i="8"/>
  <c r="U87" i="8"/>
  <c r="U88" i="8"/>
  <c r="U89" i="8"/>
  <c r="U90" i="8"/>
  <c r="U91" i="8"/>
  <c r="U92" i="8"/>
  <c r="U93" i="8"/>
  <c r="U94" i="8"/>
  <c r="U95" i="8"/>
  <c r="U96" i="8"/>
  <c r="U97" i="8"/>
  <c r="U98" i="8"/>
  <c r="U99" i="8"/>
  <c r="U100" i="8"/>
  <c r="U101" i="8"/>
  <c r="U102" i="8"/>
  <c r="U103" i="8"/>
  <c r="U104" i="8"/>
  <c r="U105" i="8"/>
  <c r="U106" i="8"/>
  <c r="U107" i="8"/>
  <c r="U108" i="8"/>
  <c r="U109" i="8"/>
  <c r="U110" i="8"/>
  <c r="U111" i="8"/>
  <c r="U112" i="8"/>
  <c r="U113" i="8"/>
  <c r="U114" i="8"/>
  <c r="U115" i="8"/>
  <c r="U116" i="8"/>
  <c r="U117" i="8"/>
  <c r="U118" i="8"/>
  <c r="U119" i="8"/>
  <c r="U120" i="8"/>
  <c r="U121" i="8"/>
  <c r="U122" i="8"/>
  <c r="U123" i="8"/>
  <c r="U124" i="8"/>
  <c r="U125" i="8"/>
  <c r="U126" i="8"/>
  <c r="U127" i="8"/>
  <c r="U128" i="8"/>
  <c r="U129" i="8"/>
  <c r="U130" i="8"/>
  <c r="U131" i="8"/>
  <c r="U132" i="8"/>
  <c r="U133" i="8"/>
  <c r="U134" i="8"/>
  <c r="U135" i="8"/>
  <c r="U136" i="8"/>
  <c r="U137" i="8"/>
  <c r="U138" i="8"/>
  <c r="U139" i="8"/>
  <c r="U140" i="8"/>
  <c r="U141" i="8"/>
  <c r="U142" i="8"/>
  <c r="U143" i="8"/>
  <c r="U144" i="8"/>
  <c r="U145" i="8"/>
  <c r="U146" i="8"/>
  <c r="U147" i="8"/>
  <c r="U148" i="8"/>
  <c r="U149" i="8"/>
  <c r="U150" i="8"/>
  <c r="U151" i="8"/>
  <c r="U152" i="8"/>
  <c r="U153" i="8"/>
  <c r="U154" i="8"/>
  <c r="U155" i="8"/>
  <c r="U156" i="8"/>
  <c r="U157" i="8"/>
  <c r="U158" i="8"/>
  <c r="U159" i="8"/>
  <c r="U160" i="8"/>
  <c r="U161" i="8"/>
  <c r="U162" i="8"/>
  <c r="U163" i="8"/>
  <c r="U164" i="8"/>
  <c r="U165" i="8"/>
  <c r="U166" i="8"/>
  <c r="U167" i="8"/>
  <c r="U168" i="8"/>
  <c r="U169" i="8"/>
  <c r="U170" i="8"/>
  <c r="U171" i="8"/>
  <c r="U172" i="8"/>
  <c r="U173" i="8"/>
  <c r="U174" i="8"/>
  <c r="A107" i="8"/>
  <c r="O107" i="8"/>
  <c r="O108" i="8"/>
  <c r="P57" i="8"/>
  <c r="P58" i="8"/>
  <c r="P59" i="8"/>
  <c r="P60" i="8"/>
  <c r="P61" i="8"/>
  <c r="P63" i="8"/>
  <c r="P64" i="8"/>
  <c r="P65" i="8"/>
  <c r="P66" i="8"/>
  <c r="P67" i="8"/>
  <c r="P68" i="8"/>
  <c r="P69" i="8"/>
  <c r="P70" i="8"/>
  <c r="P71" i="8"/>
  <c r="P72" i="8"/>
  <c r="P73" i="8"/>
  <c r="P74" i="8"/>
  <c r="P75" i="8"/>
  <c r="P76" i="8"/>
  <c r="P78" i="8"/>
  <c r="P79" i="8"/>
  <c r="P80" i="8"/>
  <c r="P81" i="8"/>
  <c r="P82" i="8"/>
  <c r="P83" i="8"/>
  <c r="P84" i="8"/>
  <c r="P85" i="8"/>
  <c r="P86" i="8"/>
  <c r="P87" i="8"/>
  <c r="P88" i="8"/>
  <c r="P89" i="8"/>
  <c r="P90" i="8"/>
  <c r="P91" i="8"/>
  <c r="P92" i="8"/>
  <c r="P94" i="8"/>
  <c r="P95" i="8"/>
  <c r="P96" i="8"/>
  <c r="P97" i="8"/>
  <c r="P98" i="8"/>
  <c r="P99" i="8"/>
  <c r="P100" i="8"/>
  <c r="P101" i="8"/>
  <c r="P102" i="8"/>
  <c r="P103" i="8"/>
  <c r="P104" i="8"/>
  <c r="P105" i="8"/>
  <c r="P106" i="8"/>
  <c r="P108" i="8"/>
  <c r="P109" i="8"/>
  <c r="P110" i="8"/>
  <c r="P111" i="8"/>
  <c r="P112" i="8"/>
  <c r="P113" i="8"/>
  <c r="P114" i="8"/>
  <c r="P115" i="8"/>
  <c r="P116" i="8"/>
  <c r="P117" i="8"/>
  <c r="P118" i="8"/>
  <c r="P119" i="8"/>
  <c r="P120" i="8"/>
  <c r="P121" i="8"/>
  <c r="P123" i="8"/>
  <c r="P124" i="8"/>
  <c r="P125" i="8"/>
  <c r="P126" i="8"/>
  <c r="P127" i="8"/>
  <c r="P128" i="8"/>
  <c r="P129" i="8"/>
  <c r="P130" i="8"/>
  <c r="P131" i="8"/>
  <c r="P132" i="8"/>
  <c r="P133" i="8"/>
  <c r="P134" i="8"/>
  <c r="P135" i="8"/>
  <c r="P136" i="8"/>
  <c r="P137" i="8"/>
  <c r="P138" i="8"/>
  <c r="P140" i="8"/>
  <c r="P141" i="8"/>
  <c r="P143" i="8"/>
  <c r="P144" i="8"/>
  <c r="P145" i="8"/>
  <c r="P146" i="8"/>
  <c r="P147" i="8"/>
  <c r="P148" i="8"/>
  <c r="P150" i="8"/>
  <c r="P151" i="8"/>
  <c r="P152" i="8"/>
  <c r="P153" i="8"/>
  <c r="P154" i="8"/>
  <c r="P155" i="8"/>
  <c r="P156" i="8"/>
  <c r="P157" i="8"/>
  <c r="P158" i="8"/>
  <c r="P159" i="8"/>
  <c r="P161" i="8"/>
  <c r="P162" i="8"/>
  <c r="P163" i="8"/>
  <c r="P164" i="8"/>
  <c r="P165" i="8"/>
  <c r="P166" i="8"/>
  <c r="P167" i="8"/>
  <c r="P168" i="8"/>
  <c r="P169" i="8"/>
  <c r="P170" i="8"/>
  <c r="P171" i="8"/>
  <c r="P172" i="8"/>
  <c r="P173" i="8"/>
  <c r="P174" i="8"/>
  <c r="Q57" i="8"/>
  <c r="Q58" i="8"/>
  <c r="Q59" i="8"/>
  <c r="Q60" i="8"/>
  <c r="Q61" i="8"/>
  <c r="Q63" i="8"/>
  <c r="Q64" i="8"/>
  <c r="Q65" i="8"/>
  <c r="Q66" i="8"/>
  <c r="Q67" i="8"/>
  <c r="Q68" i="8"/>
  <c r="Q69" i="8"/>
  <c r="Q70" i="8"/>
  <c r="Q71" i="8"/>
  <c r="Q72" i="8"/>
  <c r="Q73" i="8"/>
  <c r="Q74" i="8"/>
  <c r="Q75" i="8"/>
  <c r="Q76" i="8"/>
  <c r="Q78" i="8"/>
  <c r="Q79" i="8"/>
  <c r="Q80" i="8"/>
  <c r="Q81" i="8"/>
  <c r="Q82" i="8"/>
  <c r="Q83" i="8"/>
  <c r="Q84" i="8"/>
  <c r="Q85" i="8"/>
  <c r="Q86" i="8"/>
  <c r="Q87" i="8"/>
  <c r="Q88" i="8"/>
  <c r="Q89" i="8"/>
  <c r="Q90" i="8"/>
  <c r="Q91" i="8"/>
  <c r="Q92" i="8"/>
  <c r="Q94" i="8"/>
  <c r="Q95" i="8"/>
  <c r="Q96" i="8"/>
  <c r="Q97" i="8"/>
  <c r="Q98" i="8"/>
  <c r="Q99" i="8"/>
  <c r="Q100" i="8"/>
  <c r="Q101" i="8"/>
  <c r="Q102" i="8"/>
  <c r="Q103" i="8"/>
  <c r="Q104" i="8"/>
  <c r="Q105" i="8"/>
  <c r="Q106" i="8"/>
  <c r="Q108" i="8"/>
  <c r="Q109" i="8"/>
  <c r="Q110" i="8"/>
  <c r="Q111" i="8"/>
  <c r="Q112" i="8"/>
  <c r="Q113" i="8"/>
  <c r="Q114" i="8"/>
  <c r="Q115" i="8"/>
  <c r="Q116" i="8"/>
  <c r="Q117" i="8"/>
  <c r="Q118" i="8"/>
  <c r="Q119" i="8"/>
  <c r="Q120" i="8"/>
  <c r="Q121" i="8"/>
  <c r="Q123" i="8"/>
  <c r="Q124" i="8"/>
  <c r="Q125" i="8"/>
  <c r="Q126" i="8"/>
  <c r="Q127" i="8"/>
  <c r="Q128" i="8"/>
  <c r="Q129" i="8"/>
  <c r="Q130" i="8"/>
  <c r="Q131" i="8"/>
  <c r="Q132" i="8"/>
  <c r="Q133" i="8"/>
  <c r="Q134" i="8"/>
  <c r="Q135" i="8"/>
  <c r="Q136" i="8"/>
  <c r="Q137" i="8"/>
  <c r="Q138" i="8"/>
  <c r="Q140" i="8"/>
  <c r="Q141" i="8"/>
  <c r="Q143" i="8"/>
  <c r="Q144" i="8"/>
  <c r="Q145" i="8"/>
  <c r="Q146" i="8"/>
  <c r="Q147" i="8"/>
  <c r="Q148" i="8"/>
  <c r="Q150" i="8"/>
  <c r="Q151" i="8"/>
  <c r="Q152" i="8"/>
  <c r="Q153" i="8"/>
  <c r="Q154" i="8"/>
  <c r="Q155" i="8"/>
  <c r="Q156" i="8"/>
  <c r="Q157" i="8"/>
  <c r="Q158" i="8"/>
  <c r="Q159" i="8"/>
  <c r="Q161" i="8"/>
  <c r="Q162" i="8"/>
  <c r="Q163" i="8"/>
  <c r="Q164" i="8"/>
  <c r="Q165" i="8"/>
  <c r="Q166" i="8"/>
  <c r="Q167" i="8"/>
  <c r="Q168" i="8"/>
  <c r="Q169" i="8"/>
  <c r="Q170" i="8"/>
  <c r="Q171" i="8"/>
  <c r="Q172" i="8"/>
  <c r="Q173" i="8"/>
  <c r="Q174" i="8"/>
  <c r="V57" i="8"/>
  <c r="V58" i="8"/>
  <c r="V59" i="8"/>
  <c r="V60" i="8"/>
  <c r="V61" i="8"/>
  <c r="V62" i="8"/>
  <c r="V63" i="8"/>
  <c r="V64" i="8"/>
  <c r="V65" i="8"/>
  <c r="V66" i="8"/>
  <c r="V67" i="8"/>
  <c r="V68" i="8"/>
  <c r="V69" i="8"/>
  <c r="V70" i="8"/>
  <c r="V71" i="8"/>
  <c r="V72" i="8"/>
  <c r="V73" i="8"/>
  <c r="V74" i="8"/>
  <c r="V75" i="8"/>
  <c r="V76" i="8"/>
  <c r="V77" i="8"/>
  <c r="V78" i="8"/>
  <c r="V79" i="8"/>
  <c r="V80" i="8"/>
  <c r="V81" i="8"/>
  <c r="V82" i="8"/>
  <c r="V83" i="8"/>
  <c r="V84" i="8"/>
  <c r="V85" i="8"/>
  <c r="V86" i="8"/>
  <c r="V87" i="8"/>
  <c r="V88" i="8"/>
  <c r="V89" i="8"/>
  <c r="V90" i="8"/>
  <c r="V91" i="8"/>
  <c r="V92" i="8"/>
  <c r="V93" i="8"/>
  <c r="V94" i="8"/>
  <c r="V95" i="8"/>
  <c r="V96" i="8"/>
  <c r="V97" i="8"/>
  <c r="V98" i="8"/>
  <c r="V99" i="8"/>
  <c r="V100" i="8"/>
  <c r="V101" i="8"/>
  <c r="V102" i="8"/>
  <c r="V103" i="8"/>
  <c r="V104" i="8"/>
  <c r="V105" i="8"/>
  <c r="V106" i="8"/>
  <c r="V107" i="8"/>
  <c r="V108" i="8"/>
  <c r="V109" i="8"/>
  <c r="V110" i="8"/>
  <c r="V111" i="8"/>
  <c r="V112" i="8"/>
  <c r="V113" i="8"/>
  <c r="V114" i="8"/>
  <c r="V115" i="8"/>
  <c r="V116" i="8"/>
  <c r="V117" i="8"/>
  <c r="V118" i="8"/>
  <c r="V119" i="8"/>
  <c r="V120" i="8"/>
  <c r="V121" i="8"/>
  <c r="V122" i="8"/>
  <c r="V123" i="8"/>
  <c r="V124" i="8"/>
  <c r="V125" i="8"/>
  <c r="V126" i="8"/>
  <c r="V127" i="8"/>
  <c r="V128" i="8"/>
  <c r="V129" i="8"/>
  <c r="V130" i="8"/>
  <c r="V131" i="8"/>
  <c r="V132" i="8"/>
  <c r="V133" i="8"/>
  <c r="V134" i="8"/>
  <c r="V135" i="8"/>
  <c r="V136" i="8"/>
  <c r="V137" i="8"/>
  <c r="V138" i="8"/>
  <c r="V139" i="8"/>
  <c r="V140" i="8"/>
  <c r="V141" i="8"/>
  <c r="V142" i="8"/>
  <c r="V143" i="8"/>
  <c r="V144" i="8"/>
  <c r="V145" i="8"/>
  <c r="V146" i="8"/>
  <c r="V147" i="8"/>
  <c r="V148" i="8"/>
  <c r="V149" i="8"/>
  <c r="V150" i="8"/>
  <c r="V151" i="8"/>
  <c r="V152" i="8"/>
  <c r="V153" i="8"/>
  <c r="V154" i="8"/>
  <c r="V155" i="8"/>
  <c r="V156" i="8"/>
  <c r="V157" i="8"/>
  <c r="V158" i="8"/>
  <c r="V159" i="8"/>
  <c r="V160" i="8"/>
  <c r="V161" i="8"/>
  <c r="V162" i="8"/>
  <c r="V163" i="8"/>
  <c r="V164" i="8"/>
  <c r="V165" i="8"/>
  <c r="V166" i="8"/>
  <c r="V167" i="8"/>
  <c r="V168" i="8"/>
  <c r="V169" i="8"/>
  <c r="V170" i="8"/>
  <c r="V171" i="8"/>
  <c r="V172" i="8"/>
  <c r="V173" i="8"/>
  <c r="V174" i="8"/>
  <c r="W107" i="8"/>
  <c r="W108" i="8" s="1"/>
  <c r="W109" i="8" s="1"/>
  <c r="W110" i="8" s="1"/>
  <c r="W111" i="8" s="1"/>
  <c r="W112" i="8" s="1"/>
  <c r="W113" i="8" s="1"/>
  <c r="W114" i="8" s="1"/>
  <c r="W115" i="8" s="1"/>
  <c r="W116" i="8" s="1"/>
  <c r="W117" i="8" s="1"/>
  <c r="W118" i="8" s="1"/>
  <c r="W119" i="8" s="1"/>
  <c r="W120" i="8" s="1"/>
  <c r="W121" i="8" s="1"/>
  <c r="W122" i="8" s="1"/>
  <c r="W123" i="8" s="1"/>
  <c r="W124" i="8" s="1"/>
  <c r="W125" i="8" s="1"/>
  <c r="W126" i="8" s="1"/>
  <c r="W127" i="8" s="1"/>
  <c r="W128" i="8" s="1"/>
  <c r="W129" i="8" s="1"/>
  <c r="W130" i="8" s="1"/>
  <c r="W131" i="8" s="1"/>
  <c r="W132" i="8" s="1"/>
  <c r="W133" i="8" s="1"/>
  <c r="W134" i="8" s="1"/>
  <c r="W135" i="8" s="1"/>
  <c r="W136" i="8" s="1"/>
  <c r="W137" i="8" s="1"/>
  <c r="W138" i="8" s="1"/>
  <c r="W139" i="8" s="1"/>
  <c r="W140" i="8" s="1"/>
  <c r="W141" i="8" s="1"/>
  <c r="W142" i="8" s="1"/>
  <c r="W143" i="8" s="1"/>
  <c r="W144" i="8" s="1"/>
  <c r="W145" i="8" s="1"/>
  <c r="W146" i="8" s="1"/>
  <c r="W147" i="8" s="1"/>
  <c r="W148" i="8" s="1"/>
  <c r="W149" i="8" s="1"/>
  <c r="W150" i="8" s="1"/>
  <c r="W151" i="8" s="1"/>
  <c r="W152" i="8" s="1"/>
  <c r="W153" i="8" s="1"/>
  <c r="W154" i="8" s="1"/>
  <c r="W155" i="8" s="1"/>
  <c r="W156" i="8" s="1"/>
  <c r="W157" i="8" s="1"/>
  <c r="W158" i="8" s="1"/>
  <c r="W159" i="8" s="1"/>
  <c r="W160" i="8" s="1"/>
  <c r="W161" i="8" s="1"/>
  <c r="W162" i="8" s="1"/>
  <c r="W163" i="8" s="1"/>
  <c r="W164" i="8" s="1"/>
  <c r="W165" i="8" s="1"/>
  <c r="W166" i="8" s="1"/>
  <c r="W167" i="8" s="1"/>
  <c r="W168" i="8" s="1"/>
  <c r="W169" i="8" s="1"/>
  <c r="W170" i="8" s="1"/>
  <c r="W171" i="8" s="1"/>
  <c r="W172" i="8" s="1"/>
  <c r="W173" i="8" s="1"/>
  <c r="W174" i="8" s="1"/>
  <c r="W175" i="8" s="1"/>
  <c r="W2" i="8"/>
  <c r="W3" i="8" s="1"/>
  <c r="W4" i="8" s="1"/>
  <c r="W5" i="8" s="1"/>
  <c r="W6" i="8" s="1"/>
  <c r="W7" i="8" s="1"/>
  <c r="W8" i="8" s="1"/>
  <c r="W9" i="8" s="1"/>
  <c r="W10" i="8" s="1"/>
  <c r="W11" i="8" s="1"/>
  <c r="W12" i="8" s="1"/>
  <c r="W13" i="8" s="1"/>
  <c r="W14" i="8" s="1"/>
  <c r="W15" i="8" s="1"/>
  <c r="W16" i="8" s="1"/>
  <c r="W17" i="8" s="1"/>
  <c r="W18" i="8" s="1"/>
  <c r="W19" i="8" s="1"/>
  <c r="W20" i="8" s="1"/>
  <c r="W21" i="8" s="1"/>
  <c r="W22" i="8" s="1"/>
  <c r="W23" i="8" s="1"/>
  <c r="W24" i="8" s="1"/>
  <c r="W25" i="8" s="1"/>
  <c r="W26" i="8" s="1"/>
  <c r="W27" i="8" s="1"/>
  <c r="W28" i="8" s="1"/>
  <c r="W29" i="8" s="1"/>
  <c r="W30" i="8" s="1"/>
  <c r="W31" i="8" s="1"/>
  <c r="W32" i="8" s="1"/>
  <c r="W33" i="8" s="1"/>
  <c r="W34" i="8" s="1"/>
  <c r="W35" i="8" s="1"/>
  <c r="W36" i="8" s="1"/>
  <c r="W37" i="8" s="1"/>
  <c r="W38" i="8" s="1"/>
  <c r="W39" i="8" s="1"/>
  <c r="W40" i="8" s="1"/>
  <c r="W41" i="8" s="1"/>
  <c r="W42" i="8" s="1"/>
  <c r="W43" i="8" s="1"/>
  <c r="W44" i="8" s="1"/>
  <c r="W45" i="8" s="1"/>
  <c r="W46" i="8" s="1"/>
  <c r="W47" i="8" s="1"/>
  <c r="W48" i="8" s="1"/>
  <c r="W49" i="8" s="1"/>
  <c r="W50" i="8" s="1"/>
  <c r="W51" i="8" s="1"/>
  <c r="W52" i="8" s="1"/>
  <c r="W53" i="8" s="1"/>
  <c r="W54" i="8" s="1"/>
  <c r="W55" i="8" s="1"/>
  <c r="W56" i="8" s="1"/>
  <c r="W57" i="8" s="1"/>
  <c r="W58" i="8" s="1"/>
  <c r="W59" i="8" s="1"/>
  <c r="W60" i="8" s="1"/>
  <c r="W61" i="8" s="1"/>
  <c r="W62" i="8" s="1"/>
  <c r="W63" i="8" s="1"/>
  <c r="W64" i="8" s="1"/>
  <c r="W65" i="8" s="1"/>
  <c r="W66" i="8" s="1"/>
  <c r="W67" i="8" s="1"/>
  <c r="W68" i="8" s="1"/>
  <c r="W69" i="8" s="1"/>
  <c r="W70" i="8" s="1"/>
  <c r="W71" i="8" s="1"/>
  <c r="W72" i="8" s="1"/>
  <c r="W73" i="8" s="1"/>
  <c r="W74" i="8" s="1"/>
  <c r="W75" i="8" s="1"/>
  <c r="W76" i="8" s="1"/>
  <c r="W77" i="8" s="1"/>
  <c r="W78" i="8" s="1"/>
  <c r="W79" i="8" s="1"/>
  <c r="W80" i="8" s="1"/>
  <c r="W81" i="8" s="1"/>
  <c r="W82" i="8" s="1"/>
  <c r="W83" i="8" s="1"/>
  <c r="W84" i="8" s="1"/>
  <c r="W85" i="8" s="1"/>
  <c r="W86" i="8" s="1"/>
  <c r="W87" i="8" s="1"/>
  <c r="W88" i="8" s="1"/>
  <c r="W89" i="8" s="1"/>
  <c r="W90" i="8" s="1"/>
  <c r="W91" i="8" s="1"/>
  <c r="W92" i="8" s="1"/>
  <c r="W93" i="8" s="1"/>
  <c r="W94" i="8" s="1"/>
  <c r="W95" i="8" s="1"/>
  <c r="W96" i="8" s="1"/>
  <c r="W97" i="8" s="1"/>
  <c r="W98" i="8" s="1"/>
  <c r="W99" i="8" s="1"/>
  <c r="W100" i="8" s="1"/>
  <c r="W101" i="8" s="1"/>
  <c r="W102" i="8" s="1"/>
  <c r="W103" i="8" s="1"/>
  <c r="W104" i="8" s="1"/>
  <c r="W105" i="8" s="1"/>
  <c r="W106" i="8" s="1"/>
  <c r="O2" i="8"/>
  <c r="A2" i="8"/>
  <c r="V2" i="8"/>
  <c r="V3" i="8"/>
  <c r="V4" i="8"/>
  <c r="V5" i="8"/>
  <c r="V6" i="8"/>
  <c r="V7" i="8"/>
  <c r="V8" i="8"/>
  <c r="V9" i="8"/>
  <c r="V10" i="8"/>
  <c r="V11" i="8"/>
  <c r="V12" i="8"/>
  <c r="V13" i="8"/>
  <c r="V14" i="8"/>
  <c r="V15" i="8"/>
  <c r="V16" i="8"/>
  <c r="V17" i="8"/>
  <c r="V18" i="8"/>
  <c r="V19" i="8"/>
  <c r="V20" i="8"/>
  <c r="V21" i="8"/>
  <c r="V22" i="8"/>
  <c r="V23" i="8"/>
  <c r="V24" i="8"/>
  <c r="V25" i="8"/>
  <c r="V26" i="8"/>
  <c r="V27" i="8"/>
  <c r="V28" i="8"/>
  <c r="V29" i="8"/>
  <c r="V30" i="8"/>
  <c r="V31" i="8"/>
  <c r="V32" i="8"/>
  <c r="V33" i="8"/>
  <c r="V34" i="8"/>
  <c r="V35" i="8"/>
  <c r="V36" i="8"/>
  <c r="V37" i="8"/>
  <c r="V38" i="8"/>
  <c r="V39" i="8"/>
  <c r="V40" i="8"/>
  <c r="V41" i="8"/>
  <c r="V42" i="8"/>
  <c r="V43" i="8"/>
  <c r="V44" i="8"/>
  <c r="V45" i="8"/>
  <c r="V46" i="8"/>
  <c r="V47" i="8"/>
  <c r="V48" i="8"/>
  <c r="V49" i="8"/>
  <c r="V50" i="8"/>
  <c r="V51" i="8"/>
  <c r="V52" i="8"/>
  <c r="V53" i="8"/>
  <c r="V54" i="8"/>
  <c r="V55" i="8"/>
  <c r="V56" i="8"/>
  <c r="S2844" i="9" l="1"/>
  <c r="Q2845" i="9"/>
  <c r="R2844" i="9"/>
  <c r="R1690" i="9"/>
  <c r="S1690" i="9"/>
  <c r="Q1691" i="9"/>
  <c r="Q2732" i="9"/>
  <c r="R2731" i="9"/>
  <c r="S2731" i="9"/>
  <c r="S1465" i="9"/>
  <c r="R1465" i="9"/>
  <c r="Q1466" i="9"/>
  <c r="R282" i="9"/>
  <c r="S282" i="9"/>
  <c r="Q283" i="9"/>
  <c r="Q2389" i="9"/>
  <c r="R2388" i="9"/>
  <c r="S2388" i="9"/>
  <c r="Q669" i="9"/>
  <c r="R668" i="9"/>
  <c r="S668" i="9"/>
  <c r="Q92" i="9"/>
  <c r="S91" i="9"/>
  <c r="R91" i="9"/>
  <c r="S390" i="9"/>
  <c r="Q391" i="9"/>
  <c r="R390" i="9"/>
  <c r="Q6" i="9"/>
  <c r="R5" i="9"/>
  <c r="S5" i="9"/>
  <c r="R4" i="9"/>
  <c r="S4" i="9"/>
  <c r="X44" i="12"/>
  <c r="J44" i="12"/>
  <c r="Q44" i="12"/>
  <c r="M44" i="12"/>
  <c r="AA44" i="12"/>
  <c r="T44" i="12"/>
  <c r="AA41" i="12"/>
  <c r="T41" i="12"/>
  <c r="M41" i="12"/>
  <c r="J41" i="12"/>
  <c r="X41" i="12"/>
  <c r="Q41" i="12"/>
  <c r="S3" i="9"/>
  <c r="R3" i="9"/>
  <c r="N281" i="8"/>
  <c r="O281" i="8"/>
  <c r="M379" i="8"/>
  <c r="M380" i="8" s="1"/>
  <c r="O334" i="8"/>
  <c r="N179" i="8"/>
  <c r="M335" i="8"/>
  <c r="N335" i="8" s="1"/>
  <c r="O326" i="8"/>
  <c r="N330" i="8"/>
  <c r="N326" i="8"/>
  <c r="M331" i="8"/>
  <c r="N331" i="8" s="1"/>
  <c r="M283" i="8"/>
  <c r="O282" i="8"/>
  <c r="N378" i="8"/>
  <c r="M180" i="8"/>
  <c r="M181" i="8" s="1"/>
  <c r="M293" i="8"/>
  <c r="O292" i="8"/>
  <c r="N292" i="8"/>
  <c r="N291" i="8"/>
  <c r="O291" i="8"/>
  <c r="M354" i="8"/>
  <c r="O353" i="8"/>
  <c r="N353" i="8"/>
  <c r="N379" i="8"/>
  <c r="M340" i="8"/>
  <c r="N339" i="8"/>
  <c r="O339" i="8"/>
  <c r="M209" i="8"/>
  <c r="N208" i="8"/>
  <c r="O208" i="8"/>
  <c r="N327" i="8"/>
  <c r="O327" i="8"/>
  <c r="M368" i="8"/>
  <c r="O367" i="8"/>
  <c r="N367" i="8"/>
  <c r="M5" i="8"/>
  <c r="N3" i="8"/>
  <c r="O4" i="8"/>
  <c r="O3" i="8"/>
  <c r="A3" i="8"/>
  <c r="A4" i="8" s="1"/>
  <c r="A5" i="8" s="1"/>
  <c r="A6" i="8" s="1"/>
  <c r="A7" i="8" s="1"/>
  <c r="A108" i="8"/>
  <c r="A109" i="8" s="1"/>
  <c r="A110" i="8" s="1"/>
  <c r="A111" i="8" s="1"/>
  <c r="A112" i="8" s="1"/>
  <c r="A113" i="8" s="1"/>
  <c r="A114" i="8" s="1"/>
  <c r="A115" i="8" s="1"/>
  <c r="A116" i="8" s="1"/>
  <c r="A117" i="8" s="1"/>
  <c r="A118" i="8" s="1"/>
  <c r="A119" i="8" s="1"/>
  <c r="A120" i="8" s="1"/>
  <c r="A121" i="8" s="1"/>
  <c r="A122" i="8" s="1"/>
  <c r="A123" i="8" s="1"/>
  <c r="A124" i="8" s="1"/>
  <c r="A125" i="8" s="1"/>
  <c r="A126" i="8" s="1"/>
  <c r="A127" i="8" s="1"/>
  <c r="A128" i="8" s="1"/>
  <c r="A129" i="8" s="1"/>
  <c r="A130" i="8" s="1"/>
  <c r="A131" i="8" s="1"/>
  <c r="A132" i="8" s="1"/>
  <c r="A133" i="8" s="1"/>
  <c r="A134" i="8" s="1"/>
  <c r="A135" i="8" s="1"/>
  <c r="A136" i="8" s="1"/>
  <c r="A137" i="8" s="1"/>
  <c r="A138" i="8" s="1"/>
  <c r="A139" i="8" s="1"/>
  <c r="N109" i="8"/>
  <c r="M110" i="8"/>
  <c r="O110" i="8" s="1"/>
  <c r="Q3" i="8"/>
  <c r="Q4" i="8"/>
  <c r="Q5" i="8"/>
  <c r="Q6" i="8"/>
  <c r="Q8" i="8"/>
  <c r="Q9" i="8"/>
  <c r="Q10" i="8"/>
  <c r="Q11" i="8"/>
  <c r="Q12" i="8"/>
  <c r="Q13" i="8"/>
  <c r="Q14" i="8"/>
  <c r="Q17" i="8"/>
  <c r="Q18" i="8"/>
  <c r="Q19" i="8"/>
  <c r="Q20" i="8"/>
  <c r="Q21" i="8"/>
  <c r="Q23" i="8"/>
  <c r="Q24" i="8"/>
  <c r="Q25" i="8"/>
  <c r="Q26" i="8"/>
  <c r="Q28" i="8"/>
  <c r="Q29" i="8"/>
  <c r="Q31" i="8"/>
  <c r="Q32" i="8"/>
  <c r="Q33" i="8"/>
  <c r="Q34" i="8"/>
  <c r="Q35" i="8"/>
  <c r="Q36" i="8"/>
  <c r="Q37" i="8"/>
  <c r="Q39" i="8"/>
  <c r="Q40" i="8"/>
  <c r="Q41" i="8"/>
  <c r="Q42" i="8"/>
  <c r="Q43" i="8"/>
  <c r="Q44" i="8"/>
  <c r="Q46" i="8"/>
  <c r="Q48" i="8"/>
  <c r="Q49" i="8"/>
  <c r="Q50" i="8"/>
  <c r="Q51" i="8"/>
  <c r="Q52" i="8"/>
  <c r="Q53" i="8"/>
  <c r="Q55" i="8"/>
  <c r="Q56" i="8"/>
  <c r="P3" i="8"/>
  <c r="P4" i="8"/>
  <c r="P5" i="8"/>
  <c r="P6" i="8"/>
  <c r="P8" i="8"/>
  <c r="P9" i="8"/>
  <c r="P10" i="8"/>
  <c r="P11" i="8"/>
  <c r="P12" i="8"/>
  <c r="P13" i="8"/>
  <c r="P14" i="8"/>
  <c r="P17" i="8"/>
  <c r="P18" i="8"/>
  <c r="P19" i="8"/>
  <c r="P20" i="8"/>
  <c r="P21" i="8"/>
  <c r="P23" i="8"/>
  <c r="P24" i="8"/>
  <c r="P25" i="8"/>
  <c r="P26" i="8"/>
  <c r="P28" i="8"/>
  <c r="P29" i="8"/>
  <c r="P31" i="8"/>
  <c r="P32" i="8"/>
  <c r="P33" i="8"/>
  <c r="P34" i="8"/>
  <c r="P35" i="8"/>
  <c r="P36" i="8"/>
  <c r="P37" i="8"/>
  <c r="P39" i="8"/>
  <c r="P40" i="8"/>
  <c r="P41" i="8"/>
  <c r="P42" i="8"/>
  <c r="P43" i="8"/>
  <c r="P44" i="8"/>
  <c r="P46" i="8"/>
  <c r="P48" i="8"/>
  <c r="P49" i="8"/>
  <c r="P50" i="8"/>
  <c r="P51" i="8"/>
  <c r="P52" i="8"/>
  <c r="P53" i="8"/>
  <c r="P55" i="8"/>
  <c r="P56" i="8"/>
  <c r="Q2846" i="9" l="1"/>
  <c r="R2845" i="9"/>
  <c r="S2845" i="9"/>
  <c r="Q2733" i="9"/>
  <c r="S2732" i="9"/>
  <c r="R2732" i="9"/>
  <c r="Q1692" i="9"/>
  <c r="R1691" i="9"/>
  <c r="S1691" i="9"/>
  <c r="Q2390" i="9"/>
  <c r="R2389" i="9"/>
  <c r="S2389" i="9"/>
  <c r="S283" i="9"/>
  <c r="Q284" i="9"/>
  <c r="R283" i="9"/>
  <c r="R1466" i="9"/>
  <c r="S1466" i="9"/>
  <c r="Q1467" i="9"/>
  <c r="Q93" i="9"/>
  <c r="R92" i="9"/>
  <c r="S92" i="9"/>
  <c r="Q670" i="9"/>
  <c r="R669" i="9"/>
  <c r="S669" i="9"/>
  <c r="Q392" i="9"/>
  <c r="R391" i="9"/>
  <c r="S391" i="9"/>
  <c r="Q7" i="9"/>
  <c r="R6" i="9"/>
  <c r="S6" i="9"/>
  <c r="C44" i="12"/>
  <c r="B13" i="16" s="1"/>
  <c r="F44" i="12"/>
  <c r="D13" i="16" s="1"/>
  <c r="O379" i="8"/>
  <c r="F41" i="12"/>
  <c r="C41" i="12"/>
  <c r="B10" i="16" s="1"/>
  <c r="O335" i="8"/>
  <c r="M332" i="8"/>
  <c r="N332" i="8" s="1"/>
  <c r="M336" i="8"/>
  <c r="O336" i="8" s="1"/>
  <c r="O331" i="8"/>
  <c r="N180" i="8"/>
  <c r="O283" i="8"/>
  <c r="M284" i="8"/>
  <c r="N283" i="8"/>
  <c r="O180" i="8"/>
  <c r="M294" i="8"/>
  <c r="N293" i="8"/>
  <c r="O293" i="8"/>
  <c r="N354" i="8"/>
  <c r="O354" i="8"/>
  <c r="M355" i="8"/>
  <c r="A140" i="8"/>
  <c r="A141" i="8" s="1"/>
  <c r="A142" i="8" s="1"/>
  <c r="A143" i="8" s="1"/>
  <c r="A144" i="8" s="1"/>
  <c r="A145" i="8" s="1"/>
  <c r="A146" i="8" s="1"/>
  <c r="A147" i="8" s="1"/>
  <c r="A148" i="8" s="1"/>
  <c r="A149" i="8" s="1"/>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M369" i="8"/>
  <c r="N368" i="8"/>
  <c r="O368" i="8"/>
  <c r="M341" i="8"/>
  <c r="O340" i="8"/>
  <c r="N340" i="8"/>
  <c r="M210" i="8"/>
  <c r="O209" i="8"/>
  <c r="N209" i="8"/>
  <c r="M182" i="8"/>
  <c r="O181" i="8"/>
  <c r="N181" i="8"/>
  <c r="M381" i="8"/>
  <c r="O380" i="8"/>
  <c r="N380" i="8"/>
  <c r="M6" i="8"/>
  <c r="M7" i="8" s="1"/>
  <c r="O5" i="8"/>
  <c r="N5" i="8"/>
  <c r="A8" i="8"/>
  <c r="M111" i="8"/>
  <c r="N111" i="8" s="1"/>
  <c r="N110" i="8"/>
  <c r="Q2847" i="9" l="1"/>
  <c r="R2846" i="9"/>
  <c r="S2846" i="9"/>
  <c r="Q2734" i="9"/>
  <c r="R2733" i="9"/>
  <c r="S2733" i="9"/>
  <c r="R1692" i="9"/>
  <c r="Q1693" i="9"/>
  <c r="S1692" i="9"/>
  <c r="R1467" i="9"/>
  <c r="S1467" i="9"/>
  <c r="Q1468" i="9"/>
  <c r="S284" i="9"/>
  <c r="R284" i="9"/>
  <c r="Q285" i="9"/>
  <c r="Q2391" i="9"/>
  <c r="R2390" i="9"/>
  <c r="S2390" i="9"/>
  <c r="S670" i="9"/>
  <c r="Q671" i="9"/>
  <c r="R670" i="9"/>
  <c r="Q94" i="9"/>
  <c r="R93" i="9"/>
  <c r="S93" i="9"/>
  <c r="Q393" i="9"/>
  <c r="S392" i="9"/>
  <c r="R392" i="9"/>
  <c r="Q8" i="9"/>
  <c r="R7" i="9"/>
  <c r="S7" i="9"/>
  <c r="F13" i="16"/>
  <c r="D10" i="16"/>
  <c r="F10" i="16" s="1"/>
  <c r="N336" i="8"/>
  <c r="M337" i="8"/>
  <c r="O337" i="8" s="1"/>
  <c r="O332" i="8"/>
  <c r="O284" i="8"/>
  <c r="M285" i="8"/>
  <c r="N284" i="8"/>
  <c r="M295" i="8"/>
  <c r="O294" i="8"/>
  <c r="N294" i="8"/>
  <c r="O355" i="8"/>
  <c r="M356" i="8"/>
  <c r="N355" i="8"/>
  <c r="N210" i="8"/>
  <c r="M211" i="8"/>
  <c r="O210" i="8"/>
  <c r="N341" i="8"/>
  <c r="O341" i="8"/>
  <c r="M342" i="8"/>
  <c r="O369" i="8"/>
  <c r="M370" i="8"/>
  <c r="N369" i="8"/>
  <c r="N7" i="8"/>
  <c r="M8" i="8"/>
  <c r="O7" i="8"/>
  <c r="N337" i="8"/>
  <c r="M183" i="8"/>
  <c r="N182" i="8"/>
  <c r="O182" i="8"/>
  <c r="N381" i="8"/>
  <c r="O381" i="8"/>
  <c r="M382" i="8"/>
  <c r="N6" i="8"/>
  <c r="O6" i="8"/>
  <c r="O111" i="8"/>
  <c r="M112" i="8"/>
  <c r="M113" i="8" s="1"/>
  <c r="A9" i="8"/>
  <c r="Q47" i="8"/>
  <c r="Q27" i="8"/>
  <c r="Q2848" i="9" l="1"/>
  <c r="R2847" i="9"/>
  <c r="S2847" i="9"/>
  <c r="S1693" i="9"/>
  <c r="Q1694" i="9"/>
  <c r="R1693" i="9"/>
  <c r="S2734" i="9"/>
  <c r="Q2735" i="9"/>
  <c r="R2734" i="9"/>
  <c r="Q2392" i="9"/>
  <c r="R2391" i="9"/>
  <c r="S2391" i="9"/>
  <c r="S1468" i="9"/>
  <c r="Q1469" i="9"/>
  <c r="R1468" i="9"/>
  <c r="Q286" i="9"/>
  <c r="R285" i="9"/>
  <c r="S285" i="9"/>
  <c r="Q672" i="9"/>
  <c r="S671" i="9"/>
  <c r="R671" i="9"/>
  <c r="Q95" i="9"/>
  <c r="S94" i="9"/>
  <c r="R94" i="9"/>
  <c r="S393" i="9"/>
  <c r="Q394" i="9"/>
  <c r="R393" i="9"/>
  <c r="Q9" i="9"/>
  <c r="R8" i="9"/>
  <c r="S8" i="9"/>
  <c r="O285" i="8"/>
  <c r="N285" i="8"/>
  <c r="M286" i="8"/>
  <c r="M296" i="8"/>
  <c r="N295" i="8"/>
  <c r="O295" i="8"/>
  <c r="M357" i="8"/>
  <c r="O356" i="8"/>
  <c r="N356" i="8"/>
  <c r="M343" i="8"/>
  <c r="N342" i="8"/>
  <c r="O342" i="8"/>
  <c r="M212" i="8"/>
  <c r="N211" i="8"/>
  <c r="O211" i="8"/>
  <c r="M383" i="8"/>
  <c r="N382" i="8"/>
  <c r="O382" i="8"/>
  <c r="M184" i="8"/>
  <c r="N183" i="8"/>
  <c r="O183" i="8"/>
  <c r="O8" i="8"/>
  <c r="N8" i="8"/>
  <c r="M9" i="8"/>
  <c r="M371" i="8"/>
  <c r="N370" i="8"/>
  <c r="O370" i="8"/>
  <c r="N112" i="8"/>
  <c r="A10" i="8"/>
  <c r="O112" i="8"/>
  <c r="M114" i="8"/>
  <c r="N113" i="8"/>
  <c r="O113" i="8"/>
  <c r="P47" i="8"/>
  <c r="P27" i="8"/>
  <c r="S2848" i="9" l="1"/>
  <c r="Q2849" i="9"/>
  <c r="R2848" i="9"/>
  <c r="S2735" i="9"/>
  <c r="R2735" i="9"/>
  <c r="Q2736" i="9"/>
  <c r="Q1695" i="9"/>
  <c r="S1694" i="9"/>
  <c r="R1694" i="9"/>
  <c r="R1469" i="9"/>
  <c r="S1469" i="9"/>
  <c r="Q1470" i="9"/>
  <c r="Q2393" i="9"/>
  <c r="R2392" i="9"/>
  <c r="S2392" i="9"/>
  <c r="Q287" i="9"/>
  <c r="R286" i="9"/>
  <c r="S286" i="9"/>
  <c r="Q96" i="9"/>
  <c r="R95" i="9"/>
  <c r="S95" i="9"/>
  <c r="S672" i="9"/>
  <c r="R672" i="9"/>
  <c r="Q673" i="9"/>
  <c r="Q395" i="9"/>
  <c r="R394" i="9"/>
  <c r="S394" i="9"/>
  <c r="Q10" i="9"/>
  <c r="R9" i="9"/>
  <c r="S9" i="9"/>
  <c r="N286" i="8"/>
  <c r="M287" i="8"/>
  <c r="O286" i="8"/>
  <c r="M297" i="8"/>
  <c r="O296" i="8"/>
  <c r="N296" i="8"/>
  <c r="O357" i="8"/>
  <c r="N357" i="8"/>
  <c r="M358" i="8"/>
  <c r="M372" i="8"/>
  <c r="O371" i="8"/>
  <c r="N371" i="8"/>
  <c r="M213" i="8"/>
  <c r="N212" i="8"/>
  <c r="O212" i="8"/>
  <c r="M344" i="8"/>
  <c r="N343" i="8"/>
  <c r="O343" i="8"/>
  <c r="N9" i="8"/>
  <c r="O9" i="8"/>
  <c r="M10" i="8"/>
  <c r="M185" i="8"/>
  <c r="N184" i="8"/>
  <c r="O184" i="8"/>
  <c r="O383" i="8"/>
  <c r="N383" i="8"/>
  <c r="A11" i="8"/>
  <c r="M115" i="8"/>
  <c r="N114" i="8"/>
  <c r="O114" i="8"/>
  <c r="M62" i="8"/>
  <c r="R2849" i="9" l="1"/>
  <c r="S2849" i="9"/>
  <c r="R1695" i="9"/>
  <c r="S1695" i="9"/>
  <c r="Q1696" i="9"/>
  <c r="Q2737" i="9"/>
  <c r="R2736" i="9"/>
  <c r="S2736" i="9"/>
  <c r="Q1471" i="9"/>
  <c r="R1470" i="9"/>
  <c r="S1470" i="9"/>
  <c r="Q288" i="9"/>
  <c r="R287" i="9"/>
  <c r="S287" i="9"/>
  <c r="Q2394" i="9"/>
  <c r="R2393" i="9"/>
  <c r="S2393" i="9"/>
  <c r="Q674" i="9"/>
  <c r="R673" i="9"/>
  <c r="S673" i="9"/>
  <c r="Q97" i="9"/>
  <c r="R96" i="9"/>
  <c r="S96" i="9"/>
  <c r="Q396" i="9"/>
  <c r="R395" i="9"/>
  <c r="S395" i="9"/>
  <c r="Q11" i="9"/>
  <c r="R10" i="9"/>
  <c r="S10" i="9"/>
  <c r="N287" i="8"/>
  <c r="O287" i="8"/>
  <c r="N297" i="8"/>
  <c r="M298" i="8"/>
  <c r="O297" i="8"/>
  <c r="N358" i="8"/>
  <c r="O358" i="8"/>
  <c r="M359" i="8"/>
  <c r="N10" i="8"/>
  <c r="M11" i="8"/>
  <c r="O10" i="8"/>
  <c r="M345" i="8"/>
  <c r="N344" i="8"/>
  <c r="O344" i="8"/>
  <c r="M214" i="8"/>
  <c r="N213" i="8"/>
  <c r="O213" i="8"/>
  <c r="M186" i="8"/>
  <c r="N185" i="8"/>
  <c r="O185" i="8"/>
  <c r="M373" i="8"/>
  <c r="N372" i="8"/>
  <c r="O372" i="8"/>
  <c r="A12" i="8"/>
  <c r="N115" i="8"/>
  <c r="M116" i="8"/>
  <c r="O115" i="8"/>
  <c r="N62" i="8"/>
  <c r="M63" i="8"/>
  <c r="O62" i="8"/>
  <c r="Y2713" i="9" l="1"/>
  <c r="X2713" i="9"/>
  <c r="W2713" i="9"/>
  <c r="Z2713" i="9"/>
  <c r="AB2713" i="9"/>
  <c r="AA2713" i="9"/>
  <c r="X379" i="9"/>
  <c r="Z379" i="9"/>
  <c r="AA379" i="9"/>
  <c r="Y379" i="9"/>
  <c r="W379" i="9"/>
  <c r="AB379" i="9"/>
  <c r="AA2815" i="9"/>
  <c r="Z2815" i="9"/>
  <c r="Y2815" i="9"/>
  <c r="W2815" i="9"/>
  <c r="AB2815" i="9"/>
  <c r="X2815" i="9"/>
  <c r="Q1697" i="9"/>
  <c r="R1696" i="9"/>
  <c r="S1696" i="9"/>
  <c r="Q2738" i="9"/>
  <c r="R2737" i="9"/>
  <c r="S2737" i="9"/>
  <c r="Q2395" i="9"/>
  <c r="R2394" i="9"/>
  <c r="S2394" i="9"/>
  <c r="S1471" i="9"/>
  <c r="Q1472" i="9"/>
  <c r="R1471" i="9"/>
  <c r="Q289" i="9"/>
  <c r="R288" i="9"/>
  <c r="S288" i="9"/>
  <c r="Q98" i="9"/>
  <c r="R97" i="9"/>
  <c r="S97" i="9"/>
  <c r="S674" i="9"/>
  <c r="W660" i="9" s="1"/>
  <c r="R674" i="9"/>
  <c r="Q675" i="9"/>
  <c r="Q397" i="9"/>
  <c r="R396" i="9"/>
  <c r="S396" i="9"/>
  <c r="Q12" i="9"/>
  <c r="Q13" i="9" s="1"/>
  <c r="R11" i="9"/>
  <c r="S11" i="9"/>
  <c r="O298" i="8"/>
  <c r="M299" i="8"/>
  <c r="N298" i="8"/>
  <c r="O359" i="8"/>
  <c r="M360" i="8"/>
  <c r="N359" i="8"/>
  <c r="N373" i="8"/>
  <c r="M374" i="8"/>
  <c r="O373" i="8"/>
  <c r="N11" i="8"/>
  <c r="M12" i="8"/>
  <c r="O11" i="8"/>
  <c r="N186" i="8"/>
  <c r="M187" i="8"/>
  <c r="O186" i="8"/>
  <c r="M215" i="8"/>
  <c r="N214" i="8"/>
  <c r="O214" i="8"/>
  <c r="M346" i="8"/>
  <c r="N345" i="8"/>
  <c r="O345" i="8"/>
  <c r="A13" i="8"/>
  <c r="N63" i="8"/>
  <c r="M64" i="8"/>
  <c r="O63" i="8"/>
  <c r="N116" i="8"/>
  <c r="M117" i="8"/>
  <c r="O116" i="8"/>
  <c r="AB660" i="9" l="1"/>
  <c r="V2713" i="9"/>
  <c r="AA660" i="9"/>
  <c r="Z660" i="9"/>
  <c r="X660" i="9"/>
  <c r="V379" i="9"/>
  <c r="Y660" i="9"/>
  <c r="V2815" i="9"/>
  <c r="Q1698" i="9"/>
  <c r="R1697" i="9"/>
  <c r="S1697" i="9"/>
  <c r="Q2739" i="9"/>
  <c r="S2738" i="9"/>
  <c r="R2738" i="9"/>
  <c r="Q2325" i="9"/>
  <c r="S289" i="9"/>
  <c r="R289" i="9"/>
  <c r="Q290" i="9"/>
  <c r="Q2396" i="9"/>
  <c r="R2395" i="9"/>
  <c r="S2395" i="9"/>
  <c r="R1472" i="9"/>
  <c r="S1472" i="9"/>
  <c r="W1465" i="9" s="1"/>
  <c r="Q1473" i="9"/>
  <c r="R675" i="9"/>
  <c r="Q676" i="9"/>
  <c r="S675" i="9"/>
  <c r="S98" i="9"/>
  <c r="R98" i="9"/>
  <c r="Q99" i="9"/>
  <c r="S397" i="9"/>
  <c r="Q398" i="9"/>
  <c r="R397" i="9"/>
  <c r="Q14" i="9"/>
  <c r="R13" i="9"/>
  <c r="S13" i="9"/>
  <c r="R12" i="9"/>
  <c r="S12" i="9"/>
  <c r="M300" i="8"/>
  <c r="O299" i="8"/>
  <c r="N299" i="8"/>
  <c r="O360" i="8"/>
  <c r="M361" i="8"/>
  <c r="N360" i="8"/>
  <c r="M347" i="8"/>
  <c r="N346" i="8"/>
  <c r="O346" i="8"/>
  <c r="M188" i="8"/>
  <c r="N187" i="8"/>
  <c r="O187" i="8"/>
  <c r="M13" i="8"/>
  <c r="N12" i="8"/>
  <c r="O12" i="8"/>
  <c r="M216" i="8"/>
  <c r="N215" i="8"/>
  <c r="O215" i="8"/>
  <c r="M375" i="8"/>
  <c r="N374" i="8"/>
  <c r="O374" i="8"/>
  <c r="A14" i="8"/>
  <c r="N64" i="8"/>
  <c r="M65" i="8"/>
  <c r="O64" i="8"/>
  <c r="M118" i="8"/>
  <c r="N117" i="8"/>
  <c r="O117" i="8"/>
  <c r="V660" i="9" l="1"/>
  <c r="AB1465" i="9"/>
  <c r="Q2740" i="9"/>
  <c r="S2739" i="9"/>
  <c r="R2739" i="9"/>
  <c r="Q1699" i="9"/>
  <c r="R1698" i="9"/>
  <c r="S1698" i="9"/>
  <c r="R290" i="9"/>
  <c r="Q291" i="9"/>
  <c r="S290" i="9"/>
  <c r="S1473" i="9"/>
  <c r="R1473" i="9"/>
  <c r="Q1474" i="9"/>
  <c r="Q2397" i="9"/>
  <c r="R2396" i="9"/>
  <c r="S2396" i="9"/>
  <c r="Q2326" i="9"/>
  <c r="R2325" i="9"/>
  <c r="S2325" i="9"/>
  <c r="Q100" i="9"/>
  <c r="S99" i="9"/>
  <c r="R99" i="9"/>
  <c r="Q677" i="9"/>
  <c r="R676" i="9"/>
  <c r="S676" i="9"/>
  <c r="Q399" i="9"/>
  <c r="R398" i="9"/>
  <c r="S398" i="9"/>
  <c r="AA225" i="9"/>
  <c r="AA121" i="9"/>
  <c r="AB212" i="9"/>
  <c r="W50" i="9"/>
  <c r="X77" i="9"/>
  <c r="AB77" i="9"/>
  <c r="Z50" i="9"/>
  <c r="Y121" i="9"/>
  <c r="AA50" i="9"/>
  <c r="AA77" i="9"/>
  <c r="Y77" i="9"/>
  <c r="Z121" i="9"/>
  <c r="Z77" i="9"/>
  <c r="X50" i="9"/>
  <c r="W201" i="9"/>
  <c r="W18" i="9"/>
  <c r="W264" i="9"/>
  <c r="AB50" i="9"/>
  <c r="X121" i="9"/>
  <c r="X32" i="9"/>
  <c r="AA264" i="9"/>
  <c r="W212" i="9"/>
  <c r="V212" i="9" s="1"/>
  <c r="Z18" i="9"/>
  <c r="AB264" i="9"/>
  <c r="X225" i="9"/>
  <c r="X201" i="9"/>
  <c r="X264" i="9"/>
  <c r="Z212" i="9"/>
  <c r="AB201" i="9"/>
  <c r="X18" i="9"/>
  <c r="W77" i="9"/>
  <c r="V77" i="9" s="1"/>
  <c r="Z32" i="9"/>
  <c r="AA18" i="9"/>
  <c r="Z264" i="9"/>
  <c r="AA212" i="9"/>
  <c r="W32" i="9"/>
  <c r="V32" i="9" s="1"/>
  <c r="Y50" i="9"/>
  <c r="Y201" i="9"/>
  <c r="Z201" i="9"/>
  <c r="AA32" i="9"/>
  <c r="Y32" i="9"/>
  <c r="W121" i="9"/>
  <c r="V121" i="9" s="1"/>
  <c r="AB121" i="9"/>
  <c r="AB225" i="9"/>
  <c r="AA201" i="9"/>
  <c r="Y18" i="9"/>
  <c r="Z225" i="9"/>
  <c r="W225" i="9"/>
  <c r="AB18" i="9"/>
  <c r="Y225" i="9"/>
  <c r="AB32" i="9"/>
  <c r="W170" i="9"/>
  <c r="W107" i="9"/>
  <c r="X107" i="9"/>
  <c r="AA659" i="9"/>
  <c r="Y709" i="9"/>
  <c r="X238" i="9"/>
  <c r="X709" i="9"/>
  <c r="AB764" i="9"/>
  <c r="Z288" i="9"/>
  <c r="W519" i="9"/>
  <c r="W419" i="9"/>
  <c r="W288" i="9"/>
  <c r="AA170" i="9"/>
  <c r="W469" i="9"/>
  <c r="Y186" i="9"/>
  <c r="AA419" i="9"/>
  <c r="Z519" i="9"/>
  <c r="AA186" i="9"/>
  <c r="Y238" i="9"/>
  <c r="X170" i="9"/>
  <c r="V170" i="9" s="1"/>
  <c r="AB170" i="9"/>
  <c r="Z469" i="9"/>
  <c r="AB186" i="9"/>
  <c r="AA469" i="9"/>
  <c r="X764" i="9"/>
  <c r="AA709" i="9"/>
  <c r="Z186" i="9"/>
  <c r="AA142" i="9"/>
  <c r="Z764" i="9"/>
  <c r="Z238" i="9"/>
  <c r="X142" i="9"/>
  <c r="V142" i="9" s="1"/>
  <c r="X519" i="9"/>
  <c r="AA238" i="9"/>
  <c r="Y815" i="9"/>
  <c r="X469" i="9"/>
  <c r="Y764" i="9"/>
  <c r="W709" i="9"/>
  <c r="V709" i="9" s="1"/>
  <c r="AB709" i="9"/>
  <c r="AA764" i="9"/>
  <c r="X815" i="9"/>
  <c r="Z419" i="9"/>
  <c r="AB659" i="9"/>
  <c r="X419" i="9"/>
  <c r="AB419" i="9"/>
  <c r="W186" i="9"/>
  <c r="W764" i="9"/>
  <c r="V764" i="9" s="1"/>
  <c r="AB469" i="9"/>
  <c r="X186" i="9"/>
  <c r="AA288" i="9"/>
  <c r="Z709" i="9"/>
  <c r="Y419" i="9"/>
  <c r="Y469" i="9"/>
  <c r="AB519" i="9"/>
  <c r="AA519" i="9"/>
  <c r="Y519" i="9"/>
  <c r="W659" i="9"/>
  <c r="AA815" i="9"/>
  <c r="Y659" i="9"/>
  <c r="Z815" i="9"/>
  <c r="W815" i="9"/>
  <c r="V815" i="9" s="1"/>
  <c r="Z659" i="9"/>
  <c r="AB815" i="9"/>
  <c r="X659" i="9"/>
  <c r="X288" i="9"/>
  <c r="AB288" i="9"/>
  <c r="Y288" i="9"/>
  <c r="Q15" i="9"/>
  <c r="R14" i="9"/>
  <c r="S14" i="9"/>
  <c r="M301" i="8"/>
  <c r="N300" i="8"/>
  <c r="O300" i="8"/>
  <c r="O361" i="8"/>
  <c r="N361" i="8"/>
  <c r="M362" i="8"/>
  <c r="M376" i="8"/>
  <c r="O375" i="8"/>
  <c r="N375" i="8"/>
  <c r="M189" i="8"/>
  <c r="N188" i="8"/>
  <c r="O188" i="8"/>
  <c r="M217" i="8"/>
  <c r="N216" i="8"/>
  <c r="O216" i="8"/>
  <c r="N13" i="8"/>
  <c r="O13" i="8"/>
  <c r="M14" i="8"/>
  <c r="M348" i="8"/>
  <c r="N347" i="8"/>
  <c r="O347" i="8"/>
  <c r="A15" i="8"/>
  <c r="N118" i="8"/>
  <c r="M119" i="8"/>
  <c r="O118" i="8"/>
  <c r="M66" i="8"/>
  <c r="N65" i="8"/>
  <c r="O65" i="8"/>
  <c r="Q2741" i="9" l="1"/>
  <c r="R2740" i="9"/>
  <c r="S2740" i="9"/>
  <c r="Q1700" i="9"/>
  <c r="R1699" i="9"/>
  <c r="S1699" i="9"/>
  <c r="R1474" i="9"/>
  <c r="S1474" i="9"/>
  <c r="Q1475" i="9"/>
  <c r="Q1476" i="9" s="1"/>
  <c r="R291" i="9"/>
  <c r="Q292" i="9"/>
  <c r="S291" i="9"/>
  <c r="Q2398" i="9"/>
  <c r="R2397" i="9"/>
  <c r="S2397" i="9"/>
  <c r="Q2327" i="9"/>
  <c r="R2326" i="9"/>
  <c r="S2326" i="9"/>
  <c r="S100" i="9"/>
  <c r="X72" i="9" s="1"/>
  <c r="Q101" i="9"/>
  <c r="R100" i="9"/>
  <c r="R677" i="9"/>
  <c r="S677" i="9"/>
  <c r="Q678" i="9"/>
  <c r="V18" i="9"/>
  <c r="V107" i="9"/>
  <c r="V50" i="9"/>
  <c r="V201" i="9"/>
  <c r="V225" i="9"/>
  <c r="V264" i="9"/>
  <c r="S399" i="9"/>
  <c r="R399" i="9"/>
  <c r="Q400" i="9"/>
  <c r="Q16" i="9"/>
  <c r="R15" i="9"/>
  <c r="S15" i="9"/>
  <c r="V288" i="9"/>
  <c r="V419" i="9"/>
  <c r="V238" i="9"/>
  <c r="V469" i="9"/>
  <c r="V519" i="9"/>
  <c r="V659" i="9"/>
  <c r="V186" i="9"/>
  <c r="N301" i="8"/>
  <c r="O301" i="8"/>
  <c r="M302" i="8"/>
  <c r="O362" i="8"/>
  <c r="M363" i="8"/>
  <c r="N362" i="8"/>
  <c r="M190" i="8"/>
  <c r="O189" i="8"/>
  <c r="N189" i="8"/>
  <c r="M349" i="8"/>
  <c r="N348" i="8"/>
  <c r="O348" i="8"/>
  <c r="M15" i="8"/>
  <c r="O14" i="8"/>
  <c r="N14" i="8"/>
  <c r="M218" i="8"/>
  <c r="O217" i="8"/>
  <c r="N217" i="8"/>
  <c r="N376" i="8"/>
  <c r="O376" i="8"/>
  <c r="A16" i="8"/>
  <c r="M67" i="8"/>
  <c r="N66" i="8"/>
  <c r="O66" i="8"/>
  <c r="M120" i="8"/>
  <c r="N119" i="8"/>
  <c r="O119" i="8"/>
  <c r="AB72" i="9" l="1"/>
  <c r="W72" i="9"/>
  <c r="V72" i="9" s="1"/>
  <c r="Y72" i="9"/>
  <c r="S1700" i="9"/>
  <c r="R1700" i="9"/>
  <c r="Q1701" i="9"/>
  <c r="Q2742" i="9"/>
  <c r="R2741" i="9"/>
  <c r="S2741" i="9"/>
  <c r="Q1477" i="9"/>
  <c r="R1476" i="9"/>
  <c r="S1476" i="9"/>
  <c r="Q2399" i="9"/>
  <c r="R2398" i="9"/>
  <c r="S2398" i="9"/>
  <c r="S292" i="9"/>
  <c r="R292" i="9"/>
  <c r="Q293" i="9"/>
  <c r="Q2328" i="9"/>
  <c r="S2327" i="9"/>
  <c r="R2327" i="9"/>
  <c r="R1475" i="9"/>
  <c r="S1475" i="9"/>
  <c r="R101" i="9"/>
  <c r="S101" i="9"/>
  <c r="Q102" i="9"/>
  <c r="R678" i="9"/>
  <c r="Q679" i="9"/>
  <c r="S678" i="9"/>
  <c r="Q401" i="9"/>
  <c r="R400" i="9"/>
  <c r="S400" i="9"/>
  <c r="Q17" i="9"/>
  <c r="Q18" i="9" s="1"/>
  <c r="R16" i="9"/>
  <c r="S16" i="9"/>
  <c r="AC41" i="12"/>
  <c r="O41" i="12"/>
  <c r="V41" i="12"/>
  <c r="O302" i="8"/>
  <c r="N302" i="8"/>
  <c r="M303" i="8"/>
  <c r="N363" i="8"/>
  <c r="O363" i="8"/>
  <c r="N349" i="8"/>
  <c r="O349" i="8"/>
  <c r="M350" i="8"/>
  <c r="M16" i="8"/>
  <c r="O15" i="8"/>
  <c r="N15" i="8"/>
  <c r="N218" i="8"/>
  <c r="M219" i="8"/>
  <c r="O218" i="8"/>
  <c r="M191" i="8"/>
  <c r="N190" i="8"/>
  <c r="O190" i="8"/>
  <c r="A17" i="8"/>
  <c r="N120" i="8"/>
  <c r="M121" i="8"/>
  <c r="M122" i="8" s="1"/>
  <c r="O120" i="8"/>
  <c r="N67" i="8"/>
  <c r="M68" i="8"/>
  <c r="O67" i="8"/>
  <c r="Q1478" i="9" l="1"/>
  <c r="S1477" i="9"/>
  <c r="R1477" i="9"/>
  <c r="R2742" i="9"/>
  <c r="S2742" i="9"/>
  <c r="Q2743" i="9"/>
  <c r="S1701" i="9"/>
  <c r="Q1702" i="9"/>
  <c r="R1701" i="9"/>
  <c r="Q2329" i="9"/>
  <c r="S2328" i="9"/>
  <c r="R2328" i="9"/>
  <c r="Q294" i="9"/>
  <c r="S293" i="9"/>
  <c r="R293" i="9"/>
  <c r="Q2400" i="9"/>
  <c r="R2399" i="9"/>
  <c r="S2399" i="9"/>
  <c r="Q103" i="9"/>
  <c r="R102" i="9"/>
  <c r="S102" i="9"/>
  <c r="Q19" i="9"/>
  <c r="R18" i="9"/>
  <c r="S18" i="9"/>
  <c r="Q680" i="9"/>
  <c r="R679" i="9"/>
  <c r="S679" i="9"/>
  <c r="Q402" i="9"/>
  <c r="S401" i="9"/>
  <c r="R401" i="9"/>
  <c r="R17" i="9"/>
  <c r="S17" i="9"/>
  <c r="M304" i="8"/>
  <c r="N303" i="8"/>
  <c r="O303" i="8"/>
  <c r="N16" i="8"/>
  <c r="M17" i="8"/>
  <c r="O16" i="8"/>
  <c r="N122" i="8"/>
  <c r="O122" i="8"/>
  <c r="M123" i="8"/>
  <c r="M192" i="8"/>
  <c r="N191" i="8"/>
  <c r="O191" i="8"/>
  <c r="M220" i="8"/>
  <c r="N219" i="8"/>
  <c r="O219" i="8"/>
  <c r="N350" i="8"/>
  <c r="O350" i="8"/>
  <c r="A18" i="8"/>
  <c r="N121" i="8"/>
  <c r="O121" i="8"/>
  <c r="N68" i="8"/>
  <c r="M69" i="8"/>
  <c r="O68" i="8"/>
  <c r="S2743" i="9" l="1"/>
  <c r="R2743" i="9"/>
  <c r="Q2744" i="9"/>
  <c r="R1478" i="9"/>
  <c r="S1478" i="9"/>
  <c r="Q1479" i="9"/>
  <c r="R1702" i="9"/>
  <c r="Q1703" i="9"/>
  <c r="S1702" i="9"/>
  <c r="Q2330" i="9"/>
  <c r="R2329" i="9"/>
  <c r="S2329" i="9"/>
  <c r="S294" i="9"/>
  <c r="Q295" i="9"/>
  <c r="R294" i="9"/>
  <c r="Q2401" i="9"/>
  <c r="R2400" i="9"/>
  <c r="S2400" i="9"/>
  <c r="Q104" i="9"/>
  <c r="R103" i="9"/>
  <c r="S103" i="9"/>
  <c r="S680" i="9"/>
  <c r="Q681" i="9"/>
  <c r="R680" i="9"/>
  <c r="S19" i="9"/>
  <c r="Q20" i="9"/>
  <c r="R19" i="9"/>
  <c r="Q403" i="9"/>
  <c r="R402" i="9"/>
  <c r="S402" i="9"/>
  <c r="AA7" i="9"/>
  <c r="Z7" i="9"/>
  <c r="W7" i="9"/>
  <c r="AB7" i="9"/>
  <c r="X7" i="9"/>
  <c r="Y7" i="9"/>
  <c r="M305" i="8"/>
  <c r="O304" i="8"/>
  <c r="N304" i="8"/>
  <c r="M193" i="8"/>
  <c r="N192" i="8"/>
  <c r="O192" i="8"/>
  <c r="M221" i="8"/>
  <c r="N220" i="8"/>
  <c r="O220" i="8"/>
  <c r="N123" i="8"/>
  <c r="M124" i="8"/>
  <c r="O123" i="8"/>
  <c r="N17" i="8"/>
  <c r="M18" i="8"/>
  <c r="O17" i="8"/>
  <c r="A19" i="8"/>
  <c r="M70" i="8"/>
  <c r="N69" i="8"/>
  <c r="O69" i="8"/>
  <c r="Y1473" i="9" l="1"/>
  <c r="X1473" i="9"/>
  <c r="S1479" i="9"/>
  <c r="R1479" i="9"/>
  <c r="Q1480" i="9"/>
  <c r="S1703" i="9"/>
  <c r="R1703" i="9"/>
  <c r="Q1704" i="9"/>
  <c r="Q2745" i="9"/>
  <c r="R2744" i="9"/>
  <c r="S2744" i="9"/>
  <c r="Q2402" i="9"/>
  <c r="R2401" i="9"/>
  <c r="S2401" i="9"/>
  <c r="R295" i="9"/>
  <c r="S295" i="9"/>
  <c r="Q296" i="9"/>
  <c r="Q2331" i="9"/>
  <c r="R2330" i="9"/>
  <c r="S2330" i="9"/>
  <c r="Q105" i="9"/>
  <c r="R104" i="9"/>
  <c r="S104" i="9"/>
  <c r="Q881" i="9"/>
  <c r="R20" i="9"/>
  <c r="S20" i="9"/>
  <c r="Q21" i="9"/>
  <c r="R681" i="9"/>
  <c r="Q682" i="9"/>
  <c r="S681" i="9"/>
  <c r="AB675" i="9" s="1"/>
  <c r="Q404" i="9"/>
  <c r="R403" i="9"/>
  <c r="S403" i="9"/>
  <c r="V7" i="9"/>
  <c r="W40" i="12"/>
  <c r="D40" i="12"/>
  <c r="P40" i="12"/>
  <c r="G40" i="12"/>
  <c r="AD40" i="12"/>
  <c r="Z41" i="12"/>
  <c r="L41" i="12"/>
  <c r="S41" i="12"/>
  <c r="O305" i="8"/>
  <c r="M306" i="8"/>
  <c r="N305" i="8"/>
  <c r="O124" i="8"/>
  <c r="N124" i="8"/>
  <c r="M125" i="8"/>
  <c r="M222" i="8"/>
  <c r="N221" i="8"/>
  <c r="O221" i="8"/>
  <c r="O18" i="8"/>
  <c r="M19" i="8"/>
  <c r="N18" i="8"/>
  <c r="M194" i="8"/>
  <c r="N193" i="8"/>
  <c r="O193" i="8"/>
  <c r="A20" i="8"/>
  <c r="A21" i="8" s="1"/>
  <c r="A22" i="8" s="1"/>
  <c r="N70" i="8"/>
  <c r="M71" i="8"/>
  <c r="O70" i="8"/>
  <c r="AA1473" i="9" l="1"/>
  <c r="W1473" i="9"/>
  <c r="V1473" i="9" s="1"/>
  <c r="S1480" i="9"/>
  <c r="R1480" i="9"/>
  <c r="Q1481" i="9"/>
  <c r="Q2746" i="9"/>
  <c r="R2745" i="9"/>
  <c r="S2745" i="9"/>
  <c r="Q2095" i="9"/>
  <c r="Q1705" i="9"/>
  <c r="R1704" i="9"/>
  <c r="S1704" i="9"/>
  <c r="Q2332" i="9"/>
  <c r="R2331" i="9"/>
  <c r="S2331" i="9"/>
  <c r="Q2403" i="9"/>
  <c r="R2402" i="9"/>
  <c r="S2402" i="9"/>
  <c r="Q297" i="9"/>
  <c r="R296" i="9"/>
  <c r="S296" i="9"/>
  <c r="Q683" i="9"/>
  <c r="R682" i="9"/>
  <c r="S682" i="9"/>
  <c r="Q22" i="9"/>
  <c r="R21" i="9"/>
  <c r="S21" i="9"/>
  <c r="Q106" i="9"/>
  <c r="S105" i="9"/>
  <c r="R105" i="9"/>
  <c r="Q882" i="9"/>
  <c r="R881" i="9"/>
  <c r="S881" i="9"/>
  <c r="S404" i="9"/>
  <c r="Q405" i="9"/>
  <c r="R404" i="9"/>
  <c r="R47" i="12"/>
  <c r="AB47" i="12"/>
  <c r="U47" i="12"/>
  <c r="N47" i="12"/>
  <c r="Y47" i="12"/>
  <c r="K47" i="12"/>
  <c r="I40" i="12"/>
  <c r="E41" i="12"/>
  <c r="S10" i="16" s="1"/>
  <c r="H41" i="12"/>
  <c r="U10" i="16" s="1"/>
  <c r="M307" i="8"/>
  <c r="O306" i="8"/>
  <c r="N306" i="8"/>
  <c r="M126" i="8"/>
  <c r="N125" i="8"/>
  <c r="O125" i="8"/>
  <c r="O19" i="8"/>
  <c r="M20" i="8"/>
  <c r="N19" i="8"/>
  <c r="N194" i="8"/>
  <c r="M195" i="8"/>
  <c r="O194" i="8"/>
  <c r="M223" i="8"/>
  <c r="N222" i="8"/>
  <c r="O222" i="8"/>
  <c r="A23" i="8"/>
  <c r="M72" i="8"/>
  <c r="N71" i="8"/>
  <c r="O71" i="8"/>
  <c r="M139" i="8"/>
  <c r="R1705" i="9" l="1"/>
  <c r="S1705" i="9"/>
  <c r="Q1706" i="9"/>
  <c r="Q2747" i="9"/>
  <c r="R2746" i="9"/>
  <c r="S2746" i="9"/>
  <c r="Q2096" i="9"/>
  <c r="R2095" i="9"/>
  <c r="S2095" i="9"/>
  <c r="Q1482" i="9"/>
  <c r="R1481" i="9"/>
  <c r="S1481" i="9"/>
  <c r="Q298" i="9"/>
  <c r="S297" i="9"/>
  <c r="R297" i="9"/>
  <c r="Q2333" i="9"/>
  <c r="R2332" i="9"/>
  <c r="S2332" i="9"/>
  <c r="Q2404" i="9"/>
  <c r="R2403" i="9"/>
  <c r="S2403" i="9"/>
  <c r="Q348" i="9"/>
  <c r="Q23" i="9"/>
  <c r="R22" i="9"/>
  <c r="S22" i="9"/>
  <c r="Q883" i="9"/>
  <c r="R882" i="9"/>
  <c r="S882" i="9"/>
  <c r="Q107" i="9"/>
  <c r="R106" i="9"/>
  <c r="S106" i="9"/>
  <c r="R683" i="9"/>
  <c r="S683" i="9"/>
  <c r="Q684" i="9"/>
  <c r="R405" i="9"/>
  <c r="Q406" i="9"/>
  <c r="S405" i="9"/>
  <c r="W10" i="16"/>
  <c r="N307" i="8"/>
  <c r="O307" i="8"/>
  <c r="M308" i="8"/>
  <c r="M224" i="8"/>
  <c r="N223" i="8"/>
  <c r="O223" i="8"/>
  <c r="M21" i="8"/>
  <c r="N20" i="8"/>
  <c r="O20" i="8"/>
  <c r="N126" i="8"/>
  <c r="M127" i="8"/>
  <c r="O126" i="8"/>
  <c r="M196" i="8"/>
  <c r="N195" i="8"/>
  <c r="O195" i="8"/>
  <c r="A24" i="8"/>
  <c r="M140" i="8"/>
  <c r="N139" i="8"/>
  <c r="O139" i="8"/>
  <c r="N72" i="8"/>
  <c r="M73" i="8"/>
  <c r="O72" i="8"/>
  <c r="R2096" i="9" l="1"/>
  <c r="Q2097" i="9"/>
  <c r="S2096" i="9"/>
  <c r="Q2748" i="9"/>
  <c r="R2747" i="9"/>
  <c r="S2747" i="9"/>
  <c r="S1482" i="9"/>
  <c r="Q1483" i="9"/>
  <c r="R1482" i="9"/>
  <c r="R1706" i="9"/>
  <c r="S1706" i="9"/>
  <c r="Q1707" i="9"/>
  <c r="Q2334" i="9"/>
  <c r="R2333" i="9"/>
  <c r="S2333" i="9"/>
  <c r="S298" i="9"/>
  <c r="Q299" i="9"/>
  <c r="R298" i="9"/>
  <c r="Q2405" i="9"/>
  <c r="R2404" i="9"/>
  <c r="S2404" i="9"/>
  <c r="S684" i="9"/>
  <c r="R684" i="9"/>
  <c r="Q685" i="9"/>
  <c r="Q884" i="9"/>
  <c r="R883" i="9"/>
  <c r="S883" i="9"/>
  <c r="R23" i="9"/>
  <c r="Q24" i="9"/>
  <c r="S23" i="9"/>
  <c r="Q108" i="9"/>
  <c r="R107" i="9"/>
  <c r="S107" i="9"/>
  <c r="Q349" i="9"/>
  <c r="R348" i="9"/>
  <c r="S348" i="9"/>
  <c r="R406" i="9"/>
  <c r="S406" i="9"/>
  <c r="Q407" i="9"/>
  <c r="M309" i="8"/>
  <c r="O308" i="8"/>
  <c r="N308" i="8"/>
  <c r="M225" i="8"/>
  <c r="N224" i="8"/>
  <c r="O224" i="8"/>
  <c r="M128" i="8"/>
  <c r="O127" i="8"/>
  <c r="N127" i="8"/>
  <c r="M22" i="8"/>
  <c r="N21" i="8"/>
  <c r="O21" i="8"/>
  <c r="M197" i="8"/>
  <c r="N196" i="8"/>
  <c r="O196" i="8"/>
  <c r="A25" i="8"/>
  <c r="M74" i="8"/>
  <c r="N73" i="8"/>
  <c r="O73" i="8"/>
  <c r="M141" i="8"/>
  <c r="M142" i="8" s="1"/>
  <c r="N140" i="8"/>
  <c r="O140" i="8"/>
  <c r="Q2552" i="9" l="1"/>
  <c r="S1707" i="9"/>
  <c r="Q1708" i="9"/>
  <c r="R1707" i="9"/>
  <c r="Q2749" i="9"/>
  <c r="R2748" i="9"/>
  <c r="S2748" i="9"/>
  <c r="R1483" i="9"/>
  <c r="S1483" i="9"/>
  <c r="Q1484" i="9"/>
  <c r="R2097" i="9"/>
  <c r="S2097" i="9"/>
  <c r="Q2098" i="9"/>
  <c r="Q2335" i="9"/>
  <c r="R2334" i="9"/>
  <c r="S2334" i="9"/>
  <c r="Q2406" i="9"/>
  <c r="R2405" i="9"/>
  <c r="S2405" i="9"/>
  <c r="Q300" i="9"/>
  <c r="S299" i="9"/>
  <c r="R299" i="9"/>
  <c r="Q350" i="9"/>
  <c r="R349" i="9"/>
  <c r="S349" i="9"/>
  <c r="Q109" i="9"/>
  <c r="S108" i="9"/>
  <c r="R108" i="9"/>
  <c r="S685" i="9"/>
  <c r="Q686" i="9"/>
  <c r="R685" i="9"/>
  <c r="S24" i="9"/>
  <c r="R24" i="9"/>
  <c r="Q25" i="9"/>
  <c r="Q885" i="9"/>
  <c r="S884" i="9"/>
  <c r="R884" i="9"/>
  <c r="S407" i="9"/>
  <c r="Q408" i="9"/>
  <c r="R407" i="9"/>
  <c r="M310" i="8"/>
  <c r="N309" i="8"/>
  <c r="O309" i="8"/>
  <c r="N22" i="8"/>
  <c r="O22" i="8"/>
  <c r="M23" i="8"/>
  <c r="N128" i="8"/>
  <c r="O128" i="8"/>
  <c r="M129" i="8"/>
  <c r="M198" i="8"/>
  <c r="O197" i="8"/>
  <c r="N197" i="8"/>
  <c r="M143" i="8"/>
  <c r="O142" i="8"/>
  <c r="N142" i="8"/>
  <c r="M226" i="8"/>
  <c r="O225" i="8"/>
  <c r="N225" i="8"/>
  <c r="A26" i="8"/>
  <c r="N74" i="8"/>
  <c r="M75" i="8"/>
  <c r="O74" i="8"/>
  <c r="N141" i="8"/>
  <c r="O141" i="8"/>
  <c r="X53" i="12" l="1"/>
  <c r="J53" i="12"/>
  <c r="Q53" i="12"/>
  <c r="M53" i="12"/>
  <c r="AA53" i="12"/>
  <c r="T53" i="12"/>
  <c r="Q2099" i="9"/>
  <c r="S2098" i="9"/>
  <c r="R2098" i="9"/>
  <c r="S1484" i="9"/>
  <c r="Q1485" i="9"/>
  <c r="R1484" i="9"/>
  <c r="Q2750" i="9"/>
  <c r="R2749" i="9"/>
  <c r="S2749" i="9"/>
  <c r="Q1709" i="9"/>
  <c r="S1708" i="9"/>
  <c r="R1708" i="9"/>
  <c r="R2552" i="9"/>
  <c r="Q2553" i="9"/>
  <c r="S2552" i="9"/>
  <c r="Q2336" i="9"/>
  <c r="Q2337" i="9" s="1"/>
  <c r="R2335" i="9"/>
  <c r="S2335" i="9"/>
  <c r="Q2407" i="9"/>
  <c r="R2406" i="9"/>
  <c r="S2406" i="9"/>
  <c r="Q301" i="9"/>
  <c r="Q302" i="9" s="1"/>
  <c r="R300" i="9"/>
  <c r="S300" i="9"/>
  <c r="Q687" i="9"/>
  <c r="R686" i="9"/>
  <c r="S686" i="9"/>
  <c r="S350" i="9"/>
  <c r="R350" i="9"/>
  <c r="Q351" i="9"/>
  <c r="Q26" i="9"/>
  <c r="R25" i="9"/>
  <c r="S25" i="9"/>
  <c r="Q110" i="9"/>
  <c r="S109" i="9"/>
  <c r="R109" i="9"/>
  <c r="Q886" i="9"/>
  <c r="R885" i="9"/>
  <c r="S885" i="9"/>
  <c r="S408" i="9"/>
  <c r="Q409" i="9"/>
  <c r="R408" i="9"/>
  <c r="O310" i="8"/>
  <c r="M311" i="8"/>
  <c r="N310" i="8"/>
  <c r="M144" i="8"/>
  <c r="N143" i="8"/>
  <c r="O143" i="8"/>
  <c r="N129" i="8"/>
  <c r="O129" i="8"/>
  <c r="M130" i="8"/>
  <c r="N226" i="8"/>
  <c r="O226" i="8"/>
  <c r="M227" i="8"/>
  <c r="M199" i="8"/>
  <c r="N198" i="8"/>
  <c r="O198" i="8"/>
  <c r="O23" i="8"/>
  <c r="M24" i="8"/>
  <c r="N23" i="8"/>
  <c r="A27" i="8"/>
  <c r="N75" i="8"/>
  <c r="M76" i="8"/>
  <c r="M77" i="8" s="1"/>
  <c r="O75" i="8"/>
  <c r="Q2338" i="9" l="1"/>
  <c r="S2337" i="9"/>
  <c r="R2337" i="9"/>
  <c r="S2750" i="9"/>
  <c r="Q2751" i="9"/>
  <c r="R2750" i="9"/>
  <c r="S1485" i="9"/>
  <c r="R1485" i="9"/>
  <c r="Q1486" i="9"/>
  <c r="S2099" i="9"/>
  <c r="Q2100" i="9"/>
  <c r="R2099" i="9"/>
  <c r="F53" i="12"/>
  <c r="D22" i="16" s="1"/>
  <c r="R302" i="9"/>
  <c r="S302" i="9"/>
  <c r="Q303" i="9"/>
  <c r="R2553" i="9"/>
  <c r="S2553" i="9"/>
  <c r="Q2554" i="9"/>
  <c r="R1709" i="9"/>
  <c r="S1709" i="9"/>
  <c r="Q1710" i="9"/>
  <c r="C53" i="12"/>
  <c r="S301" i="9"/>
  <c r="X295" i="9" s="1"/>
  <c r="R301" i="9"/>
  <c r="Q2408" i="9"/>
  <c r="R2407" i="9"/>
  <c r="S2407" i="9"/>
  <c r="R2336" i="9"/>
  <c r="S2336" i="9"/>
  <c r="Q887" i="9"/>
  <c r="R886" i="9"/>
  <c r="S886" i="9"/>
  <c r="Q111" i="9"/>
  <c r="S110" i="9"/>
  <c r="R110" i="9"/>
  <c r="R26" i="9"/>
  <c r="S26" i="9"/>
  <c r="Q27" i="9"/>
  <c r="R351" i="9"/>
  <c r="S351" i="9"/>
  <c r="Q352" i="9"/>
  <c r="R687" i="9"/>
  <c r="S687" i="9"/>
  <c r="Q688" i="9"/>
  <c r="R409" i="9"/>
  <c r="S409" i="9"/>
  <c r="Q410" i="9"/>
  <c r="N311" i="8"/>
  <c r="O311" i="8"/>
  <c r="M312" i="8"/>
  <c r="M131" i="8"/>
  <c r="N130" i="8"/>
  <c r="O130" i="8"/>
  <c r="O77" i="8"/>
  <c r="N77" i="8"/>
  <c r="M78" i="8"/>
  <c r="M25" i="8"/>
  <c r="O24" i="8"/>
  <c r="N24" i="8"/>
  <c r="M200" i="8"/>
  <c r="N199" i="8"/>
  <c r="O199" i="8"/>
  <c r="M228" i="8"/>
  <c r="N227" i="8"/>
  <c r="O227" i="8"/>
  <c r="O144" i="8"/>
  <c r="M145" i="8"/>
  <c r="N144" i="8"/>
  <c r="A28" i="8"/>
  <c r="N76" i="8"/>
  <c r="O76" i="8"/>
  <c r="S1486" i="9" l="1"/>
  <c r="Z1480" i="9" s="1"/>
  <c r="Q1487" i="9"/>
  <c r="R1486" i="9"/>
  <c r="R2100" i="9"/>
  <c r="S2100" i="9"/>
  <c r="Q2101" i="9"/>
  <c r="Q2339" i="9"/>
  <c r="S2338" i="9"/>
  <c r="R2338" i="9"/>
  <c r="B22" i="16"/>
  <c r="F22" i="16" s="1"/>
  <c r="R1710" i="9"/>
  <c r="Q1711" i="9"/>
  <c r="S1710" i="9"/>
  <c r="S2554" i="9"/>
  <c r="Q2555" i="9"/>
  <c r="R2554" i="9"/>
  <c r="S2751" i="9"/>
  <c r="R2751" i="9"/>
  <c r="Q2752" i="9"/>
  <c r="R303" i="9"/>
  <c r="S303" i="9"/>
  <c r="Q304" i="9"/>
  <c r="Q2409" i="9"/>
  <c r="R2408" i="9"/>
  <c r="S2408" i="9"/>
  <c r="Q353" i="9"/>
  <c r="R352" i="9"/>
  <c r="S352" i="9"/>
  <c r="Q112" i="9"/>
  <c r="R111" i="9"/>
  <c r="S111" i="9"/>
  <c r="R688" i="9"/>
  <c r="Q689" i="9"/>
  <c r="S688" i="9"/>
  <c r="W682" i="9" s="1"/>
  <c r="S27" i="9"/>
  <c r="Q28" i="9"/>
  <c r="Q29" i="9" s="1"/>
  <c r="R27" i="9"/>
  <c r="Q888" i="9"/>
  <c r="R887" i="9"/>
  <c r="S887" i="9"/>
  <c r="Q411" i="9"/>
  <c r="R410" i="9"/>
  <c r="S410" i="9"/>
  <c r="N312" i="8"/>
  <c r="O312" i="8"/>
  <c r="M313" i="8"/>
  <c r="N25" i="8"/>
  <c r="M26" i="8"/>
  <c r="O25" i="8"/>
  <c r="O145" i="8"/>
  <c r="M146" i="8"/>
  <c r="N145" i="8"/>
  <c r="M229" i="8"/>
  <c r="N228" i="8"/>
  <c r="O228" i="8"/>
  <c r="N131" i="8"/>
  <c r="O131" i="8"/>
  <c r="M132" i="8"/>
  <c r="M201" i="8"/>
  <c r="N200" i="8"/>
  <c r="O200" i="8"/>
  <c r="O78" i="8"/>
  <c r="N78" i="8"/>
  <c r="M79" i="8"/>
  <c r="A29" i="8"/>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Q15" i="8"/>
  <c r="R160" i="8"/>
  <c r="Q77" i="8"/>
  <c r="Q142" i="8"/>
  <c r="Q93" i="8"/>
  <c r="R45" i="8"/>
  <c r="R30" i="8"/>
  <c r="R149" i="8"/>
  <c r="R15" i="8"/>
  <c r="Q149" i="8"/>
  <c r="R93" i="8"/>
  <c r="Q45" i="8"/>
  <c r="S2555" i="9" l="1"/>
  <c r="Q2556" i="9"/>
  <c r="R2555" i="9"/>
  <c r="Q2340" i="9"/>
  <c r="S2339" i="9"/>
  <c r="R2339" i="9"/>
  <c r="Q2102" i="9"/>
  <c r="S2101" i="9"/>
  <c r="R2101" i="9"/>
  <c r="Q1488" i="9"/>
  <c r="R1487" i="9"/>
  <c r="S1487" i="9"/>
  <c r="R304" i="9"/>
  <c r="S304" i="9"/>
  <c r="Q305" i="9"/>
  <c r="Q2753" i="9"/>
  <c r="R2752" i="9"/>
  <c r="S2752" i="9"/>
  <c r="S1711" i="9"/>
  <c r="R1711" i="9"/>
  <c r="Q1712" i="9"/>
  <c r="Q2410" i="9"/>
  <c r="R2409" i="9"/>
  <c r="S2409" i="9"/>
  <c r="S29" i="9"/>
  <c r="R29" i="9"/>
  <c r="Q30" i="9"/>
  <c r="Q889" i="9"/>
  <c r="R888" i="9"/>
  <c r="S888" i="9"/>
  <c r="S28" i="9"/>
  <c r="R28" i="9"/>
  <c r="R353" i="9"/>
  <c r="S353" i="9"/>
  <c r="Q354" i="9"/>
  <c r="Q690" i="9"/>
  <c r="S689" i="9"/>
  <c r="R689" i="9"/>
  <c r="S112" i="9"/>
  <c r="Q113" i="9"/>
  <c r="R112" i="9"/>
  <c r="Q412" i="9"/>
  <c r="R411" i="9"/>
  <c r="S411" i="9"/>
  <c r="W47" i="12"/>
  <c r="AD47" i="12"/>
  <c r="G47" i="12"/>
  <c r="P47" i="12"/>
  <c r="D47" i="12"/>
  <c r="N313" i="8"/>
  <c r="M314" i="8"/>
  <c r="O313" i="8"/>
  <c r="N132" i="8"/>
  <c r="M133" i="8"/>
  <c r="O132" i="8"/>
  <c r="M230" i="8"/>
  <c r="N229" i="8"/>
  <c r="O229" i="8"/>
  <c r="A63" i="8"/>
  <c r="O79" i="8"/>
  <c r="N79" i="8"/>
  <c r="M80" i="8"/>
  <c r="O26" i="8"/>
  <c r="N26" i="8"/>
  <c r="M27" i="8"/>
  <c r="M202" i="8"/>
  <c r="N201" i="8"/>
  <c r="O201" i="8"/>
  <c r="N146" i="8"/>
  <c r="O146" i="8"/>
  <c r="M147" i="8"/>
  <c r="P93" i="8"/>
  <c r="P149" i="8"/>
  <c r="R54" i="8"/>
  <c r="T142" i="8"/>
  <c r="T93" i="8"/>
  <c r="T122" i="8"/>
  <c r="T38" i="8"/>
  <c r="T160" i="8"/>
  <c r="T77" i="8"/>
  <c r="T149" i="8"/>
  <c r="T30" i="8"/>
  <c r="T7" i="8"/>
  <c r="T54" i="8"/>
  <c r="T45" i="8"/>
  <c r="T15" i="8"/>
  <c r="T22" i="8"/>
  <c r="P45" i="8"/>
  <c r="Q7" i="8"/>
  <c r="Q38" i="8"/>
  <c r="Q122" i="8"/>
  <c r="Q30" i="8"/>
  <c r="P30" i="8" s="1"/>
  <c r="S22" i="8"/>
  <c r="Q54" i="8"/>
  <c r="R122" i="8"/>
  <c r="R77" i="8"/>
  <c r="P77" i="8" s="1"/>
  <c r="R142" i="8"/>
  <c r="P142" i="8" s="1"/>
  <c r="R7" i="8"/>
  <c r="R38" i="8"/>
  <c r="P15" i="8"/>
  <c r="S30" i="8"/>
  <c r="S77" i="8"/>
  <c r="S45" i="8"/>
  <c r="S160" i="8"/>
  <c r="S149" i="8"/>
  <c r="S122" i="8"/>
  <c r="S142" i="8"/>
  <c r="S54" i="8"/>
  <c r="S7" i="8"/>
  <c r="S93" i="8"/>
  <c r="S38" i="8"/>
  <c r="S15" i="8"/>
  <c r="Q160" i="8"/>
  <c r="P160" i="8" s="1"/>
  <c r="Q22" i="8"/>
  <c r="R22" i="8"/>
  <c r="P54" i="8"/>
  <c r="Y2" i="9" l="1"/>
  <c r="Q2754" i="9"/>
  <c r="R2753" i="9"/>
  <c r="S2753" i="9"/>
  <c r="Q2341" i="9"/>
  <c r="S2340" i="9"/>
  <c r="R2340" i="9"/>
  <c r="R305" i="9"/>
  <c r="S305" i="9"/>
  <c r="Q306" i="9"/>
  <c r="R1488" i="9"/>
  <c r="Q1489" i="9"/>
  <c r="S1488" i="9"/>
  <c r="S2556" i="9"/>
  <c r="Q2557" i="9"/>
  <c r="R2556" i="9"/>
  <c r="R1712" i="9"/>
  <c r="S1712" i="9"/>
  <c r="Q1713" i="9"/>
  <c r="S2102" i="9"/>
  <c r="Q2103" i="9"/>
  <c r="R2102" i="9"/>
  <c r="AB883" i="9"/>
  <c r="S30" i="9"/>
  <c r="R30" i="9"/>
  <c r="Q31" i="9"/>
  <c r="Q2411" i="9"/>
  <c r="R2410" i="9"/>
  <c r="S2410" i="9"/>
  <c r="Q114" i="9"/>
  <c r="R113" i="9"/>
  <c r="S113" i="9"/>
  <c r="S690" i="9"/>
  <c r="Q691" i="9"/>
  <c r="R690" i="9"/>
  <c r="S354" i="9"/>
  <c r="R354" i="9"/>
  <c r="Q355" i="9"/>
  <c r="Q890" i="9"/>
  <c r="R889" i="9"/>
  <c r="S889" i="9"/>
  <c r="R412" i="9"/>
  <c r="S412" i="9"/>
  <c r="Q413" i="9"/>
  <c r="I47" i="12"/>
  <c r="M315" i="8"/>
  <c r="N314" i="8"/>
  <c r="O314" i="8"/>
  <c r="M231" i="8"/>
  <c r="N230" i="8"/>
  <c r="O230" i="8"/>
  <c r="A64" i="8"/>
  <c r="M148" i="8"/>
  <c r="O147" i="8"/>
  <c r="N147" i="8"/>
  <c r="O133" i="8"/>
  <c r="M134" i="8"/>
  <c r="N133" i="8"/>
  <c r="N27" i="8"/>
  <c r="O27" i="8"/>
  <c r="M28" i="8"/>
  <c r="N202" i="8"/>
  <c r="O202" i="8"/>
  <c r="M81" i="8"/>
  <c r="O80" i="8"/>
  <c r="N80" i="8"/>
  <c r="P122" i="8"/>
  <c r="P22" i="8"/>
  <c r="P38" i="8"/>
  <c r="P7" i="8"/>
  <c r="S2557" i="9" l="1"/>
  <c r="R2557" i="9"/>
  <c r="Q2558" i="9"/>
  <c r="S306" i="9"/>
  <c r="Q307" i="9"/>
  <c r="R306" i="9"/>
  <c r="Q2342" i="9"/>
  <c r="R2341" i="9"/>
  <c r="S2341" i="9"/>
  <c r="Q2104" i="9"/>
  <c r="R2103" i="9"/>
  <c r="S2103" i="9"/>
  <c r="Q1714" i="9"/>
  <c r="S1713" i="9"/>
  <c r="R1713" i="9"/>
  <c r="Q1490" i="9"/>
  <c r="S1489" i="9"/>
  <c r="R1489" i="9"/>
  <c r="Q2755" i="9"/>
  <c r="S2754" i="9"/>
  <c r="R2754" i="9"/>
  <c r="Q32" i="9"/>
  <c r="R31" i="9"/>
  <c r="S31" i="9"/>
  <c r="Q2412" i="9"/>
  <c r="R2411" i="9"/>
  <c r="S2411" i="9"/>
  <c r="Q891" i="9"/>
  <c r="R890" i="9"/>
  <c r="S890" i="9"/>
  <c r="Q356" i="9"/>
  <c r="S355" i="9"/>
  <c r="R355" i="9"/>
  <c r="Q692" i="9"/>
  <c r="R691" i="9"/>
  <c r="S691" i="9"/>
  <c r="Q115" i="9"/>
  <c r="R114" i="9"/>
  <c r="S114" i="9"/>
  <c r="Q414" i="9"/>
  <c r="R413" i="9"/>
  <c r="S413" i="9"/>
  <c r="N315" i="8"/>
  <c r="O315" i="8"/>
  <c r="M316" i="8"/>
  <c r="N28" i="8"/>
  <c r="M29" i="8"/>
  <c r="O28" i="8"/>
  <c r="M135" i="8"/>
  <c r="N134" i="8"/>
  <c r="O134" i="8"/>
  <c r="N81" i="8"/>
  <c r="O81" i="8"/>
  <c r="M82" i="8"/>
  <c r="M149" i="8"/>
  <c r="O148" i="8"/>
  <c r="N148" i="8"/>
  <c r="A65" i="8"/>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92" i="8" s="1"/>
  <c r="A93" i="8" s="1"/>
  <c r="A94" i="8" s="1"/>
  <c r="A95" i="8" s="1"/>
  <c r="A96" i="8" s="1"/>
  <c r="A97" i="8" s="1"/>
  <c r="A98" i="8" s="1"/>
  <c r="A99" i="8" s="1"/>
  <c r="A100" i="8" s="1"/>
  <c r="A101" i="8" s="1"/>
  <c r="A102" i="8" s="1"/>
  <c r="A103" i="8" s="1"/>
  <c r="A104" i="8" s="1"/>
  <c r="A105" i="8" s="1"/>
  <c r="A106" i="8" s="1"/>
  <c r="M232" i="8"/>
  <c r="N231" i="8"/>
  <c r="O231" i="8"/>
  <c r="Q1491" i="9" l="1"/>
  <c r="R1490" i="9"/>
  <c r="S1490" i="9"/>
  <c r="Q2756" i="9"/>
  <c r="S2755" i="9"/>
  <c r="R2755" i="9"/>
  <c r="Q308" i="9"/>
  <c r="S307" i="9"/>
  <c r="R307" i="9"/>
  <c r="Q2105" i="9"/>
  <c r="R2104" i="9"/>
  <c r="S2104" i="9"/>
  <c r="Q2559" i="9"/>
  <c r="S2558" i="9"/>
  <c r="R2558" i="9"/>
  <c r="S1714" i="9"/>
  <c r="Q1715" i="9"/>
  <c r="R1714" i="9"/>
  <c r="Q2343" i="9"/>
  <c r="R2342" i="9"/>
  <c r="S2342" i="9"/>
  <c r="Q2413" i="9"/>
  <c r="R2412" i="9"/>
  <c r="S2412" i="9"/>
  <c r="Q33" i="9"/>
  <c r="S32" i="9"/>
  <c r="R32" i="9"/>
  <c r="S692" i="9"/>
  <c r="R692" i="9"/>
  <c r="Q693" i="9"/>
  <c r="R356" i="9"/>
  <c r="Q357" i="9"/>
  <c r="S356" i="9"/>
  <c r="R115" i="9"/>
  <c r="Q116" i="9"/>
  <c r="S115" i="9"/>
  <c r="Q892" i="9"/>
  <c r="R891" i="9"/>
  <c r="S891" i="9"/>
  <c r="R414" i="9"/>
  <c r="S414" i="9"/>
  <c r="Q415" i="9"/>
  <c r="S2" i="8"/>
  <c r="Q2" i="8"/>
  <c r="R2" i="8"/>
  <c r="T2" i="8"/>
  <c r="M317" i="8"/>
  <c r="N316" i="8"/>
  <c r="O316" i="8"/>
  <c r="M233" i="8"/>
  <c r="N232" i="8"/>
  <c r="O232" i="8"/>
  <c r="O135" i="8"/>
  <c r="M136" i="8"/>
  <c r="N135" i="8"/>
  <c r="N149" i="8"/>
  <c r="M150" i="8"/>
  <c r="O149" i="8"/>
  <c r="M30" i="8"/>
  <c r="O29" i="8"/>
  <c r="N29" i="8"/>
  <c r="Q328" i="8"/>
  <c r="R364" i="8"/>
  <c r="R377" i="8"/>
  <c r="T364" i="8"/>
  <c r="Q338" i="8"/>
  <c r="Q176" i="8"/>
  <c r="Q364" i="8"/>
  <c r="T351" i="8"/>
  <c r="Q276" i="8"/>
  <c r="S364" i="8"/>
  <c r="T276" i="8"/>
  <c r="T328" i="8"/>
  <c r="S338" i="8"/>
  <c r="R338" i="8"/>
  <c r="T325" i="8"/>
  <c r="S176" i="8"/>
  <c r="T338" i="8"/>
  <c r="R325" i="8"/>
  <c r="R176" i="8"/>
  <c r="S351" i="8"/>
  <c r="Q377" i="8"/>
  <c r="S325" i="8"/>
  <c r="Q351" i="8"/>
  <c r="S333" i="8"/>
  <c r="Q333" i="8"/>
  <c r="R276" i="8"/>
  <c r="S276" i="8"/>
  <c r="S328" i="8"/>
  <c r="R328" i="8"/>
  <c r="T377" i="8"/>
  <c r="R333" i="8"/>
  <c r="T176" i="8"/>
  <c r="S377" i="8"/>
  <c r="R351" i="8"/>
  <c r="Q325" i="8"/>
  <c r="T333" i="8"/>
  <c r="N82" i="8"/>
  <c r="O82" i="8"/>
  <c r="M83" i="8"/>
  <c r="S1715" i="9" l="1"/>
  <c r="Q1716" i="9"/>
  <c r="R1715" i="9"/>
  <c r="R2559" i="9"/>
  <c r="S2559" i="9"/>
  <c r="Q2560" i="9"/>
  <c r="S308" i="9"/>
  <c r="Q309" i="9"/>
  <c r="R308" i="9"/>
  <c r="R2105" i="9"/>
  <c r="Q2106" i="9"/>
  <c r="S2105" i="9"/>
  <c r="Q2757" i="9"/>
  <c r="R2756" i="9"/>
  <c r="S2756" i="9"/>
  <c r="Q2344" i="9"/>
  <c r="S2343" i="9"/>
  <c r="R2343" i="9"/>
  <c r="R1491" i="9"/>
  <c r="S1491" i="9"/>
  <c r="Q1492" i="9"/>
  <c r="Q2414" i="9"/>
  <c r="R2413" i="9"/>
  <c r="S2413" i="9"/>
  <c r="R33" i="9"/>
  <c r="Q34" i="9"/>
  <c r="S33" i="9"/>
  <c r="R357" i="9"/>
  <c r="S357" i="9"/>
  <c r="Q358" i="9"/>
  <c r="S693" i="9"/>
  <c r="R693" i="9"/>
  <c r="Q694" i="9"/>
  <c r="Q893" i="9"/>
  <c r="S892" i="9"/>
  <c r="R892" i="9"/>
  <c r="Q117" i="9"/>
  <c r="Q118" i="9" s="1"/>
  <c r="R116" i="9"/>
  <c r="S116" i="9"/>
  <c r="S415" i="9"/>
  <c r="Q416" i="9"/>
  <c r="R415" i="9"/>
  <c r="P2" i="8"/>
  <c r="P377" i="8"/>
  <c r="P325" i="8"/>
  <c r="P364" i="8"/>
  <c r="O317" i="8"/>
  <c r="N317" i="8"/>
  <c r="M318" i="8"/>
  <c r="P333" i="8"/>
  <c r="P276" i="8"/>
  <c r="P328" i="8"/>
  <c r="O150" i="8"/>
  <c r="M151" i="8"/>
  <c r="N150" i="8"/>
  <c r="N136" i="8"/>
  <c r="O136" i="8"/>
  <c r="M137" i="8"/>
  <c r="M84" i="8"/>
  <c r="N83" i="8"/>
  <c r="O83" i="8"/>
  <c r="P176" i="8"/>
  <c r="M234" i="8"/>
  <c r="O233" i="8"/>
  <c r="N233" i="8"/>
  <c r="P351" i="8"/>
  <c r="P338" i="8"/>
  <c r="N30" i="8"/>
  <c r="O30" i="8"/>
  <c r="M31" i="8"/>
  <c r="Y107" i="9" l="1"/>
  <c r="Q2758" i="9"/>
  <c r="R2757" i="9"/>
  <c r="S2757" i="9"/>
  <c r="R1492" i="9"/>
  <c r="S1492" i="9"/>
  <c r="Q1493" i="9"/>
  <c r="Q2345" i="9"/>
  <c r="S2344" i="9"/>
  <c r="R2344" i="9"/>
  <c r="R2560" i="9"/>
  <c r="S2560" i="9"/>
  <c r="Q2561" i="9"/>
  <c r="S1716" i="9"/>
  <c r="R1716" i="9"/>
  <c r="Q1717" i="9"/>
  <c r="R2106" i="9"/>
  <c r="Q2107" i="9"/>
  <c r="S2106" i="9"/>
  <c r="Q310" i="9"/>
  <c r="R309" i="9"/>
  <c r="S309" i="9"/>
  <c r="Q119" i="9"/>
  <c r="R118" i="9"/>
  <c r="S118" i="9"/>
  <c r="Q35" i="9"/>
  <c r="S34" i="9"/>
  <c r="R34" i="9"/>
  <c r="Q2415" i="9"/>
  <c r="R2414" i="9"/>
  <c r="S2414" i="9"/>
  <c r="Q894" i="9"/>
  <c r="R893" i="9"/>
  <c r="S893" i="9"/>
  <c r="S694" i="9"/>
  <c r="Q695" i="9"/>
  <c r="R694" i="9"/>
  <c r="S117" i="9"/>
  <c r="R117" i="9"/>
  <c r="R358" i="9"/>
  <c r="Q359" i="9"/>
  <c r="S358" i="9"/>
  <c r="Q417" i="9"/>
  <c r="R416" i="9"/>
  <c r="S416" i="9"/>
  <c r="N318" i="8"/>
  <c r="O318" i="8"/>
  <c r="M319" i="8"/>
  <c r="O31" i="8"/>
  <c r="M32" i="8"/>
  <c r="N31" i="8"/>
  <c r="N234" i="8"/>
  <c r="M235" i="8"/>
  <c r="O234" i="8"/>
  <c r="O84" i="8"/>
  <c r="N84" i="8"/>
  <c r="M85" i="8"/>
  <c r="M138" i="8"/>
  <c r="N137" i="8"/>
  <c r="O137" i="8"/>
  <c r="M152" i="8"/>
  <c r="N151" i="8"/>
  <c r="O151" i="8"/>
  <c r="Q2108" i="9" l="1"/>
  <c r="R2107" i="9"/>
  <c r="S2107" i="9"/>
  <c r="S1717" i="9"/>
  <c r="R1717" i="9"/>
  <c r="Q1718" i="9"/>
  <c r="Q2346" i="9"/>
  <c r="S2345" i="9"/>
  <c r="R2345" i="9"/>
  <c r="Q1494" i="9"/>
  <c r="R1493" i="9"/>
  <c r="S1493" i="9"/>
  <c r="AA1487" i="9" s="1"/>
  <c r="R310" i="9"/>
  <c r="S310" i="9"/>
  <c r="Q311" i="9"/>
  <c r="R2758" i="9"/>
  <c r="S2758" i="9"/>
  <c r="Q2759" i="9"/>
  <c r="S2561" i="9"/>
  <c r="Q2562" i="9"/>
  <c r="R2561" i="9"/>
  <c r="Q120" i="9"/>
  <c r="R119" i="9"/>
  <c r="S119" i="9"/>
  <c r="R35" i="9"/>
  <c r="Q36" i="9"/>
  <c r="S35" i="9"/>
  <c r="Q2416" i="9"/>
  <c r="R2415" i="9"/>
  <c r="S2415" i="9"/>
  <c r="R359" i="9"/>
  <c r="S359" i="9"/>
  <c r="Q360" i="9"/>
  <c r="Q895" i="9"/>
  <c r="R894" i="9"/>
  <c r="S894" i="9"/>
  <c r="X60" i="9"/>
  <c r="Z60" i="9"/>
  <c r="AA60" i="9"/>
  <c r="W60" i="9"/>
  <c r="AB60" i="9"/>
  <c r="Y60" i="9"/>
  <c r="AB1672" i="9"/>
  <c r="Y70" i="9"/>
  <c r="AA70" i="9"/>
  <c r="X70" i="9"/>
  <c r="Z70" i="9"/>
  <c r="AB70" i="9"/>
  <c r="X372" i="9"/>
  <c r="Y372" i="9"/>
  <c r="W372" i="9"/>
  <c r="W70" i="9"/>
  <c r="Z372" i="9"/>
  <c r="AB372" i="9"/>
  <c r="X263" i="9"/>
  <c r="AA372" i="9"/>
  <c r="AA263" i="9"/>
  <c r="W263" i="9"/>
  <c r="AB263" i="9"/>
  <c r="Y263" i="9"/>
  <c r="Z263" i="9"/>
  <c r="AA393" i="9"/>
  <c r="AB393" i="9"/>
  <c r="Y393" i="9"/>
  <c r="X393" i="9"/>
  <c r="W393" i="9"/>
  <c r="Z393" i="9"/>
  <c r="Z98" i="9"/>
  <c r="AB98" i="9"/>
  <c r="W98" i="9"/>
  <c r="Y98" i="9"/>
  <c r="AA98" i="9"/>
  <c r="X98" i="9"/>
  <c r="AB2" i="9"/>
  <c r="X2" i="9"/>
  <c r="AA2" i="9"/>
  <c r="Z2" i="9"/>
  <c r="W2" i="9"/>
  <c r="R695" i="9"/>
  <c r="S695" i="9"/>
  <c r="Q696" i="9"/>
  <c r="Q418" i="9"/>
  <c r="Q419" i="9" s="1"/>
  <c r="S417" i="9"/>
  <c r="R417" i="9"/>
  <c r="K66" i="12"/>
  <c r="Y66" i="12"/>
  <c r="R66" i="12"/>
  <c r="N66" i="12"/>
  <c r="AB66" i="12"/>
  <c r="U66" i="12"/>
  <c r="J66" i="12"/>
  <c r="Q66" i="12"/>
  <c r="X66" i="12"/>
  <c r="M66" i="12"/>
  <c r="AA66" i="12"/>
  <c r="T66" i="12"/>
  <c r="Z61" i="12"/>
  <c r="S61" i="12"/>
  <c r="L61" i="12"/>
  <c r="O61" i="12"/>
  <c r="V61" i="12"/>
  <c r="AC61" i="12"/>
  <c r="K61" i="12"/>
  <c r="S65" i="12"/>
  <c r="Z65" i="12"/>
  <c r="L65" i="12"/>
  <c r="O65" i="12"/>
  <c r="V65" i="12"/>
  <c r="AC65" i="12"/>
  <c r="R61" i="12"/>
  <c r="Y61" i="12"/>
  <c r="U61" i="12"/>
  <c r="N61" i="12"/>
  <c r="AB61" i="12"/>
  <c r="X61" i="12"/>
  <c r="Q61" i="12"/>
  <c r="J61" i="12"/>
  <c r="M61" i="12"/>
  <c r="AA61" i="12"/>
  <c r="T61" i="12"/>
  <c r="Z56" i="12"/>
  <c r="S56" i="12"/>
  <c r="L56" i="12"/>
  <c r="V56" i="12"/>
  <c r="AC56" i="12"/>
  <c r="O56" i="12"/>
  <c r="K58" i="12"/>
  <c r="R58" i="12"/>
  <c r="Y58" i="12"/>
  <c r="AB58" i="12"/>
  <c r="N58" i="12"/>
  <c r="U58" i="12"/>
  <c r="X58" i="12"/>
  <c r="Q58" i="12"/>
  <c r="J58" i="12"/>
  <c r="AA58" i="12"/>
  <c r="M58" i="12"/>
  <c r="T58" i="12"/>
  <c r="K65" i="12"/>
  <c r="X57" i="12"/>
  <c r="J57" i="12"/>
  <c r="Q57" i="12"/>
  <c r="T57" i="12"/>
  <c r="M57" i="12"/>
  <c r="AA57" i="12"/>
  <c r="R65" i="12"/>
  <c r="Y65" i="12"/>
  <c r="N65" i="12"/>
  <c r="U65" i="12"/>
  <c r="AB65" i="12"/>
  <c r="X65" i="12"/>
  <c r="J65" i="12"/>
  <c r="Q65" i="12"/>
  <c r="M65" i="12"/>
  <c r="T65" i="12"/>
  <c r="AA65" i="12"/>
  <c r="K56" i="12"/>
  <c r="Z59" i="12"/>
  <c r="S59" i="12"/>
  <c r="L59" i="12"/>
  <c r="V59" i="12"/>
  <c r="AC59" i="12"/>
  <c r="O59" i="12"/>
  <c r="Y56" i="12"/>
  <c r="AB56" i="12"/>
  <c r="N56" i="12"/>
  <c r="R56" i="12"/>
  <c r="U56" i="12"/>
  <c r="Q56" i="12"/>
  <c r="M56" i="12"/>
  <c r="J56" i="12"/>
  <c r="T56" i="12"/>
  <c r="X56" i="12"/>
  <c r="AA56" i="12"/>
  <c r="J63" i="12"/>
  <c r="M63" i="12"/>
  <c r="Q63" i="12"/>
  <c r="AA63" i="12"/>
  <c r="T63" i="12"/>
  <c r="X63" i="12"/>
  <c r="R64" i="12"/>
  <c r="AB64" i="12"/>
  <c r="U64" i="12"/>
  <c r="Y64" i="12"/>
  <c r="K64" i="12"/>
  <c r="N64" i="12"/>
  <c r="R57" i="12"/>
  <c r="Y57" i="12"/>
  <c r="K57" i="12"/>
  <c r="AB57" i="12"/>
  <c r="U57" i="12"/>
  <c r="N57" i="12"/>
  <c r="O319" i="8"/>
  <c r="M320" i="8"/>
  <c r="N319" i="8"/>
  <c r="O152" i="8"/>
  <c r="N152" i="8"/>
  <c r="M153" i="8"/>
  <c r="O138" i="8"/>
  <c r="Q107" i="8" s="1"/>
  <c r="N138" i="8"/>
  <c r="M86" i="8"/>
  <c r="N85" i="8"/>
  <c r="O85" i="8"/>
  <c r="N32" i="8"/>
  <c r="M33" i="8"/>
  <c r="O32" i="8"/>
  <c r="S107" i="8"/>
  <c r="M236" i="8"/>
  <c r="N235" i="8"/>
  <c r="O235" i="8"/>
  <c r="X1487" i="9" l="1"/>
  <c r="V2" i="9"/>
  <c r="S311" i="9"/>
  <c r="Q312" i="9"/>
  <c r="R311" i="9"/>
  <c r="S2108" i="9"/>
  <c r="Q2109" i="9"/>
  <c r="R2108" i="9"/>
  <c r="S2759" i="9"/>
  <c r="R2759" i="9"/>
  <c r="Q2760" i="9"/>
  <c r="Q2347" i="9"/>
  <c r="Q2348" i="9" s="1"/>
  <c r="S2346" i="9"/>
  <c r="R2346" i="9"/>
  <c r="R2562" i="9"/>
  <c r="S2562" i="9"/>
  <c r="Q2563" i="9"/>
  <c r="Q1495" i="9"/>
  <c r="R1494" i="9"/>
  <c r="S1494" i="9"/>
  <c r="Q1719" i="9"/>
  <c r="R1718" i="9"/>
  <c r="S1718" i="9"/>
  <c r="Q2417" i="9"/>
  <c r="R2416" i="9"/>
  <c r="S2416" i="9"/>
  <c r="R36" i="9"/>
  <c r="S36" i="9"/>
  <c r="Q37" i="9"/>
  <c r="V372" i="9"/>
  <c r="Q121" i="9"/>
  <c r="R120" i="9"/>
  <c r="S120" i="9"/>
  <c r="V393" i="9"/>
  <c r="V70" i="9"/>
  <c r="V60" i="9"/>
  <c r="Q896" i="9"/>
  <c r="R895" i="9"/>
  <c r="S895" i="9"/>
  <c r="S360" i="9"/>
  <c r="Q361" i="9"/>
  <c r="Q362" i="9" s="1"/>
  <c r="R360" i="9"/>
  <c r="Q420" i="9"/>
  <c r="R419" i="9"/>
  <c r="S419" i="9"/>
  <c r="R696" i="9"/>
  <c r="Q697" i="9"/>
  <c r="S696" i="9"/>
  <c r="V263" i="9"/>
  <c r="V98" i="9"/>
  <c r="S418" i="9"/>
  <c r="R418" i="9"/>
  <c r="C66" i="12"/>
  <c r="B35" i="16" s="1"/>
  <c r="F66" i="12"/>
  <c r="D35" i="16" s="1"/>
  <c r="E61" i="12"/>
  <c r="S30" i="16" s="1"/>
  <c r="H61" i="12"/>
  <c r="U30" i="16" s="1"/>
  <c r="E65" i="12"/>
  <c r="S34" i="16" s="1"/>
  <c r="H65" i="12"/>
  <c r="U34" i="16" s="1"/>
  <c r="D61" i="12"/>
  <c r="G61" i="12"/>
  <c r="F61" i="12"/>
  <c r="D30" i="16" s="1"/>
  <c r="C61" i="12"/>
  <c r="P61" i="12"/>
  <c r="W61" i="12"/>
  <c r="AD61" i="12"/>
  <c r="E56" i="12"/>
  <c r="S25" i="16" s="1"/>
  <c r="H56" i="12"/>
  <c r="U25" i="16" s="1"/>
  <c r="D58" i="12"/>
  <c r="G58" i="12"/>
  <c r="C58" i="12"/>
  <c r="P58" i="12"/>
  <c r="W58" i="12"/>
  <c r="F58" i="12"/>
  <c r="D27" i="16" s="1"/>
  <c r="AD58" i="12"/>
  <c r="C57" i="12"/>
  <c r="B26" i="16" s="1"/>
  <c r="F57" i="12"/>
  <c r="D26" i="16" s="1"/>
  <c r="D65" i="12"/>
  <c r="G65" i="12"/>
  <c r="F65" i="12"/>
  <c r="D34" i="16" s="1"/>
  <c r="W65" i="12"/>
  <c r="C65" i="12"/>
  <c r="P65" i="12"/>
  <c r="AD65" i="12"/>
  <c r="E59" i="12"/>
  <c r="H59" i="12"/>
  <c r="D56" i="12"/>
  <c r="G56" i="12"/>
  <c r="C56" i="12"/>
  <c r="P56" i="12"/>
  <c r="F56" i="12"/>
  <c r="D25" i="16" s="1"/>
  <c r="AD56" i="12"/>
  <c r="W56" i="12"/>
  <c r="D64" i="12"/>
  <c r="G64" i="12"/>
  <c r="P64" i="12"/>
  <c r="W64" i="12"/>
  <c r="F63" i="12"/>
  <c r="D32" i="16" s="1"/>
  <c r="AD64" i="12"/>
  <c r="C63" i="12"/>
  <c r="D57" i="12"/>
  <c r="P57" i="12"/>
  <c r="G57" i="12"/>
  <c r="AD57" i="12"/>
  <c r="W57" i="12"/>
  <c r="M321" i="8"/>
  <c r="N320" i="8"/>
  <c r="O320" i="8"/>
  <c r="N33" i="8"/>
  <c r="O33" i="8"/>
  <c r="M34" i="8"/>
  <c r="M87" i="8"/>
  <c r="O86" i="8"/>
  <c r="N86" i="8"/>
  <c r="N153" i="8"/>
  <c r="M154" i="8"/>
  <c r="O153" i="8"/>
  <c r="M237" i="8"/>
  <c r="N236" i="8"/>
  <c r="O236" i="8"/>
  <c r="R2348" i="9" l="1"/>
  <c r="S2348" i="9"/>
  <c r="Q2349" i="9"/>
  <c r="K53" i="12"/>
  <c r="Y53" i="12"/>
  <c r="R53" i="12"/>
  <c r="AB53" i="12"/>
  <c r="U53" i="12"/>
  <c r="N53" i="12"/>
  <c r="G53" i="12" s="1"/>
  <c r="R1495" i="9"/>
  <c r="Q1496" i="9"/>
  <c r="S1495" i="9"/>
  <c r="Q1720" i="9"/>
  <c r="S1719" i="9"/>
  <c r="R1719" i="9"/>
  <c r="R2563" i="9"/>
  <c r="S2563" i="9"/>
  <c r="Q2564" i="9"/>
  <c r="R2347" i="9"/>
  <c r="S2347" i="9"/>
  <c r="S2109" i="9"/>
  <c r="Q2110" i="9"/>
  <c r="R2109" i="9"/>
  <c r="Q2761" i="9"/>
  <c r="S2760" i="9"/>
  <c r="R2760" i="9"/>
  <c r="S312" i="9"/>
  <c r="R312" i="9"/>
  <c r="Q313" i="9"/>
  <c r="Q2418" i="9"/>
  <c r="R2417" i="9"/>
  <c r="S2417" i="9"/>
  <c r="Q363" i="9"/>
  <c r="R362" i="9"/>
  <c r="S362" i="9"/>
  <c r="S121" i="9"/>
  <c r="Q122" i="9"/>
  <c r="R121" i="9"/>
  <c r="S37" i="9"/>
  <c r="Q38" i="9"/>
  <c r="R37" i="9"/>
  <c r="Q698" i="9"/>
  <c r="S697" i="9"/>
  <c r="R697" i="9"/>
  <c r="Q421" i="9"/>
  <c r="S420" i="9"/>
  <c r="R420" i="9"/>
  <c r="S361" i="9"/>
  <c r="Y347" i="9" s="1"/>
  <c r="R361" i="9"/>
  <c r="Q897" i="9"/>
  <c r="R896" i="9"/>
  <c r="S896" i="9"/>
  <c r="X339" i="9"/>
  <c r="Z339" i="9"/>
  <c r="AB339" i="9"/>
  <c r="AA339" i="9"/>
  <c r="Y339" i="9"/>
  <c r="W339" i="9"/>
  <c r="F35" i="16"/>
  <c r="W30" i="16"/>
  <c r="W34" i="16"/>
  <c r="B30" i="16"/>
  <c r="F30" i="16" s="1"/>
  <c r="I61" i="12"/>
  <c r="W25" i="16"/>
  <c r="B27" i="16"/>
  <c r="F27" i="16" s="1"/>
  <c r="I58" i="12"/>
  <c r="F26" i="16"/>
  <c r="B34" i="16"/>
  <c r="F34" i="16" s="1"/>
  <c r="I65" i="12"/>
  <c r="U28" i="16"/>
  <c r="S28" i="16"/>
  <c r="I64" i="12"/>
  <c r="B25" i="16"/>
  <c r="F25" i="16" s="1"/>
  <c r="I56" i="12"/>
  <c r="B32" i="16"/>
  <c r="F32" i="16" s="1"/>
  <c r="I57" i="12"/>
  <c r="O321" i="8"/>
  <c r="M322" i="8"/>
  <c r="N321" i="8"/>
  <c r="R107" i="8"/>
  <c r="P107" i="8" s="1"/>
  <c r="T107" i="8"/>
  <c r="M35" i="8"/>
  <c r="O34" i="8"/>
  <c r="N34" i="8"/>
  <c r="M238" i="8"/>
  <c r="N237" i="8"/>
  <c r="O237" i="8"/>
  <c r="M155" i="8"/>
  <c r="N154" i="8"/>
  <c r="O154" i="8"/>
  <c r="M88" i="8"/>
  <c r="N87" i="8"/>
  <c r="O87" i="8"/>
  <c r="S63" i="12" l="1"/>
  <c r="S71" i="12" s="1"/>
  <c r="O63" i="12"/>
  <c r="L63" i="12"/>
  <c r="AC63" i="12"/>
  <c r="AC71" i="12" s="1"/>
  <c r="Z63" i="12"/>
  <c r="Z71" i="12" s="1"/>
  <c r="V63" i="12"/>
  <c r="V71" i="12" s="1"/>
  <c r="R2349" i="9"/>
  <c r="Q2350" i="9"/>
  <c r="S2349" i="9"/>
  <c r="AD53" i="12"/>
  <c r="R2564" i="9"/>
  <c r="Q2565" i="9"/>
  <c r="S2564" i="9"/>
  <c r="Q2762" i="9"/>
  <c r="R2761" i="9"/>
  <c r="S2761" i="9"/>
  <c r="S313" i="9"/>
  <c r="Q314" i="9"/>
  <c r="R313" i="9"/>
  <c r="R2110" i="9"/>
  <c r="Q2111" i="9"/>
  <c r="S2110" i="9"/>
  <c r="S1496" i="9"/>
  <c r="Q1497" i="9"/>
  <c r="R1496" i="9"/>
  <c r="W53" i="12"/>
  <c r="S1720" i="9"/>
  <c r="R1720" i="9"/>
  <c r="Q1721" i="9"/>
  <c r="D53" i="12"/>
  <c r="I53" i="12" s="1"/>
  <c r="P53" i="12"/>
  <c r="Q2419" i="9"/>
  <c r="R2418" i="9"/>
  <c r="S2418" i="9"/>
  <c r="S363" i="9"/>
  <c r="Q364" i="9"/>
  <c r="R363" i="9"/>
  <c r="Q39" i="9"/>
  <c r="S38" i="9"/>
  <c r="X29" i="9" s="1"/>
  <c r="R38" i="9"/>
  <c r="S122" i="9"/>
  <c r="R122" i="9"/>
  <c r="Q123" i="9"/>
  <c r="Q422" i="9"/>
  <c r="R421" i="9"/>
  <c r="S421" i="9"/>
  <c r="Q699" i="9"/>
  <c r="R698" i="9"/>
  <c r="S698" i="9"/>
  <c r="W347" i="9"/>
  <c r="AB347" i="9"/>
  <c r="Z347" i="9"/>
  <c r="X347" i="9"/>
  <c r="AA347" i="9"/>
  <c r="Q898" i="9"/>
  <c r="R897" i="9"/>
  <c r="S897" i="9"/>
  <c r="V339" i="9"/>
  <c r="W28" i="16"/>
  <c r="M323" i="8"/>
  <c r="N322" i="8"/>
  <c r="O322" i="8"/>
  <c r="M239" i="8"/>
  <c r="N238" i="8"/>
  <c r="O238" i="8"/>
  <c r="O155" i="8"/>
  <c r="M156" i="8"/>
  <c r="N155" i="8"/>
  <c r="N35" i="8"/>
  <c r="O35" i="8"/>
  <c r="M36" i="8"/>
  <c r="O88" i="8"/>
  <c r="N88" i="8"/>
  <c r="M89" i="8"/>
  <c r="E63" i="12" l="1"/>
  <c r="L71" i="12"/>
  <c r="S2350" i="9"/>
  <c r="R2350" i="9"/>
  <c r="Q2351" i="9"/>
  <c r="H63" i="12"/>
  <c r="O71" i="12"/>
  <c r="R2111" i="9"/>
  <c r="S2111" i="9"/>
  <c r="Q2112" i="9"/>
  <c r="S1497" i="9"/>
  <c r="R1497" i="9"/>
  <c r="Q1498" i="9"/>
  <c r="W29" i="9"/>
  <c r="Z29" i="9"/>
  <c r="AB29" i="9"/>
  <c r="Q1722" i="9"/>
  <c r="S1721" i="9"/>
  <c r="R1721" i="9"/>
  <c r="Q315" i="9"/>
  <c r="S314" i="9"/>
  <c r="R314" i="9"/>
  <c r="Q2763" i="9"/>
  <c r="R2762" i="9"/>
  <c r="S2762" i="9"/>
  <c r="Y29" i="9"/>
  <c r="Q2566" i="9"/>
  <c r="R2565" i="9"/>
  <c r="S2565" i="9"/>
  <c r="AA29" i="9"/>
  <c r="Q2420" i="9"/>
  <c r="R2419" i="9"/>
  <c r="S2419" i="9"/>
  <c r="S123" i="9"/>
  <c r="R123" i="9"/>
  <c r="Q124" i="9"/>
  <c r="Q365" i="9"/>
  <c r="R364" i="9"/>
  <c r="S364" i="9"/>
  <c r="Q40" i="9"/>
  <c r="R39" i="9"/>
  <c r="S39" i="9"/>
  <c r="R699" i="9"/>
  <c r="S699" i="9"/>
  <c r="Q700" i="9"/>
  <c r="Q899" i="9"/>
  <c r="R898" i="9"/>
  <c r="S898" i="9"/>
  <c r="V347" i="9"/>
  <c r="Q423" i="9"/>
  <c r="R422" i="9"/>
  <c r="S422" i="9"/>
  <c r="N323" i="8"/>
  <c r="O323" i="8"/>
  <c r="M324" i="8"/>
  <c r="O36" i="8"/>
  <c r="M37" i="8"/>
  <c r="N36" i="8"/>
  <c r="M90" i="8"/>
  <c r="N89" i="8"/>
  <c r="O89" i="8"/>
  <c r="O156" i="8"/>
  <c r="M157" i="8"/>
  <c r="N156" i="8"/>
  <c r="M240" i="8"/>
  <c r="N239" i="8"/>
  <c r="O239" i="8"/>
  <c r="U32" i="16" l="1"/>
  <c r="H71" i="12"/>
  <c r="R2351" i="9"/>
  <c r="S2351" i="9"/>
  <c r="Q2352" i="9"/>
  <c r="S32" i="16"/>
  <c r="W32" i="16" s="1"/>
  <c r="E71" i="12"/>
  <c r="Q1852" i="9"/>
  <c r="Q2113" i="9"/>
  <c r="S2112" i="9"/>
  <c r="R2112" i="9"/>
  <c r="R1498" i="9"/>
  <c r="Q1499" i="9"/>
  <c r="S1498" i="9"/>
  <c r="V29" i="9"/>
  <c r="R2566" i="9"/>
  <c r="S2566" i="9"/>
  <c r="Q2567" i="9"/>
  <c r="Q316" i="9"/>
  <c r="R315" i="9"/>
  <c r="S315" i="9"/>
  <c r="Q2764" i="9"/>
  <c r="R2763" i="9"/>
  <c r="S2763" i="9"/>
  <c r="Q1723" i="9"/>
  <c r="S1722" i="9"/>
  <c r="R1722" i="9"/>
  <c r="Q366" i="9"/>
  <c r="R365" i="9"/>
  <c r="S365" i="9"/>
  <c r="Q125" i="9"/>
  <c r="S124" i="9"/>
  <c r="R124" i="9"/>
  <c r="AB562" i="9"/>
  <c r="Q41" i="9"/>
  <c r="S40" i="9"/>
  <c r="R40" i="9"/>
  <c r="Q2421" i="9"/>
  <c r="R2420" i="9"/>
  <c r="S2420" i="9"/>
  <c r="S700" i="9"/>
  <c r="R700" i="9"/>
  <c r="Q701" i="9"/>
  <c r="Q900" i="9"/>
  <c r="R899" i="9"/>
  <c r="S899" i="9"/>
  <c r="Q424" i="9"/>
  <c r="R423" i="9"/>
  <c r="S423" i="9"/>
  <c r="N324" i="8"/>
  <c r="O324" i="8"/>
  <c r="R288" i="8" s="1"/>
  <c r="M91" i="8"/>
  <c r="O90" i="8"/>
  <c r="N90" i="8"/>
  <c r="M241" i="8"/>
  <c r="N240" i="8"/>
  <c r="O240" i="8"/>
  <c r="N157" i="8"/>
  <c r="O157" i="8"/>
  <c r="M158" i="8"/>
  <c r="M38" i="8"/>
  <c r="N37" i="8"/>
  <c r="O37" i="8"/>
  <c r="Q2353" i="9" l="1"/>
  <c r="R2352" i="9"/>
  <c r="S2352" i="9"/>
  <c r="Q1724" i="9"/>
  <c r="R1723" i="9"/>
  <c r="S1723" i="9"/>
  <c r="Q2765" i="9"/>
  <c r="S2764" i="9"/>
  <c r="R2764" i="9"/>
  <c r="R2567" i="9"/>
  <c r="Q2568" i="9"/>
  <c r="S2567" i="9"/>
  <c r="S1499" i="9"/>
  <c r="R1499" i="9"/>
  <c r="Q1500" i="9"/>
  <c r="Q2114" i="9"/>
  <c r="S2113" i="9"/>
  <c r="R2113" i="9"/>
  <c r="R316" i="9"/>
  <c r="S316" i="9"/>
  <c r="Q317" i="9"/>
  <c r="S1852" i="9"/>
  <c r="R1852" i="9"/>
  <c r="Q1853" i="9"/>
  <c r="Q2422" i="9"/>
  <c r="R2421" i="9"/>
  <c r="S2421" i="9"/>
  <c r="R41" i="9"/>
  <c r="Q42" i="9"/>
  <c r="S41" i="9"/>
  <c r="Q126" i="9"/>
  <c r="S125" i="9"/>
  <c r="R125" i="9"/>
  <c r="Q367" i="9"/>
  <c r="R366" i="9"/>
  <c r="S366" i="9"/>
  <c r="Q425" i="9"/>
  <c r="R424" i="9"/>
  <c r="S424" i="9"/>
  <c r="Q901" i="9"/>
  <c r="R900" i="9"/>
  <c r="S900" i="9"/>
  <c r="R701" i="9"/>
  <c r="S701" i="9"/>
  <c r="Q702" i="9"/>
  <c r="Q288" i="8"/>
  <c r="P288" i="8" s="1"/>
  <c r="S288" i="8"/>
  <c r="T288" i="8"/>
  <c r="M242" i="8"/>
  <c r="O241" i="8"/>
  <c r="N241" i="8"/>
  <c r="M92" i="8"/>
  <c r="O91" i="8"/>
  <c r="N91" i="8"/>
  <c r="N158" i="8"/>
  <c r="O158" i="8"/>
  <c r="M159" i="8"/>
  <c r="M39" i="8"/>
  <c r="O38" i="8"/>
  <c r="N38" i="8"/>
  <c r="S2353" i="9" l="1"/>
  <c r="Q2354" i="9"/>
  <c r="R2353" i="9"/>
  <c r="Q1854" i="9"/>
  <c r="R1853" i="9"/>
  <c r="S1853" i="9"/>
  <c r="Q2115" i="9"/>
  <c r="R2114" i="9"/>
  <c r="S2114" i="9"/>
  <c r="Q318" i="9"/>
  <c r="R317" i="9"/>
  <c r="S317" i="9"/>
  <c r="Q1725" i="9"/>
  <c r="R1724" i="9"/>
  <c r="S1724" i="9"/>
  <c r="R1500" i="9"/>
  <c r="S1500" i="9"/>
  <c r="Q1501" i="9"/>
  <c r="R2568" i="9"/>
  <c r="Q2569" i="9"/>
  <c r="S2568" i="9"/>
  <c r="Q2766" i="9"/>
  <c r="R2765" i="9"/>
  <c r="S2765" i="9"/>
  <c r="S126" i="9"/>
  <c r="Q127" i="9"/>
  <c r="R126" i="9"/>
  <c r="Q368" i="9"/>
  <c r="R367" i="9"/>
  <c r="S367" i="9"/>
  <c r="Q43" i="9"/>
  <c r="S42" i="9"/>
  <c r="R42" i="9"/>
  <c r="Q2423" i="9"/>
  <c r="R2422" i="9"/>
  <c r="S2422" i="9"/>
  <c r="Q703" i="9"/>
  <c r="S702" i="9"/>
  <c r="R702" i="9"/>
  <c r="Q902" i="9"/>
  <c r="R901" i="9"/>
  <c r="S901" i="9"/>
  <c r="Q426" i="9"/>
  <c r="R425" i="9"/>
  <c r="S425" i="9"/>
  <c r="N39" i="8"/>
  <c r="M40" i="8"/>
  <c r="O39" i="8"/>
  <c r="M160" i="8"/>
  <c r="N159" i="8"/>
  <c r="O159" i="8"/>
  <c r="M93" i="8"/>
  <c r="O92" i="8"/>
  <c r="N92" i="8"/>
  <c r="N242" i="8"/>
  <c r="M243" i="8"/>
  <c r="O242" i="8"/>
  <c r="Q2355" i="9" l="1"/>
  <c r="R2354" i="9"/>
  <c r="S2354" i="9"/>
  <c r="S2766" i="9"/>
  <c r="Q2767" i="9"/>
  <c r="R2766" i="9"/>
  <c r="Q2570" i="9"/>
  <c r="S2569" i="9"/>
  <c r="R2569" i="9"/>
  <c r="S1725" i="9"/>
  <c r="R1725" i="9"/>
  <c r="Q1726" i="9"/>
  <c r="S318" i="9"/>
  <c r="Q319" i="9"/>
  <c r="R318" i="9"/>
  <c r="Q1855" i="9"/>
  <c r="S1854" i="9"/>
  <c r="R1854" i="9"/>
  <c r="Q2116" i="9"/>
  <c r="R2115" i="9"/>
  <c r="S2115" i="9"/>
  <c r="S1501" i="9"/>
  <c r="R1501" i="9"/>
  <c r="Q1502" i="9"/>
  <c r="R368" i="9"/>
  <c r="S368" i="9"/>
  <c r="Q369" i="9"/>
  <c r="Q44" i="9"/>
  <c r="R43" i="9"/>
  <c r="S43" i="9"/>
  <c r="Q2424" i="9"/>
  <c r="R2423" i="9"/>
  <c r="S2423" i="9"/>
  <c r="Q128" i="9"/>
  <c r="R127" i="9"/>
  <c r="S127" i="9"/>
  <c r="Q427" i="9"/>
  <c r="R426" i="9"/>
  <c r="S426" i="9"/>
  <c r="S703" i="9"/>
  <c r="R703" i="9"/>
  <c r="Q704" i="9"/>
  <c r="Q903" i="9"/>
  <c r="R902" i="9"/>
  <c r="S902" i="9"/>
  <c r="N40" i="8"/>
  <c r="M41" i="8"/>
  <c r="O40" i="8"/>
  <c r="M244" i="8"/>
  <c r="N243" i="8"/>
  <c r="O243" i="8"/>
  <c r="M94" i="8"/>
  <c r="N93" i="8"/>
  <c r="O93" i="8"/>
  <c r="M161" i="8"/>
  <c r="N160" i="8"/>
  <c r="O160" i="8"/>
  <c r="Q2356" i="9" l="1"/>
  <c r="R2355" i="9"/>
  <c r="S2355" i="9"/>
  <c r="Q2571" i="9"/>
  <c r="R2570" i="9"/>
  <c r="S2570" i="9"/>
  <c r="Q1503" i="9"/>
  <c r="S1502" i="9"/>
  <c r="R1502" i="9"/>
  <c r="R1855" i="9"/>
  <c r="S1855" i="9"/>
  <c r="Q1856" i="9"/>
  <c r="Q2117" i="9"/>
  <c r="R2116" i="9"/>
  <c r="S2116" i="9"/>
  <c r="S1726" i="9"/>
  <c r="Q1727" i="9"/>
  <c r="R1726" i="9"/>
  <c r="R319" i="9"/>
  <c r="Q320" i="9"/>
  <c r="S319" i="9"/>
  <c r="S2767" i="9"/>
  <c r="R2767" i="9"/>
  <c r="Q2768" i="9"/>
  <c r="S369" i="9"/>
  <c r="Q370" i="9"/>
  <c r="R369" i="9"/>
  <c r="S44" i="9"/>
  <c r="R44" i="9"/>
  <c r="Q45" i="9"/>
  <c r="R128" i="9"/>
  <c r="Q129" i="9"/>
  <c r="S128" i="9"/>
  <c r="Q2425" i="9"/>
  <c r="R2424" i="9"/>
  <c r="S2424" i="9"/>
  <c r="Q705" i="9"/>
  <c r="R704" i="9"/>
  <c r="S704" i="9"/>
  <c r="Q904" i="9"/>
  <c r="R903" i="9"/>
  <c r="S903" i="9"/>
  <c r="Q428" i="9"/>
  <c r="R427" i="9"/>
  <c r="S427" i="9"/>
  <c r="O44" i="12"/>
  <c r="V44" i="12"/>
  <c r="AC44" i="12"/>
  <c r="N94" i="8"/>
  <c r="M95" i="8"/>
  <c r="O94" i="8"/>
  <c r="M162" i="8"/>
  <c r="N161" i="8"/>
  <c r="O161" i="8"/>
  <c r="O41" i="8"/>
  <c r="N41" i="8"/>
  <c r="M42" i="8"/>
  <c r="M245" i="8"/>
  <c r="N244" i="8"/>
  <c r="O244" i="8"/>
  <c r="R2356" i="9" l="1"/>
  <c r="S2356" i="9"/>
  <c r="Q2357" i="9"/>
  <c r="Q2769" i="9"/>
  <c r="R2768" i="9"/>
  <c r="S2768" i="9"/>
  <c r="Q1504" i="9"/>
  <c r="S1503" i="9"/>
  <c r="R1503" i="9"/>
  <c r="Q321" i="9"/>
  <c r="R320" i="9"/>
  <c r="S320" i="9"/>
  <c r="Q1728" i="9"/>
  <c r="S1727" i="9"/>
  <c r="R1727" i="9"/>
  <c r="Q2118" i="9"/>
  <c r="R2117" i="9"/>
  <c r="S2117" i="9"/>
  <c r="Q1857" i="9"/>
  <c r="R1856" i="9"/>
  <c r="S1856" i="9"/>
  <c r="Q2572" i="9"/>
  <c r="R2571" i="9"/>
  <c r="S2571" i="9"/>
  <c r="Q371" i="9"/>
  <c r="Q372" i="9" s="1"/>
  <c r="S370" i="9"/>
  <c r="R370" i="9"/>
  <c r="S129" i="9"/>
  <c r="Q130" i="9"/>
  <c r="R129" i="9"/>
  <c r="Q2426" i="9"/>
  <c r="R2425" i="9"/>
  <c r="S2425" i="9"/>
  <c r="Z2274" i="9"/>
  <c r="Z2337" i="9"/>
  <c r="Z2217" i="9"/>
  <c r="Y2217" i="9"/>
  <c r="W2337" i="9"/>
  <c r="Y2337" i="9"/>
  <c r="AA2337" i="9"/>
  <c r="X2545" i="9"/>
  <c r="Y2274" i="9"/>
  <c r="X2003" i="9"/>
  <c r="AA2274" i="9"/>
  <c r="Z1695" i="9"/>
  <c r="Z2545" i="9"/>
  <c r="AB2337" i="9"/>
  <c r="W2545" i="9"/>
  <c r="Y2003" i="9"/>
  <c r="AB1695" i="9"/>
  <c r="AB2274" i="9"/>
  <c r="Y2545" i="9"/>
  <c r="AB2545" i="9"/>
  <c r="W2274" i="9"/>
  <c r="W2217" i="9"/>
  <c r="X2274" i="9"/>
  <c r="X2337" i="9"/>
  <c r="Z2003" i="9"/>
  <c r="Y1695" i="9"/>
  <c r="Z2017" i="9"/>
  <c r="X1695" i="9"/>
  <c r="AA1695" i="9"/>
  <c r="W2003" i="9"/>
  <c r="V2003" i="9" s="1"/>
  <c r="W1695" i="9"/>
  <c r="AA2003" i="9"/>
  <c r="W1651" i="9"/>
  <c r="AA2545" i="9"/>
  <c r="Y243" i="9"/>
  <c r="AA1651" i="9"/>
  <c r="X2217" i="9"/>
  <c r="AA243" i="9"/>
  <c r="AB2003" i="9"/>
  <c r="W2017" i="9"/>
  <c r="AA2217" i="9"/>
  <c r="AB243" i="9"/>
  <c r="W243" i="9"/>
  <c r="X1651" i="9"/>
  <c r="AA2017" i="9"/>
  <c r="X243" i="9"/>
  <c r="AB2017" i="9"/>
  <c r="Z243" i="9"/>
  <c r="X2017" i="9"/>
  <c r="Z1651" i="9"/>
  <c r="AB1651" i="9"/>
  <c r="Y1651" i="9"/>
  <c r="W2043" i="9"/>
  <c r="AB2217" i="9"/>
  <c r="X2043" i="9"/>
  <c r="Y2017" i="9"/>
  <c r="Z2043" i="9"/>
  <c r="AB2043" i="9"/>
  <c r="AA2069" i="9"/>
  <c r="AB2069" i="9"/>
  <c r="Y2043" i="9"/>
  <c r="AA2043" i="9"/>
  <c r="Z2069" i="9"/>
  <c r="W2069" i="9"/>
  <c r="Y2069" i="9"/>
  <c r="Y2357" i="9"/>
  <c r="X2069" i="9"/>
  <c r="Y2580" i="9"/>
  <c r="X2501" i="9"/>
  <c r="X2580" i="9"/>
  <c r="W2580" i="9"/>
  <c r="V2580" i="9" s="1"/>
  <c r="Y1787" i="9"/>
  <c r="AA1839" i="9"/>
  <c r="AB1839" i="9"/>
  <c r="Z2580" i="9"/>
  <c r="AB1787" i="9"/>
  <c r="AB2580" i="9"/>
  <c r="W1839" i="9"/>
  <c r="Y2501" i="9"/>
  <c r="AA2580" i="9"/>
  <c r="Y1839" i="9"/>
  <c r="AA1787" i="9"/>
  <c r="X1787" i="9"/>
  <c r="W1787" i="9"/>
  <c r="V1787" i="9" s="1"/>
  <c r="X1839" i="9"/>
  <c r="Z1787" i="9"/>
  <c r="Z1839" i="9"/>
  <c r="AB1476" i="9"/>
  <c r="W2501" i="9"/>
  <c r="V2501" i="9" s="1"/>
  <c r="Y51" i="9"/>
  <c r="X1728" i="9"/>
  <c r="AA2501" i="9"/>
  <c r="W2357" i="9"/>
  <c r="X51" i="9"/>
  <c r="AB2357" i="9"/>
  <c r="Z2501" i="9"/>
  <c r="AA2357" i="9"/>
  <c r="AB2501" i="9"/>
  <c r="Z1476" i="9"/>
  <c r="X1476" i="9"/>
  <c r="Y1728" i="9"/>
  <c r="W1476" i="9"/>
  <c r="AA1728" i="9"/>
  <c r="AB1728" i="9"/>
  <c r="Z2357" i="9"/>
  <c r="Z51" i="9"/>
  <c r="Z1728" i="9"/>
  <c r="X2357" i="9"/>
  <c r="AB51" i="9"/>
  <c r="W1728" i="9"/>
  <c r="V1728" i="9" s="1"/>
  <c r="AA1476" i="9"/>
  <c r="AA51" i="9"/>
  <c r="W51" i="9"/>
  <c r="W1687" i="9"/>
  <c r="V1687" i="9" s="1"/>
  <c r="Y1476" i="9"/>
  <c r="AB1601" i="9"/>
  <c r="Z1943" i="9"/>
  <c r="Z1601" i="9"/>
  <c r="X1601" i="9"/>
  <c r="AA1601" i="9"/>
  <c r="W1601" i="9"/>
  <c r="Y1601" i="9"/>
  <c r="AA235" i="9"/>
  <c r="W1943" i="9"/>
  <c r="AA1943" i="9"/>
  <c r="Z235" i="9"/>
  <c r="Y1943" i="9"/>
  <c r="Y235" i="9"/>
  <c r="X1576" i="9"/>
  <c r="AB235" i="9"/>
  <c r="X1943" i="9"/>
  <c r="Z1576" i="9"/>
  <c r="Y2240" i="9"/>
  <c r="X235" i="9"/>
  <c r="W235" i="9"/>
  <c r="V235" i="9" s="1"/>
  <c r="Z2564" i="9"/>
  <c r="X2240" i="9"/>
  <c r="AB1576" i="9"/>
  <c r="Y1576" i="9"/>
  <c r="AB1943" i="9"/>
  <c r="W1576" i="9"/>
  <c r="AB2240" i="9"/>
  <c r="W2240" i="9"/>
  <c r="V2240" i="9" s="1"/>
  <c r="AA2240" i="9"/>
  <c r="AA1576" i="9"/>
  <c r="W2564" i="9"/>
  <c r="Z2240" i="9"/>
  <c r="AA2564" i="9"/>
  <c r="AB1445" i="9"/>
  <c r="AB2564" i="9"/>
  <c r="Z302" i="9"/>
  <c r="X2564" i="9"/>
  <c r="Z1445" i="9"/>
  <c r="Y2564" i="9"/>
  <c r="W302" i="9"/>
  <c r="AA1445" i="9"/>
  <c r="Y302" i="9"/>
  <c r="Z650" i="9"/>
  <c r="X1445" i="9"/>
  <c r="AB302" i="9"/>
  <c r="AA302" i="9"/>
  <c r="W650" i="9"/>
  <c r="X302" i="9"/>
  <c r="W1445" i="9"/>
  <c r="V1445" i="9" s="1"/>
  <c r="X650" i="9"/>
  <c r="AA650" i="9"/>
  <c r="AB650" i="9"/>
  <c r="Y650" i="9"/>
  <c r="X2598" i="9"/>
  <c r="Y1445" i="9"/>
  <c r="Y2598" i="9"/>
  <c r="AB1329" i="9"/>
  <c r="AB2598" i="9"/>
  <c r="AA2598" i="9"/>
  <c r="W2598" i="9"/>
  <c r="V2598" i="9" s="1"/>
  <c r="AB200" i="9"/>
  <c r="Y1329" i="9"/>
  <c r="W200" i="9"/>
  <c r="W1329" i="9"/>
  <c r="V1329" i="9" s="1"/>
  <c r="Z1329" i="9"/>
  <c r="AA2373" i="9"/>
  <c r="X1329" i="9"/>
  <c r="AA1329" i="9"/>
  <c r="X200" i="9"/>
  <c r="Y2252" i="9"/>
  <c r="W2373" i="9"/>
  <c r="Z2598" i="9"/>
  <c r="Z2373" i="9"/>
  <c r="AB2373" i="9"/>
  <c r="Y200" i="9"/>
  <c r="AA200" i="9"/>
  <c r="X2373" i="9"/>
  <c r="Z2252" i="9"/>
  <c r="Y2373" i="9"/>
  <c r="W2252" i="9"/>
  <c r="V2252" i="9" s="1"/>
  <c r="Z200" i="9"/>
  <c r="AA2252" i="9"/>
  <c r="AB2524" i="9"/>
  <c r="X2524" i="9"/>
  <c r="AB2252" i="9"/>
  <c r="AA2524" i="9"/>
  <c r="X2252" i="9"/>
  <c r="Y2524" i="9"/>
  <c r="W2524" i="9"/>
  <c r="Y275" i="9"/>
  <c r="AA275" i="9"/>
  <c r="X275" i="9"/>
  <c r="Z2524" i="9"/>
  <c r="AB275" i="9"/>
  <c r="W275" i="9"/>
  <c r="V275" i="9" s="1"/>
  <c r="Z275" i="9"/>
  <c r="AB864" i="9"/>
  <c r="W2262" i="9"/>
  <c r="V2262" i="9" s="1"/>
  <c r="W864" i="9"/>
  <c r="Y2262" i="9"/>
  <c r="X864" i="9"/>
  <c r="Y864" i="9"/>
  <c r="Z864" i="9"/>
  <c r="AA864" i="9"/>
  <c r="AA1870" i="9"/>
  <c r="Y2615" i="9"/>
  <c r="X2262" i="9"/>
  <c r="Z1870" i="9"/>
  <c r="Z2262" i="9"/>
  <c r="W1870" i="9"/>
  <c r="AA2262" i="9"/>
  <c r="AB1870" i="9"/>
  <c r="AB2262" i="9"/>
  <c r="W2615" i="9"/>
  <c r="Y1628" i="9"/>
  <c r="W1628" i="9"/>
  <c r="AB1628" i="9"/>
  <c r="Z1628" i="9"/>
  <c r="AB2615" i="9"/>
  <c r="Y1870" i="9"/>
  <c r="X1628" i="9"/>
  <c r="X1870" i="9"/>
  <c r="AA1628" i="9"/>
  <c r="X2615" i="9"/>
  <c r="Z2615" i="9"/>
  <c r="AA2615" i="9"/>
  <c r="W2115" i="9"/>
  <c r="AB2115" i="9"/>
  <c r="X883" i="9"/>
  <c r="AA2115" i="9"/>
  <c r="Z2115" i="9"/>
  <c r="Y2115" i="9"/>
  <c r="X2115" i="9"/>
  <c r="AA883" i="9"/>
  <c r="Y883" i="9"/>
  <c r="W883" i="9"/>
  <c r="Z883" i="9"/>
  <c r="Z562" i="9"/>
  <c r="AA562" i="9"/>
  <c r="W562" i="9"/>
  <c r="Y562" i="9"/>
  <c r="X562" i="9"/>
  <c r="Q46" i="9"/>
  <c r="R45" i="9"/>
  <c r="S45" i="9"/>
  <c r="Q706" i="9"/>
  <c r="S705" i="9"/>
  <c r="R705" i="9"/>
  <c r="Q905" i="9"/>
  <c r="R904" i="9"/>
  <c r="S904" i="9"/>
  <c r="Q429" i="9"/>
  <c r="S428" i="9"/>
  <c r="R428" i="9"/>
  <c r="N162" i="8"/>
  <c r="O162" i="8"/>
  <c r="M163" i="8"/>
  <c r="N95" i="8"/>
  <c r="M96" i="8"/>
  <c r="O95" i="8"/>
  <c r="M246" i="8"/>
  <c r="N245" i="8"/>
  <c r="O245" i="8"/>
  <c r="M43" i="8"/>
  <c r="N42" i="8"/>
  <c r="O42" i="8"/>
  <c r="Q2358" i="9" l="1"/>
  <c r="R2357" i="9"/>
  <c r="S2357" i="9"/>
  <c r="R372" i="9"/>
  <c r="S372" i="9"/>
  <c r="Q373" i="9"/>
  <c r="V51" i="9"/>
  <c r="R2118" i="9"/>
  <c r="S2118" i="9"/>
  <c r="Q2119" i="9"/>
  <c r="Q2770" i="9"/>
  <c r="R2769" i="9"/>
  <c r="S2769" i="9"/>
  <c r="Q1858" i="9"/>
  <c r="S1857" i="9"/>
  <c r="R1857" i="9"/>
  <c r="R2572" i="9"/>
  <c r="S2572" i="9"/>
  <c r="Q2573" i="9"/>
  <c r="R321" i="9"/>
  <c r="Q322" i="9"/>
  <c r="S321" i="9"/>
  <c r="S1504" i="9"/>
  <c r="R1504" i="9"/>
  <c r="Q1505" i="9"/>
  <c r="Q2303" i="9"/>
  <c r="Q1729" i="9"/>
  <c r="R1728" i="9"/>
  <c r="S1728" i="9"/>
  <c r="V302" i="9"/>
  <c r="V2043" i="9"/>
  <c r="V1651" i="9"/>
  <c r="V2274" i="9"/>
  <c r="V2337" i="9"/>
  <c r="V562" i="9"/>
  <c r="V883" i="9"/>
  <c r="V2115" i="9"/>
  <c r="V2373" i="9"/>
  <c r="V200" i="9"/>
  <c r="V650" i="9"/>
  <c r="V2564" i="9"/>
  <c r="V1476" i="9"/>
  <c r="V2069" i="9"/>
  <c r="V2017" i="9"/>
  <c r="Q2427" i="9"/>
  <c r="R2426" i="9"/>
  <c r="S2426" i="9"/>
  <c r="V2615" i="9"/>
  <c r="V1870" i="9"/>
  <c r="V1576" i="9"/>
  <c r="V1601" i="9"/>
  <c r="V2357" i="9"/>
  <c r="V1839" i="9"/>
  <c r="V243" i="9"/>
  <c r="V1695" i="9"/>
  <c r="V2545" i="9"/>
  <c r="Q131" i="9"/>
  <c r="R130" i="9"/>
  <c r="S130" i="9"/>
  <c r="S46" i="9"/>
  <c r="R46" i="9"/>
  <c r="Q47" i="9"/>
  <c r="V1628" i="9"/>
  <c r="V864" i="9"/>
  <c r="V2524" i="9"/>
  <c r="V1943" i="9"/>
  <c r="V2217" i="9"/>
  <c r="S371" i="9"/>
  <c r="R371" i="9"/>
  <c r="Q707" i="9"/>
  <c r="R706" i="9"/>
  <c r="S706" i="9"/>
  <c r="Q430" i="9"/>
  <c r="R429" i="9"/>
  <c r="S429" i="9"/>
  <c r="Q906" i="9"/>
  <c r="R905" i="9"/>
  <c r="S905" i="9"/>
  <c r="M247" i="8"/>
  <c r="N246" i="8"/>
  <c r="O246" i="8"/>
  <c r="O163" i="8"/>
  <c r="N163" i="8"/>
  <c r="M164" i="8"/>
  <c r="O43" i="8"/>
  <c r="M44" i="8"/>
  <c r="N43" i="8"/>
  <c r="N96" i="8"/>
  <c r="M97" i="8"/>
  <c r="O96" i="8"/>
  <c r="Q2359" i="9" l="1"/>
  <c r="R2358" i="9"/>
  <c r="S2358" i="9"/>
  <c r="Q374" i="9"/>
  <c r="R373" i="9"/>
  <c r="S373" i="9"/>
  <c r="R1729" i="9"/>
  <c r="S1729" i="9"/>
  <c r="Q1730" i="9"/>
  <c r="S2303" i="9"/>
  <c r="R2303" i="9"/>
  <c r="Q2304" i="9"/>
  <c r="R322" i="9"/>
  <c r="S322" i="9"/>
  <c r="Q323" i="9"/>
  <c r="R1858" i="9"/>
  <c r="S1858" i="9"/>
  <c r="Q1859" i="9"/>
  <c r="Q2771" i="9"/>
  <c r="S2770" i="9"/>
  <c r="R2770" i="9"/>
  <c r="S1505" i="9"/>
  <c r="R1505" i="9"/>
  <c r="Q1506" i="9"/>
  <c r="S2573" i="9"/>
  <c r="Q2574" i="9"/>
  <c r="R2573" i="9"/>
  <c r="R2119" i="9"/>
  <c r="S2119" i="9"/>
  <c r="Q2120" i="9"/>
  <c r="Q132" i="9"/>
  <c r="R131" i="9"/>
  <c r="S131" i="9"/>
  <c r="Q2428" i="9"/>
  <c r="R2427" i="9"/>
  <c r="S2427" i="9"/>
  <c r="X343" i="9"/>
  <c r="Z343" i="9"/>
  <c r="AB343" i="9"/>
  <c r="W343" i="9"/>
  <c r="Y343" i="9"/>
  <c r="AA343" i="9"/>
  <c r="S47" i="9"/>
  <c r="R47" i="9"/>
  <c r="Q48" i="9"/>
  <c r="Q708" i="9"/>
  <c r="S707" i="9"/>
  <c r="R707" i="9"/>
  <c r="S430" i="9"/>
  <c r="Q431" i="9"/>
  <c r="R430" i="9"/>
  <c r="Q907" i="9"/>
  <c r="R906" i="9"/>
  <c r="S906" i="9"/>
  <c r="Y9" i="1" a="1"/>
  <c r="Y9" i="1" s="1"/>
  <c r="Y10" i="1"/>
  <c r="M45" i="8"/>
  <c r="N44" i="8"/>
  <c r="O44" i="8"/>
  <c r="N97" i="8"/>
  <c r="M98" i="8"/>
  <c r="O97" i="8"/>
  <c r="M165" i="8"/>
  <c r="N164" i="8"/>
  <c r="O164" i="8"/>
  <c r="M248" i="8"/>
  <c r="N247" i="8"/>
  <c r="O247" i="8"/>
  <c r="S374" i="9" l="1"/>
  <c r="Q375" i="9"/>
  <c r="R374" i="9"/>
  <c r="Q2360" i="9"/>
  <c r="S2359" i="9"/>
  <c r="R2359" i="9"/>
  <c r="R1859" i="9"/>
  <c r="S1859" i="9"/>
  <c r="Q1860" i="9"/>
  <c r="R2120" i="9"/>
  <c r="Q2121" i="9"/>
  <c r="S2120" i="9"/>
  <c r="Q1507" i="9"/>
  <c r="R1506" i="9"/>
  <c r="S1506" i="9"/>
  <c r="Q1731" i="9"/>
  <c r="R1730" i="9"/>
  <c r="S1730" i="9"/>
  <c r="Q2575" i="9"/>
  <c r="R2574" i="9"/>
  <c r="S2574" i="9"/>
  <c r="R2304" i="9"/>
  <c r="Q2305" i="9"/>
  <c r="S2304" i="9"/>
  <c r="Q2772" i="9"/>
  <c r="S2771" i="9"/>
  <c r="R2771" i="9"/>
  <c r="R323" i="9"/>
  <c r="S323" i="9"/>
  <c r="Q324" i="9"/>
  <c r="S132" i="9"/>
  <c r="Q133" i="9"/>
  <c r="R132" i="9"/>
  <c r="V343" i="9"/>
  <c r="Q49" i="9"/>
  <c r="S48" i="9"/>
  <c r="R48" i="9"/>
  <c r="Q2429" i="9"/>
  <c r="R2428" i="9"/>
  <c r="S2428" i="9"/>
  <c r="S431" i="9"/>
  <c r="R431" i="9"/>
  <c r="Q432" i="9"/>
  <c r="Q709" i="9"/>
  <c r="R708" i="9"/>
  <c r="S708" i="9"/>
  <c r="Q908" i="9"/>
  <c r="R907" i="9"/>
  <c r="S907" i="9"/>
  <c r="M249" i="8"/>
  <c r="N248" i="8"/>
  <c r="O248" i="8"/>
  <c r="M166" i="8"/>
  <c r="O165" i="8"/>
  <c r="N165" i="8"/>
  <c r="M99" i="8"/>
  <c r="N98" i="8"/>
  <c r="O98" i="8"/>
  <c r="O45" i="8"/>
  <c r="N45" i="8"/>
  <c r="M46" i="8"/>
  <c r="Q376" i="9" l="1"/>
  <c r="S375" i="9"/>
  <c r="R375" i="9"/>
  <c r="R2360" i="9"/>
  <c r="Q2361" i="9"/>
  <c r="S2360" i="9"/>
  <c r="Z1501" i="9"/>
  <c r="X1501" i="9"/>
  <c r="Q1732" i="9"/>
  <c r="R1731" i="9"/>
  <c r="S1731" i="9"/>
  <c r="Q1861" i="9"/>
  <c r="S1860" i="9"/>
  <c r="R1860" i="9"/>
  <c r="Q2122" i="9"/>
  <c r="R2121" i="9"/>
  <c r="S2121" i="9"/>
  <c r="Q2773" i="9"/>
  <c r="R2772" i="9"/>
  <c r="S2772" i="9"/>
  <c r="S1507" i="9"/>
  <c r="Q1508" i="9"/>
  <c r="R1507" i="9"/>
  <c r="Q325" i="9"/>
  <c r="R324" i="9"/>
  <c r="S324" i="9"/>
  <c r="Q2306" i="9"/>
  <c r="R2305" i="9"/>
  <c r="S2305" i="9"/>
  <c r="Q2576" i="9"/>
  <c r="R2575" i="9"/>
  <c r="S2575" i="9"/>
  <c r="R49" i="9"/>
  <c r="Q50" i="9"/>
  <c r="S49" i="9"/>
  <c r="Q134" i="9"/>
  <c r="R133" i="9"/>
  <c r="S133" i="9"/>
  <c r="Q2430" i="9"/>
  <c r="R2429" i="9"/>
  <c r="S2429" i="9"/>
  <c r="Q710" i="9"/>
  <c r="S709" i="9"/>
  <c r="Z703" i="9" s="1"/>
  <c r="R709" i="9"/>
  <c r="Q909" i="9"/>
  <c r="R908" i="9"/>
  <c r="S908" i="9"/>
  <c r="Q433" i="9"/>
  <c r="R432" i="9"/>
  <c r="S432" i="9"/>
  <c r="S44" i="12"/>
  <c r="L44" i="12"/>
  <c r="Z44" i="12"/>
  <c r="O46" i="8"/>
  <c r="M47" i="8"/>
  <c r="N46" i="8"/>
  <c r="M167" i="8"/>
  <c r="N166" i="8"/>
  <c r="O166" i="8"/>
  <c r="O99" i="8"/>
  <c r="N99" i="8"/>
  <c r="M100" i="8"/>
  <c r="M250" i="8"/>
  <c r="O249" i="8"/>
  <c r="N249" i="8"/>
  <c r="S2361" i="9" l="1"/>
  <c r="R2361" i="9"/>
  <c r="Q2362" i="9"/>
  <c r="Q377" i="9"/>
  <c r="R376" i="9"/>
  <c r="S376" i="9"/>
  <c r="R325" i="9"/>
  <c r="Q326" i="9"/>
  <c r="S325" i="9"/>
  <c r="S2122" i="9"/>
  <c r="R2122" i="9"/>
  <c r="Q2123" i="9"/>
  <c r="R1861" i="9"/>
  <c r="Q1862" i="9"/>
  <c r="S1861" i="9"/>
  <c r="R2306" i="9"/>
  <c r="S2306" i="9"/>
  <c r="Q2307" i="9"/>
  <c r="R2576" i="9"/>
  <c r="S2576" i="9"/>
  <c r="Q2577" i="9"/>
  <c r="Q1509" i="9"/>
  <c r="R1508" i="9"/>
  <c r="S1508" i="9"/>
  <c r="Q2774" i="9"/>
  <c r="R2773" i="9"/>
  <c r="S2773" i="9"/>
  <c r="S1732" i="9"/>
  <c r="Q1733" i="9"/>
  <c r="R1732" i="9"/>
  <c r="S50" i="9"/>
  <c r="AB39" i="9" s="1"/>
  <c r="R50" i="9"/>
  <c r="Q2431" i="9"/>
  <c r="R2430" i="9"/>
  <c r="S2430" i="9"/>
  <c r="R134" i="9"/>
  <c r="S134" i="9"/>
  <c r="Q135" i="9"/>
  <c r="Q910" i="9"/>
  <c r="R909" i="9"/>
  <c r="S909" i="9"/>
  <c r="Q711" i="9"/>
  <c r="R710" i="9"/>
  <c r="S710" i="9"/>
  <c r="R433" i="9"/>
  <c r="Q434" i="9"/>
  <c r="S433" i="9"/>
  <c r="E44" i="12"/>
  <c r="H44" i="12"/>
  <c r="U13" i="16" s="1"/>
  <c r="N250" i="8"/>
  <c r="M251" i="8"/>
  <c r="O250" i="8"/>
  <c r="M101" i="8"/>
  <c r="N100" i="8"/>
  <c r="O100" i="8"/>
  <c r="M168" i="8"/>
  <c r="O167" i="8"/>
  <c r="N167" i="8"/>
  <c r="M48" i="8"/>
  <c r="N47" i="8"/>
  <c r="O47" i="8"/>
  <c r="Q378" i="9" l="1"/>
  <c r="R377" i="9"/>
  <c r="S377" i="9"/>
  <c r="S2362" i="9"/>
  <c r="R2362" i="9"/>
  <c r="Q1734" i="9"/>
  <c r="R1733" i="9"/>
  <c r="S1733" i="9"/>
  <c r="Q2308" i="9"/>
  <c r="R2307" i="9"/>
  <c r="S2307" i="9"/>
  <c r="R1862" i="9"/>
  <c r="Q1863" i="9"/>
  <c r="S1862" i="9"/>
  <c r="Q1510" i="9"/>
  <c r="R1509" i="9"/>
  <c r="S1509" i="9"/>
  <c r="R2774" i="9"/>
  <c r="S2774" i="9"/>
  <c r="Q2775" i="9"/>
  <c r="R2577" i="9"/>
  <c r="S2577" i="9"/>
  <c r="Q2578" i="9"/>
  <c r="Q2124" i="9"/>
  <c r="S2123" i="9"/>
  <c r="R2123" i="9"/>
  <c r="Q327" i="9"/>
  <c r="R326" i="9"/>
  <c r="S326" i="9"/>
  <c r="Q2432" i="9"/>
  <c r="R2431" i="9"/>
  <c r="S2431" i="9"/>
  <c r="AB21" i="9"/>
  <c r="X21" i="9"/>
  <c r="S135" i="9"/>
  <c r="Q136" i="9"/>
  <c r="R135" i="9"/>
  <c r="Y21" i="9"/>
  <c r="Q911" i="9"/>
  <c r="R910" i="9"/>
  <c r="S910" i="9"/>
  <c r="Q712" i="9"/>
  <c r="R711" i="9"/>
  <c r="S711" i="9"/>
  <c r="S434" i="9"/>
  <c r="R434" i="9"/>
  <c r="Q435" i="9"/>
  <c r="S13" i="16"/>
  <c r="W13" i="16" s="1"/>
  <c r="N101" i="8"/>
  <c r="O101" i="8"/>
  <c r="M102" i="8"/>
  <c r="M169" i="8"/>
  <c r="O168" i="8"/>
  <c r="N168" i="8"/>
  <c r="M252" i="8"/>
  <c r="N251" i="8"/>
  <c r="O251" i="8"/>
  <c r="O48" i="8"/>
  <c r="M49" i="8"/>
  <c r="N48" i="8"/>
  <c r="R378" i="9" l="1"/>
  <c r="S378" i="9"/>
  <c r="Q328" i="9"/>
  <c r="R327" i="9"/>
  <c r="S327" i="9"/>
  <c r="R2578" i="9"/>
  <c r="Q2579" i="9"/>
  <c r="S2578" i="9"/>
  <c r="R1510" i="9"/>
  <c r="S1510" i="9"/>
  <c r="Q1511" i="9"/>
  <c r="Q2125" i="9"/>
  <c r="R2124" i="9"/>
  <c r="S2124" i="9"/>
  <c r="S2775" i="9"/>
  <c r="R2775" i="9"/>
  <c r="Q2776" i="9"/>
  <c r="R1863" i="9"/>
  <c r="S1863" i="9"/>
  <c r="Q1864" i="9"/>
  <c r="R2308" i="9"/>
  <c r="S2308" i="9"/>
  <c r="Q2309" i="9"/>
  <c r="R1734" i="9"/>
  <c r="S1734" i="9"/>
  <c r="Q1735" i="9"/>
  <c r="S136" i="9"/>
  <c r="R136" i="9"/>
  <c r="Q137" i="9"/>
  <c r="Q2433" i="9"/>
  <c r="R2432" i="9"/>
  <c r="S2432" i="9"/>
  <c r="Q713" i="9"/>
  <c r="R712" i="9"/>
  <c r="S712" i="9"/>
  <c r="R435" i="9"/>
  <c r="S435" i="9"/>
  <c r="Q436" i="9"/>
  <c r="Q912" i="9"/>
  <c r="R911" i="9"/>
  <c r="S911" i="9"/>
  <c r="N169" i="8"/>
  <c r="O169" i="8"/>
  <c r="M170" i="8"/>
  <c r="O49" i="8"/>
  <c r="M50" i="8"/>
  <c r="N49" i="8"/>
  <c r="M253" i="8"/>
  <c r="N252" i="8"/>
  <c r="O252" i="8"/>
  <c r="O102" i="8"/>
  <c r="N102" i="8"/>
  <c r="M103" i="8"/>
  <c r="X370" i="9" l="1"/>
  <c r="AA370" i="9"/>
  <c r="S1864" i="9"/>
  <c r="Q1865" i="9"/>
  <c r="R1864" i="9"/>
  <c r="Q2126" i="9"/>
  <c r="R2125" i="9"/>
  <c r="S2125" i="9"/>
  <c r="Q2310" i="9"/>
  <c r="R2309" i="9"/>
  <c r="S2309" i="9"/>
  <c r="Q1736" i="9"/>
  <c r="S1735" i="9"/>
  <c r="R1735" i="9"/>
  <c r="Q2777" i="9"/>
  <c r="R2776" i="9"/>
  <c r="S2776" i="9"/>
  <c r="S1511" i="9"/>
  <c r="Q1512" i="9"/>
  <c r="R1511" i="9"/>
  <c r="Q2580" i="9"/>
  <c r="R2579" i="9"/>
  <c r="S2579" i="9"/>
  <c r="R328" i="9"/>
  <c r="S328" i="9"/>
  <c r="Q329" i="9"/>
  <c r="Q2434" i="9"/>
  <c r="R2433" i="9"/>
  <c r="S2433" i="9"/>
  <c r="Q138" i="9"/>
  <c r="S137" i="9"/>
  <c r="Z134" i="9" s="1"/>
  <c r="R137" i="9"/>
  <c r="Q913" i="9"/>
  <c r="R912" i="9"/>
  <c r="S912" i="9"/>
  <c r="S436" i="9"/>
  <c r="Q437" i="9"/>
  <c r="R436" i="9"/>
  <c r="Q714" i="9"/>
  <c r="S713" i="9"/>
  <c r="R713" i="9"/>
  <c r="O103" i="8"/>
  <c r="M104" i="8"/>
  <c r="N103" i="8"/>
  <c r="M254" i="8"/>
  <c r="N253" i="8"/>
  <c r="O253" i="8"/>
  <c r="N170" i="8"/>
  <c r="O170" i="8"/>
  <c r="M171" i="8"/>
  <c r="O50" i="8"/>
  <c r="M51" i="8"/>
  <c r="N50" i="8"/>
  <c r="Q1513" i="9" l="1"/>
  <c r="R1512" i="9"/>
  <c r="S1512" i="9"/>
  <c r="Q2778" i="9"/>
  <c r="R2777" i="9"/>
  <c r="S2777" i="9"/>
  <c r="S2126" i="9"/>
  <c r="Q2127" i="9"/>
  <c r="R2126" i="9"/>
  <c r="S2310" i="9"/>
  <c r="Q2311" i="9"/>
  <c r="R2310" i="9"/>
  <c r="Q1737" i="9"/>
  <c r="R1736" i="9"/>
  <c r="S1736" i="9"/>
  <c r="Q330" i="9"/>
  <c r="S329" i="9"/>
  <c r="R329" i="9"/>
  <c r="S2580" i="9"/>
  <c r="Q2581" i="9"/>
  <c r="R2580" i="9"/>
  <c r="R1865" i="9"/>
  <c r="Q1866" i="9"/>
  <c r="S1865" i="9"/>
  <c r="Q2435" i="9"/>
  <c r="R2434" i="9"/>
  <c r="S2434" i="9"/>
  <c r="Q139" i="9"/>
  <c r="S138" i="9"/>
  <c r="R138" i="9"/>
  <c r="Q438" i="9"/>
  <c r="S437" i="9"/>
  <c r="R437" i="9"/>
  <c r="Q914" i="9"/>
  <c r="R913" i="9"/>
  <c r="S913" i="9"/>
  <c r="Q715" i="9"/>
  <c r="S714" i="9"/>
  <c r="R714" i="9"/>
  <c r="M255" i="8"/>
  <c r="N254" i="8"/>
  <c r="O254" i="8"/>
  <c r="N51" i="8"/>
  <c r="M52" i="8"/>
  <c r="O51" i="8"/>
  <c r="N104" i="8"/>
  <c r="O104" i="8"/>
  <c r="M105" i="8"/>
  <c r="M172" i="8"/>
  <c r="N171" i="8"/>
  <c r="O171" i="8"/>
  <c r="Y63" i="12" l="1"/>
  <c r="R63" i="12"/>
  <c r="K63" i="12"/>
  <c r="U63" i="12"/>
  <c r="N63" i="12"/>
  <c r="AB63" i="12"/>
  <c r="S1737" i="9"/>
  <c r="Q1738" i="9"/>
  <c r="R1737" i="9"/>
  <c r="Q2128" i="9"/>
  <c r="S2127" i="9"/>
  <c r="R2127" i="9"/>
  <c r="Q1514" i="9"/>
  <c r="S1513" i="9"/>
  <c r="R1513" i="9"/>
  <c r="R330" i="9"/>
  <c r="S330" i="9"/>
  <c r="Q331" i="9"/>
  <c r="S2311" i="9"/>
  <c r="Q2312" i="9"/>
  <c r="R2311" i="9"/>
  <c r="Q2779" i="9"/>
  <c r="R2778" i="9"/>
  <c r="S2778" i="9"/>
  <c r="R1866" i="9"/>
  <c r="Q1867" i="9"/>
  <c r="S1866" i="9"/>
  <c r="R2581" i="9"/>
  <c r="S2581" i="9"/>
  <c r="Q2582" i="9"/>
  <c r="R139" i="9"/>
  <c r="S139" i="9"/>
  <c r="Q140" i="9"/>
  <c r="Q2436" i="9"/>
  <c r="R2435" i="9"/>
  <c r="S2435" i="9"/>
  <c r="Q439" i="9"/>
  <c r="R438" i="9"/>
  <c r="S438" i="9"/>
  <c r="Q716" i="9"/>
  <c r="R715" i="9"/>
  <c r="S715" i="9"/>
  <c r="Q915" i="9"/>
  <c r="R914" i="9"/>
  <c r="S914" i="9"/>
  <c r="N172" i="8"/>
  <c r="O172" i="8"/>
  <c r="M173" i="8"/>
  <c r="N105" i="8"/>
  <c r="M106" i="8"/>
  <c r="O105" i="8"/>
  <c r="M53" i="8"/>
  <c r="N52" i="8"/>
  <c r="O52" i="8"/>
  <c r="M256" i="8"/>
  <c r="N255" i="8"/>
  <c r="O255" i="8"/>
  <c r="G63" i="12" l="1"/>
  <c r="AD63" i="12"/>
  <c r="P63" i="12"/>
  <c r="D63" i="12"/>
  <c r="I63" i="12" s="1"/>
  <c r="W63" i="12"/>
  <c r="Q2583" i="9"/>
  <c r="R2582" i="9"/>
  <c r="S2582" i="9"/>
  <c r="Q1868" i="9"/>
  <c r="S1867" i="9"/>
  <c r="R1867" i="9"/>
  <c r="S331" i="9"/>
  <c r="Q332" i="9"/>
  <c r="R331" i="9"/>
  <c r="Q1739" i="9"/>
  <c r="S1738" i="9"/>
  <c r="R1738" i="9"/>
  <c r="Q2780" i="9"/>
  <c r="R2779" i="9"/>
  <c r="S2779" i="9"/>
  <c r="S2128" i="9"/>
  <c r="Q2129" i="9"/>
  <c r="R2128" i="9"/>
  <c r="S2312" i="9"/>
  <c r="R2312" i="9"/>
  <c r="Q2313" i="9"/>
  <c r="S1514" i="9"/>
  <c r="R1514" i="9"/>
  <c r="Q1515" i="9"/>
  <c r="Q2437" i="9"/>
  <c r="R2436" i="9"/>
  <c r="S2436" i="9"/>
  <c r="R140" i="9"/>
  <c r="Q141" i="9"/>
  <c r="S140" i="9"/>
  <c r="Q717" i="9"/>
  <c r="R716" i="9"/>
  <c r="S716" i="9"/>
  <c r="Q916" i="9"/>
  <c r="R915" i="9"/>
  <c r="S915" i="9"/>
  <c r="R439" i="9"/>
  <c r="S439" i="9"/>
  <c r="Q440" i="9"/>
  <c r="M54" i="8"/>
  <c r="N53" i="8"/>
  <c r="O53" i="8"/>
  <c r="N173" i="8"/>
  <c r="M174" i="8"/>
  <c r="O173" i="8"/>
  <c r="M257" i="8"/>
  <c r="N256" i="8"/>
  <c r="O256" i="8"/>
  <c r="N106" i="8"/>
  <c r="O106" i="8"/>
  <c r="S1515" i="9" l="1"/>
  <c r="Q1516" i="9"/>
  <c r="R1515" i="9"/>
  <c r="Q2781" i="9"/>
  <c r="R2780" i="9"/>
  <c r="S2780" i="9"/>
  <c r="R1739" i="9"/>
  <c r="Q1740" i="9"/>
  <c r="S1739" i="9"/>
  <c r="R2129" i="9"/>
  <c r="S2129" i="9"/>
  <c r="Q2130" i="9"/>
  <c r="Q2584" i="9"/>
  <c r="R2583" i="9"/>
  <c r="S2583" i="9"/>
  <c r="R2313" i="9"/>
  <c r="S2313" i="9"/>
  <c r="Q2314" i="9"/>
  <c r="S332" i="9"/>
  <c r="Q333" i="9"/>
  <c r="R332" i="9"/>
  <c r="Q1869" i="9"/>
  <c r="R1868" i="9"/>
  <c r="S1868" i="9"/>
  <c r="S141" i="9"/>
  <c r="Z138" i="9" s="1"/>
  <c r="Q142" i="9"/>
  <c r="R141" i="9"/>
  <c r="Q2438" i="9"/>
  <c r="R2437" i="9"/>
  <c r="S2437" i="9"/>
  <c r="Q917" i="9"/>
  <c r="R916" i="9"/>
  <c r="S916" i="9"/>
  <c r="Q718" i="9"/>
  <c r="S717" i="9"/>
  <c r="R717" i="9"/>
  <c r="Q441" i="9"/>
  <c r="R440" i="9"/>
  <c r="S440" i="9"/>
  <c r="Q585" i="9"/>
  <c r="M258" i="8"/>
  <c r="O257" i="8"/>
  <c r="N257" i="8"/>
  <c r="M175" i="8"/>
  <c r="N174" i="8"/>
  <c r="O174" i="8"/>
  <c r="M55" i="8"/>
  <c r="N54" i="8"/>
  <c r="O54" i="8"/>
  <c r="Q2131" i="9" l="1"/>
  <c r="R2130" i="9"/>
  <c r="S2130" i="9"/>
  <c r="S2314" i="9"/>
  <c r="Q2315" i="9"/>
  <c r="R2314" i="9"/>
  <c r="S1869" i="9"/>
  <c r="Q1870" i="9"/>
  <c r="R1869" i="9"/>
  <c r="Q334" i="9"/>
  <c r="S333" i="9"/>
  <c r="R333" i="9"/>
  <c r="R2584" i="9"/>
  <c r="S2584" i="9"/>
  <c r="Q2585" i="9"/>
  <c r="Q1517" i="9"/>
  <c r="S1516" i="9"/>
  <c r="R1516" i="9"/>
  <c r="S1740" i="9"/>
  <c r="Q1741" i="9"/>
  <c r="R1740" i="9"/>
  <c r="Q2782" i="9"/>
  <c r="R2781" i="9"/>
  <c r="S2781" i="9"/>
  <c r="Q2439" i="9"/>
  <c r="R2438" i="9"/>
  <c r="S2438" i="9"/>
  <c r="R142" i="9"/>
  <c r="S142" i="9"/>
  <c r="Q143" i="9"/>
  <c r="Q586" i="9"/>
  <c r="S585" i="9"/>
  <c r="R585" i="9"/>
  <c r="Q442" i="9"/>
  <c r="R441" i="9"/>
  <c r="S441" i="9"/>
  <c r="Q719" i="9"/>
  <c r="R718" i="9"/>
  <c r="S718" i="9"/>
  <c r="Q918" i="9"/>
  <c r="R917" i="9"/>
  <c r="S917" i="9"/>
  <c r="N175" i="8"/>
  <c r="O175" i="8"/>
  <c r="O55" i="8"/>
  <c r="N55" i="8"/>
  <c r="M56" i="8"/>
  <c r="N258" i="8"/>
  <c r="M259" i="8"/>
  <c r="O258" i="8"/>
  <c r="S2585" i="9" l="1"/>
  <c r="Q2586" i="9"/>
  <c r="R2585" i="9"/>
  <c r="Q2316" i="9"/>
  <c r="R2315" i="9"/>
  <c r="S2315" i="9"/>
  <c r="Q1742" i="9"/>
  <c r="R1741" i="9"/>
  <c r="S1741" i="9"/>
  <c r="AB1714" i="9" s="1"/>
  <c r="R334" i="9"/>
  <c r="S334" i="9"/>
  <c r="Q335" i="9"/>
  <c r="S1870" i="9"/>
  <c r="Q1871" i="9"/>
  <c r="R1870" i="9"/>
  <c r="S2782" i="9"/>
  <c r="Q2783" i="9"/>
  <c r="R2782" i="9"/>
  <c r="S1517" i="9"/>
  <c r="Q1518" i="9"/>
  <c r="R1517" i="9"/>
  <c r="S2131" i="9"/>
  <c r="Q2132" i="9"/>
  <c r="R2131" i="9"/>
  <c r="Q2440" i="9"/>
  <c r="R2439" i="9"/>
  <c r="S2439" i="9"/>
  <c r="Q144" i="9"/>
  <c r="R143" i="9"/>
  <c r="S143" i="9"/>
  <c r="S442" i="9"/>
  <c r="Q443" i="9"/>
  <c r="R442" i="9"/>
  <c r="S719" i="9"/>
  <c r="Q720" i="9"/>
  <c r="R719" i="9"/>
  <c r="Q919" i="9"/>
  <c r="R918" i="9"/>
  <c r="S918" i="9"/>
  <c r="S586" i="9"/>
  <c r="Q587" i="9"/>
  <c r="R586" i="9"/>
  <c r="M260" i="8"/>
  <c r="N259" i="8"/>
  <c r="O259" i="8"/>
  <c r="M57" i="8"/>
  <c r="O56" i="8"/>
  <c r="N56" i="8"/>
  <c r="Q1872" i="9" l="1"/>
  <c r="S1871" i="9"/>
  <c r="R1871" i="9"/>
  <c r="R1742" i="9"/>
  <c r="S1742" i="9"/>
  <c r="Q1743" i="9"/>
  <c r="S1518" i="9"/>
  <c r="Q1519" i="9"/>
  <c r="R1518" i="9"/>
  <c r="S2783" i="9"/>
  <c r="R2783" i="9"/>
  <c r="Q2784" i="9"/>
  <c r="Q2317" i="9"/>
  <c r="R2316" i="9"/>
  <c r="S2316" i="9"/>
  <c r="Q2133" i="9"/>
  <c r="R2132" i="9"/>
  <c r="S2132" i="9"/>
  <c r="R335" i="9"/>
  <c r="S335" i="9"/>
  <c r="Q336" i="9"/>
  <c r="S2586" i="9"/>
  <c r="Q2587" i="9"/>
  <c r="R2586" i="9"/>
  <c r="Q2441" i="9"/>
  <c r="R2440" i="9"/>
  <c r="S2440" i="9"/>
  <c r="S144" i="9"/>
  <c r="R144" i="9"/>
  <c r="Q145" i="9"/>
  <c r="Q920" i="9"/>
  <c r="R919" i="9"/>
  <c r="S919" i="9"/>
  <c r="S443" i="9"/>
  <c r="Q444" i="9"/>
  <c r="R443" i="9"/>
  <c r="R587" i="9"/>
  <c r="S587" i="9"/>
  <c r="Q588" i="9"/>
  <c r="Q721" i="9"/>
  <c r="R720" i="9"/>
  <c r="S720" i="9"/>
  <c r="O57" i="8"/>
  <c r="N57" i="8"/>
  <c r="M58" i="8"/>
  <c r="M261" i="8"/>
  <c r="N260" i="8"/>
  <c r="O260" i="8"/>
  <c r="Q2318" i="9" l="1"/>
  <c r="Q2319" i="9" s="1"/>
  <c r="R2317" i="9"/>
  <c r="S2317" i="9"/>
  <c r="Q2785" i="9"/>
  <c r="R2784" i="9"/>
  <c r="S2784" i="9"/>
  <c r="R1519" i="9"/>
  <c r="Q1520" i="9"/>
  <c r="S1519" i="9"/>
  <c r="R336" i="9"/>
  <c r="S336" i="9"/>
  <c r="Q337" i="9"/>
  <c r="R1743" i="9"/>
  <c r="Q1744" i="9"/>
  <c r="S1743" i="9"/>
  <c r="Q2134" i="9"/>
  <c r="R2133" i="9"/>
  <c r="S2133" i="9"/>
  <c r="Q2588" i="9"/>
  <c r="R2587" i="9"/>
  <c r="S2587" i="9"/>
  <c r="S1872" i="9"/>
  <c r="Q1873" i="9"/>
  <c r="R1872" i="9"/>
  <c r="Q146" i="9"/>
  <c r="S145" i="9"/>
  <c r="R145" i="9"/>
  <c r="Q2442" i="9"/>
  <c r="R2441" i="9"/>
  <c r="S2441" i="9"/>
  <c r="Q722" i="9"/>
  <c r="S721" i="9"/>
  <c r="R721" i="9"/>
  <c r="R588" i="9"/>
  <c r="S588" i="9"/>
  <c r="Q589" i="9"/>
  <c r="R444" i="9"/>
  <c r="Q445" i="9"/>
  <c r="Q446" i="9" s="1"/>
  <c r="S444" i="9"/>
  <c r="Q921" i="9"/>
  <c r="R920" i="9"/>
  <c r="S920" i="9"/>
  <c r="M262" i="8"/>
  <c r="N261" i="8"/>
  <c r="O261" i="8"/>
  <c r="M59" i="8"/>
  <c r="O58" i="8"/>
  <c r="N58" i="8"/>
  <c r="Q2320" i="9" l="1"/>
  <c r="S2319" i="9"/>
  <c r="R2319" i="9"/>
  <c r="R1873" i="9"/>
  <c r="Q1874" i="9"/>
  <c r="S1873" i="9"/>
  <c r="Q2135" i="9"/>
  <c r="S2134" i="9"/>
  <c r="R2134" i="9"/>
  <c r="U54" i="12"/>
  <c r="Y54" i="12"/>
  <c r="K54" i="12"/>
  <c r="AB54" i="12"/>
  <c r="R2588" i="9"/>
  <c r="S2588" i="9"/>
  <c r="Q2589" i="9"/>
  <c r="Q338" i="9"/>
  <c r="R337" i="9"/>
  <c r="S337" i="9"/>
  <c r="R2318" i="9"/>
  <c r="S2318" i="9"/>
  <c r="Q1745" i="9"/>
  <c r="R1744" i="9"/>
  <c r="S1744" i="9"/>
  <c r="Q1521" i="9"/>
  <c r="S1520" i="9"/>
  <c r="R1520" i="9"/>
  <c r="Q2786" i="9"/>
  <c r="R2785" i="9"/>
  <c r="S2785" i="9"/>
  <c r="Q2443" i="9"/>
  <c r="R2442" i="9"/>
  <c r="S2442" i="9"/>
  <c r="Q147" i="9"/>
  <c r="R146" i="9"/>
  <c r="S146" i="9"/>
  <c r="Q447" i="9"/>
  <c r="R446" i="9"/>
  <c r="S446" i="9"/>
  <c r="Q922" i="9"/>
  <c r="R921" i="9"/>
  <c r="S921" i="9"/>
  <c r="R589" i="9"/>
  <c r="S589" i="9"/>
  <c r="Q590" i="9"/>
  <c r="R722" i="9"/>
  <c r="Q723" i="9"/>
  <c r="S722" i="9"/>
  <c r="R445" i="9"/>
  <c r="S445" i="9"/>
  <c r="W66" i="12"/>
  <c r="D66" i="12"/>
  <c r="P66" i="12"/>
  <c r="G66" i="12"/>
  <c r="AD66" i="12"/>
  <c r="O59" i="8"/>
  <c r="N59" i="8"/>
  <c r="M60" i="8"/>
  <c r="M263" i="8"/>
  <c r="N262" i="8"/>
  <c r="O262" i="8"/>
  <c r="S2320" i="9" l="1"/>
  <c r="R2320" i="9"/>
  <c r="Q2321" i="9"/>
  <c r="S2135" i="9"/>
  <c r="R2135" i="9"/>
  <c r="Q2136" i="9"/>
  <c r="S1521" i="9"/>
  <c r="Q1522" i="9"/>
  <c r="R1521" i="9"/>
  <c r="Q339" i="9"/>
  <c r="R338" i="9"/>
  <c r="S338" i="9"/>
  <c r="Q2787" i="9"/>
  <c r="S2786" i="9"/>
  <c r="R2786" i="9"/>
  <c r="Q1746" i="9"/>
  <c r="R1745" i="9"/>
  <c r="S1745" i="9"/>
  <c r="S1874" i="9"/>
  <c r="R1874" i="9"/>
  <c r="Q1875" i="9"/>
  <c r="Q2590" i="9"/>
  <c r="S2589" i="9"/>
  <c r="R2589" i="9"/>
  <c r="AD54" i="12"/>
  <c r="S147" i="9"/>
  <c r="R147" i="9"/>
  <c r="Q148" i="9"/>
  <c r="Q2444" i="9"/>
  <c r="R2443" i="9"/>
  <c r="S2443" i="9"/>
  <c r="S447" i="9"/>
  <c r="Q448" i="9"/>
  <c r="R447" i="9"/>
  <c r="R590" i="9"/>
  <c r="S590" i="9"/>
  <c r="Q591" i="9"/>
  <c r="Q724" i="9"/>
  <c r="S723" i="9"/>
  <c r="R723" i="9"/>
  <c r="Q923" i="9"/>
  <c r="R922" i="9"/>
  <c r="S922" i="9"/>
  <c r="I66" i="12"/>
  <c r="M264" i="8"/>
  <c r="N263" i="8"/>
  <c r="O263" i="8"/>
  <c r="O60" i="8"/>
  <c r="M61" i="8"/>
  <c r="N60" i="8"/>
  <c r="Q2322" i="9" l="1"/>
  <c r="R2321" i="9"/>
  <c r="S2321" i="9"/>
  <c r="Q2591" i="9"/>
  <c r="R2590" i="9"/>
  <c r="S2590" i="9"/>
  <c r="R1875" i="9"/>
  <c r="S1875" i="9"/>
  <c r="Q1876" i="9"/>
  <c r="Q2788" i="9"/>
  <c r="S2787" i="9"/>
  <c r="R2787" i="9"/>
  <c r="S1522" i="9"/>
  <c r="Q1523" i="9"/>
  <c r="R1522" i="9"/>
  <c r="R2136" i="9"/>
  <c r="Q2137" i="9"/>
  <c r="S2136" i="9"/>
  <c r="S1746" i="9"/>
  <c r="Q1747" i="9"/>
  <c r="R1746" i="9"/>
  <c r="Q340" i="9"/>
  <c r="S339" i="9"/>
  <c r="R339" i="9"/>
  <c r="Q1928" i="9"/>
  <c r="Q149" i="9"/>
  <c r="S148" i="9"/>
  <c r="R148" i="9"/>
  <c r="Q449" i="9"/>
  <c r="R448" i="9"/>
  <c r="S448" i="9"/>
  <c r="Q2445" i="9"/>
  <c r="R2444" i="9"/>
  <c r="S2444" i="9"/>
  <c r="R724" i="9"/>
  <c r="S724" i="9"/>
  <c r="Q725" i="9"/>
  <c r="Q924" i="9"/>
  <c r="R923" i="9"/>
  <c r="S923" i="9"/>
  <c r="Q592" i="9"/>
  <c r="S591" i="9"/>
  <c r="R591" i="9"/>
  <c r="N61" i="8"/>
  <c r="O61" i="8"/>
  <c r="M265" i="8"/>
  <c r="N264" i="8"/>
  <c r="O264" i="8"/>
  <c r="Q2323" i="9" l="1"/>
  <c r="R2322" i="9"/>
  <c r="S2322" i="9"/>
  <c r="R2137" i="9"/>
  <c r="Q2138" i="9"/>
  <c r="S2137" i="9"/>
  <c r="Q1877" i="9"/>
  <c r="R1876" i="9"/>
  <c r="S1876" i="9"/>
  <c r="Q341" i="9"/>
  <c r="S340" i="9"/>
  <c r="R340" i="9"/>
  <c r="R2591" i="9"/>
  <c r="S2591" i="9"/>
  <c r="Q2592" i="9"/>
  <c r="Q1748" i="9"/>
  <c r="S1747" i="9"/>
  <c r="R1747" i="9"/>
  <c r="R1523" i="9"/>
  <c r="S1523" i="9"/>
  <c r="Q1524" i="9"/>
  <c r="Q2789" i="9"/>
  <c r="Q2790" i="9" s="1"/>
  <c r="R2788" i="9"/>
  <c r="S2788" i="9"/>
  <c r="R449" i="9"/>
  <c r="Q450" i="9"/>
  <c r="S449" i="9"/>
  <c r="R149" i="9"/>
  <c r="Q150" i="9"/>
  <c r="S149" i="9"/>
  <c r="Q2446" i="9"/>
  <c r="R2445" i="9"/>
  <c r="S2445" i="9"/>
  <c r="S1928" i="9"/>
  <c r="Q1929" i="9"/>
  <c r="R1928" i="9"/>
  <c r="Q925" i="9"/>
  <c r="R924" i="9"/>
  <c r="S924" i="9"/>
  <c r="S592" i="9"/>
  <c r="R592" i="9"/>
  <c r="Q593" i="9"/>
  <c r="R725" i="9"/>
  <c r="Q726" i="9"/>
  <c r="S725" i="9"/>
  <c r="AB44" i="12"/>
  <c r="Y44" i="12"/>
  <c r="U44" i="12"/>
  <c r="K44" i="12"/>
  <c r="R44" i="12"/>
  <c r="N44" i="12"/>
  <c r="M266" i="8"/>
  <c r="O265" i="8"/>
  <c r="N265" i="8"/>
  <c r="S2323" i="9" l="1"/>
  <c r="R2323" i="9"/>
  <c r="Q2324" i="9"/>
  <c r="R2790" i="9"/>
  <c r="Q2791" i="9"/>
  <c r="S2790" i="9"/>
  <c r="S2592" i="9"/>
  <c r="Q2593" i="9"/>
  <c r="R2592" i="9"/>
  <c r="Q1525" i="9"/>
  <c r="S1524" i="9"/>
  <c r="R1524" i="9"/>
  <c r="R2789" i="9"/>
  <c r="S2789" i="9"/>
  <c r="Q1749" i="9"/>
  <c r="R1748" i="9"/>
  <c r="S1748" i="9"/>
  <c r="R341" i="9"/>
  <c r="S341" i="9"/>
  <c r="Q342" i="9"/>
  <c r="R1877" i="9"/>
  <c r="S1877" i="9"/>
  <c r="Q1878" i="9"/>
  <c r="R2138" i="9"/>
  <c r="Q2139" i="9"/>
  <c r="S2138" i="9"/>
  <c r="Q2447" i="9"/>
  <c r="R2446" i="9"/>
  <c r="S2446" i="9"/>
  <c r="Q1930" i="9"/>
  <c r="S1929" i="9"/>
  <c r="R1929" i="9"/>
  <c r="Q451" i="9"/>
  <c r="R450" i="9"/>
  <c r="S450" i="9"/>
  <c r="R150" i="9"/>
  <c r="Q151" i="9"/>
  <c r="S150" i="9"/>
  <c r="S726" i="9"/>
  <c r="Q727" i="9"/>
  <c r="R726" i="9"/>
  <c r="R593" i="9"/>
  <c r="Q594" i="9"/>
  <c r="S593" i="9"/>
  <c r="Q926" i="9"/>
  <c r="R925" i="9"/>
  <c r="S925" i="9"/>
  <c r="N266" i="8"/>
  <c r="M267" i="8"/>
  <c r="O266" i="8"/>
  <c r="R2791" i="9" l="1"/>
  <c r="S2791" i="9"/>
  <c r="Q2792" i="9"/>
  <c r="S2324" i="9"/>
  <c r="R2324" i="9"/>
  <c r="Q2594" i="9"/>
  <c r="R2593" i="9"/>
  <c r="S2593" i="9"/>
  <c r="Q1879" i="9"/>
  <c r="S1878" i="9"/>
  <c r="R1878" i="9"/>
  <c r="Q343" i="9"/>
  <c r="S342" i="9"/>
  <c r="R342" i="9"/>
  <c r="X2366" i="9"/>
  <c r="W2366" i="9"/>
  <c r="Y2366" i="9"/>
  <c r="AB2366" i="9"/>
  <c r="AA2366" i="9"/>
  <c r="W2685" i="9"/>
  <c r="X2685" i="9"/>
  <c r="Z2366" i="9"/>
  <c r="Y1672" i="9"/>
  <c r="AB2685" i="9"/>
  <c r="Z2685" i="9"/>
  <c r="Y2685" i="9"/>
  <c r="AA2685" i="9"/>
  <c r="Z1672" i="9"/>
  <c r="AA1672" i="9"/>
  <c r="X1672" i="9"/>
  <c r="W1672" i="9"/>
  <c r="Y2251" i="9"/>
  <c r="X2377" i="9"/>
  <c r="AB2251" i="9"/>
  <c r="Z2251" i="9"/>
  <c r="AA2251" i="9"/>
  <c r="W2377" i="9"/>
  <c r="X2251" i="9"/>
  <c r="W2251" i="9"/>
  <c r="V2251" i="9" s="1"/>
  <c r="Z2377" i="9"/>
  <c r="AB2377" i="9"/>
  <c r="AA2377" i="9"/>
  <c r="Y2377" i="9"/>
  <c r="W2528" i="9"/>
  <c r="AA2528" i="9"/>
  <c r="Z2528" i="9"/>
  <c r="AB2528" i="9"/>
  <c r="X2528" i="9"/>
  <c r="X2388" i="9"/>
  <c r="AB2388" i="9"/>
  <c r="AB2319" i="9"/>
  <c r="AA1690" i="9"/>
  <c r="AA2388" i="9"/>
  <c r="Y2388" i="9"/>
  <c r="W2319" i="9"/>
  <c r="Z2388" i="9"/>
  <c r="X1690" i="9"/>
  <c r="W2388" i="9"/>
  <c r="Y2319" i="9"/>
  <c r="Z1690" i="9"/>
  <c r="Y1690" i="9"/>
  <c r="X2319" i="9"/>
  <c r="AA2319" i="9"/>
  <c r="AB2538" i="9"/>
  <c r="W1690" i="9"/>
  <c r="W2538" i="9"/>
  <c r="AB1690" i="9"/>
  <c r="Z2319" i="9"/>
  <c r="X2538" i="9"/>
  <c r="AA2538" i="9"/>
  <c r="Y2538" i="9"/>
  <c r="X276" i="9"/>
  <c r="Z2538" i="9"/>
  <c r="W276" i="9"/>
  <c r="AB276" i="9"/>
  <c r="Y2272" i="9"/>
  <c r="AA276" i="9"/>
  <c r="Y276" i="9"/>
  <c r="Z276" i="9"/>
  <c r="AA2330" i="9"/>
  <c r="Z2272" i="9"/>
  <c r="Z2330" i="9"/>
  <c r="AB2272" i="9"/>
  <c r="X2272" i="9"/>
  <c r="Y2330" i="9"/>
  <c r="W2330" i="9"/>
  <c r="AA2272" i="9"/>
  <c r="X2627" i="9"/>
  <c r="W2272" i="9"/>
  <c r="Y2627" i="9"/>
  <c r="AB2330" i="9"/>
  <c r="X2330" i="9"/>
  <c r="W2627" i="9"/>
  <c r="AB2627" i="9"/>
  <c r="Z2627" i="9"/>
  <c r="AA2627" i="9"/>
  <c r="AA2406" i="9"/>
  <c r="X2406" i="9"/>
  <c r="Z2406" i="9"/>
  <c r="W2406" i="9"/>
  <c r="AB2406" i="9"/>
  <c r="Y2406" i="9"/>
  <c r="AA2288" i="9"/>
  <c r="Y2288" i="9"/>
  <c r="Z2288" i="9"/>
  <c r="Z118" i="9"/>
  <c r="AB118" i="9"/>
  <c r="Z1714" i="9"/>
  <c r="AA1714" i="9"/>
  <c r="AB2288" i="9"/>
  <c r="W2288" i="9"/>
  <c r="X1714" i="9"/>
  <c r="X2288" i="9"/>
  <c r="X118" i="9"/>
  <c r="Y1714" i="9"/>
  <c r="Y118" i="9"/>
  <c r="W118" i="9"/>
  <c r="AA118" i="9"/>
  <c r="W362" i="9"/>
  <c r="Z362" i="9"/>
  <c r="W1714" i="9"/>
  <c r="AA362" i="9"/>
  <c r="AA39" i="9"/>
  <c r="X362" i="9"/>
  <c r="W39" i="9"/>
  <c r="AB362" i="9"/>
  <c r="Y362" i="9"/>
  <c r="Y39" i="9"/>
  <c r="X39" i="9"/>
  <c r="Z39" i="9"/>
  <c r="W2423" i="9"/>
  <c r="X2423" i="9"/>
  <c r="AA2423" i="9"/>
  <c r="Z2423" i="9"/>
  <c r="Y2423" i="9"/>
  <c r="AB2423" i="9"/>
  <c r="S1525" i="9"/>
  <c r="R1525" i="9"/>
  <c r="Q1526" i="9"/>
  <c r="S1749" i="9"/>
  <c r="Q1750" i="9"/>
  <c r="R1749" i="9"/>
  <c r="N54" i="12"/>
  <c r="R54" i="12"/>
  <c r="Q2140" i="9"/>
  <c r="R2139" i="9"/>
  <c r="S2139" i="9"/>
  <c r="Q152" i="9"/>
  <c r="S151" i="9"/>
  <c r="R151" i="9"/>
  <c r="S1930" i="9"/>
  <c r="Q1931" i="9"/>
  <c r="R1930" i="9"/>
  <c r="R451" i="9"/>
  <c r="S451" i="9"/>
  <c r="Q452" i="9"/>
  <c r="Q2448" i="9"/>
  <c r="R2447" i="9"/>
  <c r="S2447" i="9"/>
  <c r="Q927" i="9"/>
  <c r="R926" i="9"/>
  <c r="S926" i="9"/>
  <c r="S594" i="9"/>
  <c r="R594" i="9"/>
  <c r="Q595" i="9"/>
  <c r="Q820" i="9"/>
  <c r="S727" i="9"/>
  <c r="Q728" i="9"/>
  <c r="R727" i="9"/>
  <c r="M268" i="8"/>
  <c r="N267" i="8"/>
  <c r="O267" i="8"/>
  <c r="Q2793" i="9" l="1"/>
  <c r="S2792" i="9"/>
  <c r="R2792" i="9"/>
  <c r="W1774" i="9"/>
  <c r="AB1774" i="9"/>
  <c r="V2406" i="9"/>
  <c r="V2685" i="9"/>
  <c r="V2366" i="9"/>
  <c r="Z1774" i="9"/>
  <c r="X1774" i="9"/>
  <c r="V362" i="9"/>
  <c r="V2288" i="9"/>
  <c r="V2388" i="9"/>
  <c r="W54" i="12"/>
  <c r="D54" i="12"/>
  <c r="V39" i="9"/>
  <c r="V1714" i="9"/>
  <c r="V2330" i="9"/>
  <c r="V276" i="9"/>
  <c r="V2538" i="9"/>
  <c r="V1672" i="9"/>
  <c r="Q2595" i="9"/>
  <c r="R2594" i="9"/>
  <c r="S2594" i="9"/>
  <c r="S1750" i="9"/>
  <c r="R1750" i="9"/>
  <c r="Q1751" i="9"/>
  <c r="Q1527" i="9"/>
  <c r="R1526" i="9"/>
  <c r="S1526" i="9"/>
  <c r="Q2141" i="9"/>
  <c r="R2140" i="9"/>
  <c r="S2140" i="9"/>
  <c r="G54" i="12"/>
  <c r="P54" i="12"/>
  <c r="V2423" i="9"/>
  <c r="AA1774" i="9"/>
  <c r="V118" i="9"/>
  <c r="V2627" i="9"/>
  <c r="V2272" i="9"/>
  <c r="V1690" i="9"/>
  <c r="V2377" i="9"/>
  <c r="R1879" i="9"/>
  <c r="S1879" i="9"/>
  <c r="Q1880" i="9"/>
  <c r="V2528" i="9"/>
  <c r="Q344" i="9"/>
  <c r="R343" i="9"/>
  <c r="S343" i="9"/>
  <c r="V2319" i="9"/>
  <c r="Q1932" i="9"/>
  <c r="R1931" i="9"/>
  <c r="S1931" i="9"/>
  <c r="Q2449" i="9"/>
  <c r="R2448" i="9"/>
  <c r="S2448" i="9"/>
  <c r="Q453" i="9"/>
  <c r="R452" i="9"/>
  <c r="S452" i="9"/>
  <c r="M16" i="1"/>
  <c r="M17" i="1"/>
  <c r="M20" i="1"/>
  <c r="M18" i="1"/>
  <c r="M21" i="1"/>
  <c r="M19" i="1"/>
  <c r="M19" i="10"/>
  <c r="M18" i="10"/>
  <c r="M6" i="10"/>
  <c r="M10" i="1"/>
  <c r="M5" i="10"/>
  <c r="M9" i="1" a="1"/>
  <c r="M9" i="1" s="1"/>
  <c r="M20" i="10"/>
  <c r="M23" i="1"/>
  <c r="M8" i="10"/>
  <c r="M21" i="10"/>
  <c r="M22" i="1"/>
  <c r="M7" i="10"/>
  <c r="M17" i="10"/>
  <c r="M16" i="10"/>
  <c r="M4" i="10"/>
  <c r="M3" i="10"/>
  <c r="R152" i="9"/>
  <c r="S152" i="9"/>
  <c r="Q153" i="9"/>
  <c r="Q821" i="9"/>
  <c r="S820" i="9"/>
  <c r="R820" i="9"/>
  <c r="Q596" i="9"/>
  <c r="R595" i="9"/>
  <c r="S595" i="9"/>
  <c r="Q729" i="9"/>
  <c r="R728" i="9"/>
  <c r="S728" i="9"/>
  <c r="Q928" i="9"/>
  <c r="R927" i="9"/>
  <c r="S927" i="9"/>
  <c r="M269" i="8"/>
  <c r="N268" i="8"/>
  <c r="O268" i="8"/>
  <c r="S2793" i="9" l="1"/>
  <c r="Q2794" i="9"/>
  <c r="R2793" i="9"/>
  <c r="V1774" i="9"/>
  <c r="R1880" i="9"/>
  <c r="Q1881" i="9"/>
  <c r="S1880" i="9"/>
  <c r="S2595" i="9"/>
  <c r="R2595" i="9"/>
  <c r="Q2596" i="9"/>
  <c r="R344" i="9"/>
  <c r="Q345" i="9"/>
  <c r="S344" i="9"/>
  <c r="R2141" i="9"/>
  <c r="S2141" i="9"/>
  <c r="Q2142" i="9"/>
  <c r="Q1528" i="9"/>
  <c r="S1527" i="9"/>
  <c r="R1527" i="9"/>
  <c r="Q1752" i="9"/>
  <c r="S1751" i="9"/>
  <c r="R1751" i="9"/>
  <c r="I54" i="12"/>
  <c r="S153" i="9"/>
  <c r="Q154" i="9"/>
  <c r="R153" i="9"/>
  <c r="R1932" i="9"/>
  <c r="S1932" i="9"/>
  <c r="Q1933" i="9"/>
  <c r="Q2450" i="9"/>
  <c r="R2449" i="9"/>
  <c r="S2449" i="9"/>
  <c r="Q454" i="9"/>
  <c r="S453" i="9"/>
  <c r="R453" i="9"/>
  <c r="Q597" i="9"/>
  <c r="S596" i="9"/>
  <c r="R596" i="9"/>
  <c r="S729" i="9"/>
  <c r="R729" i="9"/>
  <c r="Q730" i="9"/>
  <c r="Q929" i="9"/>
  <c r="R928" i="9"/>
  <c r="S928" i="9"/>
  <c r="Q822" i="9"/>
  <c r="S821" i="9"/>
  <c r="R821" i="9"/>
  <c r="M270" i="8"/>
  <c r="N269" i="8"/>
  <c r="O269" i="8"/>
  <c r="S2794" i="9" l="1"/>
  <c r="Q2795" i="9"/>
  <c r="R2794" i="9"/>
  <c r="R1752" i="9"/>
  <c r="Q1753" i="9"/>
  <c r="S1752" i="9"/>
  <c r="S1528" i="9"/>
  <c r="Q1529" i="9"/>
  <c r="R1528" i="9"/>
  <c r="S1881" i="9"/>
  <c r="R1881" i="9"/>
  <c r="Q1882" i="9"/>
  <c r="S2142" i="9"/>
  <c r="Q2143" i="9"/>
  <c r="R2142" i="9"/>
  <c r="S2596" i="9"/>
  <c r="Q2597" i="9"/>
  <c r="R2596" i="9"/>
  <c r="Q346" i="9"/>
  <c r="Q347" i="9" s="1"/>
  <c r="R345" i="9"/>
  <c r="S345" i="9"/>
  <c r="R454" i="9"/>
  <c r="S454" i="9"/>
  <c r="Q455" i="9"/>
  <c r="Q155" i="9"/>
  <c r="R154" i="9"/>
  <c r="S154" i="9"/>
  <c r="Q2451" i="9"/>
  <c r="R2450" i="9"/>
  <c r="S2450" i="9"/>
  <c r="R1933" i="9"/>
  <c r="Q1934" i="9"/>
  <c r="S1933" i="9"/>
  <c r="Q731" i="9"/>
  <c r="R730" i="9"/>
  <c r="S730" i="9"/>
  <c r="Q823" i="9"/>
  <c r="S822" i="9"/>
  <c r="R822" i="9"/>
  <c r="S597" i="9"/>
  <c r="Q598" i="9"/>
  <c r="R597" i="9"/>
  <c r="Q930" i="9"/>
  <c r="R929" i="9"/>
  <c r="S929" i="9"/>
  <c r="M271" i="8"/>
  <c r="N270" i="8"/>
  <c r="O270" i="8"/>
  <c r="Q2796" i="9" l="1"/>
  <c r="R2795" i="9"/>
  <c r="S2795" i="9"/>
  <c r="R347" i="9"/>
  <c r="S347" i="9"/>
  <c r="S346" i="9"/>
  <c r="R346" i="9"/>
  <c r="S2597" i="9"/>
  <c r="Q2598" i="9"/>
  <c r="R2597" i="9"/>
  <c r="S2143" i="9"/>
  <c r="Q2144" i="9"/>
  <c r="R2143" i="9"/>
  <c r="S1753" i="9"/>
  <c r="R1753" i="9"/>
  <c r="Q1754" i="9"/>
  <c r="Z330" i="9"/>
  <c r="Y330" i="9"/>
  <c r="W330" i="9"/>
  <c r="AB330" i="9"/>
  <c r="X330" i="9"/>
  <c r="AA330" i="9"/>
  <c r="R1882" i="9"/>
  <c r="Q1883" i="9"/>
  <c r="S1882" i="9"/>
  <c r="Q1530" i="9"/>
  <c r="R1529" i="9"/>
  <c r="S1529" i="9"/>
  <c r="Q2452" i="9"/>
  <c r="R2451" i="9"/>
  <c r="S2451" i="9"/>
  <c r="R1934" i="9"/>
  <c r="Q1935" i="9"/>
  <c r="S1934" i="9"/>
  <c r="Q456" i="9"/>
  <c r="R455" i="9"/>
  <c r="S455" i="9"/>
  <c r="R155" i="9"/>
  <c r="Q156" i="9"/>
  <c r="S155" i="9"/>
  <c r="Q824" i="9"/>
  <c r="R823" i="9"/>
  <c r="S823" i="9"/>
  <c r="Q931" i="9"/>
  <c r="R930" i="9"/>
  <c r="S930" i="9"/>
  <c r="R598" i="9"/>
  <c r="S598" i="9"/>
  <c r="Q599" i="9"/>
  <c r="R731" i="9"/>
  <c r="S731" i="9"/>
  <c r="Q732" i="9"/>
  <c r="AD44" i="12"/>
  <c r="W44" i="12"/>
  <c r="G44" i="12"/>
  <c r="D44" i="12"/>
  <c r="P44" i="12"/>
  <c r="M272" i="8"/>
  <c r="N271" i="8"/>
  <c r="O271" i="8"/>
  <c r="S2796" i="9" l="1"/>
  <c r="Q2797" i="9"/>
  <c r="R2796" i="9"/>
  <c r="R1530" i="9"/>
  <c r="S1530" i="9"/>
  <c r="Q1531" i="9"/>
  <c r="AA2640" i="9"/>
  <c r="AB2640" i="9"/>
  <c r="R2598" i="9"/>
  <c r="Q2599" i="9"/>
  <c r="S2598" i="9"/>
  <c r="W2640" i="9"/>
  <c r="S1883" i="9"/>
  <c r="Q1884" i="9"/>
  <c r="R1883" i="9"/>
  <c r="V330" i="9"/>
  <c r="Q1755" i="9"/>
  <c r="S1754" i="9"/>
  <c r="R1754" i="9"/>
  <c r="R2144" i="9"/>
  <c r="S2144" i="9"/>
  <c r="Q2145" i="9"/>
  <c r="Z2640" i="9"/>
  <c r="X2640" i="9"/>
  <c r="Y2640" i="9"/>
  <c r="R156" i="9"/>
  <c r="Q157" i="9"/>
  <c r="S156" i="9"/>
  <c r="Q1936" i="9"/>
  <c r="S1935" i="9"/>
  <c r="R1935" i="9"/>
  <c r="Q2453" i="9"/>
  <c r="R2452" i="9"/>
  <c r="S2452" i="9"/>
  <c r="R456" i="9"/>
  <c r="S456" i="9"/>
  <c r="Q457" i="9"/>
  <c r="Q600" i="9"/>
  <c r="R599" i="9"/>
  <c r="S599" i="9"/>
  <c r="Q733" i="9"/>
  <c r="R732" i="9"/>
  <c r="S732" i="9"/>
  <c r="Q932" i="9"/>
  <c r="R931" i="9"/>
  <c r="S931" i="9"/>
  <c r="Q825" i="9"/>
  <c r="S824" i="9"/>
  <c r="R824" i="9"/>
  <c r="I44" i="12"/>
  <c r="M273" i="8"/>
  <c r="N272" i="8"/>
  <c r="O272" i="8"/>
  <c r="Q2798" i="9" l="1"/>
  <c r="R2797" i="9"/>
  <c r="S2797" i="9"/>
  <c r="R1755" i="9"/>
  <c r="S1755" i="9"/>
  <c r="Q1756" i="9"/>
  <c r="R1884" i="9"/>
  <c r="S1884" i="9"/>
  <c r="Q1885" i="9"/>
  <c r="S2599" i="9"/>
  <c r="Q2600" i="9"/>
  <c r="R2599" i="9"/>
  <c r="V2640" i="9"/>
  <c r="Q2146" i="9"/>
  <c r="R2145" i="9"/>
  <c r="S2145" i="9"/>
  <c r="S1531" i="9"/>
  <c r="Q1532" i="9"/>
  <c r="R1531" i="9"/>
  <c r="Q1937" i="9"/>
  <c r="S1936" i="9"/>
  <c r="R1936" i="9"/>
  <c r="S457" i="9"/>
  <c r="Q458" i="9"/>
  <c r="R457" i="9"/>
  <c r="Q2454" i="9"/>
  <c r="R2453" i="9"/>
  <c r="S2453" i="9"/>
  <c r="R157" i="9"/>
  <c r="Q158" i="9"/>
  <c r="S157" i="9"/>
  <c r="S733" i="9"/>
  <c r="Q734" i="9"/>
  <c r="R733" i="9"/>
  <c r="Q933" i="9"/>
  <c r="R932" i="9"/>
  <c r="S932" i="9"/>
  <c r="Q826" i="9"/>
  <c r="S825" i="9"/>
  <c r="R825" i="9"/>
  <c r="S600" i="9"/>
  <c r="R600" i="9"/>
  <c r="Q601" i="9"/>
  <c r="Y8" i="1"/>
  <c r="Y7" i="1"/>
  <c r="Y6" i="1"/>
  <c r="Y5" i="1"/>
  <c r="M274" i="8"/>
  <c r="O273" i="8"/>
  <c r="N273" i="8"/>
  <c r="Q2799" i="9" l="1"/>
  <c r="S2798" i="9"/>
  <c r="R2798" i="9"/>
  <c r="Q2147" i="9"/>
  <c r="R2146" i="9"/>
  <c r="S2146" i="9"/>
  <c r="S1532" i="9"/>
  <c r="Q1533" i="9"/>
  <c r="R1532" i="9"/>
  <c r="Q2601" i="9"/>
  <c r="R2600" i="9"/>
  <c r="S2600" i="9"/>
  <c r="R1756" i="9"/>
  <c r="S1756" i="9"/>
  <c r="Q1757" i="9"/>
  <c r="S1885" i="9"/>
  <c r="Q1886" i="9"/>
  <c r="R1885" i="9"/>
  <c r="S458" i="9"/>
  <c r="R458" i="9"/>
  <c r="Q459" i="9"/>
  <c r="Q1938" i="9"/>
  <c r="R1937" i="9"/>
  <c r="S1937" i="9"/>
  <c r="Q159" i="9"/>
  <c r="R158" i="9"/>
  <c r="S158" i="9"/>
  <c r="Q2455" i="9"/>
  <c r="R2454" i="9"/>
  <c r="S2454" i="9"/>
  <c r="Q934" i="9"/>
  <c r="R933" i="9"/>
  <c r="S933" i="9"/>
  <c r="S826" i="9"/>
  <c r="Q827" i="9"/>
  <c r="R826" i="9"/>
  <c r="Q735" i="9"/>
  <c r="R734" i="9"/>
  <c r="S734" i="9"/>
  <c r="Q602" i="9"/>
  <c r="S601" i="9"/>
  <c r="R601" i="9"/>
  <c r="Y3" i="1"/>
  <c r="Y4" i="1"/>
  <c r="N274" i="8"/>
  <c r="M275" i="8"/>
  <c r="O274" i="8"/>
  <c r="S2799" i="9" l="1"/>
  <c r="Q2800" i="9"/>
  <c r="R2799" i="9"/>
  <c r="S2147" i="9"/>
  <c r="R2147" i="9"/>
  <c r="Q2148" i="9"/>
  <c r="S1886" i="9"/>
  <c r="Q1887" i="9"/>
  <c r="R1886" i="9"/>
  <c r="R1757" i="9"/>
  <c r="S1757" i="9"/>
  <c r="Q1758" i="9"/>
  <c r="S2601" i="9"/>
  <c r="Q2602" i="9"/>
  <c r="R2601" i="9"/>
  <c r="S1533" i="9"/>
  <c r="Q1534" i="9"/>
  <c r="R1533" i="9"/>
  <c r="R159" i="9"/>
  <c r="S159" i="9"/>
  <c r="Q160" i="9"/>
  <c r="Q460" i="9"/>
  <c r="R459" i="9"/>
  <c r="S459" i="9"/>
  <c r="Q2456" i="9"/>
  <c r="R2455" i="9"/>
  <c r="S2455" i="9"/>
  <c r="R1938" i="9"/>
  <c r="S1938" i="9"/>
  <c r="Q1939" i="9"/>
  <c r="Q828" i="9"/>
  <c r="Q829" i="9" s="1"/>
  <c r="R827" i="9"/>
  <c r="S827" i="9"/>
  <c r="Q736" i="9"/>
  <c r="R735" i="9"/>
  <c r="S735" i="9"/>
  <c r="Q935" i="9"/>
  <c r="R934" i="9"/>
  <c r="S934" i="9"/>
  <c r="S602" i="9"/>
  <c r="Q603" i="9"/>
  <c r="R602" i="9"/>
  <c r="N275" i="8"/>
  <c r="O275" i="8"/>
  <c r="Q2801" i="9" l="1"/>
  <c r="R2800" i="9"/>
  <c r="S2800" i="9"/>
  <c r="Q2149" i="9"/>
  <c r="S2148" i="9"/>
  <c r="R2148" i="9"/>
  <c r="Q1888" i="9"/>
  <c r="R1887" i="9"/>
  <c r="S1887" i="9"/>
  <c r="Q1759" i="9"/>
  <c r="S1758" i="9"/>
  <c r="R1758" i="9"/>
  <c r="Q1535" i="9"/>
  <c r="R1534" i="9"/>
  <c r="S1534" i="9"/>
  <c r="S2602" i="9"/>
  <c r="Q2603" i="9"/>
  <c r="R2602" i="9"/>
  <c r="Q461" i="9"/>
  <c r="S460" i="9"/>
  <c r="R460" i="9"/>
  <c r="Q2457" i="9"/>
  <c r="R2456" i="9"/>
  <c r="S2456" i="9"/>
  <c r="S160" i="9"/>
  <c r="R160" i="9"/>
  <c r="Q161" i="9"/>
  <c r="S1939" i="9"/>
  <c r="R1939" i="9"/>
  <c r="Q1940" i="9"/>
  <c r="Q830" i="9"/>
  <c r="S829" i="9"/>
  <c r="R829" i="9"/>
  <c r="R603" i="9"/>
  <c r="S603" i="9"/>
  <c r="Q604" i="9"/>
  <c r="Q936" i="9"/>
  <c r="R935" i="9"/>
  <c r="S935" i="9"/>
  <c r="Q737" i="9"/>
  <c r="R736" i="9"/>
  <c r="S736" i="9"/>
  <c r="S828" i="9"/>
  <c r="R828" i="9"/>
  <c r="S203" i="8"/>
  <c r="T139" i="8"/>
  <c r="T203" i="8"/>
  <c r="Q203" i="8"/>
  <c r="S139" i="8"/>
  <c r="R139" i="8"/>
  <c r="Q139" i="8"/>
  <c r="Q62" i="8"/>
  <c r="R203" i="8"/>
  <c r="T62" i="8"/>
  <c r="T16" i="8"/>
  <c r="R16" i="8"/>
  <c r="R62" i="8"/>
  <c r="Q16" i="8"/>
  <c r="S62" i="8"/>
  <c r="S16" i="8"/>
  <c r="Q2802" i="9" l="1"/>
  <c r="R2801" i="9"/>
  <c r="S2801" i="9"/>
  <c r="S1535" i="9"/>
  <c r="Q1536" i="9"/>
  <c r="R1535" i="9"/>
  <c r="Q2150" i="9"/>
  <c r="R2149" i="9"/>
  <c r="S2149" i="9"/>
  <c r="S2603" i="9"/>
  <c r="Q2604" i="9"/>
  <c r="R2603" i="9"/>
  <c r="R1759" i="9"/>
  <c r="S1759" i="9"/>
  <c r="Q1760" i="9"/>
  <c r="Q1889" i="9"/>
  <c r="S1888" i="9"/>
  <c r="R1888" i="9"/>
  <c r="S830" i="9"/>
  <c r="R830" i="9"/>
  <c r="Q831" i="9"/>
  <c r="S161" i="9"/>
  <c r="R161" i="9"/>
  <c r="Q162" i="9"/>
  <c r="S1940" i="9"/>
  <c r="R1940" i="9"/>
  <c r="Q1941" i="9"/>
  <c r="Q2458" i="9"/>
  <c r="R2457" i="9"/>
  <c r="S2457" i="9"/>
  <c r="Q462" i="9"/>
  <c r="R461" i="9"/>
  <c r="S461" i="9"/>
  <c r="S737" i="9"/>
  <c r="R737" i="9"/>
  <c r="Q738" i="9"/>
  <c r="Q605" i="9"/>
  <c r="R604" i="9"/>
  <c r="S604" i="9"/>
  <c r="Q937" i="9"/>
  <c r="R936" i="9"/>
  <c r="S936" i="9"/>
  <c r="Y5" i="12"/>
  <c r="Y19" i="13"/>
  <c r="Y6" i="12"/>
  <c r="Y6" i="13"/>
  <c r="Y19" i="12"/>
  <c r="Y5" i="13"/>
  <c r="Y18" i="12"/>
  <c r="Y18" i="13"/>
  <c r="Y9" i="13"/>
  <c r="Y9" i="12"/>
  <c r="Y23" i="12"/>
  <c r="Y23" i="13"/>
  <c r="Y22" i="13"/>
  <c r="Y10" i="13"/>
  <c r="Y22" i="12"/>
  <c r="Y10" i="12"/>
  <c r="Y7" i="12"/>
  <c r="Y21" i="12"/>
  <c r="Y8" i="13"/>
  <c r="Y21" i="13"/>
  <c r="Y8" i="12"/>
  <c r="Y7" i="13"/>
  <c r="Y20" i="12"/>
  <c r="Y20" i="13"/>
  <c r="Y19" i="1"/>
  <c r="Y18" i="1"/>
  <c r="Y23" i="1"/>
  <c r="Y22" i="1"/>
  <c r="Y21" i="1"/>
  <c r="Y20" i="1"/>
  <c r="P16" i="8"/>
  <c r="P62" i="8"/>
  <c r="P203" i="8"/>
  <c r="P139" i="8"/>
  <c r="S2802" i="9" l="1"/>
  <c r="R2802" i="9"/>
  <c r="Q2803" i="9"/>
  <c r="R1889" i="9"/>
  <c r="Q1890" i="9"/>
  <c r="S1889" i="9"/>
  <c r="R1536" i="9"/>
  <c r="S1536" i="9"/>
  <c r="Q1537" i="9"/>
  <c r="Q1761" i="9"/>
  <c r="S1760" i="9"/>
  <c r="R1760" i="9"/>
  <c r="S2150" i="9"/>
  <c r="Q2151" i="9"/>
  <c r="R2150" i="9"/>
  <c r="S2604" i="9"/>
  <c r="Q2605" i="9"/>
  <c r="R2604" i="9"/>
  <c r="S462" i="9"/>
  <c r="R462" i="9"/>
  <c r="Q463" i="9"/>
  <c r="Q1942" i="9"/>
  <c r="Q1943" i="9" s="1"/>
  <c r="S1941" i="9"/>
  <c r="R1941" i="9"/>
  <c r="Q2459" i="9"/>
  <c r="R2458" i="9"/>
  <c r="S2458" i="9"/>
  <c r="Q163" i="9"/>
  <c r="S162" i="9"/>
  <c r="R162" i="9"/>
  <c r="Q832" i="9"/>
  <c r="R831" i="9"/>
  <c r="S831" i="9"/>
  <c r="O52" i="12"/>
  <c r="V52" i="12"/>
  <c r="L52" i="12"/>
  <c r="AC52" i="12"/>
  <c r="Z52" i="12"/>
  <c r="S52" i="12"/>
  <c r="J59" i="12"/>
  <c r="Q59" i="12"/>
  <c r="AA59" i="12"/>
  <c r="AA71" i="12" s="1"/>
  <c r="T59" i="12"/>
  <c r="T71" i="12" s="1"/>
  <c r="X59" i="12"/>
  <c r="M59" i="12"/>
  <c r="L7" i="10"/>
  <c r="L3" i="10"/>
  <c r="L10" i="1"/>
  <c r="L6" i="10"/>
  <c r="L5" i="10"/>
  <c r="L9" i="1" a="1"/>
  <c r="L9" i="1" s="1"/>
  <c r="L4" i="10"/>
  <c r="L8" i="10"/>
  <c r="Q606" i="9"/>
  <c r="R605" i="9"/>
  <c r="S605" i="9"/>
  <c r="Q938" i="9"/>
  <c r="R937" i="9"/>
  <c r="S937" i="9"/>
  <c r="R738" i="9"/>
  <c r="S738" i="9"/>
  <c r="Q739" i="9"/>
  <c r="Y3" i="12"/>
  <c r="Y16" i="12"/>
  <c r="Y4" i="12"/>
  <c r="Y17" i="13"/>
  <c r="Y17" i="12"/>
  <c r="Y3" i="13"/>
  <c r="Y4" i="13"/>
  <c r="Y16" i="13"/>
  <c r="Y16" i="1"/>
  <c r="Y17" i="1"/>
  <c r="Y600" i="9" l="1"/>
  <c r="S2803" i="9"/>
  <c r="R2803" i="9"/>
  <c r="Q2804" i="9"/>
  <c r="R2605" i="9"/>
  <c r="S2605" i="9"/>
  <c r="Q2606" i="9"/>
  <c r="Q2152" i="9"/>
  <c r="S2151" i="9"/>
  <c r="R2151" i="9"/>
  <c r="H52" i="12"/>
  <c r="U21" i="16" s="1"/>
  <c r="S1890" i="9"/>
  <c r="Q1891" i="9"/>
  <c r="R1890" i="9"/>
  <c r="Q1762" i="9"/>
  <c r="S1761" i="9"/>
  <c r="R1761" i="9"/>
  <c r="S1943" i="9"/>
  <c r="Q1944" i="9"/>
  <c r="R1943" i="9"/>
  <c r="Q1538" i="9"/>
  <c r="S1537" i="9"/>
  <c r="R1537" i="9"/>
  <c r="M71" i="12"/>
  <c r="F59" i="12"/>
  <c r="Q71" i="12"/>
  <c r="S163" i="9"/>
  <c r="R163" i="9"/>
  <c r="Q164" i="9"/>
  <c r="S1942" i="9"/>
  <c r="R1942" i="9"/>
  <c r="X71" i="12"/>
  <c r="C59" i="12"/>
  <c r="J71" i="12"/>
  <c r="E52" i="12"/>
  <c r="S21" i="16" s="1"/>
  <c r="W21" i="16" s="1"/>
  <c r="R463" i="9"/>
  <c r="S463" i="9"/>
  <c r="Q464" i="9"/>
  <c r="Q833" i="9"/>
  <c r="S832" i="9"/>
  <c r="R832" i="9"/>
  <c r="Q2460" i="9"/>
  <c r="R2459" i="9"/>
  <c r="S2459" i="9"/>
  <c r="Q607" i="9"/>
  <c r="R606" i="9"/>
  <c r="S606" i="9"/>
  <c r="Q740" i="9"/>
  <c r="R739" i="9"/>
  <c r="S739" i="9"/>
  <c r="Q939" i="9"/>
  <c r="R938" i="9"/>
  <c r="S938" i="9"/>
  <c r="Q2805" i="9" l="1"/>
  <c r="R2804" i="9"/>
  <c r="S2804" i="9"/>
  <c r="S1538" i="9"/>
  <c r="Q1539" i="9"/>
  <c r="R1538" i="9"/>
  <c r="R1762" i="9"/>
  <c r="Q1763" i="9"/>
  <c r="S1762" i="9"/>
  <c r="S1891" i="9"/>
  <c r="Q1892" i="9"/>
  <c r="R1891" i="9"/>
  <c r="R2152" i="9"/>
  <c r="Q2153" i="9"/>
  <c r="S2152" i="9"/>
  <c r="R1944" i="9"/>
  <c r="S1944" i="9"/>
  <c r="Q1945" i="9"/>
  <c r="R2606" i="9"/>
  <c r="S2606" i="9"/>
  <c r="Q2607" i="9"/>
  <c r="Q2461" i="9"/>
  <c r="R2460" i="9"/>
  <c r="S2460" i="9"/>
  <c r="R464" i="9"/>
  <c r="Q465" i="9"/>
  <c r="S464" i="9"/>
  <c r="C71" i="12"/>
  <c r="B28" i="16"/>
  <c r="Q165" i="9"/>
  <c r="S164" i="9"/>
  <c r="R164" i="9"/>
  <c r="Q834" i="9"/>
  <c r="S833" i="9"/>
  <c r="R833" i="9"/>
  <c r="F71" i="12"/>
  <c r="D28" i="16"/>
  <c r="R740" i="9"/>
  <c r="S740" i="9"/>
  <c r="Q741" i="9"/>
  <c r="Q940" i="9"/>
  <c r="R939" i="9"/>
  <c r="S939" i="9"/>
  <c r="Q608" i="9"/>
  <c r="R607" i="9"/>
  <c r="S607" i="9"/>
  <c r="S2805" i="9" l="1"/>
  <c r="Q2806" i="9"/>
  <c r="R2805" i="9"/>
  <c r="S2153" i="9"/>
  <c r="R2153" i="9"/>
  <c r="Q2154" i="9"/>
  <c r="S1892" i="9"/>
  <c r="Q1893" i="9"/>
  <c r="R1892" i="9"/>
  <c r="S1945" i="9"/>
  <c r="Q1946" i="9"/>
  <c r="R1945" i="9"/>
  <c r="Q1540" i="9"/>
  <c r="R1539" i="9"/>
  <c r="S1539" i="9"/>
  <c r="Q1764" i="9"/>
  <c r="R1763" i="9"/>
  <c r="S1763" i="9"/>
  <c r="Q2608" i="9"/>
  <c r="S2607" i="9"/>
  <c r="R2607" i="9"/>
  <c r="Q835" i="9"/>
  <c r="R834" i="9"/>
  <c r="S834" i="9"/>
  <c r="F28" i="16"/>
  <c r="R465" i="9"/>
  <c r="Q466" i="9"/>
  <c r="S465" i="9"/>
  <c r="Q166" i="9"/>
  <c r="S165" i="9"/>
  <c r="R165" i="9"/>
  <c r="Q2462" i="9"/>
  <c r="R2461" i="9"/>
  <c r="S2461" i="9"/>
  <c r="Q609" i="9"/>
  <c r="R608" i="9"/>
  <c r="S608" i="9"/>
  <c r="Q941" i="9"/>
  <c r="R940" i="9"/>
  <c r="S940" i="9"/>
  <c r="Q742" i="9"/>
  <c r="R741" i="9"/>
  <c r="S741" i="9"/>
  <c r="Y41" i="12"/>
  <c r="K41" i="12"/>
  <c r="R2806" i="9" l="1"/>
  <c r="S2806" i="9"/>
  <c r="Q2807" i="9"/>
  <c r="Q1894" i="9"/>
  <c r="S1893" i="9"/>
  <c r="R1893" i="9"/>
  <c r="R2608" i="9"/>
  <c r="S2608" i="9"/>
  <c r="Q2609" i="9"/>
  <c r="Q1947" i="9"/>
  <c r="R1946" i="9"/>
  <c r="S1946" i="9"/>
  <c r="Q1765" i="9"/>
  <c r="S1764" i="9"/>
  <c r="R1764" i="9"/>
  <c r="R2154" i="9"/>
  <c r="S2154" i="9"/>
  <c r="Q2155" i="9"/>
  <c r="R1540" i="9"/>
  <c r="S1540" i="9"/>
  <c r="Q1541" i="9"/>
  <c r="Q467" i="9"/>
  <c r="S466" i="9"/>
  <c r="R466" i="9"/>
  <c r="Q167" i="9"/>
  <c r="R166" i="9"/>
  <c r="S166" i="9"/>
  <c r="R835" i="9"/>
  <c r="S835" i="9"/>
  <c r="Q836" i="9"/>
  <c r="Q2463" i="9"/>
  <c r="R2462" i="9"/>
  <c r="S2462" i="9"/>
  <c r="Q942" i="9"/>
  <c r="R941" i="9"/>
  <c r="S941" i="9"/>
  <c r="Q743" i="9"/>
  <c r="Q744" i="9" s="1"/>
  <c r="S742" i="9"/>
  <c r="R742" i="9"/>
  <c r="Q610" i="9"/>
  <c r="R609" i="9"/>
  <c r="S609" i="9"/>
  <c r="AB41" i="12"/>
  <c r="U41" i="12"/>
  <c r="R41" i="12"/>
  <c r="N41" i="12"/>
  <c r="R2807" i="9" l="1"/>
  <c r="S2807" i="9"/>
  <c r="Q2808" i="9"/>
  <c r="R2609" i="9"/>
  <c r="Q2610" i="9"/>
  <c r="S2609" i="9"/>
  <c r="Q2156" i="9"/>
  <c r="R2155" i="9"/>
  <c r="S2155" i="9"/>
  <c r="S1894" i="9"/>
  <c r="R1894" i="9"/>
  <c r="Q1895" i="9"/>
  <c r="Q1542" i="9"/>
  <c r="R1541" i="9"/>
  <c r="S1541" i="9"/>
  <c r="R1765" i="9"/>
  <c r="S1765" i="9"/>
  <c r="Q1766" i="9"/>
  <c r="Q1948" i="9"/>
  <c r="R1947" i="9"/>
  <c r="S1947" i="9"/>
  <c r="Q2464" i="9"/>
  <c r="R2463" i="9"/>
  <c r="S2463" i="9"/>
  <c r="Q168" i="9"/>
  <c r="S167" i="9"/>
  <c r="R167" i="9"/>
  <c r="R836" i="9"/>
  <c r="S836" i="9"/>
  <c r="Q837" i="9"/>
  <c r="Q745" i="9"/>
  <c r="S744" i="9"/>
  <c r="R744" i="9"/>
  <c r="S467" i="9"/>
  <c r="Q468" i="9"/>
  <c r="R467" i="9"/>
  <c r="Q611" i="9"/>
  <c r="R610" i="9"/>
  <c r="S610" i="9"/>
  <c r="R743" i="9"/>
  <c r="S743" i="9"/>
  <c r="Q943" i="9"/>
  <c r="R942" i="9"/>
  <c r="S942" i="9"/>
  <c r="D41" i="12"/>
  <c r="G41" i="12"/>
  <c r="P41" i="12"/>
  <c r="AD41" i="12"/>
  <c r="W41" i="12"/>
  <c r="S2808" i="9" l="1"/>
  <c r="R2808" i="9"/>
  <c r="Q2809" i="9"/>
  <c r="R2156" i="9"/>
  <c r="S2156" i="9"/>
  <c r="Q2157" i="9"/>
  <c r="R1542" i="9"/>
  <c r="S1542" i="9"/>
  <c r="Q1543" i="9"/>
  <c r="R1766" i="9"/>
  <c r="S1766" i="9"/>
  <c r="Q1767" i="9"/>
  <c r="R2610" i="9"/>
  <c r="S2610" i="9"/>
  <c r="Q2611" i="9"/>
  <c r="Q1949" i="9"/>
  <c r="R1948" i="9"/>
  <c r="S1948" i="9"/>
  <c r="S1895" i="9"/>
  <c r="Q1896" i="9"/>
  <c r="R1895" i="9"/>
  <c r="S168" i="9"/>
  <c r="Q169" i="9"/>
  <c r="R168" i="9"/>
  <c r="Q469" i="9"/>
  <c r="R468" i="9"/>
  <c r="S468" i="9"/>
  <c r="Q746" i="9"/>
  <c r="S745" i="9"/>
  <c r="R745" i="9"/>
  <c r="S837" i="9"/>
  <c r="Q838" i="9"/>
  <c r="R837" i="9"/>
  <c r="Q2465" i="9"/>
  <c r="R2464" i="9"/>
  <c r="S2464" i="9"/>
  <c r="Q612" i="9"/>
  <c r="R611" i="9"/>
  <c r="S611" i="9"/>
  <c r="Q944" i="9"/>
  <c r="R943" i="9"/>
  <c r="S943" i="9"/>
  <c r="I41" i="12"/>
  <c r="Q2810" i="9" l="1"/>
  <c r="R2809" i="9"/>
  <c r="S2809" i="9"/>
  <c r="S1767" i="9"/>
  <c r="Q1768" i="9"/>
  <c r="R1767" i="9"/>
  <c r="Q1897" i="9"/>
  <c r="S1896" i="9"/>
  <c r="R1896" i="9"/>
  <c r="R1949" i="9"/>
  <c r="S1949" i="9"/>
  <c r="Q1950" i="9"/>
  <c r="Q1544" i="9"/>
  <c r="R1543" i="9"/>
  <c r="S1543" i="9"/>
  <c r="Q2612" i="9"/>
  <c r="S2611" i="9"/>
  <c r="R2611" i="9"/>
  <c r="Q2158" i="9"/>
  <c r="R2157" i="9"/>
  <c r="S2157" i="9"/>
  <c r="S838" i="9"/>
  <c r="R838" i="9"/>
  <c r="Q839" i="9"/>
  <c r="Q2466" i="9"/>
  <c r="R2465" i="9"/>
  <c r="S2465" i="9"/>
  <c r="Q747" i="9"/>
  <c r="R746" i="9"/>
  <c r="S746" i="9"/>
  <c r="R469" i="9"/>
  <c r="S469" i="9"/>
  <c r="Q470" i="9"/>
  <c r="R169" i="9"/>
  <c r="S169" i="9"/>
  <c r="Q170" i="9"/>
  <c r="Q945" i="9"/>
  <c r="R944" i="9"/>
  <c r="S944" i="9"/>
  <c r="Q613" i="9"/>
  <c r="R612" i="9"/>
  <c r="S612" i="9"/>
  <c r="Q2811" i="9" l="1"/>
  <c r="S2810" i="9"/>
  <c r="R2810" i="9"/>
  <c r="Q2613" i="9"/>
  <c r="S2612" i="9"/>
  <c r="R2612" i="9"/>
  <c r="Q2159" i="9"/>
  <c r="R2158" i="9"/>
  <c r="S2158" i="9"/>
  <c r="Q1951" i="9"/>
  <c r="R1950" i="9"/>
  <c r="S1950" i="9"/>
  <c r="R1768" i="9"/>
  <c r="S1768" i="9"/>
  <c r="Q1769" i="9"/>
  <c r="Q1898" i="9"/>
  <c r="R1897" i="9"/>
  <c r="S1897" i="9"/>
  <c r="R1544" i="9"/>
  <c r="S1544" i="9"/>
  <c r="Q1545" i="9"/>
  <c r="S470" i="9"/>
  <c r="Q471" i="9"/>
  <c r="R470" i="9"/>
  <c r="Q2467" i="9"/>
  <c r="R2466" i="9"/>
  <c r="S2466" i="9"/>
  <c r="R170" i="9"/>
  <c r="S170" i="9"/>
  <c r="Q171" i="9"/>
  <c r="R747" i="9"/>
  <c r="S747" i="9"/>
  <c r="Q748" i="9"/>
  <c r="Q840" i="9"/>
  <c r="S839" i="9"/>
  <c r="R839" i="9"/>
  <c r="R945" i="9"/>
  <c r="Q946" i="9"/>
  <c r="S945" i="9"/>
  <c r="Q614" i="9"/>
  <c r="R613" i="9"/>
  <c r="S613" i="9"/>
  <c r="Q2812" i="9" l="1"/>
  <c r="S2811" i="9"/>
  <c r="R2811" i="9"/>
  <c r="Q1546" i="9"/>
  <c r="R1545" i="9"/>
  <c r="S1545" i="9"/>
  <c r="Q2614" i="9"/>
  <c r="R2613" i="9"/>
  <c r="S2613" i="9"/>
  <c r="S1898" i="9"/>
  <c r="Q1899" i="9"/>
  <c r="R1898" i="9"/>
  <c r="Q1770" i="9"/>
  <c r="S1769" i="9"/>
  <c r="R1769" i="9"/>
  <c r="S1951" i="9"/>
  <c r="Q1952" i="9"/>
  <c r="R1951" i="9"/>
  <c r="R2159" i="9"/>
  <c r="S2159" i="9"/>
  <c r="Q2160" i="9"/>
  <c r="R840" i="9"/>
  <c r="S840" i="9"/>
  <c r="Q841" i="9"/>
  <c r="S171" i="9"/>
  <c r="R171" i="9"/>
  <c r="Q172" i="9"/>
  <c r="S748" i="9"/>
  <c r="R748" i="9"/>
  <c r="Q749" i="9"/>
  <c r="Q2468" i="9"/>
  <c r="R2467" i="9"/>
  <c r="S2467" i="9"/>
  <c r="S471" i="9"/>
  <c r="Q472" i="9"/>
  <c r="R471" i="9"/>
  <c r="Q615" i="9"/>
  <c r="S614" i="9"/>
  <c r="R614" i="9"/>
  <c r="R946" i="9"/>
  <c r="Q947" i="9"/>
  <c r="S946" i="9"/>
  <c r="Q2813" i="9" l="1"/>
  <c r="R2812" i="9"/>
  <c r="S2812" i="9"/>
  <c r="S1770" i="9"/>
  <c r="Q1771" i="9"/>
  <c r="R1770" i="9"/>
  <c r="Q2615" i="9"/>
  <c r="R2614" i="9"/>
  <c r="S2614" i="9"/>
  <c r="R1546" i="9"/>
  <c r="S1546" i="9"/>
  <c r="Q1547" i="9"/>
  <c r="R1899" i="9"/>
  <c r="Q1900" i="9"/>
  <c r="S1899" i="9"/>
  <c r="Q2161" i="9"/>
  <c r="R2160" i="9"/>
  <c r="S2160" i="9"/>
  <c r="R1952" i="9"/>
  <c r="S1952" i="9"/>
  <c r="Q1953" i="9"/>
  <c r="S841" i="9"/>
  <c r="R841" i="9"/>
  <c r="Q842" i="9"/>
  <c r="R472" i="9"/>
  <c r="Q473" i="9"/>
  <c r="S472" i="9"/>
  <c r="Q2469" i="9"/>
  <c r="R2468" i="9"/>
  <c r="S2468" i="9"/>
  <c r="R172" i="9"/>
  <c r="S172" i="9"/>
  <c r="Q173" i="9"/>
  <c r="S749" i="9"/>
  <c r="Q750" i="9"/>
  <c r="R749" i="9"/>
  <c r="Q948" i="9"/>
  <c r="R947" i="9"/>
  <c r="S947" i="9"/>
  <c r="Q616" i="9"/>
  <c r="R615" i="9"/>
  <c r="S615" i="9"/>
  <c r="R2813" i="9" l="1"/>
  <c r="S2813" i="9"/>
  <c r="Q2814" i="9"/>
  <c r="R2161" i="9"/>
  <c r="S2161" i="9"/>
  <c r="Q2162" i="9"/>
  <c r="Q1954" i="9"/>
  <c r="R1953" i="9"/>
  <c r="S1953" i="9"/>
  <c r="Q1901" i="9"/>
  <c r="R1900" i="9"/>
  <c r="S1900" i="9"/>
  <c r="S1547" i="9"/>
  <c r="Q1548" i="9"/>
  <c r="R1547" i="9"/>
  <c r="Q1772" i="9"/>
  <c r="R1771" i="9"/>
  <c r="S1771" i="9"/>
  <c r="Q2616" i="9"/>
  <c r="R2615" i="9"/>
  <c r="S2615" i="9"/>
  <c r="Q474" i="9"/>
  <c r="R473" i="9"/>
  <c r="S473" i="9"/>
  <c r="Q174" i="9"/>
  <c r="S173" i="9"/>
  <c r="R173" i="9"/>
  <c r="Q2470" i="9"/>
  <c r="R2469" i="9"/>
  <c r="S2469" i="9"/>
  <c r="Q843" i="9"/>
  <c r="S842" i="9"/>
  <c r="R842" i="9"/>
  <c r="Q751" i="9"/>
  <c r="R750" i="9"/>
  <c r="S750" i="9"/>
  <c r="Q949" i="9"/>
  <c r="R948" i="9"/>
  <c r="S948" i="9"/>
  <c r="Q617" i="9"/>
  <c r="R616" i="9"/>
  <c r="S616" i="9"/>
  <c r="S2814" i="9" l="1"/>
  <c r="R2814" i="9"/>
  <c r="S1954" i="9"/>
  <c r="Q1955" i="9"/>
  <c r="R1954" i="9"/>
  <c r="Q1549" i="9"/>
  <c r="S1548" i="9"/>
  <c r="R1548" i="9"/>
  <c r="Q1902" i="9"/>
  <c r="R1901" i="9"/>
  <c r="S1901" i="9"/>
  <c r="R2616" i="9"/>
  <c r="S2616" i="9"/>
  <c r="Q2617" i="9"/>
  <c r="S1772" i="9"/>
  <c r="Q1773" i="9"/>
  <c r="Q1774" i="9" s="1"/>
  <c r="R1772" i="9"/>
  <c r="S2162" i="9"/>
  <c r="Q2163" i="9"/>
  <c r="R2162" i="9"/>
  <c r="S174" i="9"/>
  <c r="Q175" i="9"/>
  <c r="R174" i="9"/>
  <c r="Q2471" i="9"/>
  <c r="R2470" i="9"/>
  <c r="S2470" i="9"/>
  <c r="R843" i="9"/>
  <c r="S843" i="9"/>
  <c r="Q844" i="9"/>
  <c r="Q752" i="9"/>
  <c r="R751" i="9"/>
  <c r="S751" i="9"/>
  <c r="S474" i="9"/>
  <c r="Q475" i="9"/>
  <c r="R474" i="9"/>
  <c r="Q618" i="9"/>
  <c r="R617" i="9"/>
  <c r="S617" i="9"/>
  <c r="Q950" i="9"/>
  <c r="R949" i="9"/>
  <c r="S949" i="9"/>
  <c r="Y1465" i="9" l="1"/>
  <c r="Z1465" i="9"/>
  <c r="AA1465" i="9"/>
  <c r="X1465" i="9"/>
  <c r="Z2731" i="9"/>
  <c r="AA2363" i="9"/>
  <c r="AA72" i="9"/>
  <c r="W2731" i="9"/>
  <c r="Z272" i="9"/>
  <c r="Y2731" i="9"/>
  <c r="X2731" i="9"/>
  <c r="X272" i="9"/>
  <c r="Z72" i="9"/>
  <c r="Y272" i="9"/>
  <c r="X2363" i="9"/>
  <c r="AB2731" i="9"/>
  <c r="W272" i="9"/>
  <c r="V272" i="9" s="1"/>
  <c r="AB272" i="9"/>
  <c r="AA2731" i="9"/>
  <c r="AA272" i="9"/>
  <c r="X675" i="9"/>
  <c r="W2363" i="9"/>
  <c r="AB2363" i="9"/>
  <c r="Z2363" i="9"/>
  <c r="W675" i="9"/>
  <c r="Y675" i="9"/>
  <c r="AB1473" i="9"/>
  <c r="Y2363" i="9"/>
  <c r="AA675" i="9"/>
  <c r="X2325" i="9"/>
  <c r="AA2325" i="9"/>
  <c r="W2325" i="9"/>
  <c r="Z675" i="9"/>
  <c r="Z1473" i="9"/>
  <c r="Z2325" i="9"/>
  <c r="W101" i="9"/>
  <c r="Z101" i="9"/>
  <c r="Y101" i="9"/>
  <c r="Y2325" i="9"/>
  <c r="AA101" i="9"/>
  <c r="AB101" i="9"/>
  <c r="X101" i="9"/>
  <c r="AB2325" i="9"/>
  <c r="AB402" i="9"/>
  <c r="X1480" i="9"/>
  <c r="X402" i="9"/>
  <c r="W1480" i="9"/>
  <c r="Y682" i="9"/>
  <c r="AA295" i="9"/>
  <c r="Y402" i="9"/>
  <c r="Y1703" i="9"/>
  <c r="Y295" i="9"/>
  <c r="Z2095" i="9"/>
  <c r="AA402" i="9"/>
  <c r="AA1703" i="9"/>
  <c r="W295" i="9"/>
  <c r="V295" i="9" s="1"/>
  <c r="Z402" i="9"/>
  <c r="W402" i="9"/>
  <c r="V402" i="9" s="1"/>
  <c r="Z1703" i="9"/>
  <c r="Y1480" i="9"/>
  <c r="AB682" i="9"/>
  <c r="AB1703" i="9"/>
  <c r="AA682" i="9"/>
  <c r="Z295" i="9"/>
  <c r="AB295" i="9"/>
  <c r="W1703" i="9"/>
  <c r="AA1480" i="9"/>
  <c r="AB1480" i="9"/>
  <c r="Y2095" i="9"/>
  <c r="Z682" i="9"/>
  <c r="AB2095" i="9"/>
  <c r="X682" i="9"/>
  <c r="V682" i="9" s="1"/>
  <c r="AA2095" i="9"/>
  <c r="X2552" i="9"/>
  <c r="X2095" i="9"/>
  <c r="Z348" i="9"/>
  <c r="W2095" i="9"/>
  <c r="V2095" i="9" s="1"/>
  <c r="X348" i="9"/>
  <c r="X1703" i="9"/>
  <c r="W348" i="9"/>
  <c r="AA348" i="9"/>
  <c r="AB348" i="9"/>
  <c r="AB2552" i="9"/>
  <c r="Y348" i="9"/>
  <c r="W411" i="9"/>
  <c r="X887" i="9"/>
  <c r="Z2552" i="9"/>
  <c r="W303" i="9"/>
  <c r="W28" i="9"/>
  <c r="AB887" i="9"/>
  <c r="Y887" i="9"/>
  <c r="Z28" i="9"/>
  <c r="Y2552" i="9"/>
  <c r="Z887" i="9"/>
  <c r="AA2552" i="9"/>
  <c r="AB411" i="9"/>
  <c r="AA689" i="9"/>
  <c r="Y689" i="9"/>
  <c r="AA887" i="9"/>
  <c r="Y303" i="9"/>
  <c r="Z411" i="9"/>
  <c r="Z689" i="9"/>
  <c r="AA303" i="9"/>
  <c r="Y1487" i="9"/>
  <c r="W689" i="9"/>
  <c r="Z303" i="9"/>
  <c r="AB303" i="9"/>
  <c r="X28" i="9"/>
  <c r="W2552" i="9"/>
  <c r="V2552" i="9" s="1"/>
  <c r="X689" i="9"/>
  <c r="AB28" i="9"/>
  <c r="W1487" i="9"/>
  <c r="V1487" i="9" s="1"/>
  <c r="AB689" i="9"/>
  <c r="AA411" i="9"/>
  <c r="W887" i="9"/>
  <c r="V887" i="9" s="1"/>
  <c r="Y411" i="9"/>
  <c r="X303" i="9"/>
  <c r="AB1487" i="9"/>
  <c r="Z1487" i="9"/>
  <c r="Y28" i="9"/>
  <c r="X411" i="9"/>
  <c r="AA2411" i="9"/>
  <c r="AA28" i="9"/>
  <c r="X2411" i="9"/>
  <c r="Y2411" i="9"/>
  <c r="W2411" i="9"/>
  <c r="Z2411" i="9"/>
  <c r="AB2411" i="9"/>
  <c r="X1494" i="9"/>
  <c r="W420" i="9"/>
  <c r="AB696" i="9"/>
  <c r="W311" i="9"/>
  <c r="AB895" i="9"/>
  <c r="Z895" i="9"/>
  <c r="X311" i="9"/>
  <c r="X696" i="9"/>
  <c r="W895" i="9"/>
  <c r="Y311" i="9"/>
  <c r="AB311" i="9"/>
  <c r="X895" i="9"/>
  <c r="AA1494" i="9"/>
  <c r="X2110" i="9"/>
  <c r="AA311" i="9"/>
  <c r="Z311" i="9"/>
  <c r="Z696" i="9"/>
  <c r="AB1494" i="9"/>
  <c r="Y1494" i="9"/>
  <c r="Z1494" i="9"/>
  <c r="Z2110" i="9"/>
  <c r="Z420" i="9"/>
  <c r="X420" i="9"/>
  <c r="Y696" i="9"/>
  <c r="Y420" i="9"/>
  <c r="AB420" i="9"/>
  <c r="W696" i="9"/>
  <c r="V696" i="9" s="1"/>
  <c r="AA895" i="9"/>
  <c r="Y895" i="9"/>
  <c r="AA420" i="9"/>
  <c r="W1494" i="9"/>
  <c r="V1494" i="9" s="1"/>
  <c r="AA696" i="9"/>
  <c r="W2110" i="9"/>
  <c r="Y2110" i="9"/>
  <c r="AA2110" i="9"/>
  <c r="AB2110" i="9"/>
  <c r="Z2764" i="9"/>
  <c r="AA41" i="9"/>
  <c r="X2764" i="9"/>
  <c r="AB1852" i="9"/>
  <c r="AB41" i="9"/>
  <c r="Y1852" i="9"/>
  <c r="W1852" i="9"/>
  <c r="W1501" i="9"/>
  <c r="W41" i="9"/>
  <c r="AA1852" i="9"/>
  <c r="Z1852" i="9"/>
  <c r="X41" i="9"/>
  <c r="AB2764" i="9"/>
  <c r="Y41" i="9"/>
  <c r="AA2764" i="9"/>
  <c r="Z41" i="9"/>
  <c r="W2764" i="9"/>
  <c r="X1852" i="9"/>
  <c r="AB703" i="9"/>
  <c r="Y2764" i="9"/>
  <c r="Y703" i="9"/>
  <c r="X427" i="9"/>
  <c r="AA1501" i="9"/>
  <c r="W370" i="9"/>
  <c r="Y1501" i="9"/>
  <c r="AB1501" i="9"/>
  <c r="Z427" i="9"/>
  <c r="W703" i="9"/>
  <c r="X903" i="9"/>
  <c r="AA703" i="9"/>
  <c r="AA427" i="9"/>
  <c r="AA903" i="9"/>
  <c r="W903" i="9"/>
  <c r="V903" i="9" s="1"/>
  <c r="Y427" i="9"/>
  <c r="X703" i="9"/>
  <c r="Y903" i="9"/>
  <c r="AB427" i="9"/>
  <c r="W427" i="9"/>
  <c r="V427" i="9" s="1"/>
  <c r="AB903" i="9"/>
  <c r="Z903" i="9"/>
  <c r="Z370" i="9"/>
  <c r="X2303" i="9"/>
  <c r="AB370" i="9"/>
  <c r="Z2303" i="9"/>
  <c r="Y370" i="9"/>
  <c r="Y323" i="9"/>
  <c r="W323" i="9"/>
  <c r="AA323" i="9"/>
  <c r="Z323" i="9"/>
  <c r="Y2303" i="9"/>
  <c r="AB2303" i="9"/>
  <c r="X323" i="9"/>
  <c r="W2303" i="9"/>
  <c r="AB323" i="9"/>
  <c r="AA2303" i="9"/>
  <c r="W710" i="9"/>
  <c r="X1508" i="9"/>
  <c r="X910" i="9"/>
  <c r="W1508" i="9"/>
  <c r="X710" i="9"/>
  <c r="Z910" i="9"/>
  <c r="AA1508" i="9"/>
  <c r="W2123" i="9"/>
  <c r="Y2123" i="9"/>
  <c r="AB710" i="9"/>
  <c r="X2123" i="9"/>
  <c r="Y1508" i="9"/>
  <c r="Y910" i="9"/>
  <c r="AA910" i="9"/>
  <c r="AB1508" i="9"/>
  <c r="AB2123" i="9"/>
  <c r="W910" i="9"/>
  <c r="V910" i="9" s="1"/>
  <c r="Y710" i="9"/>
  <c r="AA2123" i="9"/>
  <c r="AB910" i="9"/>
  <c r="Z710" i="9"/>
  <c r="AA710" i="9"/>
  <c r="Z1508" i="9"/>
  <c r="Z2123" i="9"/>
  <c r="Z438" i="9"/>
  <c r="AA438" i="9"/>
  <c r="AB438" i="9"/>
  <c r="W438" i="9"/>
  <c r="X438" i="9"/>
  <c r="W1515" i="9"/>
  <c r="Y2313" i="9"/>
  <c r="Y438" i="9"/>
  <c r="AB916" i="9"/>
  <c r="Y717" i="9"/>
  <c r="AB717" i="9"/>
  <c r="AA1515" i="9"/>
  <c r="W717" i="9"/>
  <c r="W916" i="9"/>
  <c r="Y585" i="9"/>
  <c r="Z1740" i="9"/>
  <c r="AA916" i="9"/>
  <c r="Y916" i="9"/>
  <c r="AA717" i="9"/>
  <c r="X717" i="9"/>
  <c r="Z585" i="9"/>
  <c r="AA1740" i="9"/>
  <c r="Z2313" i="9"/>
  <c r="AB1515" i="9"/>
  <c r="X916" i="9"/>
  <c r="W585" i="9"/>
  <c r="Z916" i="9"/>
  <c r="Z717" i="9"/>
  <c r="Y1515" i="9"/>
  <c r="X585" i="9"/>
  <c r="X1515" i="9"/>
  <c r="AA585" i="9"/>
  <c r="W1740" i="9"/>
  <c r="X2313" i="9"/>
  <c r="X1740" i="9"/>
  <c r="AB1740" i="9"/>
  <c r="AB585" i="9"/>
  <c r="AB2313" i="9"/>
  <c r="Z1515" i="9"/>
  <c r="AA2313" i="9"/>
  <c r="Y1740" i="9"/>
  <c r="W2313" i="9"/>
  <c r="V2313" i="9" s="1"/>
  <c r="Z1522" i="9"/>
  <c r="W922" i="9"/>
  <c r="V922" i="9" s="1"/>
  <c r="X922" i="9"/>
  <c r="Z922" i="9"/>
  <c r="Z724" i="9"/>
  <c r="X592" i="9"/>
  <c r="Y922" i="9"/>
  <c r="Y449" i="9"/>
  <c r="AA922" i="9"/>
  <c r="AB724" i="9"/>
  <c r="AA2446" i="9"/>
  <c r="AA1522" i="9"/>
  <c r="Y1928" i="9"/>
  <c r="W724" i="9"/>
  <c r="AB922" i="9"/>
  <c r="AB592" i="9"/>
  <c r="AB1522" i="9"/>
  <c r="Y1522" i="9"/>
  <c r="AA1928" i="9"/>
  <c r="Z449" i="9"/>
  <c r="X724" i="9"/>
  <c r="X1522" i="9"/>
  <c r="Z1928" i="9"/>
  <c r="AA724" i="9"/>
  <c r="AB449" i="9"/>
  <c r="W1928" i="9"/>
  <c r="X2139" i="9"/>
  <c r="X449" i="9"/>
  <c r="Y724" i="9"/>
  <c r="AA449" i="9"/>
  <c r="AB1928" i="9"/>
  <c r="Z2789" i="9"/>
  <c r="AB2446" i="9"/>
  <c r="AA592" i="9"/>
  <c r="W449" i="9"/>
  <c r="Z592" i="9"/>
  <c r="AA2789" i="9"/>
  <c r="W1522" i="9"/>
  <c r="V1522" i="9" s="1"/>
  <c r="W592" i="9"/>
  <c r="X1928" i="9"/>
  <c r="X2446" i="9"/>
  <c r="Y592" i="9"/>
  <c r="W2139" i="9"/>
  <c r="Y2446" i="9"/>
  <c r="Y2789" i="9"/>
  <c r="W2446" i="9"/>
  <c r="Z2446" i="9"/>
  <c r="Y2139" i="9"/>
  <c r="AB2139" i="9"/>
  <c r="Z2139" i="9"/>
  <c r="X2789" i="9"/>
  <c r="AA2139" i="9"/>
  <c r="X1881" i="9"/>
  <c r="AB2789" i="9"/>
  <c r="W2789" i="9"/>
  <c r="AB1881" i="9"/>
  <c r="W929" i="9"/>
  <c r="X929" i="9"/>
  <c r="Z929" i="9"/>
  <c r="AA1881" i="9"/>
  <c r="AA929" i="9"/>
  <c r="AA1529" i="9"/>
  <c r="Z1529" i="9"/>
  <c r="Y1881" i="9"/>
  <c r="AB929" i="9"/>
  <c r="X1529" i="9"/>
  <c r="Z1881" i="9"/>
  <c r="AB1529" i="9"/>
  <c r="W1881" i="9"/>
  <c r="V1881" i="9" s="1"/>
  <c r="W1529" i="9"/>
  <c r="Y1529" i="9"/>
  <c r="Y929" i="9"/>
  <c r="AB600" i="9"/>
  <c r="W600" i="9"/>
  <c r="V600" i="9" s="1"/>
  <c r="X600" i="9"/>
  <c r="AA600" i="9"/>
  <c r="Z600" i="9"/>
  <c r="W460" i="9"/>
  <c r="Y460" i="9"/>
  <c r="X460" i="9"/>
  <c r="AA460" i="9"/>
  <c r="Y936" i="9"/>
  <c r="Z936" i="9"/>
  <c r="AB460" i="9"/>
  <c r="Z460" i="9"/>
  <c r="AA936" i="9"/>
  <c r="AB936" i="9"/>
  <c r="X936" i="9"/>
  <c r="W1536" i="9"/>
  <c r="Y1536" i="9"/>
  <c r="W936" i="9"/>
  <c r="AB1536" i="9"/>
  <c r="X1536" i="9"/>
  <c r="Z1944" i="9"/>
  <c r="W1944" i="9"/>
  <c r="Z1536" i="9"/>
  <c r="Z607" i="9"/>
  <c r="AA1536" i="9"/>
  <c r="AA607" i="9"/>
  <c r="X607" i="9"/>
  <c r="AB607" i="9"/>
  <c r="Y607" i="9"/>
  <c r="AB1944" i="9"/>
  <c r="X1944" i="9"/>
  <c r="AA1944" i="9"/>
  <c r="W607" i="9"/>
  <c r="Y1944" i="9"/>
  <c r="W468" i="9"/>
  <c r="X943" i="9"/>
  <c r="AB943" i="9"/>
  <c r="Y468" i="9"/>
  <c r="W943" i="9"/>
  <c r="Z468" i="9"/>
  <c r="Z943" i="9"/>
  <c r="Y943" i="9"/>
  <c r="X468" i="9"/>
  <c r="AA943" i="9"/>
  <c r="Q1775" i="9"/>
  <c r="S1774" i="9"/>
  <c r="R1774" i="9"/>
  <c r="AB468" i="9"/>
  <c r="AA468" i="9"/>
  <c r="S1773" i="9"/>
  <c r="R1773" i="9"/>
  <c r="Q1903" i="9"/>
  <c r="S1902" i="9"/>
  <c r="R1902" i="9"/>
  <c r="Q1550" i="9"/>
  <c r="S1549" i="9"/>
  <c r="AB1543" i="9" s="1"/>
  <c r="R1549" i="9"/>
  <c r="Q2164" i="9"/>
  <c r="R2163" i="9"/>
  <c r="S2163" i="9"/>
  <c r="S2617" i="9"/>
  <c r="Q2618" i="9"/>
  <c r="R2617" i="9"/>
  <c r="Q1956" i="9"/>
  <c r="S1955" i="9"/>
  <c r="R1955" i="9"/>
  <c r="Q845" i="9"/>
  <c r="S844" i="9"/>
  <c r="R844" i="9"/>
  <c r="Q2472" i="9"/>
  <c r="R2471" i="9"/>
  <c r="S2471" i="9"/>
  <c r="Q476" i="9"/>
  <c r="R475" i="9"/>
  <c r="S475" i="9"/>
  <c r="R752" i="9"/>
  <c r="Q753" i="9"/>
  <c r="S752" i="9"/>
  <c r="S175" i="9"/>
  <c r="Q176" i="9"/>
  <c r="R175" i="9"/>
  <c r="Q951" i="9"/>
  <c r="R950" i="9"/>
  <c r="S950" i="9"/>
  <c r="Q619" i="9"/>
  <c r="R618" i="9"/>
  <c r="S618" i="9"/>
  <c r="Z1543" i="9" l="1"/>
  <c r="V936" i="9"/>
  <c r="V2789" i="9"/>
  <c r="V2123" i="9"/>
  <c r="V323" i="9"/>
  <c r="V1852" i="9"/>
  <c r="Y1543" i="9"/>
  <c r="X1543" i="9"/>
  <c r="V943" i="9"/>
  <c r="V1515" i="9"/>
  <c r="V2303" i="9"/>
  <c r="V2110" i="9"/>
  <c r="V689" i="9"/>
  <c r="V585" i="9"/>
  <c r="V916" i="9"/>
  <c r="V28" i="9"/>
  <c r="V411" i="9"/>
  <c r="V675" i="9"/>
  <c r="V460" i="9"/>
  <c r="V468" i="9"/>
  <c r="V607" i="9"/>
  <c r="V1529" i="9"/>
  <c r="V2139" i="9"/>
  <c r="V592" i="9"/>
  <c r="V449" i="9"/>
  <c r="V1740" i="9"/>
  <c r="V717" i="9"/>
  <c r="V710" i="9"/>
  <c r="V420" i="9"/>
  <c r="V2411" i="9"/>
  <c r="V303" i="9"/>
  <c r="V348" i="9"/>
  <c r="V101" i="9"/>
  <c r="V2325" i="9"/>
  <c r="V2731" i="9"/>
  <c r="V1465" i="9"/>
  <c r="R1775" i="9"/>
  <c r="Q1776" i="9"/>
  <c r="S1775" i="9"/>
  <c r="V1536" i="9"/>
  <c r="V929" i="9"/>
  <c r="V2446" i="9"/>
  <c r="V1928" i="9"/>
  <c r="V724" i="9"/>
  <c r="V438" i="9"/>
  <c r="V1508" i="9"/>
  <c r="V2764" i="9"/>
  <c r="V41" i="9"/>
  <c r="V895" i="9"/>
  <c r="V1480" i="9"/>
  <c r="V1944" i="9"/>
  <c r="V703" i="9"/>
  <c r="V370" i="9"/>
  <c r="V1501" i="9"/>
  <c r="V311" i="9"/>
  <c r="V1703" i="9"/>
  <c r="V2363" i="9"/>
  <c r="Q1957" i="9"/>
  <c r="S1956" i="9"/>
  <c r="R1956" i="9"/>
  <c r="S1903" i="9"/>
  <c r="R1903" i="9"/>
  <c r="Q1904" i="9"/>
  <c r="R2618" i="9"/>
  <c r="S2618" i="9"/>
  <c r="Q2619" i="9"/>
  <c r="R2164" i="9"/>
  <c r="Q2165" i="9"/>
  <c r="S2164" i="9"/>
  <c r="W2148" i="9" s="1"/>
  <c r="S1550" i="9"/>
  <c r="R1550" i="9"/>
  <c r="Q1551" i="9"/>
  <c r="Q2473" i="9"/>
  <c r="R2472" i="9"/>
  <c r="S2472" i="9"/>
  <c r="R753" i="9"/>
  <c r="Q754" i="9"/>
  <c r="S753" i="9"/>
  <c r="Q477" i="9"/>
  <c r="R476" i="9"/>
  <c r="S476" i="9"/>
  <c r="Q177" i="9"/>
  <c r="R176" i="9"/>
  <c r="S176" i="9"/>
  <c r="Q846" i="9"/>
  <c r="R845" i="9"/>
  <c r="S845" i="9"/>
  <c r="Q620" i="9"/>
  <c r="R619" i="9"/>
  <c r="S619" i="9"/>
  <c r="Q952" i="9"/>
  <c r="R951" i="9"/>
  <c r="S951" i="9"/>
  <c r="AB2148" i="9" l="1"/>
  <c r="AA2148" i="9"/>
  <c r="R1776" i="9"/>
  <c r="Q1777" i="9"/>
  <c r="S1776" i="9"/>
  <c r="X2148" i="9"/>
  <c r="V2148" i="9" s="1"/>
  <c r="Y2148" i="9"/>
  <c r="Z2148" i="9"/>
  <c r="Q2620" i="9"/>
  <c r="R2619" i="9"/>
  <c r="S2619" i="9"/>
  <c r="R1904" i="9"/>
  <c r="S1904" i="9"/>
  <c r="Q1905" i="9"/>
  <c r="S1957" i="9"/>
  <c r="Q1958" i="9"/>
  <c r="R1957" i="9"/>
  <c r="Q1552" i="9"/>
  <c r="R1551" i="9"/>
  <c r="S1551" i="9"/>
  <c r="R2165" i="9"/>
  <c r="S2165" i="9"/>
  <c r="Q2166" i="9"/>
  <c r="Q847" i="9"/>
  <c r="S846" i="9"/>
  <c r="R846" i="9"/>
  <c r="R754" i="9"/>
  <c r="Q755" i="9"/>
  <c r="S754" i="9"/>
  <c r="Q2474" i="9"/>
  <c r="R2473" i="9"/>
  <c r="S2473" i="9"/>
  <c r="S477" i="9"/>
  <c r="Q478" i="9"/>
  <c r="R477" i="9"/>
  <c r="R177" i="9"/>
  <c r="S177" i="9"/>
  <c r="Q178" i="9"/>
  <c r="Q953" i="9"/>
  <c r="R952" i="9"/>
  <c r="S952" i="9"/>
  <c r="Q621" i="9"/>
  <c r="R620" i="9"/>
  <c r="S620" i="9"/>
  <c r="Y731" i="9" l="1"/>
  <c r="Q1778" i="9"/>
  <c r="S1777" i="9"/>
  <c r="R1777" i="9"/>
  <c r="AB731" i="9"/>
  <c r="Q2167" i="9"/>
  <c r="R2166" i="9"/>
  <c r="S2166" i="9"/>
  <c r="S2620" i="9"/>
  <c r="Q2621" i="9"/>
  <c r="R2620" i="9"/>
  <c r="Q1553" i="9"/>
  <c r="R1552" i="9"/>
  <c r="S1552" i="9"/>
  <c r="R1958" i="9"/>
  <c r="S1958" i="9"/>
  <c r="Q1959" i="9"/>
  <c r="Q1906" i="9"/>
  <c r="S1905" i="9"/>
  <c r="R1905" i="9"/>
  <c r="S178" i="9"/>
  <c r="R178" i="9"/>
  <c r="Q179" i="9"/>
  <c r="R478" i="9"/>
  <c r="S478" i="9"/>
  <c r="Q479" i="9"/>
  <c r="Q2475" i="9"/>
  <c r="R2474" i="9"/>
  <c r="S2474" i="9"/>
  <c r="R755" i="9"/>
  <c r="S755" i="9"/>
  <c r="AA731" i="9" s="1"/>
  <c r="Q756" i="9"/>
  <c r="Q848" i="9"/>
  <c r="R847" i="9"/>
  <c r="S847" i="9"/>
  <c r="Q622" i="9"/>
  <c r="R621" i="9"/>
  <c r="S621" i="9"/>
  <c r="Q954" i="9"/>
  <c r="R953" i="9"/>
  <c r="S953" i="9"/>
  <c r="X731" i="9" l="1"/>
  <c r="X2571" i="9"/>
  <c r="W2571" i="9"/>
  <c r="Q1779" i="9"/>
  <c r="S1778" i="9"/>
  <c r="R1778" i="9"/>
  <c r="R1959" i="9"/>
  <c r="Q1960" i="9"/>
  <c r="S1959" i="9"/>
  <c r="R2167" i="9"/>
  <c r="S2167" i="9"/>
  <c r="Q2168" i="9"/>
  <c r="S2621" i="9"/>
  <c r="AB2571" i="9" s="1"/>
  <c r="Q2622" i="9"/>
  <c r="R2621" i="9"/>
  <c r="Q1907" i="9"/>
  <c r="R1906" i="9"/>
  <c r="S1906" i="9"/>
  <c r="Q1554" i="9"/>
  <c r="R1553" i="9"/>
  <c r="S1553" i="9"/>
  <c r="R756" i="9"/>
  <c r="S756" i="9"/>
  <c r="Q757" i="9"/>
  <c r="S848" i="9"/>
  <c r="R848" i="9"/>
  <c r="Q849" i="9"/>
  <c r="Q2476" i="9"/>
  <c r="R2475" i="9"/>
  <c r="S2475" i="9"/>
  <c r="R179" i="9"/>
  <c r="S179" i="9"/>
  <c r="Q180" i="9"/>
  <c r="Q480" i="9"/>
  <c r="R479" i="9"/>
  <c r="S479" i="9"/>
  <c r="Q955" i="9"/>
  <c r="R954" i="9"/>
  <c r="S954" i="9"/>
  <c r="Q623" i="9"/>
  <c r="S622" i="9"/>
  <c r="R622" i="9"/>
  <c r="S1779" i="9" l="1"/>
  <c r="Q1780" i="9"/>
  <c r="R1779" i="9"/>
  <c r="S1907" i="9"/>
  <c r="R1907" i="9"/>
  <c r="Q1908" i="9"/>
  <c r="Q2169" i="9"/>
  <c r="R2168" i="9"/>
  <c r="S2168" i="9"/>
  <c r="R1554" i="9"/>
  <c r="Q1555" i="9"/>
  <c r="S1554" i="9"/>
  <c r="R2622" i="9"/>
  <c r="Q2623" i="9"/>
  <c r="S2622" i="9"/>
  <c r="S1960" i="9"/>
  <c r="Q1961" i="9"/>
  <c r="R1960" i="9"/>
  <c r="R180" i="9"/>
  <c r="S180" i="9"/>
  <c r="Q181" i="9"/>
  <c r="Q2477" i="9"/>
  <c r="R2476" i="9"/>
  <c r="S2476" i="9"/>
  <c r="S757" i="9"/>
  <c r="R757" i="9"/>
  <c r="Q758" i="9"/>
  <c r="S849" i="9"/>
  <c r="Y834" i="9" s="1"/>
  <c r="R849" i="9"/>
  <c r="Q850" i="9"/>
  <c r="Q481" i="9"/>
  <c r="R480" i="9"/>
  <c r="S480" i="9"/>
  <c r="Q624" i="9"/>
  <c r="R623" i="9"/>
  <c r="S623" i="9"/>
  <c r="Q956" i="9"/>
  <c r="R955" i="9"/>
  <c r="S955" i="9"/>
  <c r="S1780" i="9" l="1"/>
  <c r="R1780" i="9"/>
  <c r="Q1781" i="9"/>
  <c r="R1555" i="9"/>
  <c r="S1555" i="9"/>
  <c r="Q1556" i="9"/>
  <c r="S2169" i="9"/>
  <c r="Q2170" i="9"/>
  <c r="R2169" i="9"/>
  <c r="S1961" i="9"/>
  <c r="Q1962" i="9"/>
  <c r="R1961" i="9"/>
  <c r="Q2624" i="9"/>
  <c r="S2623" i="9"/>
  <c r="R2623" i="9"/>
  <c r="Q1909" i="9"/>
  <c r="R1908" i="9"/>
  <c r="S1908" i="9"/>
  <c r="Q482" i="9"/>
  <c r="S481" i="9"/>
  <c r="R481" i="9"/>
  <c r="S758" i="9"/>
  <c r="R758" i="9"/>
  <c r="Q759" i="9"/>
  <c r="R850" i="9"/>
  <c r="Q851" i="9"/>
  <c r="S850" i="9"/>
  <c r="Q2478" i="9"/>
  <c r="R2477" i="9"/>
  <c r="S2477" i="9"/>
  <c r="Q182" i="9"/>
  <c r="R181" i="9"/>
  <c r="S181" i="9"/>
  <c r="Y170" i="9" s="1"/>
  <c r="Q957" i="9"/>
  <c r="R956" i="9"/>
  <c r="S956" i="9"/>
  <c r="Q625" i="9"/>
  <c r="R624" i="9"/>
  <c r="S624" i="9"/>
  <c r="Q1782" i="9" l="1"/>
  <c r="R1781" i="9"/>
  <c r="S1781" i="9"/>
  <c r="Q1557" i="9"/>
  <c r="S1556" i="9"/>
  <c r="R1556" i="9"/>
  <c r="Q1910" i="9"/>
  <c r="R1909" i="9"/>
  <c r="S1909" i="9"/>
  <c r="R2624" i="9"/>
  <c r="S2624" i="9"/>
  <c r="Q2625" i="9"/>
  <c r="R1962" i="9"/>
  <c r="Q1963" i="9"/>
  <c r="S1962" i="9"/>
  <c r="Q2171" i="9"/>
  <c r="S2170" i="9"/>
  <c r="R2170" i="9"/>
  <c r="R851" i="9"/>
  <c r="S851" i="9"/>
  <c r="Q852" i="9"/>
  <c r="Q2479" i="9"/>
  <c r="R2478" i="9"/>
  <c r="S2478" i="9"/>
  <c r="Q760" i="9"/>
  <c r="R759" i="9"/>
  <c r="S759" i="9"/>
  <c r="Q2194" i="9"/>
  <c r="R182" i="9"/>
  <c r="S182" i="9"/>
  <c r="Q183" i="9"/>
  <c r="S482" i="9"/>
  <c r="R482" i="9"/>
  <c r="Q483" i="9"/>
  <c r="Q626" i="9"/>
  <c r="R625" i="9"/>
  <c r="S625" i="9"/>
  <c r="Q958" i="9"/>
  <c r="R957" i="9"/>
  <c r="S957" i="9"/>
  <c r="Q1783" i="9" l="1"/>
  <c r="S1782" i="9"/>
  <c r="R1782" i="9"/>
  <c r="Q2626" i="9"/>
  <c r="Q2627" i="9" s="1"/>
  <c r="R2625" i="9"/>
  <c r="S2625" i="9"/>
  <c r="R1910" i="9"/>
  <c r="Q1911" i="9"/>
  <c r="S1910" i="9"/>
  <c r="Q1558" i="9"/>
  <c r="R1557" i="9"/>
  <c r="S1557" i="9"/>
  <c r="R1963" i="9"/>
  <c r="S1963" i="9"/>
  <c r="Q1964" i="9"/>
  <c r="S2171" i="9"/>
  <c r="Q2172" i="9"/>
  <c r="R2171" i="9"/>
  <c r="R483" i="9"/>
  <c r="Q484" i="9"/>
  <c r="S483" i="9"/>
  <c r="Q2480" i="9"/>
  <c r="R2479" i="9"/>
  <c r="S2479" i="9"/>
  <c r="Q184" i="9"/>
  <c r="R183" i="9"/>
  <c r="S183" i="9"/>
  <c r="Q2195" i="9"/>
  <c r="R2194" i="9"/>
  <c r="S2194" i="9"/>
  <c r="Q761" i="9"/>
  <c r="S760" i="9"/>
  <c r="R760" i="9"/>
  <c r="S852" i="9"/>
  <c r="Q853" i="9"/>
  <c r="R852" i="9"/>
  <c r="Q959" i="9"/>
  <c r="R958" i="9"/>
  <c r="S958" i="9"/>
  <c r="Q627" i="9"/>
  <c r="R626" i="9"/>
  <c r="S626" i="9"/>
  <c r="R2627" i="9" l="1"/>
  <c r="S2627" i="9"/>
  <c r="Q2628" i="9"/>
  <c r="S1783" i="9"/>
  <c r="Q1784" i="9"/>
  <c r="R1783" i="9"/>
  <c r="R2172" i="9"/>
  <c r="S2172" i="9"/>
  <c r="Q2173" i="9"/>
  <c r="Q1912" i="9"/>
  <c r="S1911" i="9"/>
  <c r="R1911" i="9"/>
  <c r="S1964" i="9"/>
  <c r="Q1965" i="9"/>
  <c r="R1964" i="9"/>
  <c r="Q1559" i="9"/>
  <c r="S1558" i="9"/>
  <c r="R1558" i="9"/>
  <c r="Q1436" i="9"/>
  <c r="R2626" i="9"/>
  <c r="S2626" i="9"/>
  <c r="Q2481" i="9"/>
  <c r="R2480" i="9"/>
  <c r="S2480" i="9"/>
  <c r="S184" i="9"/>
  <c r="Q185" i="9"/>
  <c r="R184" i="9"/>
  <c r="O21" i="1"/>
  <c r="O20" i="10"/>
  <c r="O16" i="10"/>
  <c r="O21" i="10"/>
  <c r="O16" i="1"/>
  <c r="O20" i="1"/>
  <c r="O19" i="1"/>
  <c r="O19" i="10"/>
  <c r="O17" i="10"/>
  <c r="O17" i="1"/>
  <c r="O18" i="1"/>
  <c r="O18" i="10"/>
  <c r="S2195" i="9"/>
  <c r="Q2196" i="9"/>
  <c r="R2195" i="9"/>
  <c r="Q485" i="9"/>
  <c r="S484" i="9"/>
  <c r="R484" i="9"/>
  <c r="Q854" i="9"/>
  <c r="S853" i="9"/>
  <c r="R853" i="9"/>
  <c r="R761" i="9"/>
  <c r="S761" i="9"/>
  <c r="Q762" i="9"/>
  <c r="S627" i="9"/>
  <c r="Q628" i="9"/>
  <c r="R627" i="9"/>
  <c r="Q960" i="9"/>
  <c r="R959" i="9"/>
  <c r="S959" i="9"/>
  <c r="V51" i="12" l="1"/>
  <c r="O51" i="12"/>
  <c r="AC51" i="12"/>
  <c r="Z51" i="12"/>
  <c r="L51" i="12"/>
  <c r="E51" i="12" s="1"/>
  <c r="S20" i="16" s="1"/>
  <c r="S51" i="12"/>
  <c r="S2628" i="9"/>
  <c r="Q2629" i="9"/>
  <c r="R2628" i="9"/>
  <c r="Q1785" i="9"/>
  <c r="R1784" i="9"/>
  <c r="S1784" i="9"/>
  <c r="R1559" i="9"/>
  <c r="S1559" i="9"/>
  <c r="Q1560" i="9"/>
  <c r="X2061" i="9"/>
  <c r="AA1463" i="9"/>
  <c r="W1828" i="9"/>
  <c r="X1742" i="9"/>
  <c r="X1463" i="9"/>
  <c r="X1828" i="9"/>
  <c r="AA1818" i="9"/>
  <c r="Y1742" i="9"/>
  <c r="X446" i="9"/>
  <c r="Z1828" i="9"/>
  <c r="AA1828" i="9"/>
  <c r="Y1463" i="9"/>
  <c r="Y2061" i="9"/>
  <c r="Z1742" i="9"/>
  <c r="Y1828" i="9"/>
  <c r="W1463" i="9"/>
  <c r="Z2061" i="9"/>
  <c r="W1397" i="9"/>
  <c r="AB1828" i="9"/>
  <c r="AA2061" i="9"/>
  <c r="W128" i="9"/>
  <c r="Y2566" i="9"/>
  <c r="AA128" i="9"/>
  <c r="W2566" i="9"/>
  <c r="AB2566" i="9"/>
  <c r="AB446" i="9"/>
  <c r="Z2566" i="9"/>
  <c r="AA2566" i="9"/>
  <c r="W2434" i="9"/>
  <c r="AA2434" i="9"/>
  <c r="X2566" i="9"/>
  <c r="Y1397" i="9"/>
  <c r="Z2434" i="9"/>
  <c r="Y446" i="9"/>
  <c r="W1818" i="9"/>
  <c r="Y128" i="9"/>
  <c r="X1818" i="9"/>
  <c r="AA446" i="9"/>
  <c r="Y2434" i="9"/>
  <c r="AB2434" i="9"/>
  <c r="AB2061" i="9"/>
  <c r="W446" i="9"/>
  <c r="V446" i="9" s="1"/>
  <c r="X128" i="9"/>
  <c r="AB1818" i="9"/>
  <c r="Z1818" i="9"/>
  <c r="X2434" i="9"/>
  <c r="Z1463" i="9"/>
  <c r="AB1397" i="9"/>
  <c r="Z446" i="9"/>
  <c r="Z1397" i="9"/>
  <c r="AB128" i="9"/>
  <c r="AA1397" i="9"/>
  <c r="Z128" i="9"/>
  <c r="AB1742" i="9"/>
  <c r="AA1742" i="9"/>
  <c r="W1742" i="9"/>
  <c r="V1742" i="9" s="1"/>
  <c r="AB1463" i="9"/>
  <c r="W2061" i="9"/>
  <c r="V2061" i="9" s="1"/>
  <c r="Z829" i="9"/>
  <c r="W829" i="9"/>
  <c r="X829" i="9"/>
  <c r="AA829" i="9"/>
  <c r="AB829" i="9"/>
  <c r="Y829" i="9"/>
  <c r="X2612" i="9"/>
  <c r="W2612" i="9"/>
  <c r="AB2612" i="9"/>
  <c r="AA2612" i="9"/>
  <c r="Z2612" i="9"/>
  <c r="Y2612" i="9"/>
  <c r="S1436" i="9"/>
  <c r="Q1437" i="9"/>
  <c r="R1436" i="9"/>
  <c r="R1912" i="9"/>
  <c r="Q1913" i="9"/>
  <c r="S1912" i="9"/>
  <c r="Q2174" i="9"/>
  <c r="R2173" i="9"/>
  <c r="S2173" i="9"/>
  <c r="Q1966" i="9"/>
  <c r="S1965" i="9"/>
  <c r="R1965" i="9"/>
  <c r="Q855" i="9"/>
  <c r="R854" i="9"/>
  <c r="S854" i="9"/>
  <c r="R185" i="9"/>
  <c r="Q186" i="9"/>
  <c r="S185" i="9"/>
  <c r="S2196" i="9"/>
  <c r="R2196" i="9"/>
  <c r="Q2197" i="9"/>
  <c r="R762" i="9"/>
  <c r="S762" i="9"/>
  <c r="Q763" i="9"/>
  <c r="R485" i="9"/>
  <c r="S485" i="9"/>
  <c r="Q486" i="9"/>
  <c r="Q2482" i="9"/>
  <c r="R2481" i="9"/>
  <c r="S2481" i="9"/>
  <c r="Q961" i="9"/>
  <c r="R960" i="9"/>
  <c r="S960" i="9"/>
  <c r="R628" i="9"/>
  <c r="Q629" i="9"/>
  <c r="S628" i="9"/>
  <c r="R2629" i="9" l="1"/>
  <c r="S2629" i="9"/>
  <c r="Q2630" i="9"/>
  <c r="R1785" i="9"/>
  <c r="Q1786" i="9"/>
  <c r="S1785" i="9"/>
  <c r="H51" i="12"/>
  <c r="U20" i="16" s="1"/>
  <c r="W20" i="16" s="1"/>
  <c r="V2612" i="9"/>
  <c r="S1913" i="9"/>
  <c r="Q1914" i="9"/>
  <c r="R1913" i="9"/>
  <c r="V2566" i="9"/>
  <c r="V128" i="9"/>
  <c r="S1560" i="9"/>
  <c r="Q1561" i="9"/>
  <c r="R1560" i="9"/>
  <c r="Q1967" i="9"/>
  <c r="S1966" i="9"/>
  <c r="R1966" i="9"/>
  <c r="Q2175" i="9"/>
  <c r="R2174" i="9"/>
  <c r="S2174" i="9"/>
  <c r="V1463" i="9"/>
  <c r="V829" i="9"/>
  <c r="Q1438" i="9"/>
  <c r="R1437" i="9"/>
  <c r="S1437" i="9"/>
  <c r="V1818" i="9"/>
  <c r="V2434" i="9"/>
  <c r="V1397" i="9"/>
  <c r="V1828" i="9"/>
  <c r="Q764" i="9"/>
  <c r="Q765" i="9" s="1"/>
  <c r="R763" i="9"/>
  <c r="S763" i="9"/>
  <c r="Q187" i="9"/>
  <c r="S186" i="9"/>
  <c r="R186" i="9"/>
  <c r="S855" i="9"/>
  <c r="Q856" i="9"/>
  <c r="R855" i="9"/>
  <c r="Q487" i="9"/>
  <c r="S486" i="9"/>
  <c r="R486" i="9"/>
  <c r="Q2483" i="9"/>
  <c r="R2482" i="9"/>
  <c r="S2482" i="9"/>
  <c r="R2197" i="9"/>
  <c r="Q2198" i="9"/>
  <c r="S2197" i="9"/>
  <c r="R629" i="9"/>
  <c r="Q630" i="9"/>
  <c r="S629" i="9"/>
  <c r="Q962" i="9"/>
  <c r="R961" i="9"/>
  <c r="S961" i="9"/>
  <c r="Q1787" i="9" l="1"/>
  <c r="R1786" i="9"/>
  <c r="S1786" i="9"/>
  <c r="S2630" i="9"/>
  <c r="Q2631" i="9"/>
  <c r="R2630" i="9"/>
  <c r="Q1562" i="9"/>
  <c r="R1561" i="9"/>
  <c r="S1561" i="9"/>
  <c r="S765" i="9"/>
  <c r="Q766" i="9"/>
  <c r="R765" i="9"/>
  <c r="S1967" i="9"/>
  <c r="R1967" i="9"/>
  <c r="Q1968" i="9"/>
  <c r="Q1915" i="9"/>
  <c r="R1914" i="9"/>
  <c r="S1914" i="9"/>
  <c r="Q1439" i="9"/>
  <c r="S1438" i="9"/>
  <c r="R1438" i="9"/>
  <c r="R2175" i="9"/>
  <c r="S2175" i="9"/>
  <c r="Q2176" i="9"/>
  <c r="Q2484" i="9"/>
  <c r="R2483" i="9"/>
  <c r="S2483" i="9"/>
  <c r="R487" i="9"/>
  <c r="S487" i="9"/>
  <c r="Q488" i="9"/>
  <c r="S764" i="9"/>
  <c r="R764" i="9"/>
  <c r="Q2199" i="9"/>
  <c r="S2198" i="9"/>
  <c r="R2198" i="9"/>
  <c r="R856" i="9"/>
  <c r="Q857" i="9"/>
  <c r="S856" i="9"/>
  <c r="S187" i="9"/>
  <c r="R187" i="9"/>
  <c r="Q188" i="9"/>
  <c r="Q963" i="9"/>
  <c r="R962" i="9"/>
  <c r="S962" i="9"/>
  <c r="Q631" i="9"/>
  <c r="S630" i="9"/>
  <c r="R630" i="9"/>
  <c r="R2631" i="9" l="1"/>
  <c r="Q2632" i="9"/>
  <c r="S2631" i="9"/>
  <c r="R1787" i="9"/>
  <c r="S1787" i="9"/>
  <c r="Q1788" i="9"/>
  <c r="R1562" i="9"/>
  <c r="Q1563" i="9"/>
  <c r="S1562" i="9"/>
  <c r="Q1969" i="9"/>
  <c r="R1968" i="9"/>
  <c r="S1968" i="9"/>
  <c r="S1915" i="9"/>
  <c r="Q1916" i="9"/>
  <c r="R1915" i="9"/>
  <c r="Q2177" i="9"/>
  <c r="R2176" i="9"/>
  <c r="S2176" i="9"/>
  <c r="R1439" i="9"/>
  <c r="Q1440" i="9"/>
  <c r="S1439" i="9"/>
  <c r="S766" i="9"/>
  <c r="Q767" i="9"/>
  <c r="R766" i="9"/>
  <c r="Q189" i="9"/>
  <c r="R188" i="9"/>
  <c r="S188" i="9"/>
  <c r="S857" i="9"/>
  <c r="R857" i="9"/>
  <c r="Q858" i="9"/>
  <c r="R2199" i="9"/>
  <c r="Q2200" i="9"/>
  <c r="S2199" i="9"/>
  <c r="R488" i="9"/>
  <c r="Q489" i="9"/>
  <c r="S488" i="9"/>
  <c r="K59" i="12"/>
  <c r="U59" i="12"/>
  <c r="U71" i="12" s="1"/>
  <c r="Y59" i="12"/>
  <c r="AB59" i="12"/>
  <c r="AB71" i="12" s="1"/>
  <c r="R59" i="12"/>
  <c r="N59" i="12"/>
  <c r="Q2485" i="9"/>
  <c r="R2484" i="9"/>
  <c r="S2484" i="9"/>
  <c r="Q632" i="9"/>
  <c r="R631" i="9"/>
  <c r="S631" i="9"/>
  <c r="Q964" i="9"/>
  <c r="R963" i="9"/>
  <c r="S963" i="9"/>
  <c r="S1788" i="9" l="1"/>
  <c r="Q1789" i="9"/>
  <c r="R1788" i="9"/>
  <c r="R2632" i="9"/>
  <c r="Q2633" i="9"/>
  <c r="S2632" i="9"/>
  <c r="Q1564" i="9"/>
  <c r="S1563" i="9"/>
  <c r="R1563" i="9"/>
  <c r="S1440" i="9"/>
  <c r="Q1441" i="9"/>
  <c r="R1440" i="9"/>
  <c r="Q2178" i="9"/>
  <c r="S2177" i="9"/>
  <c r="R2177" i="9"/>
  <c r="R767" i="9"/>
  <c r="S767" i="9"/>
  <c r="Q768" i="9"/>
  <c r="Q1970" i="9"/>
  <c r="R1969" i="9"/>
  <c r="S1969" i="9"/>
  <c r="R1916" i="9"/>
  <c r="S1916" i="9"/>
  <c r="Q1917" i="9"/>
  <c r="Y71" i="12"/>
  <c r="AD59" i="12"/>
  <c r="AD71" i="12" s="1"/>
  <c r="R489" i="9"/>
  <c r="S489" i="9"/>
  <c r="Q490" i="9"/>
  <c r="Q859" i="9"/>
  <c r="R858" i="9"/>
  <c r="S858" i="9"/>
  <c r="G59" i="12"/>
  <c r="G71" i="12" s="1"/>
  <c r="N71" i="12"/>
  <c r="R71" i="12"/>
  <c r="W59" i="12"/>
  <c r="W71" i="12" s="1"/>
  <c r="D59" i="12"/>
  <c r="K71" i="12"/>
  <c r="P59" i="12"/>
  <c r="P71" i="12" s="1"/>
  <c r="R189" i="9"/>
  <c r="S189" i="9"/>
  <c r="Q190" i="9"/>
  <c r="Q2486" i="9"/>
  <c r="R2485" i="9"/>
  <c r="S2485" i="9"/>
  <c r="S2200" i="9"/>
  <c r="Q2201" i="9"/>
  <c r="R2200" i="9"/>
  <c r="Q965" i="9"/>
  <c r="R964" i="9"/>
  <c r="S964" i="9"/>
  <c r="S632" i="9"/>
  <c r="Q633" i="9"/>
  <c r="R632" i="9"/>
  <c r="Q2634" i="9" l="1"/>
  <c r="R2633" i="9"/>
  <c r="S2633" i="9"/>
  <c r="R1789" i="9"/>
  <c r="Q1790" i="9"/>
  <c r="S1789" i="9"/>
  <c r="Q1918" i="9"/>
  <c r="R1917" i="9"/>
  <c r="S1917" i="9"/>
  <c r="S2178" i="9"/>
  <c r="R2178" i="9"/>
  <c r="Q2179" i="9"/>
  <c r="Q1971" i="9"/>
  <c r="R1970" i="9"/>
  <c r="S1970" i="9"/>
  <c r="R1564" i="9"/>
  <c r="Q1565" i="9"/>
  <c r="S1564" i="9"/>
  <c r="R1441" i="9"/>
  <c r="S1441" i="9"/>
  <c r="Q1442" i="9"/>
  <c r="S768" i="9"/>
  <c r="Q769" i="9"/>
  <c r="R768" i="9"/>
  <c r="Q2202" i="9"/>
  <c r="R2201" i="9"/>
  <c r="S2201" i="9"/>
  <c r="Q2487" i="9"/>
  <c r="R2486" i="9"/>
  <c r="S2486" i="9"/>
  <c r="Q191" i="9"/>
  <c r="R190" i="9"/>
  <c r="S190" i="9"/>
  <c r="R859" i="9"/>
  <c r="Q860" i="9"/>
  <c r="S859" i="9"/>
  <c r="D71" i="12"/>
  <c r="I59" i="12"/>
  <c r="I71" i="12" s="1"/>
  <c r="R490" i="9"/>
  <c r="Q491" i="9"/>
  <c r="S490" i="9"/>
  <c r="R633" i="9"/>
  <c r="Q634" i="9"/>
  <c r="S633" i="9"/>
  <c r="Q966" i="9"/>
  <c r="R965" i="9"/>
  <c r="S965" i="9"/>
  <c r="Q2635" i="9" l="1"/>
  <c r="R2634" i="9"/>
  <c r="S2634" i="9"/>
  <c r="S1790" i="9"/>
  <c r="Q1791" i="9"/>
  <c r="R1790" i="9"/>
  <c r="S769" i="9"/>
  <c r="Q770" i="9"/>
  <c r="R769" i="9"/>
  <c r="Q1566" i="9"/>
  <c r="R1565" i="9"/>
  <c r="S1565" i="9"/>
  <c r="R1971" i="9"/>
  <c r="Q1972" i="9"/>
  <c r="S1971" i="9"/>
  <c r="AB2473" i="9"/>
  <c r="Q1919" i="9"/>
  <c r="S1918" i="9"/>
  <c r="R1918" i="9"/>
  <c r="S1442" i="9"/>
  <c r="Q1443" i="9"/>
  <c r="R1442" i="9"/>
  <c r="R2179" i="9"/>
  <c r="S2179" i="9"/>
  <c r="Q2180" i="9"/>
  <c r="Q492" i="9"/>
  <c r="R491" i="9"/>
  <c r="S491" i="9"/>
  <c r="Q861" i="9"/>
  <c r="R860" i="9"/>
  <c r="S860" i="9"/>
  <c r="Q192" i="9"/>
  <c r="R191" i="9"/>
  <c r="S191" i="9"/>
  <c r="Q2488" i="9"/>
  <c r="R2487" i="9"/>
  <c r="S2487" i="9"/>
  <c r="S2202" i="9"/>
  <c r="Q2203" i="9"/>
  <c r="R2202" i="9"/>
  <c r="Q967" i="9"/>
  <c r="R966" i="9"/>
  <c r="S966" i="9"/>
  <c r="Q635" i="9"/>
  <c r="R634" i="9"/>
  <c r="S634" i="9"/>
  <c r="S1791" i="9" l="1"/>
  <c r="Q1792" i="9"/>
  <c r="R1791" i="9"/>
  <c r="S2635" i="9"/>
  <c r="Q2636" i="9"/>
  <c r="R2635" i="9"/>
  <c r="R1443" i="9"/>
  <c r="S1443" i="9"/>
  <c r="Q1444" i="9"/>
  <c r="S1919" i="9"/>
  <c r="R1919" i="9"/>
  <c r="Q1920" i="9"/>
  <c r="Q1973" i="9"/>
  <c r="R1972" i="9"/>
  <c r="S1972" i="9"/>
  <c r="Q1567" i="9"/>
  <c r="S1566" i="9"/>
  <c r="R1566" i="9"/>
  <c r="Q2181" i="9"/>
  <c r="R2180" i="9"/>
  <c r="S2180" i="9"/>
  <c r="Q771" i="9"/>
  <c r="R770" i="9"/>
  <c r="S770" i="9"/>
  <c r="S861" i="9"/>
  <c r="R861" i="9"/>
  <c r="Q862" i="9"/>
  <c r="Q193" i="9"/>
  <c r="S192" i="9"/>
  <c r="R192" i="9"/>
  <c r="R2203" i="9"/>
  <c r="S2203" i="9"/>
  <c r="Q2204" i="9"/>
  <c r="Q2489" i="9"/>
  <c r="R2488" i="9"/>
  <c r="S2488" i="9"/>
  <c r="Q493" i="9"/>
  <c r="R492" i="9"/>
  <c r="S492" i="9"/>
  <c r="Q636" i="9"/>
  <c r="R635" i="9"/>
  <c r="S635" i="9"/>
  <c r="Q968" i="9"/>
  <c r="R967" i="9"/>
  <c r="S967" i="9"/>
  <c r="Q1793" i="9" l="1"/>
  <c r="R1792" i="9"/>
  <c r="S1792" i="9"/>
  <c r="Q2637" i="9"/>
  <c r="R2636" i="9"/>
  <c r="S2636" i="9"/>
  <c r="Q1568" i="9"/>
  <c r="R1567" i="9"/>
  <c r="S1567" i="9"/>
  <c r="R1920" i="9"/>
  <c r="S1920" i="9"/>
  <c r="Q1921" i="9"/>
  <c r="Q772" i="9"/>
  <c r="S771" i="9"/>
  <c r="R771" i="9"/>
  <c r="Q1974" i="9"/>
  <c r="R1973" i="9"/>
  <c r="S1973" i="9"/>
  <c r="Q1445" i="9"/>
  <c r="R1444" i="9"/>
  <c r="S1444" i="9"/>
  <c r="R2181" i="9"/>
  <c r="S2181" i="9"/>
  <c r="Q2182" i="9"/>
  <c r="Q194" i="9"/>
  <c r="S193" i="9"/>
  <c r="R193" i="9"/>
  <c r="Q863" i="9"/>
  <c r="Q864" i="9" s="1"/>
  <c r="S862" i="9"/>
  <c r="R862" i="9"/>
  <c r="Q2490" i="9"/>
  <c r="R2489" i="9"/>
  <c r="S2489" i="9"/>
  <c r="Q494" i="9"/>
  <c r="S493" i="9"/>
  <c r="R493" i="9"/>
  <c r="R2204" i="9"/>
  <c r="S2204" i="9"/>
  <c r="Q2205" i="9"/>
  <c r="Q969" i="9"/>
  <c r="R968" i="9"/>
  <c r="S968" i="9"/>
  <c r="Q637" i="9"/>
  <c r="S636" i="9"/>
  <c r="R636" i="9"/>
  <c r="S1793" i="9" l="1"/>
  <c r="Q1794" i="9"/>
  <c r="R1793" i="9"/>
  <c r="Q2638" i="9"/>
  <c r="S2637" i="9"/>
  <c r="R2637" i="9"/>
  <c r="S2182" i="9"/>
  <c r="Q2183" i="9"/>
  <c r="R2182" i="9"/>
  <c r="R1974" i="9"/>
  <c r="Q1975" i="9"/>
  <c r="S1974" i="9"/>
  <c r="S1445" i="9"/>
  <c r="Q1446" i="9"/>
  <c r="R1445" i="9"/>
  <c r="S772" i="9"/>
  <c r="Q773" i="9"/>
  <c r="R772" i="9"/>
  <c r="Q865" i="9"/>
  <c r="S864" i="9"/>
  <c r="R864" i="9"/>
  <c r="S1921" i="9"/>
  <c r="Q1922" i="9"/>
  <c r="Q1923" i="9" s="1"/>
  <c r="R1921" i="9"/>
  <c r="R1568" i="9"/>
  <c r="S1568" i="9"/>
  <c r="Q1569" i="9"/>
  <c r="R863" i="9"/>
  <c r="S863" i="9"/>
  <c r="R2205" i="9"/>
  <c r="S2205" i="9"/>
  <c r="Q2206" i="9"/>
  <c r="Q2491" i="9"/>
  <c r="S2490" i="9"/>
  <c r="R2490" i="9"/>
  <c r="Q495" i="9"/>
  <c r="R494" i="9"/>
  <c r="S494" i="9"/>
  <c r="R194" i="9"/>
  <c r="S194" i="9"/>
  <c r="Q195" i="9"/>
  <c r="Q638" i="9"/>
  <c r="S637" i="9"/>
  <c r="R637" i="9"/>
  <c r="Q970" i="9"/>
  <c r="R969" i="9"/>
  <c r="S969" i="9"/>
  <c r="S1923" i="9" l="1"/>
  <c r="R1923" i="9"/>
  <c r="Q1924" i="9"/>
  <c r="Q2639" i="9"/>
  <c r="R2638" i="9"/>
  <c r="S2638" i="9"/>
  <c r="Q1795" i="9"/>
  <c r="R1794" i="9"/>
  <c r="S1794" i="9"/>
  <c r="S1446" i="9"/>
  <c r="Q1447" i="9"/>
  <c r="R1446" i="9"/>
  <c r="S773" i="9"/>
  <c r="Q774" i="9"/>
  <c r="R773" i="9"/>
  <c r="Q1570" i="9"/>
  <c r="R1569" i="9"/>
  <c r="S1569" i="9"/>
  <c r="S1922" i="9"/>
  <c r="R1922" i="9"/>
  <c r="Q2184" i="9"/>
  <c r="R2183" i="9"/>
  <c r="S2183" i="9"/>
  <c r="Q866" i="9"/>
  <c r="S865" i="9"/>
  <c r="R865" i="9"/>
  <c r="S1975" i="9"/>
  <c r="Q1976" i="9"/>
  <c r="R1975" i="9"/>
  <c r="S2491" i="9"/>
  <c r="Q2492" i="9"/>
  <c r="R2491" i="9"/>
  <c r="Q196" i="9"/>
  <c r="R195" i="9"/>
  <c r="S195" i="9"/>
  <c r="Q496" i="9"/>
  <c r="R495" i="9"/>
  <c r="S495" i="9"/>
  <c r="R2206" i="9"/>
  <c r="S2206" i="9"/>
  <c r="Q2207" i="9"/>
  <c r="Q971" i="9"/>
  <c r="R970" i="9"/>
  <c r="S970" i="9"/>
  <c r="R638" i="9"/>
  <c r="Q639" i="9"/>
  <c r="S638" i="9"/>
  <c r="R1795" i="9" l="1"/>
  <c r="S1795" i="9"/>
  <c r="Q1796" i="9"/>
  <c r="Q1925" i="9"/>
  <c r="S1924" i="9"/>
  <c r="R1924" i="9"/>
  <c r="Q2640" i="9"/>
  <c r="S2639" i="9"/>
  <c r="R2639" i="9"/>
  <c r="S2184" i="9"/>
  <c r="Q2185" i="9"/>
  <c r="R2184" i="9"/>
  <c r="R1570" i="9"/>
  <c r="Q1571" i="9"/>
  <c r="S1570" i="9"/>
  <c r="Q1977" i="9"/>
  <c r="R1976" i="9"/>
  <c r="S1976" i="9"/>
  <c r="Q867" i="9"/>
  <c r="S866" i="9"/>
  <c r="R866" i="9"/>
  <c r="R1447" i="9"/>
  <c r="Q1448" i="9"/>
  <c r="S1447" i="9"/>
  <c r="R774" i="9"/>
  <c r="S774" i="9"/>
  <c r="Q775" i="9"/>
  <c r="S196" i="9"/>
  <c r="Q197" i="9"/>
  <c r="R196" i="9"/>
  <c r="R496" i="9"/>
  <c r="Q497" i="9"/>
  <c r="S496" i="9"/>
  <c r="Q2493" i="9"/>
  <c r="S2492" i="9"/>
  <c r="R2492" i="9"/>
  <c r="S2207" i="9"/>
  <c r="Q2208" i="9"/>
  <c r="R2207" i="9"/>
  <c r="Q640" i="9"/>
  <c r="R639" i="9"/>
  <c r="S639" i="9"/>
  <c r="Q972" i="9"/>
  <c r="R971" i="9"/>
  <c r="S971" i="9"/>
  <c r="S2640" i="9" l="1"/>
  <c r="Q2641" i="9"/>
  <c r="R2640" i="9"/>
  <c r="S1925" i="9"/>
  <c r="R1925" i="9"/>
  <c r="Q1926" i="9"/>
  <c r="Z862" i="9"/>
  <c r="Q1797" i="9"/>
  <c r="R1796" i="9"/>
  <c r="S1796" i="9"/>
  <c r="Q776" i="9"/>
  <c r="R775" i="9"/>
  <c r="S775" i="9"/>
  <c r="Q1449" i="9"/>
  <c r="R1448" i="9"/>
  <c r="S1448" i="9"/>
  <c r="Q868" i="9"/>
  <c r="R867" i="9"/>
  <c r="S867" i="9"/>
  <c r="Q1978" i="9"/>
  <c r="S1977" i="9"/>
  <c r="R1977" i="9"/>
  <c r="S2185" i="9"/>
  <c r="Q2186" i="9"/>
  <c r="Q2187" i="9" s="1"/>
  <c r="R2185" i="9"/>
  <c r="R1571" i="9"/>
  <c r="Q1572" i="9"/>
  <c r="S1571" i="9"/>
  <c r="Q2209" i="9"/>
  <c r="R2208" i="9"/>
  <c r="S2208" i="9"/>
  <c r="S2493" i="9"/>
  <c r="R2493" i="9"/>
  <c r="Q2494" i="9"/>
  <c r="Q198" i="9"/>
  <c r="S197" i="9"/>
  <c r="R197" i="9"/>
  <c r="Q498" i="9"/>
  <c r="S497" i="9"/>
  <c r="R497" i="9"/>
  <c r="Q641" i="9"/>
  <c r="R640" i="9"/>
  <c r="S640" i="9"/>
  <c r="Q973" i="9"/>
  <c r="R972" i="9"/>
  <c r="S972" i="9"/>
  <c r="W862" i="9" l="1"/>
  <c r="AA862" i="9"/>
  <c r="AB862" i="9"/>
  <c r="S1926" i="9"/>
  <c r="Q1927" i="9"/>
  <c r="R1926" i="9"/>
  <c r="Q1798" i="9"/>
  <c r="R1797" i="9"/>
  <c r="S1797" i="9"/>
  <c r="R2187" i="9"/>
  <c r="S2187" i="9"/>
  <c r="Q2188" i="9"/>
  <c r="R2641" i="9"/>
  <c r="Q2642" i="9"/>
  <c r="S2641" i="9"/>
  <c r="Y862" i="9"/>
  <c r="O38" i="12"/>
  <c r="Z38" i="12"/>
  <c r="AC38" i="12"/>
  <c r="L38" i="12"/>
  <c r="V38" i="12"/>
  <c r="S38" i="12"/>
  <c r="Q1450" i="9"/>
  <c r="S1449" i="9"/>
  <c r="R1449" i="9"/>
  <c r="Q869" i="9"/>
  <c r="S868" i="9"/>
  <c r="R868" i="9"/>
  <c r="R2186" i="9"/>
  <c r="S2186" i="9"/>
  <c r="Q1979" i="9"/>
  <c r="R1978" i="9"/>
  <c r="S1978" i="9"/>
  <c r="S1572" i="9"/>
  <c r="R1572" i="9"/>
  <c r="Q1573" i="9"/>
  <c r="Q777" i="9"/>
  <c r="R776" i="9"/>
  <c r="S776" i="9"/>
  <c r="S198" i="9"/>
  <c r="R198" i="9"/>
  <c r="Q199" i="9"/>
  <c r="Q200" i="9" s="1"/>
  <c r="R498" i="9"/>
  <c r="Q499" i="9"/>
  <c r="S498" i="9"/>
  <c r="R2494" i="9"/>
  <c r="S2494" i="9"/>
  <c r="Q2495" i="9"/>
  <c r="Q2210" i="9"/>
  <c r="S2209" i="9"/>
  <c r="R2209" i="9"/>
  <c r="Q974" i="9"/>
  <c r="R973" i="9"/>
  <c r="S973" i="9"/>
  <c r="Q642" i="9"/>
  <c r="R641" i="9"/>
  <c r="S641" i="9"/>
  <c r="S1927" i="9" l="1"/>
  <c r="R1927" i="9"/>
  <c r="Q1799" i="9"/>
  <c r="R1798" i="9"/>
  <c r="S1798" i="9"/>
  <c r="R2642" i="9"/>
  <c r="S2642" i="9"/>
  <c r="Q2643" i="9"/>
  <c r="Q2189" i="9"/>
  <c r="R2188" i="9"/>
  <c r="S2188" i="9"/>
  <c r="Q1980" i="9"/>
  <c r="R1979" i="9"/>
  <c r="S1979" i="9"/>
  <c r="Q201" i="9"/>
  <c r="R200" i="9"/>
  <c r="S200" i="9"/>
  <c r="S777" i="9"/>
  <c r="Q778" i="9"/>
  <c r="R777" i="9"/>
  <c r="E38" i="12"/>
  <c r="S1573" i="9"/>
  <c r="R1573" i="9"/>
  <c r="Q1574" i="9"/>
  <c r="S1450" i="9"/>
  <c r="R1450" i="9"/>
  <c r="Q1451" i="9"/>
  <c r="Q870" i="9"/>
  <c r="R869" i="9"/>
  <c r="S869" i="9"/>
  <c r="H38" i="12"/>
  <c r="S199" i="9"/>
  <c r="R199" i="9"/>
  <c r="R2210" i="9"/>
  <c r="S2210" i="9"/>
  <c r="Q2211" i="9"/>
  <c r="Q2496" i="9"/>
  <c r="R2495" i="9"/>
  <c r="S2495" i="9"/>
  <c r="R499" i="9"/>
  <c r="S499" i="9"/>
  <c r="Q500" i="9"/>
  <c r="R642" i="9"/>
  <c r="S642" i="9"/>
  <c r="Q643" i="9"/>
  <c r="Q975" i="9"/>
  <c r="R974" i="9"/>
  <c r="S974" i="9"/>
  <c r="S1799" i="9" l="1"/>
  <c r="R1799" i="9"/>
  <c r="Q1800" i="9"/>
  <c r="R2189" i="9"/>
  <c r="S2189" i="9"/>
  <c r="Q2190" i="9"/>
  <c r="Q2644" i="9"/>
  <c r="S2643" i="9"/>
  <c r="R2643" i="9"/>
  <c r="Q1452" i="9"/>
  <c r="R1451" i="9"/>
  <c r="S1451" i="9"/>
  <c r="Q1575" i="9"/>
  <c r="R1574" i="9"/>
  <c r="S1574" i="9"/>
  <c r="Q779" i="9"/>
  <c r="S778" i="9"/>
  <c r="R778" i="9"/>
  <c r="S1980" i="9"/>
  <c r="Q1981" i="9"/>
  <c r="R1980" i="9"/>
  <c r="Q202" i="9"/>
  <c r="R201" i="9"/>
  <c r="S201" i="9"/>
  <c r="Q871" i="9"/>
  <c r="S870" i="9"/>
  <c r="R870" i="9"/>
  <c r="Q501" i="9"/>
  <c r="S500" i="9"/>
  <c r="R500" i="9"/>
  <c r="S2496" i="9"/>
  <c r="Q2497" i="9"/>
  <c r="R2496" i="9"/>
  <c r="Q2212" i="9"/>
  <c r="S2211" i="9"/>
  <c r="R2211" i="9"/>
  <c r="S643" i="9"/>
  <c r="Q644" i="9"/>
  <c r="R643" i="9"/>
  <c r="Q976" i="9"/>
  <c r="R975" i="9"/>
  <c r="S975" i="9"/>
  <c r="R2190" i="9" l="1"/>
  <c r="Q2191" i="9"/>
  <c r="S2190" i="9"/>
  <c r="R2644" i="9"/>
  <c r="S2644" i="9"/>
  <c r="Q2645" i="9"/>
  <c r="R1800" i="9"/>
  <c r="S1800" i="9"/>
  <c r="Q1801" i="9"/>
  <c r="Q780" i="9"/>
  <c r="R779" i="9"/>
  <c r="S779" i="9"/>
  <c r="R871" i="9"/>
  <c r="S871" i="9"/>
  <c r="Q872" i="9"/>
  <c r="R202" i="9"/>
  <c r="Q203" i="9"/>
  <c r="S202" i="9"/>
  <c r="Q1453" i="9"/>
  <c r="R1452" i="9"/>
  <c r="S1452" i="9"/>
  <c r="Q1576" i="9"/>
  <c r="S1575" i="9"/>
  <c r="R1575" i="9"/>
  <c r="Q1982" i="9"/>
  <c r="S1981" i="9"/>
  <c r="R1981" i="9"/>
  <c r="S2212" i="9"/>
  <c r="Q2213" i="9"/>
  <c r="R2212" i="9"/>
  <c r="S2497" i="9"/>
  <c r="R2497" i="9"/>
  <c r="Q2498" i="9"/>
  <c r="S501" i="9"/>
  <c r="Q502" i="9"/>
  <c r="R501" i="9"/>
  <c r="Q645" i="9"/>
  <c r="R644" i="9"/>
  <c r="S644" i="9"/>
  <c r="Q977" i="9"/>
  <c r="R976" i="9"/>
  <c r="S976" i="9"/>
  <c r="R1801" i="9" l="1"/>
  <c r="Q1802" i="9"/>
  <c r="S1801" i="9"/>
  <c r="Q2192" i="9"/>
  <c r="R2191" i="9"/>
  <c r="S2191" i="9"/>
  <c r="R2645" i="9"/>
  <c r="S2645" i="9"/>
  <c r="Q2646" i="9"/>
  <c r="Q1983" i="9"/>
  <c r="S1982" i="9"/>
  <c r="R1982" i="9"/>
  <c r="R203" i="9"/>
  <c r="S203" i="9"/>
  <c r="Q204" i="9"/>
  <c r="Q1454" i="9"/>
  <c r="R1453" i="9"/>
  <c r="S1453" i="9"/>
  <c r="S872" i="9"/>
  <c r="R872" i="9"/>
  <c r="Q873" i="9"/>
  <c r="Q1577" i="9"/>
  <c r="S1576" i="9"/>
  <c r="R1576" i="9"/>
  <c r="Q781" i="9"/>
  <c r="S780" i="9"/>
  <c r="R780" i="9"/>
  <c r="S2498" i="9"/>
  <c r="Q2499" i="9"/>
  <c r="R2498" i="9"/>
  <c r="Q2214" i="9"/>
  <c r="R2213" i="9"/>
  <c r="S2213" i="9"/>
  <c r="S502" i="9"/>
  <c r="Q503" i="9"/>
  <c r="R502" i="9"/>
  <c r="Q978" i="9"/>
  <c r="R977" i="9"/>
  <c r="S977" i="9"/>
  <c r="R645" i="9"/>
  <c r="Q646" i="9"/>
  <c r="S645" i="9"/>
  <c r="Q1803" i="9" l="1"/>
  <c r="S1802" i="9"/>
  <c r="R1802" i="9"/>
  <c r="Y868" i="9"/>
  <c r="Q2647" i="9"/>
  <c r="S2646" i="9"/>
  <c r="R2646" i="9"/>
  <c r="Q2193" i="9"/>
  <c r="S2192" i="9"/>
  <c r="R2192" i="9"/>
  <c r="S781" i="9"/>
  <c r="R781" i="9"/>
  <c r="Q782" i="9"/>
  <c r="S1577" i="9"/>
  <c r="Q1578" i="9"/>
  <c r="R1577" i="9"/>
  <c r="R204" i="9"/>
  <c r="S204" i="9"/>
  <c r="Q205" i="9"/>
  <c r="Q874" i="9"/>
  <c r="S873" i="9"/>
  <c r="AB868" i="9" s="1"/>
  <c r="R873" i="9"/>
  <c r="S1983" i="9"/>
  <c r="Q1984" i="9"/>
  <c r="R1983" i="9"/>
  <c r="Q1455" i="9"/>
  <c r="R1454" i="9"/>
  <c r="S1454" i="9"/>
  <c r="R2214" i="9"/>
  <c r="Q2215" i="9"/>
  <c r="S2214" i="9"/>
  <c r="S2499" i="9"/>
  <c r="R2499" i="9"/>
  <c r="Q2500" i="9"/>
  <c r="Q2501" i="9" s="1"/>
  <c r="S503" i="9"/>
  <c r="R503" i="9"/>
  <c r="Q504" i="9"/>
  <c r="Q647" i="9"/>
  <c r="R646" i="9"/>
  <c r="S646" i="9"/>
  <c r="Q979" i="9"/>
  <c r="R978" i="9"/>
  <c r="S978" i="9"/>
  <c r="W868" i="9" l="1"/>
  <c r="Z868" i="9"/>
  <c r="R1803" i="9"/>
  <c r="S1803" i="9"/>
  <c r="Q1804" i="9"/>
  <c r="S2193" i="9"/>
  <c r="R2193" i="9"/>
  <c r="S2647" i="9"/>
  <c r="R2647" i="9"/>
  <c r="Q2648" i="9"/>
  <c r="R782" i="9"/>
  <c r="Q783" i="9"/>
  <c r="S782" i="9"/>
  <c r="S2501" i="9"/>
  <c r="Q2502" i="9"/>
  <c r="R2501" i="9"/>
  <c r="R1984" i="9"/>
  <c r="Q1985" i="9"/>
  <c r="S1984" i="9"/>
  <c r="R874" i="9"/>
  <c r="Q875" i="9"/>
  <c r="S874" i="9"/>
  <c r="R1455" i="9"/>
  <c r="Q1456" i="9"/>
  <c r="S1455" i="9"/>
  <c r="S205" i="9"/>
  <c r="R205" i="9"/>
  <c r="Q206" i="9"/>
  <c r="S1578" i="9"/>
  <c r="Q1579" i="9"/>
  <c r="R1578" i="9"/>
  <c r="Q505" i="9"/>
  <c r="S504" i="9"/>
  <c r="R504" i="9"/>
  <c r="S2500" i="9"/>
  <c r="R2500" i="9"/>
  <c r="Q2216" i="9"/>
  <c r="Q2217" i="9" s="1"/>
  <c r="R2215" i="9"/>
  <c r="S2215" i="9"/>
  <c r="Q980" i="9"/>
  <c r="R979" i="9"/>
  <c r="S979" i="9"/>
  <c r="Q648" i="9"/>
  <c r="Q649" i="9" s="1"/>
  <c r="Q650" i="9" s="1"/>
  <c r="R647" i="9"/>
  <c r="S647" i="9"/>
  <c r="S2648" i="9" l="1"/>
  <c r="Q2649" i="9"/>
  <c r="R2648" i="9"/>
  <c r="Q1805" i="9"/>
  <c r="S1804" i="9"/>
  <c r="R1804" i="9"/>
  <c r="Q1580" i="9"/>
  <c r="R1579" i="9"/>
  <c r="S1579" i="9"/>
  <c r="R1985" i="9"/>
  <c r="Q1986" i="9"/>
  <c r="S1985" i="9"/>
  <c r="Q651" i="9"/>
  <c r="S650" i="9"/>
  <c r="R650" i="9"/>
  <c r="Q2218" i="9"/>
  <c r="S2217" i="9"/>
  <c r="R2217" i="9"/>
  <c r="Q876" i="9"/>
  <c r="S875" i="9"/>
  <c r="R875" i="9"/>
  <c r="R206" i="9"/>
  <c r="S206" i="9"/>
  <c r="Q207" i="9"/>
  <c r="S1456" i="9"/>
  <c r="Q1457" i="9"/>
  <c r="R1456" i="9"/>
  <c r="R783" i="9"/>
  <c r="Q784" i="9"/>
  <c r="S783" i="9"/>
  <c r="Q2503" i="9"/>
  <c r="R2502" i="9"/>
  <c r="S2502" i="9"/>
  <c r="S649" i="9"/>
  <c r="R649" i="9"/>
  <c r="AA2416" i="9"/>
  <c r="Y1371" i="9"/>
  <c r="W2416" i="9"/>
  <c r="W568" i="9"/>
  <c r="Y2416" i="9"/>
  <c r="Z2416" i="9"/>
  <c r="Y2135" i="9"/>
  <c r="X2416" i="9"/>
  <c r="AB2416" i="9"/>
  <c r="AB568" i="9"/>
  <c r="AA2135" i="9"/>
  <c r="Z2135" i="9"/>
  <c r="AB2135" i="9"/>
  <c r="W2135" i="9"/>
  <c r="V2135" i="9" s="1"/>
  <c r="X2135" i="9"/>
  <c r="Z568" i="9"/>
  <c r="Y568" i="9"/>
  <c r="AA568" i="9"/>
  <c r="AB1371" i="9"/>
  <c r="X568" i="9"/>
  <c r="Z890" i="9"/>
  <c r="Y765" i="9"/>
  <c r="X1499" i="9"/>
  <c r="Z765" i="9"/>
  <c r="AA693" i="9"/>
  <c r="X890" i="9"/>
  <c r="Y1499" i="9"/>
  <c r="AA1371" i="9"/>
  <c r="Z1499" i="9"/>
  <c r="W1371" i="9"/>
  <c r="AB693" i="9"/>
  <c r="AB890" i="9"/>
  <c r="W890" i="9"/>
  <c r="AA408" i="9"/>
  <c r="AA890" i="9"/>
  <c r="Y890" i="9"/>
  <c r="X693" i="9"/>
  <c r="Z408" i="9"/>
  <c r="AB1898" i="9"/>
  <c r="X1371" i="9"/>
  <c r="W765" i="9"/>
  <c r="V765" i="9" s="1"/>
  <c r="Y1898" i="9"/>
  <c r="W408" i="9"/>
  <c r="W1499" i="9"/>
  <c r="V1499" i="9" s="1"/>
  <c r="AA21" i="9"/>
  <c r="X408" i="9"/>
  <c r="AB765" i="9"/>
  <c r="Y408" i="9"/>
  <c r="Z21" i="9"/>
  <c r="W693" i="9"/>
  <c r="AB1499" i="9"/>
  <c r="Z1371" i="9"/>
  <c r="W21" i="9"/>
  <c r="AA765" i="9"/>
  <c r="Z693" i="9"/>
  <c r="AA1499" i="9"/>
  <c r="Y693" i="9"/>
  <c r="AB408" i="9"/>
  <c r="W1898" i="9"/>
  <c r="X1898" i="9"/>
  <c r="AA92" i="9"/>
  <c r="Y92" i="9"/>
  <c r="AB92" i="9"/>
  <c r="W576" i="9"/>
  <c r="Z92" i="9"/>
  <c r="W92" i="9"/>
  <c r="V92" i="9" s="1"/>
  <c r="X92" i="9"/>
  <c r="Z1898" i="9"/>
  <c r="AA1898" i="9"/>
  <c r="Z576" i="9"/>
  <c r="X576" i="9"/>
  <c r="AA576" i="9"/>
  <c r="AA803" i="9"/>
  <c r="Y803" i="9"/>
  <c r="AB576" i="9"/>
  <c r="Y576" i="9"/>
  <c r="Y2432" i="9"/>
  <c r="W803" i="9"/>
  <c r="Z803" i="9"/>
  <c r="AB803" i="9"/>
  <c r="X2432" i="9"/>
  <c r="AB912" i="9"/>
  <c r="X803" i="9"/>
  <c r="X912" i="9"/>
  <c r="W912" i="9"/>
  <c r="Z2432" i="9"/>
  <c r="Y912" i="9"/>
  <c r="Z912" i="9"/>
  <c r="AA912" i="9"/>
  <c r="W2432" i="9"/>
  <c r="V2432" i="9" s="1"/>
  <c r="W584" i="9"/>
  <c r="AA2432" i="9"/>
  <c r="AB2432" i="9"/>
  <c r="X584" i="9"/>
  <c r="Y584" i="9"/>
  <c r="AB584" i="9"/>
  <c r="AA584" i="9"/>
  <c r="Z584" i="9"/>
  <c r="Y594" i="9"/>
  <c r="AA925" i="9"/>
  <c r="X594" i="9"/>
  <c r="Z925" i="9"/>
  <c r="Y925" i="9"/>
  <c r="X925" i="9"/>
  <c r="AB594" i="9"/>
  <c r="W594" i="9"/>
  <c r="Z594" i="9"/>
  <c r="W925" i="9"/>
  <c r="AB925" i="9"/>
  <c r="AA594" i="9"/>
  <c r="Z734" i="9"/>
  <c r="W734" i="9"/>
  <c r="Y734" i="9"/>
  <c r="X734" i="9"/>
  <c r="AB734" i="9"/>
  <c r="AA734" i="9"/>
  <c r="X605" i="9"/>
  <c r="AB605" i="9"/>
  <c r="AB820" i="9"/>
  <c r="AB2457" i="9"/>
  <c r="AA605" i="9"/>
  <c r="Z605" i="9"/>
  <c r="W605" i="9"/>
  <c r="V605" i="9" s="1"/>
  <c r="Y605" i="9"/>
  <c r="Z2457" i="9"/>
  <c r="Y2457" i="9"/>
  <c r="AA2457" i="9"/>
  <c r="W2457" i="9"/>
  <c r="X2457" i="9"/>
  <c r="S505" i="9"/>
  <c r="Q506" i="9"/>
  <c r="R505" i="9"/>
  <c r="R2216" i="9"/>
  <c r="S2216" i="9"/>
  <c r="R52" i="12"/>
  <c r="N52" i="12"/>
  <c r="Y52" i="12"/>
  <c r="U52" i="12"/>
  <c r="AB52" i="12"/>
  <c r="K52" i="12"/>
  <c r="S648" i="9"/>
  <c r="W626" i="9" s="1"/>
  <c r="R648" i="9"/>
  <c r="Q981" i="9"/>
  <c r="R980" i="9"/>
  <c r="S980" i="9"/>
  <c r="Q2650" i="9" l="1"/>
  <c r="R2649" i="9"/>
  <c r="S2649" i="9"/>
  <c r="Q1806" i="9"/>
  <c r="R1805" i="9"/>
  <c r="S1805" i="9"/>
  <c r="W52" i="12"/>
  <c r="S207" i="9"/>
  <c r="Q208" i="9"/>
  <c r="R207" i="9"/>
  <c r="Q2504" i="9"/>
  <c r="R2503" i="9"/>
  <c r="S2503" i="9"/>
  <c r="Q652" i="9"/>
  <c r="R651" i="9"/>
  <c r="S651" i="9"/>
  <c r="S1457" i="9"/>
  <c r="Q1458" i="9"/>
  <c r="R1457" i="9"/>
  <c r="Q2219" i="9"/>
  <c r="S2218" i="9"/>
  <c r="R2218" i="9"/>
  <c r="Y2162" i="9"/>
  <c r="S784" i="9"/>
  <c r="R784" i="9"/>
  <c r="Q785" i="9"/>
  <c r="Q877" i="9"/>
  <c r="S876" i="9"/>
  <c r="R876" i="9"/>
  <c r="S1986" i="9"/>
  <c r="R1986" i="9"/>
  <c r="Q1987" i="9"/>
  <c r="Q1581" i="9"/>
  <c r="R1580" i="9"/>
  <c r="S1580" i="9"/>
  <c r="P52" i="12"/>
  <c r="D52" i="12"/>
  <c r="I52" i="12" s="1"/>
  <c r="G52" i="12"/>
  <c r="AB626" i="9"/>
  <c r="X626" i="9"/>
  <c r="V626" i="9" s="1"/>
  <c r="X2162" i="9"/>
  <c r="V594" i="9"/>
  <c r="W2162" i="9"/>
  <c r="V2162" i="9" s="1"/>
  <c r="V803" i="9"/>
  <c r="V693" i="9"/>
  <c r="V1371" i="9"/>
  <c r="L5" i="1"/>
  <c r="L6" i="1"/>
  <c r="S506" i="9"/>
  <c r="Q507" i="9"/>
  <c r="R506" i="9"/>
  <c r="Y626" i="9"/>
  <c r="Z2162" i="9"/>
  <c r="V584" i="9"/>
  <c r="V21" i="9"/>
  <c r="V890" i="9"/>
  <c r="L9" i="10"/>
  <c r="L10" i="10"/>
  <c r="AA626" i="9"/>
  <c r="V2457" i="9"/>
  <c r="V734" i="9"/>
  <c r="AA2162" i="9"/>
  <c r="M22" i="10" s="1"/>
  <c r="V925" i="9"/>
  <c r="AB2162" i="9"/>
  <c r="V912" i="9"/>
  <c r="V576" i="9"/>
  <c r="V568" i="9"/>
  <c r="AD52" i="12"/>
  <c r="Z626" i="9"/>
  <c r="V1898" i="9"/>
  <c r="M7" i="1"/>
  <c r="M8" i="1"/>
  <c r="V408" i="9"/>
  <c r="O7" i="1"/>
  <c r="O8" i="1"/>
  <c r="V2416" i="9"/>
  <c r="L7" i="1"/>
  <c r="L8" i="1"/>
  <c r="Q982" i="9"/>
  <c r="R981" i="9"/>
  <c r="S981" i="9"/>
  <c r="R2650" i="9" l="1"/>
  <c r="S2650" i="9"/>
  <c r="Q2651" i="9"/>
  <c r="Q1807" i="9"/>
  <c r="R1806" i="9"/>
  <c r="S1806" i="9"/>
  <c r="Q1582" i="9"/>
  <c r="R1581" i="9"/>
  <c r="S1581" i="9"/>
  <c r="S785" i="9"/>
  <c r="Q786" i="9"/>
  <c r="R785" i="9"/>
  <c r="R1987" i="9"/>
  <c r="S1987" i="9"/>
  <c r="Q1988" i="9"/>
  <c r="S1458" i="9"/>
  <c r="R1458" i="9"/>
  <c r="Q1459" i="9"/>
  <c r="R208" i="9"/>
  <c r="S208" i="9"/>
  <c r="Q209" i="9"/>
  <c r="Q878" i="9"/>
  <c r="R877" i="9"/>
  <c r="S877" i="9"/>
  <c r="Q2220" i="9"/>
  <c r="S2219" i="9"/>
  <c r="R2219" i="9"/>
  <c r="S652" i="9"/>
  <c r="Q653" i="9"/>
  <c r="R652" i="9"/>
  <c r="R2504" i="9"/>
  <c r="S2504" i="9"/>
  <c r="Q2505" i="9"/>
  <c r="L4" i="1"/>
  <c r="L3" i="1"/>
  <c r="M3" i="1"/>
  <c r="M4" i="1"/>
  <c r="O3" i="1"/>
  <c r="O4" i="1"/>
  <c r="M5" i="1"/>
  <c r="M10" i="10"/>
  <c r="O9" i="10"/>
  <c r="O5" i="1"/>
  <c r="M23" i="10"/>
  <c r="O22" i="10"/>
  <c r="O6" i="1"/>
  <c r="M6" i="1"/>
  <c r="M9" i="10"/>
  <c r="R507" i="9"/>
  <c r="Q508" i="9"/>
  <c r="S507" i="9"/>
  <c r="O23" i="10"/>
  <c r="O10" i="10"/>
  <c r="Q983" i="9"/>
  <c r="R982" i="9"/>
  <c r="S982" i="9"/>
  <c r="R1807" i="9" l="1"/>
  <c r="Q1808" i="9"/>
  <c r="S1807" i="9"/>
  <c r="Q2652" i="9"/>
  <c r="R2651" i="9"/>
  <c r="S2651" i="9"/>
  <c r="Q2221" i="9"/>
  <c r="R2220" i="9"/>
  <c r="S2220" i="9"/>
  <c r="Q210" i="9"/>
  <c r="S209" i="9"/>
  <c r="R209" i="9"/>
  <c r="S2505" i="9"/>
  <c r="R2505" i="9"/>
  <c r="Q2506" i="9"/>
  <c r="R653" i="9"/>
  <c r="Q654" i="9"/>
  <c r="S653" i="9"/>
  <c r="S878" i="9"/>
  <c r="Q879" i="9"/>
  <c r="R878" i="9"/>
  <c r="Q1460" i="9"/>
  <c r="R1459" i="9"/>
  <c r="S1459" i="9"/>
  <c r="Q1989" i="9"/>
  <c r="S1988" i="9"/>
  <c r="R1988" i="9"/>
  <c r="Q787" i="9"/>
  <c r="R786" i="9"/>
  <c r="S786" i="9"/>
  <c r="Q1583" i="9"/>
  <c r="S1582" i="9"/>
  <c r="R1582" i="9"/>
  <c r="S508" i="9"/>
  <c r="R508" i="9"/>
  <c r="Q509" i="9"/>
  <c r="Q984" i="9"/>
  <c r="R983" i="9"/>
  <c r="S983" i="9"/>
  <c r="Q1809" i="9" l="1"/>
  <c r="R1808" i="9"/>
  <c r="S1808" i="9"/>
  <c r="Q2653" i="9"/>
  <c r="R2652" i="9"/>
  <c r="S2652" i="9"/>
  <c r="R787" i="9"/>
  <c r="Q788" i="9"/>
  <c r="S787" i="9"/>
  <c r="Q211" i="9"/>
  <c r="S210" i="9"/>
  <c r="R210" i="9"/>
  <c r="R1583" i="9"/>
  <c r="Q1584" i="9"/>
  <c r="S1583" i="9"/>
  <c r="Q655" i="9"/>
  <c r="S654" i="9"/>
  <c r="R654" i="9"/>
  <c r="Q1461" i="9"/>
  <c r="R1460" i="9"/>
  <c r="S1460" i="9"/>
  <c r="S879" i="9"/>
  <c r="Q880" i="9"/>
  <c r="R879" i="9"/>
  <c r="S1989" i="9"/>
  <c r="R1989" i="9"/>
  <c r="Q1990" i="9"/>
  <c r="Q2507" i="9"/>
  <c r="S2506" i="9"/>
  <c r="R2506" i="9"/>
  <c r="Q2222" i="9"/>
  <c r="S2221" i="9"/>
  <c r="R2221" i="9"/>
  <c r="S509" i="9"/>
  <c r="R509" i="9"/>
  <c r="Q510" i="9"/>
  <c r="X498" i="9"/>
  <c r="Q985" i="9"/>
  <c r="R984" i="9"/>
  <c r="S984" i="9"/>
  <c r="R1809" i="9" l="1"/>
  <c r="Q1810" i="9"/>
  <c r="S1809" i="9"/>
  <c r="Q2654" i="9"/>
  <c r="R2653" i="9"/>
  <c r="S2653" i="9"/>
  <c r="S1584" i="9"/>
  <c r="AB1577" i="9" s="1"/>
  <c r="R1584" i="9"/>
  <c r="Q1585" i="9"/>
  <c r="Q789" i="9"/>
  <c r="R788" i="9"/>
  <c r="S788" i="9"/>
  <c r="S2222" i="9"/>
  <c r="Q2223" i="9"/>
  <c r="R2222" i="9"/>
  <c r="S2507" i="9"/>
  <c r="Q2508" i="9"/>
  <c r="R2507" i="9"/>
  <c r="Q656" i="9"/>
  <c r="S655" i="9"/>
  <c r="R655" i="9"/>
  <c r="Q212" i="9"/>
  <c r="R211" i="9"/>
  <c r="S211" i="9"/>
  <c r="R1990" i="9"/>
  <c r="Q1991" i="9"/>
  <c r="S1990" i="9"/>
  <c r="S880" i="9"/>
  <c r="R880" i="9"/>
  <c r="Q1462" i="9"/>
  <c r="Q1463" i="9" s="1"/>
  <c r="S1461" i="9"/>
  <c r="R1461" i="9"/>
  <c r="S510" i="9"/>
  <c r="Q511" i="9"/>
  <c r="R510" i="9"/>
  <c r="Q986" i="9"/>
  <c r="R985" i="9"/>
  <c r="S985" i="9"/>
  <c r="Q1811" i="9" l="1"/>
  <c r="S1810" i="9"/>
  <c r="R1810" i="9"/>
  <c r="Q1464" i="9"/>
  <c r="S1463" i="9"/>
  <c r="R1463" i="9"/>
  <c r="S2654" i="9"/>
  <c r="Q2655" i="9"/>
  <c r="R2654" i="9"/>
  <c r="R212" i="9"/>
  <c r="S212" i="9"/>
  <c r="Q213" i="9"/>
  <c r="Q657" i="9"/>
  <c r="Q658" i="9" s="1"/>
  <c r="R656" i="9"/>
  <c r="S656" i="9"/>
  <c r="Q2509" i="9"/>
  <c r="S2508" i="9"/>
  <c r="R2508" i="9"/>
  <c r="R1462" i="9"/>
  <c r="S1462" i="9"/>
  <c r="R1585" i="9"/>
  <c r="S1585" i="9"/>
  <c r="Q1586" i="9"/>
  <c r="R1991" i="9"/>
  <c r="Q1992" i="9"/>
  <c r="S1991" i="9"/>
  <c r="R2223" i="9"/>
  <c r="Q2224" i="9"/>
  <c r="S2223" i="9"/>
  <c r="R789" i="9"/>
  <c r="S789" i="9"/>
  <c r="Q790" i="9"/>
  <c r="Q512" i="9"/>
  <c r="R511" i="9"/>
  <c r="S511" i="9"/>
  <c r="Q987" i="9"/>
  <c r="R986" i="9"/>
  <c r="S986" i="9"/>
  <c r="Y1455" i="9" l="1"/>
  <c r="Q659" i="9"/>
  <c r="R658" i="9"/>
  <c r="S658" i="9"/>
  <c r="S2655" i="9"/>
  <c r="Q2656" i="9"/>
  <c r="R2655" i="9"/>
  <c r="R1464" i="9"/>
  <c r="S1464" i="9"/>
  <c r="Q1812" i="9"/>
  <c r="S1811" i="9"/>
  <c r="R1811" i="9"/>
  <c r="W1457" i="9"/>
  <c r="R790" i="9"/>
  <c r="S790" i="9"/>
  <c r="Q791" i="9"/>
  <c r="Q1587" i="9"/>
  <c r="R1586" i="9"/>
  <c r="S1586" i="9"/>
  <c r="S2224" i="9"/>
  <c r="R2224" i="9"/>
  <c r="Q2225" i="9"/>
  <c r="R1992" i="9"/>
  <c r="S1992" i="9"/>
  <c r="Q1993" i="9"/>
  <c r="R657" i="9"/>
  <c r="S657" i="9"/>
  <c r="Q2510" i="9"/>
  <c r="R2509" i="9"/>
  <c r="S2509" i="9"/>
  <c r="Q214" i="9"/>
  <c r="R213" i="9"/>
  <c r="S213" i="9"/>
  <c r="R512" i="9"/>
  <c r="S512" i="9"/>
  <c r="Q513" i="9"/>
  <c r="Q988" i="9"/>
  <c r="R987" i="9"/>
  <c r="S987" i="9"/>
  <c r="S2656" i="9" l="1"/>
  <c r="R2656" i="9"/>
  <c r="Q2657" i="9"/>
  <c r="S659" i="9"/>
  <c r="R659" i="9"/>
  <c r="S1812" i="9"/>
  <c r="Q1813" i="9"/>
  <c r="R1812" i="9"/>
  <c r="S2225" i="9"/>
  <c r="Q2226" i="9"/>
  <c r="R2225" i="9"/>
  <c r="Q215" i="9"/>
  <c r="S214" i="9"/>
  <c r="R214" i="9"/>
  <c r="AA649" i="9"/>
  <c r="AB649" i="9"/>
  <c r="Q2511" i="9"/>
  <c r="R2510" i="9"/>
  <c r="S2510" i="9"/>
  <c r="Q1994" i="9"/>
  <c r="S1993" i="9"/>
  <c r="R1993" i="9"/>
  <c r="R1587" i="9"/>
  <c r="S1587" i="9"/>
  <c r="Q1588" i="9"/>
  <c r="R791" i="9"/>
  <c r="S791" i="9"/>
  <c r="Q792" i="9"/>
  <c r="R513" i="9"/>
  <c r="S513" i="9"/>
  <c r="Q514" i="9"/>
  <c r="Q989" i="9"/>
  <c r="R988" i="9"/>
  <c r="S988" i="9"/>
  <c r="Q1814" i="9" l="1"/>
  <c r="R1813" i="9"/>
  <c r="S1813" i="9"/>
  <c r="Q2658" i="9"/>
  <c r="R2657" i="9"/>
  <c r="S2657" i="9"/>
  <c r="R1588" i="9"/>
  <c r="Q1589" i="9"/>
  <c r="S1588" i="9"/>
  <c r="R792" i="9"/>
  <c r="Q793" i="9"/>
  <c r="S792" i="9"/>
  <c r="Q1995" i="9"/>
  <c r="R1994" i="9"/>
  <c r="S1994" i="9"/>
  <c r="S2511" i="9"/>
  <c r="R2511" i="9"/>
  <c r="Q2512" i="9"/>
  <c r="R215" i="9"/>
  <c r="Q216" i="9"/>
  <c r="S215" i="9"/>
  <c r="R2226" i="9"/>
  <c r="S2226" i="9"/>
  <c r="Q2227" i="9"/>
  <c r="R514" i="9"/>
  <c r="S514" i="9"/>
  <c r="Q515" i="9"/>
  <c r="Q990" i="9"/>
  <c r="R989" i="9"/>
  <c r="S989" i="9"/>
  <c r="R2658" i="9" l="1"/>
  <c r="Q2659" i="9"/>
  <c r="S2658" i="9"/>
  <c r="S1814" i="9"/>
  <c r="R1814" i="9"/>
  <c r="Q1815" i="9"/>
  <c r="S1995" i="9"/>
  <c r="R1995" i="9"/>
  <c r="Q1996" i="9"/>
  <c r="R2227" i="9"/>
  <c r="S2227" i="9"/>
  <c r="Q2228" i="9"/>
  <c r="S216" i="9"/>
  <c r="Q217" i="9"/>
  <c r="R216" i="9"/>
  <c r="R793" i="9"/>
  <c r="S793" i="9"/>
  <c r="Q794" i="9"/>
  <c r="S2512" i="9"/>
  <c r="Q2513" i="9"/>
  <c r="R2512" i="9"/>
  <c r="R1589" i="9"/>
  <c r="Q1590" i="9"/>
  <c r="S1589" i="9"/>
  <c r="Q516" i="9"/>
  <c r="R515" i="9"/>
  <c r="S515" i="9"/>
  <c r="Q991" i="9"/>
  <c r="R990" i="9"/>
  <c r="S990" i="9"/>
  <c r="S1815" i="9" l="1"/>
  <c r="Q1816" i="9"/>
  <c r="R1815" i="9"/>
  <c r="S2659" i="9"/>
  <c r="R2659" i="9"/>
  <c r="Q2660" i="9"/>
  <c r="S1996" i="9"/>
  <c r="R1996" i="9"/>
  <c r="Q1997" i="9"/>
  <c r="Q1591" i="9"/>
  <c r="R1590" i="9"/>
  <c r="S1590" i="9"/>
  <c r="S2513" i="9"/>
  <c r="Q2514" i="9"/>
  <c r="R2513" i="9"/>
  <c r="Q2229" i="9"/>
  <c r="R2228" i="9"/>
  <c r="S2228" i="9"/>
  <c r="Q795" i="9"/>
  <c r="R794" i="9"/>
  <c r="S794" i="9"/>
  <c r="S217" i="9"/>
  <c r="Q218" i="9"/>
  <c r="R217" i="9"/>
  <c r="Q517" i="9"/>
  <c r="R516" i="9"/>
  <c r="S516" i="9"/>
  <c r="Q992" i="9"/>
  <c r="R991" i="9"/>
  <c r="S991" i="9"/>
  <c r="R1816" i="9" l="1"/>
  <c r="S1816" i="9"/>
  <c r="Q1817" i="9"/>
  <c r="R2660" i="9"/>
  <c r="S2660" i="9"/>
  <c r="Q2661" i="9"/>
  <c r="Q219" i="9"/>
  <c r="S218" i="9"/>
  <c r="R218" i="9"/>
  <c r="S795" i="9"/>
  <c r="R795" i="9"/>
  <c r="Q796" i="9"/>
  <c r="Q2515" i="9"/>
  <c r="R2514" i="9"/>
  <c r="S2514" i="9"/>
  <c r="R1591" i="9"/>
  <c r="Q1592" i="9"/>
  <c r="S1591" i="9"/>
  <c r="Q1998" i="9"/>
  <c r="S1997" i="9"/>
  <c r="R1997" i="9"/>
  <c r="S2229" i="9"/>
  <c r="Q2230" i="9"/>
  <c r="R2229" i="9"/>
  <c r="Q518" i="9"/>
  <c r="S517" i="9"/>
  <c r="R517" i="9"/>
  <c r="Q993" i="9"/>
  <c r="R992" i="9"/>
  <c r="S992" i="9"/>
  <c r="Q2662" i="9" l="1"/>
  <c r="R2661" i="9"/>
  <c r="S2661" i="9"/>
  <c r="S1817" i="9"/>
  <c r="Y1774" i="9" s="1"/>
  <c r="Q1818" i="9"/>
  <c r="R1817" i="9"/>
  <c r="R1592" i="9"/>
  <c r="Q1593" i="9"/>
  <c r="S1592" i="9"/>
  <c r="Q2516" i="9"/>
  <c r="R2515" i="9"/>
  <c r="S2515" i="9"/>
  <c r="S796" i="9"/>
  <c r="R796" i="9"/>
  <c r="Q797" i="9"/>
  <c r="S2230" i="9"/>
  <c r="R2230" i="9"/>
  <c r="Q2231" i="9"/>
  <c r="S1998" i="9"/>
  <c r="R1998" i="9"/>
  <c r="Q1999" i="9"/>
  <c r="S219" i="9"/>
  <c r="R219" i="9"/>
  <c r="Q220" i="9"/>
  <c r="Q519" i="9"/>
  <c r="R518" i="9"/>
  <c r="S518" i="9"/>
  <c r="Q994" i="9"/>
  <c r="R993" i="9"/>
  <c r="S993" i="9"/>
  <c r="Q1819" i="9" l="1"/>
  <c r="R1818" i="9"/>
  <c r="S1818" i="9"/>
  <c r="S2662" i="9"/>
  <c r="Q2663" i="9"/>
  <c r="R2662" i="9"/>
  <c r="Q2000" i="9"/>
  <c r="S1999" i="9"/>
  <c r="X1923" i="9" s="1"/>
  <c r="R1999" i="9"/>
  <c r="Q2232" i="9"/>
  <c r="S2231" i="9"/>
  <c r="R2231" i="9"/>
  <c r="S220" i="9"/>
  <c r="R220" i="9"/>
  <c r="Q221" i="9"/>
  <c r="Q1594" i="9"/>
  <c r="S1593" i="9"/>
  <c r="R1593" i="9"/>
  <c r="S2516" i="9"/>
  <c r="R2516" i="9"/>
  <c r="Q2517" i="9"/>
  <c r="R797" i="9"/>
  <c r="Q798" i="9"/>
  <c r="S797" i="9"/>
  <c r="R519" i="9"/>
  <c r="Q520" i="9"/>
  <c r="S519" i="9"/>
  <c r="R994" i="9"/>
  <c r="Q995" i="9"/>
  <c r="S994" i="9"/>
  <c r="Q2664" i="9" l="1"/>
  <c r="R2663" i="9"/>
  <c r="S2663" i="9"/>
  <c r="R1819" i="9"/>
  <c r="Q1820" i="9"/>
  <c r="S1819" i="9"/>
  <c r="S37" i="12"/>
  <c r="L37" i="12"/>
  <c r="AC37" i="12"/>
  <c r="O37" i="12"/>
  <c r="Z37" i="12"/>
  <c r="V37" i="12"/>
  <c r="S2232" i="9"/>
  <c r="Q2233" i="9"/>
  <c r="R2232" i="9"/>
  <c r="R2517" i="9"/>
  <c r="Q2518" i="9"/>
  <c r="S2517" i="9"/>
  <c r="V43" i="12"/>
  <c r="S43" i="12"/>
  <c r="L43" i="12"/>
  <c r="Z43" i="12"/>
  <c r="O43" i="12"/>
  <c r="AC43" i="12"/>
  <c r="R1594" i="9"/>
  <c r="Q1595" i="9"/>
  <c r="S1594" i="9"/>
  <c r="S798" i="9"/>
  <c r="R798" i="9"/>
  <c r="Q799" i="9"/>
  <c r="R221" i="9"/>
  <c r="Q222" i="9"/>
  <c r="S221" i="9"/>
  <c r="Q2001" i="9"/>
  <c r="R2000" i="9"/>
  <c r="S2000" i="9"/>
  <c r="R520" i="9"/>
  <c r="Q521" i="9"/>
  <c r="S520" i="9"/>
  <c r="Q996" i="9"/>
  <c r="R995" i="9"/>
  <c r="S995" i="9"/>
  <c r="S1820" i="9" l="1"/>
  <c r="R1820" i="9"/>
  <c r="Q1821" i="9"/>
  <c r="R2664" i="9"/>
  <c r="Q2665" i="9"/>
  <c r="S2664" i="9"/>
  <c r="H43" i="12"/>
  <c r="U12" i="16" s="1"/>
  <c r="R2001" i="9"/>
  <c r="S2001" i="9"/>
  <c r="Q2002" i="9"/>
  <c r="Q800" i="9"/>
  <c r="R799" i="9"/>
  <c r="S799" i="9"/>
  <c r="Q1596" i="9"/>
  <c r="R1595" i="9"/>
  <c r="S1595" i="9"/>
  <c r="R2233" i="9"/>
  <c r="S2233" i="9"/>
  <c r="Q2234" i="9"/>
  <c r="H37" i="12"/>
  <c r="U7" i="16" s="1"/>
  <c r="E43" i="12"/>
  <c r="S12" i="16" s="1"/>
  <c r="R2518" i="9"/>
  <c r="Q2519" i="9"/>
  <c r="S2518" i="9"/>
  <c r="R222" i="9"/>
  <c r="S222" i="9"/>
  <c r="Q223" i="9"/>
  <c r="E37" i="12"/>
  <c r="S7" i="16" s="1"/>
  <c r="S521" i="9"/>
  <c r="Q522" i="9"/>
  <c r="R521" i="9"/>
  <c r="Q997" i="9"/>
  <c r="R996" i="9"/>
  <c r="S996" i="9"/>
  <c r="R2665" i="9" l="1"/>
  <c r="Q2666" i="9"/>
  <c r="S2665" i="9"/>
  <c r="W12" i="16"/>
  <c r="S1821" i="9"/>
  <c r="R1821" i="9"/>
  <c r="Q1822" i="9"/>
  <c r="R1596" i="9"/>
  <c r="S1596" i="9"/>
  <c r="Q1597" i="9"/>
  <c r="Q2003" i="9"/>
  <c r="S2002" i="9"/>
  <c r="R2002" i="9"/>
  <c r="Q224" i="9"/>
  <c r="R223" i="9"/>
  <c r="S223" i="9"/>
  <c r="W7" i="16"/>
  <c r="R2519" i="9"/>
  <c r="Q2520" i="9"/>
  <c r="S2519" i="9"/>
  <c r="R2234" i="9"/>
  <c r="S2234" i="9"/>
  <c r="Q2235" i="9"/>
  <c r="S800" i="9"/>
  <c r="Q801" i="9"/>
  <c r="R800" i="9"/>
  <c r="R522" i="9"/>
  <c r="S522" i="9"/>
  <c r="Q523" i="9"/>
  <c r="Q998" i="9"/>
  <c r="R997" i="9"/>
  <c r="S997" i="9"/>
  <c r="R1822" i="9" l="1"/>
  <c r="S1822" i="9"/>
  <c r="Q1823" i="9"/>
  <c r="S2666" i="9"/>
  <c r="Q2667" i="9"/>
  <c r="R2666" i="9"/>
  <c r="Q2236" i="9"/>
  <c r="R2235" i="9"/>
  <c r="S2235" i="9"/>
  <c r="R2520" i="9"/>
  <c r="S2520" i="9"/>
  <c r="Q2521" i="9"/>
  <c r="Q2004" i="9"/>
  <c r="R2003" i="9"/>
  <c r="S2003" i="9"/>
  <c r="R224" i="9"/>
  <c r="Q225" i="9"/>
  <c r="S224" i="9"/>
  <c r="R1597" i="9"/>
  <c r="Q1598" i="9"/>
  <c r="S1597" i="9"/>
  <c r="R801" i="9"/>
  <c r="S801" i="9"/>
  <c r="Q802" i="9"/>
  <c r="Q524" i="9"/>
  <c r="R523" i="9"/>
  <c r="S523" i="9"/>
  <c r="Q999" i="9"/>
  <c r="R998" i="9"/>
  <c r="S998" i="9"/>
  <c r="S1823" i="9" l="1"/>
  <c r="Q1824" i="9"/>
  <c r="R1823" i="9"/>
  <c r="S2667" i="9"/>
  <c r="R2667" i="9"/>
  <c r="Q2668" i="9"/>
  <c r="S225" i="9"/>
  <c r="R225" i="9"/>
  <c r="Q226" i="9"/>
  <c r="R2004" i="9"/>
  <c r="S2004" i="9"/>
  <c r="Q2005" i="9"/>
  <c r="R802" i="9"/>
  <c r="Q803" i="9"/>
  <c r="S802" i="9"/>
  <c r="X765" i="9" s="1"/>
  <c r="Q1599" i="9"/>
  <c r="R1598" i="9"/>
  <c r="S1598" i="9"/>
  <c r="Q2522" i="9"/>
  <c r="R2521" i="9"/>
  <c r="S2521" i="9"/>
  <c r="S2236" i="9"/>
  <c r="Q2237" i="9"/>
  <c r="R2236" i="9"/>
  <c r="S524" i="9"/>
  <c r="R524" i="9"/>
  <c r="Q525" i="9"/>
  <c r="Q1000" i="9"/>
  <c r="R999" i="9"/>
  <c r="S999" i="9"/>
  <c r="Q2669" i="9" l="1"/>
  <c r="R2668" i="9"/>
  <c r="S2668" i="9"/>
  <c r="R1824" i="9"/>
  <c r="Q1825" i="9"/>
  <c r="S1824" i="9"/>
  <c r="Q1600" i="9"/>
  <c r="R1599" i="9"/>
  <c r="S1599" i="9"/>
  <c r="R2005" i="9"/>
  <c r="Q2006" i="9"/>
  <c r="S2005" i="9"/>
  <c r="Q2238" i="9"/>
  <c r="R2237" i="9"/>
  <c r="S2237" i="9"/>
  <c r="R2522" i="9"/>
  <c r="S2522" i="9"/>
  <c r="Q2523" i="9"/>
  <c r="S803" i="9"/>
  <c r="Q804" i="9"/>
  <c r="R803" i="9"/>
  <c r="Q227" i="9"/>
  <c r="R226" i="9"/>
  <c r="S226" i="9"/>
  <c r="R525" i="9"/>
  <c r="S525" i="9"/>
  <c r="Q526" i="9"/>
  <c r="Q1001" i="9"/>
  <c r="R1000" i="9"/>
  <c r="S1000" i="9"/>
  <c r="S1825" i="9" l="1"/>
  <c r="R1825" i="9"/>
  <c r="Q1826" i="9"/>
  <c r="Q2670" i="9"/>
  <c r="R2669" i="9"/>
  <c r="S2669" i="9"/>
  <c r="R804" i="9"/>
  <c r="S804" i="9"/>
  <c r="Q805" i="9"/>
  <c r="S227" i="9"/>
  <c r="Q228" i="9"/>
  <c r="R227" i="9"/>
  <c r="S2523" i="9"/>
  <c r="R2523" i="9"/>
  <c r="Q2524" i="9"/>
  <c r="Q2007" i="9"/>
  <c r="R2006" i="9"/>
  <c r="S2006" i="9"/>
  <c r="Q1601" i="9"/>
  <c r="S1600" i="9"/>
  <c r="R1600" i="9"/>
  <c r="Q2239" i="9"/>
  <c r="R2238" i="9"/>
  <c r="S2238" i="9"/>
  <c r="R526" i="9"/>
  <c r="S526" i="9"/>
  <c r="Q527" i="9"/>
  <c r="Q1002" i="9"/>
  <c r="R1001" i="9"/>
  <c r="S1001" i="9"/>
  <c r="S1826" i="9" l="1"/>
  <c r="R1826" i="9"/>
  <c r="Q1827" i="9"/>
  <c r="S2670" i="9"/>
  <c r="R2670" i="9"/>
  <c r="Q2671" i="9"/>
  <c r="R2239" i="9"/>
  <c r="Q2240" i="9"/>
  <c r="S2239" i="9"/>
  <c r="S2007" i="9"/>
  <c r="Q2008" i="9"/>
  <c r="R2007" i="9"/>
  <c r="S1601" i="9"/>
  <c r="Q1602" i="9"/>
  <c r="R1601" i="9"/>
  <c r="Q2525" i="9"/>
  <c r="S2524" i="9"/>
  <c r="R2524" i="9"/>
  <c r="R228" i="9"/>
  <c r="S228" i="9"/>
  <c r="Q229" i="9"/>
  <c r="S805" i="9"/>
  <c r="Q806" i="9"/>
  <c r="R805" i="9"/>
  <c r="Q528" i="9"/>
  <c r="R527" i="9"/>
  <c r="S527" i="9"/>
  <c r="Q1003" i="9"/>
  <c r="R1002" i="9"/>
  <c r="S1002" i="9"/>
  <c r="S2671" i="9" l="1"/>
  <c r="Q2672" i="9"/>
  <c r="R2671" i="9"/>
  <c r="Q1828" i="9"/>
  <c r="R1827" i="9"/>
  <c r="S1827" i="9"/>
  <c r="Y1818" i="9" s="1"/>
  <c r="S1602" i="9"/>
  <c r="Q1603" i="9"/>
  <c r="R1602" i="9"/>
  <c r="Q230" i="9"/>
  <c r="S229" i="9"/>
  <c r="R229" i="9"/>
  <c r="R806" i="9"/>
  <c r="S806" i="9"/>
  <c r="Q807" i="9"/>
  <c r="R2525" i="9"/>
  <c r="S2525" i="9"/>
  <c r="Q2526" i="9"/>
  <c r="S2240" i="9"/>
  <c r="R2240" i="9"/>
  <c r="Q2241" i="9"/>
  <c r="Q2009" i="9"/>
  <c r="S2008" i="9"/>
  <c r="R2008" i="9"/>
  <c r="S528" i="9"/>
  <c r="R528" i="9"/>
  <c r="Q529" i="9"/>
  <c r="Q1004" i="9"/>
  <c r="R1003" i="9"/>
  <c r="S1003" i="9"/>
  <c r="AA2235" i="9" l="1"/>
  <c r="Y2235" i="9"/>
  <c r="S1828" i="9"/>
  <c r="Q1829" i="9"/>
  <c r="R1828" i="9"/>
  <c r="Q2673" i="9"/>
  <c r="R2672" i="9"/>
  <c r="S2672" i="9"/>
  <c r="W2235" i="9"/>
  <c r="S2241" i="9"/>
  <c r="Q2242" i="9"/>
  <c r="R2241" i="9"/>
  <c r="Q231" i="9"/>
  <c r="R230" i="9"/>
  <c r="S230" i="9"/>
  <c r="Z2000" i="9"/>
  <c r="Q1604" i="9"/>
  <c r="S1603" i="9"/>
  <c r="R1603" i="9"/>
  <c r="Q2010" i="9"/>
  <c r="S2009" i="9"/>
  <c r="R2009" i="9"/>
  <c r="Q2527" i="9"/>
  <c r="Q2528" i="9" s="1"/>
  <c r="R2526" i="9"/>
  <c r="S2526" i="9"/>
  <c r="Q808" i="9"/>
  <c r="S807" i="9"/>
  <c r="R807" i="9"/>
  <c r="R529" i="9"/>
  <c r="Q530" i="9"/>
  <c r="S529" i="9"/>
  <c r="Q1005" i="9"/>
  <c r="R1004" i="9"/>
  <c r="S1004" i="9"/>
  <c r="S2673" i="9" l="1"/>
  <c r="R2673" i="9"/>
  <c r="Q2674" i="9"/>
  <c r="T20" i="1"/>
  <c r="T5" i="10"/>
  <c r="T17" i="10"/>
  <c r="T7" i="10"/>
  <c r="T16" i="1"/>
  <c r="T17" i="1"/>
  <c r="T19" i="10"/>
  <c r="T4" i="10"/>
  <c r="T23" i="1"/>
  <c r="T3" i="10"/>
  <c r="T10" i="1"/>
  <c r="T9" i="1" a="1"/>
  <c r="T9" i="1" s="1"/>
  <c r="T18" i="10"/>
  <c r="T18" i="1"/>
  <c r="T21" i="10"/>
  <c r="T19" i="1"/>
  <c r="T6" i="10"/>
  <c r="T21" i="1"/>
  <c r="T8" i="10"/>
  <c r="T22" i="1"/>
  <c r="T20" i="10"/>
  <c r="T16" i="10"/>
  <c r="Q2529" i="9"/>
  <c r="R2528" i="9"/>
  <c r="S2528" i="9"/>
  <c r="S1829" i="9"/>
  <c r="R1829" i="9"/>
  <c r="Q1830" i="9"/>
  <c r="W2000" i="9"/>
  <c r="Y2000" i="9"/>
  <c r="AB2000" i="9"/>
  <c r="Q2011" i="9"/>
  <c r="S2010" i="9"/>
  <c r="R2010" i="9"/>
  <c r="S231" i="9"/>
  <c r="Q232" i="9"/>
  <c r="R231" i="9"/>
  <c r="S808" i="9"/>
  <c r="R808" i="9"/>
  <c r="Q809" i="9"/>
  <c r="R2242" i="9"/>
  <c r="Q2243" i="9"/>
  <c r="S2242" i="9"/>
  <c r="S2527" i="9"/>
  <c r="R2527" i="9"/>
  <c r="R1604" i="9"/>
  <c r="Q1605" i="9"/>
  <c r="S1604" i="9"/>
  <c r="Q531" i="9"/>
  <c r="R530" i="9"/>
  <c r="S530" i="9"/>
  <c r="Q1006" i="9"/>
  <c r="R1005" i="9"/>
  <c r="S1005" i="9"/>
  <c r="Q1831" i="9" l="1"/>
  <c r="S1830" i="9"/>
  <c r="R1830" i="9"/>
  <c r="Q2530" i="9"/>
  <c r="S2529" i="9"/>
  <c r="R2529" i="9"/>
  <c r="R2674" i="9"/>
  <c r="Q2675" i="9"/>
  <c r="S2674" i="9"/>
  <c r="W1553" i="9"/>
  <c r="AA1553" i="9"/>
  <c r="X1553" i="9"/>
  <c r="W837" i="9"/>
  <c r="W1423" i="9"/>
  <c r="Y1553" i="9"/>
  <c r="AA174" i="9"/>
  <c r="Y1923" i="9"/>
  <c r="W467" i="9"/>
  <c r="Y2473" i="9"/>
  <c r="X1423" i="9"/>
  <c r="Y837" i="9"/>
  <c r="Z1909" i="9"/>
  <c r="AB467" i="9"/>
  <c r="AA2152" i="9"/>
  <c r="Z174" i="9"/>
  <c r="AA2473" i="9"/>
  <c r="X2473" i="9"/>
  <c r="Y174" i="9"/>
  <c r="W2473" i="9"/>
  <c r="AA2187" i="9"/>
  <c r="AB837" i="9"/>
  <c r="W174" i="9"/>
  <c r="Z2187" i="9"/>
  <c r="Z467" i="9"/>
  <c r="Y1423" i="9"/>
  <c r="AA467" i="9"/>
  <c r="AB2187" i="9"/>
  <c r="AA837" i="9"/>
  <c r="X174" i="9"/>
  <c r="AB1909" i="9"/>
  <c r="Z2473" i="9"/>
  <c r="X2187" i="9"/>
  <c r="Y1909" i="9"/>
  <c r="AA1909" i="9"/>
  <c r="Z837" i="9"/>
  <c r="AB174" i="9"/>
  <c r="W1909" i="9"/>
  <c r="X467" i="9"/>
  <c r="Y467" i="9"/>
  <c r="X1909" i="9"/>
  <c r="Z2152" i="9"/>
  <c r="W1923" i="9"/>
  <c r="V1923" i="9" s="1"/>
  <c r="AB1423" i="9"/>
  <c r="Y2187" i="9"/>
  <c r="Z1423" i="9"/>
  <c r="AA1923" i="9"/>
  <c r="W2187" i="9"/>
  <c r="AB1923" i="9"/>
  <c r="AB2152" i="9"/>
  <c r="AA1423" i="9"/>
  <c r="X2152" i="9"/>
  <c r="W2152" i="9"/>
  <c r="Y2152" i="9"/>
  <c r="Z1923" i="9"/>
  <c r="X837" i="9"/>
  <c r="AB1553" i="9"/>
  <c r="Z1553" i="9"/>
  <c r="Y2488" i="9"/>
  <c r="W2488" i="9"/>
  <c r="X2488" i="9"/>
  <c r="AA2488" i="9"/>
  <c r="Z2488" i="9"/>
  <c r="AB2488" i="9"/>
  <c r="W498" i="9"/>
  <c r="V498" i="9" s="1"/>
  <c r="Y498" i="9"/>
  <c r="AA498" i="9"/>
  <c r="AB498" i="9"/>
  <c r="Z498" i="9"/>
  <c r="AB1455" i="9"/>
  <c r="Z1455" i="9"/>
  <c r="AA1455" i="9"/>
  <c r="Z649" i="9"/>
  <c r="W1455" i="9"/>
  <c r="X1455" i="9"/>
  <c r="X649" i="9"/>
  <c r="Y649" i="9"/>
  <c r="W649" i="9"/>
  <c r="X2504" i="9"/>
  <c r="W2504" i="9"/>
  <c r="AB2504" i="9"/>
  <c r="AA2504" i="9"/>
  <c r="Z2504" i="9"/>
  <c r="Y2504" i="9"/>
  <c r="X2000" i="9"/>
  <c r="V2000" i="9" s="1"/>
  <c r="AA2000" i="9"/>
  <c r="S809" i="9"/>
  <c r="R809" i="9"/>
  <c r="Q810" i="9"/>
  <c r="S2243" i="9"/>
  <c r="R2243" i="9"/>
  <c r="Q2244" i="9"/>
  <c r="Q1606" i="9"/>
  <c r="R1605" i="9"/>
  <c r="S1605" i="9"/>
  <c r="S232" i="9"/>
  <c r="R232" i="9"/>
  <c r="Q233" i="9"/>
  <c r="Q2012" i="9"/>
  <c r="R2011" i="9"/>
  <c r="S2011" i="9"/>
  <c r="Q532" i="9"/>
  <c r="R531" i="9"/>
  <c r="S531" i="9"/>
  <c r="Q1007" i="9"/>
  <c r="R1006" i="9"/>
  <c r="S1006" i="9"/>
  <c r="R2675" i="9" l="1"/>
  <c r="Q2676" i="9"/>
  <c r="S2675" i="9"/>
  <c r="Q1832" i="9"/>
  <c r="R1831" i="9"/>
  <c r="S1831" i="9"/>
  <c r="Q2531" i="9"/>
  <c r="R2530" i="9"/>
  <c r="S2530" i="9"/>
  <c r="V2488" i="9"/>
  <c r="V2187" i="9"/>
  <c r="V2473" i="9"/>
  <c r="V2504" i="9"/>
  <c r="V649" i="9"/>
  <c r="V1455" i="9"/>
  <c r="V1909" i="9"/>
  <c r="V2152" i="9"/>
  <c r="V467" i="9"/>
  <c r="V1553" i="9"/>
  <c r="S2244" i="9"/>
  <c r="Q2245" i="9"/>
  <c r="R2244" i="9"/>
  <c r="R2012" i="9"/>
  <c r="S2012" i="9"/>
  <c r="Q2013" i="9"/>
  <c r="S810" i="9"/>
  <c r="Q811" i="9"/>
  <c r="R810" i="9"/>
  <c r="S233" i="9"/>
  <c r="Q234" i="9"/>
  <c r="R233" i="9"/>
  <c r="V837" i="9"/>
  <c r="S1606" i="9"/>
  <c r="R1606" i="9"/>
  <c r="Q1607" i="9"/>
  <c r="V174" i="9"/>
  <c r="V1423" i="9"/>
  <c r="S532" i="9"/>
  <c r="R532" i="9"/>
  <c r="Q533" i="9"/>
  <c r="Q1008" i="9"/>
  <c r="R1007" i="9"/>
  <c r="S1007" i="9"/>
  <c r="R2531" i="9" l="1"/>
  <c r="S2531" i="9"/>
  <c r="Q2532" i="9"/>
  <c r="Q1833" i="9"/>
  <c r="R1832" i="9"/>
  <c r="S1832" i="9"/>
  <c r="S2676" i="9"/>
  <c r="Q2677" i="9"/>
  <c r="R2676" i="9"/>
  <c r="S2013" i="9"/>
  <c r="Q2014" i="9"/>
  <c r="R2013" i="9"/>
  <c r="S2245" i="9"/>
  <c r="R2245" i="9"/>
  <c r="Q2246" i="9"/>
  <c r="R1607" i="9"/>
  <c r="S1607" i="9"/>
  <c r="Q1608" i="9"/>
  <c r="S811" i="9"/>
  <c r="Q812" i="9"/>
  <c r="R811" i="9"/>
  <c r="Q235" i="9"/>
  <c r="R234" i="9"/>
  <c r="S234" i="9"/>
  <c r="R533" i="9"/>
  <c r="S533" i="9"/>
  <c r="Q534" i="9"/>
  <c r="R1008" i="9"/>
  <c r="Q1009" i="9"/>
  <c r="S1008" i="9"/>
  <c r="S1833" i="9" l="1"/>
  <c r="R1833" i="9"/>
  <c r="Q1834" i="9"/>
  <c r="S2677" i="9"/>
  <c r="R2677" i="9"/>
  <c r="Q2533" i="9"/>
  <c r="R2532" i="9"/>
  <c r="S2532" i="9"/>
  <c r="S812" i="9"/>
  <c r="R812" i="9"/>
  <c r="Q813" i="9"/>
  <c r="S2246" i="9"/>
  <c r="R2246" i="9"/>
  <c r="Q2247" i="9"/>
  <c r="Q2015" i="9"/>
  <c r="S2014" i="9"/>
  <c r="R2014" i="9"/>
  <c r="R235" i="9"/>
  <c r="S235" i="9"/>
  <c r="Q236" i="9"/>
  <c r="Q1609" i="9"/>
  <c r="S1608" i="9"/>
  <c r="R1608" i="9"/>
  <c r="S534" i="9"/>
  <c r="Q535" i="9"/>
  <c r="R534" i="9"/>
  <c r="Q1010" i="9"/>
  <c r="R1009" i="9"/>
  <c r="S1009" i="9"/>
  <c r="R2533" i="9" l="1"/>
  <c r="Q2534" i="9"/>
  <c r="S2533" i="9"/>
  <c r="W1543" i="9"/>
  <c r="V1543" i="9" s="1"/>
  <c r="AA1543" i="9"/>
  <c r="Y615" i="9"/>
  <c r="X1900" i="9"/>
  <c r="W615" i="9"/>
  <c r="AA615" i="9"/>
  <c r="AA1900" i="9"/>
  <c r="Z2571" i="9"/>
  <c r="Z113" i="9"/>
  <c r="X2458" i="9"/>
  <c r="Z731" i="9"/>
  <c r="X615" i="9"/>
  <c r="AA2571" i="9"/>
  <c r="AB615" i="9"/>
  <c r="W731" i="9"/>
  <c r="V731" i="9" s="1"/>
  <c r="Z615" i="9"/>
  <c r="W1900" i="9"/>
  <c r="X1954" i="9"/>
  <c r="Y950" i="9"/>
  <c r="AA1954" i="9"/>
  <c r="Z950" i="9"/>
  <c r="Y1900" i="9"/>
  <c r="AB834" i="9"/>
  <c r="Z2458" i="9"/>
  <c r="Y2571" i="9"/>
  <c r="V2571" i="9" s="1"/>
  <c r="Y475" i="9"/>
  <c r="AA950" i="9"/>
  <c r="W113" i="9"/>
  <c r="AA113" i="9"/>
  <c r="Z1900" i="9"/>
  <c r="Y1954" i="9"/>
  <c r="AB113" i="9"/>
  <c r="AB1900" i="9"/>
  <c r="W475" i="9"/>
  <c r="AA834" i="9"/>
  <c r="AB1954" i="9"/>
  <c r="Y113" i="9"/>
  <c r="X834" i="9"/>
  <c r="W1954" i="9"/>
  <c r="X950" i="9"/>
  <c r="AB1550" i="9"/>
  <c r="Z834" i="9"/>
  <c r="W834" i="9"/>
  <c r="V834" i="9" s="1"/>
  <c r="AB950" i="9"/>
  <c r="W2458" i="9"/>
  <c r="Z1954" i="9"/>
  <c r="AA2458" i="9"/>
  <c r="W950" i="9"/>
  <c r="V950" i="9" s="1"/>
  <c r="AB2458" i="9"/>
  <c r="X113" i="9"/>
  <c r="X1550" i="9"/>
  <c r="AB2165" i="9"/>
  <c r="Z1550" i="9"/>
  <c r="Z475" i="9"/>
  <c r="W2165" i="9"/>
  <c r="Y2165" i="9"/>
  <c r="Y2458" i="9"/>
  <c r="Y1550" i="9"/>
  <c r="Z2165" i="9"/>
  <c r="AA475" i="9"/>
  <c r="AB475" i="9"/>
  <c r="X2165" i="9"/>
  <c r="X475" i="9"/>
  <c r="W1550" i="9"/>
  <c r="V1550" i="9" s="1"/>
  <c r="AA1550" i="9"/>
  <c r="AA2165" i="9"/>
  <c r="X623" i="9"/>
  <c r="Z756" i="9"/>
  <c r="Z2622" i="9"/>
  <c r="W756" i="9"/>
  <c r="Y756" i="9"/>
  <c r="Z623" i="9"/>
  <c r="Y623" i="9"/>
  <c r="W957" i="9"/>
  <c r="X850" i="9"/>
  <c r="AB756" i="9"/>
  <c r="AB2622" i="9"/>
  <c r="W623" i="9"/>
  <c r="X756" i="9"/>
  <c r="AB623" i="9"/>
  <c r="Y2622" i="9"/>
  <c r="X2622" i="9"/>
  <c r="W2622" i="9"/>
  <c r="V2622" i="9" s="1"/>
  <c r="AA2622" i="9"/>
  <c r="W850" i="9"/>
  <c r="Y957" i="9"/>
  <c r="AA756" i="9"/>
  <c r="AA623" i="9"/>
  <c r="X957" i="9"/>
  <c r="AB850" i="9"/>
  <c r="AA850" i="9"/>
  <c r="Y850" i="9"/>
  <c r="AA957" i="9"/>
  <c r="X2194" i="9"/>
  <c r="Z850" i="9"/>
  <c r="AB957" i="9"/>
  <c r="AA2194" i="9"/>
  <c r="W1558" i="9"/>
  <c r="Z2194" i="9"/>
  <c r="Z957" i="9"/>
  <c r="Y2194" i="9"/>
  <c r="W2194" i="9"/>
  <c r="AA1558" i="9"/>
  <c r="Y1558" i="9"/>
  <c r="Z1558" i="9"/>
  <c r="AA1436" i="9"/>
  <c r="AB2194" i="9"/>
  <c r="AB1558" i="9"/>
  <c r="Z1436" i="9"/>
  <c r="X1558" i="9"/>
  <c r="W1436" i="9"/>
  <c r="X1968" i="9"/>
  <c r="Y1436" i="9"/>
  <c r="X1436" i="9"/>
  <c r="Z489" i="9"/>
  <c r="AB1436" i="9"/>
  <c r="AB489" i="9"/>
  <c r="AA489" i="9"/>
  <c r="W489" i="9"/>
  <c r="Y1968" i="9"/>
  <c r="Z1968" i="9"/>
  <c r="X489" i="9"/>
  <c r="AA1968" i="9"/>
  <c r="W770" i="9"/>
  <c r="Y489" i="9"/>
  <c r="AB1968" i="9"/>
  <c r="X862" i="9"/>
  <c r="V862" i="9" s="1"/>
  <c r="AB770" i="9"/>
  <c r="W1968" i="9"/>
  <c r="V1968" i="9" s="1"/>
  <c r="X770" i="9"/>
  <c r="AA637" i="9"/>
  <c r="Y770" i="9"/>
  <c r="W637" i="9"/>
  <c r="X637" i="9"/>
  <c r="AA770" i="9"/>
  <c r="AB637" i="9"/>
  <c r="Z637" i="9"/>
  <c r="AB2207" i="9"/>
  <c r="Y637" i="9"/>
  <c r="W2207" i="9"/>
  <c r="Z770" i="9"/>
  <c r="AA2207" i="9"/>
  <c r="AA868" i="9"/>
  <c r="X868" i="9"/>
  <c r="V868" i="9" s="1"/>
  <c r="X2207" i="9"/>
  <c r="X1980" i="9"/>
  <c r="Y2207" i="9"/>
  <c r="Z2207" i="9"/>
  <c r="AB1980" i="9"/>
  <c r="Y1980" i="9"/>
  <c r="AA1980" i="9"/>
  <c r="Z1980" i="9"/>
  <c r="W1980" i="9"/>
  <c r="X781" i="9"/>
  <c r="X1577" i="9"/>
  <c r="AA874" i="9"/>
  <c r="AA1577" i="9"/>
  <c r="Z874" i="9"/>
  <c r="W781" i="9"/>
  <c r="Y1577" i="9"/>
  <c r="AB874" i="9"/>
  <c r="Z1577" i="9"/>
  <c r="AA781" i="9"/>
  <c r="X874" i="9"/>
  <c r="W874" i="9"/>
  <c r="Y874" i="9"/>
  <c r="Z781" i="9"/>
  <c r="Y1457" i="9"/>
  <c r="Y781" i="9"/>
  <c r="AB781" i="9"/>
  <c r="Z1457" i="9"/>
  <c r="W1577" i="9"/>
  <c r="AB1457" i="9"/>
  <c r="AA1457" i="9"/>
  <c r="Y209" i="9"/>
  <c r="X2505" i="9"/>
  <c r="X209" i="9"/>
  <c r="Z2505" i="9"/>
  <c r="X1457" i="9"/>
  <c r="V1457" i="9" s="1"/>
  <c r="AB2505" i="9"/>
  <c r="AB209" i="9"/>
  <c r="W2505" i="9"/>
  <c r="AA209" i="9"/>
  <c r="Z209" i="9"/>
  <c r="W209" i="9"/>
  <c r="Y2505" i="9"/>
  <c r="W1992" i="9"/>
  <c r="Z1585" i="9"/>
  <c r="AA1585" i="9"/>
  <c r="X1585" i="9"/>
  <c r="W1585" i="9"/>
  <c r="V1585" i="9" s="1"/>
  <c r="AA2505" i="9"/>
  <c r="Y1585" i="9"/>
  <c r="AB1992" i="9"/>
  <c r="AB1585" i="9"/>
  <c r="Z1992" i="9"/>
  <c r="AA1992" i="9"/>
  <c r="Y1992" i="9"/>
  <c r="X1992" i="9"/>
  <c r="Y2001" i="9"/>
  <c r="W2001" i="9"/>
  <c r="AA2001" i="9"/>
  <c r="X2235" i="9"/>
  <c r="V2235" i="9" s="1"/>
  <c r="AB2235" i="9"/>
  <c r="AB2001" i="9"/>
  <c r="Z2001" i="9"/>
  <c r="X2001" i="9"/>
  <c r="Z2235" i="9"/>
  <c r="S1834" i="9"/>
  <c r="Q1835" i="9"/>
  <c r="R1834" i="9"/>
  <c r="S2247" i="9"/>
  <c r="Q2248" i="9"/>
  <c r="R2247" i="9"/>
  <c r="S813" i="9"/>
  <c r="R813" i="9"/>
  <c r="Q814" i="9"/>
  <c r="Q237" i="9"/>
  <c r="S236" i="9"/>
  <c r="R236" i="9"/>
  <c r="R2015" i="9"/>
  <c r="S2015" i="9"/>
  <c r="Q2016" i="9"/>
  <c r="Q1610" i="9"/>
  <c r="R1609" i="9"/>
  <c r="S1609" i="9"/>
  <c r="S535" i="9"/>
  <c r="Q536" i="9"/>
  <c r="R535" i="9"/>
  <c r="Q1011" i="9"/>
  <c r="R1010" i="9"/>
  <c r="S1010" i="9"/>
  <c r="V1577" i="9" l="1"/>
  <c r="V2194" i="9"/>
  <c r="V623" i="9"/>
  <c r="V1992" i="9"/>
  <c r="V781" i="9"/>
  <c r="V489" i="9"/>
  <c r="V1436" i="9"/>
  <c r="V2165" i="9"/>
  <c r="V1954" i="9"/>
  <c r="V2001" i="9"/>
  <c r="V2505" i="9"/>
  <c r="V1558" i="9"/>
  <c r="V957" i="9"/>
  <c r="V756" i="9"/>
  <c r="V475" i="9"/>
  <c r="V209" i="9"/>
  <c r="V874" i="9"/>
  <c r="V1980" i="9"/>
  <c r="V637" i="9"/>
  <c r="V850" i="9"/>
  <c r="V2458" i="9"/>
  <c r="Q2535" i="9"/>
  <c r="R2534" i="9"/>
  <c r="S2534" i="9"/>
  <c r="S1835" i="9"/>
  <c r="Q1836" i="9"/>
  <c r="R1835" i="9"/>
  <c r="V2207" i="9"/>
  <c r="V770" i="9"/>
  <c r="V113" i="9"/>
  <c r="V1900" i="9"/>
  <c r="V615" i="9"/>
  <c r="Q2017" i="9"/>
  <c r="R2016" i="9"/>
  <c r="S2016" i="9"/>
  <c r="S237" i="9"/>
  <c r="Q238" i="9"/>
  <c r="R237" i="9"/>
  <c r="R1610" i="9"/>
  <c r="Q1611" i="9"/>
  <c r="S1610" i="9"/>
  <c r="Q815" i="9"/>
  <c r="R814" i="9"/>
  <c r="S814" i="9"/>
  <c r="S2248" i="9"/>
  <c r="Q2249" i="9"/>
  <c r="R2248" i="9"/>
  <c r="Q537" i="9"/>
  <c r="S536" i="9"/>
  <c r="R536" i="9"/>
  <c r="Q1012" i="9"/>
  <c r="R1011" i="9"/>
  <c r="S1011" i="9"/>
  <c r="S1836" i="9" l="1"/>
  <c r="R1836" i="9"/>
  <c r="Q1837" i="9"/>
  <c r="Y2009" i="9"/>
  <c r="R2535" i="9"/>
  <c r="S2535" i="9"/>
  <c r="Q2536" i="9"/>
  <c r="R238" i="9"/>
  <c r="Q239" i="9"/>
  <c r="S238" i="9"/>
  <c r="S2249" i="9"/>
  <c r="Q2250" i="9"/>
  <c r="Q2251" i="9" s="1"/>
  <c r="R2249" i="9"/>
  <c r="Q816" i="9"/>
  <c r="S815" i="9"/>
  <c r="R815" i="9"/>
  <c r="S1611" i="9"/>
  <c r="R1611" i="9"/>
  <c r="Q1612" i="9"/>
  <c r="S2017" i="9"/>
  <c r="Q2018" i="9"/>
  <c r="R2017" i="9"/>
  <c r="R537" i="9"/>
  <c r="S537" i="9"/>
  <c r="Q538" i="9"/>
  <c r="Q1013" i="9"/>
  <c r="R1012" i="9"/>
  <c r="S1012" i="9"/>
  <c r="S2536" i="9" l="1"/>
  <c r="Q2537" i="9"/>
  <c r="R2536" i="9"/>
  <c r="S2251" i="9"/>
  <c r="Q2252" i="9"/>
  <c r="R2251" i="9"/>
  <c r="S1837" i="9"/>
  <c r="R1837" i="9"/>
  <c r="Q1838" i="9"/>
  <c r="Q240" i="9"/>
  <c r="R239" i="9"/>
  <c r="S239" i="9"/>
  <c r="Q1613" i="9"/>
  <c r="R1612" i="9"/>
  <c r="S1612" i="9"/>
  <c r="R2250" i="9"/>
  <c r="S2250" i="9"/>
  <c r="R2018" i="9"/>
  <c r="S2018" i="9"/>
  <c r="Q2019" i="9"/>
  <c r="R816" i="9"/>
  <c r="Q817" i="9"/>
  <c r="S816" i="9"/>
  <c r="Q539" i="9"/>
  <c r="R538" i="9"/>
  <c r="S538" i="9"/>
  <c r="Q1014" i="9"/>
  <c r="R1013" i="9"/>
  <c r="S1013" i="9"/>
  <c r="Q1839" i="9" l="1"/>
  <c r="S1838" i="9"/>
  <c r="R1838" i="9"/>
  <c r="Q2538" i="9"/>
  <c r="R2537" i="9"/>
  <c r="S2537" i="9"/>
  <c r="Q2253" i="9"/>
  <c r="R2252" i="9"/>
  <c r="S2252" i="9"/>
  <c r="R2019" i="9"/>
  <c r="Q2020" i="9"/>
  <c r="S2019" i="9"/>
  <c r="Y2216" i="9"/>
  <c r="AA2216" i="9"/>
  <c r="AB2216" i="9"/>
  <c r="X2216" i="9"/>
  <c r="Z2216" i="9"/>
  <c r="W2216" i="9"/>
  <c r="R1613" i="9"/>
  <c r="S1613" i="9"/>
  <c r="Q1614" i="9"/>
  <c r="S817" i="9"/>
  <c r="R817" i="9"/>
  <c r="Q818" i="9"/>
  <c r="Q241" i="9"/>
  <c r="R240" i="9"/>
  <c r="S240" i="9"/>
  <c r="S539" i="9"/>
  <c r="AB521" i="9" s="1"/>
  <c r="Q540" i="9"/>
  <c r="R539" i="9"/>
  <c r="Q1015" i="9"/>
  <c r="R1014" i="9"/>
  <c r="S1014" i="9"/>
  <c r="S2253" i="9" l="1"/>
  <c r="R2253" i="9"/>
  <c r="Q2254" i="9"/>
  <c r="R1839" i="9"/>
  <c r="S1839" i="9"/>
  <c r="Q1840" i="9"/>
  <c r="Y521" i="9"/>
  <c r="W521" i="9"/>
  <c r="Q2539" i="9"/>
  <c r="R2538" i="9"/>
  <c r="S2538" i="9"/>
  <c r="Y2528" i="9"/>
  <c r="V2216" i="9"/>
  <c r="W224" i="9"/>
  <c r="Q242" i="9"/>
  <c r="S241" i="9"/>
  <c r="Z224" i="9" s="1"/>
  <c r="R241" i="9"/>
  <c r="Q1615" i="9"/>
  <c r="R1614" i="9"/>
  <c r="S1614" i="9"/>
  <c r="AB224" i="9"/>
  <c r="Q2021" i="9"/>
  <c r="R2020" i="9"/>
  <c r="S2020" i="9"/>
  <c r="R818" i="9"/>
  <c r="Q819" i="9"/>
  <c r="S818" i="9"/>
  <c r="Q541" i="9"/>
  <c r="S540" i="9"/>
  <c r="R540" i="9"/>
  <c r="Q1016" i="9"/>
  <c r="R1015" i="9"/>
  <c r="S1015" i="9"/>
  <c r="R2539" i="9" l="1"/>
  <c r="S2539" i="9"/>
  <c r="Q2540" i="9"/>
  <c r="S2254" i="9"/>
  <c r="Q2255" i="9"/>
  <c r="R2254" i="9"/>
  <c r="R1840" i="9"/>
  <c r="Q1841" i="9"/>
  <c r="S1840" i="9"/>
  <c r="X224" i="9"/>
  <c r="AA224" i="9"/>
  <c r="R819" i="9"/>
  <c r="S819" i="9"/>
  <c r="Y801" i="9" s="1"/>
  <c r="Q2022" i="9"/>
  <c r="R2021" i="9"/>
  <c r="S2021" i="9"/>
  <c r="R1615" i="9"/>
  <c r="S1615" i="9"/>
  <c r="Q1616" i="9"/>
  <c r="Y224" i="9"/>
  <c r="V224" i="9" s="1"/>
  <c r="Q243" i="9"/>
  <c r="R242" i="9"/>
  <c r="S242" i="9"/>
  <c r="Q542" i="9"/>
  <c r="R541" i="9"/>
  <c r="S541" i="9"/>
  <c r="Q1017" i="9"/>
  <c r="R1016" i="9"/>
  <c r="S1016" i="9"/>
  <c r="S2255" i="9" l="1"/>
  <c r="R2255" i="9"/>
  <c r="Q2256" i="9"/>
  <c r="X18" i="10"/>
  <c r="X20" i="1"/>
  <c r="X19" i="1"/>
  <c r="X17" i="10"/>
  <c r="X7" i="10"/>
  <c r="X4" i="10"/>
  <c r="X20" i="10"/>
  <c r="X9" i="1" a="1"/>
  <c r="X9" i="1" s="1"/>
  <c r="X16" i="10"/>
  <c r="X16" i="1"/>
  <c r="X18" i="1"/>
  <c r="X17" i="1"/>
  <c r="X21" i="1"/>
  <c r="X10" i="1"/>
  <c r="X5" i="10"/>
  <c r="X19" i="10"/>
  <c r="X8" i="10"/>
  <c r="X22" i="1"/>
  <c r="X3" i="10"/>
  <c r="X23" i="1"/>
  <c r="X21" i="10"/>
  <c r="X6" i="10"/>
  <c r="Q1842" i="9"/>
  <c r="R1841" i="9"/>
  <c r="S1841" i="9"/>
  <c r="R2540" i="9"/>
  <c r="S2540" i="9"/>
  <c r="Q2541" i="9"/>
  <c r="R243" i="9"/>
  <c r="S243" i="9"/>
  <c r="Q244" i="9"/>
  <c r="R2022" i="9"/>
  <c r="S2022" i="9"/>
  <c r="Q2023" i="9"/>
  <c r="S1616" i="9"/>
  <c r="Q1617" i="9"/>
  <c r="R1616" i="9"/>
  <c r="R542" i="9"/>
  <c r="Q543" i="9"/>
  <c r="S542" i="9"/>
  <c r="Q1018" i="9"/>
  <c r="R1017" i="9"/>
  <c r="S1017" i="9"/>
  <c r="AA509" i="9" l="1"/>
  <c r="S2541" i="9"/>
  <c r="Q2542" i="9"/>
  <c r="R2541" i="9"/>
  <c r="S1842" i="9"/>
  <c r="R1842" i="9"/>
  <c r="Q1843" i="9"/>
  <c r="S2256" i="9"/>
  <c r="R2256" i="9"/>
  <c r="Q2257" i="9"/>
  <c r="S1617" i="9"/>
  <c r="Q1618" i="9"/>
  <c r="R1617" i="9"/>
  <c r="S244" i="9"/>
  <c r="Q245" i="9"/>
  <c r="R244" i="9"/>
  <c r="Y509" i="9"/>
  <c r="X509" i="9"/>
  <c r="Z509" i="9"/>
  <c r="W509" i="9"/>
  <c r="S2023" i="9"/>
  <c r="R2023" i="9"/>
  <c r="Q2024" i="9"/>
  <c r="Q544" i="9"/>
  <c r="R543" i="9"/>
  <c r="S543" i="9"/>
  <c r="Q1019" i="9"/>
  <c r="R1018" i="9"/>
  <c r="S1018" i="9"/>
  <c r="S2542" i="9" l="1"/>
  <c r="Q2543" i="9"/>
  <c r="R2542" i="9"/>
  <c r="R1843" i="9"/>
  <c r="S1843" i="9"/>
  <c r="Q1844" i="9"/>
  <c r="S2257" i="9"/>
  <c r="Q2258" i="9"/>
  <c r="R2257" i="9"/>
  <c r="V509" i="9"/>
  <c r="R1618" i="9"/>
  <c r="S1618" i="9"/>
  <c r="Q1619" i="9"/>
  <c r="S19" i="10"/>
  <c r="S20" i="1"/>
  <c r="S18" i="10"/>
  <c r="S21" i="10"/>
  <c r="S18" i="1"/>
  <c r="S19" i="1"/>
  <c r="S17" i="10"/>
  <c r="S17" i="1"/>
  <c r="S16" i="1"/>
  <c r="S16" i="10"/>
  <c r="S20" i="10"/>
  <c r="S21" i="1"/>
  <c r="R2024" i="9"/>
  <c r="S2024" i="9"/>
  <c r="Q2025" i="9"/>
  <c r="R245" i="9"/>
  <c r="Q246" i="9"/>
  <c r="S245" i="9"/>
  <c r="R544" i="9"/>
  <c r="S544" i="9"/>
  <c r="Q545" i="9"/>
  <c r="Q1020" i="9"/>
  <c r="R1019" i="9"/>
  <c r="S1019" i="9"/>
  <c r="Q2544" i="9" l="1"/>
  <c r="R2543" i="9"/>
  <c r="S2543" i="9"/>
  <c r="Q1845" i="9"/>
  <c r="S1844" i="9"/>
  <c r="R1844" i="9"/>
  <c r="Q2259" i="9"/>
  <c r="R2258" i="9"/>
  <c r="S2258" i="9"/>
  <c r="S1619" i="9"/>
  <c r="Q1620" i="9"/>
  <c r="R1619" i="9"/>
  <c r="S2025" i="9"/>
  <c r="Q2026" i="9"/>
  <c r="R2025" i="9"/>
  <c r="Q247" i="9"/>
  <c r="R246" i="9"/>
  <c r="S246" i="9"/>
  <c r="Q546" i="9"/>
  <c r="S545" i="9"/>
  <c r="R545" i="9"/>
  <c r="Q1021" i="9"/>
  <c r="R1020" i="9"/>
  <c r="S1020" i="9"/>
  <c r="R1845" i="9" l="1"/>
  <c r="S1845" i="9"/>
  <c r="Q1846" i="9"/>
  <c r="S2259" i="9"/>
  <c r="Q2260" i="9"/>
  <c r="R2259" i="9"/>
  <c r="Q2545" i="9"/>
  <c r="R2544" i="9"/>
  <c r="S2544" i="9"/>
  <c r="Q248" i="9"/>
  <c r="S247" i="9"/>
  <c r="R247" i="9"/>
  <c r="Q2027" i="9"/>
  <c r="R2026" i="9"/>
  <c r="S2026" i="9"/>
  <c r="R1620" i="9"/>
  <c r="S1620" i="9"/>
  <c r="Q1621" i="9"/>
  <c r="Q547" i="9"/>
  <c r="R546" i="9"/>
  <c r="S546" i="9"/>
  <c r="R1021" i="9"/>
  <c r="Q1022" i="9"/>
  <c r="S1021" i="9"/>
  <c r="S1846" i="9" l="1"/>
  <c r="Q1847" i="9"/>
  <c r="R1846" i="9"/>
  <c r="Q2261" i="9"/>
  <c r="S2260" i="9"/>
  <c r="R2260" i="9"/>
  <c r="Q2546" i="9"/>
  <c r="R2545" i="9"/>
  <c r="S2545" i="9"/>
  <c r="S2027" i="9"/>
  <c r="R2027" i="9"/>
  <c r="Q2028" i="9"/>
  <c r="R1621" i="9"/>
  <c r="Q1622" i="9"/>
  <c r="S1621" i="9"/>
  <c r="Q249" i="9"/>
  <c r="R248" i="9"/>
  <c r="S248" i="9"/>
  <c r="Q548" i="9"/>
  <c r="S547" i="9"/>
  <c r="R547" i="9"/>
  <c r="Q1023" i="9"/>
  <c r="R1022" i="9"/>
  <c r="S1022" i="9"/>
  <c r="Q2262" i="9" l="1"/>
  <c r="S2261" i="9"/>
  <c r="R2261" i="9"/>
  <c r="S2546" i="9"/>
  <c r="R2546" i="9"/>
  <c r="Q2547" i="9"/>
  <c r="S1847" i="9"/>
  <c r="Q1848" i="9"/>
  <c r="R1847" i="9"/>
  <c r="R249" i="9"/>
  <c r="Q250" i="9"/>
  <c r="S249" i="9"/>
  <c r="S1622" i="9"/>
  <c r="Q1623" i="9"/>
  <c r="R1622" i="9"/>
  <c r="S2028" i="9"/>
  <c r="Q2029" i="9"/>
  <c r="R2028" i="9"/>
  <c r="Q549" i="9"/>
  <c r="S548" i="9"/>
  <c r="R548" i="9"/>
  <c r="Q1024" i="9"/>
  <c r="R1023" i="9"/>
  <c r="S1023" i="9"/>
  <c r="S1848" i="9" l="1"/>
  <c r="Q1849" i="9"/>
  <c r="R1848" i="9"/>
  <c r="S2547" i="9"/>
  <c r="Q2548" i="9"/>
  <c r="R2547" i="9"/>
  <c r="R2262" i="9"/>
  <c r="S2262" i="9"/>
  <c r="Q2263" i="9"/>
  <c r="S2029" i="9"/>
  <c r="Q2030" i="9"/>
  <c r="R2029" i="9"/>
  <c r="Q251" i="9"/>
  <c r="S250" i="9"/>
  <c r="R250" i="9"/>
  <c r="Q1624" i="9"/>
  <c r="R1623" i="9"/>
  <c r="S1623" i="9"/>
  <c r="Q550" i="9"/>
  <c r="R549" i="9"/>
  <c r="S549" i="9"/>
  <c r="Q1025" i="9"/>
  <c r="R1024" i="9"/>
  <c r="S1024" i="9"/>
  <c r="S1849" i="9" l="1"/>
  <c r="R1849" i="9"/>
  <c r="Q1850" i="9"/>
  <c r="Q2264" i="9"/>
  <c r="R2263" i="9"/>
  <c r="S2263" i="9"/>
  <c r="R2548" i="9"/>
  <c r="S2548" i="9"/>
  <c r="Q2549" i="9"/>
  <c r="S1624" i="9"/>
  <c r="Q1625" i="9"/>
  <c r="R1624" i="9"/>
  <c r="AB238" i="9"/>
  <c r="S2030" i="9"/>
  <c r="Q2031" i="9"/>
  <c r="R2030" i="9"/>
  <c r="Q252" i="9"/>
  <c r="R251" i="9"/>
  <c r="S251" i="9"/>
  <c r="R550" i="9"/>
  <c r="S550" i="9"/>
  <c r="Q551" i="9"/>
  <c r="Q1026" i="9"/>
  <c r="R1025" i="9"/>
  <c r="S1025" i="9"/>
  <c r="Q2265" i="9" l="1"/>
  <c r="R2264" i="9"/>
  <c r="S2264" i="9"/>
  <c r="S1850" i="9"/>
  <c r="R1850" i="9"/>
  <c r="Q1851" i="9"/>
  <c r="R2549" i="9"/>
  <c r="Q2550" i="9"/>
  <c r="S2549" i="9"/>
  <c r="Q253" i="9"/>
  <c r="R252" i="9"/>
  <c r="S252" i="9"/>
  <c r="R1625" i="9"/>
  <c r="Q1626" i="9"/>
  <c r="S1625" i="9"/>
  <c r="S2031" i="9"/>
  <c r="Q2032" i="9"/>
  <c r="R2031" i="9"/>
  <c r="R551" i="9"/>
  <c r="S551" i="9"/>
  <c r="Q552" i="9"/>
  <c r="Q1027" i="9"/>
  <c r="R1026" i="9"/>
  <c r="S1026" i="9"/>
  <c r="R2550" i="9" l="1"/>
  <c r="Q2551" i="9"/>
  <c r="S2550" i="9"/>
  <c r="R1851" i="9"/>
  <c r="S1851" i="9"/>
  <c r="S2265" i="9"/>
  <c r="Q2266" i="9"/>
  <c r="R2265" i="9"/>
  <c r="S2032" i="9"/>
  <c r="Q2033" i="9"/>
  <c r="R2032" i="9"/>
  <c r="S1626" i="9"/>
  <c r="Q1627" i="9"/>
  <c r="R1626" i="9"/>
  <c r="S253" i="9"/>
  <c r="R253" i="9"/>
  <c r="Q254" i="9"/>
  <c r="R552" i="9"/>
  <c r="S552" i="9"/>
  <c r="Q553" i="9"/>
  <c r="Q1028" i="9"/>
  <c r="R1027" i="9"/>
  <c r="S1027" i="9"/>
  <c r="R2551" i="9" l="1"/>
  <c r="S2551" i="9"/>
  <c r="Q2267" i="9"/>
  <c r="R2266" i="9"/>
  <c r="S2266" i="9"/>
  <c r="Q2034" i="9"/>
  <c r="R2033" i="9"/>
  <c r="S2033" i="9"/>
  <c r="R254" i="9"/>
  <c r="S254" i="9"/>
  <c r="Q255" i="9"/>
  <c r="Q1628" i="9"/>
  <c r="R1627" i="9"/>
  <c r="S1627" i="9"/>
  <c r="S553" i="9"/>
  <c r="R553" i="9"/>
  <c r="Q554" i="9"/>
  <c r="Q1029" i="9"/>
  <c r="R1028" i="9"/>
  <c r="S1028" i="9"/>
  <c r="X2242" i="9" l="1"/>
  <c r="AB2242" i="9"/>
  <c r="X2009" i="9"/>
  <c r="W2009" i="9"/>
  <c r="W2242" i="9"/>
  <c r="Z2242" i="9"/>
  <c r="Z2009" i="9"/>
  <c r="AA2242" i="9"/>
  <c r="Y2242" i="9"/>
  <c r="AB2009" i="9"/>
  <c r="AA2009" i="9"/>
  <c r="Y2526" i="9"/>
  <c r="AB1767" i="9"/>
  <c r="AA2526" i="9"/>
  <c r="AB2526" i="9"/>
  <c r="Z801" i="9"/>
  <c r="X2526" i="9"/>
  <c r="X218" i="9"/>
  <c r="W218" i="9"/>
  <c r="Z1592" i="9"/>
  <c r="Z1001" i="9"/>
  <c r="X1592" i="9"/>
  <c r="AB1001" i="9"/>
  <c r="Z1767" i="9"/>
  <c r="Z218" i="9"/>
  <c r="AB801" i="9"/>
  <c r="X521" i="9"/>
  <c r="V521" i="9" s="1"/>
  <c r="AA801" i="9"/>
  <c r="W1592" i="9"/>
  <c r="AB218" i="9"/>
  <c r="Z521" i="9"/>
  <c r="AA521" i="9"/>
  <c r="AA218" i="9"/>
  <c r="Y218" i="9"/>
  <c r="X801" i="9"/>
  <c r="W1001" i="9"/>
  <c r="X1001" i="9"/>
  <c r="AB1592" i="9"/>
  <c r="W2526" i="9"/>
  <c r="Y1001" i="9"/>
  <c r="AA1592" i="9"/>
  <c r="Y1767" i="9"/>
  <c r="Y1592" i="9"/>
  <c r="X1767" i="9"/>
  <c r="AA1767" i="9"/>
  <c r="W1767" i="9"/>
  <c r="Z2526" i="9"/>
  <c r="W801" i="9"/>
  <c r="V801" i="9" s="1"/>
  <c r="AA1001" i="9"/>
  <c r="AA1616" i="9"/>
  <c r="Z1616" i="9"/>
  <c r="Y1616" i="9"/>
  <c r="X1616" i="9"/>
  <c r="AB1616" i="9"/>
  <c r="W1616" i="9"/>
  <c r="Q2268" i="9"/>
  <c r="R2267" i="9"/>
  <c r="S2267" i="9"/>
  <c r="S1628" i="9"/>
  <c r="Q1629" i="9"/>
  <c r="R1628" i="9"/>
  <c r="S255" i="9"/>
  <c r="Q256" i="9"/>
  <c r="R255" i="9"/>
  <c r="S2034" i="9"/>
  <c r="R2034" i="9"/>
  <c r="Q2035" i="9"/>
  <c r="Q555" i="9"/>
  <c r="R554" i="9"/>
  <c r="S554" i="9"/>
  <c r="Q1030" i="9"/>
  <c r="R1029" i="9"/>
  <c r="S1029" i="9"/>
  <c r="Q2269" i="9" l="1"/>
  <c r="R2268" i="9"/>
  <c r="S2268" i="9"/>
  <c r="V2526" i="9"/>
  <c r="T7" i="1"/>
  <c r="T8" i="1"/>
  <c r="V218" i="9"/>
  <c r="T6" i="1"/>
  <c r="T5" i="1"/>
  <c r="V1767" i="9"/>
  <c r="T22" i="10"/>
  <c r="T10" i="10"/>
  <c r="T9" i="10"/>
  <c r="T23" i="10"/>
  <c r="V1592" i="9"/>
  <c r="V2242" i="9"/>
  <c r="V1616" i="9"/>
  <c r="V1001" i="9"/>
  <c r="V2009" i="9"/>
  <c r="R2035" i="9"/>
  <c r="Q2036" i="9"/>
  <c r="S2035" i="9"/>
  <c r="Q257" i="9"/>
  <c r="R256" i="9"/>
  <c r="S256" i="9"/>
  <c r="Q1630" i="9"/>
  <c r="R1629" i="9"/>
  <c r="S1629" i="9"/>
  <c r="Q556" i="9"/>
  <c r="S555" i="9"/>
  <c r="R555" i="9"/>
  <c r="Q1031" i="9"/>
  <c r="R1030" i="9"/>
  <c r="S1030" i="9"/>
  <c r="T3" i="1" l="1"/>
  <c r="T4" i="1"/>
  <c r="S2269" i="9"/>
  <c r="R2269" i="9"/>
  <c r="Q2270" i="9"/>
  <c r="Q258" i="9"/>
  <c r="R257" i="9"/>
  <c r="S257" i="9"/>
  <c r="R1630" i="9"/>
  <c r="S1630" i="9"/>
  <c r="Q1631" i="9"/>
  <c r="R2036" i="9"/>
  <c r="S2036" i="9"/>
  <c r="Q2037" i="9"/>
  <c r="Q557" i="9"/>
  <c r="R556" i="9"/>
  <c r="S556" i="9"/>
  <c r="Q1032" i="9"/>
  <c r="R1031" i="9"/>
  <c r="S1031" i="9"/>
  <c r="R2270" i="9" l="1"/>
  <c r="Q2271" i="9"/>
  <c r="S2270" i="9"/>
  <c r="S2037" i="9"/>
  <c r="Q2038" i="9"/>
  <c r="R2037" i="9"/>
  <c r="Q1632" i="9"/>
  <c r="R1631" i="9"/>
  <c r="S1631" i="9"/>
  <c r="Q259" i="9"/>
  <c r="R258" i="9"/>
  <c r="S258" i="9"/>
  <c r="R557" i="9"/>
  <c r="Q558" i="9"/>
  <c r="S557" i="9"/>
  <c r="Q1033" i="9"/>
  <c r="R1032" i="9"/>
  <c r="S1032" i="9"/>
  <c r="Q2272" i="9" l="1"/>
  <c r="R2271" i="9"/>
  <c r="S2271" i="9"/>
  <c r="R1632" i="9"/>
  <c r="Q1633" i="9"/>
  <c r="S1632" i="9"/>
  <c r="Q260" i="9"/>
  <c r="R259" i="9"/>
  <c r="S259" i="9"/>
  <c r="Q2039" i="9"/>
  <c r="R2038" i="9"/>
  <c r="S2038" i="9"/>
  <c r="R558" i="9"/>
  <c r="Q559" i="9"/>
  <c r="S558" i="9"/>
  <c r="Q1034" i="9"/>
  <c r="R1033" i="9"/>
  <c r="S1033" i="9"/>
  <c r="Q2273" i="9" l="1"/>
  <c r="R2272" i="9"/>
  <c r="S2272" i="9"/>
  <c r="R260" i="9"/>
  <c r="S260" i="9"/>
  <c r="Q261" i="9"/>
  <c r="Q2040" i="9"/>
  <c r="R2039" i="9"/>
  <c r="S2039" i="9"/>
  <c r="R1633" i="9"/>
  <c r="Q1634" i="9"/>
  <c r="S1633" i="9"/>
  <c r="R559" i="9"/>
  <c r="Q560" i="9"/>
  <c r="S559" i="9"/>
  <c r="Q1035" i="9"/>
  <c r="R1034" i="9"/>
  <c r="S1034" i="9"/>
  <c r="Q2274" i="9" l="1"/>
  <c r="R2273" i="9"/>
  <c r="S2273" i="9"/>
  <c r="Q1635" i="9"/>
  <c r="R1634" i="9"/>
  <c r="S1634" i="9"/>
  <c r="S2040" i="9"/>
  <c r="Q2041" i="9"/>
  <c r="R2040" i="9"/>
  <c r="Q262" i="9"/>
  <c r="Q263" i="9" s="1"/>
  <c r="S261" i="9"/>
  <c r="R261" i="9"/>
  <c r="R560" i="9"/>
  <c r="Q561" i="9"/>
  <c r="Q562" i="9" s="1"/>
  <c r="S560" i="9"/>
  <c r="Q1036" i="9"/>
  <c r="R1035" i="9"/>
  <c r="S1035" i="9"/>
  <c r="Q2275" i="9" l="1"/>
  <c r="S2274" i="9"/>
  <c r="R2274" i="9"/>
  <c r="R263" i="9"/>
  <c r="S263" i="9"/>
  <c r="Q264" i="9"/>
  <c r="S562" i="9"/>
  <c r="R562" i="9"/>
  <c r="Q563" i="9"/>
  <c r="R262" i="9"/>
  <c r="S262" i="9"/>
  <c r="R2041" i="9"/>
  <c r="Q2042" i="9"/>
  <c r="S2041" i="9"/>
  <c r="R1635" i="9"/>
  <c r="S1635" i="9"/>
  <c r="Q1636" i="9"/>
  <c r="R561" i="9"/>
  <c r="S561" i="9"/>
  <c r="Q1037" i="9"/>
  <c r="R1036" i="9"/>
  <c r="S1036" i="9"/>
  <c r="S264" i="9" l="1"/>
  <c r="Q265" i="9"/>
  <c r="R264" i="9"/>
  <c r="S2275" i="9"/>
  <c r="R2275" i="9"/>
  <c r="Q2276" i="9"/>
  <c r="R1636" i="9"/>
  <c r="Q1637" i="9"/>
  <c r="S1636" i="9"/>
  <c r="Q2043" i="9"/>
  <c r="R2042" i="9"/>
  <c r="S2042" i="9"/>
  <c r="Q564" i="9"/>
  <c r="R563" i="9"/>
  <c r="S563" i="9"/>
  <c r="Q1038" i="9"/>
  <c r="R1037" i="9"/>
  <c r="S1037" i="9"/>
  <c r="S2276" i="9" l="1"/>
  <c r="R2276" i="9"/>
  <c r="Q2277" i="9"/>
  <c r="Q266" i="9"/>
  <c r="S265" i="9"/>
  <c r="R265" i="9"/>
  <c r="R2043" i="9"/>
  <c r="S2043" i="9"/>
  <c r="Q2044" i="9"/>
  <c r="R564" i="9"/>
  <c r="Q565" i="9"/>
  <c r="S564" i="9"/>
  <c r="Q1638" i="9"/>
  <c r="R1637" i="9"/>
  <c r="S1637" i="9"/>
  <c r="Q1039" i="9"/>
  <c r="R1038" i="9"/>
  <c r="S1038" i="9"/>
  <c r="R266" i="9" l="1"/>
  <c r="Q267" i="9"/>
  <c r="S266" i="9"/>
  <c r="S2277" i="9"/>
  <c r="Q2278" i="9"/>
  <c r="R2277" i="9"/>
  <c r="Q1639" i="9"/>
  <c r="R1638" i="9"/>
  <c r="S1638" i="9"/>
  <c r="S2044" i="9"/>
  <c r="Q2045" i="9"/>
  <c r="R2044" i="9"/>
  <c r="S565" i="9"/>
  <c r="Q566" i="9"/>
  <c r="R565" i="9"/>
  <c r="Q1040" i="9"/>
  <c r="R1039" i="9"/>
  <c r="S1039" i="9"/>
  <c r="R2278" i="9" l="1"/>
  <c r="Q2279" i="9"/>
  <c r="S2278" i="9"/>
  <c r="S267" i="9"/>
  <c r="R267" i="9"/>
  <c r="Q268" i="9"/>
  <c r="S566" i="9"/>
  <c r="Q567" i="9"/>
  <c r="R566" i="9"/>
  <c r="R2045" i="9"/>
  <c r="S2045" i="9"/>
  <c r="Q2046" i="9"/>
  <c r="R1639" i="9"/>
  <c r="S1639" i="9"/>
  <c r="Q1640" i="9"/>
  <c r="Q1041" i="9"/>
  <c r="R1040" i="9"/>
  <c r="S1040" i="9"/>
  <c r="Q269" i="9" l="1"/>
  <c r="R268" i="9"/>
  <c r="S268" i="9"/>
  <c r="S2279" i="9"/>
  <c r="R2279" i="9"/>
  <c r="Q2280" i="9"/>
  <c r="S2046" i="9"/>
  <c r="Q2047" i="9"/>
  <c r="R2046" i="9"/>
  <c r="R567" i="9"/>
  <c r="S567" i="9"/>
  <c r="Q568" i="9"/>
  <c r="S1640" i="9"/>
  <c r="Q1641" i="9"/>
  <c r="R1640" i="9"/>
  <c r="Q1042" i="9"/>
  <c r="R1041" i="9"/>
  <c r="S1041" i="9"/>
  <c r="Q2281" i="9" l="1"/>
  <c r="R2280" i="9"/>
  <c r="S2280" i="9"/>
  <c r="S269" i="9"/>
  <c r="Q270" i="9"/>
  <c r="R269" i="9"/>
  <c r="Q1642" i="9"/>
  <c r="R1641" i="9"/>
  <c r="S1641" i="9"/>
  <c r="S568" i="9"/>
  <c r="R568" i="9"/>
  <c r="Q569" i="9"/>
  <c r="S2047" i="9"/>
  <c r="Q2048" i="9"/>
  <c r="R2047" i="9"/>
  <c r="Q1043" i="9"/>
  <c r="R1042" i="9"/>
  <c r="S1042" i="9"/>
  <c r="Y1634" i="9" l="1"/>
  <c r="Q271" i="9"/>
  <c r="S270" i="9"/>
  <c r="R270" i="9"/>
  <c r="R2281" i="9"/>
  <c r="S2281" i="9"/>
  <c r="Q2282" i="9"/>
  <c r="Q2049" i="9"/>
  <c r="R2048" i="9"/>
  <c r="S2048" i="9"/>
  <c r="S569" i="9"/>
  <c r="Q570" i="9"/>
  <c r="R569" i="9"/>
  <c r="Q1643" i="9"/>
  <c r="R1642" i="9"/>
  <c r="S1642" i="9"/>
  <c r="Q1044" i="9"/>
  <c r="R1043" i="9"/>
  <c r="S1043" i="9"/>
  <c r="AA563" i="9" l="1"/>
  <c r="Q2283" i="9"/>
  <c r="S2282" i="9"/>
  <c r="R2282" i="9"/>
  <c r="S271" i="9"/>
  <c r="R271" i="9"/>
  <c r="Q1644" i="9"/>
  <c r="S1643" i="9"/>
  <c r="R1643" i="9"/>
  <c r="S570" i="9"/>
  <c r="Q571" i="9"/>
  <c r="R570" i="9"/>
  <c r="Q2050" i="9"/>
  <c r="S2049" i="9"/>
  <c r="R2049" i="9"/>
  <c r="Q1045" i="9"/>
  <c r="R1044" i="9"/>
  <c r="S1044" i="9"/>
  <c r="V17" i="10" l="1"/>
  <c r="V20" i="10"/>
  <c r="V18" i="1"/>
  <c r="V19" i="10"/>
  <c r="V18" i="10"/>
  <c r="V16" i="10"/>
  <c r="V21" i="1"/>
  <c r="V19" i="1"/>
  <c r="V21" i="10"/>
  <c r="V16" i="1"/>
  <c r="V20" i="1"/>
  <c r="V17" i="1"/>
  <c r="S2283" i="9"/>
  <c r="Q2284" i="9"/>
  <c r="R2283" i="9"/>
  <c r="R2050" i="9"/>
  <c r="Q2051" i="9"/>
  <c r="S2050" i="9"/>
  <c r="Q572" i="9"/>
  <c r="S571" i="9"/>
  <c r="R571" i="9"/>
  <c r="S1644" i="9"/>
  <c r="R1644" i="9"/>
  <c r="Q1645" i="9"/>
  <c r="Q1046" i="9"/>
  <c r="R1045" i="9"/>
  <c r="S1045" i="9"/>
  <c r="R2284" i="9" l="1"/>
  <c r="Q2285" i="9"/>
  <c r="S2284" i="9"/>
  <c r="U16" i="1"/>
  <c r="U3" i="10"/>
  <c r="U9" i="1" a="1"/>
  <c r="U9" i="1" s="1"/>
  <c r="U21" i="1"/>
  <c r="U7" i="10"/>
  <c r="U18" i="10"/>
  <c r="U17" i="10"/>
  <c r="U19" i="10"/>
  <c r="U18" i="1"/>
  <c r="U5" i="10"/>
  <c r="U6" i="10"/>
  <c r="U17" i="1"/>
  <c r="U23" i="1"/>
  <c r="U21" i="10"/>
  <c r="U20" i="10"/>
  <c r="U19" i="1"/>
  <c r="U16" i="10"/>
  <c r="U10" i="1"/>
  <c r="U22" i="1"/>
  <c r="U8" i="10"/>
  <c r="U20" i="1"/>
  <c r="U4" i="10"/>
  <c r="R1645" i="9"/>
  <c r="Q1646" i="9"/>
  <c r="S1645" i="9"/>
  <c r="S572" i="9"/>
  <c r="Q573" i="9"/>
  <c r="R572" i="9"/>
  <c r="R2051" i="9"/>
  <c r="S2051" i="9"/>
  <c r="Q2052" i="9"/>
  <c r="P4" i="10"/>
  <c r="P5" i="10"/>
  <c r="P20" i="10"/>
  <c r="P9" i="1" a="1"/>
  <c r="P9" i="1" s="1"/>
  <c r="P23" i="1"/>
  <c r="P7" i="10"/>
  <c r="P8" i="10"/>
  <c r="P22" i="1"/>
  <c r="P19" i="10"/>
  <c r="P16" i="10"/>
  <c r="P6" i="10"/>
  <c r="P3" i="10"/>
  <c r="P17" i="10"/>
  <c r="P18" i="10"/>
  <c r="P10" i="1"/>
  <c r="P21" i="10"/>
  <c r="Q1047" i="9"/>
  <c r="R1046" i="9"/>
  <c r="S1046" i="9"/>
  <c r="S2285" i="9" l="1"/>
  <c r="Q2286" i="9"/>
  <c r="R2285" i="9"/>
  <c r="S1646" i="9"/>
  <c r="Q1647" i="9"/>
  <c r="R1646" i="9"/>
  <c r="R573" i="9"/>
  <c r="S573" i="9"/>
  <c r="Q574" i="9"/>
  <c r="S2052" i="9"/>
  <c r="R2052" i="9"/>
  <c r="Q2053" i="9"/>
  <c r="Q1048" i="9"/>
  <c r="R1047" i="9"/>
  <c r="S1047" i="9"/>
  <c r="S2286" i="9" l="1"/>
  <c r="Q2287" i="9"/>
  <c r="R2286" i="9"/>
  <c r="Q575" i="9"/>
  <c r="R574" i="9"/>
  <c r="S574" i="9"/>
  <c r="Q1648" i="9"/>
  <c r="S1647" i="9"/>
  <c r="R1647" i="9"/>
  <c r="Q2054" i="9"/>
  <c r="R2053" i="9"/>
  <c r="S2053" i="9"/>
  <c r="Q1049" i="9"/>
  <c r="R1048" i="9"/>
  <c r="S1048" i="9"/>
  <c r="Q2288" i="9" l="1"/>
  <c r="R2287" i="9"/>
  <c r="S2287" i="9"/>
  <c r="Q2055" i="9"/>
  <c r="R2054" i="9"/>
  <c r="S2054" i="9"/>
  <c r="Q576" i="9"/>
  <c r="R575" i="9"/>
  <c r="S575" i="9"/>
  <c r="Q1649" i="9"/>
  <c r="R1648" i="9"/>
  <c r="S1648" i="9"/>
  <c r="Q1050" i="9"/>
  <c r="R1049" i="9"/>
  <c r="S1049" i="9"/>
  <c r="R2288" i="9" l="1"/>
  <c r="S2288" i="9"/>
  <c r="Q2289" i="9"/>
  <c r="R1649" i="9"/>
  <c r="Q1650" i="9"/>
  <c r="S1649" i="9"/>
  <c r="Q577" i="9"/>
  <c r="R576" i="9"/>
  <c r="S576" i="9"/>
  <c r="R2055" i="9"/>
  <c r="S2055" i="9"/>
  <c r="Q2056" i="9"/>
  <c r="Q1051" i="9"/>
  <c r="R1050" i="9"/>
  <c r="S1050" i="9"/>
  <c r="R2289" i="9" l="1"/>
  <c r="S2289" i="9"/>
  <c r="Q2290" i="9"/>
  <c r="Q2057" i="9"/>
  <c r="R2056" i="9"/>
  <c r="S2056" i="9"/>
  <c r="R577" i="9"/>
  <c r="Q578" i="9"/>
  <c r="S577" i="9"/>
  <c r="Q1651" i="9"/>
  <c r="S1650" i="9"/>
  <c r="R1650" i="9"/>
  <c r="Q1052" i="9"/>
  <c r="R1051" i="9"/>
  <c r="S1051" i="9"/>
  <c r="Q2291" i="9" l="1"/>
  <c r="S2290" i="9"/>
  <c r="R2290" i="9"/>
  <c r="R1651" i="9"/>
  <c r="S1651" i="9"/>
  <c r="Q1652" i="9"/>
  <c r="R2057" i="9"/>
  <c r="S2057" i="9"/>
  <c r="Q2058" i="9"/>
  <c r="R578" i="9"/>
  <c r="S578" i="9"/>
  <c r="Q579" i="9"/>
  <c r="Q1053" i="9"/>
  <c r="R1052" i="9"/>
  <c r="S1052" i="9"/>
  <c r="S2291" i="9" l="1"/>
  <c r="Q2292" i="9"/>
  <c r="R2291" i="9"/>
  <c r="R579" i="9"/>
  <c r="S579" i="9"/>
  <c r="Q580" i="9"/>
  <c r="Q581" i="9" s="1"/>
  <c r="S1652" i="9"/>
  <c r="R1652" i="9"/>
  <c r="Q1653" i="9"/>
  <c r="S2058" i="9"/>
  <c r="Q2059" i="9"/>
  <c r="R2058" i="9"/>
  <c r="Q1054" i="9"/>
  <c r="R1053" i="9"/>
  <c r="S1053" i="9"/>
  <c r="Q582" i="9" l="1"/>
  <c r="R581" i="9"/>
  <c r="S581" i="9"/>
  <c r="Q2293" i="9"/>
  <c r="S2292" i="9"/>
  <c r="R2292" i="9"/>
  <c r="S1653" i="9"/>
  <c r="Q1654" i="9"/>
  <c r="R1653" i="9"/>
  <c r="R2059" i="9"/>
  <c r="S2059" i="9"/>
  <c r="Q2060" i="9"/>
  <c r="Q2061" i="9" s="1"/>
  <c r="R580" i="9"/>
  <c r="S580" i="9"/>
  <c r="Q1055" i="9"/>
  <c r="R1054" i="9"/>
  <c r="S1054" i="9"/>
  <c r="X543" i="9" l="1"/>
  <c r="Q2294" i="9"/>
  <c r="R2293" i="9"/>
  <c r="S2293" i="9"/>
  <c r="Q2062" i="9"/>
  <c r="S2061" i="9"/>
  <c r="R2061" i="9"/>
  <c r="R582" i="9"/>
  <c r="S582" i="9"/>
  <c r="Q583" i="9"/>
  <c r="R2060" i="9"/>
  <c r="S2060" i="9"/>
  <c r="Q1655" i="9"/>
  <c r="R1654" i="9"/>
  <c r="S1654" i="9"/>
  <c r="Q1056" i="9"/>
  <c r="R1055" i="9"/>
  <c r="S1055" i="9"/>
  <c r="R2062" i="9" l="1"/>
  <c r="S2062" i="9"/>
  <c r="Q2063" i="9"/>
  <c r="R583" i="9"/>
  <c r="S583" i="9"/>
  <c r="Q584" i="9"/>
  <c r="Q2295" i="9"/>
  <c r="R2294" i="9"/>
  <c r="S2294" i="9"/>
  <c r="Q1656" i="9"/>
  <c r="R1655" i="9"/>
  <c r="S1655" i="9"/>
  <c r="AB2010" i="9"/>
  <c r="Y2010" i="9"/>
  <c r="W2010" i="9"/>
  <c r="AA2010" i="9"/>
  <c r="AB509" i="9"/>
  <c r="Z1583" i="9"/>
  <c r="X2010" i="9"/>
  <c r="W1583" i="9"/>
  <c r="Z2010" i="9"/>
  <c r="AA242" i="9"/>
  <c r="AA1583" i="9"/>
  <c r="AB1583" i="9"/>
  <c r="Y1583" i="9"/>
  <c r="X1583" i="9"/>
  <c r="Z242" i="9"/>
  <c r="AA543" i="9"/>
  <c r="X242" i="9"/>
  <c r="W543" i="9"/>
  <c r="Y543" i="9"/>
  <c r="Y242" i="9"/>
  <c r="W242" i="9"/>
  <c r="AB242" i="9"/>
  <c r="Z2027" i="9"/>
  <c r="AB2027" i="9"/>
  <c r="W2027" i="9"/>
  <c r="X2027" i="9"/>
  <c r="AA2027" i="9"/>
  <c r="Y2027" i="9"/>
  <c r="P18" i="1"/>
  <c r="P21" i="1"/>
  <c r="P20" i="1"/>
  <c r="P19" i="1"/>
  <c r="P16" i="1"/>
  <c r="P17" i="1"/>
  <c r="Q1057" i="9"/>
  <c r="R1056" i="9"/>
  <c r="S1056" i="9"/>
  <c r="Q2296" i="9" l="1"/>
  <c r="S2295" i="9"/>
  <c r="R2295" i="9"/>
  <c r="X10" i="10"/>
  <c r="X9" i="10"/>
  <c r="X22" i="10"/>
  <c r="X23" i="10"/>
  <c r="S2063" i="9"/>
  <c r="Q2064" i="9"/>
  <c r="R2063" i="9"/>
  <c r="R584" i="9"/>
  <c r="S584" i="9"/>
  <c r="W578" i="9" s="1"/>
  <c r="Y578" i="9"/>
  <c r="V242" i="9"/>
  <c r="P6" i="1"/>
  <c r="P5" i="1"/>
  <c r="V2027" i="9"/>
  <c r="V1583" i="9"/>
  <c r="P22" i="10"/>
  <c r="P23" i="10"/>
  <c r="P9" i="10"/>
  <c r="P10" i="10"/>
  <c r="V2010" i="9"/>
  <c r="P7" i="1"/>
  <c r="P8" i="1"/>
  <c r="V543" i="9"/>
  <c r="Q1657" i="9"/>
  <c r="R1656" i="9"/>
  <c r="S1656" i="9"/>
  <c r="Q1058" i="9"/>
  <c r="R1057" i="9"/>
  <c r="S1057" i="9"/>
  <c r="AB578" i="9" l="1"/>
  <c r="AA578" i="9"/>
  <c r="Z578" i="9"/>
  <c r="X578" i="9"/>
  <c r="V578" i="9" s="1"/>
  <c r="Q2065" i="9"/>
  <c r="R2064" i="9"/>
  <c r="S2064" i="9"/>
  <c r="R2296" i="9"/>
  <c r="S2296" i="9"/>
  <c r="Q2297" i="9"/>
  <c r="P4" i="1"/>
  <c r="P3" i="1"/>
  <c r="Q1658" i="9"/>
  <c r="S1657" i="9"/>
  <c r="R1657" i="9"/>
  <c r="Q1059" i="9"/>
  <c r="R1058" i="9"/>
  <c r="S1058" i="9"/>
  <c r="Q2298" i="9" l="1"/>
  <c r="R2297" i="9"/>
  <c r="S2297" i="9"/>
  <c r="Q2066" i="9"/>
  <c r="R2065" i="9"/>
  <c r="S2065" i="9"/>
  <c r="Q1659" i="9"/>
  <c r="S1658" i="9"/>
  <c r="R1658" i="9"/>
  <c r="Q18" i="1"/>
  <c r="Q19" i="10"/>
  <c r="Q4" i="10"/>
  <c r="Q17" i="10"/>
  <c r="Q21" i="10"/>
  <c r="Q18" i="10"/>
  <c r="Q7" i="10"/>
  <c r="Q21" i="1"/>
  <c r="Q8" i="10"/>
  <c r="Q6" i="10"/>
  <c r="Q9" i="1" a="1"/>
  <c r="Q9" i="1" s="1"/>
  <c r="Q22" i="1"/>
  <c r="Q10" i="1"/>
  <c r="Q16" i="1"/>
  <c r="Q3" i="10"/>
  <c r="Q20" i="10"/>
  <c r="Q17" i="1"/>
  <c r="Q23" i="1"/>
  <c r="Q16" i="10"/>
  <c r="Q19" i="1"/>
  <c r="Q5" i="10"/>
  <c r="Q20" i="1"/>
  <c r="Q1060" i="9"/>
  <c r="R1059" i="9"/>
  <c r="S1059" i="9"/>
  <c r="Q2299" i="9" l="1"/>
  <c r="S2298" i="9"/>
  <c r="R2298" i="9"/>
  <c r="R2066" i="9"/>
  <c r="Q2067" i="9"/>
  <c r="S2066" i="9"/>
  <c r="S1659" i="9"/>
  <c r="Q1660" i="9"/>
  <c r="R1659" i="9"/>
  <c r="Q1061" i="9"/>
  <c r="R1060" i="9"/>
  <c r="S1060" i="9"/>
  <c r="S2067" i="9" l="1"/>
  <c r="Q2068" i="9"/>
  <c r="R2067" i="9"/>
  <c r="S2299" i="9"/>
  <c r="Q2300" i="9"/>
  <c r="R2299" i="9"/>
  <c r="S1660" i="9"/>
  <c r="Q1661" i="9"/>
  <c r="R1660" i="9"/>
  <c r="Q1062" i="9"/>
  <c r="R1061" i="9"/>
  <c r="S1061" i="9"/>
  <c r="Q2069" i="9" l="1"/>
  <c r="S2068" i="9"/>
  <c r="R2068" i="9"/>
  <c r="S2300" i="9"/>
  <c r="R2300" i="9"/>
  <c r="Q2301" i="9"/>
  <c r="R1661" i="9"/>
  <c r="Q1662" i="9"/>
  <c r="S1661" i="9"/>
  <c r="Q1063" i="9"/>
  <c r="R1062" i="9"/>
  <c r="S1062" i="9"/>
  <c r="R2069" i="9" l="1"/>
  <c r="S2069" i="9"/>
  <c r="Q2070" i="9"/>
  <c r="R2301" i="9"/>
  <c r="Q2302" i="9"/>
  <c r="S2301" i="9"/>
  <c r="R1662" i="9"/>
  <c r="Q1663" i="9"/>
  <c r="S1662" i="9"/>
  <c r="Q1064" i="9"/>
  <c r="R1063" i="9"/>
  <c r="S1063" i="9"/>
  <c r="S2302" i="9" l="1"/>
  <c r="R2302" i="9"/>
  <c r="Q2071" i="9"/>
  <c r="S2070" i="9"/>
  <c r="R2070" i="9"/>
  <c r="Q1664" i="9"/>
  <c r="R1663" i="9"/>
  <c r="S1663" i="9"/>
  <c r="Q1065" i="9"/>
  <c r="R1064" i="9"/>
  <c r="S1064" i="9"/>
  <c r="R2071" i="9" l="1"/>
  <c r="Q2072" i="9"/>
  <c r="S2071" i="9"/>
  <c r="W1626" i="9"/>
  <c r="AA2250" i="9"/>
  <c r="Y1626" i="9"/>
  <c r="X1626" i="9"/>
  <c r="Z1626" i="9"/>
  <c r="Y2018" i="9"/>
  <c r="Z540" i="9"/>
  <c r="X540" i="9"/>
  <c r="AA540" i="9"/>
  <c r="Y540" i="9"/>
  <c r="AB1626" i="9"/>
  <c r="X2018" i="9"/>
  <c r="AB540" i="9"/>
  <c r="AA1626" i="9"/>
  <c r="V5" i="10" s="1"/>
  <c r="W540" i="9"/>
  <c r="Z2250" i="9"/>
  <c r="W2018" i="9"/>
  <c r="Y2250" i="9"/>
  <c r="AB2018" i="9"/>
  <c r="X2250" i="9"/>
  <c r="W2250" i="9"/>
  <c r="X1033" i="9"/>
  <c r="AA2018" i="9"/>
  <c r="Z2018" i="9"/>
  <c r="AB2250" i="9"/>
  <c r="Z1033" i="9"/>
  <c r="AA1033" i="9"/>
  <c r="AB1033" i="9"/>
  <c r="W1634" i="9"/>
  <c r="W1033" i="9"/>
  <c r="Y1033" i="9"/>
  <c r="W563" i="9"/>
  <c r="Z1634" i="9"/>
  <c r="X563" i="9"/>
  <c r="AA1634" i="9"/>
  <c r="AB1634" i="9"/>
  <c r="Y563" i="9"/>
  <c r="X1634" i="9"/>
  <c r="Z563" i="9"/>
  <c r="AB563" i="9"/>
  <c r="Z571" i="9"/>
  <c r="AB571" i="9"/>
  <c r="X571" i="9"/>
  <c r="Y571" i="9"/>
  <c r="AA571" i="9"/>
  <c r="W571" i="9"/>
  <c r="R1664" i="9"/>
  <c r="S1664" i="9"/>
  <c r="Q1665" i="9"/>
  <c r="Q1066" i="9"/>
  <c r="R1065" i="9"/>
  <c r="S1065" i="9"/>
  <c r="V7" i="10" l="1"/>
  <c r="V540" i="9"/>
  <c r="V571" i="9"/>
  <c r="V1033" i="9"/>
  <c r="Q2073" i="9"/>
  <c r="R2072" i="9"/>
  <c r="S2072" i="9"/>
  <c r="V1634" i="9"/>
  <c r="V2250" i="9"/>
  <c r="X8" i="1"/>
  <c r="X7" i="1"/>
  <c r="V2018" i="9"/>
  <c r="V10" i="1"/>
  <c r="V9" i="1" a="1"/>
  <c r="V9" i="1" s="1"/>
  <c r="V6" i="10"/>
  <c r="V22" i="1"/>
  <c r="V23" i="1"/>
  <c r="V1626" i="9"/>
  <c r="V8" i="10"/>
  <c r="V563" i="9"/>
  <c r="X6" i="1"/>
  <c r="X5" i="1"/>
  <c r="R1665" i="9"/>
  <c r="S1665" i="9"/>
  <c r="Q1666" i="9"/>
  <c r="Q1067" i="9"/>
  <c r="R1066" i="9"/>
  <c r="S1066" i="9"/>
  <c r="V4" i="10" l="1"/>
  <c r="V3" i="10"/>
  <c r="X3" i="1"/>
  <c r="X4" i="1"/>
  <c r="S2073" i="9"/>
  <c r="Q2074" i="9"/>
  <c r="R2073" i="9"/>
  <c r="S1666" i="9"/>
  <c r="Q1667" i="9"/>
  <c r="R1666" i="9"/>
  <c r="Q1068" i="9"/>
  <c r="R1067" i="9"/>
  <c r="S1067" i="9"/>
  <c r="Q2075" i="9" l="1"/>
  <c r="S2074" i="9"/>
  <c r="R2074" i="9"/>
  <c r="S1667" i="9"/>
  <c r="Q1668" i="9"/>
  <c r="R1667" i="9"/>
  <c r="Q1069" i="9"/>
  <c r="R1068" i="9"/>
  <c r="S1068" i="9"/>
  <c r="R2075" i="9" l="1"/>
  <c r="Q2076" i="9"/>
  <c r="S2075" i="9"/>
  <c r="S1668" i="9"/>
  <c r="R1668" i="9"/>
  <c r="Q1669" i="9"/>
  <c r="Q1070" i="9"/>
  <c r="R1069" i="9"/>
  <c r="S1069" i="9"/>
  <c r="R2076" i="9" l="1"/>
  <c r="S2076" i="9"/>
  <c r="Q2077" i="9"/>
  <c r="Q1670" i="9"/>
  <c r="R1669" i="9"/>
  <c r="S1669" i="9"/>
  <c r="Q1071" i="9"/>
  <c r="R1070" i="9"/>
  <c r="S1070" i="9"/>
  <c r="R2077" i="9" l="1"/>
  <c r="S2077" i="9"/>
  <c r="Q2078" i="9"/>
  <c r="R1670" i="9"/>
  <c r="S1670" i="9"/>
  <c r="Q1671" i="9"/>
  <c r="Q1072" i="9"/>
  <c r="R1071" i="9"/>
  <c r="S1071" i="9"/>
  <c r="R2078" i="9" l="1"/>
  <c r="Q2079" i="9"/>
  <c r="S2078" i="9"/>
  <c r="R1671" i="9"/>
  <c r="S1671" i="9"/>
  <c r="Q1073" i="9"/>
  <c r="R1072" i="9"/>
  <c r="S1072" i="9"/>
  <c r="R2079" i="9" l="1"/>
  <c r="S2079" i="9"/>
  <c r="Q2080" i="9"/>
  <c r="W1657" i="9"/>
  <c r="AA1657" i="9"/>
  <c r="AB1657" i="9"/>
  <c r="Z1657" i="9"/>
  <c r="Y1657" i="9"/>
  <c r="X1657" i="9"/>
  <c r="Q1074" i="9"/>
  <c r="R1073" i="9"/>
  <c r="S1073" i="9"/>
  <c r="Q2081" i="9" l="1"/>
  <c r="R2080" i="9"/>
  <c r="S2080" i="9"/>
  <c r="Q6" i="1"/>
  <c r="Q5" i="1"/>
  <c r="Q10" i="10"/>
  <c r="Q9" i="10"/>
  <c r="Q22" i="10"/>
  <c r="Q23" i="10"/>
  <c r="V1657" i="9"/>
  <c r="Q7" i="1"/>
  <c r="Q8" i="1"/>
  <c r="Q1075" i="9"/>
  <c r="R1074" i="9"/>
  <c r="S1074" i="9"/>
  <c r="R2081" i="9" l="1"/>
  <c r="Q2082" i="9"/>
  <c r="S2081" i="9"/>
  <c r="Q3" i="1"/>
  <c r="Q4" i="1"/>
  <c r="Q1076" i="9"/>
  <c r="R1075" i="9"/>
  <c r="S1075" i="9"/>
  <c r="Q2083" i="9" l="1"/>
  <c r="R2082" i="9"/>
  <c r="S2082" i="9"/>
  <c r="Q1077" i="9"/>
  <c r="R1076" i="9"/>
  <c r="S1076" i="9"/>
  <c r="S2083" i="9" l="1"/>
  <c r="R2083" i="9"/>
  <c r="Q2084" i="9"/>
  <c r="Q1078" i="9"/>
  <c r="R1077" i="9"/>
  <c r="S1077" i="9"/>
  <c r="S2084" i="9" l="1"/>
  <c r="Q2085" i="9"/>
  <c r="R2084" i="9"/>
  <c r="Q1079" i="9"/>
  <c r="R1078" i="9"/>
  <c r="S1078" i="9"/>
  <c r="S2085" i="9" l="1"/>
  <c r="R2085" i="9"/>
  <c r="Q2086" i="9"/>
  <c r="Q1080" i="9"/>
  <c r="R1079" i="9"/>
  <c r="S1079" i="9"/>
  <c r="S2086" i="9" l="1"/>
  <c r="R2086" i="9"/>
  <c r="Q2087" i="9"/>
  <c r="Q1081" i="9"/>
  <c r="R1080" i="9"/>
  <c r="S1080" i="9"/>
  <c r="S2087" i="9" l="1"/>
  <c r="R2087" i="9"/>
  <c r="Q2088" i="9"/>
  <c r="Q1082" i="9"/>
  <c r="R1081" i="9"/>
  <c r="S1081" i="9"/>
  <c r="R2088" i="9" l="1"/>
  <c r="Q2089" i="9"/>
  <c r="S2088" i="9"/>
  <c r="Q1083" i="9"/>
  <c r="R1082" i="9"/>
  <c r="S1082" i="9"/>
  <c r="S2089" i="9" l="1"/>
  <c r="Q2090" i="9"/>
  <c r="R2089" i="9"/>
  <c r="Q1084" i="9"/>
  <c r="R1083" i="9"/>
  <c r="S1083" i="9"/>
  <c r="Q2091" i="9" l="1"/>
  <c r="R2090" i="9"/>
  <c r="S2090" i="9"/>
  <c r="Q1085" i="9"/>
  <c r="R1084" i="9"/>
  <c r="S1084" i="9"/>
  <c r="Q2092" i="9" l="1"/>
  <c r="S2091" i="9"/>
  <c r="R2091" i="9"/>
  <c r="R1085" i="9"/>
  <c r="Q1086" i="9"/>
  <c r="S1085" i="9"/>
  <c r="S2092" i="9" l="1"/>
  <c r="Q2093" i="9"/>
  <c r="R2092" i="9"/>
  <c r="Q1087" i="9"/>
  <c r="R1086" i="9"/>
  <c r="S1086" i="9"/>
  <c r="R2093" i="9" l="1"/>
  <c r="Q2094" i="9"/>
  <c r="S2093" i="9"/>
  <c r="Q1088" i="9"/>
  <c r="R1087" i="9"/>
  <c r="S1087" i="9"/>
  <c r="R2094" i="9" l="1"/>
  <c r="S2094" i="9"/>
  <c r="Q1089" i="9"/>
  <c r="R1088" i="9"/>
  <c r="S1088" i="9"/>
  <c r="X2050" i="9" l="1"/>
  <c r="W1643" i="9"/>
  <c r="AA1643" i="9"/>
  <c r="W2050" i="9"/>
  <c r="Y1643" i="9"/>
  <c r="AB2050" i="9"/>
  <c r="Z2050" i="9"/>
  <c r="AA2050" i="9"/>
  <c r="AB1643" i="9"/>
  <c r="Z1643" i="9"/>
  <c r="W1066" i="9"/>
  <c r="Y2050" i="9"/>
  <c r="X1643" i="9"/>
  <c r="X1066" i="9"/>
  <c r="AB1066" i="9"/>
  <c r="AA1066" i="9"/>
  <c r="Z1066" i="9"/>
  <c r="Y1066" i="9"/>
  <c r="Q1090" i="9"/>
  <c r="R1089" i="9"/>
  <c r="S1089" i="9"/>
  <c r="U22" i="10" l="1"/>
  <c r="U10" i="10"/>
  <c r="U23" i="10"/>
  <c r="U9" i="10"/>
  <c r="V2050" i="9"/>
  <c r="U8" i="1"/>
  <c r="U7" i="1"/>
  <c r="V1066" i="9"/>
  <c r="U6" i="1"/>
  <c r="U5" i="1"/>
  <c r="V23" i="10"/>
  <c r="V9" i="10"/>
  <c r="V22" i="10"/>
  <c r="V10" i="10"/>
  <c r="V6" i="1"/>
  <c r="V5" i="1"/>
  <c r="V1643" i="9"/>
  <c r="V8" i="1"/>
  <c r="V7" i="1"/>
  <c r="Q1091" i="9"/>
  <c r="R1090" i="9"/>
  <c r="S1090" i="9"/>
  <c r="V4" i="1" l="1"/>
  <c r="V3" i="1"/>
  <c r="U3" i="1"/>
  <c r="U4" i="1"/>
  <c r="Q1092" i="9"/>
  <c r="R1091" i="9"/>
  <c r="S1091" i="9"/>
  <c r="Q1093" i="9" l="1"/>
  <c r="R1092" i="9"/>
  <c r="S1092" i="9"/>
  <c r="Q1094" i="9" l="1"/>
  <c r="R1093" i="9"/>
  <c r="S1093" i="9"/>
  <c r="Q1095" i="9" l="1"/>
  <c r="R1094" i="9"/>
  <c r="S1094" i="9"/>
  <c r="Q1096" i="9" l="1"/>
  <c r="R1095" i="9"/>
  <c r="S1095" i="9"/>
  <c r="Q1097" i="9" l="1"/>
  <c r="R1096" i="9"/>
  <c r="S1096" i="9"/>
  <c r="Q1098" i="9" l="1"/>
  <c r="R1097" i="9"/>
  <c r="S1097" i="9"/>
  <c r="Q1099" i="9" l="1"/>
  <c r="R1098" i="9"/>
  <c r="S1098" i="9"/>
  <c r="Q1100" i="9" l="1"/>
  <c r="R1099" i="9"/>
  <c r="S1099" i="9"/>
  <c r="Q1101" i="9" l="1"/>
  <c r="R1100" i="9"/>
  <c r="S1100" i="9"/>
  <c r="Q1102" i="9" l="1"/>
  <c r="R1101" i="9"/>
  <c r="S1101" i="9"/>
  <c r="Q1103" i="9" l="1"/>
  <c r="R1102" i="9"/>
  <c r="S1102" i="9"/>
  <c r="Q1104" i="9" l="1"/>
  <c r="R1103" i="9"/>
  <c r="S1103" i="9"/>
  <c r="R1104" i="9" l="1"/>
  <c r="Q1105" i="9"/>
  <c r="S1104" i="9"/>
  <c r="AC70" i="12" l="1"/>
  <c r="L70" i="12"/>
  <c r="O70" i="12"/>
  <c r="Z70" i="12"/>
  <c r="S70" i="12"/>
  <c r="V70" i="12"/>
  <c r="Q1106" i="9"/>
  <c r="R1105" i="9"/>
  <c r="S1105" i="9"/>
  <c r="H70" i="12" l="1"/>
  <c r="E70" i="12"/>
  <c r="Q1107" i="9"/>
  <c r="R1106" i="9"/>
  <c r="S1106" i="9"/>
  <c r="Q1108" i="9" l="1"/>
  <c r="R1107" i="9"/>
  <c r="S1107" i="9"/>
  <c r="Q1109" i="9" l="1"/>
  <c r="R1108" i="9"/>
  <c r="S1108" i="9"/>
  <c r="Q1110" i="9" l="1"/>
  <c r="R1109" i="9"/>
  <c r="S1109" i="9"/>
  <c r="Q1111" i="9" l="1"/>
  <c r="R1110" i="9"/>
  <c r="S1110" i="9"/>
  <c r="Q1112" i="9" l="1"/>
  <c r="R1111" i="9"/>
  <c r="S1111" i="9"/>
  <c r="Q1113" i="9" l="1"/>
  <c r="R1112" i="9"/>
  <c r="S1112" i="9"/>
  <c r="Q1114" i="9" l="1"/>
  <c r="R1113" i="9"/>
  <c r="S1113" i="9"/>
  <c r="Q1115" i="9" l="1"/>
  <c r="R1114" i="9"/>
  <c r="S1114" i="9"/>
  <c r="Q1116" i="9" l="1"/>
  <c r="R1115" i="9"/>
  <c r="S1115" i="9"/>
  <c r="Q1117" i="9" l="1"/>
  <c r="R1116" i="9"/>
  <c r="S1116" i="9"/>
  <c r="Q1118" i="9" l="1"/>
  <c r="R1117" i="9"/>
  <c r="S1117" i="9"/>
  <c r="Q1119" i="9" l="1"/>
  <c r="R1118" i="9"/>
  <c r="S1118" i="9"/>
  <c r="Q1120" i="9" l="1"/>
  <c r="R1119" i="9"/>
  <c r="S1119" i="9"/>
  <c r="Q1121" i="9" l="1"/>
  <c r="R1120" i="9"/>
  <c r="S1120" i="9"/>
  <c r="Q1122" i="9" l="1"/>
  <c r="R1121" i="9"/>
  <c r="S1121" i="9"/>
  <c r="Q1123" i="9" l="1"/>
  <c r="R1122" i="9"/>
  <c r="S1122" i="9"/>
  <c r="Q1124" i="9" l="1"/>
  <c r="R1123" i="9"/>
  <c r="S1123" i="9"/>
  <c r="Q1125" i="9" l="1"/>
  <c r="R1124" i="9"/>
  <c r="S1124" i="9"/>
  <c r="R1125" i="9" l="1"/>
  <c r="Q1126" i="9"/>
  <c r="S1125" i="9"/>
  <c r="Q1127" i="9" l="1"/>
  <c r="R1126" i="9"/>
  <c r="S1126" i="9"/>
  <c r="Q1128" i="9" l="1"/>
  <c r="R1127" i="9"/>
  <c r="S1127" i="9"/>
  <c r="Q1129" i="9" l="1"/>
  <c r="R1128" i="9"/>
  <c r="S1128" i="9"/>
  <c r="R1129" i="9" l="1"/>
  <c r="Q1130" i="9"/>
  <c r="S1129" i="9"/>
  <c r="Q1131" i="9" l="1"/>
  <c r="R1130" i="9"/>
  <c r="S1130" i="9"/>
  <c r="Q1132" i="9" l="1"/>
  <c r="R1131" i="9"/>
  <c r="S1131" i="9"/>
  <c r="Q1133" i="9" l="1"/>
  <c r="R1132" i="9"/>
  <c r="S1132" i="9"/>
  <c r="Q1134" i="9" l="1"/>
  <c r="R1133" i="9"/>
  <c r="S1133" i="9"/>
  <c r="Q1135" i="9" l="1"/>
  <c r="R1134" i="9"/>
  <c r="S1134" i="9"/>
  <c r="Q1136" i="9" l="1"/>
  <c r="R1135" i="9"/>
  <c r="S1135" i="9"/>
  <c r="Q1137" i="9" l="1"/>
  <c r="R1136" i="9"/>
  <c r="S1136" i="9"/>
  <c r="Q1138" i="9" l="1"/>
  <c r="R1137" i="9"/>
  <c r="S1137" i="9"/>
  <c r="Q1139" i="9" l="1"/>
  <c r="R1138" i="9"/>
  <c r="S1138" i="9"/>
  <c r="Q1140" i="9" l="1"/>
  <c r="R1139" i="9"/>
  <c r="S1139" i="9"/>
  <c r="Q1141" i="9" l="1"/>
  <c r="R1140" i="9"/>
  <c r="S1140" i="9"/>
  <c r="Q1142" i="9" l="1"/>
  <c r="R1141" i="9"/>
  <c r="S1141" i="9"/>
  <c r="Q1143" i="9" l="1"/>
  <c r="R1142" i="9"/>
  <c r="S1142" i="9"/>
  <c r="Q1144" i="9" l="1"/>
  <c r="R1143" i="9"/>
  <c r="S1143" i="9"/>
  <c r="Q1145" i="9" l="1"/>
  <c r="R1144" i="9"/>
  <c r="S1144" i="9"/>
  <c r="Q1146" i="9" l="1"/>
  <c r="R1145" i="9"/>
  <c r="S1145" i="9"/>
  <c r="Q1147" i="9" l="1"/>
  <c r="R1146" i="9"/>
  <c r="S1146" i="9"/>
  <c r="Q1148" i="9" l="1"/>
  <c r="R1147" i="9"/>
  <c r="S1147" i="9"/>
  <c r="Q1149" i="9" l="1"/>
  <c r="R1148" i="9"/>
  <c r="S1148" i="9"/>
  <c r="Q1150" i="9" l="1"/>
  <c r="R1149" i="9"/>
  <c r="S1149" i="9"/>
  <c r="Q1151" i="9" l="1"/>
  <c r="R1150" i="9"/>
  <c r="S1150" i="9"/>
  <c r="Q1152" i="9" l="1"/>
  <c r="R1151" i="9"/>
  <c r="S1151" i="9"/>
  <c r="Q1153" i="9" l="1"/>
  <c r="R1152" i="9"/>
  <c r="S1152" i="9"/>
  <c r="Q1154" i="9" l="1"/>
  <c r="R1153" i="9"/>
  <c r="S1153" i="9"/>
  <c r="Q1155" i="9" l="1"/>
  <c r="R1154" i="9"/>
  <c r="S1154" i="9"/>
  <c r="Q1156" i="9" l="1"/>
  <c r="R1155" i="9"/>
  <c r="S1155" i="9"/>
  <c r="Q1157" i="9" l="1"/>
  <c r="R1156" i="9"/>
  <c r="S1156" i="9"/>
  <c r="AC42" i="12" l="1"/>
  <c r="O42" i="12"/>
  <c r="L42" i="12"/>
  <c r="Z42" i="12"/>
  <c r="S42" i="12"/>
  <c r="V42" i="12"/>
  <c r="R1157" i="9"/>
  <c r="Q1158" i="9"/>
  <c r="S1157" i="9"/>
  <c r="E42" i="12" l="1"/>
  <c r="S11" i="16" s="1"/>
  <c r="H42" i="12"/>
  <c r="U11" i="16" s="1"/>
  <c r="W11" i="16" s="1"/>
  <c r="R1158" i="9"/>
  <c r="Q1159" i="9"/>
  <c r="S1158" i="9"/>
  <c r="Q1160" i="9" l="1"/>
  <c r="R1159" i="9"/>
  <c r="S1159" i="9"/>
  <c r="Q1161" i="9" l="1"/>
  <c r="R1160" i="9"/>
  <c r="S1160" i="9"/>
  <c r="Q1162" i="9" l="1"/>
  <c r="R1161" i="9"/>
  <c r="S1161" i="9"/>
  <c r="Q1163" i="9" l="1"/>
  <c r="R1162" i="9"/>
  <c r="S1162" i="9"/>
  <c r="Q1164" i="9" l="1"/>
  <c r="R1163" i="9"/>
  <c r="S1163" i="9"/>
  <c r="Q1165" i="9" l="1"/>
  <c r="R1164" i="9"/>
  <c r="S1164" i="9"/>
  <c r="Q1166" i="9" l="1"/>
  <c r="R1165" i="9"/>
  <c r="S1165" i="9"/>
  <c r="Q1167" i="9" l="1"/>
  <c r="R1166" i="9"/>
  <c r="S1166" i="9"/>
  <c r="Q1168" i="9" l="1"/>
  <c r="R1167" i="9"/>
  <c r="S1167" i="9"/>
  <c r="Q1169" i="9" l="1"/>
  <c r="R1168" i="9"/>
  <c r="S1168" i="9"/>
  <c r="Q1170" i="9" l="1"/>
  <c r="R1169" i="9"/>
  <c r="S1169" i="9"/>
  <c r="Q1171" i="9" l="1"/>
  <c r="R1170" i="9"/>
  <c r="S1170" i="9"/>
  <c r="Q1172" i="9" l="1"/>
  <c r="R1171" i="9"/>
  <c r="S1171" i="9"/>
  <c r="Q1173" i="9" l="1"/>
  <c r="R1172" i="9"/>
  <c r="S1172" i="9"/>
  <c r="Q1174" i="9" l="1"/>
  <c r="R1173" i="9"/>
  <c r="S1173" i="9"/>
  <c r="Q1175" i="9" l="1"/>
  <c r="R1174" i="9"/>
  <c r="S1174" i="9"/>
  <c r="Q1176" i="9" l="1"/>
  <c r="R1175" i="9"/>
  <c r="S1175" i="9"/>
  <c r="Q1177" i="9" l="1"/>
  <c r="R1176" i="9"/>
  <c r="S1176" i="9"/>
  <c r="Q1178" i="9" l="1"/>
  <c r="R1177" i="9"/>
  <c r="S1177" i="9"/>
  <c r="Q1179" i="9" l="1"/>
  <c r="R1178" i="9"/>
  <c r="S1178" i="9"/>
  <c r="Q1180" i="9" l="1"/>
  <c r="R1179" i="9"/>
  <c r="S1179" i="9"/>
  <c r="R1180" i="9" l="1"/>
  <c r="Q1181" i="9"/>
  <c r="S1180" i="9"/>
  <c r="R1181" i="9" l="1"/>
  <c r="Q1182" i="9"/>
  <c r="S1181" i="9"/>
  <c r="Q1183" i="9" l="1"/>
  <c r="R1182" i="9"/>
  <c r="S1182" i="9"/>
  <c r="Q1184" i="9" l="1"/>
  <c r="R1183" i="9"/>
  <c r="S1183" i="9"/>
  <c r="Q1185" i="9" l="1"/>
  <c r="R1184" i="9"/>
  <c r="S1184" i="9"/>
  <c r="Q1186" i="9" l="1"/>
  <c r="R1185" i="9"/>
  <c r="S1185" i="9"/>
  <c r="Q1187" i="9" l="1"/>
  <c r="R1186" i="9"/>
  <c r="S1186" i="9"/>
  <c r="M38" i="12" l="1"/>
  <c r="J38" i="12"/>
  <c r="T38" i="12"/>
  <c r="X38" i="12"/>
  <c r="AA38" i="12"/>
  <c r="Q38" i="12"/>
  <c r="Q1188" i="9"/>
  <c r="R1187" i="9"/>
  <c r="S1187" i="9"/>
  <c r="C38" i="12" l="1"/>
  <c r="F38" i="12"/>
  <c r="Q1189" i="9"/>
  <c r="R1188" i="9"/>
  <c r="S1188" i="9"/>
  <c r="Q1190" i="9" l="1"/>
  <c r="R1189" i="9"/>
  <c r="S1189" i="9"/>
  <c r="Q1191" i="9" l="1"/>
  <c r="R1190" i="9"/>
  <c r="S1190" i="9"/>
  <c r="Q1192" i="9" l="1"/>
  <c r="R1191" i="9"/>
  <c r="S1191" i="9"/>
  <c r="Q1193" i="9" l="1"/>
  <c r="R1192" i="9"/>
  <c r="S1192" i="9"/>
  <c r="R1193" i="9" l="1"/>
  <c r="Q1194" i="9"/>
  <c r="S1193" i="9"/>
  <c r="Q1195" i="9" l="1"/>
  <c r="R1194" i="9"/>
  <c r="S1194" i="9"/>
  <c r="Q1196" i="9" l="1"/>
  <c r="R1195" i="9"/>
  <c r="S1195" i="9"/>
  <c r="Q1197" i="9" l="1"/>
  <c r="R1196" i="9"/>
  <c r="S1196" i="9"/>
  <c r="Q1198" i="9" l="1"/>
  <c r="R1197" i="9"/>
  <c r="S1197" i="9"/>
  <c r="Q1199" i="9" l="1"/>
  <c r="R1198" i="9"/>
  <c r="S1198" i="9"/>
  <c r="Q1200" i="9" l="1"/>
  <c r="R1199" i="9"/>
  <c r="S1199" i="9"/>
  <c r="Q1201" i="9" l="1"/>
  <c r="R1200" i="9"/>
  <c r="S1200" i="9"/>
  <c r="Q1202" i="9" l="1"/>
  <c r="R1201" i="9"/>
  <c r="S1201" i="9"/>
  <c r="Q1203" i="9" l="1"/>
  <c r="R1202" i="9"/>
  <c r="S1202" i="9"/>
  <c r="Q1204" i="9" l="1"/>
  <c r="R1203" i="9"/>
  <c r="S1203" i="9"/>
  <c r="Q1205" i="9" l="1"/>
  <c r="R1204" i="9"/>
  <c r="S1204" i="9"/>
  <c r="Q1206" i="9" l="1"/>
  <c r="R1205" i="9"/>
  <c r="S1205" i="9"/>
  <c r="Q1207" i="9" l="1"/>
  <c r="R1206" i="9"/>
  <c r="S1206" i="9"/>
  <c r="Q1208" i="9" l="1"/>
  <c r="R1207" i="9"/>
  <c r="S1207" i="9"/>
  <c r="Q1209" i="9" l="1"/>
  <c r="R1208" i="9"/>
  <c r="S1208" i="9"/>
  <c r="Q1210" i="9" l="1"/>
  <c r="R1209" i="9"/>
  <c r="S1209" i="9"/>
  <c r="Q1211" i="9" l="1"/>
  <c r="R1210" i="9"/>
  <c r="S1210" i="9"/>
  <c r="Q1212" i="9" l="1"/>
  <c r="R1211" i="9"/>
  <c r="S1211" i="9"/>
  <c r="X37" i="12" l="1"/>
  <c r="AA37" i="12"/>
  <c r="J37" i="12"/>
  <c r="T37" i="12"/>
  <c r="Q37" i="12"/>
  <c r="M37" i="12"/>
  <c r="F37" i="12" s="1"/>
  <c r="D7" i="16" s="1"/>
  <c r="Q1213" i="9"/>
  <c r="R1212" i="9"/>
  <c r="S1212" i="9"/>
  <c r="C37" i="12" l="1"/>
  <c r="B7" i="16" s="1"/>
  <c r="F7" i="16" s="1"/>
  <c r="Q1214" i="9"/>
  <c r="R1213" i="9"/>
  <c r="S1213" i="9"/>
  <c r="Q1215" i="9" l="1"/>
  <c r="R1214" i="9"/>
  <c r="S1214" i="9"/>
  <c r="Q1216" i="9" l="1"/>
  <c r="R1215" i="9"/>
  <c r="S1215" i="9"/>
  <c r="Q1217" i="9" l="1"/>
  <c r="R1216" i="9"/>
  <c r="S1216" i="9"/>
  <c r="Q1218" i="9" l="1"/>
  <c r="R1217" i="9"/>
  <c r="S1217" i="9"/>
  <c r="Q1219" i="9" l="1"/>
  <c r="R1218" i="9"/>
  <c r="S1218" i="9"/>
  <c r="Q1220" i="9" l="1"/>
  <c r="R1219" i="9"/>
  <c r="S1219" i="9"/>
  <c r="Q1221" i="9" l="1"/>
  <c r="R1220" i="9"/>
  <c r="S1220" i="9"/>
  <c r="Q1222" i="9" l="1"/>
  <c r="R1221" i="9"/>
  <c r="S1221" i="9"/>
  <c r="Q1223" i="9" l="1"/>
  <c r="R1222" i="9"/>
  <c r="S1222" i="9"/>
  <c r="Q1224" i="9" l="1"/>
  <c r="R1223" i="9"/>
  <c r="S1223" i="9"/>
  <c r="Q1225" i="9" l="1"/>
  <c r="R1224" i="9"/>
  <c r="S1224" i="9"/>
  <c r="R1225" i="9" l="1"/>
  <c r="Q1226" i="9"/>
  <c r="S1225" i="9"/>
  <c r="Q1227" i="9" l="1"/>
  <c r="R1226" i="9"/>
  <c r="S1226" i="9"/>
  <c r="Q1228" i="9" l="1"/>
  <c r="R1227" i="9"/>
  <c r="S1227" i="9"/>
  <c r="Q1229" i="9" l="1"/>
  <c r="R1228" i="9"/>
  <c r="S1228" i="9"/>
  <c r="Q43" i="12" l="1"/>
  <c r="M43" i="12"/>
  <c r="T43" i="12"/>
  <c r="X43" i="12"/>
  <c r="AA43" i="12"/>
  <c r="J43" i="12"/>
  <c r="Q1230" i="9"/>
  <c r="R1229" i="9"/>
  <c r="S1229" i="9"/>
  <c r="C43" i="12" l="1"/>
  <c r="B12" i="16" s="1"/>
  <c r="F43" i="12"/>
  <c r="D12" i="16" s="1"/>
  <c r="Q1231" i="9"/>
  <c r="R1230" i="9"/>
  <c r="S1230" i="9"/>
  <c r="F12" i="16" l="1"/>
  <c r="Q1232" i="9"/>
  <c r="R1231" i="9"/>
  <c r="S1231" i="9"/>
  <c r="Q1233" i="9" l="1"/>
  <c r="R1232" i="9"/>
  <c r="S1232" i="9"/>
  <c r="Q1234" i="9" l="1"/>
  <c r="R1233" i="9"/>
  <c r="S1233" i="9"/>
  <c r="Q1235" i="9" l="1"/>
  <c r="R1234" i="9"/>
  <c r="S1234" i="9"/>
  <c r="Q1236" i="9" l="1"/>
  <c r="R1235" i="9"/>
  <c r="S1235" i="9"/>
  <c r="AA1229" i="9" l="1"/>
  <c r="Y1229" i="9"/>
  <c r="Q1237" i="9"/>
  <c r="R1236" i="9"/>
  <c r="S1236" i="9"/>
  <c r="Q1238" i="9" l="1"/>
  <c r="R1237" i="9"/>
  <c r="S1237" i="9"/>
  <c r="Q42" i="12" l="1"/>
  <c r="AA42" i="12"/>
  <c r="M42" i="12"/>
  <c r="T42" i="12"/>
  <c r="J42" i="12"/>
  <c r="X42" i="12"/>
  <c r="Q1239" i="9"/>
  <c r="R1238" i="9"/>
  <c r="S1238" i="9"/>
  <c r="C42" i="12" l="1"/>
  <c r="B11" i="16" s="1"/>
  <c r="F42" i="12"/>
  <c r="D11" i="16" s="1"/>
  <c r="Q1240" i="9"/>
  <c r="R1239" i="9"/>
  <c r="S1239" i="9"/>
  <c r="F11" i="16" l="1"/>
  <c r="Q1241" i="9"/>
  <c r="R1240" i="9"/>
  <c r="S1240" i="9"/>
  <c r="Q1242" i="9" l="1"/>
  <c r="R1241" i="9"/>
  <c r="S1241" i="9"/>
  <c r="Q1243" i="9" l="1"/>
  <c r="R1242" i="9"/>
  <c r="S1242" i="9"/>
  <c r="Q1244" i="9" l="1"/>
  <c r="R1243" i="9"/>
  <c r="S1243" i="9"/>
  <c r="Q1245" i="9" l="1"/>
  <c r="R1244" i="9"/>
  <c r="S1244" i="9"/>
  <c r="Q1246" i="9" l="1"/>
  <c r="R1245" i="9"/>
  <c r="S1245" i="9"/>
  <c r="Q1247" i="9" l="1"/>
  <c r="R1246" i="9"/>
  <c r="S1246" i="9"/>
  <c r="Q1248" i="9" l="1"/>
  <c r="R1247" i="9"/>
  <c r="S1247" i="9"/>
  <c r="Q1249" i="9" l="1"/>
  <c r="R1248" i="9"/>
  <c r="S1248" i="9"/>
  <c r="Q1250" i="9" l="1"/>
  <c r="R1249" i="9"/>
  <c r="S1249" i="9"/>
  <c r="Q1251" i="9" l="1"/>
  <c r="R1250" i="9"/>
  <c r="S1250" i="9"/>
  <c r="Q1252" i="9" l="1"/>
  <c r="R1251" i="9"/>
  <c r="S1251" i="9"/>
  <c r="Q1253" i="9" l="1"/>
  <c r="R1252" i="9"/>
  <c r="S1252" i="9"/>
  <c r="Q1254" i="9" l="1"/>
  <c r="R1253" i="9"/>
  <c r="S1253" i="9"/>
  <c r="Q1255" i="9" l="1"/>
  <c r="R1254" i="9"/>
  <c r="S1254" i="9"/>
  <c r="Q1256" i="9" l="1"/>
  <c r="R1255" i="9"/>
  <c r="S1255" i="9"/>
  <c r="Q1257" i="9" l="1"/>
  <c r="R1256" i="9"/>
  <c r="S1256" i="9"/>
  <c r="Q1258" i="9" l="1"/>
  <c r="R1257" i="9"/>
  <c r="S1257" i="9"/>
  <c r="Q1259" i="9" l="1"/>
  <c r="R1258" i="9"/>
  <c r="S1258" i="9"/>
  <c r="Q1260" i="9" l="1"/>
  <c r="R1259" i="9"/>
  <c r="S1259" i="9"/>
  <c r="Q1261" i="9" l="1"/>
  <c r="R1260" i="9"/>
  <c r="S1260" i="9"/>
  <c r="Q1262" i="9" l="1"/>
  <c r="R1261" i="9"/>
  <c r="S1261" i="9"/>
  <c r="Q1263" i="9" l="1"/>
  <c r="R1262" i="9"/>
  <c r="S1262" i="9"/>
  <c r="Q1264" i="9" l="1"/>
  <c r="R1263" i="9"/>
  <c r="S1263" i="9"/>
  <c r="Q1265" i="9" l="1"/>
  <c r="R1264" i="9"/>
  <c r="S1264" i="9"/>
  <c r="Q1266" i="9" l="1"/>
  <c r="R1265" i="9"/>
  <c r="S1265" i="9"/>
  <c r="Q1267" i="9" l="1"/>
  <c r="R1266" i="9"/>
  <c r="S1266" i="9"/>
  <c r="Q1268" i="9" l="1"/>
  <c r="R1267" i="9"/>
  <c r="S1267" i="9"/>
  <c r="Q1269" i="9" l="1"/>
  <c r="R1268" i="9"/>
  <c r="S1268" i="9"/>
  <c r="Q1270" i="9" l="1"/>
  <c r="R1269" i="9"/>
  <c r="S1269" i="9"/>
  <c r="Q1271" i="9" l="1"/>
  <c r="R1270" i="9"/>
  <c r="S1270" i="9"/>
  <c r="Q1272" i="9" l="1"/>
  <c r="R1271" i="9"/>
  <c r="S1271" i="9"/>
  <c r="Q1273" i="9" l="1"/>
  <c r="R1272" i="9"/>
  <c r="S1272" i="9"/>
  <c r="Q1274" i="9" l="1"/>
  <c r="R1273" i="9"/>
  <c r="S1273" i="9"/>
  <c r="Q1275" i="9" l="1"/>
  <c r="R1274" i="9"/>
  <c r="S1274" i="9"/>
  <c r="Q1276" i="9" l="1"/>
  <c r="R1275" i="9"/>
  <c r="S1275" i="9"/>
  <c r="Q1277" i="9" l="1"/>
  <c r="R1276" i="9"/>
  <c r="S1276" i="9"/>
  <c r="Q1278" i="9" l="1"/>
  <c r="R1277" i="9"/>
  <c r="S1277" i="9"/>
  <c r="Q1279" i="9" l="1"/>
  <c r="R1278" i="9"/>
  <c r="S1278" i="9"/>
  <c r="Q1280" i="9" l="1"/>
  <c r="R1279" i="9"/>
  <c r="S1279" i="9"/>
  <c r="Q1281" i="9" l="1"/>
  <c r="R1280" i="9"/>
  <c r="S1280" i="9"/>
  <c r="Q1282" i="9" l="1"/>
  <c r="R1281" i="9"/>
  <c r="S1281" i="9"/>
  <c r="Q1283" i="9" l="1"/>
  <c r="R1282" i="9"/>
  <c r="S1282" i="9"/>
  <c r="Q1284" i="9" l="1"/>
  <c r="R1283" i="9"/>
  <c r="S1283" i="9"/>
  <c r="Q1285" i="9" l="1"/>
  <c r="R1284" i="9"/>
  <c r="S1284" i="9"/>
  <c r="Q1286" i="9" l="1"/>
  <c r="R1285" i="9"/>
  <c r="S1285" i="9"/>
  <c r="Q1287" i="9" l="1"/>
  <c r="R1286" i="9"/>
  <c r="S1286" i="9"/>
  <c r="Q1288" i="9" l="1"/>
  <c r="R1287" i="9"/>
  <c r="S1287" i="9"/>
  <c r="Q1289" i="9" l="1"/>
  <c r="R1288" i="9"/>
  <c r="S1288" i="9"/>
  <c r="R1289" i="9" l="1"/>
  <c r="Q1290" i="9"/>
  <c r="Q1291" i="9" s="1"/>
  <c r="S1289" i="9"/>
  <c r="Q1292" i="9" l="1"/>
  <c r="R1291" i="9"/>
  <c r="S1291" i="9"/>
  <c r="R1290" i="9"/>
  <c r="S1290" i="9"/>
  <c r="J51" i="12" l="1"/>
  <c r="AA51" i="12"/>
  <c r="X51" i="12"/>
  <c r="T51" i="12"/>
  <c r="Q51" i="12"/>
  <c r="M51" i="12"/>
  <c r="F51" i="12" s="1"/>
  <c r="D20" i="16" s="1"/>
  <c r="J48" i="12"/>
  <c r="X48" i="12"/>
  <c r="Q48" i="12"/>
  <c r="T48" i="12"/>
  <c r="AA48" i="12"/>
  <c r="M48" i="12"/>
  <c r="Q1293" i="9"/>
  <c r="R1292" i="9"/>
  <c r="S1292" i="9"/>
  <c r="Y658" i="9"/>
  <c r="AB543" i="9"/>
  <c r="W404" i="9"/>
  <c r="AA881" i="9"/>
  <c r="Z881" i="9"/>
  <c r="AB404" i="9"/>
  <c r="Z658" i="9"/>
  <c r="Y744" i="9"/>
  <c r="W658" i="9"/>
  <c r="W744" i="9"/>
  <c r="AA658" i="9"/>
  <c r="AB658" i="9"/>
  <c r="Z744" i="9"/>
  <c r="X658" i="9"/>
  <c r="AB881" i="9"/>
  <c r="W881" i="9"/>
  <c r="Z543" i="9"/>
  <c r="X744" i="9"/>
  <c r="X881" i="9"/>
  <c r="Y404" i="9"/>
  <c r="X404" i="9"/>
  <c r="Y881" i="9"/>
  <c r="AB744" i="9"/>
  <c r="AA404" i="9"/>
  <c r="AA744" i="9"/>
  <c r="Z404" i="9"/>
  <c r="Z581" i="9"/>
  <c r="Y581" i="9"/>
  <c r="AB581" i="9"/>
  <c r="X581" i="9"/>
  <c r="W581" i="9"/>
  <c r="AA581" i="9"/>
  <c r="R42" i="12"/>
  <c r="X820" i="9"/>
  <c r="Y820" i="9"/>
  <c r="W820" i="9"/>
  <c r="Z820" i="9"/>
  <c r="AA820" i="9"/>
  <c r="X940" i="9"/>
  <c r="Y940" i="9"/>
  <c r="AB940" i="9"/>
  <c r="Z940" i="9"/>
  <c r="AA940" i="9"/>
  <c r="W940" i="9"/>
  <c r="Z614" i="9"/>
  <c r="X614" i="9"/>
  <c r="AA614" i="9"/>
  <c r="Y614" i="9"/>
  <c r="W614" i="9"/>
  <c r="AB614" i="9"/>
  <c r="W969" i="9"/>
  <c r="X969" i="9"/>
  <c r="AA969" i="9"/>
  <c r="AB969" i="9"/>
  <c r="Z969" i="9"/>
  <c r="Y969" i="9"/>
  <c r="W981" i="9"/>
  <c r="X981" i="9"/>
  <c r="AB981" i="9"/>
  <c r="Z981" i="9"/>
  <c r="AA981" i="9"/>
  <c r="Y981" i="9"/>
  <c r="Z992" i="9"/>
  <c r="AB992" i="9"/>
  <c r="AA992" i="9"/>
  <c r="Y992" i="9"/>
  <c r="X992" i="9"/>
  <c r="W992" i="9"/>
  <c r="AA1007" i="9"/>
  <c r="Z1007" i="9"/>
  <c r="AB1007" i="9"/>
  <c r="W1007" i="9"/>
  <c r="X1007" i="9"/>
  <c r="Y1007" i="9"/>
  <c r="W1031" i="9"/>
  <c r="AB1031" i="9"/>
  <c r="Y1031" i="9"/>
  <c r="Z1031" i="9"/>
  <c r="X1031" i="9"/>
  <c r="AA1031" i="9"/>
  <c r="Y1054" i="9"/>
  <c r="AB1054" i="9"/>
  <c r="AA1054" i="9"/>
  <c r="W1054" i="9"/>
  <c r="X1054" i="9"/>
  <c r="Z1054" i="9"/>
  <c r="Y1074" i="9"/>
  <c r="AB1074" i="9"/>
  <c r="X1074" i="9"/>
  <c r="Z1074" i="9"/>
  <c r="W1074" i="9"/>
  <c r="AA1074" i="9"/>
  <c r="W1098" i="9"/>
  <c r="Y1098" i="9"/>
  <c r="X1098" i="9"/>
  <c r="AB1098" i="9"/>
  <c r="Z1098" i="9"/>
  <c r="AA1098" i="9"/>
  <c r="AA1109" i="9"/>
  <c r="Y1109" i="9"/>
  <c r="AB1109" i="9"/>
  <c r="X1109" i="9"/>
  <c r="W1109" i="9"/>
  <c r="Z1109" i="9"/>
  <c r="Y1123" i="9"/>
  <c r="W1123" i="9"/>
  <c r="AA1123" i="9"/>
  <c r="X1123" i="9"/>
  <c r="Z1123" i="9"/>
  <c r="AB1123" i="9"/>
  <c r="AB1142" i="9"/>
  <c r="Y1142" i="9"/>
  <c r="Z1142" i="9"/>
  <c r="AA1142" i="9"/>
  <c r="W1142" i="9"/>
  <c r="V1142" i="9" s="1"/>
  <c r="X1142" i="9"/>
  <c r="W1163" i="9"/>
  <c r="AB1163" i="9"/>
  <c r="Y1163" i="9"/>
  <c r="X1163" i="9"/>
  <c r="Z1163" i="9"/>
  <c r="AA1163" i="9"/>
  <c r="AA1176" i="9"/>
  <c r="Z1176" i="9"/>
  <c r="W1176" i="9"/>
  <c r="Y1176" i="9"/>
  <c r="AB1176" i="9"/>
  <c r="X1176" i="9"/>
  <c r="X1203" i="9"/>
  <c r="Z1203" i="9"/>
  <c r="W1203" i="9"/>
  <c r="Y1203" i="9"/>
  <c r="AB1203" i="9"/>
  <c r="AA1203" i="9"/>
  <c r="Z1224" i="9"/>
  <c r="Y1224" i="9"/>
  <c r="AA1224" i="9"/>
  <c r="W1224" i="9"/>
  <c r="X1224" i="9"/>
  <c r="AB1224" i="9"/>
  <c r="U37" i="12"/>
  <c r="R37" i="12"/>
  <c r="Y37" i="12"/>
  <c r="AB37" i="12"/>
  <c r="K37" i="12"/>
  <c r="N37" i="12"/>
  <c r="K42" i="12"/>
  <c r="N42" i="12"/>
  <c r="Y42" i="12"/>
  <c r="U42" i="12"/>
  <c r="AB42" i="12"/>
  <c r="V614" i="9" l="1"/>
  <c r="G42" i="12"/>
  <c r="C48" i="12"/>
  <c r="B17" i="16" s="1"/>
  <c r="C51" i="12"/>
  <c r="B20" i="16" s="1"/>
  <c r="F20" i="16" s="1"/>
  <c r="AD42" i="12"/>
  <c r="V992" i="9"/>
  <c r="F48" i="12"/>
  <c r="D17" i="16" s="1"/>
  <c r="Q1294" i="9"/>
  <c r="R1293" i="9"/>
  <c r="S1293" i="9"/>
  <c r="V1176" i="9"/>
  <c r="V1163" i="9"/>
  <c r="V1098" i="9"/>
  <c r="V981" i="9"/>
  <c r="V940" i="9"/>
  <c r="D37" i="12"/>
  <c r="P37" i="12"/>
  <c r="W37" i="12"/>
  <c r="V1224" i="9"/>
  <c r="V1203" i="9"/>
  <c r="V1109" i="9"/>
  <c r="V1074" i="9"/>
  <c r="V1031" i="9"/>
  <c r="V969" i="9"/>
  <c r="V820" i="9"/>
  <c r="S8" i="10"/>
  <c r="S10" i="10"/>
  <c r="S9" i="10"/>
  <c r="S23" i="10"/>
  <c r="S22" i="10"/>
  <c r="V881" i="9"/>
  <c r="V1123" i="9"/>
  <c r="V581" i="9"/>
  <c r="V404" i="9"/>
  <c r="S8" i="1"/>
  <c r="S7" i="1"/>
  <c r="S5" i="10"/>
  <c r="S7" i="10"/>
  <c r="S5" i="1"/>
  <c r="S6" i="1"/>
  <c r="V744" i="9"/>
  <c r="D42" i="12"/>
  <c r="I42" i="12" s="1"/>
  <c r="P42" i="12"/>
  <c r="G37" i="12"/>
  <c r="AD37" i="12"/>
  <c r="V1054" i="9"/>
  <c r="V1007" i="9"/>
  <c r="S10" i="1"/>
  <c r="S22" i="1"/>
  <c r="S9" i="1" a="1"/>
  <c r="S9" i="1" s="1"/>
  <c r="S23" i="1"/>
  <c r="S6" i="10"/>
  <c r="W42" i="12"/>
  <c r="V658" i="9"/>
  <c r="F17" i="16" l="1"/>
  <c r="Q1295" i="9"/>
  <c r="R1294" i="9"/>
  <c r="S1294" i="9"/>
  <c r="S3" i="1"/>
  <c r="S4" i="1"/>
  <c r="I37" i="12"/>
  <c r="S3" i="10"/>
  <c r="S4" i="10"/>
  <c r="Q1296" i="9" l="1"/>
  <c r="R1295" i="9"/>
  <c r="S1295" i="9"/>
  <c r="Q1297" i="9" l="1"/>
  <c r="R1296" i="9"/>
  <c r="S1296" i="9"/>
  <c r="Q1298" i="9" l="1"/>
  <c r="R1297" i="9"/>
  <c r="S1297" i="9"/>
  <c r="Q1299" i="9" l="1"/>
  <c r="R1298" i="9"/>
  <c r="S1298" i="9"/>
  <c r="Q1300" i="9" l="1"/>
  <c r="R1299" i="9"/>
  <c r="S1299" i="9"/>
  <c r="S1300" i="9" l="1"/>
  <c r="Q1301" i="9"/>
  <c r="R1300" i="9"/>
  <c r="Q1302" i="9" l="1"/>
  <c r="S1301" i="9"/>
  <c r="R1301" i="9"/>
  <c r="S1302" i="9" l="1"/>
  <c r="R1302" i="9"/>
  <c r="Q1303" i="9"/>
  <c r="Q1304" i="9" l="1"/>
  <c r="R1303" i="9"/>
  <c r="S1303" i="9"/>
  <c r="S1304" i="9" l="1"/>
  <c r="Q1305" i="9"/>
  <c r="R1304" i="9"/>
  <c r="Q1306" i="9" l="1"/>
  <c r="R1305" i="9"/>
  <c r="S1305" i="9"/>
  <c r="V49" i="12" l="1"/>
  <c r="L49" i="12"/>
  <c r="S49" i="12"/>
  <c r="AC49" i="12"/>
  <c r="Z49" i="12"/>
  <c r="O49" i="12"/>
  <c r="Q1307" i="9"/>
  <c r="S1306" i="9"/>
  <c r="R1306" i="9"/>
  <c r="H49" i="12" l="1"/>
  <c r="U18" i="16" s="1"/>
  <c r="E49" i="12"/>
  <c r="S18" i="16" s="1"/>
  <c r="W18" i="16" s="1"/>
  <c r="S1307" i="9"/>
  <c r="Q1308" i="9"/>
  <c r="R1307" i="9"/>
  <c r="AC46" i="12" l="1"/>
  <c r="Z46" i="12"/>
  <c r="O46" i="12"/>
  <c r="S46" i="12"/>
  <c r="V46" i="12"/>
  <c r="L46" i="12"/>
  <c r="Q1309" i="9"/>
  <c r="R1308" i="9"/>
  <c r="S1308" i="9"/>
  <c r="Q1310" i="9" l="1"/>
  <c r="R1309" i="9"/>
  <c r="S1309" i="9"/>
  <c r="H46" i="12"/>
  <c r="E46" i="12"/>
  <c r="S15" i="16" l="1"/>
  <c r="U15" i="16"/>
  <c r="W15" i="16" s="1"/>
  <c r="Q1311" i="9"/>
  <c r="S1310" i="9"/>
  <c r="R1310" i="9"/>
  <c r="Q1312" i="9" l="1"/>
  <c r="R1311" i="9"/>
  <c r="S1311" i="9"/>
  <c r="Z48" i="12" l="1"/>
  <c r="V48" i="12"/>
  <c r="L48" i="12"/>
  <c r="O48" i="12"/>
  <c r="S48" i="12"/>
  <c r="AC48" i="12"/>
  <c r="S1312" i="9"/>
  <c r="Q1313" i="9"/>
  <c r="R1312" i="9"/>
  <c r="S39" i="12" l="1"/>
  <c r="Z39" i="12"/>
  <c r="AC39" i="12"/>
  <c r="L39" i="12"/>
  <c r="E39" i="12" s="1"/>
  <c r="S8" i="16" s="1"/>
  <c r="O39" i="12"/>
  <c r="V39" i="12"/>
  <c r="H48" i="12"/>
  <c r="E48" i="12"/>
  <c r="S1313" i="9"/>
  <c r="R1313" i="9"/>
  <c r="Q1314" i="9"/>
  <c r="H39" i="12" l="1"/>
  <c r="U8" i="16" s="1"/>
  <c r="W8" i="16" s="1"/>
  <c r="S17" i="16"/>
  <c r="U17" i="16"/>
  <c r="Q1315" i="9"/>
  <c r="S1314" i="9"/>
  <c r="R1314" i="9"/>
  <c r="W17" i="16" l="1"/>
  <c r="R1315" i="9"/>
  <c r="Q1316" i="9"/>
  <c r="S1315" i="9"/>
  <c r="Q1317" i="9" l="1"/>
  <c r="S1316" i="9"/>
  <c r="R1316" i="9"/>
  <c r="Q1318" i="9" l="1"/>
  <c r="R1317" i="9"/>
  <c r="S1317" i="9"/>
  <c r="Q1319" i="9" l="1"/>
  <c r="R1318" i="9"/>
  <c r="S1318" i="9"/>
  <c r="Q1320" i="9" l="1"/>
  <c r="R1319" i="9"/>
  <c r="S1319" i="9"/>
  <c r="Q1321" i="9" l="1"/>
  <c r="S1320" i="9"/>
  <c r="R1320" i="9"/>
  <c r="Q1322" i="9" l="1"/>
  <c r="R1321" i="9"/>
  <c r="S1321" i="9"/>
  <c r="S1322" i="9" l="1"/>
  <c r="Q1323" i="9"/>
  <c r="R1322" i="9"/>
  <c r="R1323" i="9" l="1"/>
  <c r="S1323" i="9"/>
  <c r="Q1324" i="9"/>
  <c r="R1324" i="9" l="1"/>
  <c r="S1324" i="9"/>
  <c r="Q1325" i="9"/>
  <c r="S45" i="12" l="1"/>
  <c r="S55" i="12" s="1"/>
  <c r="S72" i="12" s="1"/>
  <c r="AC45" i="12"/>
  <c r="AC55" i="12" s="1"/>
  <c r="AC72" i="12" s="1"/>
  <c r="O45" i="12"/>
  <c r="Z45" i="12"/>
  <c r="Z55" i="12" s="1"/>
  <c r="Z72" i="12" s="1"/>
  <c r="L45" i="12"/>
  <c r="V45" i="12"/>
  <c r="V55" i="12" s="1"/>
  <c r="V72" i="12" s="1"/>
  <c r="R1325" i="9"/>
  <c r="S1325" i="9"/>
  <c r="Q1326" i="9"/>
  <c r="H45" i="12" l="1"/>
  <c r="O55" i="12"/>
  <c r="O72" i="12" s="1"/>
  <c r="E45" i="12"/>
  <c r="L55" i="12"/>
  <c r="L72" i="12" s="1"/>
  <c r="S1326" i="9"/>
  <c r="Q1327" i="9"/>
  <c r="R1326" i="9"/>
  <c r="S14" i="16" l="1"/>
  <c r="W14" i="16" s="1"/>
  <c r="E55" i="12"/>
  <c r="E72" i="12" s="1"/>
  <c r="U14" i="16"/>
  <c r="H55" i="12"/>
  <c r="H72" i="12" s="1"/>
  <c r="R1327" i="9"/>
  <c r="Q1328" i="9"/>
  <c r="Q1329" i="9" s="1"/>
  <c r="S1327" i="9"/>
  <c r="R1329" i="9" l="1"/>
  <c r="S1329" i="9"/>
  <c r="Q1330" i="9"/>
  <c r="S1328" i="9"/>
  <c r="R1328" i="9"/>
  <c r="S1330" i="9" l="1"/>
  <c r="Q1331" i="9"/>
  <c r="R1330" i="9"/>
  <c r="L21" i="13"/>
  <c r="L20" i="13"/>
  <c r="L18" i="13"/>
  <c r="L16" i="13"/>
  <c r="L17" i="13"/>
  <c r="L19" i="13"/>
  <c r="N70" i="12"/>
  <c r="K70" i="12"/>
  <c r="R70" i="12"/>
  <c r="AB70" i="12"/>
  <c r="U70" i="12"/>
  <c r="Y70" i="12"/>
  <c r="N20" i="1"/>
  <c r="N17" i="1"/>
  <c r="N18" i="1"/>
  <c r="N19" i="1"/>
  <c r="N21" i="1"/>
  <c r="N16" i="1"/>
  <c r="K38" i="12"/>
  <c r="R38" i="12"/>
  <c r="Y38" i="12"/>
  <c r="N38" i="12"/>
  <c r="U38" i="12"/>
  <c r="AB38" i="12"/>
  <c r="N20" i="10"/>
  <c r="N6" i="10"/>
  <c r="N19" i="10"/>
  <c r="N18" i="10"/>
  <c r="N22" i="1"/>
  <c r="N7" i="10"/>
  <c r="N21" i="10"/>
  <c r="N5" i="10"/>
  <c r="N17" i="10"/>
  <c r="N10" i="1"/>
  <c r="N8" i="10"/>
  <c r="N16" i="10"/>
  <c r="N4" i="10"/>
  <c r="N3" i="10"/>
  <c r="N23" i="1"/>
  <c r="N9" i="1" a="1"/>
  <c r="N9" i="1" s="1"/>
  <c r="Q70" i="12"/>
  <c r="T70" i="12"/>
  <c r="L20" i="12"/>
  <c r="L19" i="12"/>
  <c r="L16" i="12"/>
  <c r="L21" i="12"/>
  <c r="M70" i="12"/>
  <c r="J70" i="12"/>
  <c r="L17" i="12"/>
  <c r="X70" i="12"/>
  <c r="AA70" i="12"/>
  <c r="L18" i="12"/>
  <c r="Y975" i="9"/>
  <c r="W975" i="9"/>
  <c r="AA975" i="9"/>
  <c r="Z975" i="9"/>
  <c r="AB436" i="9"/>
  <c r="Z436" i="9"/>
  <c r="X975" i="9"/>
  <c r="AB975" i="9"/>
  <c r="W436" i="9"/>
  <c r="Y436" i="9"/>
  <c r="X436" i="9"/>
  <c r="AA436" i="9"/>
  <c r="W1018" i="9"/>
  <c r="AB1018" i="9"/>
  <c r="Z1018" i="9"/>
  <c r="Y1018" i="9"/>
  <c r="AA1018" i="9"/>
  <c r="X1018" i="9"/>
  <c r="Y1034" i="9"/>
  <c r="W1034" i="9"/>
  <c r="AA1034" i="9"/>
  <c r="AB1034" i="9"/>
  <c r="Z1034" i="9"/>
  <c r="X1034" i="9"/>
  <c r="X1049" i="9"/>
  <c r="AB1049" i="9"/>
  <c r="Y1049" i="9"/>
  <c r="AA1049" i="9"/>
  <c r="W1049" i="9"/>
  <c r="V1049" i="9" s="1"/>
  <c r="Z1049" i="9"/>
  <c r="W1068" i="9"/>
  <c r="Z1068" i="9"/>
  <c r="AA1068" i="9"/>
  <c r="Y1068" i="9"/>
  <c r="AB1068" i="9"/>
  <c r="X1068" i="9"/>
  <c r="W1085" i="9"/>
  <c r="V1085" i="9" s="1"/>
  <c r="Y1085" i="9"/>
  <c r="X1085" i="9"/>
  <c r="Z1085" i="9"/>
  <c r="AB1085" i="9"/>
  <c r="AA1085" i="9"/>
  <c r="Y1118" i="9"/>
  <c r="AB1118" i="9"/>
  <c r="X1118" i="9"/>
  <c r="Z1118" i="9"/>
  <c r="AA1118" i="9"/>
  <c r="W1118" i="9"/>
  <c r="Y1144" i="9"/>
  <c r="AB1144" i="9"/>
  <c r="X1144" i="9"/>
  <c r="W1144" i="9"/>
  <c r="AA1144" i="9"/>
  <c r="Z1144" i="9"/>
  <c r="Z1179" i="9"/>
  <c r="AA1179" i="9"/>
  <c r="W1179" i="9"/>
  <c r="V1179" i="9" s="1"/>
  <c r="X1179" i="9"/>
  <c r="AB1179" i="9"/>
  <c r="Y1179" i="9"/>
  <c r="AB1211" i="9"/>
  <c r="W1211" i="9"/>
  <c r="X1211" i="9"/>
  <c r="AA1211" i="9"/>
  <c r="Z1211" i="9"/>
  <c r="Y1211" i="9"/>
  <c r="Y1228" i="9"/>
  <c r="W1228" i="9"/>
  <c r="V1228" i="9" s="1"/>
  <c r="Z1228" i="9"/>
  <c r="AB1228" i="9"/>
  <c r="X1228" i="9"/>
  <c r="AA1228" i="9"/>
  <c r="Z1276" i="9"/>
  <c r="X1276" i="9"/>
  <c r="W1276" i="9"/>
  <c r="AB1276" i="9"/>
  <c r="Y1276" i="9"/>
  <c r="AA1276" i="9"/>
  <c r="Z1290" i="9"/>
  <c r="AA1290" i="9"/>
  <c r="W1290" i="9"/>
  <c r="V1290" i="9" s="1"/>
  <c r="AB1290" i="9"/>
  <c r="X1290" i="9"/>
  <c r="Y1290" i="9"/>
  <c r="Q1332" i="9" l="1"/>
  <c r="S1331" i="9"/>
  <c r="R1331" i="9"/>
  <c r="V1211" i="9"/>
  <c r="O6" i="10"/>
  <c r="L10" i="12"/>
  <c r="L23" i="12"/>
  <c r="O22" i="1"/>
  <c r="O10" i="1"/>
  <c r="L22" i="12"/>
  <c r="O23" i="1"/>
  <c r="L9" i="12" a="1"/>
  <c r="L9" i="12" s="1"/>
  <c r="L6" i="13"/>
  <c r="O9" i="1" a="1"/>
  <c r="O9" i="1" s="1"/>
  <c r="V975" i="9"/>
  <c r="L7" i="12"/>
  <c r="L8" i="12"/>
  <c r="N8" i="1"/>
  <c r="N7" i="1"/>
  <c r="C70" i="12"/>
  <c r="P70" i="12"/>
  <c r="W38" i="12"/>
  <c r="D70" i="12"/>
  <c r="V1018" i="9"/>
  <c r="V436" i="9"/>
  <c r="O8" i="10"/>
  <c r="L8" i="13"/>
  <c r="F70" i="12"/>
  <c r="D38" i="12"/>
  <c r="P38" i="12"/>
  <c r="G70" i="12"/>
  <c r="V1144" i="9"/>
  <c r="V1118" i="9"/>
  <c r="V1034" i="9"/>
  <c r="O5" i="10"/>
  <c r="L5" i="13"/>
  <c r="N6" i="1"/>
  <c r="L5" i="12"/>
  <c r="L6" i="12"/>
  <c r="N5" i="1"/>
  <c r="AD70" i="12"/>
  <c r="G38" i="12"/>
  <c r="V1276" i="9"/>
  <c r="V1068" i="9"/>
  <c r="O7" i="10"/>
  <c r="L7" i="13"/>
  <c r="N23" i="10"/>
  <c r="L22" i="13"/>
  <c r="N10" i="10"/>
  <c r="L23" i="13"/>
  <c r="N22" i="10"/>
  <c r="L10" i="13"/>
  <c r="N9" i="10"/>
  <c r="L9" i="13"/>
  <c r="W70" i="12"/>
  <c r="AD38" i="12"/>
  <c r="R1332" i="9" l="1"/>
  <c r="S1332" i="9"/>
  <c r="Q1333" i="9"/>
  <c r="I70" i="12"/>
  <c r="L3" i="13"/>
  <c r="O4" i="10"/>
  <c r="L4" i="13"/>
  <c r="O3" i="10"/>
  <c r="N4" i="1"/>
  <c r="L3" i="12"/>
  <c r="N3" i="1"/>
  <c r="L4" i="12"/>
  <c r="I38" i="12"/>
  <c r="Q1334" i="9" l="1"/>
  <c r="R1333" i="9"/>
  <c r="S1333" i="9"/>
  <c r="Q1335" i="9" l="1"/>
  <c r="R1334" i="9"/>
  <c r="S1334" i="9"/>
  <c r="Q1336" i="9" l="1"/>
  <c r="S1335" i="9"/>
  <c r="R1335" i="9"/>
  <c r="R1336" i="9" l="1"/>
  <c r="S1336" i="9"/>
  <c r="Q1337" i="9"/>
  <c r="R1337" i="9" l="1"/>
  <c r="S1337" i="9"/>
  <c r="Q1338" i="9"/>
  <c r="Q1339" i="9" l="1"/>
  <c r="S1338" i="9"/>
  <c r="R1338" i="9"/>
  <c r="S1339" i="9" l="1"/>
  <c r="Q1340" i="9"/>
  <c r="R1339" i="9"/>
  <c r="R1340" i="9" l="1"/>
  <c r="S1340" i="9"/>
  <c r="Q1341" i="9"/>
  <c r="S1341" i="9" l="1"/>
  <c r="Q1342" i="9"/>
  <c r="R1341" i="9"/>
  <c r="R1342" i="9" l="1"/>
  <c r="S1342" i="9"/>
  <c r="Q1343" i="9"/>
  <c r="R1343" i="9" l="1"/>
  <c r="S1343" i="9"/>
  <c r="Q1344" i="9"/>
  <c r="Q1345" i="9" l="1"/>
  <c r="R1344" i="9"/>
  <c r="S1344" i="9"/>
  <c r="R1345" i="9" l="1"/>
  <c r="S1345" i="9"/>
  <c r="Q1346" i="9"/>
  <c r="R1346" i="9" l="1"/>
  <c r="Q1347" i="9"/>
  <c r="S1346" i="9"/>
  <c r="Q1348" i="9" l="1"/>
  <c r="R1347" i="9"/>
  <c r="S1347" i="9"/>
  <c r="R1348" i="9" l="1"/>
  <c r="S1348" i="9"/>
  <c r="Q1349" i="9"/>
  <c r="S1349" i="9" l="1"/>
  <c r="Q1350" i="9"/>
  <c r="R1349" i="9"/>
  <c r="R1350" i="9" l="1"/>
  <c r="S1350" i="9"/>
  <c r="Q1351" i="9"/>
  <c r="Q1352" i="9" l="1"/>
  <c r="S1351" i="9"/>
  <c r="R1351" i="9"/>
  <c r="S1352" i="9" l="1"/>
  <c r="Q1353" i="9"/>
  <c r="R1352" i="9"/>
  <c r="R1353" i="9" l="1"/>
  <c r="S1353" i="9"/>
  <c r="Q1354" i="9"/>
  <c r="R1354" i="9" l="1"/>
  <c r="S1354" i="9"/>
  <c r="Q1355" i="9"/>
  <c r="R1355" i="9" l="1"/>
  <c r="Q1356" i="9"/>
  <c r="S1355" i="9"/>
  <c r="Q1357" i="9" l="1"/>
  <c r="R1356" i="9"/>
  <c r="S1356" i="9"/>
  <c r="R1357" i="9" l="1"/>
  <c r="S1357" i="9"/>
  <c r="Q1358" i="9"/>
  <c r="Q1359" i="9" l="1"/>
  <c r="R1358" i="9"/>
  <c r="S1358" i="9"/>
  <c r="Q1360" i="9" l="1"/>
  <c r="S1359" i="9"/>
  <c r="R1359" i="9"/>
  <c r="Q1361" i="9" l="1"/>
  <c r="R1360" i="9"/>
  <c r="S1360" i="9"/>
  <c r="S1361" i="9" l="1"/>
  <c r="Q1362" i="9"/>
  <c r="R1361" i="9"/>
  <c r="Q1363" i="9" l="1"/>
  <c r="R1362" i="9"/>
  <c r="S1362" i="9"/>
  <c r="Q1364" i="9" l="1"/>
  <c r="R1363" i="9"/>
  <c r="S1363" i="9"/>
  <c r="S1364" i="9" l="1"/>
  <c r="R1364" i="9"/>
  <c r="Q1365" i="9"/>
  <c r="R1365" i="9" l="1"/>
  <c r="Q1366" i="9"/>
  <c r="S1365" i="9"/>
  <c r="Q1367" i="9" l="1"/>
  <c r="R1366" i="9"/>
  <c r="S1366" i="9"/>
  <c r="Q1368" i="9" l="1"/>
  <c r="R1367" i="9"/>
  <c r="S1367" i="9"/>
  <c r="S1368" i="9" l="1"/>
  <c r="Q1369" i="9"/>
  <c r="R1368" i="9"/>
  <c r="S1369" i="9" l="1"/>
  <c r="Q1370" i="9"/>
  <c r="R1369" i="9"/>
  <c r="Q1371" i="9" l="1"/>
  <c r="S1370" i="9"/>
  <c r="R1370" i="9"/>
  <c r="R1371" i="9" l="1"/>
  <c r="S1371" i="9"/>
  <c r="Q1372" i="9"/>
  <c r="Q1373" i="9" l="1"/>
  <c r="R1372" i="9"/>
  <c r="S1372" i="9"/>
  <c r="R1373" i="9" l="1"/>
  <c r="Q1374" i="9"/>
  <c r="S1373" i="9"/>
  <c r="Q1375" i="9" l="1"/>
  <c r="S1374" i="9"/>
  <c r="R1374" i="9"/>
  <c r="Q1376" i="9" l="1"/>
  <c r="R1375" i="9"/>
  <c r="S1375" i="9"/>
  <c r="S1376" i="9" l="1"/>
  <c r="Q1377" i="9"/>
  <c r="R1376" i="9"/>
  <c r="Q1378" i="9" l="1"/>
  <c r="R1377" i="9"/>
  <c r="S1377" i="9"/>
  <c r="Q1379" i="9" l="1"/>
  <c r="R1378" i="9"/>
  <c r="S1378" i="9"/>
  <c r="Q1380" i="9" l="1"/>
  <c r="R1379" i="9"/>
  <c r="S1379" i="9"/>
  <c r="R1380" i="9" l="1"/>
  <c r="S1380" i="9"/>
  <c r="Q1381" i="9"/>
  <c r="R1381" i="9" l="1"/>
  <c r="S1381" i="9"/>
  <c r="Q1382" i="9"/>
  <c r="Q1383" i="9" l="1"/>
  <c r="S1382" i="9"/>
  <c r="Z1291" i="9" s="1"/>
  <c r="R1382" i="9"/>
  <c r="R1383" i="9" l="1"/>
  <c r="M10" i="12" s="1" a="1"/>
  <c r="S1383" i="9"/>
  <c r="Q1384" i="9"/>
  <c r="M21" i="12" l="1"/>
  <c r="M18" i="13"/>
  <c r="M39" i="12"/>
  <c r="R18" i="1"/>
  <c r="R20" i="1"/>
  <c r="M19" i="13"/>
  <c r="Q39" i="12"/>
  <c r="T39" i="12"/>
  <c r="M21" i="13"/>
  <c r="M18" i="12"/>
  <c r="R21" i="1"/>
  <c r="R19" i="10"/>
  <c r="R19" i="1"/>
  <c r="R17" i="1"/>
  <c r="AA39" i="12"/>
  <c r="M16" i="13"/>
  <c r="M20" i="12"/>
  <c r="M17" i="12"/>
  <c r="R21" i="10"/>
  <c r="M20" i="13"/>
  <c r="M17" i="13"/>
  <c r="R18" i="10"/>
  <c r="J39" i="12"/>
  <c r="R17" i="10"/>
  <c r="R20" i="10"/>
  <c r="R16" i="10"/>
  <c r="R16" i="1"/>
  <c r="M19" i="12"/>
  <c r="X39" i="12"/>
  <c r="M16" i="12"/>
  <c r="R6" i="10"/>
  <c r="R7" i="10"/>
  <c r="M6" i="13"/>
  <c r="M5" i="13"/>
  <c r="M9" i="12" a="1"/>
  <c r="M9" i="12" s="1"/>
  <c r="M10" i="12"/>
  <c r="R5" i="10"/>
  <c r="M7" i="13"/>
  <c r="M23" i="12"/>
  <c r="R9" i="1" a="1"/>
  <c r="R9" i="1" s="1"/>
  <c r="R8" i="10"/>
  <c r="M8" i="13"/>
  <c r="R22" i="1"/>
  <c r="M22" i="12"/>
  <c r="R23" i="1"/>
  <c r="R10" i="1"/>
  <c r="M3" i="13"/>
  <c r="R4" i="10"/>
  <c r="M4" i="13"/>
  <c r="R3" i="10"/>
  <c r="Q1385" i="9"/>
  <c r="R1384" i="9"/>
  <c r="S1384" i="9"/>
  <c r="Q46" i="12" l="1"/>
  <c r="AA46" i="12"/>
  <c r="J46" i="12"/>
  <c r="C46" i="12" s="1"/>
  <c r="X46" i="12"/>
  <c r="M46" i="12"/>
  <c r="T46" i="12"/>
  <c r="F46" i="12" s="1"/>
  <c r="D15" i="16" s="1"/>
  <c r="C39" i="12"/>
  <c r="F39" i="12"/>
  <c r="S1385" i="9"/>
  <c r="R1385" i="9"/>
  <c r="Q1386" i="9"/>
  <c r="B15" i="16" l="1"/>
  <c r="F15" i="16" s="1"/>
  <c r="D8" i="16"/>
  <c r="R1386" i="9"/>
  <c r="S1386" i="9"/>
  <c r="Q1387" i="9"/>
  <c r="B8" i="16"/>
  <c r="F8" i="16" s="1"/>
  <c r="R1387" i="9" l="1"/>
  <c r="S1387" i="9"/>
  <c r="Q1388" i="9"/>
  <c r="R1388" i="9" l="1"/>
  <c r="S1388" i="9"/>
  <c r="Q1389" i="9"/>
  <c r="S1389" i="9" l="1"/>
  <c r="Q1390" i="9"/>
  <c r="R1389" i="9"/>
  <c r="Q1391" i="9" l="1"/>
  <c r="S1390" i="9"/>
  <c r="R1390" i="9"/>
  <c r="R1391" i="9" l="1"/>
  <c r="S1391" i="9"/>
  <c r="Q1392" i="9"/>
  <c r="S1392" i="9" l="1"/>
  <c r="Q1393" i="9"/>
  <c r="R1392" i="9"/>
  <c r="Y43" i="12"/>
  <c r="R43" i="12"/>
  <c r="N43" i="12"/>
  <c r="U43" i="12"/>
  <c r="K43" i="12"/>
  <c r="W43" i="12" l="1"/>
  <c r="P43" i="12"/>
  <c r="D43" i="12"/>
  <c r="R1393" i="9"/>
  <c r="S1393" i="9"/>
  <c r="Q1394" i="9"/>
  <c r="Q1395" i="9" l="1"/>
  <c r="R1394" i="9"/>
  <c r="S1394" i="9"/>
  <c r="S1395" i="9" l="1"/>
  <c r="Q1396" i="9"/>
  <c r="Q1397" i="9" s="1"/>
  <c r="R1395" i="9"/>
  <c r="AB46" i="12" l="1"/>
  <c r="N46" i="12"/>
  <c r="R46" i="12"/>
  <c r="U46" i="12"/>
  <c r="K46" i="12"/>
  <c r="Y46" i="12"/>
  <c r="AD46" i="12" s="1"/>
  <c r="Q1398" i="9"/>
  <c r="R1397" i="9"/>
  <c r="S1397" i="9"/>
  <c r="R1396" i="9"/>
  <c r="S1396" i="9"/>
  <c r="D46" i="12" l="1"/>
  <c r="P46" i="12"/>
  <c r="S1398" i="9"/>
  <c r="R1398" i="9"/>
  <c r="Q1399" i="9"/>
  <c r="W46" i="12"/>
  <c r="G46" i="12"/>
  <c r="Y1291" i="9"/>
  <c r="X1291" i="9"/>
  <c r="AA1291" i="9"/>
  <c r="W1291" i="9"/>
  <c r="AB1291" i="9"/>
  <c r="AB1383" i="9"/>
  <c r="Y1383" i="9"/>
  <c r="Z1383" i="9"/>
  <c r="X1383" i="9"/>
  <c r="W1383" i="9"/>
  <c r="AA1383" i="9"/>
  <c r="AB51" i="12"/>
  <c r="K51" i="12"/>
  <c r="Y51" i="12"/>
  <c r="N51" i="12"/>
  <c r="N48" i="12"/>
  <c r="U48" i="12"/>
  <c r="AB48" i="12"/>
  <c r="R48" i="12"/>
  <c r="K48" i="12"/>
  <c r="Y48" i="12"/>
  <c r="AD48" i="12" s="1"/>
  <c r="R51" i="12"/>
  <c r="U51" i="12"/>
  <c r="AB43" i="12"/>
  <c r="R1399" i="9" l="1"/>
  <c r="Q1400" i="9"/>
  <c r="S1399" i="9"/>
  <c r="I46" i="12"/>
  <c r="G48" i="12"/>
  <c r="W48" i="12"/>
  <c r="G51" i="12"/>
  <c r="W51" i="12"/>
  <c r="AD51" i="12"/>
  <c r="M5" i="12"/>
  <c r="R6" i="1"/>
  <c r="M6" i="12"/>
  <c r="R5" i="1"/>
  <c r="V1291" i="9"/>
  <c r="R7" i="1"/>
  <c r="M8" i="12"/>
  <c r="M7" i="12"/>
  <c r="R8" i="1"/>
  <c r="D51" i="12"/>
  <c r="I51" i="12" s="1"/>
  <c r="P51" i="12"/>
  <c r="R10" i="10"/>
  <c r="M10" i="13"/>
  <c r="M22" i="13"/>
  <c r="R23" i="10"/>
  <c r="M9" i="13"/>
  <c r="R22" i="10"/>
  <c r="M23" i="13"/>
  <c r="R9" i="10"/>
  <c r="AD43" i="12"/>
  <c r="G43" i="12"/>
  <c r="I43" i="12" s="1"/>
  <c r="P48" i="12"/>
  <c r="D48" i="12"/>
  <c r="I48" i="12" s="1"/>
  <c r="V1383" i="9"/>
  <c r="S1400" i="9" l="1"/>
  <c r="R1400" i="9"/>
  <c r="Q1401" i="9"/>
  <c r="R3" i="1"/>
  <c r="M4" i="12"/>
  <c r="R4" i="1"/>
  <c r="M3" i="12"/>
  <c r="R1401" i="9" l="1"/>
  <c r="Q1402" i="9"/>
  <c r="S1401" i="9"/>
  <c r="Q1403" i="9" l="1"/>
  <c r="R1402" i="9"/>
  <c r="S1402" i="9"/>
  <c r="S1403" i="9" l="1"/>
  <c r="Q1404" i="9"/>
  <c r="R1403" i="9"/>
  <c r="Q1405" i="9" l="1"/>
  <c r="R1404" i="9"/>
  <c r="S1404" i="9"/>
  <c r="Q1406" i="9" l="1"/>
  <c r="S1405" i="9"/>
  <c r="R1405" i="9"/>
  <c r="Q1407" i="9" l="1"/>
  <c r="S1406" i="9"/>
  <c r="R1406" i="9"/>
  <c r="R1407" i="9" l="1"/>
  <c r="Q1408" i="9"/>
  <c r="S1407" i="9"/>
  <c r="Q1409" i="9" l="1"/>
  <c r="R1408" i="9"/>
  <c r="S1408" i="9"/>
  <c r="K17" i="13"/>
  <c r="M45" i="12"/>
  <c r="K19" i="1"/>
  <c r="K16" i="13"/>
  <c r="J49" i="12"/>
  <c r="M49" i="12"/>
  <c r="K16" i="1"/>
  <c r="K21" i="13"/>
  <c r="Q49" i="12"/>
  <c r="Q45" i="12"/>
  <c r="K19" i="10"/>
  <c r="K18" i="1"/>
  <c r="K18" i="10"/>
  <c r="K20" i="13"/>
  <c r="K17" i="1"/>
  <c r="K17" i="12"/>
  <c r="K21" i="1"/>
  <c r="K19" i="13"/>
  <c r="K21" i="10"/>
  <c r="AA49" i="12"/>
  <c r="K21" i="12"/>
  <c r="K18" i="12"/>
  <c r="T45" i="12"/>
  <c r="X45" i="12"/>
  <c r="K19" i="12"/>
  <c r="K17" i="10"/>
  <c r="X49" i="12"/>
  <c r="K18" i="13"/>
  <c r="J45" i="12"/>
  <c r="AA45" i="12"/>
  <c r="AA55" i="12" s="1"/>
  <c r="AA72" i="12" s="1"/>
  <c r="T49" i="12"/>
  <c r="K16" i="12"/>
  <c r="K20" i="12"/>
  <c r="K20" i="1"/>
  <c r="K20" i="10"/>
  <c r="K16" i="10"/>
  <c r="T55" i="12" l="1"/>
  <c r="T72" i="12" s="1"/>
  <c r="Q55" i="12"/>
  <c r="Q72" i="12" s="1"/>
  <c r="F49" i="12"/>
  <c r="D18" i="16" s="1"/>
  <c r="F45" i="12"/>
  <c r="M55" i="12"/>
  <c r="M72" i="12" s="1"/>
  <c r="Q1410" i="9"/>
  <c r="S1409" i="9"/>
  <c r="R1409" i="9"/>
  <c r="C45" i="12"/>
  <c r="J55" i="12"/>
  <c r="J72" i="12" s="1"/>
  <c r="C49" i="12"/>
  <c r="B18" i="16" s="1"/>
  <c r="F18" i="16" s="1"/>
  <c r="X55" i="12"/>
  <c r="X72" i="12" s="1"/>
  <c r="D14" i="16" l="1"/>
  <c r="F55" i="12"/>
  <c r="F72" i="12" s="1"/>
  <c r="B14" i="16"/>
  <c r="F14" i="16" s="1"/>
  <c r="C55" i="12"/>
  <c r="C72" i="12" s="1"/>
  <c r="R1410" i="9"/>
  <c r="S1410" i="9"/>
  <c r="Q1411" i="9"/>
  <c r="S1411" i="9" l="1"/>
  <c r="R1411" i="9"/>
  <c r="Q1412" i="9"/>
  <c r="R1412" i="9" l="1"/>
  <c r="Q1413" i="9"/>
  <c r="S1412" i="9"/>
  <c r="S1413" i="9" l="1"/>
  <c r="Q1414" i="9"/>
  <c r="R1413" i="9"/>
  <c r="Q1415" i="9" l="1"/>
  <c r="R1414" i="9"/>
  <c r="S1414" i="9"/>
  <c r="S1415" i="9" l="1"/>
  <c r="Q1416" i="9"/>
  <c r="R1415" i="9"/>
  <c r="S1416" i="9" l="1"/>
  <c r="R1416" i="9"/>
  <c r="Q1417" i="9"/>
  <c r="R1417" i="9" l="1"/>
  <c r="S1417" i="9"/>
  <c r="Q1418" i="9"/>
  <c r="Q1419" i="9" l="1"/>
  <c r="R1418" i="9"/>
  <c r="S1418" i="9"/>
  <c r="Q1420" i="9" l="1"/>
  <c r="R1419" i="9"/>
  <c r="S1419" i="9"/>
  <c r="R1420" i="9" l="1"/>
  <c r="Q1421" i="9"/>
  <c r="S1420" i="9"/>
  <c r="S1421" i="9" l="1"/>
  <c r="R1421" i="9"/>
  <c r="Q1422" i="9"/>
  <c r="S1422" i="9" l="1"/>
  <c r="X1397" i="9" s="1"/>
  <c r="R1422" i="9"/>
  <c r="Q1423" i="9"/>
  <c r="R1423" i="9" l="1"/>
  <c r="Q1424" i="9"/>
  <c r="S1423" i="9"/>
  <c r="R1424" i="9" l="1"/>
  <c r="S1424" i="9"/>
  <c r="Q1425" i="9"/>
  <c r="Q1426" i="9" l="1"/>
  <c r="R1425" i="9"/>
  <c r="S1425" i="9"/>
  <c r="Q1427" i="9" l="1"/>
  <c r="R1426" i="9"/>
  <c r="S1426" i="9"/>
  <c r="R1427" i="9" l="1"/>
  <c r="S1427" i="9"/>
  <c r="Q1428" i="9"/>
  <c r="R1428" i="9" l="1"/>
  <c r="S1428" i="9"/>
  <c r="Q1429" i="9"/>
  <c r="Q1430" i="9" l="1"/>
  <c r="S1429" i="9"/>
  <c r="R1429" i="9"/>
  <c r="R1430" i="9" l="1"/>
  <c r="S1430" i="9"/>
  <c r="Q1431" i="9"/>
  <c r="Q1432" i="9" l="1"/>
  <c r="R1431" i="9"/>
  <c r="S1431" i="9"/>
  <c r="K45" i="12"/>
  <c r="U45" i="12"/>
  <c r="N45" i="12"/>
  <c r="R45" i="12"/>
  <c r="AB45" i="12"/>
  <c r="Y45" i="12"/>
  <c r="D45" i="12" l="1"/>
  <c r="P45" i="12"/>
  <c r="AD45" i="12"/>
  <c r="W45" i="12"/>
  <c r="G45" i="12"/>
  <c r="S1432" i="9"/>
  <c r="Q1433" i="9"/>
  <c r="R1432" i="9"/>
  <c r="S1433" i="9" l="1"/>
  <c r="R1433" i="9"/>
  <c r="Q1434" i="9"/>
  <c r="I45" i="12"/>
  <c r="S1434" i="9" l="1"/>
  <c r="Q1435" i="9"/>
  <c r="R1434" i="9"/>
  <c r="R1435" i="9" l="1"/>
  <c r="S1435" i="9"/>
  <c r="AA1079" i="9" l="1"/>
  <c r="X1079" i="9"/>
  <c r="Y1079" i="9"/>
  <c r="W1079" i="9"/>
  <c r="AB1079" i="9"/>
  <c r="Z1079" i="9"/>
  <c r="X1148" i="9"/>
  <c r="Z1148" i="9"/>
  <c r="W1148" i="9"/>
  <c r="Y1148" i="9"/>
  <c r="AA1148" i="9"/>
  <c r="AB1148" i="9"/>
  <c r="W1186" i="9"/>
  <c r="AA1186" i="9"/>
  <c r="Y1186" i="9"/>
  <c r="Z1186" i="9"/>
  <c r="AB1186" i="9"/>
  <c r="X1186" i="9"/>
  <c r="W1229" i="9"/>
  <c r="X1229" i="9"/>
  <c r="AB1229" i="9"/>
  <c r="Z1229" i="9"/>
  <c r="W1237" i="9"/>
  <c r="AB1237" i="9"/>
  <c r="Y1237" i="9"/>
  <c r="Z1237" i="9"/>
  <c r="X1237" i="9"/>
  <c r="AA1237" i="9"/>
  <c r="W1284" i="9"/>
  <c r="Z1284" i="9"/>
  <c r="AA1284" i="9"/>
  <c r="X1284" i="9"/>
  <c r="AB1284" i="9"/>
  <c r="Y1284" i="9"/>
  <c r="AB1296" i="9"/>
  <c r="W1296" i="9"/>
  <c r="Y1296" i="9"/>
  <c r="AA1296" i="9"/>
  <c r="X1296" i="9"/>
  <c r="Z1296" i="9"/>
  <c r="N10" i="12" s="1" a="1"/>
  <c r="N10" i="12" s="1"/>
  <c r="W1339" i="9"/>
  <c r="AA1339" i="9"/>
  <c r="X1339" i="9"/>
  <c r="Z1339" i="9"/>
  <c r="AB1339" i="9"/>
  <c r="Y1339" i="9"/>
  <c r="X1351" i="9"/>
  <c r="AA1351" i="9"/>
  <c r="AB1351" i="9"/>
  <c r="Z1351" i="9"/>
  <c r="W1351" i="9"/>
  <c r="Y1351" i="9"/>
  <c r="W1365" i="9"/>
  <c r="Y1365" i="9"/>
  <c r="Z1365" i="9"/>
  <c r="X1365" i="9"/>
  <c r="AB1365" i="9"/>
  <c r="AA1365" i="9"/>
  <c r="W1384" i="9"/>
  <c r="Y1384" i="9"/>
  <c r="Z1384" i="9"/>
  <c r="AB1384" i="9"/>
  <c r="AA1384" i="9"/>
  <c r="X1384" i="9"/>
  <c r="X1407" i="9"/>
  <c r="Y1407" i="9"/>
  <c r="AB1407" i="9"/>
  <c r="W1407" i="9"/>
  <c r="Z1407" i="9"/>
  <c r="AA1407" i="9"/>
  <c r="N7" i="13"/>
  <c r="N20" i="12"/>
  <c r="N18" i="13"/>
  <c r="N9" i="12" a="1"/>
  <c r="N9" i="12" s="1"/>
  <c r="W19" i="1"/>
  <c r="W21" i="1"/>
  <c r="W18" i="10"/>
  <c r="W17" i="1"/>
  <c r="W19" i="10"/>
  <c r="N21" i="12"/>
  <c r="N21" i="13"/>
  <c r="N16" i="13"/>
  <c r="W7" i="10"/>
  <c r="W23" i="1"/>
  <c r="N19" i="12"/>
  <c r="W20" i="10"/>
  <c r="W5" i="10"/>
  <c r="N5" i="13"/>
  <c r="W22" i="1"/>
  <c r="N20" i="13"/>
  <c r="W18" i="1"/>
  <c r="N17" i="13"/>
  <c r="N19" i="13"/>
  <c r="W16" i="1"/>
  <c r="W17" i="10"/>
  <c r="W8" i="10"/>
  <c r="N17" i="12"/>
  <c r="W10" i="1"/>
  <c r="W9" i="1" a="1"/>
  <c r="W9" i="1" s="1"/>
  <c r="N6" i="13"/>
  <c r="N23" i="12"/>
  <c r="N22" i="12"/>
  <c r="N18" i="12"/>
  <c r="N8" i="13"/>
  <c r="W20" i="1"/>
  <c r="W6" i="10"/>
  <c r="W16" i="10"/>
  <c r="W21" i="10"/>
  <c r="N16" i="12"/>
  <c r="AB49" i="12"/>
  <c r="Y49" i="12"/>
  <c r="AD49" i="12" s="1"/>
  <c r="N49" i="12"/>
  <c r="U49" i="12"/>
  <c r="R49" i="12"/>
  <c r="R39" i="12"/>
  <c r="U39" i="12"/>
  <c r="Y39" i="12"/>
  <c r="K39" i="12"/>
  <c r="N39" i="12"/>
  <c r="K49" i="12"/>
  <c r="AB39" i="12"/>
  <c r="AB55" i="12" s="1"/>
  <c r="AB72" i="12" s="1"/>
  <c r="V1148" i="9" l="1"/>
  <c r="G49" i="12"/>
  <c r="V1407" i="9"/>
  <c r="W7" i="1"/>
  <c r="W8" i="1"/>
  <c r="K22" i="12"/>
  <c r="K6" i="13"/>
  <c r="K6" i="10"/>
  <c r="K22" i="1"/>
  <c r="K9" i="12"/>
  <c r="K10" i="1"/>
  <c r="K10" i="12"/>
  <c r="K23" i="1"/>
  <c r="K23" i="12"/>
  <c r="K9" i="1"/>
  <c r="V1296" i="9"/>
  <c r="K8" i="10"/>
  <c r="K8" i="13"/>
  <c r="V1079" i="9"/>
  <c r="N7" i="12"/>
  <c r="N8" i="12"/>
  <c r="K8" i="12"/>
  <c r="K8" i="1"/>
  <c r="K7" i="1"/>
  <c r="K7" i="12"/>
  <c r="D49" i="12"/>
  <c r="I49" i="12" s="1"/>
  <c r="P49" i="12"/>
  <c r="N55" i="12"/>
  <c r="N72" i="12" s="1"/>
  <c r="G39" i="12"/>
  <c r="G55" i="12" s="1"/>
  <c r="G72" i="12" s="1"/>
  <c r="R55" i="12"/>
  <c r="R72" i="12" s="1"/>
  <c r="W39" i="12"/>
  <c r="D39" i="12"/>
  <c r="K55" i="12"/>
  <c r="K72" i="12" s="1"/>
  <c r="P39" i="12"/>
  <c r="W49" i="12"/>
  <c r="V1384" i="9"/>
  <c r="V1351" i="9"/>
  <c r="K7" i="10"/>
  <c r="K7" i="13"/>
  <c r="V1237" i="9"/>
  <c r="V1229" i="9"/>
  <c r="Y55" i="12"/>
  <c r="Y72" i="12" s="1"/>
  <c r="AD39" i="12"/>
  <c r="W9" i="10"/>
  <c r="W22" i="10"/>
  <c r="W23" i="10"/>
  <c r="W10" i="10"/>
  <c r="K5" i="13"/>
  <c r="K5" i="10"/>
  <c r="N6" i="12"/>
  <c r="N5" i="12"/>
  <c r="K6" i="1"/>
  <c r="K5" i="1"/>
  <c r="K6" i="12"/>
  <c r="K5" i="12"/>
  <c r="U55" i="12"/>
  <c r="U72" i="12" s="1"/>
  <c r="W6" i="1"/>
  <c r="W5" i="1"/>
  <c r="V1365" i="9"/>
  <c r="V1339" i="9"/>
  <c r="V1284" i="9"/>
  <c r="V1186" i="9"/>
  <c r="N22" i="13"/>
  <c r="N10" i="13"/>
  <c r="N9" i="13"/>
  <c r="N23" i="13"/>
  <c r="K9" i="13"/>
  <c r="K9" i="10"/>
  <c r="K23" i="10"/>
  <c r="K10" i="13"/>
  <c r="K10" i="10"/>
  <c r="K22" i="13"/>
  <c r="K23" i="13"/>
  <c r="K22" i="10"/>
  <c r="D55" i="12" l="1"/>
  <c r="D72" i="12" s="1"/>
  <c r="I39" i="12"/>
  <c r="I55" i="12" s="1"/>
  <c r="I72" i="12" s="1"/>
  <c r="K3" i="13"/>
  <c r="K4" i="10"/>
  <c r="K4" i="13"/>
  <c r="K3" i="10"/>
  <c r="N3" i="13"/>
  <c r="N4" i="13"/>
  <c r="W3" i="10"/>
  <c r="W4" i="10"/>
  <c r="AD55" i="12"/>
  <c r="AD72" i="12" s="1"/>
  <c r="AD35" i="12"/>
  <c r="W35" i="12"/>
  <c r="W55" i="12"/>
  <c r="W72" i="12" s="1"/>
  <c r="N4" i="12"/>
  <c r="N3" i="12"/>
  <c r="K3" i="12"/>
  <c r="K4" i="1"/>
  <c r="K3" i="1"/>
  <c r="K4" i="12"/>
  <c r="W3" i="1"/>
  <c r="W4" i="1"/>
  <c r="P35" i="12"/>
  <c r="P55" i="12"/>
  <c r="P72" i="12" s="1"/>
</calcChain>
</file>

<file path=xl/comments1.xml><?xml version="1.0" encoding="utf-8"?>
<comments xmlns="http://schemas.openxmlformats.org/spreadsheetml/2006/main">
  <authors>
    <author>Li, Xiaofang</author>
  </authors>
  <commentList>
    <comment ref="B37" authorId="0" shapeId="0">
      <text>
        <r>
          <rPr>
            <b/>
            <sz val="9"/>
            <color indexed="81"/>
            <rFont val="Tahoma"/>
            <family val="2"/>
          </rPr>
          <t>Li, Xiaofang:</t>
        </r>
        <r>
          <rPr>
            <sz val="9"/>
            <color indexed="81"/>
            <rFont val="Tahoma"/>
            <family val="2"/>
          </rPr>
          <t xml:space="preserve">
Q1 star</t>
        </r>
      </text>
    </comment>
    <comment ref="B45" authorId="0" shapeId="0">
      <text>
        <r>
          <rPr>
            <b/>
            <sz val="9"/>
            <color indexed="81"/>
            <rFont val="Tahoma"/>
            <family val="2"/>
          </rPr>
          <t>Li, Xiaofang:</t>
        </r>
        <r>
          <rPr>
            <sz val="9"/>
            <color indexed="81"/>
            <rFont val="Tahoma"/>
            <family val="2"/>
          </rPr>
          <t xml:space="preserve">
Q1 star</t>
        </r>
      </text>
    </comment>
    <comment ref="B49" authorId="0" shapeId="0">
      <text>
        <r>
          <rPr>
            <b/>
            <sz val="9"/>
            <color indexed="81"/>
            <rFont val="Tahoma"/>
            <family val="2"/>
          </rPr>
          <t>Li, Xiaofang:</t>
        </r>
        <r>
          <rPr>
            <sz val="9"/>
            <color indexed="81"/>
            <rFont val="Tahoma"/>
            <family val="2"/>
          </rPr>
          <t xml:space="preserve">
Q1 star</t>
        </r>
      </text>
    </comment>
  </commentList>
</comments>
</file>

<file path=xl/comments2.xml><?xml version="1.0" encoding="utf-8"?>
<comments xmlns="http://schemas.openxmlformats.org/spreadsheetml/2006/main">
  <authors>
    <author>Li, Xiaofang</author>
  </authors>
  <commentList>
    <comment ref="B7" authorId="0" shapeId="0">
      <text>
        <r>
          <rPr>
            <b/>
            <sz val="9"/>
            <color indexed="81"/>
            <rFont val="Tahoma"/>
            <family val="2"/>
          </rPr>
          <t>Li, Xiaofang:</t>
        </r>
        <r>
          <rPr>
            <sz val="9"/>
            <color indexed="81"/>
            <rFont val="Tahoma"/>
            <family val="2"/>
          </rPr>
          <t xml:space="preserve">
Q1 star</t>
        </r>
      </text>
    </comment>
    <comment ref="B15" authorId="0" shapeId="0">
      <text>
        <r>
          <rPr>
            <b/>
            <sz val="9"/>
            <color indexed="81"/>
            <rFont val="Tahoma"/>
            <family val="2"/>
          </rPr>
          <t>Li, Xiaofang:</t>
        </r>
        <r>
          <rPr>
            <sz val="9"/>
            <color indexed="81"/>
            <rFont val="Tahoma"/>
            <family val="2"/>
          </rPr>
          <t xml:space="preserve">
Q1 star</t>
        </r>
      </text>
    </comment>
    <comment ref="B19" authorId="0" shapeId="0">
      <text>
        <r>
          <rPr>
            <b/>
            <sz val="9"/>
            <color indexed="81"/>
            <rFont val="Tahoma"/>
            <family val="2"/>
          </rPr>
          <t>Li, Xiaofang:</t>
        </r>
        <r>
          <rPr>
            <sz val="9"/>
            <color indexed="81"/>
            <rFont val="Tahoma"/>
            <family val="2"/>
          </rPr>
          <t xml:space="preserve">
Q1 star</t>
        </r>
      </text>
    </comment>
  </commentList>
</comments>
</file>

<file path=xl/sharedStrings.xml><?xml version="1.0" encoding="utf-8"?>
<sst xmlns="http://schemas.openxmlformats.org/spreadsheetml/2006/main" count="12772" uniqueCount="4044">
  <si>
    <t>Kernel Patch Review Improvement Area</t>
  </si>
  <si>
    <t>Item</t>
  </si>
  <si>
    <t>Description</t>
  </si>
  <si>
    <t>Calculation</t>
  </si>
  <si>
    <t>Q1'16</t>
  </si>
  <si>
    <t>Q2'16</t>
  </si>
  <si>
    <t>Review-1 received/patch(times)</t>
  </si>
  <si>
    <t>(BJ Patch)</t>
  </si>
  <si>
    <t>Review-1 times received by each patch averagely</t>
  </si>
  <si>
    <t>Total review-1 times vs. Total merged patch #</t>
  </si>
  <si>
    <t>Review comments provided by BJ EE</t>
  </si>
  <si>
    <t>For BJ patches, % of review +1/-1 or comments contributed by BJ team</t>
  </si>
  <si>
    <t>Review+1/-1 or comments times given by BJ team vs. Total times given by BJ and FI for BJ patches</t>
  </si>
  <si>
    <t>Review-1 given/all Review-1 received</t>
  </si>
  <si>
    <t>For BJ patches, % of review-1 times given by BJ team</t>
  </si>
  <si>
    <t>Review-1 times given by BJ team vs. Total times given by BJ and FI for BJ patches</t>
  </si>
  <si>
    <t>Review comments given/all Review comments received</t>
  </si>
  <si>
    <t>(FI Patch)</t>
  </si>
  <si>
    <t>For FI patches, % of review +1/-1 or comments contributed by BJ team</t>
  </si>
  <si>
    <t>FI Patch # of Review+1/-1 or comments given by BJ team vs. Total FI patch number</t>
  </si>
  <si>
    <t>number</t>
  </si>
  <si>
    <t>AuthorGroup</t>
    <phoneticPr fontId="5" type="noConversion"/>
  </si>
  <si>
    <t>ReviewerGroup</t>
    <phoneticPr fontId="5" type="noConversion"/>
  </si>
  <si>
    <t>MERGED</t>
  </si>
  <si>
    <t>qingwu.zhang@intel.com</t>
  </si>
  <si>
    <t>Uploaded patch set 1.</t>
  </si>
  <si>
    <t>wei.w.sun@intel.com</t>
  </si>
  <si>
    <t>Patch Set 2: Code-Review+1</t>
  </si>
  <si>
    <t>jingzhi.yu@intel.com</t>
  </si>
  <si>
    <t>Uploaded patch set 2.</t>
  </si>
  <si>
    <t>wei.tao@intel.com</t>
  </si>
  <si>
    <t>Patch Set 4: Code-Review+1</t>
  </si>
  <si>
    <t>gang.a.hu@intel.com</t>
  </si>
  <si>
    <t>ukri.niemimuukko@intel.com</t>
  </si>
  <si>
    <t>weix.meng@intel.com</t>
  </si>
  <si>
    <t>haipingx.yang@intel.com</t>
  </si>
  <si>
    <t>ABANDONED</t>
  </si>
  <si>
    <t>Abandoned</t>
  </si>
  <si>
    <t>yunliang.ding@intel.com</t>
  </si>
  <si>
    <t>huitao.cao@intel.com</t>
  </si>
  <si>
    <t>Patch Set 1: Code-Review+1</t>
  </si>
  <si>
    <t>jarno.jakonen@intel.com</t>
  </si>
  <si>
    <t>Patch Set 2: Approver+1</t>
  </si>
  <si>
    <t>jukka.o.kaartinen@intel.com</t>
  </si>
  <si>
    <t>miguel.verdu@intel.com</t>
  </si>
  <si>
    <t>tuukka.toivonen@intel.com</t>
  </si>
  <si>
    <t>Patch Set 1: Validation-Android+1\n\nreceive smoke test</t>
  </si>
  <si>
    <t>Uploaded patch set 3: Patch Set 2 was rebased.</t>
  </si>
  <si>
    <t>Patch Set 3: Code-Review+1</t>
  </si>
  <si>
    <t>Uploaded patch set 4.</t>
  </si>
  <si>
    <t>lassi.i.vaatamoinen@intel.com</t>
  </si>
  <si>
    <t>shouyongx.xia@intel.com</t>
  </si>
  <si>
    <t>haiyang.zhu@intel.com</t>
  </si>
  <si>
    <t>shuguang.gong@intel.com</t>
  </si>
  <si>
    <t>hongjiang.a.zheng@intel.com</t>
  </si>
  <si>
    <t>liang.l.yang@intel.com</t>
  </si>
  <si>
    <t>shaopingx.zhu@intel.com</t>
  </si>
  <si>
    <t>Patch Set 4:\n\n(1 comment)</t>
  </si>
  <si>
    <t>Patch Set 1: Approver+1</t>
  </si>
  <si>
    <t>xiaozhou.liu@intel.com</t>
  </si>
  <si>
    <t>juha.alanen@intel.com</t>
  </si>
  <si>
    <t>john.mathew@intel.com</t>
  </si>
  <si>
    <t>Patch Set 2:\n\nPassed Klocwork code analyzing test. No CRITICAL issue in this patch. Auto reported by kwscan@psi-build5.bj.intel.com</t>
  </si>
  <si>
    <t>zongx.li@intel.com</t>
  </si>
  <si>
    <t>haiqiangx.yao@intel.com</t>
  </si>
  <si>
    <t>Uploaded patch set 2: Commit message was updated.</t>
  </si>
  <si>
    <t>bingbu.cao@intel.com</t>
  </si>
  <si>
    <t>Patch Set 1:\n\nPassed Klocwork code analyzing test. No CRITICAL issue in this patch. Auto reported by kwscan@psi-build5.bj.intel.com</t>
  </si>
  <si>
    <t>hongbiao.xie@intel.com</t>
  </si>
  <si>
    <t>arnaud.mandy@intel.com</t>
  </si>
  <si>
    <t>antti.laakso@intel.com</t>
  </si>
  <si>
    <t>tian.shu.qiu@intel.com</t>
  </si>
  <si>
    <t>bin.b.yang@intel.com</t>
  </si>
  <si>
    <t>fang.c.wang@intel.com</t>
  </si>
  <si>
    <t>jing.tao@intel.com</t>
  </si>
  <si>
    <t>jie.j.zhang@intel.com</t>
  </si>
  <si>
    <t>kalervo.kontola@intel.com</t>
  </si>
  <si>
    <t>hongyu.yi@intel.com</t>
  </si>
  <si>
    <t>kaisa.taipale@intel.com</t>
  </si>
  <si>
    <t>anttu.koski@intel.com</t>
  </si>
  <si>
    <t>remy.bohmer@intel.com</t>
  </si>
  <si>
    <t>kai.vehmanen@intel.com</t>
  </si>
  <si>
    <t>zaikuo.wang@intel.com</t>
  </si>
  <si>
    <t>juha.haapakorpi@intel.com</t>
  </si>
  <si>
    <t>vied-viedandr-linux_drivers</t>
  </si>
  <si>
    <t>Patch Set 1:\n\nPatchset Created: CI job has been scheduled.</t>
  </si>
  <si>
    <t>samu.onkalo@intel.com</t>
  </si>
  <si>
    <t>Patch Set 1: Integrator+1\n\nIntegrator +1; patch will be add to PT; please no change now</t>
  </si>
  <si>
    <t>Patch Set 1:\n\nPassed Klocwork code analyzing test. No CRITICAL issue in this patch. Auto reported by kwscan@andr-val-srv0.bj.intel.com</t>
  </si>
  <si>
    <t>Patch Set 1:\n\nPassed Klocwork code analyzing test. No CRITICAL issue in this patch. Auto reported by kwscan@kw-srv2.bj.intel.com</t>
  </si>
  <si>
    <t>Patch Set 1: Code-Review+1\n\nPassed PIT; ready for merge</t>
  </si>
  <si>
    <t>sakari.ailus@intel.com</t>
  </si>
  <si>
    <t>Patch Set 2:\n\nPatchset Created: CI job has been scheduled.</t>
  </si>
  <si>
    <t>Patch Set 2: Integrator+1\n\nIntegrator +1; patch will be add to PT; please no change now</t>
  </si>
  <si>
    <t>Patch Set 2:\n\nPassed Klocwork code analyzing test. No CRITICAL issue in this patch. Auto reported by kwscan@andr-val-srv0.bj.intel.com</t>
  </si>
  <si>
    <t>Patch Set 2:\n\nPassed Klocwork code analyzing test. No CRITICAL issue in this patch. Auto reported by kwscan@kw-srv2.bj.intel.com</t>
  </si>
  <si>
    <t>Patch Set 2: Code-Review+1\n\nPassed PIT; ready for merge</t>
  </si>
  <si>
    <t>jian.xu.zheng@intel.com</t>
  </si>
  <si>
    <t>Patch Set 3:\n\nPatchset Created: CI job has been scheduled.</t>
  </si>
  <si>
    <t>jouni.hogander@intel.com</t>
  </si>
  <si>
    <t>Patch Set 4:\n\nPatchset Created: CI job has been scheduled.</t>
  </si>
  <si>
    <t>vinod.govindapillai@intel.com</t>
  </si>
  <si>
    <t>sambathkumarx.chandrasekaran@intel.com</t>
  </si>
  <si>
    <t>jouni.ukkonen@intel.com</t>
  </si>
  <si>
    <t>tommi.franttila@intel.com</t>
  </si>
  <si>
    <t>alejandro.bustani.martinez@intel.com</t>
  </si>
  <si>
    <t>kamalanathan.ramamoorthy@intel.com</t>
  </si>
  <si>
    <t>mingda.xu@intel.com</t>
  </si>
  <si>
    <t>gandhimathi.anand@intel.com</t>
  </si>
  <si>
    <t>saija.sorsa@intel.com</t>
  </si>
  <si>
    <t>dongdong.zhang@intel.com</t>
  </si>
  <si>
    <t>fan.f.yang@intel.com</t>
  </si>
  <si>
    <t>gerben.essink@intel.com</t>
  </si>
  <si>
    <t>xia.wu@intel.com</t>
  </si>
  <si>
    <t>janne.kotka@intel.com</t>
  </si>
  <si>
    <t>wei.l.li@intel.com</t>
  </si>
  <si>
    <t>kriti.pachhandara@intel.com</t>
  </si>
  <si>
    <t>matias.lehtinen@intel.com</t>
  </si>
  <si>
    <t>manish.agrawal@intel.com</t>
  </si>
  <si>
    <t>michiel.tromp@intel.com</t>
  </si>
  <si>
    <t>peng.qiao@intel.com</t>
  </si>
  <si>
    <t>emre.gozek@intel.com</t>
  </si>
  <si>
    <t>teemu.tuominen@intel.com</t>
  </si>
  <si>
    <t>kashyap.nanavati@intel.com</t>
  </si>
  <si>
    <t>yunchu.lee@intel.com</t>
  </si>
  <si>
    <t>sungeun.kim@intel.com</t>
  </si>
  <si>
    <t>hyunback.kim@intel.com</t>
  </si>
  <si>
    <t>anna.dvinsky@intel.com</t>
  </si>
  <si>
    <t>nael.masalha@intel.com</t>
  </si>
  <si>
    <t>moshe.yosevshvili@intel.com</t>
  </si>
  <si>
    <t>michal.burstein@intel.com</t>
  </si>
  <si>
    <t>lana.salameh@intel.com</t>
  </si>
  <si>
    <t>reut.maor@intel.com</t>
  </si>
  <si>
    <t>aziz.muammar@intel.com</t>
  </si>
  <si>
    <t>alexander.gantman@intel.com</t>
  </si>
  <si>
    <t>zhimingx.j.xue@intel.com</t>
  </si>
  <si>
    <t>vied_sc_w@intel.com</t>
  </si>
  <si>
    <t>srinivasanx.thillaikumar@intel.com</t>
  </si>
  <si>
    <t>mordehay.shahar@intel.com</t>
  </si>
  <si>
    <t>anan.marie@intel.com</t>
  </si>
  <si>
    <t>oren.bessudo@intel.com</t>
  </si>
  <si>
    <t>Regular Intel Employee</t>
  </si>
  <si>
    <t>Blue</t>
  </si>
  <si>
    <t>XU</t>
  </si>
  <si>
    <t>HONG</t>
  </si>
  <si>
    <t>XU, HONG</t>
  </si>
  <si>
    <t>hongxu</t>
  </si>
  <si>
    <t>simon.xu@intel.com</t>
  </si>
  <si>
    <t>SARAF</t>
  </si>
  <si>
    <t>RICHA</t>
  </si>
  <si>
    <t>SARAF, RICHA</t>
  </si>
  <si>
    <t>rsaraf</t>
  </si>
  <si>
    <t>richa.saraf@intel.com</t>
  </si>
  <si>
    <t>PATIL</t>
  </si>
  <si>
    <t>NEHA</t>
  </si>
  <si>
    <t>PATIL, NEHA S</t>
  </si>
  <si>
    <t>nspatil</t>
  </si>
  <si>
    <t>neha.s.patil@intel.com</t>
  </si>
  <si>
    <t>AYYAMANI</t>
  </si>
  <si>
    <t>ASHOK</t>
  </si>
  <si>
    <t>AYYAMANI, ASHOK</t>
  </si>
  <si>
    <t>aayyaman</t>
  </si>
  <si>
    <t>ashok.ayyamani@intel.com</t>
  </si>
  <si>
    <t>GOSANGI</t>
  </si>
  <si>
    <t>SREENIVASULU</t>
  </si>
  <si>
    <t>GOSANGI, SREENIVASULU</t>
  </si>
  <si>
    <t>gosangis</t>
  </si>
  <si>
    <t>srini.gosangi@intel.com</t>
  </si>
  <si>
    <t>GANDRA</t>
  </si>
  <si>
    <t>CHAITANYA</t>
  </si>
  <si>
    <t>GANDRA, CHAITANYA R</t>
  </si>
  <si>
    <t>cgandra</t>
  </si>
  <si>
    <t>chaitanya.r.gandra@intel.com</t>
  </si>
  <si>
    <t>WAISBORT</t>
  </si>
  <si>
    <t>OFIR</t>
  </si>
  <si>
    <t>WAISBORT, OFIR</t>
  </si>
  <si>
    <t>ofirw</t>
  </si>
  <si>
    <t>ofir.waisbort@intel.com</t>
  </si>
  <si>
    <t>VAN GURP</t>
  </si>
  <si>
    <t>JACCO</t>
  </si>
  <si>
    <t>VAN GURP, JACCO</t>
  </si>
  <si>
    <t>jvangurp</t>
  </si>
  <si>
    <t>jacco.van.gurp@intel.com</t>
  </si>
  <si>
    <t>WARMERDAM</t>
  </si>
  <si>
    <t>KEVIN</t>
  </si>
  <si>
    <t>WARMERDAM, KEVIN</t>
  </si>
  <si>
    <t>kwarmerd</t>
  </si>
  <si>
    <t>kevin.warmerdam@intel.com</t>
  </si>
  <si>
    <t>VERSTEGEN</t>
  </si>
  <si>
    <t>TWAN</t>
  </si>
  <si>
    <t>VERSTEGEN, TWAN</t>
  </si>
  <si>
    <t>tversteg</t>
  </si>
  <si>
    <t>twan.verstegen@intel.com</t>
  </si>
  <si>
    <t>VENIERO</t>
  </si>
  <si>
    <t>ANTONIO</t>
  </si>
  <si>
    <t>VENIERO, ANTONIO</t>
  </si>
  <si>
    <t>aveniero</t>
  </si>
  <si>
    <t>antonio.veniero@intel.com</t>
  </si>
  <si>
    <t>MASTROGEORGOPOULOS</t>
  </si>
  <si>
    <t>CHARALAMPOS</t>
  </si>
  <si>
    <t>MASTROGEORGOPOULOS, CHARALAMPOS</t>
  </si>
  <si>
    <t>cmastrog</t>
  </si>
  <si>
    <t>charalampos.mastrogeorgopoulos@intel.com</t>
  </si>
  <si>
    <t>GOZEK</t>
  </si>
  <si>
    <t>ADIL EMRE</t>
  </si>
  <si>
    <t>GOZEK, ADIL EMRE</t>
  </si>
  <si>
    <t>aegozek</t>
  </si>
  <si>
    <t>ESSINK</t>
  </si>
  <si>
    <t>GERBEN</t>
  </si>
  <si>
    <t>ESSINK, GERBEN</t>
  </si>
  <si>
    <t>gessink</t>
  </si>
  <si>
    <t>COBELENS</t>
  </si>
  <si>
    <t>BORIS</t>
  </si>
  <si>
    <t>COBELENS, BORIS</t>
  </si>
  <si>
    <t>bcobelen</t>
  </si>
  <si>
    <t>boris.cobelens@intel.com</t>
  </si>
  <si>
    <t>BUSTANI MARTINEZ</t>
  </si>
  <si>
    <t>ALEJANDRO</t>
  </si>
  <si>
    <t>BUSTANI MARTINEZ, ALEJANDRO</t>
  </si>
  <si>
    <t>abustani</t>
  </si>
  <si>
    <t>VAN GASSEL</t>
  </si>
  <si>
    <t>ROB</t>
  </si>
  <si>
    <t>VAN GASSEL, ROB</t>
  </si>
  <si>
    <t>rvangass</t>
  </si>
  <si>
    <t>rob.van.gassel@intel.com</t>
  </si>
  <si>
    <t>NAOUAR</t>
  </si>
  <si>
    <t>SAMY</t>
  </si>
  <si>
    <t>NAOUAR, SAMY</t>
  </si>
  <si>
    <t>snaouar</t>
  </si>
  <si>
    <t>samy.naouar@intel.com</t>
  </si>
  <si>
    <t>YE</t>
  </si>
  <si>
    <t>ZHENYU</t>
  </si>
  <si>
    <t>YE, ZHENYU</t>
  </si>
  <si>
    <t>zhenyuye</t>
  </si>
  <si>
    <t>zhenyu.ye@intel.com</t>
  </si>
  <si>
    <t>TADDESSE</t>
  </si>
  <si>
    <t>FASIL</t>
  </si>
  <si>
    <t>TADDESSE, FASIL</t>
  </si>
  <si>
    <t>ftaddess</t>
  </si>
  <si>
    <t>fasil.taddesse@intel.com</t>
  </si>
  <si>
    <t>REDA</t>
  </si>
  <si>
    <t>MUEZ</t>
  </si>
  <si>
    <t>REDA, MUEZ B</t>
  </si>
  <si>
    <t>mbreda</t>
  </si>
  <si>
    <t>muez.reda@intel.com</t>
  </si>
  <si>
    <t>MATHEWS</t>
  </si>
  <si>
    <t>DINIL</t>
  </si>
  <si>
    <t>MATHEWS, DINIL</t>
  </si>
  <si>
    <t>dmathews</t>
  </si>
  <si>
    <t>dinil.mathews@intel.com</t>
  </si>
  <si>
    <t>KUPPUSAMY</t>
  </si>
  <si>
    <t>JEEVARATHNAM</t>
  </si>
  <si>
    <t>KUPPUSAMY, JEEVARATHNAM</t>
  </si>
  <si>
    <t>jeevarat</t>
  </si>
  <si>
    <t>jeevarathnam.kuppusamy@intel.com</t>
  </si>
  <si>
    <t>HILKENS</t>
  </si>
  <si>
    <t>RICK</t>
  </si>
  <si>
    <t>HILKENS, RICK</t>
  </si>
  <si>
    <t>rhilkens</t>
  </si>
  <si>
    <t>rick.hilkens@intel.com</t>
  </si>
  <si>
    <t>HALDAR</t>
  </si>
  <si>
    <t>ARPAN</t>
  </si>
  <si>
    <t>HALDAR, ARPAN</t>
  </si>
  <si>
    <t>ahaldar</t>
  </si>
  <si>
    <t>arpan.haldar@intel.com</t>
  </si>
  <si>
    <t>DOZIC</t>
  </si>
  <si>
    <t>GORAN</t>
  </si>
  <si>
    <t>DOZIC, GORAN</t>
  </si>
  <si>
    <t>gdozic</t>
  </si>
  <si>
    <t>goran.dozic@intel.com</t>
  </si>
  <si>
    <t>DIJKSTRA</t>
  </si>
  <si>
    <t>HARRY</t>
  </si>
  <si>
    <t>DIJKSTRA, HARRY</t>
  </si>
  <si>
    <t>hdijkstr</t>
  </si>
  <si>
    <t>harry.dijkstra@intel.com</t>
  </si>
  <si>
    <t>DAHLAN</t>
  </si>
  <si>
    <t>BASSILIO</t>
  </si>
  <si>
    <t>DAHLAN, BASSILIO</t>
  </si>
  <si>
    <t>bdahlan</t>
  </si>
  <si>
    <t>bassilio.dahlan@intel.com</t>
  </si>
  <si>
    <t>CHADHA</t>
  </si>
  <si>
    <t>SACHIN</t>
  </si>
  <si>
    <t>CHADHA, SACHIN S</t>
  </si>
  <si>
    <t>sschadha</t>
  </si>
  <si>
    <t>sachin.chadha@intel.com</t>
  </si>
  <si>
    <t>KAIJSER</t>
  </si>
  <si>
    <t>LARS</t>
  </si>
  <si>
    <t>KAIJSER, LARS A</t>
  </si>
  <si>
    <t>lakaijse</t>
  </si>
  <si>
    <t>lars.a.kaijser@intel.com</t>
  </si>
  <si>
    <t>BOOGERS</t>
  </si>
  <si>
    <t>JULES</t>
  </si>
  <si>
    <t>BOOGERS, JULES</t>
  </si>
  <si>
    <t>jboogers</t>
  </si>
  <si>
    <t>jules.boogers@intel.com</t>
  </si>
  <si>
    <t>VON OERTHEL</t>
  </si>
  <si>
    <t>JURGEN</t>
  </si>
  <si>
    <t>VON OERTHEL, JURGEN</t>
  </si>
  <si>
    <t>joerthel</t>
  </si>
  <si>
    <t>jurgen.von.oerthel@intel.com</t>
  </si>
  <si>
    <t>other</t>
  </si>
  <si>
    <t>WANG</t>
  </si>
  <si>
    <t>XIAOLING</t>
  </si>
  <si>
    <t>WANG, XIAOLING</t>
  </si>
  <si>
    <t>xiaolin2</t>
  </si>
  <si>
    <t>xiaoling1.wang@intel.com</t>
  </si>
  <si>
    <t>SEGAN</t>
  </si>
  <si>
    <t>DALIBOR</t>
  </si>
  <si>
    <t>SEGAN, DALIBOR</t>
  </si>
  <si>
    <t>dsegan</t>
  </si>
  <si>
    <t>dalibor.segan@intel.com</t>
  </si>
  <si>
    <t>MARQUEZ</t>
  </si>
  <si>
    <t>ANDRES</t>
  </si>
  <si>
    <t>MARQUEZ, ANDRES F</t>
  </si>
  <si>
    <t>afmarque</t>
  </si>
  <si>
    <t>andres.f.marquez@intel.com</t>
  </si>
  <si>
    <t>LI</t>
  </si>
  <si>
    <t>BOYANG</t>
  </si>
  <si>
    <t>LI, BOYANG</t>
  </si>
  <si>
    <t>boyangli</t>
  </si>
  <si>
    <t>boyang.li@intel.com</t>
  </si>
  <si>
    <t>IYER</t>
  </si>
  <si>
    <t>MRINALINI</t>
  </si>
  <si>
    <t>IYER, MRINALINI</t>
  </si>
  <si>
    <t>iyermrin</t>
  </si>
  <si>
    <t>mrinalini.iyer@intel.com</t>
  </si>
  <si>
    <t>CHEN</t>
  </si>
  <si>
    <t>YONGSHENG</t>
  </si>
  <si>
    <t>CHEN, YONGSHENG</t>
  </si>
  <si>
    <t>yongshen</t>
  </si>
  <si>
    <t>yongsheng.chen@intel.com</t>
  </si>
  <si>
    <t>BHATKAR</t>
  </si>
  <si>
    <t>AMOL</t>
  </si>
  <si>
    <t>BHATKAR, AMOL</t>
  </si>
  <si>
    <t>amolbhat</t>
  </si>
  <si>
    <t>amol.bhatkar@intel.com</t>
  </si>
  <si>
    <t>AGARWAL</t>
  </si>
  <si>
    <t>MANVI</t>
  </si>
  <si>
    <t>AGARWAL, MANVI</t>
  </si>
  <si>
    <t>manviaga</t>
  </si>
  <si>
    <t>manvi.agarwal@intel.com</t>
  </si>
  <si>
    <t>PANTIC</t>
  </si>
  <si>
    <t>ZDRAVKO</t>
  </si>
  <si>
    <t>PANTIC, ZDRAVKO</t>
  </si>
  <si>
    <t>zpantic</t>
  </si>
  <si>
    <t>zdravko.pantic@intel.com</t>
  </si>
  <si>
    <t>MATHEW</t>
  </si>
  <si>
    <t>ROBBIN</t>
  </si>
  <si>
    <t>MATHEW, ROBBIN</t>
  </si>
  <si>
    <t>rmathew1</t>
  </si>
  <si>
    <t>robbin.mathew@intel.com</t>
  </si>
  <si>
    <t>WU</t>
  </si>
  <si>
    <t>IRENE</t>
  </si>
  <si>
    <t>WU, IRENE W</t>
  </si>
  <si>
    <t>iwwu</t>
  </si>
  <si>
    <t>irene.w.wu@intel.com</t>
  </si>
  <si>
    <t>WASU</t>
  </si>
  <si>
    <t>AVIJIT</t>
  </si>
  <si>
    <t>WASU, AVIJIT S</t>
  </si>
  <si>
    <t>aswasu</t>
  </si>
  <si>
    <t>avijit.s.wasu@intel.com</t>
  </si>
  <si>
    <t>VISONTAI</t>
  </si>
  <si>
    <t>ARON</t>
  </si>
  <si>
    <t>VISONTAI, ARON</t>
  </si>
  <si>
    <t>avisonta</t>
  </si>
  <si>
    <t>VAN IMMERZEEL</t>
  </si>
  <si>
    <t>RONALD</t>
  </si>
  <si>
    <t>VAN IMMERZEEL, RONALD</t>
  </si>
  <si>
    <t>rvanimme</t>
  </si>
  <si>
    <t>ronald.van.immerzeel@intel.com</t>
  </si>
  <si>
    <t>SRINIVAS</t>
  </si>
  <si>
    <t>ALLA</t>
  </si>
  <si>
    <t>asrini4</t>
  </si>
  <si>
    <t>alla.srinivas@intel.com</t>
  </si>
  <si>
    <t>SINGH</t>
  </si>
  <si>
    <t>ASHISH</t>
  </si>
  <si>
    <t>SINGH, ASHISH</t>
  </si>
  <si>
    <t>singhash</t>
  </si>
  <si>
    <t>ashish1.singh@intel.com</t>
  </si>
  <si>
    <t>Outsourced Worker</t>
  </si>
  <si>
    <t>Green</t>
  </si>
  <si>
    <t>PAYAN</t>
  </si>
  <si>
    <t>ROBERT</t>
  </si>
  <si>
    <t>PAYAN, ROBERT E</t>
  </si>
  <si>
    <t>repayanx</t>
  </si>
  <si>
    <t>robertx.e.payan@intel.com</t>
  </si>
  <si>
    <t>PANDYA</t>
  </si>
  <si>
    <t>BIRAL</t>
  </si>
  <si>
    <t>PANDYA, BIRAL S</t>
  </si>
  <si>
    <t>bpandya</t>
  </si>
  <si>
    <t>biral.pandya@intel.com</t>
  </si>
  <si>
    <t>MALLIREDDY</t>
  </si>
  <si>
    <t>PANDURANGA REDDY</t>
  </si>
  <si>
    <t>MALLIREDDY, PANDURANGA REDDY</t>
  </si>
  <si>
    <t>pmallirx</t>
  </si>
  <si>
    <t>panduranga.reddyx.mallireddy@intel.com</t>
  </si>
  <si>
    <t>MADAPARAMBIL</t>
  </si>
  <si>
    <t>KRISHNA</t>
  </si>
  <si>
    <t>MADAPARAMBIL, KRISHNA K</t>
  </si>
  <si>
    <t>kkmadapa</t>
  </si>
  <si>
    <t>krishna.k.madaparambil@intel.com</t>
  </si>
  <si>
    <t>LAKSHMINARASIMHAN RAVI</t>
  </si>
  <si>
    <t>RANGARAJAN</t>
  </si>
  <si>
    <t>LAKSHMINARASIMHAN RAVI, RANGARAJAN</t>
  </si>
  <si>
    <t>rlakshm1</t>
  </si>
  <si>
    <t>rangarajan.lakshminarasimhan.ravi@intel.com</t>
  </si>
  <si>
    <t>KIM</t>
  </si>
  <si>
    <t>DOWAN</t>
  </si>
  <si>
    <t>KIM, DOWAN</t>
  </si>
  <si>
    <t>dkim114</t>
  </si>
  <si>
    <t>dowan.kim@intel.com</t>
  </si>
  <si>
    <t>JAIN</t>
  </si>
  <si>
    <t>NAVEEN</t>
  </si>
  <si>
    <t>JAIN, NAVEEN</t>
  </si>
  <si>
    <t>naveenjx</t>
  </si>
  <si>
    <t>naveenx.jain@intel.com</t>
  </si>
  <si>
    <t>HE</t>
  </si>
  <si>
    <t>XIAOYING</t>
  </si>
  <si>
    <t>HE, XIAOYING</t>
  </si>
  <si>
    <t>jxhe</t>
  </si>
  <si>
    <t>janet.he@intel.com</t>
  </si>
  <si>
    <t>HALLI</t>
  </si>
  <si>
    <t>MANJUNATHA</t>
  </si>
  <si>
    <t>HALLI, MANJUNATHA</t>
  </si>
  <si>
    <t>mhallix</t>
  </si>
  <si>
    <t>manjunathax.halli@intel.com</t>
  </si>
  <si>
    <t>GUDIVADA</t>
  </si>
  <si>
    <t>TIRUMALESWARARAO</t>
  </si>
  <si>
    <t>GUDIVADA, TIRUMALESWARARAO</t>
  </si>
  <si>
    <t>tgudivax</t>
  </si>
  <si>
    <t>tirumaleswararaox.gudivada@intel.com</t>
  </si>
  <si>
    <t>GEE</t>
  </si>
  <si>
    <t>CARY</t>
  </si>
  <si>
    <t>GEE, CARY J</t>
  </si>
  <si>
    <t>cjgee</t>
  </si>
  <si>
    <t>cary.j.gee@intel.com</t>
  </si>
  <si>
    <t>DELANEY</t>
  </si>
  <si>
    <t>PETE</t>
  </si>
  <si>
    <t>DELANEY, PETE</t>
  </si>
  <si>
    <t>petedelx</t>
  </si>
  <si>
    <t>petex.delaney@intel.com</t>
  </si>
  <si>
    <t>CHU</t>
  </si>
  <si>
    <t>MICHAEL</t>
  </si>
  <si>
    <t>CHU, MICHAEL</t>
  </si>
  <si>
    <t>chumicha</t>
  </si>
  <si>
    <t>michael.chu@intel.com</t>
  </si>
  <si>
    <t>KUMAR</t>
  </si>
  <si>
    <t>VIVEK</t>
  </si>
  <si>
    <t>KUMAR, VIVEK</t>
  </si>
  <si>
    <t>vkumar2</t>
  </si>
  <si>
    <t>v.kumar@intel.com</t>
  </si>
  <si>
    <t>ZHU</t>
  </si>
  <si>
    <t>XUEZHEN</t>
  </si>
  <si>
    <t>ZHU, XUEZHEN</t>
  </si>
  <si>
    <t>xuezhenz</t>
  </si>
  <si>
    <t>xuezhen.zhu@intel.com</t>
  </si>
  <si>
    <t>ZHAO</t>
  </si>
  <si>
    <t>LEIFU</t>
  </si>
  <si>
    <t>ZHAO, LEIFU</t>
  </si>
  <si>
    <t>lzhao61</t>
  </si>
  <si>
    <t>leifu.zhao@intel.com</t>
  </si>
  <si>
    <t>SHUANG</t>
  </si>
  <si>
    <t>XU, SHUANG</t>
  </si>
  <si>
    <t>shuangxu</t>
  </si>
  <si>
    <t>shuang.xu@intel.com</t>
  </si>
  <si>
    <t>RENWEI</t>
  </si>
  <si>
    <t>WU, RENWEI</t>
  </si>
  <si>
    <t>renweiwu</t>
  </si>
  <si>
    <t>renwei.wu@intel.com</t>
  </si>
  <si>
    <t>YANYAN</t>
  </si>
  <si>
    <t>LI, YANYAN</t>
  </si>
  <si>
    <t>yanyanli</t>
  </si>
  <si>
    <t>yanyan.li@intel.com</t>
  </si>
  <si>
    <t>JIANG</t>
  </si>
  <si>
    <t>KUN</t>
  </si>
  <si>
    <t>JIANG, KUN</t>
  </si>
  <si>
    <t>kunjiang</t>
  </si>
  <si>
    <t>kun.jiang@intel.com</t>
  </si>
  <si>
    <t>HU</t>
  </si>
  <si>
    <t>WEI</t>
  </si>
  <si>
    <t>HU, WEI</t>
  </si>
  <si>
    <t>whu1</t>
  </si>
  <si>
    <t>jerry.w.hu@intel.com</t>
  </si>
  <si>
    <t>GUPTA</t>
  </si>
  <si>
    <t>VIKAS</t>
  </si>
  <si>
    <t>GUPTA, VIKAS</t>
  </si>
  <si>
    <t>vgupta3</t>
  </si>
  <si>
    <t>vikas.gupta@intel.com</t>
  </si>
  <si>
    <t>CHENG</t>
  </si>
  <si>
    <t>YAO</t>
  </si>
  <si>
    <t>CHENG, YAO</t>
  </si>
  <si>
    <t>chengyao</t>
  </si>
  <si>
    <t>yao.cheng@intel.com</t>
  </si>
  <si>
    <t>UPADHYAY</t>
  </si>
  <si>
    <t>HIREN</t>
  </si>
  <si>
    <t>UPADHYAY, HIREN</t>
  </si>
  <si>
    <t>hupadhya</t>
  </si>
  <si>
    <t>hiren.upadhyay@intel.com</t>
  </si>
  <si>
    <t>Val</t>
  </si>
  <si>
    <t>Student Hire Employee</t>
  </si>
  <si>
    <t>YUWEI</t>
  </si>
  <si>
    <t>ZHU, YUWEI</t>
  </si>
  <si>
    <t>yuweizhu</t>
  </si>
  <si>
    <t>yuwei.zhu@intel.com</t>
  </si>
  <si>
    <t>ZHANG</t>
  </si>
  <si>
    <t>JINLONG</t>
  </si>
  <si>
    <t>ZHANG, JINLONG</t>
  </si>
  <si>
    <t>jinlon1x</t>
  </si>
  <si>
    <t>jinlongx.zhang@intel.com</t>
  </si>
  <si>
    <t>YUAN</t>
  </si>
  <si>
    <t>DONGQIN</t>
  </si>
  <si>
    <t>YUAN, DONGQIN</t>
  </si>
  <si>
    <t>dyuan6x</t>
  </si>
  <si>
    <t>dongqinx.yuan@intel.com</t>
  </si>
  <si>
    <t>JUNBIAO</t>
  </si>
  <si>
    <t>XU, JUNBIAO</t>
  </si>
  <si>
    <t>junbiaox</t>
  </si>
  <si>
    <t>junbiaox.xu@intel.com</t>
  </si>
  <si>
    <t>HUI</t>
  </si>
  <si>
    <t>XU, HUI</t>
  </si>
  <si>
    <t>xuhuix</t>
  </si>
  <si>
    <t>huix.xu@intel.com</t>
  </si>
  <si>
    <t>ZHENXIANG</t>
  </si>
  <si>
    <t>WEI, ZHENXIANG</t>
  </si>
  <si>
    <t>weizx</t>
  </si>
  <si>
    <t>zhenxiangx.wei@intel.com</t>
  </si>
  <si>
    <t>TING</t>
  </si>
  <si>
    <t>WANG, TING</t>
  </si>
  <si>
    <t>tingwanx</t>
  </si>
  <si>
    <t>tingx.wang@intel.com</t>
  </si>
  <si>
    <t>SHI</t>
  </si>
  <si>
    <t>YUE</t>
  </si>
  <si>
    <t>SHI, YUE</t>
  </si>
  <si>
    <t>yueshix</t>
  </si>
  <si>
    <t>yuex.shi@intel.com</t>
  </si>
  <si>
    <t>SHEN</t>
  </si>
  <si>
    <t>KUNHONG</t>
  </si>
  <si>
    <t>SHEN, KUNHONG</t>
  </si>
  <si>
    <t>kunhongx</t>
  </si>
  <si>
    <t>kunhongx.shen@intel.com</t>
  </si>
  <si>
    <t>LIU</t>
  </si>
  <si>
    <t>WEIZHEN</t>
  </si>
  <si>
    <t>LIU, WEIZHEN</t>
  </si>
  <si>
    <t>liuweizx</t>
  </si>
  <si>
    <t>weizhenx.liu@intel.com</t>
  </si>
  <si>
    <t>RUIHONG</t>
  </si>
  <si>
    <t>LIU, RUIHONG</t>
  </si>
  <si>
    <t>ruihongx</t>
  </si>
  <si>
    <t>ruihongx.liu@intel.com</t>
  </si>
  <si>
    <t>LIN</t>
  </si>
  <si>
    <t>YEFEI</t>
  </si>
  <si>
    <t>LIN, YEFEI</t>
  </si>
  <si>
    <t>linyefex</t>
  </si>
  <si>
    <t>yefeix.lin@intel.com</t>
  </si>
  <si>
    <t>HUANG</t>
  </si>
  <si>
    <t>YUFANG</t>
  </si>
  <si>
    <t>HUANG, YUFANG</t>
  </si>
  <si>
    <t>yhuang1x</t>
  </si>
  <si>
    <t>yufangx.huang@intel.com</t>
  </si>
  <si>
    <t>GUAN</t>
  </si>
  <si>
    <t>XIUJUAN</t>
  </si>
  <si>
    <t>GUAN, XIUJUAN</t>
  </si>
  <si>
    <t>guanxiux</t>
  </si>
  <si>
    <t>xiujuanx.guan@intel.com</t>
  </si>
  <si>
    <t>FENG</t>
  </si>
  <si>
    <t>ZHICHAO</t>
  </si>
  <si>
    <t>FENG, ZHICHAO</t>
  </si>
  <si>
    <t>zfen12x</t>
  </si>
  <si>
    <t>zhichaox.feng@intel.com</t>
  </si>
  <si>
    <t>FAN</t>
  </si>
  <si>
    <t>XIANG</t>
  </si>
  <si>
    <t>FAN, XIANG</t>
  </si>
  <si>
    <t>xiangfax</t>
  </si>
  <si>
    <t>xiangx.fan@intel.com</t>
  </si>
  <si>
    <t>XIA</t>
  </si>
  <si>
    <t>FAN, XIA</t>
  </si>
  <si>
    <t>xiafanx</t>
  </si>
  <si>
    <t>xiax.fan@intel.com</t>
  </si>
  <si>
    <t>DAI</t>
  </si>
  <si>
    <t>DAI, YANYAN</t>
  </si>
  <si>
    <t>yanyandx</t>
  </si>
  <si>
    <t>yanyanx.dai@intel.com</t>
  </si>
  <si>
    <t>XIANGXIANG</t>
  </si>
  <si>
    <t>CHEN, XIANGXIANG</t>
  </si>
  <si>
    <t>xiangxix</t>
  </si>
  <si>
    <t>xiangxiangx.chen@intel.com</t>
  </si>
  <si>
    <t>BAO</t>
  </si>
  <si>
    <t>XIAOJIE</t>
  </si>
  <si>
    <t>BAO, XIAOJIE</t>
  </si>
  <si>
    <t>baoxiaox</t>
  </si>
  <si>
    <t>xiaojiex.bao@intel.com</t>
  </si>
  <si>
    <t>LING</t>
  </si>
  <si>
    <t>YUE, LING</t>
  </si>
  <si>
    <t>lyue</t>
  </si>
  <si>
    <t>ling.yue@intel.com</t>
  </si>
  <si>
    <t>SUN</t>
  </si>
  <si>
    <t>HUADONG</t>
  </si>
  <si>
    <t>SUN, HUADONG</t>
  </si>
  <si>
    <t>hsun19</t>
  </si>
  <si>
    <t>huadong.sun@intel.com</t>
  </si>
  <si>
    <t>ZHENGWEN</t>
  </si>
  <si>
    <t>LI, ZHENGWEN</t>
  </si>
  <si>
    <t>lizhengw</t>
  </si>
  <si>
    <t>zhengwen.li@intel.com</t>
  </si>
  <si>
    <t>YUBO</t>
  </si>
  <si>
    <t>LI, YUBO</t>
  </si>
  <si>
    <t>yuboli</t>
  </si>
  <si>
    <t>yubo.li@intel.com</t>
  </si>
  <si>
    <t>LI, WEI</t>
  </si>
  <si>
    <t>wli58</t>
  </si>
  <si>
    <t>JIYUAN</t>
  </si>
  <si>
    <t>LI, JIYUAN</t>
  </si>
  <si>
    <t>jiyuanli</t>
  </si>
  <si>
    <t>jiyuan.li@intel.com</t>
  </si>
  <si>
    <t>HOU</t>
  </si>
  <si>
    <t>YUNLONG</t>
  </si>
  <si>
    <t>HOU, YUNLONG</t>
  </si>
  <si>
    <t>yunlongh</t>
  </si>
  <si>
    <t>yunlong.hou@intel.com</t>
  </si>
  <si>
    <t>HAN</t>
  </si>
  <si>
    <t>SHUPING</t>
  </si>
  <si>
    <t>HAN, SHUPING</t>
  </si>
  <si>
    <t>shan3</t>
  </si>
  <si>
    <t>shuping.han@intel.com</t>
  </si>
  <si>
    <t>GU</t>
  </si>
  <si>
    <t>XUEYING</t>
  </si>
  <si>
    <t>GU, XUEYING</t>
  </si>
  <si>
    <t>xgu17</t>
  </si>
  <si>
    <t>xueying.gu@intel.com</t>
  </si>
  <si>
    <t>GONG</t>
  </si>
  <si>
    <t>YANCHAO</t>
  </si>
  <si>
    <t>GONG, YANCHAO</t>
  </si>
  <si>
    <t>yanchaog</t>
  </si>
  <si>
    <t>yanchao.gong@intel.com</t>
  </si>
  <si>
    <t>XI</t>
  </si>
  <si>
    <t>CHEN, XI</t>
  </si>
  <si>
    <t>xchen85</t>
  </si>
  <si>
    <t>xi.c.chen@intel.com</t>
  </si>
  <si>
    <t>YANG</t>
  </si>
  <si>
    <t>NINGJIAN</t>
  </si>
  <si>
    <t>YANG, NINGJIAN</t>
  </si>
  <si>
    <t>nyang1</t>
  </si>
  <si>
    <t>ningjian.yang@intel.com</t>
  </si>
  <si>
    <t>DONGDONG</t>
  </si>
  <si>
    <t>ZHANG, DONGDONG</t>
  </si>
  <si>
    <t>dongdong</t>
  </si>
  <si>
    <t>PING</t>
  </si>
  <si>
    <t>YANG, PING</t>
  </si>
  <si>
    <t>pingyan1</t>
  </si>
  <si>
    <t>ping2.yang@intel.com</t>
  </si>
  <si>
    <t>YANG, FAN</t>
  </si>
  <si>
    <t>fanyang6</t>
  </si>
  <si>
    <t>RAN</t>
  </si>
  <si>
    <t>WANG, RAN</t>
  </si>
  <si>
    <t>ranwang</t>
  </si>
  <si>
    <t>ran.wang@intel.com</t>
  </si>
  <si>
    <t>ZHAO, HUI</t>
  </si>
  <si>
    <t>hzh111x</t>
  </si>
  <si>
    <t>huix.zhao@intel.com</t>
  </si>
  <si>
    <t>ZHAN</t>
  </si>
  <si>
    <t>LINGLING</t>
  </si>
  <si>
    <t>ZHAN, LINGLING</t>
  </si>
  <si>
    <t>zhanlinx</t>
  </si>
  <si>
    <t>linglingx.zhan@intel.com</t>
  </si>
  <si>
    <t>YU</t>
  </si>
  <si>
    <t>LIYING</t>
  </si>
  <si>
    <t>YU, LIYING</t>
  </si>
  <si>
    <t>liyingyx</t>
  </si>
  <si>
    <t>liyingx.yu@intel.com</t>
  </si>
  <si>
    <t>YI</t>
  </si>
  <si>
    <t>SHUMIN</t>
  </si>
  <si>
    <t>YI, SHUMIN</t>
  </si>
  <si>
    <t>shuminyx</t>
  </si>
  <si>
    <t>shuminx.yi@intel.com</t>
  </si>
  <si>
    <t>LIPING</t>
  </si>
  <si>
    <t>XU, LIPING</t>
  </si>
  <si>
    <t>lipingxx</t>
  </si>
  <si>
    <t>lipingx.xu@intel.com</t>
  </si>
  <si>
    <t>XINGBAO</t>
  </si>
  <si>
    <t>WANG, XINGBAO</t>
  </si>
  <si>
    <t>xingbaox</t>
  </si>
  <si>
    <t>xingbaox.wang@intel.com</t>
  </si>
  <si>
    <t>RUI</t>
  </si>
  <si>
    <t>WANG, RUI</t>
  </si>
  <si>
    <t>rwangx</t>
  </si>
  <si>
    <t>ruix.wang@intel.com</t>
  </si>
  <si>
    <t>MINGLU</t>
  </si>
  <si>
    <t>WANG, MINGLU</t>
  </si>
  <si>
    <t>mingluwx</t>
  </si>
  <si>
    <t>minglux.wang@intel.com</t>
  </si>
  <si>
    <t>JIAN</t>
  </si>
  <si>
    <t>WANG, JIAN</t>
  </si>
  <si>
    <t>jianwa1x</t>
  </si>
  <si>
    <t>jianx.wang@intel.com</t>
  </si>
  <si>
    <t>SHEN, WEI</t>
  </si>
  <si>
    <t>wshen1x</t>
  </si>
  <si>
    <t>weix.shen@intel.com</t>
  </si>
  <si>
    <t>MENG</t>
  </si>
  <si>
    <t>MENG, WEI</t>
  </si>
  <si>
    <t>mengweix</t>
  </si>
  <si>
    <t>YINGJIE</t>
  </si>
  <si>
    <t>LIU, YINGJIE</t>
  </si>
  <si>
    <t>liuyin1x</t>
  </si>
  <si>
    <t>yingjiex.liu@intel.com</t>
  </si>
  <si>
    <t>TONGTONG</t>
  </si>
  <si>
    <t>LI, TONGTONG</t>
  </si>
  <si>
    <t>tlix</t>
  </si>
  <si>
    <t>tongtongx.li@intel.com</t>
  </si>
  <si>
    <t>GUO</t>
  </si>
  <si>
    <t>XIAOSHUANG</t>
  </si>
  <si>
    <t>GUO, XIAOSHUANG</t>
  </si>
  <si>
    <t>xiaoshux</t>
  </si>
  <si>
    <t>xiaoshuangx.guo@intel.com</t>
  </si>
  <si>
    <t>DUAN</t>
  </si>
  <si>
    <t>QIUJU</t>
  </si>
  <si>
    <t>DUAN, QIUJU</t>
  </si>
  <si>
    <t>qduanx</t>
  </si>
  <si>
    <t>qiujux.duan@intel.com</t>
  </si>
  <si>
    <t>CHANG</t>
  </si>
  <si>
    <t>XUE</t>
  </si>
  <si>
    <t>CHANG, XUE</t>
  </si>
  <si>
    <t>changxux</t>
  </si>
  <si>
    <t>xuex.chang@intel.com</t>
  </si>
  <si>
    <t>CAO</t>
  </si>
  <si>
    <t>LIJIA</t>
  </si>
  <si>
    <t>CAO, LIJIA</t>
  </si>
  <si>
    <t>caolijix</t>
  </si>
  <si>
    <t>lijiax.a.cao@intel.com</t>
  </si>
  <si>
    <t>LIQIONG</t>
  </si>
  <si>
    <t>WANG, LIQIONG</t>
  </si>
  <si>
    <t>liqiongw</t>
  </si>
  <si>
    <t>liqiong.wang@intel.com</t>
  </si>
  <si>
    <t>MAO</t>
  </si>
  <si>
    <t>YUXIN</t>
  </si>
  <si>
    <t>MAO, YUXIN</t>
  </si>
  <si>
    <t>ymao</t>
  </si>
  <si>
    <t>yuxin.mao@intel.com</t>
  </si>
  <si>
    <t>LI, XI</t>
  </si>
  <si>
    <t>xili2</t>
  </si>
  <si>
    <t>xi.li@intel.com</t>
  </si>
  <si>
    <t>QIANG</t>
  </si>
  <si>
    <t>HAN, QIANG</t>
  </si>
  <si>
    <t>qhan2</t>
  </si>
  <si>
    <t>qiang.han@intel.com</t>
  </si>
  <si>
    <t>HUANAN</t>
  </si>
  <si>
    <t>GUO, HUANAN</t>
  </si>
  <si>
    <t>hguo</t>
  </si>
  <si>
    <t>huanan.guo@intel.com</t>
  </si>
  <si>
    <t>GENG</t>
  </si>
  <si>
    <t>LEI</t>
  </si>
  <si>
    <t>GENG, LEI</t>
  </si>
  <si>
    <t>lgeng1</t>
  </si>
  <si>
    <t>rita.geng@intel.com</t>
  </si>
  <si>
    <t>CUI</t>
  </si>
  <si>
    <t>YUEPING</t>
  </si>
  <si>
    <t>CUI, YUEPING</t>
  </si>
  <si>
    <t>cuiyuepx</t>
  </si>
  <si>
    <t>yuepingx.cui@intel.com</t>
  </si>
  <si>
    <t>TAO</t>
  </si>
  <si>
    <t>TAO, WEI</t>
  </si>
  <si>
    <t>weitao1</t>
  </si>
  <si>
    <t>SUSSAK</t>
  </si>
  <si>
    <t>ARTYOM</t>
  </si>
  <si>
    <t>SUSSAK, ARTYOM</t>
  </si>
  <si>
    <t>asussakx</t>
  </si>
  <si>
    <t>artyomx.sussak@intel.com</t>
  </si>
  <si>
    <t>SHETH</t>
  </si>
  <si>
    <t>PARIJA</t>
  </si>
  <si>
    <t>SHETH, PARIJA S</t>
  </si>
  <si>
    <t>psule</t>
  </si>
  <si>
    <t>parija.sule@intel.com</t>
  </si>
  <si>
    <t>NAYAK</t>
  </si>
  <si>
    <t>ELLORA</t>
  </si>
  <si>
    <t>NAYAK, ELLORA</t>
  </si>
  <si>
    <t>enayak</t>
  </si>
  <si>
    <t>ellora.nayak@intel.com</t>
  </si>
  <si>
    <t>NAING</t>
  </si>
  <si>
    <t>AUNG</t>
  </si>
  <si>
    <t>NAING, AUNG T</t>
  </si>
  <si>
    <t>atnaing</t>
  </si>
  <si>
    <t>aung.t.naing@intel.com</t>
  </si>
  <si>
    <t>Staff Augmentation Worker</t>
  </si>
  <si>
    <t>MURPHY</t>
  </si>
  <si>
    <t>FRED</t>
  </si>
  <si>
    <t>MURPHY, FRED</t>
  </si>
  <si>
    <t>fhmurphx</t>
  </si>
  <si>
    <t>MISRA</t>
  </si>
  <si>
    <t>DISHA</t>
  </si>
  <si>
    <t>MISRA, DISHA</t>
  </si>
  <si>
    <t>dmisra</t>
  </si>
  <si>
    <t>disha.misra@intel.com</t>
  </si>
  <si>
    <t>KULKARNI</t>
  </si>
  <si>
    <t>SMITA</t>
  </si>
  <si>
    <t>KULKARNI, SMITA</t>
  </si>
  <si>
    <t>skulkar9</t>
  </si>
  <si>
    <t>smita.kulkarni@intel.com</t>
  </si>
  <si>
    <t>RAKESH</t>
  </si>
  <si>
    <t>JAIN, RAKESH K</t>
  </si>
  <si>
    <t>rakeshkj</t>
  </si>
  <si>
    <t>rakesh1.k.jain@intel.com</t>
  </si>
  <si>
    <t>GOUDA</t>
  </si>
  <si>
    <t>SHARANA</t>
  </si>
  <si>
    <t>GOUDA, SHARANA</t>
  </si>
  <si>
    <t>goudasx</t>
  </si>
  <si>
    <t>sharanax.gouda@intel.com</t>
  </si>
  <si>
    <t>GOTEFODE</t>
  </si>
  <si>
    <t>MANISH</t>
  </si>
  <si>
    <t>GOTEFODE, MANISH</t>
  </si>
  <si>
    <t>mgotefox</t>
  </si>
  <si>
    <t>manishx.gotefode@intel.com</t>
  </si>
  <si>
    <t>BOBDE</t>
  </si>
  <si>
    <t>PANKAJ</t>
  </si>
  <si>
    <t>BOBDE, PANKAJ</t>
  </si>
  <si>
    <t>pbobdex</t>
  </si>
  <si>
    <t>pankajx.bobde@intel.com</t>
  </si>
  <si>
    <t>BA</t>
  </si>
  <si>
    <t>BRANDON</t>
  </si>
  <si>
    <t>BA, BRANDON C</t>
  </si>
  <si>
    <t>bbax</t>
  </si>
  <si>
    <t>brandonx.c.ba@intel.com</t>
  </si>
  <si>
    <t>AGRAWAL</t>
  </si>
  <si>
    <t>AGRAWAL, MANISH</t>
  </si>
  <si>
    <t>agrawalm</t>
  </si>
  <si>
    <t>DAVASAM</t>
  </si>
  <si>
    <t>SUNIL</t>
  </si>
  <si>
    <t>DAVASAM, SUNIL K</t>
  </si>
  <si>
    <t>skdavasa</t>
  </si>
  <si>
    <t>sunil.k.davasam@intel.com</t>
  </si>
  <si>
    <t>SUTHAR</t>
  </si>
  <si>
    <t>VIJAY</t>
  </si>
  <si>
    <t>SUTHAR, VIJAY B</t>
  </si>
  <si>
    <t>vbsuthar</t>
  </si>
  <si>
    <t>vijay.suthar@intel.com</t>
  </si>
  <si>
    <t>RISHI</t>
  </si>
  <si>
    <t>KARTHIK</t>
  </si>
  <si>
    <t>RISHI, KARTHIK K</t>
  </si>
  <si>
    <t>kkrishi</t>
  </si>
  <si>
    <t>karthik.rishi@intel.com</t>
  </si>
  <si>
    <t>FL And dev</t>
  </si>
  <si>
    <t>VERDU</t>
  </si>
  <si>
    <t>MIGUEL</t>
  </si>
  <si>
    <t>VERDU, MIGUEL</t>
  </si>
  <si>
    <t>mverdu</t>
  </si>
  <si>
    <t>VAATAMOINEN</t>
  </si>
  <si>
    <t>LASSI</t>
  </si>
  <si>
    <t>VAATAMOINEN, LASSI I</t>
  </si>
  <si>
    <t>lvaatam</t>
  </si>
  <si>
    <t>TUOMINEN</t>
  </si>
  <si>
    <t>TEEMU</t>
  </si>
  <si>
    <t>TUOMINEN, TEEMU</t>
  </si>
  <si>
    <t>ttuomine</t>
  </si>
  <si>
    <t>TAIPALE</t>
  </si>
  <si>
    <t>KAISA</t>
  </si>
  <si>
    <t>TAIPALE, KAISA</t>
  </si>
  <si>
    <t>ktaipale</t>
  </si>
  <si>
    <t>SIMONS</t>
  </si>
  <si>
    <t>NIKLAS</t>
  </si>
  <si>
    <t>SIMONS, NIKLAS A</t>
  </si>
  <si>
    <t>nasimons</t>
  </si>
  <si>
    <t>niklas.a.simons@intel.com</t>
  </si>
  <si>
    <t>NIEMIMUUKKO</t>
  </si>
  <si>
    <t>UKRI</t>
  </si>
  <si>
    <t>NIEMIMUUKKO, UKRI</t>
  </si>
  <si>
    <t>uniemimu</t>
  </si>
  <si>
    <t>MANDY</t>
  </si>
  <si>
    <t>ARNAUD</t>
  </si>
  <si>
    <t>MANDY, ARNAUD</t>
  </si>
  <si>
    <t>amandy</t>
  </si>
  <si>
    <t>UKKONEN</t>
  </si>
  <si>
    <t>JOUNI</t>
  </si>
  <si>
    <t>UKKONEN, JOUNI</t>
  </si>
  <si>
    <t>jukkonen</t>
  </si>
  <si>
    <t>ONKALO</t>
  </si>
  <si>
    <t>SAMU</t>
  </si>
  <si>
    <t>ONKALO, SAMU</t>
  </si>
  <si>
    <t>sonkalo</t>
  </si>
  <si>
    <t>JOHN</t>
  </si>
  <si>
    <t>MATHEW, JOHN</t>
  </si>
  <si>
    <t>jmath3</t>
  </si>
  <si>
    <t>LEHTONEN</t>
  </si>
  <si>
    <t>SAMUEL</t>
  </si>
  <si>
    <t>LEHTONEN, SAMUEL</t>
  </si>
  <si>
    <t>slehtone</t>
  </si>
  <si>
    <t>samuel.lehtonen@intel.com</t>
  </si>
  <si>
    <t>LEHTINEN</t>
  </si>
  <si>
    <t>MATIAS</t>
  </si>
  <si>
    <t>LEHTINEN, MATIAS</t>
  </si>
  <si>
    <t>mlehtine</t>
  </si>
  <si>
    <t>JAKONEN</t>
  </si>
  <si>
    <t>JARNO</t>
  </si>
  <si>
    <t>JAKONEN, JARNO</t>
  </si>
  <si>
    <t>jjakonen</t>
  </si>
  <si>
    <t>HOGANDER</t>
  </si>
  <si>
    <t>HOGANDER, JOUNI</t>
  </si>
  <si>
    <t>jhogande</t>
  </si>
  <si>
    <t>HAAPAKORPI</t>
  </si>
  <si>
    <t>JUHA</t>
  </si>
  <si>
    <t>HAAPAKORPI, JUHA</t>
  </si>
  <si>
    <t>jhaapako</t>
  </si>
  <si>
    <t>FRANTTILA</t>
  </si>
  <si>
    <t>TOMMI</t>
  </si>
  <si>
    <t>FRANTTILA, TOMMI</t>
  </si>
  <si>
    <t>tfrantti</t>
  </si>
  <si>
    <t>KOTKA</t>
  </si>
  <si>
    <t>JANNE</t>
  </si>
  <si>
    <t>KOTKA, JANNE</t>
  </si>
  <si>
    <t>jkotka</t>
  </si>
  <si>
    <t>VEHMANEN</t>
  </si>
  <si>
    <t>KAI</t>
  </si>
  <si>
    <t>VEHMANEN, KAI</t>
  </si>
  <si>
    <t>kvehmane</t>
  </si>
  <si>
    <t>TOIVONEN</t>
  </si>
  <si>
    <t>TUUKKA</t>
  </si>
  <si>
    <t>TOIVONEN, TUUKKA</t>
  </si>
  <si>
    <t>ttoivone</t>
  </si>
  <si>
    <t>SORSA</t>
  </si>
  <si>
    <t>SAIJA</t>
  </si>
  <si>
    <t>SORSA, SAIJA</t>
  </si>
  <si>
    <t>ssorsa</t>
  </si>
  <si>
    <t>PACHHANDARA</t>
  </si>
  <si>
    <t>KRITI</t>
  </si>
  <si>
    <t>PACHHANDARA, KRITI</t>
  </si>
  <si>
    <t>mkpachha</t>
  </si>
  <si>
    <t>LAAKSO</t>
  </si>
  <si>
    <t>ANTTI</t>
  </si>
  <si>
    <t>LAAKSO, ANTTI</t>
  </si>
  <si>
    <t>alaakso</t>
  </si>
  <si>
    <t>KOSKI</t>
  </si>
  <si>
    <t>ANTTU</t>
  </si>
  <si>
    <t>KOSKI, ANTTU</t>
  </si>
  <si>
    <t>akoski1</t>
  </si>
  <si>
    <t>KONTOLA</t>
  </si>
  <si>
    <t>KALERVO</t>
  </si>
  <si>
    <t>KONTOLA, KALERVO</t>
  </si>
  <si>
    <t>kkontola</t>
  </si>
  <si>
    <t>KAARTINEN</t>
  </si>
  <si>
    <t>JUKKA</t>
  </si>
  <si>
    <t>KAARTINEN, JUKKA O</t>
  </si>
  <si>
    <t>jokaarti</t>
  </si>
  <si>
    <t>JUSSILA</t>
  </si>
  <si>
    <t>ANNIKKI</t>
  </si>
  <si>
    <t>JUSSILA, ANNIKKI</t>
  </si>
  <si>
    <t>ajussila</t>
  </si>
  <si>
    <t>annikki.jussila@intel.com</t>
  </si>
  <si>
    <t>GOVINDAPILLAI</t>
  </si>
  <si>
    <t>VINOD</t>
  </si>
  <si>
    <t>GOVINDAPILLAI, VINOD</t>
  </si>
  <si>
    <t>vgovind2</t>
  </si>
  <si>
    <t>KARI</t>
  </si>
  <si>
    <t>JUSSILA, KARI</t>
  </si>
  <si>
    <t>kjussila</t>
  </si>
  <si>
    <t>kari.jussila@intel.com</t>
  </si>
  <si>
    <t>ALANEN</t>
  </si>
  <si>
    <t>ALANEN, JUHA</t>
  </si>
  <si>
    <t>jalanen</t>
  </si>
  <si>
    <t>AILUS</t>
  </si>
  <si>
    <t>SAKARI</t>
  </si>
  <si>
    <t>AILUS, SAKARI</t>
  </si>
  <si>
    <t>sailus</t>
  </si>
  <si>
    <t>PELTONEN</t>
  </si>
  <si>
    <t>LIISA</t>
  </si>
  <si>
    <t>PELTONEN, LIISA</t>
  </si>
  <si>
    <t>lpeltone</t>
  </si>
  <si>
    <t>liisa.peltonen@intel.com</t>
  </si>
  <si>
    <t>SRINIVASAN</t>
  </si>
  <si>
    <t>THYAGARAJAN</t>
  </si>
  <si>
    <t>SRINIVASAN, THYAGARAJAN</t>
  </si>
  <si>
    <t>tsriniv</t>
  </si>
  <si>
    <t>thyagarajan.srinivasan@intel.com</t>
  </si>
  <si>
    <t>PHAM</t>
  </si>
  <si>
    <t>QUANG</t>
  </si>
  <si>
    <t>PHAM, QUANG</t>
  </si>
  <si>
    <t>quangdp</t>
  </si>
  <si>
    <t>quang.pham@intel.com</t>
  </si>
  <si>
    <t>Intel Contract Employee</t>
  </si>
  <si>
    <t>ORSBURN</t>
  </si>
  <si>
    <t>JODY</t>
  </si>
  <si>
    <t>ORSBURN, JODY C</t>
  </si>
  <si>
    <t>jcorsbur</t>
  </si>
  <si>
    <t>jody.c.orsburn@intel.com</t>
  </si>
  <si>
    <t>MUDE</t>
  </si>
  <si>
    <t>MEGHANA</t>
  </si>
  <si>
    <t>MUDE, MEGHANA</t>
  </si>
  <si>
    <t>mmude</t>
  </si>
  <si>
    <t>meg.mude@intel.com</t>
  </si>
  <si>
    <t>JING</t>
  </si>
  <si>
    <t>LI, JING</t>
  </si>
  <si>
    <t>lijing2</t>
  </si>
  <si>
    <t>jing.a.li@intel.com</t>
  </si>
  <si>
    <t>KUNNARI</t>
  </si>
  <si>
    <t>VELI-MIKA</t>
  </si>
  <si>
    <t>KUNNARI, VELI-MIKA</t>
  </si>
  <si>
    <t>vkunnari</t>
  </si>
  <si>
    <t>mika.kunnari@intel.com</t>
  </si>
  <si>
    <t>KATZNELSON</t>
  </si>
  <si>
    <t>GUY</t>
  </si>
  <si>
    <t>KATZNELSON, GUY</t>
  </si>
  <si>
    <t>gkatznel</t>
  </si>
  <si>
    <t>guy.katznelson@intel.com</t>
  </si>
  <si>
    <t>GONZALES</t>
  </si>
  <si>
    <t>KATHRYN</t>
  </si>
  <si>
    <t>GONZALES, KATHRYN</t>
  </si>
  <si>
    <t>kategonz</t>
  </si>
  <si>
    <t>kate.gonzales@intel.com</t>
  </si>
  <si>
    <t>MOSES</t>
  </si>
  <si>
    <t>JAIDEEP</t>
  </si>
  <si>
    <t>MOSES, JAIDEEP</t>
  </si>
  <si>
    <t>jmoses1</t>
  </si>
  <si>
    <t>jaideep.moses@intel.com</t>
  </si>
  <si>
    <t>LIU, WEI</t>
  </si>
  <si>
    <t>wliu8</t>
  </si>
  <si>
    <t>wei.w.liu@intel.com</t>
  </si>
  <si>
    <t>YEDEMA</t>
  </si>
  <si>
    <t>WIM</t>
  </si>
  <si>
    <t>YEDEMA, WIM</t>
  </si>
  <si>
    <t>wyedema</t>
  </si>
  <si>
    <t>wim.yedema@intel.com</t>
  </si>
  <si>
    <t>VAN SON</t>
  </si>
  <si>
    <t>STEF</t>
  </si>
  <si>
    <t>VAN SON, STEF W</t>
  </si>
  <si>
    <t>swvanson</t>
  </si>
  <si>
    <t>VAN HAUWERMEIREN</t>
  </si>
  <si>
    <t>GINO</t>
  </si>
  <si>
    <t>VAN HAUWERMEIREN, GINO P</t>
  </si>
  <si>
    <t>ghauwerm</t>
  </si>
  <si>
    <t>gino.hauwermeiren@intel.com</t>
  </si>
  <si>
    <t>PERALTA MOREIRA</t>
  </si>
  <si>
    <t>JOAO</t>
  </si>
  <si>
    <t>PERALTA MOREIRA, JOAO C</t>
  </si>
  <si>
    <t>jperalta</t>
  </si>
  <si>
    <t>joao.peralta.moreira@intel.com</t>
  </si>
  <si>
    <t>PARRISH</t>
  </si>
  <si>
    <t>CYNTHIA</t>
  </si>
  <si>
    <t>PARRISH, CYNTHIA</t>
  </si>
  <si>
    <t>cparris1</t>
  </si>
  <si>
    <t>cynthia.parrish@intel.com</t>
  </si>
  <si>
    <t>MUNDICHIPPARAKKAL</t>
  </si>
  <si>
    <t>JUMANA</t>
  </si>
  <si>
    <t>MUNDICHIPPARAKKAL, JUMANA</t>
  </si>
  <si>
    <t>jmundich</t>
  </si>
  <si>
    <t>jumana.mundichipparakkal@intel.com</t>
  </si>
  <si>
    <t>TURJAN</t>
  </si>
  <si>
    <t>ALEX</t>
  </si>
  <si>
    <t>TURJAN, ALEX</t>
  </si>
  <si>
    <t>aturjan</t>
  </si>
  <si>
    <t>alex.turjan@intel.com</t>
  </si>
  <si>
    <t>SHE</t>
  </si>
  <si>
    <t>DONGRUI</t>
  </si>
  <si>
    <t>SHE, DONGRUI</t>
  </si>
  <si>
    <t>dshe</t>
  </si>
  <si>
    <t>dongrui.she@intel.com</t>
  </si>
  <si>
    <t>SCHALIJ</t>
  </si>
  <si>
    <t>FRITS</t>
  </si>
  <si>
    <t>SCHALIJ, FRITS</t>
  </si>
  <si>
    <t>fschalij</t>
  </si>
  <si>
    <t>frits.schalij@intel.com</t>
  </si>
  <si>
    <t>ROORDA</t>
  </si>
  <si>
    <t>JAN-WILLEM</t>
  </si>
  <si>
    <t>ROORDA, JAN-WILLEM</t>
  </si>
  <si>
    <t>jroorda</t>
  </si>
  <si>
    <t>jan-willem.roorda@intel.com</t>
  </si>
  <si>
    <t>POPP</t>
  </si>
  <si>
    <t>MERTEN</t>
  </si>
  <si>
    <t>POPP, MERTEN</t>
  </si>
  <si>
    <t>mertenpo</t>
  </si>
  <si>
    <t>merten.popp@intel.com</t>
  </si>
  <si>
    <t>OLMOS</t>
  </si>
  <si>
    <t>KARINA</t>
  </si>
  <si>
    <t>OLMOS, KARINA</t>
  </si>
  <si>
    <t>kolmos</t>
  </si>
  <si>
    <t>karina.olmos@intel.com</t>
  </si>
  <si>
    <t>YUANQING</t>
  </si>
  <si>
    <t>GUO, YUANQING</t>
  </si>
  <si>
    <t>yguo23</t>
  </si>
  <si>
    <t>yuanqing.guo@intel.com</t>
  </si>
  <si>
    <t>FRIJNS</t>
  </si>
  <si>
    <t>RAYMOND</t>
  </si>
  <si>
    <t>FRIJNS, RAYMOND M</t>
  </si>
  <si>
    <t>rmfrijns</t>
  </si>
  <si>
    <t>raymond.frijns@intel.com</t>
  </si>
  <si>
    <t>MOREIRA</t>
  </si>
  <si>
    <t>ORLANDO</t>
  </si>
  <si>
    <t>MOREIRA, ORLANDO</t>
  </si>
  <si>
    <t>omoreira</t>
  </si>
  <si>
    <t>orlando.moreira@intel.com</t>
  </si>
  <si>
    <t>WATERLANDER</t>
  </si>
  <si>
    <t>ERWIN</t>
  </si>
  <si>
    <t>WATERLANDER, ERWIN</t>
  </si>
  <si>
    <t>ewaterla</t>
  </si>
  <si>
    <t>erwin.waterlander@intel.com</t>
  </si>
  <si>
    <t>RIJSHOUWER</t>
  </si>
  <si>
    <t>ERIK</t>
  </si>
  <si>
    <t>RIJSHOUWER, ERIK</t>
  </si>
  <si>
    <t>erijshou</t>
  </si>
  <si>
    <t>erik.rijshouwer@intel.com</t>
  </si>
  <si>
    <t>PAUW</t>
  </si>
  <si>
    <t>JUR</t>
  </si>
  <si>
    <t>PAUW, JUR</t>
  </si>
  <si>
    <t>jpauw</t>
  </si>
  <si>
    <t>jur.pauw@intel.com</t>
  </si>
  <si>
    <t>CORVINO</t>
  </si>
  <si>
    <t>ROSILDE</t>
  </si>
  <si>
    <t>CORVINO, ROSILDE</t>
  </si>
  <si>
    <t>rcorvino</t>
  </si>
  <si>
    <t>rosilde.corvino@intel.com</t>
  </si>
  <si>
    <t>LE THENAFF</t>
  </si>
  <si>
    <t>ERWAN</t>
  </si>
  <si>
    <t>LE THENAFF, ERWAN</t>
  </si>
  <si>
    <t>ethenaff</t>
  </si>
  <si>
    <t>erwan.le.thenaff@intel.com</t>
  </si>
  <si>
    <t>SUMEET</t>
  </si>
  <si>
    <t>KUMAR, SUMEET S</t>
  </si>
  <si>
    <t>sumeetsk</t>
  </si>
  <si>
    <t>sumeet.s.kumar@intel.com</t>
  </si>
  <si>
    <t>DE JAGER</t>
  </si>
  <si>
    <t>PETER</t>
  </si>
  <si>
    <t>DE JAGER, PETER</t>
  </si>
  <si>
    <t>pdejager</t>
  </si>
  <si>
    <t>peter.de.jager@intel.com</t>
  </si>
  <si>
    <t>CHIES</t>
  </si>
  <si>
    <t>FELIPE AUGUSTO</t>
  </si>
  <si>
    <t>CHIES, FELIPE AUGUSTO</t>
  </si>
  <si>
    <t>fachies</t>
  </si>
  <si>
    <t>felipe.augusto.chies@intel.com</t>
  </si>
  <si>
    <t>CARDIA</t>
  </si>
  <si>
    <t>OMAR</t>
  </si>
  <si>
    <t>CARDIA, OMAR</t>
  </si>
  <si>
    <t>ocardia</t>
  </si>
  <si>
    <t>omar.cardia@intel.com</t>
  </si>
  <si>
    <t>BAMAKHRAMA</t>
  </si>
  <si>
    <t>MOHAMED</t>
  </si>
  <si>
    <t>BAMAKHRAMA, MOHAMED A</t>
  </si>
  <si>
    <t>mabamakh</t>
  </si>
  <si>
    <t>mohamed.bamakhrama@intel.com</t>
  </si>
  <si>
    <t>LINDWER</t>
  </si>
  <si>
    <t>MENNO</t>
  </si>
  <si>
    <t>LINDWER, MENNO</t>
  </si>
  <si>
    <t>mlindwer</t>
  </si>
  <si>
    <t>menno.lindwer@intel.com</t>
  </si>
  <si>
    <t>HUGUEZ-DIXON</t>
  </si>
  <si>
    <t>D'LAYNA</t>
  </si>
  <si>
    <t>HUGUEZ-DIXON, D'LAYNA</t>
  </si>
  <si>
    <t>dhuguezd</t>
  </si>
  <si>
    <t>dlayna.huguez-dixon@intel.com</t>
  </si>
  <si>
    <t>BJ And dev</t>
  </si>
  <si>
    <t>HONGYU</t>
  </si>
  <si>
    <t>YI, HONGYU</t>
  </si>
  <si>
    <t>hyi7</t>
  </si>
  <si>
    <t>ZHENG</t>
  </si>
  <si>
    <t>JIAN XU</t>
  </si>
  <si>
    <t>ZHENG, JIAN XU</t>
  </si>
  <si>
    <t>jzhen16</t>
  </si>
  <si>
    <t>JINGYUN</t>
  </si>
  <si>
    <t>ZHANG, JINGYUN</t>
  </si>
  <si>
    <t>jingyunz</t>
  </si>
  <si>
    <t>jingyun.zhang@intel.com</t>
  </si>
  <si>
    <t>GUOQING</t>
  </si>
  <si>
    <t>ZHANG, GUOQING</t>
  </si>
  <si>
    <t>zhangg1x</t>
  </si>
  <si>
    <t>guoqingx.zhang@intel.com</t>
  </si>
  <si>
    <t>HAIQIANG</t>
  </si>
  <si>
    <t>YAO, HAIQIANG</t>
  </si>
  <si>
    <t>haiqianx</t>
  </si>
  <si>
    <t>MINGDA</t>
  </si>
  <si>
    <t>XU, MINGDA</t>
  </si>
  <si>
    <t>mingdaxu</t>
  </si>
  <si>
    <t>WU, XIA</t>
  </si>
  <si>
    <t>xwu55</t>
  </si>
  <si>
    <t>WEN</t>
  </si>
  <si>
    <t>WEN, GUAN</t>
  </si>
  <si>
    <t>guanwenx</t>
  </si>
  <si>
    <t>guanx.wen@intel.com</t>
  </si>
  <si>
    <t>JIACHEN</t>
  </si>
  <si>
    <t>WANG, JIACHEN</t>
  </si>
  <si>
    <t>jiachenw</t>
  </si>
  <si>
    <t>jiachen.wang@intel.com</t>
  </si>
  <si>
    <t>TAO, JING</t>
  </si>
  <si>
    <t>jtao7</t>
  </si>
  <si>
    <t>QIU</t>
  </si>
  <si>
    <t>TIAN SHU</t>
  </si>
  <si>
    <t>QIU, TIAN SHU</t>
  </si>
  <si>
    <t>tianshuq</t>
  </si>
  <si>
    <t>LIU, YANG</t>
  </si>
  <si>
    <t>yangliu</t>
  </si>
  <si>
    <t>yang.c.liu@intel.com</t>
  </si>
  <si>
    <t>DALEI</t>
  </si>
  <si>
    <t>LIU, DALEI</t>
  </si>
  <si>
    <t>daleilix</t>
  </si>
  <si>
    <t>daleix.liu@intel.com</t>
  </si>
  <si>
    <t>BIN</t>
  </si>
  <si>
    <t>HAN, BIN</t>
  </si>
  <si>
    <t>binhan</t>
  </si>
  <si>
    <t>bin.b.han@intel.com</t>
  </si>
  <si>
    <t>DING</t>
  </si>
  <si>
    <t>YUNLIANG</t>
  </si>
  <si>
    <t>DING, YUNLIANG</t>
  </si>
  <si>
    <t>yunliang</t>
  </si>
  <si>
    <t>YIFAN</t>
  </si>
  <si>
    <t>DING, YIFAN</t>
  </si>
  <si>
    <t>yifandin</t>
  </si>
  <si>
    <t>yifan.ding@intel.com</t>
  </si>
  <si>
    <t>CAO, XI</t>
  </si>
  <si>
    <t>caoxi</t>
  </si>
  <si>
    <t>xi.cao@intel.com</t>
  </si>
  <si>
    <t>BINGBU</t>
  </si>
  <si>
    <t>CAO, BINGBU</t>
  </si>
  <si>
    <t>bingbuca</t>
  </si>
  <si>
    <t>XIA, YU</t>
  </si>
  <si>
    <t>yxia6</t>
  </si>
  <si>
    <t>yu.y.xia@intel.com</t>
  </si>
  <si>
    <t>WANG, WEN</t>
  </si>
  <si>
    <t>wwang12</t>
  </si>
  <si>
    <t>wen.w.wang@intel.com</t>
  </si>
  <si>
    <t>SONG</t>
  </si>
  <si>
    <t>YINPU</t>
  </si>
  <si>
    <t>SONG, YINPU</t>
  </si>
  <si>
    <t>yinpuson</t>
  </si>
  <si>
    <t>yinpu.song@intel.com</t>
  </si>
  <si>
    <t>XIAOFANG</t>
  </si>
  <si>
    <t>LI, XIAOFANG</t>
  </si>
  <si>
    <t>lixiaofa</t>
  </si>
  <si>
    <t>xiaofang.li@intel.com</t>
  </si>
  <si>
    <t>JINGZHI</t>
  </si>
  <si>
    <t>YU, JINGZHI</t>
  </si>
  <si>
    <t>jingzhiy</t>
  </si>
  <si>
    <t>ZAIKUO</t>
  </si>
  <si>
    <t>WANG, ZAIKUO</t>
  </si>
  <si>
    <t>zaikuowa</t>
  </si>
  <si>
    <t>FANG</t>
  </si>
  <si>
    <t>WANG, FANG</t>
  </si>
  <si>
    <t>fcwang</t>
  </si>
  <si>
    <t>XIAOZHOU</t>
  </si>
  <si>
    <t>LIU, XIAOZHOU</t>
  </si>
  <si>
    <t>liuxiaoz</t>
  </si>
  <si>
    <t>DAXING</t>
  </si>
  <si>
    <t>LI, DAXING</t>
  </si>
  <si>
    <t>daxingli</t>
  </si>
  <si>
    <t>daxing.li@intel.com</t>
  </si>
  <si>
    <t>SHUGUANG</t>
  </si>
  <si>
    <t>GONG, SHUGUANG</t>
  </si>
  <si>
    <t>sgong2</t>
  </si>
  <si>
    <t>CHAO</t>
  </si>
  <si>
    <t>LI, CHAO</t>
  </si>
  <si>
    <t>chaoli1</t>
  </si>
  <si>
    <t>chao.c.li@intel.com</t>
  </si>
  <si>
    <t>GANG</t>
  </si>
  <si>
    <t>HU, GANG</t>
  </si>
  <si>
    <t>ghu3</t>
  </si>
  <si>
    <t>SHAOPING</t>
  </si>
  <si>
    <t>ZHU, SHAOPING</t>
  </si>
  <si>
    <t>szhu16x</t>
  </si>
  <si>
    <t>HAIYANG</t>
  </si>
  <si>
    <t>ZHU, HAIYANG</t>
  </si>
  <si>
    <t>haiyangz</t>
  </si>
  <si>
    <t>HONGJIANG</t>
  </si>
  <si>
    <t>ZHENG, HONGJIANG</t>
  </si>
  <si>
    <t>hongjian</t>
  </si>
  <si>
    <t>QINGWU</t>
  </si>
  <si>
    <t>ZHANG, QINGWU</t>
  </si>
  <si>
    <t>qingwuzh</t>
  </si>
  <si>
    <t>JIE</t>
  </si>
  <si>
    <t>ZHANG, JIE</t>
  </si>
  <si>
    <t>jiezhan1</t>
  </si>
  <si>
    <t>ZHAI</t>
  </si>
  <si>
    <t>XIAOGANG</t>
  </si>
  <si>
    <t>ZHAI, XIAOGANG</t>
  </si>
  <si>
    <t>xzhai1</t>
  </si>
  <si>
    <t>xiaogang.zhai@intel.com</t>
  </si>
  <si>
    <t>LIANG</t>
  </si>
  <si>
    <t>YANG, LIANG</t>
  </si>
  <si>
    <t>lyang56</t>
  </si>
  <si>
    <t>HAIPING</t>
  </si>
  <si>
    <t>YANG, HAIPING</t>
  </si>
  <si>
    <t>haipingx</t>
  </si>
  <si>
    <t>YANG, BIN</t>
  </si>
  <si>
    <t>binyang1</t>
  </si>
  <si>
    <t>XIE</t>
  </si>
  <si>
    <t>HONGBIAO</t>
  </si>
  <si>
    <t>XIE, HONGBIAO</t>
  </si>
  <si>
    <t>hongbiao</t>
  </si>
  <si>
    <t>SHOUYONG</t>
  </si>
  <si>
    <t>XIA, SHOUYONG</t>
  </si>
  <si>
    <t>shouyonx</t>
  </si>
  <si>
    <t>SUN, WEI</t>
  </si>
  <si>
    <t>weisun1</t>
  </si>
  <si>
    <t>RUILONG</t>
  </si>
  <si>
    <t>SUN, RUILONG</t>
  </si>
  <si>
    <t>ruilongx</t>
  </si>
  <si>
    <t>ruilongxx.sun@intel.com</t>
  </si>
  <si>
    <t>XIAOLU</t>
  </si>
  <si>
    <t>LIU, XIAOLU</t>
  </si>
  <si>
    <t>xliu35</t>
  </si>
  <si>
    <t>xiaolu.liu@intel.com</t>
  </si>
  <si>
    <t>ZONG</t>
  </si>
  <si>
    <t>LI, ZONG</t>
  </si>
  <si>
    <t>zlix</t>
  </si>
  <si>
    <t>JINJING</t>
  </si>
  <si>
    <t>LI, JINJING</t>
  </si>
  <si>
    <t>jinjingx</t>
  </si>
  <si>
    <t>jinjingx.li@intel.com</t>
  </si>
  <si>
    <t>HUITAO</t>
  </si>
  <si>
    <t>CAO, HUITAO</t>
  </si>
  <si>
    <t>huitaoca</t>
  </si>
  <si>
    <t>CHEN, LEI</t>
  </si>
  <si>
    <t>chenlei1</t>
  </si>
  <si>
    <t>lei.a.chen@intel.com</t>
  </si>
  <si>
    <t>KAIJIA</t>
  </si>
  <si>
    <t>ZHU, KAIJIA</t>
  </si>
  <si>
    <t>kzhu4</t>
  </si>
  <si>
    <t>daniel.zhu@intel.com</t>
  </si>
  <si>
    <t>ZHANG, LEI</t>
  </si>
  <si>
    <t>lzhan21</t>
  </si>
  <si>
    <t>lei.l.zhang@intel.com</t>
  </si>
  <si>
    <t>win dev</t>
  </si>
  <si>
    <t>YALI</t>
  </si>
  <si>
    <t>ZHANG, YALI</t>
  </si>
  <si>
    <t>yalizhan</t>
  </si>
  <si>
    <t>yali.zhang@intel.com</t>
  </si>
  <si>
    <t>XU, CHAO</t>
  </si>
  <si>
    <t>chaoxux</t>
  </si>
  <si>
    <t>chaox.a.xu@intel.com</t>
  </si>
  <si>
    <t>WEILI</t>
  </si>
  <si>
    <t>SHI, WEILI</t>
  </si>
  <si>
    <t>weilishx</t>
  </si>
  <si>
    <t>weilix.shi@intel.com</t>
  </si>
  <si>
    <t>QIFU</t>
  </si>
  <si>
    <t>LI, QIFU</t>
  </si>
  <si>
    <t>liqifux</t>
  </si>
  <si>
    <t>qifux.li@intel.com</t>
  </si>
  <si>
    <t>HUAILEI</t>
  </si>
  <si>
    <t>CHENG, HUAILEI</t>
  </si>
  <si>
    <t>hcheng2x</t>
  </si>
  <si>
    <t>huaileix.cheng@intel.com</t>
  </si>
  <si>
    <t>HUATAO</t>
  </si>
  <si>
    <t>ZHANG, HUATAO</t>
  </si>
  <si>
    <t>hzhan71</t>
  </si>
  <si>
    <t>tommy.zhang@intel.com</t>
  </si>
  <si>
    <t>XU, TAO</t>
  </si>
  <si>
    <t>taoxu</t>
  </si>
  <si>
    <t>tao.t.xu@intel.com</t>
  </si>
  <si>
    <t>AIRONG</t>
  </si>
  <si>
    <t>WU, AIRONG</t>
  </si>
  <si>
    <t>airongwu</t>
  </si>
  <si>
    <t>airong.wu@intel.com</t>
  </si>
  <si>
    <t>FEIYU</t>
  </si>
  <si>
    <t>WEI, FEIYU</t>
  </si>
  <si>
    <t>feiyuwei</t>
  </si>
  <si>
    <t>feiyu.wei@intel.com</t>
  </si>
  <si>
    <t>PENG</t>
  </si>
  <si>
    <t>PENG, YUE</t>
  </si>
  <si>
    <t>yuepeng</t>
  </si>
  <si>
    <t>yue.peng@intel.com</t>
  </si>
  <si>
    <t>wliu29</t>
  </si>
  <si>
    <t>wei.liu@intel.com</t>
  </si>
  <si>
    <t>CONG</t>
  </si>
  <si>
    <t>LIU, CONG</t>
  </si>
  <si>
    <t>congliu8</t>
  </si>
  <si>
    <t>cong.a.liu@intel.com</t>
  </si>
  <si>
    <t>LIU, CHENG</t>
  </si>
  <si>
    <t>chengliu</t>
  </si>
  <si>
    <t>cheng.liu@intel.com</t>
  </si>
  <si>
    <t>XINYUE</t>
  </si>
  <si>
    <t>LIN, XINYUE</t>
  </si>
  <si>
    <t>linxinyu</t>
  </si>
  <si>
    <t>xinyue.lin@intel.com</t>
  </si>
  <si>
    <t>BO</t>
  </si>
  <si>
    <t>LI, BO</t>
  </si>
  <si>
    <t>bli37</t>
  </si>
  <si>
    <t>bo.li@intel.com</t>
  </si>
  <si>
    <t>JIN</t>
  </si>
  <si>
    <t>ZIYU</t>
  </si>
  <si>
    <t>JIN, ZIYU</t>
  </si>
  <si>
    <t>ziyujin</t>
  </si>
  <si>
    <t>ziyu.jin@intel.com</t>
  </si>
  <si>
    <t>JIANXIN</t>
  </si>
  <si>
    <t>FAN, JIANXIN</t>
  </si>
  <si>
    <t>jfan11</t>
  </si>
  <si>
    <t>ethan.fan@intel.com</t>
  </si>
  <si>
    <t>YAN</t>
  </si>
  <si>
    <t>YAN, ZHENG</t>
  </si>
  <si>
    <t>zyan3</t>
  </si>
  <si>
    <t>zheng.yan@intel.com</t>
  </si>
  <si>
    <t>XIAOHUI</t>
  </si>
  <si>
    <t>XU, XIAOHUI</t>
  </si>
  <si>
    <t>xxu13</t>
  </si>
  <si>
    <t>xiaohui.xu@intel.com</t>
  </si>
  <si>
    <t>GUKAI</t>
  </si>
  <si>
    <t>WANG, GUKAI</t>
  </si>
  <si>
    <t>gukaiwax</t>
  </si>
  <si>
    <t>gukaix.wang@intel.com</t>
  </si>
  <si>
    <t>LUO</t>
  </si>
  <si>
    <t>QI</t>
  </si>
  <si>
    <t>LUO, QI</t>
  </si>
  <si>
    <t>qiluo</t>
  </si>
  <si>
    <t>qi.luo@intel.com</t>
  </si>
  <si>
    <t>ZHAO, YAN</t>
  </si>
  <si>
    <t>yzhao56</t>
  </si>
  <si>
    <t>yan.y.zhao@intel.com</t>
  </si>
  <si>
    <t>MINGFENG</t>
  </si>
  <si>
    <t>ZHANG, MINGFENG</t>
  </si>
  <si>
    <t>mzhang47</t>
  </si>
  <si>
    <t>mingfeng.zhang@intel.com</t>
  </si>
  <si>
    <t>NING</t>
  </si>
  <si>
    <t>YANG, NING</t>
  </si>
  <si>
    <t>ningyan</t>
  </si>
  <si>
    <t>ning.yang@intel.com</t>
  </si>
  <si>
    <t>PINGLI</t>
  </si>
  <si>
    <t>WANG, PINGLI</t>
  </si>
  <si>
    <t>pingliwa</t>
  </si>
  <si>
    <t>pingli.wang@intel.com</t>
  </si>
  <si>
    <t>WANG, BO</t>
  </si>
  <si>
    <t>bowang1</t>
  </si>
  <si>
    <t>bo.b.wang@intel.com</t>
  </si>
  <si>
    <t>LIU, CHANG</t>
  </si>
  <si>
    <t>cliu1</t>
  </si>
  <si>
    <t>chang.l.liu@intel.com</t>
  </si>
  <si>
    <t>HAICHUN</t>
  </si>
  <si>
    <t>DAI, HAICHUN</t>
  </si>
  <si>
    <t>haichund</t>
  </si>
  <si>
    <t>haichun.dai@intel.com</t>
  </si>
  <si>
    <t>SHENG</t>
  </si>
  <si>
    <t>CAO, SHENG</t>
  </si>
  <si>
    <t>shengcao</t>
  </si>
  <si>
    <t>martin.cao@intel.com</t>
  </si>
  <si>
    <t>HONGBIN</t>
  </si>
  <si>
    <t>YE, HONGBIN</t>
  </si>
  <si>
    <t>hye5</t>
  </si>
  <si>
    <t>billy.ye@intel.com</t>
  </si>
  <si>
    <t>WU, JIE</t>
  </si>
  <si>
    <t>jwu17</t>
  </si>
  <si>
    <t>jie.wu@intel.com</t>
  </si>
  <si>
    <t>XIAOTONG</t>
  </si>
  <si>
    <t>WANG, XIAOTONG</t>
  </si>
  <si>
    <t>xiaoton1</t>
  </si>
  <si>
    <t>xiaotong.wang@intel.com</t>
  </si>
  <si>
    <t>SMIT</t>
  </si>
  <si>
    <t>ARWIN</t>
  </si>
  <si>
    <t>SMIT, ARWIN</t>
  </si>
  <si>
    <t>arwinsmi</t>
  </si>
  <si>
    <t>arwin.smit@intel.com</t>
  </si>
  <si>
    <t>RONG</t>
  </si>
  <si>
    <t>LIU, RONG</t>
  </si>
  <si>
    <t>rongliu</t>
  </si>
  <si>
    <t>rong1.liu@intel.com</t>
  </si>
  <si>
    <t>TIANWEI</t>
  </si>
  <si>
    <t>YANG, TIANWEI</t>
  </si>
  <si>
    <t>tyangx</t>
  </si>
  <si>
    <t>tianweix.yang@intel.com</t>
  </si>
  <si>
    <t>WEI, LIANG</t>
  </si>
  <si>
    <t>weilianx</t>
  </si>
  <si>
    <t>liangx.wei@intel.com</t>
  </si>
  <si>
    <t>XIAOCHUN</t>
  </si>
  <si>
    <t>SHI, XIAOCHUN</t>
  </si>
  <si>
    <t>shixx</t>
  </si>
  <si>
    <t>xiaochunx.shi@intel.com</t>
  </si>
  <si>
    <t>DONG</t>
  </si>
  <si>
    <t>JIANGUO</t>
  </si>
  <si>
    <t>DONG, JIANGUO</t>
  </si>
  <si>
    <t>dongjx</t>
  </si>
  <si>
    <t>jianguox.dong@intel.com</t>
  </si>
  <si>
    <t>HUAIJIE</t>
  </si>
  <si>
    <t>CHEN, HUAIJIE</t>
  </si>
  <si>
    <t>huaijiex</t>
  </si>
  <si>
    <t>huaijiex.chen@intel.com</t>
  </si>
  <si>
    <t>HAI</t>
  </si>
  <si>
    <t>LIN, HAI</t>
  </si>
  <si>
    <t>hlin76</t>
  </si>
  <si>
    <t>tony.h.lin@intel.com</t>
  </si>
  <si>
    <t>LU</t>
  </si>
  <si>
    <t>LI, LU</t>
  </si>
  <si>
    <t>luli1</t>
  </si>
  <si>
    <t>sunny.li@intel.com</t>
  </si>
  <si>
    <t>MANZHOU</t>
  </si>
  <si>
    <t>FANG, MANZHOU</t>
  </si>
  <si>
    <t>mfang4</t>
  </si>
  <si>
    <t>manzhou.fang@intel.com</t>
  </si>
  <si>
    <t>DONGHAI</t>
  </si>
  <si>
    <t>DAI, DONGHAI</t>
  </si>
  <si>
    <t>donghaid</t>
  </si>
  <si>
    <t>donghai.dai@intel.com</t>
  </si>
  <si>
    <t>AI</t>
  </si>
  <si>
    <t>DAN</t>
  </si>
  <si>
    <t>AI, DAN</t>
  </si>
  <si>
    <t>dai1</t>
  </si>
  <si>
    <t>dan.ai@intel.com</t>
  </si>
  <si>
    <t>CHENG, LIANG</t>
  </si>
  <si>
    <t>lcheng7</t>
  </si>
  <si>
    <t>leon.cheng@intel.com</t>
  </si>
  <si>
    <t>GAO</t>
  </si>
  <si>
    <t>GAO, WEI</t>
  </si>
  <si>
    <t>wgao1</t>
  </si>
  <si>
    <t>wei.gao@intel.com</t>
  </si>
  <si>
    <t>VARMA</t>
  </si>
  <si>
    <t>MADHAV</t>
  </si>
  <si>
    <t>VARMA, MADHAV</t>
  </si>
  <si>
    <t>mvarma1</t>
  </si>
  <si>
    <t>madhav.varma@intel.com</t>
  </si>
  <si>
    <t>STEENHUIZEN</t>
  </si>
  <si>
    <t>MARCEL</t>
  </si>
  <si>
    <t>STEENHUIZEN, MARCEL</t>
  </si>
  <si>
    <t>msteenhu</t>
  </si>
  <si>
    <t>marcel.steenhuizen@intel.com</t>
  </si>
  <si>
    <t>SCHATS</t>
  </si>
  <si>
    <t>PATRICE</t>
  </si>
  <si>
    <t>SCHATS, PATRICE</t>
  </si>
  <si>
    <t>pschats</t>
  </si>
  <si>
    <t>patrice.schats@intel.com</t>
  </si>
  <si>
    <t>ROOS</t>
  </si>
  <si>
    <t>STEVEN</t>
  </si>
  <si>
    <t>ROOS, STEVEN</t>
  </si>
  <si>
    <t>sroos</t>
  </si>
  <si>
    <t>steven.roos@intel.com</t>
  </si>
  <si>
    <t>PRABHUDESAI</t>
  </si>
  <si>
    <t>MAULIK</t>
  </si>
  <si>
    <t>PRABHUDESAI, MAULIK</t>
  </si>
  <si>
    <t>mprabhud</t>
  </si>
  <si>
    <t>maulik.prabhudesai@intel.com</t>
  </si>
  <si>
    <t>OCHOA LOPEZ</t>
  </si>
  <si>
    <t>GERARDO</t>
  </si>
  <si>
    <t>OCHOA LOPEZ, GERARDO</t>
  </si>
  <si>
    <t>gochoalo</t>
  </si>
  <si>
    <t>gerardo.ochoa.lopez@intel.com</t>
  </si>
  <si>
    <t>JAMBEKAR</t>
  </si>
  <si>
    <t>SUMEDH</t>
  </si>
  <si>
    <t>JAMBEKAR, SUMEDH W</t>
  </si>
  <si>
    <t>swjambek</t>
  </si>
  <si>
    <t>sumedh.jambekar@intel.com</t>
  </si>
  <si>
    <t>HEERINGA</t>
  </si>
  <si>
    <t>GOASSE</t>
  </si>
  <si>
    <t>HEERINGA, GOASSE</t>
  </si>
  <si>
    <t>gheering</t>
  </si>
  <si>
    <t>goasse.heeringa@intel.com</t>
  </si>
  <si>
    <t>FEROUGE</t>
  </si>
  <si>
    <t>AIMEE</t>
  </si>
  <si>
    <t>FEROUGE, AIMEE A</t>
  </si>
  <si>
    <t>aaferoug</t>
  </si>
  <si>
    <t>aimee.ferouge@intel.com</t>
  </si>
  <si>
    <t>DESAI</t>
  </si>
  <si>
    <t>VIJAYKUMAR</t>
  </si>
  <si>
    <t>DESAI, VIJAYKUMAR</t>
  </si>
  <si>
    <t>desaivij</t>
  </si>
  <si>
    <t>vijaykumar.desai@intel.com</t>
  </si>
  <si>
    <t>CHAHAR</t>
  </si>
  <si>
    <t>ANUPAM</t>
  </si>
  <si>
    <t>CHAHAR, ANUPAM</t>
  </si>
  <si>
    <t>achahar</t>
  </si>
  <si>
    <t>anupam.chahar@intel.com</t>
  </si>
  <si>
    <t>KONJETI</t>
  </si>
  <si>
    <t>VENKATA SUDHIR</t>
  </si>
  <si>
    <t>KONJETI, VENKATA SUDHIR</t>
  </si>
  <si>
    <t>sudhirk1</t>
  </si>
  <si>
    <t>sudhir.k.venkata@intel.com</t>
  </si>
  <si>
    <t>JONKER</t>
  </si>
  <si>
    <t>MISCHA</t>
  </si>
  <si>
    <t>JONKER, MISCHA D</t>
  </si>
  <si>
    <t>jonkermi</t>
  </si>
  <si>
    <t>mischa.jonker@intel.com</t>
  </si>
  <si>
    <t>JONG-A-LOCK</t>
  </si>
  <si>
    <t>JONG-A-LOCK, ROBERT</t>
  </si>
  <si>
    <t>rjongalo</t>
  </si>
  <si>
    <t>robert.jong-a-lock@intel.com</t>
  </si>
  <si>
    <t>VAN GASTEL</t>
  </si>
  <si>
    <t>VAN GASTEL, RONALD</t>
  </si>
  <si>
    <t>rvangast</t>
  </si>
  <si>
    <t>ronald.van.gastel@intel.com</t>
  </si>
  <si>
    <t>VAN DER VECHT</t>
  </si>
  <si>
    <t>VAN DER VECHT, WIM</t>
  </si>
  <si>
    <t>wvanderv</t>
  </si>
  <si>
    <t>wim.van.der.vecht@intel.com</t>
  </si>
  <si>
    <t>SATENDRA</t>
  </si>
  <si>
    <t>SINGH, SATENDRA</t>
  </si>
  <si>
    <t>singhsat</t>
  </si>
  <si>
    <t>satendra.singh@intel.com</t>
  </si>
  <si>
    <t>QIAO</t>
  </si>
  <si>
    <t>QIAO, PENG</t>
  </si>
  <si>
    <t>pqiao</t>
  </si>
  <si>
    <t>PUNT</t>
  </si>
  <si>
    <t>HENK</t>
  </si>
  <si>
    <t>PUNT, HENK</t>
  </si>
  <si>
    <t>hpunt</t>
  </si>
  <si>
    <t>henk.punt@intel.com</t>
  </si>
  <si>
    <t>OZTURK</t>
  </si>
  <si>
    <t>FATIH</t>
  </si>
  <si>
    <t>OZTURK, FATIH</t>
  </si>
  <si>
    <t>fozturk</t>
  </si>
  <si>
    <t>fatih.ozturk@intel.com</t>
  </si>
  <si>
    <t>MILUTINOVIC</t>
  </si>
  <si>
    <t>ALEKSANDAR</t>
  </si>
  <si>
    <t>MILUTINOVIC, ALEKSANDAR</t>
  </si>
  <si>
    <t>amilutin</t>
  </si>
  <si>
    <t>aleksandar.milutinovic@intel.com</t>
  </si>
  <si>
    <t>ZHENGJIE</t>
  </si>
  <si>
    <t>LU, ZHENGJIE</t>
  </si>
  <si>
    <t>zlu18</t>
  </si>
  <si>
    <t>zhengjie.lu@intel.com</t>
  </si>
  <si>
    <t>KAMATH</t>
  </si>
  <si>
    <t>ANANTHA</t>
  </si>
  <si>
    <t>KAMATH, ANANTHA</t>
  </si>
  <si>
    <t>ananthak</t>
  </si>
  <si>
    <t>anantha.kamath@intel.com</t>
  </si>
  <si>
    <t>GOPALAKRISHNA</t>
  </si>
  <si>
    <t>NAMITHA</t>
  </si>
  <si>
    <t>GOPALAKRISHNA, NAMITHA</t>
  </si>
  <si>
    <t>ngopalak</t>
  </si>
  <si>
    <t>namitha.gopalakrishna@intel.com</t>
  </si>
  <si>
    <t>DE JONG</t>
  </si>
  <si>
    <t>TJERK</t>
  </si>
  <si>
    <t>DE JONG, TJERK</t>
  </si>
  <si>
    <t>tjerkdej</t>
  </si>
  <si>
    <t>tjerk.de.jong@intel.com</t>
  </si>
  <si>
    <t>CINSERIN</t>
  </si>
  <si>
    <t>GOKTURK</t>
  </si>
  <si>
    <t>CINSERIN, GOKTURK</t>
  </si>
  <si>
    <t>gcinser1</t>
  </si>
  <si>
    <t>gokturk.cinserin@intel.com</t>
  </si>
  <si>
    <t>BRANKOVIC</t>
  </si>
  <si>
    <t>BRANKOVIC, ALEKSANDAR</t>
  </si>
  <si>
    <t>abrankov</t>
  </si>
  <si>
    <t>aleksandar.brankovic@intel.com</t>
  </si>
  <si>
    <t>BOULLOSA GONZALEZ</t>
  </si>
  <si>
    <t>HUGO</t>
  </si>
  <si>
    <t>BOULLOSA GONZALEZ, HUGO</t>
  </si>
  <si>
    <t>hboullos</t>
  </si>
  <si>
    <t>hugo.boullosa.gonzalez@intel.com</t>
  </si>
  <si>
    <t>BOER</t>
  </si>
  <si>
    <t>BOER, RICK</t>
  </si>
  <si>
    <t>rboer</t>
  </si>
  <si>
    <t>rick.boer@intel.com</t>
  </si>
  <si>
    <t>BELMONTE HUERTAS</t>
  </si>
  <si>
    <t>ADOLFO</t>
  </si>
  <si>
    <t>BELMONTE HUERTAS, ADOLFO J</t>
  </si>
  <si>
    <t>ajbelmon</t>
  </si>
  <si>
    <t>jose.belmonte.huertas@intel.com</t>
  </si>
  <si>
    <t>FRINTS</t>
  </si>
  <si>
    <t>JUSTIN</t>
  </si>
  <si>
    <t>FRINTS, JUSTIN</t>
  </si>
  <si>
    <t>jfrints</t>
  </si>
  <si>
    <t>justin.frints@intel.com</t>
  </si>
  <si>
    <t>EGELMEERS</t>
  </si>
  <si>
    <t>GERARD</t>
  </si>
  <si>
    <t>EGELMEERS, GERARD</t>
  </si>
  <si>
    <t>gegelmee</t>
  </si>
  <si>
    <t>gerard.egelmeers@intel.com</t>
  </si>
  <si>
    <t>WANROOIJ</t>
  </si>
  <si>
    <t>JEROEN</t>
  </si>
  <si>
    <t>WANROOIJ, JEROEN</t>
  </si>
  <si>
    <t>jwanrooi</t>
  </si>
  <si>
    <t>jeroen.wanrooij@intel.com</t>
  </si>
  <si>
    <t>VAN DER MEER</t>
  </si>
  <si>
    <t>VAN DER MEER, PETER</t>
  </si>
  <si>
    <t>wvanderm</t>
  </si>
  <si>
    <t>peter.van.der.meer@intel.com</t>
  </si>
  <si>
    <t>VAN DEN HEUVEL</t>
  </si>
  <si>
    <t>GERT-JAN</t>
  </si>
  <si>
    <t>VAN DEN HEUVEL, GERT-JAN</t>
  </si>
  <si>
    <t>gvandenh</t>
  </si>
  <si>
    <t>gert-jan.van.den.heuvel@intel.com</t>
  </si>
  <si>
    <t>VALKOV</t>
  </si>
  <si>
    <t>GEORGI</t>
  </si>
  <si>
    <t>VALKOV, GEORGI</t>
  </si>
  <si>
    <t>gvalkovx</t>
  </si>
  <si>
    <t>georgix.valkov@intel.com</t>
  </si>
  <si>
    <t>TROMP</t>
  </si>
  <si>
    <t>MICHIEL</t>
  </si>
  <si>
    <t>TROMP, MICHIEL</t>
  </si>
  <si>
    <t>mtromp</t>
  </si>
  <si>
    <t>PUVVULA</t>
  </si>
  <si>
    <t>BHARGAVA</t>
  </si>
  <si>
    <t>PUVVULA, BHARGAVA</t>
  </si>
  <si>
    <t>bpuvvula</t>
  </si>
  <si>
    <t>bhargava.puvvula@intel.com</t>
  </si>
  <si>
    <t>LEMS</t>
  </si>
  <si>
    <t>LEMS, PETER</t>
  </si>
  <si>
    <t>plems</t>
  </si>
  <si>
    <t>peter.lems@intel.com</t>
  </si>
  <si>
    <t>BULNES</t>
  </si>
  <si>
    <t>ADRIAN</t>
  </si>
  <si>
    <t>BULNES, ADRIAN</t>
  </si>
  <si>
    <t>abulnes</t>
  </si>
  <si>
    <t>adrian.bulnes@intel.com</t>
  </si>
  <si>
    <t>BOHMER</t>
  </si>
  <si>
    <t>REMY</t>
  </si>
  <si>
    <t>BOHMER, REMY</t>
  </si>
  <si>
    <t>rbohmer</t>
  </si>
  <si>
    <t>XIE, PENG</t>
  </si>
  <si>
    <t>pengxie</t>
  </si>
  <si>
    <t>peng.xie@intel.com</t>
  </si>
  <si>
    <t>SUTIC</t>
  </si>
  <si>
    <t>SUTIC, ALEKSANDAR</t>
  </si>
  <si>
    <t>asutic</t>
  </si>
  <si>
    <t>aleksandar.sutic@intel.com</t>
  </si>
  <si>
    <t>RAMAMOORTHY</t>
  </si>
  <si>
    <t>KAMALANATHAN</t>
  </si>
  <si>
    <t>RAMAMOORTHY, KAMALANATHAN</t>
  </si>
  <si>
    <t>kramamoo</t>
  </si>
  <si>
    <t>UNLU</t>
  </si>
  <si>
    <t>HASAN</t>
  </si>
  <si>
    <t>UNLU, HASAN</t>
  </si>
  <si>
    <t>hunlu</t>
  </si>
  <si>
    <t>hasan.unlu@intel.com</t>
  </si>
  <si>
    <t>SEO</t>
  </si>
  <si>
    <t>MYOUNGSOO</t>
  </si>
  <si>
    <t>SEO, MYOUNGSOO</t>
  </si>
  <si>
    <t>bseo1</t>
  </si>
  <si>
    <t>bright.seo@intel.com</t>
  </si>
  <si>
    <t>PARK</t>
  </si>
  <si>
    <t>INSU</t>
  </si>
  <si>
    <t>PARK, INSU</t>
  </si>
  <si>
    <t>insupark</t>
  </si>
  <si>
    <t>insu.park@intel.com</t>
  </si>
  <si>
    <t>NANAVATI</t>
  </si>
  <si>
    <t>KASHYAP</t>
  </si>
  <si>
    <t>NANAVATI, KASHYAP</t>
  </si>
  <si>
    <t>knanavat</t>
  </si>
  <si>
    <t>YIMIN</t>
  </si>
  <si>
    <t>LI, YIMIN</t>
  </si>
  <si>
    <t>yiminli</t>
  </si>
  <si>
    <t>yimin.li@intel.com</t>
  </si>
  <si>
    <t>ANAND</t>
  </si>
  <si>
    <t>GANDHIMATHI</t>
  </si>
  <si>
    <t>ANAND, GANDHIMATHI</t>
  </si>
  <si>
    <t>ganand1</t>
  </si>
  <si>
    <t>KHARAT</t>
  </si>
  <si>
    <t>PRIYANKA</t>
  </si>
  <si>
    <t>KHARAT, PRIYANKA</t>
  </si>
  <si>
    <t>pkharat</t>
  </si>
  <si>
    <t>priyanka.kharat@intel.com</t>
  </si>
  <si>
    <t>WANG, TAO</t>
  </si>
  <si>
    <t>wangtao4</t>
  </si>
  <si>
    <t>albert.wang@intel.com</t>
  </si>
  <si>
    <t>RAVULAKOLLU</t>
  </si>
  <si>
    <t>KIRAN</t>
  </si>
  <si>
    <t>RAVULAKOLLU, KIRAN</t>
  </si>
  <si>
    <t>kravulak</t>
  </si>
  <si>
    <t>kiran.ravulakollu@intel.com</t>
  </si>
  <si>
    <t>RAMA REDDY</t>
  </si>
  <si>
    <t>SANJAY</t>
  </si>
  <si>
    <t>RAMA REDDY, SANJAY</t>
  </si>
  <si>
    <t>sramared</t>
  </si>
  <si>
    <t>sanjay.rama.reddy@intel.com</t>
  </si>
  <si>
    <t>PRASAD</t>
  </si>
  <si>
    <t>DURGA</t>
  </si>
  <si>
    <t>PRASAD, DURGA</t>
  </si>
  <si>
    <t>prasaddu</t>
  </si>
  <si>
    <t>durga.prasad@intel.com</t>
  </si>
  <si>
    <t>LEE</t>
  </si>
  <si>
    <t>CHANWOO</t>
  </si>
  <si>
    <t>LEE, CHANWOO</t>
  </si>
  <si>
    <t>chanwool</t>
  </si>
  <si>
    <t>eliot.lee@intel.com</t>
  </si>
  <si>
    <t>KHATRI</t>
  </si>
  <si>
    <t>ANKIT</t>
  </si>
  <si>
    <t>KHATRI, ANKIT</t>
  </si>
  <si>
    <t>khatrian</t>
  </si>
  <si>
    <t>ankit.khatri@intel.com</t>
  </si>
  <si>
    <t>KEKANAJE</t>
  </si>
  <si>
    <t>MAMATHA LAKSHMI</t>
  </si>
  <si>
    <t>KEKANAJE, MAMATHA LAKSHMI</t>
  </si>
  <si>
    <t>mkekanaj</t>
  </si>
  <si>
    <t>mamatha.lakshmi.kekanaje@intel.com</t>
  </si>
  <si>
    <t>HARAVE SHANTHARAMU</t>
  </si>
  <si>
    <t>NAGARABHI</t>
  </si>
  <si>
    <t>HARAVE SHANTHARAMU, NAGARABHI</t>
  </si>
  <si>
    <t>nharaves</t>
  </si>
  <si>
    <t>nagarabhi.harave.shantharamu@intel.com</t>
  </si>
  <si>
    <t>BOGA</t>
  </si>
  <si>
    <t>SREEKANTH</t>
  </si>
  <si>
    <t>BOGA, SREEKANTH</t>
  </si>
  <si>
    <t>sboga</t>
  </si>
  <si>
    <t>sreekanth.boga@intel.com</t>
  </si>
  <si>
    <t>BHANAGAY</t>
  </si>
  <si>
    <t>AMIT</t>
  </si>
  <si>
    <t>BHANAGAY, AMIT</t>
  </si>
  <si>
    <t>abhanaga</t>
  </si>
  <si>
    <t>amit.bhanagay@intel.com</t>
  </si>
  <si>
    <t>NIDUMOLU</t>
  </si>
  <si>
    <t>NIDUMOLU, VIJAY C</t>
  </si>
  <si>
    <t>vcnidumo</t>
  </si>
  <si>
    <t>vijay.c.nidumolu@intel.com</t>
  </si>
  <si>
    <t>LOKESH</t>
  </si>
  <si>
    <t>GUPTA, LOKESH</t>
  </si>
  <si>
    <t>lgupta2</t>
  </si>
  <si>
    <t>lokesh.gupta@intel.com</t>
  </si>
  <si>
    <t>CHANDRASEKARAN</t>
  </si>
  <si>
    <t>SAMBATHKUMAR</t>
  </si>
  <si>
    <t>CHANDRASEKARAN, SAMBATHKUMAR</t>
  </si>
  <si>
    <t>sambathx</t>
  </si>
  <si>
    <t>ASHUTOSH</t>
  </si>
  <si>
    <t>AGRAWAL, ASHUTOSH</t>
  </si>
  <si>
    <t>agrawalx</t>
  </si>
  <si>
    <t>ashutoshx.agrawal@intel.com</t>
  </si>
  <si>
    <t>AFZAL</t>
  </si>
  <si>
    <t>NAEEM</t>
  </si>
  <si>
    <t>AFZAL, NAEEM M</t>
  </si>
  <si>
    <t>nmafzal</t>
  </si>
  <si>
    <t>naeem.m.afzal@intel.com</t>
  </si>
  <si>
    <t>SAHA</t>
  </si>
  <si>
    <t>BRATIN</t>
  </si>
  <si>
    <t>SAHA, BRATIN</t>
  </si>
  <si>
    <t>bsaha1</t>
  </si>
  <si>
    <t>bratin.saha@intel.com</t>
  </si>
  <si>
    <t>Employee/CW Type</t>
  </si>
  <si>
    <t>Level</t>
  </si>
  <si>
    <t>Badge</t>
  </si>
  <si>
    <t>Last Name</t>
  </si>
  <si>
    <t>First Name</t>
  </si>
  <si>
    <t>Full Name</t>
  </si>
  <si>
    <t>IDSID</t>
  </si>
  <si>
    <t>Email</t>
  </si>
  <si>
    <t>tmp-owner.email</t>
    <phoneticPr fontId="5" type="noConversion"/>
  </si>
  <si>
    <t>tmp-number</t>
    <phoneticPr fontId="5" type="noConversion"/>
  </si>
  <si>
    <t>Review-1</t>
    <phoneticPr fontId="5" type="noConversion"/>
  </si>
  <si>
    <t>BJFI -1 num</t>
    <phoneticPr fontId="5" type="noConversion"/>
  </si>
  <si>
    <t>project</t>
    <phoneticPr fontId="5" type="noConversion"/>
  </si>
  <si>
    <t>owner.emal</t>
    <phoneticPr fontId="5" type="noConversion"/>
  </si>
  <si>
    <t>status</t>
    <phoneticPr fontId="5" type="noConversion"/>
  </si>
  <si>
    <t>subject</t>
    <phoneticPr fontId="5" type="noConversion"/>
  </si>
  <si>
    <t>commitMessage</t>
    <phoneticPr fontId="5" type="noConversion"/>
  </si>
  <si>
    <t>createdOn</t>
    <phoneticPr fontId="5" type="noConversion"/>
  </si>
  <si>
    <t>reviewer</t>
    <phoneticPr fontId="5" type="noConversion"/>
  </si>
  <si>
    <t>review-time</t>
    <phoneticPr fontId="5" type="noConversion"/>
  </si>
  <si>
    <t>comments</t>
    <phoneticPr fontId="5" type="noConversion"/>
  </si>
  <si>
    <t>status2</t>
    <phoneticPr fontId="5" type="noConversion"/>
  </si>
  <si>
    <t>MergeDate</t>
    <phoneticPr fontId="5" type="noConversion"/>
  </si>
  <si>
    <t>BJ -1 num</t>
    <phoneticPr fontId="5" type="noConversion"/>
  </si>
  <si>
    <t>FI -1 num</t>
    <phoneticPr fontId="5" type="noConversion"/>
  </si>
  <si>
    <t>BJ review num</t>
    <phoneticPr fontId="5" type="noConversion"/>
  </si>
  <si>
    <t>Integrator</t>
    <phoneticPr fontId="5" type="noConversion"/>
  </si>
  <si>
    <t>Patch Set 2: -Code-Review</t>
  </si>
  <si>
    <t>Uploaded patch set 3.</t>
  </si>
  <si>
    <t>Patch Set 3: Integrator+1\n\nIntegrator +1; patch will be add to PT; please no change now</t>
  </si>
  <si>
    <t>Patch Set 3: Approver+1 Code-Review+1</t>
  </si>
  <si>
    <t>Patch Set 3:\n\nPassed Klocwork code analyzing test. No CRITICAL issue in this patch. Auto reported by kwscan@kw-srv2.bj.intel.com</t>
  </si>
  <si>
    <t>Patch Set 3:\n\nPassed Klocwork code analyzing test. No CRITICAL issue in this patch. Auto reported by kwscan@andr-val-srv0.bj.intel.com</t>
  </si>
  <si>
    <t>Patch Set 3:\n\nPassed Klocwork code analyzing test. No CRITICAL issue in this patch. Auto reported by kwscan@psi-build5.bj.intel.com</t>
  </si>
  <si>
    <t>Patch Set 3: Code-Review+1\n\nPassed PIT; ready for merge</t>
  </si>
  <si>
    <t>Uploaded patch set 5: Patch Set 4 was rebased.</t>
  </si>
  <si>
    <t>Patch Set 5:\n\nPatchset Created: CI job has been scheduled.</t>
  </si>
  <si>
    <t>Uploaded patch set 6: Patch Set 5 was rebased.</t>
  </si>
  <si>
    <t>Patch Set 6:\n\nPatchset Created: CI job has been scheduled.</t>
  </si>
  <si>
    <t>Patch Set 6: Validation-Android+1\n\nreceive smoke test</t>
  </si>
  <si>
    <t>Uploaded patch set 4: Patch Set 3 was rebased.</t>
  </si>
  <si>
    <t>Uploaded patch set 6.</t>
  </si>
  <si>
    <t>Patch Set 6: Code-Review+1</t>
  </si>
  <si>
    <t>Uploaded patch set 7: Patch Set 6 was rebased.</t>
  </si>
  <si>
    <t>Patch Set 7:\n\nPatchset Created: CI job has been scheduled.</t>
  </si>
  <si>
    <t>Uploaded patch set 8: Patch Set 7 was rebased.</t>
  </si>
  <si>
    <t>Patch Set 8:\n\nPatchset Created: CI job has been scheduled.</t>
  </si>
  <si>
    <t>Patch Set 8: Approver+1</t>
  </si>
  <si>
    <t>Patch Set 8: Code-Review+1</t>
  </si>
  <si>
    <t>Patch Set 8: Integrator+1\n\nIntegrator +1; patch will be add to PT; please no change now</t>
  </si>
  <si>
    <t>Patch Set 1:\n\nPatchset Created: CI job has NOT been scheduled.\nDisabled for Draft patches</t>
  </si>
  <si>
    <t>Patch Set 3: Validation-Android+1\n\nreceive smoke test</t>
  </si>
  <si>
    <t>Patch Set 5: Code-Review+1</t>
  </si>
  <si>
    <t>Patch Set 7: Code-Review+1</t>
  </si>
  <si>
    <t>Uploaded patch set 5.</t>
  </si>
  <si>
    <t>Patch Set 9:\n\nPatchset Created: CI job has been scheduled.</t>
  </si>
  <si>
    <t>Patch Set 10:\n\nPatchset Created: CI job has been scheduled.</t>
  </si>
  <si>
    <t>Patch Set 10: Integrator+1\n\nIntegrator +1; patch will be add to PT; please no change now</t>
  </si>
  <si>
    <t>Patch Set 10: Code-Review+1</t>
  </si>
  <si>
    <t>Patch Set 10:\n\nPassed Klocwork code analyzing test. No CRITICAL issue in this patch. Auto reported by kwscan@andr-val-srv0.bj.intel.com</t>
  </si>
  <si>
    <t>Patch Set 10: Code-Review+1\n\nPassed PIT; ready for merge</t>
  </si>
  <si>
    <t>Uploaded patch set 7.</t>
  </si>
  <si>
    <t>Patch Set 2:\n\n(1 comment)</t>
  </si>
  <si>
    <t>Patch Set 4: Validation-Android+1\n\nreceive smoke test</t>
  </si>
  <si>
    <t>Patch Set 4: Code-Review+1\n\n(1 comment)</t>
  </si>
  <si>
    <t>Uploaded patch set 8.</t>
  </si>
  <si>
    <t>Patch Set 9: Code-Review+1</t>
  </si>
  <si>
    <t>Patch Set 3:\n\n(1 comment)</t>
  </si>
  <si>
    <t>Patch Set 2: Code-Review-1\n\n(1 comment)</t>
  </si>
  <si>
    <t>Uploaded patch set 6: Commit message was updated.</t>
  </si>
  <si>
    <t>Patch Set 1: Code-Review-1</t>
  </si>
  <si>
    <t>Patch Set 2: Validation-Android+1\n\nreceive smoke test</t>
  </si>
  <si>
    <t>Patch Set 2: Approver+1 Code-Review+1</t>
  </si>
  <si>
    <t>MergeWW</t>
    <phoneticPr fontId="5" type="noConversion"/>
  </si>
  <si>
    <t>16'ww2</t>
    <phoneticPr fontId="5" type="noConversion"/>
  </si>
  <si>
    <t>16'ww1</t>
    <phoneticPr fontId="5" type="noConversion"/>
  </si>
  <si>
    <t>16'ww3</t>
    <phoneticPr fontId="5" type="noConversion"/>
  </si>
  <si>
    <t>16'ww4</t>
  </si>
  <si>
    <t>icgvert@intel.com</t>
  </si>
  <si>
    <t>Patch Set 1: Approver+1 Code-Review+1</t>
  </si>
  <si>
    <t>Patch Set 6: Approver+1</t>
  </si>
  <si>
    <t>Patch Set 6: Integrator+1\n\nIntegrator +1; patch will be add to PT; please no change now</t>
  </si>
  <si>
    <t>Patch Set 6:\n\nPassed Klocwork code analyzing test. No CRITICAL issue in this patch. Auto reported by kwscan@kw-srv2.bj.intel.com</t>
  </si>
  <si>
    <t>Patch Set 6:\n\nPassed Klocwork code analyzing test. No CRITICAL issue in this patch. Auto reported by kwscan@psi-build5.bj.intel.com</t>
  </si>
  <si>
    <t>Patch Set 6:\n\nPassed Klocwork code analyzing test. No CRITICAL issue in this patch. Auto reported by kwscan@andr-val-srv0.bj.intel.com</t>
  </si>
  <si>
    <t>Patch Set 6: Code-Review+1\n\nPassed PIT; ready for merge</t>
  </si>
  <si>
    <t>Patch Set 8: Validation-Android+1\n\nreceive smoke test</t>
  </si>
  <si>
    <t>Patch Set 1:\n\n(1 comment)</t>
  </si>
  <si>
    <t>Patch Set 1: Code-Review-1\n\n(1 comment)</t>
  </si>
  <si>
    <t>Patch Set 4: Approver+1 Code-Review+1</t>
  </si>
  <si>
    <t>Patch Set 4: Integrator+1\n\nIntegrator +1; patch will be add to PT; please no change now</t>
  </si>
  <si>
    <t>Patch Set 4:\n\nPassed Klocwork code analyzing test. No CRITICAL issue in this patch. Auto reported by kwscan@kw-srv2.bj.intel.com</t>
  </si>
  <si>
    <t>Patch Set 4:\n\nPassed Klocwork code analyzing test. No CRITICAL issue in this patch. Auto reported by kwscan@psi-build5.bj.intel.com</t>
  </si>
  <si>
    <t>Patch Set 4:\n\nPassed Klocwork code analyzing test. No CRITICAL issue in this patch. Auto reported by kwscan@andr-val-srv0.bj.intel.com</t>
  </si>
  <si>
    <t>Patch Set 4: Code-Review+1\n\nPassed PIT; ready for merge</t>
  </si>
  <si>
    <t>Uploaded patch set 9.</t>
  </si>
  <si>
    <t>intel-ipu4-isys: Add RAW12 to format list of video node</t>
  </si>
  <si>
    <t>Patch Set 4: Approver+1</t>
  </si>
  <si>
    <t>Patch Set 5: Code-Review-1\n\n(1 comment)</t>
  </si>
  <si>
    <t>Patch Set 2: Code-Review+1\n\n(1 comment)</t>
  </si>
  <si>
    <t>Row Labels</t>
  </si>
  <si>
    <t>Grand Total</t>
  </si>
  <si>
    <t>Column Labels</t>
  </si>
  <si>
    <t>intel-ipu4: Add HAPS FPGA PCI IDs</t>
  </si>
  <si>
    <t>intel-ipu4: Add HAPS FPGA PCI IDs\n\nChange-Id: I9c0a00a83554943db86da167c35c63bcaeea47d4\nTracked-on: #H1804217401\nSigned-off-by: Sakari Ailus &lt;sakari.ailus@linux.intel.com&gt;\nReviewed-on: https://icggerrit.ir.intel.com/96755\nReviewed-by: Sakari Ailus &lt;sakari.ailus@intel.com&gt;\nValidation-Android: Wei Tao &lt;wei.tao@intel.com&gt;\nBuild: Dessert M BXT RVP (SC)\nReviewed-by: Jing Tao &lt;jing.tao@intel.com&gt;\nReviewed-by: Jouni Hogander &lt;jouni.hogander@intel.com&gt;\nApprover: Samu Onkalo &lt;samu.onkalo@intel.com&gt;\nReviewed-by: Samu Onkalo &lt;samu.onkalo@intel.com&gt;\nIntegrator: WeiX Meng &lt;weix.meng@intel.com&gt;\nReviewed-by: WeiX Meng &lt;weix.meng@intel.com&gt;\n</t>
  </si>
  <si>
    <t>Patch Set 1:\n\nPassed PIT; ready for merge</t>
  </si>
  <si>
    <t>intel-ipu4: Use correct PCI IDs for FPGAs</t>
  </si>
  <si>
    <t>intel-ipu4: Use correct PCI IDs for FPGAs\n\nThe FPGA PCI IDs are not revision dependent as they are for SoCs.\n\nChange-Id: I29e87c659c0f8927f4dc9ecf157032a29be75c01\nTracked-on: #H1804217401\nSigned-off-by: Sakari Ailus &lt;sakari.ailus@linux.intel.com&gt;\nReviewed-on: https://icggerrit.ir.intel.com/92516\nReviewed-by: Sakari Ailus &lt;sakari.ailus@intel.com&gt;\nValidation-Android: Wei Tao &lt;wei.tao@intel.com&gt;\nBuild: Dessert M BXT RVP (SC)\nReviewed-by: Jian Xu Zheng &lt;jian.xu.zheng@intel.com&gt;\nReviewed-by: Jouni Hogander &lt;jouni.hogander@intel.com&gt;\nApprover: Samu Onkalo &lt;samu.onkalo@intel.com&gt;\nReviewed-by: Samu Onkalo &lt;samu.onkalo@intel.com&gt;\nIntegrator: WeiX Meng &lt;weix.meng@intel.com&gt;\nReviewed-by: WeiX Meng &lt;weix.meng@intel.com&gt;\n</t>
  </si>
  <si>
    <t>Patch Set 8: Integrator-1\n\npatch conflict ; please re-base your patch. thanks</t>
  </si>
  <si>
    <t>Patch Set 9: Validation-Android+1\n\nreceive smoke test</t>
  </si>
  <si>
    <t>Patch Set 9:\n\n(1 comment)</t>
  </si>
  <si>
    <t>Uploaded patch set 10.</t>
  </si>
  <si>
    <t>Patch Set 10: Validation-Android+1\n\nreceive smoke test</t>
  </si>
  <si>
    <t>Patch Set 10: Approver+1 Code-Review+1</t>
  </si>
  <si>
    <t>Patch Set 10:\n\nPassed Klocwork code analyzing test. No CRITICAL issue in this patch. Auto reported by kwscan@psi-build5.bj.intel.com</t>
  </si>
  <si>
    <t>Patch Set 10:\n\nPassed Klocwork code analyzing test. No CRITICAL issue in this patch. Auto reported by kwscan@kw-srv2.bj.intel.com</t>
  </si>
  <si>
    <t>Patch Set 10:\n\nPassed PIT; ready for merge</t>
  </si>
  <si>
    <t>intel-ipu4: Implement CPD file validation</t>
  </si>
  <si>
    <t>intel-ipu4: Implement CPD file validation\n\nValidate cpd file contents in a level that it can be safely accessed\nin kernel.\n\nChange-Id: I1b6bef2f11400f5c29923405142a8be2d182a9f9\nTracked-On: #R506371\nSigned-off-by: Jouni Hogander &lt;jouni.hogander@intel.com&gt;\nReviewed-on: https://icggerrit.ir.intel.com/96430\nBuild: Dessert M BXT RVP (SC)\nApprover: Sakari Ailus &lt;sakari.ailus@intel.com&gt;\nReviewed-by: Sakari Ailus &lt;sakari.ailus@intel.com&gt;\nIntegrator: WeiX Meng &lt;weix.meng@intel.com&gt;\nReviewed-by: WeiX Meng &lt;weix.meng@intel.com&gt;\n</t>
  </si>
  <si>
    <t>Patch Set 1: Code-Review-1\n\n(6 comments)</t>
  </si>
  <si>
    <t>Patch Set 1:\n\n(5 comments)</t>
  </si>
  <si>
    <t>Patch Set 2: Code-Review-1\n\n(5 comments)</t>
  </si>
  <si>
    <t>mark.wezelenburg@intel.com</t>
  </si>
  <si>
    <t>Patch Set 3: Code-Review-1\n\nthe CPD file is not IPU specific; the icache base (register) is not IPU but processor specific; the icache base in a FW component to be applied to the register is IMR storage specific.\n\nThese functions mix all these aspects; I'd recommend to separate the handling of a CPD file from the FW components and accessing the manifest of the FW component</t>
  </si>
  <si>
    <t>Patch Set 3: -Code-Review\n\nremoved the -1; as I may not be online to follow up; sorry for any inconvenience</t>
  </si>
  <si>
    <t>Patch Set 3:\n\nMark;\n\nThis function is here just to verify CPD file loaded into memory can be safely accessed by the driver. In practice it means checking that none of the offsets and counts is causing pointing outside it's memory area.\n\nCPD loading is in the driver because we didn't want re-invent new firmware handling mechanism. Instead we are using the one which comes with Linux kernel.</t>
  </si>
  <si>
    <t>Patch Set 3:\n\n(2 comments)\n\nI may have meant overflows when I talked about underflows in the previous review.</t>
  </si>
  <si>
    <t>Patch Set 3:\n\nThere are probably other places as well.</t>
  </si>
  <si>
    <t>Patch Set 4: Code-Review-1\n\n(2 comments)</t>
  </si>
  <si>
    <t>Patch Set 5:\n\n(2 comments)</t>
  </si>
  <si>
    <t>Patch Set 6: Approver+1 Code-Review+1</t>
  </si>
  <si>
    <t>Patch Set 6:\n\nPassed PIT; ready for merge</t>
  </si>
  <si>
    <t>intel-ipu4: isys: Frame sequence numbering mismatch fix</t>
  </si>
  <si>
    <t>intel-ipu4: isys: Frame sequence numbering mismatch fix\n\nAssumption that buffers finished would be returned before the\nstart of the next frame is not correct. For example when ISA\nscaling is enabled next SOF is received before PIN_DATA_READY\nfor each buffer for the current frame is received. This leads\nto the situation that incorrect frame sequence numbers will\nbe passed to the user space. Fix it.\n\nChange-Id: I5236f45e3c88a7ebaf46cdcacc11f14b738d4001\nTracked-On: #R504848\nSigned-off-by: Tommi Franttila &lt;tommi.franttila@intel.com&gt;\nReviewed-on: https://icggerrit.ir.intel.com/97283\nValidation-Android: Wei Tao &lt;wei.tao@intel.com&gt;\nBuild: Dessert M BXT RVP (SC)\nReviewed-by: Samu Onkalo &lt;samu.onkalo@intel.com&gt;\nReviewed-by: Jukka O Kaartinen &lt;jukka.o.kaartinen@intel.com&gt;\nApprover: Sakari Ailus &lt;sakari.ailus@intel.com&gt;\nReviewed-by: Sakari Ailus &lt;sakari.ailus@intel.com&gt;\nReviewed-by: Antti Laakso &lt;antti.laakso@intel.com&gt;\nReviewed-by: Vinod Govindapillai &lt;vinod.govindapillai@intel.com&gt;\nIntegrator: WeiX Meng &lt;weix.meng@intel.com&gt;\nReviewed-by: WeiX Meng &lt;weix.meng@intel.com&gt;\n</t>
  </si>
  <si>
    <t>Patch Set 1: Code-Review-1\n\n(5 comments)</t>
  </si>
  <si>
    <t>Patch Set 3:\n\n(3 comments)</t>
  </si>
  <si>
    <t>Patch Set 3:\n\nreceive smoke test</t>
  </si>
  <si>
    <t>Patch Set 4:\n\nPassed PIT; ready for merge</t>
  </si>
  <si>
    <t>crlmodule: move the supported sensors to a static table</t>
  </si>
  <si>
    <t>crlmodule: move the supported sensors to a static table\n\nUsing a table would make it easy to plug in any new sensor\nconfiguration to crlmodule.\n\nChange-Id: Ic9f7a50cbffdc33389d36c9c6d43411b4cc942db\nTracked-On: #R507931\nSigned-off-by: Vinod Govindapillai &lt;vinod.govindapillai@intel.com&gt;\nReviewed-on: https://icggerrit.ir.intel.com/95793\nReviewed-by: Yunliang Ding &lt;yunliang.ding@intel.com&gt;\nReviewed-by: Tommi Franttila &lt;tommi.franttila@intel.com&gt;\nValidation-Android: Wei Tao &lt;wei.tao@intel.com&gt;\nApprover: Antti Laakso &lt;antti.laakso@intel.com&gt;\nReviewed-by: Antti Laakso &lt;antti.laakso@intel.com&gt;\nIntegrator: WeiX Meng &lt;weix.meng@intel.com&gt;\nReviewed-by: WeiX Meng &lt;weix.meng@intel.com&gt;\n</t>
  </si>
  <si>
    <t>Patch Set 1:\n\nchange sensor-&gt;platform_data-&gt;module_name to dev_name would not make ov13860 and adv7481_eval work.</t>
  </si>
  <si>
    <t>Patch Set 1: Integrator-1\n\nIOTG PIT test failed with regression 1504150432</t>
  </si>
  <si>
    <t>Patch Set 2: Code-Review+1\n\nVerified ok on IoTG platform; thanks!</t>
  </si>
  <si>
    <t>crlmodule: add imx185 exposure&amp;fps ctrls</t>
  </si>
  <si>
    <t>crlmodule: add imx185 exposure&amp;fps ctrls\n\nimx185 needs exposure and fps v4l2 ctrls to\nsupport 3A and dynamic fps adjusting.\n\nChange-Id: I432b01635af45430013aa5558ea96bb2c8c441f0\nTracked-On: #H1504150319\nSigned-off-by: Gong Shuguang &lt;shuguang.gong@intel.com&gt;\nReviewed-on: https://icggerrit.ir.intel.com/96993\nValidation-Android: Wei Tao &lt;wei.tao@intel.com&gt;\nReviewed-by: Vinod Govindapillai &lt;vinod.govindapillai@intel.com&gt;\nApprover: Yunliang Ding &lt;yunliang.ding@intel.com&gt;\nIntegrator: WeiX Meng &lt;weix.meng@intel.com&gt;\nReviewed-by: WeiX Meng &lt;weix.meng@intel.com&gt;\n</t>
  </si>
  <si>
    <t>Patch Set 1:\n\nThis looks fine.</t>
  </si>
  <si>
    <t>Patch Set 1: Integrator-1\n\npatch conflict; please rebase your patch</t>
  </si>
  <si>
    <t>Patch Set 2: Code-Review+1\n\nUpdate it for dependency patch changing.</t>
  </si>
  <si>
    <t>Patch Set 2: Code-Review-1</t>
  </si>
  <si>
    <t>Patch Set 4: Code-Review+1\n\nRebase done and pass local test</t>
  </si>
  <si>
    <t>crlmodule: Add imx185 configuration</t>
  </si>
  <si>
    <t>crlmodule: Add imx185 configuration\n\nChange-Id: Ibdc38376192fb5d1dd186656a22f2e520cca4398\nTracked-On: #H1504137007\nSigned-off-by: Gong Shuguang &lt;shuguang.gong@intel.com&gt;\nReviewed-on: https://icggerrit.ir.intel.com/95512\nValidation-Android: Wei Tao &lt;wei.tao@intel.com&gt;\nReviewed-by: Vinod Govindapillai &lt;vinod.govindapillai@intel.com&gt;\nApprover: Yunliang Ding &lt;yunliang.ding@intel.com&gt;\nIntegrator: WeiX Meng &lt;weix.meng@intel.com&gt;\nReviewed-by: WeiX Meng &lt;weix.meng@intel.com&gt;\n</t>
  </si>
  <si>
    <t>Patch Set 2: -Approver Code-Review+1</t>
  </si>
  <si>
    <t>Patch Set 3: Code-Review-1\n\n(11 comments)</t>
  </si>
  <si>
    <t>Patch Set 4: Code-Review+1\n\nHi Jianxu;\n\nCould you please help to review again? Most of your comments are addressed. For '0 assignment\comments; since the value describe an image region; I think it's better to make it readable without performance loss.</t>
  </si>
  <si>
    <t>Patch Set 6:\n\nHi Sakari;\n\nI had updated the title; please have a check.</t>
  </si>
  <si>
    <t>Patch Set 6: Code-Review+1\n\n(1 comment)\n\nOn comment about \imx185_wdr_modes\. Could you pls explain what used for? Do you have a need to have multiple mode groups? Trying to understand from the CRL architecture point of view; if it need any changes.\n\nAnyway +1 for now.</t>
  </si>
  <si>
    <t>Patch Set 6:\n\n(1 comment)</t>
  </si>
  <si>
    <t>Patch Set 6: Integrator-1\n\nBXT build error</t>
  </si>
  <si>
    <t>Patch Set 7: Code-Review+1\n\nRebase the patch. Please help to review. Thanks!</t>
  </si>
  <si>
    <t>Patch Set 7: Code-Review-1\n\n(1 comment)\n\nYou still have the old crlmodule base. You would have to rebase this on the latest crlmodule version otherwise there will be compilations errors.</t>
  </si>
  <si>
    <t>Patch Set 10: Code-Review+1\n\nAddressed Tianshu's comment; please help to review. Thanks!</t>
  </si>
  <si>
    <t>Uploaded patch set 11.</t>
  </si>
  <si>
    <t>Patch Set 11:\n\nPatchset Created: CI job has been scheduled.</t>
  </si>
  <si>
    <t>Patch Set 11: Code-Review+1</t>
  </si>
  <si>
    <t>Patch Set 11: Code-Review-1\n\nConcerns about the way the settings are used. Discussing the solution using email.</t>
  </si>
  <si>
    <t>Uploaded patch set 12.</t>
  </si>
  <si>
    <t>Patch Set 12:\n\nPatchset Created: CI job has been scheduled.</t>
  </si>
  <si>
    <t>Patch Set 12: Code-Review+1\n\nHi Vinod;\nSince more concerns are on the wdr and raw12 implementation. I will implement them on another patch. I had updated the patch for basic raw10 functions. Could you please help to review?</t>
  </si>
  <si>
    <t>Uploaded patch set 13: Commit message was updated.</t>
  </si>
  <si>
    <t>Patch Set 13:\n\nPatchset Created: CI job has been scheduled.</t>
  </si>
  <si>
    <t>Patch Set 14:\n\nPatchset Created: CI job has been scheduled.</t>
  </si>
  <si>
    <t>Uploaded patch set 14.</t>
  </si>
  <si>
    <t>Patch Set 14: Code-Review-1\n\nDependency patch changed</t>
  </si>
  <si>
    <t>Uploaded patch set 15.</t>
  </si>
  <si>
    <t>Patch Set 15:\n\nPatchset Created: CI job has been scheduled.</t>
  </si>
  <si>
    <t>Patch Set 15: Code-Review+1\n\nRebase done and pass local test</t>
  </si>
  <si>
    <t>Patch Set 15: Validation-Android+1\n\nreceive smoke test</t>
  </si>
  <si>
    <t>Patch Set 15: Code-Review+1</t>
  </si>
  <si>
    <t>Patch Set 15:\n\n(2 comments)\n\nI have some comments about the data format usage. But currently as you are supporting on RAW10 with this patch; it should be ok. But when you interoduce RAW12; this will become wrong.\n\nSo please fix that as a separate patch</t>
  </si>
  <si>
    <t>Patch Set 15:\n\n(1 comment)</t>
  </si>
  <si>
    <t>Patch Set 15: Approver+1</t>
  </si>
  <si>
    <t>Patch Set 15: Integrator+1\n\nIntegrator +1; patch will be add to PT; please no change now</t>
  </si>
  <si>
    <t>Patch Set 15:\n\nPassed Klocwork code analyzing test. No CRITICAL issue in this patch. Auto reported by kwscan@psi-build5.bj.intel.com</t>
  </si>
  <si>
    <t>Patch Set 15:\n\nPassed Klocwork code analyzing test. No CRITICAL issue in this patch. Auto reported by kwscan@kw-srv2.bj.intel.com</t>
  </si>
  <si>
    <t>Patch Set 15:\n\nPassed Klocwork code analyzing test. No CRITICAL issue in this patch. Auto reported by kwscan@andr-val-srv0.bj.intel.com</t>
  </si>
  <si>
    <t>Patch Set 15: Code-Review+1\n\nPassed PIT; ready for merge</t>
  </si>
  <si>
    <t>intel-ipu4-isys: Add RAW12 to format list of video node\n\nSensor will output RAW12 in WDR mode. So; RAW12 formats need\nto be added to the supported list.\n\nChange-Id: I52e464bc8078c2042df4ed89945e1ff259b2376f\nTracked-On: #H1504150825\nSigned-off-by: Gong Shuguang &lt;shuguang.gong@intel.com&gt;\nReviewed-on: https://icggerrit.ir.intel.com/97338\nValidation-Android: Wei Tao &lt;wei.tao@intel.com&gt;\nReviewed-by: Samu Onkalo &lt;samu.onkalo@intel.com&gt;\nApprover: Yunliang Ding &lt;yunliang.ding@intel.com&gt;\nIntegrator: WeiX Meng &lt;weix.meng@intel.com&gt;\nReviewed-by: WeiX Meng &lt;weix.meng@intel.com&gt;\n</t>
  </si>
  <si>
    <t>intel-ipu4-psys: set vp cell only once</t>
  </si>
  <si>
    <t>intel-ipu4-psys: set vp cell only once\n\nCell ID of the cell being set must be type of\nVIED_NCI_N_CELL_ID; otherwise psys library will\nreturn an error. So one can't set cell more than\nonce.\n\nChange-Id: I3e382f36431361b77509bc152df1fcbce8f2fbe4\nTracked-On: #H1804222756\nSigned-off-by: Antti Laakso &lt;antti.laakso@intel.com&gt;\nReviewed-on: https://icggerrit.ir.intel.com/96751\nReviewed-by: Tuukka Toivonen &lt;tuukka.toivonen@intel.com&gt;\nValidation-Android: Wei Tao &lt;wei.tao@intel.com&gt;\nApprover: Sakari Ailus &lt;sakari.ailus@intel.com&gt;\nReviewed-by: Sakari Ailus &lt;sakari.ailus@intel.com&gt;\nBuild: Dessert M BXT RVP (SC)\nReviewed-by: Jing Tao &lt;jing.tao@intel.com&gt;\nIntegrator: WeiX Meng &lt;weix.meng@intel.com&gt;\nReviewed-by: WeiX Meng &lt;weix.meng@intel.com&gt;\n</t>
  </si>
  <si>
    <t>Patch Set 2: Code-Review-1\n\nLooks like VP can be set multiple times by calling ia_css_process_clear_cell() between. Please use that instead if it works.</t>
  </si>
  <si>
    <t>Patch Set 2:\n\nia_css_process_clear_cell() doesn't seem to work.</t>
  </si>
  <si>
    <t>intel_ipu4: PERF counters</t>
  </si>
  <si>
    <t>intel_ipu4: PERF counters\n\nChange-Id: I50efd3f6a8211d4c97faec805a02ac83c8f30d83\nTracked-On:\nSigned-off-by: Vinod Govindapillai &lt;vinod.govindapillai@intel.com&gt;\n</t>
  </si>
  <si>
    <t>Patch Set 1: Code-Review-1\n\nFor testing purpose only</t>
  </si>
  <si>
    <t>intel-ipu4:psys:add fw reload debugfs interface</t>
  </si>
  <si>
    <t>intel-ipu4:psys:add fw reload debugfs interface\n\nChange-Id: Ib45f83dd3196222bf4649c8a30f5212d194c217f\nTracked-On: #H1504144558\nSigned-off-by: Ding Yunliang &lt;yunliang.ding@intel.com&gt;\n</t>
  </si>
  <si>
    <t>Patch Set 1: Code-Review-1\n\nYou should use CPD file here</t>
  </si>
  <si>
    <t>intel-ipu4:isys:enable isys fw reload on all platforms</t>
  </si>
  <si>
    <t>intel-ipu4:isys:enable isys fw reload on all platforms\n\nChange-Id: Ic55cdd12f2078fd0b6c380cffbe64a839c4e6f60\nTracked-On: #H1504144558\nSigned-off-by: Ding Yunliang &lt;yunliang.ding@intel.com&gt;\n</t>
  </si>
  <si>
    <t>Patch Set 1: Code-Review-1\n\nYou should implement same thing using CPD file instead.</t>
  </si>
  <si>
    <t>isys package lib2600 b0 package for scci_master_20160120_1941</t>
  </si>
  <si>
    <t>isys package lib2600 b0 package for scci_master_20160120_1941\n\nFW : tag scci_master_20160120_1941\n\nReleasing on top of scci_master_20160118_1800\n\n231cf17 [BXT PSYS HOST] host dumps to output_file directory\nFasil Taddesse 2016-01-18\n66725be [ACM_ACC] Addition of the VCR2 FF to the ACM_ACC Van\nGastel; Ronald 2016-01-15\nfb26f32 [VCR2] Addition of VCR2 ff encoding test Van Gastel;\nRonald 2016-01-15\n65422a2 [TPROXY] fix descriptor usage for fill commands Anand;\nGandhimathi 2016-01-06\n2c9b148 [BXT S2V] S2V rpwc enable Reda; Muez 2016-01-15\n008b342 [metrics] start tracking isl_ps Jules Boogers\n2016-01-15\n5701fd5 [FW LOAD TEST] Don't include TUNIT makefile if unwanted\nHugo Boullosa Gonzalez 2016-01-15\n849c58d [BXT ISA] add test for inl;pcln;dpc Dinil Mathews\n2016-01-15\na9b662e [BXT ISA] Spatial in test - LSC Dinil Mathews\n2016-01-15\n31698fe l Multi pg test using new psys host\nMadhav Varma 2016-01-13\ncc3579a [CNL|FPGA] Added busy-marker to test script Goasse\nHeeringa 2016-01-14\n967c0f1 [IPU4][TNR5] Iterator setup code clean-up - 2\nAleksandar Brankovic 2016-01-14\n1563ea3 [IPU4][TNR5] Iterator setup code clean-up Aleksandar\nBrankovic 2016-01-13\n\nChange-Id: Icec4d18c8192412a992af43cfd03712a41e50a44\nTracked-On: #H1404713092\nSigned-off-by: sys_icgvert &lt;icgvert@intel.com&gt;\nReviewed-on: https://icggerrit.ir.intel.com/97149\nReviewed-by: SambathkumarX Chandrasekaran &lt;sambathkumarx.chandrasekaran@intel.com&gt;\nBuild: Dessert M BXT RVP (SC)\nApprover: WeiX Meng &lt;weix.meng@intel.com&gt;\nIntegrator: WeiX Meng &lt;weix.meng@intel.com&gt;\nReviewed-by: WeiX Meng &lt;weix.meng@intel.com&gt;\n</t>
  </si>
  <si>
    <t>psys_spc package lib2600 b0 for scci_master_20160120_1941</t>
  </si>
  <si>
    <t>psys_spc package lib2600 b0 for scci_master_20160120_1941\n\nFW : tag scci_master_20160120_1941\n\nReleasing on top of scci_master_20160118_1800\n\n231cf17 [BXT PSYS HOST] host dumps to output_file directory\nFasil Taddesse 2016-01-18\n66725be [ACM_ACC] Addition of the VCR2 FF to the ACM_ACC Van\nGastel; Ronald 2016-01-15\nfb26f32 [VCR2] Addition of VCR2 ff encoding test Van Gastel;\nRonald 2016-01-15\n65422a2 [TPROXY] fix descriptor usage for fill commands Anand;\nGandhimathi 2016-01-06\n2c9b148 [BXT S2V] S2V rpwc enable Reda; Muez 2016-01-15\n008b342 [metrics] start tracking isl_ps Jules Boogers\n2016-01-15\n5701fd5 [FW LOAD TEST] Don't include TUNIT makefile if unwanted\nHugo Boullosa Gonzalez 2016-01-15\n849c58d [BXT ISA] add test for inl;pcln;dpc Dinil Mathews\n2016-01-15\na9b662e [BXT ISA] Spatial in test - LSC Dinil Mathews\n2016-01-15\n31698fe l Multi pg test using new psys host\nMadhav Varma 2016-01-13\ncc3579a [CNL|FPGA] Added busy-marker to test script Goasse\nHeeringa 2016-01-14\n967c0f1 [IPU4][TNR5] Iterator setup code clean-up - 2\nAleksandar Brankovic 2016-01-14\n1563ea3 [IPU4][TNR5] Iterator setup code clean-up Aleksandar\nBrankovic 2016-01-13\n\nChange-Id: Id36a58a7d4932f02a840b95b627ee72705837f1e\nTracked-On: #H1404713092\nSigned-off-by: sys_icgvert &lt;icgvert@intel.com&gt;\nReviewed-on: https://icggerrit.ir.intel.com/97148\nReviewed-by: SambathkumarX Chandrasekaran &lt;sambathkumarx.chandrasekaran@intel.com&gt;\nApprover: WeiX Meng &lt;weix.meng@intel.com&gt;\nBuild: Dessert M BXT RVP (SC)\nIntegrator: WeiX Meng &lt;weix.meng@intel.com&gt;\nReviewed-by: WeiX Meng &lt;weix.meng@intel.com&gt;\n</t>
  </si>
  <si>
    <t>crlmodule: add support for 2560x1440 imx230</t>
  </si>
  <si>
    <t>crlmodule: add support for 2560x1440 imx230\n\ncropped resolution 2560x1440 added for imx230\n\nChange-Id: I2616c2a3a709dba9169eb4e652fd79397cb082ef\nTracked-On: #R505894\nSigned-off-by: Jouni Ukkonen &lt;jouni.ukkonen@intel.com&gt;\nReviewed-on: https://icggerrit.ir.intel.com/91547\nBuild: Dessert M BXT RVP (SC)\nValidation-Android: Wei Tao &lt;wei.tao@intel.com&gt;\nReviewed-by: Samu Onkalo &lt;samu.onkalo@intel.com&gt;\nApprover: Sakari Ailus &lt;sakari.ailus@intel.com&gt;\nReviewed-by: Sakari Ailus &lt;sakari.ailus@intel.com&gt;\nIntegrator: WeiX Meng &lt;weix.meng@intel.com&gt;\nReviewed-by: WeiX Meng &lt;weix.meng@intel.com&gt;\n</t>
  </si>
  <si>
    <t>crlmodule: enable imx185 wdr mode</t>
  </si>
  <si>
    <t>crlmodule: enable imx185 wdr mode\n\nChange-Id: I572bcc5cac3c27814ff07751f4cde34c5d6a457b\nTracked-On: #H1504150825\nSigned-off-by: Gong Shuguang &lt;shuguang.gong@intel.com&gt;\n</t>
  </si>
  <si>
    <t>Patch Set 1:\n\n(5 comments)\n\nProbably this patch is not needed.</t>
  </si>
  <si>
    <t>Abandoned\n\nre-design it.</t>
  </si>
  <si>
    <t>FI review num</t>
    <phoneticPr fontId="5" type="noConversion"/>
  </si>
  <si>
    <t>status2</t>
  </si>
  <si>
    <t>Integrator</t>
  </si>
  <si>
    <t>ReviewerGroup</t>
  </si>
  <si>
    <t>Count of tmp-number</t>
  </si>
  <si>
    <t>tmp-number</t>
  </si>
  <si>
    <t>Reviewed BJ patches</t>
    <phoneticPr fontId="5" type="noConversion"/>
  </si>
  <si>
    <t>Benchmark (IPU4 Kernel till Nov.15, life cycle&gt;100 hrs)</t>
  </si>
  <si>
    <t>15'Q4</t>
    <phoneticPr fontId="5" type="noConversion"/>
  </si>
  <si>
    <t>Review-1 received/patch(times) (BJ Patch)</t>
  </si>
  <si>
    <t>Review comments provided by BJ EE (BJ patch)</t>
  </si>
  <si>
    <t>Q4'15(Actual)</t>
  </si>
  <si>
    <t>Q1'16(Target)</t>
  </si>
  <si>
    <t>Q2'16(Target)</t>
  </si>
  <si>
    <t>Q1'16(Actual)</t>
  </si>
  <si>
    <t>Q3'15 (IPU4 Kernel till Nov.15, life cycle&gt;100 hrs)</t>
  </si>
  <si>
    <t>latest
(ww05.3'16)</t>
  </si>
  <si>
    <t>#</t>
  </si>
  <si>
    <t>16'ww5</t>
  </si>
  <si>
    <t>16'ww6</t>
  </si>
  <si>
    <t>16'ww7</t>
  </si>
  <si>
    <t>16'ww8</t>
  </si>
  <si>
    <t>16'ww9</t>
  </si>
  <si>
    <t>16'ww10</t>
  </si>
  <si>
    <t>16'ww11</t>
  </si>
  <si>
    <t>16'ww12</t>
  </si>
  <si>
    <t>16'ww13</t>
  </si>
  <si>
    <t>pradeep.sakhamoori@intel.com</t>
  </si>
  <si>
    <t>tony.chung@intel.com</t>
  </si>
  <si>
    <t>16'Q1</t>
    <phoneticPr fontId="5" type="noConversion"/>
  </si>
  <si>
    <t>Note: for IoTG 2 project (libcamhal &amp; icamerasrc), only include sandbox branch patches; other HAL project include all branch</t>
    <phoneticPr fontId="5" type="noConversion"/>
  </si>
  <si>
    <t>HAL Patch Review Improvement Area</t>
    <phoneticPr fontId="5" type="noConversion"/>
  </si>
  <si>
    <t>Only incl. Common patches</t>
    <phoneticPr fontId="5" type="noConversion"/>
  </si>
  <si>
    <t>MergeMonth</t>
    <phoneticPr fontId="5" type="noConversion"/>
  </si>
  <si>
    <t>(BJ Patch)</t>
    <phoneticPr fontId="5" type="noConversion"/>
  </si>
  <si>
    <t>Date</t>
    <phoneticPr fontId="5" type="noConversion"/>
  </si>
  <si>
    <t>Changes</t>
    <phoneticPr fontId="5" type="noConversion"/>
  </si>
  <si>
    <t>KernelCommentIndicator - Q1'16</t>
  </si>
  <si>
    <t>1st ver in 2016</t>
    <phoneticPr fontId="5" type="noConversion"/>
  </si>
  <si>
    <t>HALCommentIndicator - Q1'16 - Copy</t>
    <phoneticPr fontId="5" type="noConversion"/>
  </si>
  <si>
    <t>File</t>
    <phoneticPr fontId="5" type="noConversion"/>
  </si>
  <si>
    <t>add common patches indicator table</t>
    <phoneticPr fontId="5" type="noConversion"/>
  </si>
  <si>
    <t>1. change existed formular: Q1 formular add mergeDate between 2016'1'1 to 2016'4'1, as older patches may updated in Q1 then show in queried patch list
2. add FI-byW sheet
3. add BJ and FI byM sheet, add MergedMonth column in patch table</t>
    <phoneticPr fontId="5" type="noConversion"/>
  </si>
  <si>
    <t>16'm1</t>
    <phoneticPr fontId="5" type="noConversion"/>
  </si>
  <si>
    <t>16'm2</t>
  </si>
  <si>
    <t>16'm3</t>
  </si>
  <si>
    <t>Local patch</t>
  </si>
  <si>
    <t>Reviewed Patch # (Local)</t>
  </si>
  <si>
    <t>comments # (Local)</t>
  </si>
  <si>
    <t>Review-1 # given (Local)</t>
  </si>
  <si>
    <t>Reviewed Patch #</t>
  </si>
  <si>
    <t>comments #</t>
  </si>
  <si>
    <t>Review-1 # given</t>
  </si>
  <si>
    <t>Score</t>
  </si>
  <si>
    <t>Weight</t>
  </si>
  <si>
    <t>HAL</t>
    <phoneticPr fontId="5" type="noConversion"/>
  </si>
  <si>
    <t>not ICG SWFW</t>
  </si>
  <si>
    <t>Kernel</t>
    <phoneticPr fontId="5" type="noConversion"/>
  </si>
  <si>
    <t>gang.a.hu@intel.com</t>
    <phoneticPr fontId="5" type="noConversion"/>
  </si>
  <si>
    <t>HALCommentIndicator - Q1'16 - Copy(2)</t>
    <phoneticPr fontId="5" type="noConversion"/>
  </si>
  <si>
    <t>MergeMonth</t>
  </si>
  <si>
    <t>Reviewer</t>
    <phoneticPr fontId="5" type="noConversion"/>
  </si>
  <si>
    <t>Reviewer</t>
    <phoneticPr fontId="5" type="noConversion"/>
  </si>
  <si>
    <t>Review-1</t>
  </si>
  <si>
    <t>Count of Review-1</t>
  </si>
  <si>
    <t>daxing.li@intel.com</t>
    <phoneticPr fontId="5" type="noConversion"/>
  </si>
  <si>
    <t>HAL Total</t>
    <phoneticPr fontId="5" type="noConversion"/>
  </si>
  <si>
    <t>Kernel Total</t>
    <phoneticPr fontId="5" type="noConversion"/>
  </si>
  <si>
    <t>Grand Total</t>
    <phoneticPr fontId="5" type="noConversion"/>
  </si>
  <si>
    <t>reviewed BJ patch</t>
    <phoneticPr fontId="5" type="noConversion"/>
  </si>
  <si>
    <t>reviewed FL patch</t>
    <phoneticPr fontId="5" type="noConversion"/>
  </si>
  <si>
    <t>If same</t>
    <phoneticPr fontId="5" type="noConversion"/>
  </si>
  <si>
    <t>If same</t>
    <phoneticPr fontId="5" type="noConversion"/>
  </si>
  <si>
    <t>(All)</t>
  </si>
  <si>
    <t>HALCommentIndicator - Q1'16_w14
KernelCommentIndicator - Q1'16_w14</t>
    <phoneticPr fontId="5" type="noConversion"/>
  </si>
  <si>
    <t>1. add by person scores table in "BJ-byM" sheet:
  1) add table in "BJ-byM" sheet
  2) change shell script to output all reviewers' email in "all_reviewers" column, in csv2 (excl. owner)
  3) add "all_reviewers" column in table "patch", calculate every person comment num by it
2. fixed shell script error when get inline comment: (but it's no impact to result)
      old version some comments w/ "()" will get inline_num wrong
     fixed overlap $owner when get inline comment
3. add sheet1, for check by person data correct or not</t>
    <phoneticPr fontId="5" type="noConversion"/>
  </si>
  <si>
    <t>Q2'16
Target</t>
  </si>
  <si>
    <t>Mar'16
Target</t>
  </si>
  <si>
    <t>Review-1 # per patch (BJ patch)</t>
  </si>
  <si>
    <t>Review # from local (%)</t>
  </si>
  <si>
    <t>Review-1 # given locally (%)  (BJ patch)</t>
  </si>
  <si>
    <t>Cross site review(%)</t>
  </si>
  <si>
    <t>Benchmark (Nov'15-Jan.15'16)</t>
  </si>
  <si>
    <t>(30/24)</t>
  </si>
  <si>
    <t>(72/(72+151))</t>
  </si>
  <si>
    <t>(5/(5+25))</t>
  </si>
  <si>
    <t>(54/93)</t>
  </si>
  <si>
    <t>BJ Common Patch Review</t>
  </si>
  <si>
    <t>BJ Overall HAL Patch Review</t>
  </si>
  <si>
    <t>FI Common Patch Review</t>
  </si>
  <si>
    <t>FI Overall Patch Review</t>
  </si>
  <si>
    <t>zainab.a.khan@intel.com</t>
  </si>
  <si>
    <t>zakhan</t>
  </si>
  <si>
    <t>KHAN, ZAINAB A</t>
  </si>
  <si>
    <t>ZAINAB</t>
  </si>
  <si>
    <t>KHAN</t>
  </si>
  <si>
    <t>rohan.darole@intel.com</t>
  </si>
  <si>
    <t>rdarole</t>
  </si>
  <si>
    <t>DAROLE, ROHAN</t>
  </si>
  <si>
    <t>ROHAN</t>
  </si>
  <si>
    <t>DAROLE</t>
  </si>
  <si>
    <t>frans.meulenbroeks@intel.com</t>
  </si>
  <si>
    <t>fmeulenb</t>
  </si>
  <si>
    <t>MEULENBROEKS, FRANS</t>
  </si>
  <si>
    <t>FRANS</t>
  </si>
  <si>
    <t>MEULENBROEKS</t>
  </si>
  <si>
    <t>bojana.gajic@intel.com</t>
  </si>
  <si>
    <t>bgajic</t>
  </si>
  <si>
    <t>GAJIC, BOJANA</t>
  </si>
  <si>
    <t>BOJANA</t>
  </si>
  <si>
    <t>GAJIC</t>
  </si>
  <si>
    <t>lixux.zhang@intel.com</t>
  </si>
  <si>
    <t>lixuzhax</t>
  </si>
  <si>
    <t>ZHANG, LIXU</t>
  </si>
  <si>
    <t>LIXU</t>
  </si>
  <si>
    <t>donghai.guo@intel.com</t>
  </si>
  <si>
    <t>dguo1</t>
  </si>
  <si>
    <t>windows</t>
  </si>
  <si>
    <t>ming.m.chen@intel.com</t>
  </si>
  <si>
    <t>mchen110</t>
  </si>
  <si>
    <t>CHEN, MING</t>
  </si>
  <si>
    <t>fengfengx.zhai@intel.com</t>
  </si>
  <si>
    <t>zhaifx</t>
  </si>
  <si>
    <t>ZHAI, FENGFENGX</t>
  </si>
  <si>
    <t>qizhou.chen@intel.com</t>
  </si>
  <si>
    <t>qizhouch</t>
  </si>
  <si>
    <t>CHEN, QIZHOU</t>
  </si>
  <si>
    <t>QIZHOU</t>
  </si>
  <si>
    <t>shenbo.huang@intel.com</t>
  </si>
  <si>
    <t>guilin.zhong@intel.com</t>
  </si>
  <si>
    <t>guilinzh</t>
  </si>
  <si>
    <t>fangyongx.yu@intel.com</t>
  </si>
  <si>
    <t>fangyonx</t>
  </si>
  <si>
    <t>YU, FANGYONGX</t>
  </si>
  <si>
    <t>chenyo2x</t>
  </si>
  <si>
    <t>CHEN, YONGZHENX</t>
  </si>
  <si>
    <t>xueyanx.pang@intel.com</t>
  </si>
  <si>
    <t>xueyanpx</t>
  </si>
  <si>
    <t>PANG, XUEYANX</t>
  </si>
  <si>
    <t>hangyongx.wang@intel.com</t>
  </si>
  <si>
    <t>hangyonx</t>
  </si>
  <si>
    <t>WANG, HANYONGX</t>
  </si>
  <si>
    <t>qiongfangx.xiong@intel.com</t>
  </si>
  <si>
    <t>XIONG, QIONGFANGX</t>
  </si>
  <si>
    <t>guoqingx.yin@intel.com</t>
  </si>
  <si>
    <t>yinguoqx</t>
  </si>
  <si>
    <t>YIN, GUOQINGX</t>
  </si>
  <si>
    <t>haihuax.yin@intel.com</t>
  </si>
  <si>
    <t>haihuayx</t>
  </si>
  <si>
    <t>YIN, HAIHUAX</t>
  </si>
  <si>
    <t>qinguox.zhang@intel.com</t>
  </si>
  <si>
    <t>qinguozx</t>
  </si>
  <si>
    <t>ZHANG, QINGUOX</t>
  </si>
  <si>
    <t>shenhuax.zhang@intel.com</t>
  </si>
  <si>
    <t>shenhu1x</t>
  </si>
  <si>
    <t>ZHANG, SHENHUAX</t>
  </si>
  <si>
    <t>miaomiaox.zhou@intel.com</t>
  </si>
  <si>
    <t>miaomiax</t>
  </si>
  <si>
    <t>ZHOU, MIAOMIAOX</t>
  </si>
  <si>
    <t>xi.wang@intel.com</t>
  </si>
  <si>
    <t>WANG, XI</t>
  </si>
  <si>
    <t>rui.zhou@intel.com</t>
  </si>
  <si>
    <t>ZHOU, RUI</t>
  </si>
  <si>
    <t>he.zhang@intel.com</t>
  </si>
  <si>
    <t>ZHANG, HE</t>
  </si>
  <si>
    <t>ognjen.golubovic@intel.com</t>
  </si>
  <si>
    <t>ogolubov</t>
  </si>
  <si>
    <t>GOLUBOVIC, OGNJEN</t>
  </si>
  <si>
    <t>OGNJEN</t>
  </si>
  <si>
    <t>GOLUBOVIC</t>
  </si>
  <si>
    <t>jacinto.garcia.martinez@intel.com</t>
  </si>
  <si>
    <t>jacintog</t>
  </si>
  <si>
    <t>GARCIA MARTINEZ, JACINTO</t>
  </si>
  <si>
    <t>JACINTO</t>
  </si>
  <si>
    <t>GARCIA MARTINEZ</t>
  </si>
  <si>
    <t>stef.van.son@intel.com</t>
  </si>
  <si>
    <t>chaithanya.prakash.etikala@intel.com</t>
  </si>
  <si>
    <t>cetikala</t>
  </si>
  <si>
    <t>ETIKALA, CHAITHANYA PRAKASH</t>
  </si>
  <si>
    <t>CHAITHANYA PRAKASH</t>
  </si>
  <si>
    <t>ETIKALA</t>
  </si>
  <si>
    <t>kallex.lampila@intel.com</t>
  </si>
  <si>
    <t>pavan.patale@intel.com</t>
  </si>
  <si>
    <t>ppatale</t>
  </si>
  <si>
    <t>PATALE, PAVAN KUMAR</t>
  </si>
  <si>
    <t>lassix.vtminen@intel.com</t>
  </si>
  <si>
    <t>saku.rautiainen@intel.com</t>
  </si>
  <si>
    <t>david.weinehall@intel.com</t>
  </si>
  <si>
    <t>dusan.radovanovic@intel.com</t>
  </si>
  <si>
    <t>dradovan</t>
  </si>
  <si>
    <t>RADOVANOVIC, DUSAN</t>
  </si>
  <si>
    <t>DUSAN</t>
  </si>
  <si>
    <t>RADOVANOVIC</t>
  </si>
  <si>
    <t>cuong.le@intel.com</t>
  </si>
  <si>
    <t>cle2</t>
  </si>
  <si>
    <t>LE, CUONG V</t>
  </si>
  <si>
    <t>CUONG</t>
  </si>
  <si>
    <t>LE</t>
  </si>
  <si>
    <t>satish.chandrax.pachatu.prabhakara@intel.com</t>
  </si>
  <si>
    <t>spachatx</t>
  </si>
  <si>
    <t>PACHATU PRABHAKARA, SATISH CHANDRA</t>
  </si>
  <si>
    <t>SATISH CHANDRA</t>
  </si>
  <si>
    <t>PACHATU PRABHAKARA</t>
  </si>
  <si>
    <t>yuexianx.bai@intel.com</t>
  </si>
  <si>
    <t>byuexiax</t>
  </si>
  <si>
    <t>BAI, YUEXIAN</t>
  </si>
  <si>
    <t>YUEXIAN</t>
  </si>
  <si>
    <t>BAI</t>
  </si>
  <si>
    <t>fangx.gao@intel.com</t>
  </si>
  <si>
    <t>fanggaox</t>
  </si>
  <si>
    <t>GAO, FANG</t>
  </si>
  <si>
    <t>cuipengx</t>
  </si>
  <si>
    <t>CUI, PENGPENG</t>
  </si>
  <si>
    <t>PENGPENG</t>
  </si>
  <si>
    <t>danx.wang@intel.com</t>
  </si>
  <si>
    <t>dwang1x</t>
  </si>
  <si>
    <t>WANG, DAN</t>
  </si>
  <si>
    <t>daojingx.bie@intel.com</t>
  </si>
  <si>
    <t>dbiex</t>
  </si>
  <si>
    <t>BIE, DAOJING</t>
  </si>
  <si>
    <t>DAOJING</t>
  </si>
  <si>
    <t>BIE</t>
  </si>
  <si>
    <t>box.b.yang@intel.com</t>
  </si>
  <si>
    <t>byan21x</t>
  </si>
  <si>
    <t>YANG, BO</t>
  </si>
  <si>
    <t>xuanhuaix.z.chen@intel.com</t>
  </si>
  <si>
    <t>xuanhu2x</t>
  </si>
  <si>
    <t>CHEN, XUANHUAI</t>
  </si>
  <si>
    <t>XUANHUAI</t>
  </si>
  <si>
    <t>xiaochunx.huang@intel.com</t>
  </si>
  <si>
    <t>huangxx</t>
  </si>
  <si>
    <t>HUANG, XIAOCHUN</t>
  </si>
  <si>
    <t>box.yu@intel.com</t>
  </si>
  <si>
    <t>byux</t>
  </si>
  <si>
    <t>YU, BO</t>
  </si>
  <si>
    <t>juanx.zhang@intel.com</t>
  </si>
  <si>
    <t>jzhang1x</t>
  </si>
  <si>
    <t>ZHANG, JUAN</t>
  </si>
  <si>
    <t>JUAN</t>
  </si>
  <si>
    <t>lingjun.shang@intel.com</t>
  </si>
  <si>
    <t>lingjuns</t>
  </si>
  <si>
    <t>SHANG, LINGJUN</t>
  </si>
  <si>
    <t>LINGJUN</t>
  </si>
  <si>
    <t>SHANG</t>
  </si>
  <si>
    <t>yufang2x</t>
  </si>
  <si>
    <t>peixiangx.jia@intel.com</t>
  </si>
  <si>
    <t>pjiax</t>
  </si>
  <si>
    <t>JIA, PEIXIANG</t>
  </si>
  <si>
    <t>PEIXIANG</t>
  </si>
  <si>
    <t>JIA</t>
  </si>
  <si>
    <t>liang.l.chen@intel.com</t>
  </si>
  <si>
    <t>liangc1</t>
  </si>
  <si>
    <t>CHEN, LIANG</t>
  </si>
  <si>
    <t>ALLA, SRINIVAS</t>
  </si>
  <si>
    <t>rayx.ubelhart@intel.com</t>
  </si>
  <si>
    <t>rubelhax</t>
  </si>
  <si>
    <t>UBELHART, RAY</t>
  </si>
  <si>
    <t>RAY</t>
  </si>
  <si>
    <t>UBELHART</t>
  </si>
  <si>
    <t>aron.visontai@intel.com</t>
  </si>
  <si>
    <t>dusan.jovanovic@intel.com</t>
  </si>
  <si>
    <t>djovanov</t>
  </si>
  <si>
    <t>JOVANOVIC, DUSAN</t>
  </si>
  <si>
    <t>JOVANOVIC</t>
  </si>
  <si>
    <t>dusan.n.veljko@intel.com</t>
  </si>
  <si>
    <t>dnveljko</t>
  </si>
  <si>
    <t>VELJKO, DUSAN N</t>
  </si>
  <si>
    <t>VELJKO</t>
  </si>
  <si>
    <t>bojan.valjic@intel.com</t>
  </si>
  <si>
    <t>bvaljic</t>
  </si>
  <si>
    <t>VALJIC, BOJAN</t>
  </si>
  <si>
    <t>BOJAN</t>
  </si>
  <si>
    <t>VALJIC</t>
  </si>
  <si>
    <t>nebojsax.arsenovic@intel.com</t>
  </si>
  <si>
    <t>narsenox</t>
  </si>
  <si>
    <t>ARSENOVIC, NEBOJSA</t>
  </si>
  <si>
    <t>NEBOJSA</t>
  </si>
  <si>
    <t>ARSENOVIC</t>
  </si>
  <si>
    <t>miljanx.milanovic@intel.com</t>
  </si>
  <si>
    <t>mmilanox</t>
  </si>
  <si>
    <t>MILANOVIC, MILJAN</t>
  </si>
  <si>
    <t>MILJAN</t>
  </si>
  <si>
    <t>MILANOVIC</t>
  </si>
  <si>
    <t>fotis.chatzinikolaou@intel.com</t>
  </si>
  <si>
    <t>fchatzin</t>
  </si>
  <si>
    <t>CHATZINIKOLAOU, FOTIS</t>
  </si>
  <si>
    <t>FOTIS</t>
  </si>
  <si>
    <t>CHATZINIKOLAOU</t>
  </si>
  <si>
    <t>tonychun</t>
  </si>
  <si>
    <t>CHUNG, TONY</t>
  </si>
  <si>
    <t>TONY</t>
  </si>
  <si>
    <t>CHUNG</t>
  </si>
  <si>
    <t>psakhamo</t>
  </si>
  <si>
    <t>SAKHAMOORI, PRADEEP</t>
  </si>
  <si>
    <t>PRADEEP</t>
  </si>
  <si>
    <t>SAKHAMOORI</t>
  </si>
  <si>
    <t>KernelCommentIndicator - Q1'16_ww15</t>
    <phoneticPr fontId="5" type="noConversion"/>
  </si>
  <si>
    <t>1. update OrgTree
2. update Kernel patches: to end of Q1(march)</t>
    <phoneticPr fontId="5" type="noConversion"/>
  </si>
  <si>
    <t>(FI + SH Andr Patch)</t>
    <phoneticPr fontId="5" type="noConversion"/>
  </si>
  <si>
    <t>Common patches in Android UserSpace</t>
    <phoneticPr fontId="5" type="noConversion"/>
  </si>
  <si>
    <t>BJFISH -1 num</t>
    <phoneticPr fontId="5" type="noConversion"/>
  </si>
  <si>
    <t>SH -1 num</t>
    <phoneticPr fontId="5" type="noConversion"/>
  </si>
  <si>
    <t>SH review num</t>
    <phoneticPr fontId="5" type="noConversion"/>
  </si>
  <si>
    <t>SH And dev</t>
  </si>
  <si>
    <t>For FI/SH patches, % of review +1/-1 or comments contributed by BJ team</t>
    <phoneticPr fontId="5" type="noConversion"/>
  </si>
  <si>
    <t>FI/SH Patch # of Review+1/-1 or comments given by BJ team vs. Total FI patch number</t>
    <phoneticPr fontId="5" type="noConversion"/>
  </si>
  <si>
    <t>FI + SH patch</t>
  </si>
  <si>
    <t>FI + SH patch</t>
    <phoneticPr fontId="5" type="noConversion"/>
  </si>
  <si>
    <t>Reviewed FI/SH patches</t>
    <phoneticPr fontId="5" type="noConversion"/>
  </si>
  <si>
    <t>(BJ/SH Patch)</t>
    <phoneticPr fontId="5" type="noConversion"/>
  </si>
  <si>
    <t>For BJ/SH patches, % of review +1/-1 or comments contributed by FI team</t>
    <phoneticPr fontId="5" type="noConversion"/>
  </si>
  <si>
    <t>For FI patches, % of review-1 times given by FI team</t>
    <phoneticPr fontId="5" type="noConversion"/>
  </si>
  <si>
    <t>For FI patches, % of review +1/-1 or comments contributed by FI team</t>
    <phoneticPr fontId="5" type="noConversion"/>
  </si>
  <si>
    <t>Review+1/-1 or comments times given by FI team vs. Total times given by BJ, SH and FI for FI patches</t>
    <phoneticPr fontId="5" type="noConversion"/>
  </si>
  <si>
    <t>Review-1 times given by FI team vs. Total times given by BJ, SH and FI for FI patches</t>
    <phoneticPr fontId="5" type="noConversion"/>
  </si>
  <si>
    <t>BJ/SH Patch # of Review+1/-1 or comments given by FI team vs. Total BJ/SH patch number</t>
    <phoneticPr fontId="5" type="noConversion"/>
  </si>
  <si>
    <t>HALCommentIndicator - Q1'16_ww15 - specific-other</t>
    <phoneticPr fontId="5" type="noConversion"/>
  </si>
  <si>
    <r>
      <t xml:space="preserve">1. update OrgTree
2. not count "Validation-Android" comments as comments (Xiaozhou's account do Linux CI so add these kind of comment, but not real review of Xiaozhou)
</t>
    </r>
    <r>
      <rPr>
        <sz val="11"/>
        <rFont val="Calibri"/>
        <family val="2"/>
      </rPr>
      <t>3. update HAL patches to end of Q1(march), only common patches in this file</t>
    </r>
    <r>
      <rPr>
        <sz val="11"/>
        <color rgb="FFFF0000"/>
        <rFont val="Calibri"/>
        <family val="2"/>
      </rPr>
      <t xml:space="preserve">
</t>
    </r>
    <r>
      <rPr>
        <sz val="11"/>
        <rFont val="Calibri"/>
        <family val="2"/>
      </rPr>
      <t>4. BJ reviewed non-local patches: FI -&gt; FI + SH Andr</t>
    </r>
    <r>
      <rPr>
        <sz val="11"/>
        <color rgb="FFFF0000"/>
        <rFont val="Calibri"/>
        <family val="2"/>
      </rPr>
      <t xml:space="preserve">
</t>
    </r>
    <r>
      <rPr>
        <sz val="11"/>
        <rFont val="Calibri"/>
        <family val="2"/>
      </rPr>
      <t>5. find that didn't excl. integrator/Validation comments when count by-person score: 1) add limit in comment # score. 2) change patch Integrator formular: if Review-1 not "", integrator should be "", so if comment have both approve-1 and integrator-1, count as valid comment. 3) change dump patch script, if find "integrator+-1" etc, not add name in all_reviewer. -- no BJ integrator-1 in this file, so didn't change data in patch</t>
    </r>
    <r>
      <rPr>
        <sz val="11"/>
        <color rgb="FFFF0000"/>
        <rFont val="Calibri"/>
        <family val="2"/>
      </rPr>
      <t xml:space="preserve">
</t>
    </r>
    <phoneticPr fontId="5" type="noConversion"/>
  </si>
  <si>
    <t>HALCommentIndicator - Q1'16_w15 - IoTGSandBox</t>
    <phoneticPr fontId="5" type="noConversion"/>
  </si>
  <si>
    <t>1. add Li, JinJingX in by person table
2. change "Integrator" formular: if comment have Review/Approver, not count as IntegratorComment</t>
    <phoneticPr fontId="5" type="noConversion"/>
  </si>
  <si>
    <t>jinjingx.li@intel.com</t>
    <phoneticPr fontId="5" type="noConversion"/>
  </si>
  <si>
    <t>common</t>
  </si>
  <si>
    <t>15'Q4</t>
    <phoneticPr fontId="5" type="noConversion"/>
  </si>
  <si>
    <t>15'Q4</t>
  </si>
  <si>
    <t>#28 -1, 29patches</t>
  </si>
  <si>
    <t>BJ vs FI vs SH: 85 vs 146 vs 0</t>
  </si>
  <si>
    <t>BJ vs FI vs SH: 4 vs 24 vs 0</t>
  </si>
  <si>
    <t>BJ comment: 61, total: 102</t>
  </si>
  <si>
    <t>BJ Common Patch</t>
  </si>
  <si>
    <t>Review-1 # per patch</t>
  </si>
  <si>
    <t>Review-1 # given locally (%)</t>
  </si>
  <si>
    <t>16'ww28</t>
  </si>
  <si>
    <t>xiuyan.sun@intel.com</t>
  </si>
  <si>
    <t>xiuyansu</t>
  </si>
  <si>
    <t>SUN, XIUYAN</t>
  </si>
  <si>
    <t>xiang.a.yang@intel.com</t>
  </si>
  <si>
    <t>yangxian</t>
  </si>
  <si>
    <t>YANG, XIANG</t>
  </si>
  <si>
    <t>pulkit.khemka@intel.com</t>
  </si>
  <si>
    <t>pkhemka</t>
  </si>
  <si>
    <t>KHEMKA, PULKIT</t>
  </si>
  <si>
    <t>sami.kairajarvi@intel.com</t>
  </si>
  <si>
    <t>skairaja</t>
  </si>
  <si>
    <t>KAIRAJARVI, SAMI</t>
  </si>
  <si>
    <t>jingx.wang@intel.com</t>
  </si>
  <si>
    <t>jingwa5x</t>
  </si>
  <si>
    <t>WANG, JING</t>
  </si>
  <si>
    <t>gaobox.xiao@intel.com</t>
  </si>
  <si>
    <t>gaoboxix</t>
  </si>
  <si>
    <t>XIAO, GAOBO</t>
  </si>
  <si>
    <t>gaofengx.zhu@intel.com</t>
  </si>
  <si>
    <t>zhugaofx</t>
  </si>
  <si>
    <t>ZHU, GAOFENG</t>
  </si>
  <si>
    <t>xinx.chen@intel.com</t>
  </si>
  <si>
    <t>xinche1x</t>
  </si>
  <si>
    <t>CHEN, XIN</t>
  </si>
  <si>
    <t>binhuax.gao@intel.com</t>
  </si>
  <si>
    <t>binhuagx</t>
  </si>
  <si>
    <t>GAO, BINHUA</t>
  </si>
  <si>
    <t>xuemeix.huang@intel.com</t>
  </si>
  <si>
    <t>xuemeihx</t>
  </si>
  <si>
    <t>HUANG, XUEMEI</t>
  </si>
  <si>
    <t>xinyux.dong@intel.com</t>
  </si>
  <si>
    <t>xinyudox</t>
  </si>
  <si>
    <t>DONG, XINYU</t>
  </si>
  <si>
    <t>daoweix.li@intel.com</t>
  </si>
  <si>
    <t>daoweilx</t>
  </si>
  <si>
    <t>LI, DAOWEI</t>
  </si>
  <si>
    <t>huipingdx.zhong@intel.com</t>
  </si>
  <si>
    <t>hzhong1x</t>
  </si>
  <si>
    <t>ZHONG, HUIPINGD</t>
  </si>
  <si>
    <t>visnjax.krsmanovic@intel.com</t>
  </si>
  <si>
    <t>vkrsmanx</t>
  </si>
  <si>
    <t>KRSMANOVIC, VISNJA</t>
  </si>
  <si>
    <t>miljanx.mijajlovic@intel.com</t>
  </si>
  <si>
    <t>mmijajlx</t>
  </si>
  <si>
    <t>MIJAJLOVIC, MILJAN</t>
  </si>
  <si>
    <t>sasax.takov@intel.com</t>
  </si>
  <si>
    <t>stakovx</t>
  </si>
  <si>
    <t>TAKOV, SASA</t>
  </si>
  <si>
    <t>old?</t>
  </si>
  <si>
    <t>old list</t>
  </si>
  <si>
    <t>new group</t>
  </si>
  <si>
    <t>VIED Developer</t>
  </si>
  <si>
    <t>FW</t>
  </si>
  <si>
    <t>from old</t>
  </si>
  <si>
    <t>Guo, Donghai</t>
  </si>
  <si>
    <t>yongzhenx.chen@intel.com</t>
  </si>
  <si>
    <t>pengpengx.cui@intel.com</t>
  </si>
  <si>
    <t>skycam bratin</t>
  </si>
  <si>
    <t>fw bratin</t>
  </si>
  <si>
    <t>count as Val it's FW integration, And FW integratio count as Val</t>
  </si>
  <si>
    <t>count as Val it's FW integration</t>
  </si>
  <si>
    <t>not bratin</t>
  </si>
  <si>
    <t>pva</t>
  </si>
  <si>
    <t>16'ww29</t>
  </si>
  <si>
    <t>16'ww30</t>
  </si>
  <si>
    <t>16'ww31</t>
  </si>
  <si>
    <t>16'ww32</t>
  </si>
  <si>
    <t>16'm7</t>
  </si>
  <si>
    <t>Q3</t>
  </si>
  <si>
    <t>16'm8</t>
  </si>
  <si>
    <t>16'm9</t>
  </si>
  <si>
    <t>July'16</t>
  </si>
  <si>
    <t>Aug'16</t>
  </si>
  <si>
    <t>Sep'16</t>
  </si>
  <si>
    <t>16'Q3</t>
  </si>
  <si>
    <t>16'ww33</t>
  </si>
  <si>
    <t>16'ww34</t>
  </si>
  <si>
    <t>16'ww35</t>
  </si>
  <si>
    <t>16'ww36</t>
  </si>
  <si>
    <t>16'ww37</t>
  </si>
  <si>
    <t>16'ww38</t>
  </si>
  <si>
    <t>16'ww39</t>
  </si>
  <si>
    <t>16'ww40</t>
  </si>
  <si>
    <t>16'ww41</t>
  </si>
  <si>
    <t>Patch Set 1:
Patchset Created: CI job has been scheduled.</t>
  </si>
  <si>
    <t>Patch Set 2:
Patchset Created: CI job has been scheduled.</t>
  </si>
  <si>
    <t>project</t>
  </si>
  <si>
    <t>branch</t>
  </si>
  <si>
    <t>changeId</t>
  </si>
  <si>
    <t>OwnerEmail</t>
  </si>
  <si>
    <t>status</t>
  </si>
  <si>
    <t>subject</t>
  </si>
  <si>
    <t>commitMessage</t>
  </si>
  <si>
    <t>createdOn</t>
  </si>
  <si>
    <t>mergeDate</t>
  </si>
  <si>
    <t>ifCommon</t>
  </si>
  <si>
    <t>reviewer</t>
  </si>
  <si>
    <t>review-time</t>
  </si>
  <si>
    <t>comments</t>
  </si>
  <si>
    <t>inline_comments</t>
  </si>
  <si>
    <t>all_reviewer</t>
  </si>
  <si>
    <t>not AndrHAL</t>
  </si>
  <si>
    <t>Patch Set 1: -Approver</t>
  </si>
  <si>
    <t>Patch Set 1: Code-Review+1
(1 comment)</t>
  </si>
  <si>
    <t>Patch Set 1:
(1 comment)</t>
  </si>
  <si>
    <t>Patch Set 1:
Manual Trigger: CI job scheduled.
  - Reason: CI failed due to patch issue or related patch issue (SDK/image/driver/support patch missing)</t>
  </si>
  <si>
    <t>Patch Set 3:
Patchset Created: CI job has been scheduled.</t>
  </si>
  <si>
    <t>Patch Set 4:
Patchset Created: CI job has been scheduled.</t>
  </si>
  <si>
    <t>Patch Set 5: Patch Set 4 was rebased</t>
  </si>
  <si>
    <t>Patch Set 5:
Patchset Created: CI job has been scheduled.</t>
  </si>
  <si>
    <t>Patch Set 5: Approver+1</t>
  </si>
  <si>
    <t>Patch Set 2:
(1 comment)</t>
  </si>
  <si>
    <t>Patch Set 2: Published edit on patch set 1</t>
  </si>
  <si>
    <t>Patch Set 1: Code-Review-1
(1 comment)</t>
  </si>
  <si>
    <t>Patch Set 1:
Patchset Created: CI job has NOT been scheduled.
Disabled for Draft patches</t>
  </si>
  <si>
    <t>Patch Set 1:
Draft Published: CI job has been scheduled.</t>
  </si>
  <si>
    <t>Uploaded patch set 2: Patch Set 1 was rebased.</t>
  </si>
  <si>
    <t>Patch Set 2:
Patchset Created: CI job has NOT been scheduled.
Disabled for Draft patches</t>
  </si>
  <si>
    <t>Patch Set 2:
Draft Published: CI job has been scheduled.</t>
  </si>
  <si>
    <t>Patch Set 3:
Patchset Created: CI job has NOT been scheduled.
Disabled for Draft patches</t>
  </si>
  <si>
    <t>Patch Set 4:
Patchset Created: CI job has NOT been scheduled.
Disabled for Draft patches</t>
  </si>
  <si>
    <t>Patch Set 6:
Patchset Created: CI job has been scheduled.</t>
  </si>
  <si>
    <t>Patch Set 7:
Patchset Created: CI job has been scheduled.</t>
  </si>
  <si>
    <t>Patch Set 8:
Patchset Created: CI job has been scheduled.</t>
  </si>
  <si>
    <t>Patch Set 9:
Patchset Created: CI job has been scheduled.</t>
  </si>
  <si>
    <t>Patch Set 10:
Patchset Created: CI job has been scheduled.</t>
  </si>
  <si>
    <t>Patch Set 3:
(1 comment)</t>
  </si>
  <si>
    <t>Patch Set 3:
(3 comments)</t>
  </si>
  <si>
    <t>Patch Set 11:
Patchset Created: CI job has been scheduled.</t>
  </si>
  <si>
    <t>Patch Set 12:
Patchset Created: CI job has been scheduled.</t>
  </si>
  <si>
    <t>Patch Set 13:
Patchset Created: CI job has been scheduled.</t>
  </si>
  <si>
    <t>Patch Set 13: Code-Review+1</t>
  </si>
  <si>
    <t>Patch Set 14:
Patchset Created: CI job has been scheduled.</t>
  </si>
  <si>
    <t>Patch Set 15:
Patchset Created: CI job has been scheduled.</t>
  </si>
  <si>
    <t>Patch Set 16:
Patchset Created: CI job has been scheduled.</t>
  </si>
  <si>
    <t>Patch Set 17:
Patchset Created: CI job has been scheduled.</t>
  </si>
  <si>
    <t>Patch Set 2:
(2 comments)</t>
  </si>
  <si>
    <t>Patch Set 6:
(1 comment)</t>
  </si>
  <si>
    <t>Patch Set 12: Code-Review+1</t>
  </si>
  <si>
    <t>Patch Set 12: Approver+1</t>
  </si>
  <si>
    <t>Patch Set 3: Approver+1</t>
  </si>
  <si>
    <t>Patch Set 3: Code-Review-1
(1 comment)</t>
  </si>
  <si>
    <t>Patch Set 5: Approver+1 Code-Review+1</t>
  </si>
  <si>
    <t>Patch Set 7: Approver+1 Code-Review+1</t>
  </si>
  <si>
    <t>Patch Set 7: Patch Set 6 was rebased</t>
  </si>
  <si>
    <t>Patch Set 7: Integrator+1</t>
  </si>
  <si>
    <t>vied-viedandr-libcamhal</t>
  </si>
  <si>
    <t>master</t>
  </si>
  <si>
    <t>Patch Set 5: Integrator+1</t>
  </si>
  <si>
    <t>vied-viedandr-icamerasrc</t>
  </si>
  <si>
    <t>Patch Set 1: Integrator+1</t>
  </si>
  <si>
    <t>Patch Set 2: Integrator+1</t>
  </si>
  <si>
    <t>Patch Set 4: Integrator+1</t>
  </si>
  <si>
    <t>Patch Set 3: Integrator+1</t>
  </si>
  <si>
    <t>xiaozhou.liu@intel.com,qingwu.zhang@intel.com</t>
  </si>
  <si>
    <t>Patch Set 2: Code-Review-1
(1 comment)</t>
  </si>
  <si>
    <t>Patch Set 2: Code-Review-1
(2 comments)</t>
  </si>
  <si>
    <t>Uploaded patch set 8: Commit message was updated.</t>
  </si>
  <si>
    <t>Patch Set 8: Approver+1 Code-Review+1</t>
  </si>
  <si>
    <t>Patch Set 8: Integrator+1</t>
  </si>
  <si>
    <t>xiaozhou.liu@intel.com,xi.cao@intel.com</t>
  </si>
  <si>
    <t>Patch Set 2: Patch Set 1 was rebased</t>
  </si>
  <si>
    <t>Patch Set 9: Approver+1 Code-Review+1</t>
  </si>
  <si>
    <t>Patch Set 9: Integrator+1</t>
  </si>
  <si>
    <t>kranthi.kuntala@intel.com</t>
  </si>
  <si>
    <t>Uploaded patch set 3: Commit message was updated.</t>
  </si>
  <si>
    <t>Patch Set 4: Code-Review-1
(1 comment)</t>
  </si>
  <si>
    <t>Patch Set 7:
(3 comments)</t>
  </si>
  <si>
    <t>Patch Set 6: Patch Set 5 was rebased</t>
  </si>
  <si>
    <t>Patch Set 6: Integrator+1</t>
  </si>
  <si>
    <t>Patch Set 14: Code-Review+1</t>
  </si>
  <si>
    <t>Patch Set 16: Approver+1 Code-Review+1</t>
  </si>
  <si>
    <t>Patch Set 16: Integrator+1</t>
  </si>
  <si>
    <t>Uploaded patch set 13.</t>
  </si>
  <si>
    <t>Patch Set 7: -Approver</t>
  </si>
  <si>
    <t>Patch Set 7: Approver+1</t>
  </si>
  <si>
    <t>xiaozhou.liu@intel.com,gang.a.hu@intel.com,qingwu.zhang@intel.com</t>
  </si>
  <si>
    <t>Patch Set 1:
(2 comments)</t>
  </si>
  <si>
    <t>Patch Set 1: Code-Review-1
(2 comments)</t>
  </si>
  <si>
    <t>Patch Set 3:
Manual Trigger: CI job scheduled.
  - Reason: CI failed due to patch issue or related patch issue (SDK/image/driver/support patch missing)</t>
  </si>
  <si>
    <t>Patch Set 8: Patch Set 7 was rebased</t>
  </si>
  <si>
    <t>Uploaded patch set 18.</t>
  </si>
  <si>
    <t>Patch Set 18:
Patchset Created: CI job has been scheduled.</t>
  </si>
  <si>
    <t>Uploaded patch set 5: Commit message was updated.</t>
  </si>
  <si>
    <t>Patch Set 3:
(2 comments)</t>
  </si>
  <si>
    <t>Patch Set 11: Integrator+1</t>
  </si>
  <si>
    <t>Patch Set 4:
(1 comment)</t>
  </si>
  <si>
    <t>Patch Set 10: Integrator+1</t>
  </si>
  <si>
    <t>Patch Set 4: -Integrator</t>
  </si>
  <si>
    <t>Patch Set 5: Code-Review-1
(2 comments)</t>
  </si>
  <si>
    <t>Uploaded patch set 4: Commit message was updated.</t>
  </si>
  <si>
    <t>Patch Set 2: Code-Review+1
(1 comment)</t>
  </si>
  <si>
    <t>Patch Set 4: Patch Set 3 was rebased</t>
  </si>
  <si>
    <t>Patch Set 4: Published edit on patch set 3</t>
  </si>
  <si>
    <t>Uploaded patch set 16.</t>
  </si>
  <si>
    <t>Patch Set 16: Code-Review+1</t>
  </si>
  <si>
    <t>Uploaded patch set 17.</t>
  </si>
  <si>
    <t>Patch Set 17: Code-Review+1</t>
  </si>
  <si>
    <t>xiaozhou.liu@intel.com,gang.a.hu@intel.com,liang.l.yang@intel.com</t>
  </si>
  <si>
    <t>xiaozhou.liu@intel.com,qingwu.zhang@intel.com,wei.l.li@intel.com</t>
  </si>
  <si>
    <t>Uploaded patch set 7: Commit message was updated.</t>
  </si>
  <si>
    <t>Patch Set 1: Integrator-1</t>
  </si>
  <si>
    <t>Patch Set 1: Code-Review-1
(3 comments)</t>
  </si>
  <si>
    <t>xiaozhou.liu@intel.com,daxing.li@intel.com,hongbiao.xie@intel.com,qingwu.zhang@intel.com</t>
  </si>
  <si>
    <t>Patch Set 3: Code-Review-1
(4 comments)</t>
  </si>
  <si>
    <t>Patch Set 5:
(1 comment)</t>
  </si>
  <si>
    <t>Patch Set 9:
(2 comments)</t>
  </si>
  <si>
    <t>Uploaded patch set 16: Patch Set 15 was rebased.</t>
  </si>
  <si>
    <t>Patch Set 8: Code-Review-1
(1 comment)</t>
  </si>
  <si>
    <t>gang.a.hu@intel.com,xiaozhou.liu@intel.com</t>
  </si>
  <si>
    <t>xiaozhou.liu@intel.com,gang.a.hu@intel.com</t>
  </si>
  <si>
    <t>xiaozhou.liu@intel.com,liang.l.yang@intel.com,gang.a.hu@intel.com</t>
  </si>
  <si>
    <t>xiaozhou.liu@intel.com,gang.a.hu@intel.com,zongx.li@intel.com</t>
  </si>
  <si>
    <t>Patch Set 13: Approver+1</t>
  </si>
  <si>
    <t>Patch Set 14: Integrator+1</t>
  </si>
  <si>
    <t>Patch Set 18: Code-Review+1</t>
  </si>
  <si>
    <t>Patch Set 8:
Manual Trigger: CI job scheduled.
  - Reason: CI failed due to patch issue or related patch issue (SDK/image/driver/support patch missing)</t>
  </si>
  <si>
    <t>Patch Set 8: -Integrator</t>
  </si>
  <si>
    <t>Patch Set 12: Integrator+1</t>
  </si>
  <si>
    <t>Patch Set 5:
Manual Trigger: CI job scheduled.
  - Reason: CI failed due to patch issue or related patch issue (SDK/image/driver/support patch missing)</t>
  </si>
  <si>
    <t>Patch Set 8:
(5 comments)</t>
  </si>
  <si>
    <t>Patch Set 11:
(1 comment)</t>
  </si>
  <si>
    <t>Patch Set 3: -Code-Review</t>
  </si>
  <si>
    <t>Patch Set 10: Approver+1</t>
  </si>
  <si>
    <t>Patch Set 11: Patch Set 10 was rebased</t>
  </si>
  <si>
    <t>Patch Set 10: Patch Set 9 was rebased</t>
  </si>
  <si>
    <t>Patch Set 5:
(4 comments)</t>
  </si>
  <si>
    <t>Patch Set 1: -Integrator</t>
  </si>
  <si>
    <t>Patch Set 3: Published edit on patch set 2</t>
  </si>
  <si>
    <t>Patch Set 4: Validation-Android+1
receive smoke test</t>
  </si>
  <si>
    <t>Patch Set 18: Integrator+1</t>
  </si>
  <si>
    <t>Patch Set 2: Validation-Android+1
receive smoke test</t>
  </si>
  <si>
    <t>Patch Set 3: -Integrator</t>
  </si>
  <si>
    <t>I2dcec5d3d5db6057a97e18653bb6bb2ab24e549e</t>
  </si>
  <si>
    <t>Add the imx274 sensor support in camera HAL</t>
  </si>
  <si>
    <t xml:space="preserve">Add the imx274 sensor support in camera HAL
[Issue]
[Root Cause]
[Changes]
[Test Platform]
Change-Id: I2dcec5d3d5db6057a97e18653bb6bb2ab24e549e
Tracked-On: #H1504336080
Signed-off-by: Yang Liang &lt;liang.l.yang@intel.com&gt;
</t>
  </si>
  <si>
    <t>Patch Set 1: Validation-Linux-1
Build succeed, but mock test failed by http://yocto-build1.bj.intel.com:8080/job/libcamhal_build/1977/</t>
  </si>
  <si>
    <t>Patch Set 2:
UT FAILED on board with imx185 by http://yocto-build1.bj.intel.com:8080/job/run_on_board/1497/</t>
  </si>
  <si>
    <t>Patch Set 2: Validation-Linux-1
Build succeed, but mock test failed by http://yocto-build1.bj.intel.com:8080/job/libcamhal_build/1978/</t>
  </si>
  <si>
    <t>Patch Set 2:
UT FAILED on board with imx185 by http://yocto-build1.bj.intel.com:8080/job/run_on_board/1498/</t>
  </si>
  <si>
    <t>Patch Set 3: Validation-Linux-1
Build succeed, but mock test failed by http://yocto-build1.bj.intel.com:8080/job/libcamhal_build/1980/</t>
  </si>
  <si>
    <t>Patch Set 3:
UT FAILED on board with imx185 by http://yocto-build1.bj.intel.com:8080/job/run_on_board/1500/</t>
  </si>
  <si>
    <t>Patch Set 4:
Build succeed and mock test pass by http://yocto-build1.bj.intel.com:8080/job/libcamhal_build/1981/</t>
  </si>
  <si>
    <t>Patch Set 5:
Build succeed and mock test pass by http://yocto-build1.bj.intel.com:8080/job/libcamhal_build/1982/</t>
  </si>
  <si>
    <t>Patch Set 5:
Build succeed and mock test pass by http://yocto-build1.bj.intel.com:8080/job/libcamhal_build/1984/</t>
  </si>
  <si>
    <t>Patch Set 5:
UT PASSED on board with imx185 by http://yocto-build1.bj.intel.com:8080/job/run_on_board/1505/</t>
  </si>
  <si>
    <t>Ib137446a3abdb36c7832f82ede2d5dea140ba8d9</t>
  </si>
  <si>
    <t>camhalv1: Fix bug in preview call back</t>
  </si>
  <si>
    <t xml:space="preserve">camhalv1: Fix bug in preview call back
Preview call back needs to use the native window
buffers instead of the intermediate buffer.
Change-Id: Ib137446a3abdb36c7832f82ede2d5dea140ba8d9
Tracked-On: #JICSF-540
Signed-off-by: John Mathew &lt;john.mathew@intel.com&gt;
</t>
  </si>
  <si>
    <t>Patch Set 3:
Build succeed and mock test pass by http://yocto-build1.bj.intel.com:8080/job/libcamhal_build/1987/</t>
  </si>
  <si>
    <t>Patch Set 3:
UT FAILED on board with imx185 by http://yocto-build1.bj.intel.com:8080/job/run_on_board/1515/</t>
  </si>
  <si>
    <t>If5798797936f5ad5aab1b235cbac0c20c4d42c7f</t>
  </si>
  <si>
    <t>Enable interlace support for NV16 format</t>
  </si>
  <si>
    <t xml:space="preserve">Enable interlace support for NV16 format
[Issue]
[Root Cause]
[Changes]
1.Config NV16 interlace in xml file
2.Add NV16 interlace single and dual UT
[Test Platform]
Change-Id: If5798797936f5ad5aab1b235cbac0c20c4d42c7f
Tracked-On: #H1504337370
Signed-off-by: caoxi &lt;xi.cao@intel.com&gt;
</t>
  </si>
  <si>
    <t>Patch Set 1:
UT FAILED on board with imx185 by http://yocto-build1.bj.intel.com:8080/job/run_on_board/1512/</t>
  </si>
  <si>
    <t>Patch Set 1:
UT FAILED on board with imx185 by http://yocto-build1.bj.intel.com:8080/job/run_on_board/1513/</t>
  </si>
  <si>
    <t>Patch Set 1:
Build succeed and mock test pass by http://yocto-build1.bj.intel.com:8080/job/libcamhal_build/1986/</t>
  </si>
  <si>
    <t>Patch Set 1:
UT PASSED on board with imx185 by http://yocto-build1.bj.intel.com:8080/job/run_on_board/1514/</t>
  </si>
  <si>
    <t>If5c11ff169cfbe62a04450ff9b979e6748620257</t>
  </si>
  <si>
    <t>Remove unused dma test case</t>
  </si>
  <si>
    <t xml:space="preserve">Remove unused dma test case
[Issue]
NO more support for rgb565(32bit) DMA buffer
[Root Cause]
[Changes]
1.Remove RGBx DMA test cases
2.Change sink plugin when previewing
BGR and RGB16 format
[Test Platform]
Change-Id: If5c11ff169cfbe62a04450ff9b979e6748620257
Tracked-On: #H1504337212
Signed-off-by: caoxi &lt;xi.cao@intel.com&gt;
</t>
  </si>
  <si>
    <t>Patch Set 1:
Build succeed by http://yocto-build1.bj.intel.com:8080/job/icamerasrc_build/144/</t>
  </si>
  <si>
    <t>Patch Set 1:
UT FAILED on board with imx185 by http://yocto-build1.bj.intel.com:8080/job/run_on_board/1490/</t>
  </si>
  <si>
    <t>Patch Set 1:
UT PASSED on board with imx185 by http://yocto-build1.bj.intel.com:8080/job/run_on_board/1493/</t>
  </si>
  <si>
    <t>I65248f1da05e6a43f898b150cf6d6dcd509160c3</t>
  </si>
  <si>
    <t>Add support for XBGR32 DMA buffer</t>
  </si>
  <si>
    <t xml:space="preserve">Add support for XBGR32 DMA buffer
[Issue]
[Root Cause]
[Changes]
Add XBGR32 progressive resolution in xml file
[Test Platform]
Change-Id: I65248f1da05e6a43f898b150cf6d6dcd509160c3
Tracked-On: #H1504337212
Signed-off-by: caoxi &lt;xi.cao@intel.com&gt;
</t>
  </si>
  <si>
    <t>xiaozhou.liu@intel.com,zongx.li@intel.com,gang.a.hu@intel.com</t>
  </si>
  <si>
    <t>Patch Set 1:
Build succeed and mock test pass by http://yocto-build1.bj.intel.com:8080/job/libcamhal_build/1972/</t>
  </si>
  <si>
    <t>Patch Set 1:
UT PASSED on board with imx185 by http://yocto-build1.bj.intel.com:8080/job/run_on_board/1487/</t>
  </si>
  <si>
    <t xml:space="preserve">line75:"you should select FE capture for XBGR32 and non-intgerlace." </t>
  </si>
  <si>
    <t xml:space="preserve">line75:"Front End only support V4L2_PIX_FMT_BGR24, which vaapipostproc doesn't support, I could only use BE as an option" </t>
  </si>
  <si>
    <t>I80b15eef130aadd1fc6fda704c59c91edc56fbca</t>
  </si>
  <si>
    <t>Add scene mode support for 3A</t>
  </si>
  <si>
    <t xml:space="preserve">Add scene mode support for 3A
[Issue]
N/A
[Root Cause]
N/A
[Changes]
1. Add ULL CameraMode support;
2. Use CameraMode to replace enableWdrMode;
3. Add scene mode support in 3A.
[Test Platform]
imx185
Change-Id: I80b15eef130aadd1fc6fda704c59c91edc56fbca
Tracked-On: #R32084
Signed-off-by: Qingwu Zhang &lt;qingwu.zhang@intel.com&gt;
</t>
  </si>
  <si>
    <t>xiaozhou.liu@intel.com,gang.a.hu@intel.com,daxing.li@intel.com</t>
  </si>
  <si>
    <t>Patch Set 3:
Build succeed and mock test pass by http://yocto-build1.bj.intel.com:8080/job/libcamhal_build/1971/</t>
  </si>
  <si>
    <t>Patch Set 3:
UT FAILED on board with imx185 by http://yocto-build1.bj.intel.com:8080/job/run_on_board/1483/</t>
  </si>
  <si>
    <t>Patch Set 3:
UT FAILED on board with imx185 by http://yocto-build1.bj.intel.com:8080/job/run_on_board/1484/</t>
  </si>
  <si>
    <t>Patch Set 4:
Build succeed and mock test pass by http://yocto-build1.bj.intel.com:8080/job/libcamhal_build/1973/</t>
  </si>
  <si>
    <t>Patch Set 5:
Build succeed and mock test pass by http://yocto-build1.bj.intel.com:8080/job/libcamhal_build/1974/</t>
  </si>
  <si>
    <t>Patch Set 5:
UT FAILED on board with imx185 by http://yocto-build1.bj.intel.com:8080/job/run_on_board/1489/</t>
  </si>
  <si>
    <t>Patch Set 6:
Build succeed and mock test pass by http://yocto-build1.bj.intel.com:8080/job/libcamhal_build/1975/</t>
  </si>
  <si>
    <t>Patch Set 6:
UT FAILED on board with imx185 by http://yocto-build1.bj.intel.com:8080/job/run_on_board/1491/</t>
  </si>
  <si>
    <t>Patch Set 6:
UT PASSED on board with imx185 by http://yocto-build1.bj.intel.com:8080/job/run_on_board/1492/</t>
  </si>
  <si>
    <t>Patch Set 6: Code-Review+1
(1 comment)</t>
  </si>
  <si>
    <t xml:space="preserve">line58:"could you add mode to the parameter?" </t>
  </si>
  <si>
    <t xml:space="preserve">line58:"yes, I will cleanup this in next patch." </t>
  </si>
  <si>
    <t>Patch Set 6:
UT PASSED on board with imx185 by http://yocto-build1.bj.intel.com:8080/job/run_on_board/1495/</t>
  </si>
  <si>
    <t>I860546c8013eb0178f1b52673b1e9f170912b565</t>
  </si>
  <si>
    <t>Cleanup: Merge the MediaCtlConfs for one raw sensor.</t>
  </si>
  <si>
    <t xml:space="preserve">Cleanup: Merge the MediaCtlConfs for one raw sensor.
We can use scene mode and configure stream info to
select MediaCtlConfs id.
Change-Id: I860546c8013eb0178f1b52673b1e9f170912b565
Tracked-On: #H1504314298
Signed-off-by: Li Zong &lt;zongx.li@intel.com&gt;
</t>
  </si>
  <si>
    <t>xiaozhou.liu@intel.com,gang.a.hu@intel.com,qingwu.zhang@intel.com,wei.l.li@intel.com</t>
  </si>
  <si>
    <t>Patch Set 1:
Build succeed and mock test pass by http://yocto-build1.bj.intel.com:8080/job/libcamhal_build/1955/</t>
  </si>
  <si>
    <t>Patch Set 1:
UT PASSED on board with imx185 by http://yocto-build1.bj.intel.com:8080/job/run_on_board/1464/</t>
  </si>
  <si>
    <t>I07d57a61d2918fb6029c0e3ff07c98d92f998a85</t>
  </si>
  <si>
    <t>Enable software weave function</t>
  </si>
  <si>
    <t xml:space="preserve">Enable software weave function
[Issue]
[Root Cause]
[Changes]
1.Add sw_weave selection in 'deinterlace_method'
property
2.Implement software weave by creating two
temp buffers to store buffer contents
[Test Platform]
Tracked-On: #H1504333929
Depends-On: I6a12c2f3942fe77dcbc1a86131f96de9d73b428c
Change-Id: I07d57a61d2918fb6029c0e3ff07c98d92f998a85
Signed-off-by: caoxi &lt;xi.cao@intel.com&gt;
</t>
  </si>
  <si>
    <t>xiaozhou.liu@intel.com,tian.shu.qiu@intel.com,gang.a.hu@intel.com,zongx.li@intel.com,liang.l.yang@intel.com</t>
  </si>
  <si>
    <t>Patch Set 1:
Build succeed by http://yocto-build1.bj.intel.com:8080/job/icamerasrc_build/117/</t>
  </si>
  <si>
    <t>Patch Set 1:
UT PASSED on board with imx185 by http://yocto-build1.bj.intel.com:8080/job/run_on_board/1331/</t>
  </si>
  <si>
    <t>Patch Set 2:
Build succeed by http://yocto-build1.bj.intel.com:8080/job/icamerasrc_build/118/</t>
  </si>
  <si>
    <t>Patch Set 2:
UT PASSED on board with imx185 by http://yocto-build1.bj.intel.com:8080/job/run_on_board/1332/</t>
  </si>
  <si>
    <t xml:space="preserve">line104:"You do the copy directly on the source buffer?
This is not as designed. You need a full frame buffer as the copy target. This full frame also keeps the data from the previous field." line105:"Why you memset(0) here?" </t>
  </si>
  <si>
    <t>Patch Set 3:
Build FAILED, please check http://yocto-build1.bj.intel.com:8080/job/icamerasrc_build/123/</t>
  </si>
  <si>
    <t>Patch Set 3:
UT PASSED on board with imx185 by http://yocto-build1.bj.intel.com:8080/job/run_on_board/1371/</t>
  </si>
  <si>
    <t>Patch Set 4:
Build FAILED, please check http://yocto-build1.bj.intel.com:8080/job/icamerasrc_build/124/</t>
  </si>
  <si>
    <t>Patch Set 4:
UT PASSED on board with imx185 by http://yocto-build1.bj.intel.com:8080/job/run_on_board/1373/</t>
  </si>
  <si>
    <t>Patch Set 4:
(5 comments)</t>
  </si>
  <si>
    <t xml:space="preserve">line92:"weaving from top and bottom" line328:"top and bottom is engouth" line387:"use a function do the allocation" line604:"save the bottom" line615:"move this out" </t>
  </si>
  <si>
    <t>Patch Set 5:
Build FAILED, please check http://yocto-build1.bj.intel.com:8080/job/icamerasrc_build/125/</t>
  </si>
  <si>
    <t>Patch Set 5:
Build FAILED, please check http://yocto-build1.bj.intel.com:8080/job/icamerasrc_build/126/</t>
  </si>
  <si>
    <t>Patch Set 5:
UT FAILED on board with imx185 by http://yocto-build1.bj.intel.com:8080/job/run_on_board/1374/</t>
  </si>
  <si>
    <t>Patch Set 5:
Build FAILED, please check http://yocto-build1.bj.intel.com:8080/job/icamerasrc_build/128/</t>
  </si>
  <si>
    <t>Patch Set 5:
Build FAILED, please check http://yocto-build1.bj.intel.com:8080/job/icamerasrc_build/129/</t>
  </si>
  <si>
    <t>Patch Set 5:
UT PASSED on board with imx185 by http://yocto-build1.bj.intel.com:8080/job/run_on_board/1387/</t>
  </si>
  <si>
    <t>Patch Set 7:
Build succeed by http://yocto-build1.bj.intel.com:8080/job/icamerasrc_build/130/</t>
  </si>
  <si>
    <t>Patch Set 7: Code-Review-1
(3 comments)</t>
  </si>
  <si>
    <t xml:space="preserve">line116:"if (camerasrc-&gt;interlace_field != GST_CAMERASRC_INTERLACE_FIELD_ALTERNATE
|| camerasrc-&gt;deinterlace_method != GST_CAMERASRC_DEINTERLACE_METHOD_SOFTWARE_WEAVE)
return ;" line132:"wrong logic.  Move this out of this function" line373:"please use camerasrc-&gt;top == NULL" </t>
  </si>
  <si>
    <t xml:space="preserve">line116:"will fix in next patchset" line132:"move to gst_buffer_pool_acquire_buffer" line373:"will fix in next patchset" </t>
  </si>
  <si>
    <t>Patch Set 8:
Build succeed by http://yocto-build1.bj.intel.com:8080/job/icamerasrc_build/131/</t>
  </si>
  <si>
    <t xml:space="preserve">line141:"update the buffer flag. Because it is not a top/bottom buffer any more." line147:"if use doesn't set this property, you should not print error." line624:"break;" line631:"set buffer flags to top and bottom separately." line640:"Update the buffer flag inside the function of gst_camerasrc_deinterlace_frame." </t>
  </si>
  <si>
    <t>Patch Set 8:
UT PASSED on board with imx185 by http://yocto-build1.bj.intel.com:8080/job/run_on_board/1392/</t>
  </si>
  <si>
    <t>Patch Set 8:
(3 comments)</t>
  </si>
  <si>
    <t xml:space="preserve">line141:"will fix this" line147:"agree, will change to DBG info" line624:"if add break here, then gst_camerasrc_deinterlace_frame function should be moved out of switch in order to do weaving." </t>
  </si>
  <si>
    <t>Patch Set 8:
(2 comments)</t>
  </si>
  <si>
    <t xml:space="preserve">line631:"will fix this" line640:"better set here, clearer for users" </t>
  </si>
  <si>
    <t xml:space="preserve">line146:"1. Why you print error in normal case?
2. You must update the field information because it is a progressive frame now." line645:"tab" </t>
  </si>
  <si>
    <t xml:space="preserve">line146:"1.error MSG is changed as debug MSG
2.I'll update buffer-&gt;s.field to V4L2_PIX_ANY" line645:"will fix this" </t>
  </si>
  <si>
    <t>Patch Set 10:
Build succeed by http://yocto-build1.bj.intel.com:8080/job/icamerasrc_build/132/</t>
  </si>
  <si>
    <t>Patch Set 11:
Build succeed by http://yocto-build1.bj.intel.com:8080/job/icamerasrc_build/135/</t>
  </si>
  <si>
    <t>Patch Set 11:
UT FAILED on board with imx185 by http://yocto-build1.bj.intel.com:8080/job/run_on_board/1405/</t>
  </si>
  <si>
    <t>Patch Set 11:
(3 comments)</t>
  </si>
  <si>
    <t xml:space="preserve">line144:"If user don't set the deinterlace_method, there is logs.
Do you test this?" line643:"tabs" line645:"too many indent" </t>
  </si>
  <si>
    <t xml:space="preserve">line144:"yes, if users don't set deinterlace_method, then deinterlace_method is default value:GST_CAMERASRC_DEINTERLACE_METHOD_NONE" </t>
  </si>
  <si>
    <t xml:space="preserve">line144:"if users set invalid value for deinterlace_method, gst pipeline will exit directly" </t>
  </si>
  <si>
    <t>Patch Set 13:
Build succeed by http://yocto-build1.bj.intel.com:8080/job/icamerasrc_build/136/</t>
  </si>
  <si>
    <t>Patch Set 13:
UT PASSED on board with imx185 by http://yocto-build1.bj.intel.com:8080/job/run_on_board/1419/</t>
  </si>
  <si>
    <t>Patch Set 13: Code-Review-1</t>
  </si>
  <si>
    <t>Patch Set 14: Patch Set 13 was rebased</t>
  </si>
  <si>
    <t>Patch Set 14:
Build succeed by http://yocto-build1.bj.intel.com:8080/job/icamerasrc_build/137/</t>
  </si>
  <si>
    <t>Patch Set 14:
UT PASSED on board with imx185 by http://yocto-build1.bj.intel.com:8080/job/run_on_board/1451/</t>
  </si>
  <si>
    <t>Patch Set 14: Integrator-1
Reject as Klocwork issue</t>
  </si>
  <si>
    <t>Patch Set 15:
Build succeed by http://yocto-build1.bj.intel.com:8080/job/icamerasrc_build/139/</t>
  </si>
  <si>
    <t>Patch Set 15:
UT PASSED on board with imx185 by http://yocto-build1.bj.intel.com:8080/job/run_on_board/1466/</t>
  </si>
  <si>
    <t>Patch Set 15: Code-Review-1
(1 comment)</t>
  </si>
  <si>
    <t xml:space="preserve">line517:"please add the NULL set to these pointer." </t>
  </si>
  <si>
    <t>Patch Set 16:
Build succeed by http://yocto-build1.bj.intel.com:8080/job/icamerasrc_build/141/</t>
  </si>
  <si>
    <t>Patch Set 16:
UT PASSED on board with imx185 by http://yocto-build1.bj.intel.com:8080/job/run_on_board/1469/</t>
  </si>
  <si>
    <t>I41c943faed576a79d461b3a5b7ff9d6083864b0b</t>
  </si>
  <si>
    <t>Frame size no longer double for interlace mode</t>
  </si>
  <si>
    <t xml:space="preserve">Frame size no longer double for interlace mode
[Issue]
[Root Cause]
[Changes]
1.Buffer size no longer multiply by 2
for alternate interlace mode
2.Change test case template
[Test Platform]
Change-Id: I41c943faed576a79d461b3a5b7ff9d6083864b0b
Tracked-On: #R32031
Signed-off-by: caoxi &lt;xi.cao@intel.com&gt;
</t>
  </si>
  <si>
    <t>Patch Set 1:
Build succeed by http://yocto-build1.bj.intel.com:8080/job/icamerasrc_build/140/</t>
  </si>
  <si>
    <t>Patch Set 1:
UT PASSED on board with imx185 by http://yocto-build1.bj.intel.com:8080/job/run_on_board/1467/</t>
  </si>
  <si>
    <t>I6a12c2f3942fe77dcbc1a86131f96de9d73b428c</t>
  </si>
  <si>
    <t>Get buffer field from CameraBuffer</t>
  </si>
  <si>
    <t xml:space="preserve">Get buffer field from CameraBuffer
[Issue]
User buffer failed to acquire correct buffer field
[Root Cause]
CameraBuffer didn't assign field to UserBuffer
[Changes]
Assign buffer field to user buffer after DQ
[Test Platform]
Change-Id: I6a12c2f3942fe77dcbc1a86131f96de9d73b428c
Depends-On: I07d57a61d2918fb6029c0e3ff07c98d92f998a85
Tracked-On: #H1504333929
Signed-off-by: caoxi &lt;xi.cao@intel.com&gt;
</t>
  </si>
  <si>
    <t>Patch Set 1:
Build succeed and mock test pass by http://yocto-build1.bj.intel.com:8080/job/libcamhal_build/1866/</t>
  </si>
  <si>
    <t>Patch Set 1:
UT PASSED on board with imx185 by http://yocto-build1.bj.intel.com:8080/job/run_on_board/1339/</t>
  </si>
  <si>
    <t>Patch Set 1: Integrator-1
NOGO-&gt;HSD1504335663</t>
  </si>
  <si>
    <t>Patch Set 3: Patch Set 2 was rebased</t>
  </si>
  <si>
    <t>Patch Set 3:
Build succeed and mock test pass by http://yocto-build1.bj.intel.com:8080/job/libcamhal_build/1943/</t>
  </si>
  <si>
    <t>Patch Set 3:
UT PASSED on board with imx185 by http://yocto-build1.bj.intel.com:8080/job/run_on_board/1447/</t>
  </si>
  <si>
    <t>Patch Set 3: Integrator-1
Reject as Klocwork issue on depended patch</t>
  </si>
  <si>
    <t>Patch Set 4:
Build succeed and mock test pass by http://yocto-build1.bj.intel.com:8080/job/libcamhal_build/1961/</t>
  </si>
  <si>
    <t>I024c39534f3df7e1bd33d6121395a76106da2b6b</t>
  </si>
  <si>
    <t>Cleanup: Add scene mode in mediaCtlConf for raw sensor</t>
  </si>
  <si>
    <t xml:space="preserve">Cleanup: Add scene mode in mediaCtlConf for raw sensor
For raw sensor, we need to use stream info and scene
mode to select mediaCtlConf.
1. This patch adds support scene mode and output resolution
for each mediaCtlConf, and use them to match with user's
configuration.
2. The isys output size is fixed if the resolution of all
entities is given in xml. We should take it as real isys
size.
Change-Id: I024c39534f3df7e1bd33d6121395a76106da2b6b
Tracked-On: #H1504314298
Signed-off-by: Li Zong &lt;zongx.li@intel.com&gt;
Signed-off-by: Qingwu Zhang &lt;qingwu.zhang@intel.com&gt;
</t>
  </si>
  <si>
    <t>Patch Set 1:
Build succeed and mock test pass by http://yocto-build1.bj.intel.com:8080/job/libcamhal_build/1893/</t>
  </si>
  <si>
    <t>Patch Set 1:
UT FAILED on board with imx185 by http://yocto-build1.bj.intel.com:8080/job/run_on_board/1366/</t>
  </si>
  <si>
    <t>Patch Set 2:
Build succeed and mock test pass by http://yocto-build1.bj.intel.com:8080/job/libcamhal_build/1897/</t>
  </si>
  <si>
    <t>Patch Set 2:
UT FAILED on board with imx185 by http://yocto-build1.bj.intel.com:8080/job/run_on_board/1376/</t>
  </si>
  <si>
    <t>Patch Set 2:
UT FAILED on board with imx185 by http://yocto-build1.bj.intel.com:8080/job/run_on_board/1377/</t>
  </si>
  <si>
    <t>Patch Set 2:
UT PASSED on board with imx185 by http://yocto-build1.bj.intel.com:8080/job/run_on_board/1385/</t>
  </si>
  <si>
    <t>Patch Set 3:
Build succeed and mock test pass by http://yocto-build1.bj.intel.com:8080/job/libcamhal_build/1923/</t>
  </si>
  <si>
    <t>Patch Set 3:
UT PASSED on board with imx185 by http://yocto-build1.bj.intel.com:8080/job/run_on_board/1426/</t>
  </si>
  <si>
    <t>Patch Set 4:
Build succeed and mock test pass by http://yocto-build1.bj.intel.com:8080/job/libcamhal_build/1956/</t>
  </si>
  <si>
    <t>Patch Set 4:
UT PASSED on board with imx185 by http://yocto-build1.bj.intel.com:8080/job/run_on_board/1465/</t>
  </si>
  <si>
    <t>Ifedb3873f99704b24c0e3cb7c8fe7a413c62f0da</t>
  </si>
  <si>
    <t>Add an environment variable to control HW weaving function</t>
  </si>
  <si>
    <t xml:space="preserve">Add an environment variable to control HW weaving function
Add a debug environment variable to control if enable
HW weaving function. This variable will be removed later
after we have a formal control parameter.
Change-Id: Ifedb3873f99704b24c0e3cb7c8fe7a413c62f0da
Tracked-On: #R32031
Signed-off-by: Liu, Xiaozhou &lt;xiaozhou.liu@intel.com&gt;
</t>
  </si>
  <si>
    <t>gang.a.hu@intel.com,qingwu.zhang@intel.com</t>
  </si>
  <si>
    <t>Patch Set 1:
Build succeed and mock test pass by http://yocto-build1.bj.intel.com:8080/job/libcamhal_build/1918/</t>
  </si>
  <si>
    <t>Patch Set 2:
UT FAILED on board with imx185 by http://yocto-build1.bj.intel.com:8080/job/run_on_board/1412/</t>
  </si>
  <si>
    <t xml:space="preserve">line206:"Use a creator pattern." </t>
  </si>
  <si>
    <t>Patch Set 2:
Build succeed and mock test pass by http://yocto-build1.bj.intel.com:8080/job/libcamhal_build/1919/</t>
  </si>
  <si>
    <t>Patch Set 2:
UT FAILED on board with imx185 by http://yocto-build1.bj.intel.com:8080/job/run_on_board/1414/</t>
  </si>
  <si>
    <t>Patch Set 2:
UT PASSED on board with imx185 by http://yocto-build1.bj.intel.com:8080/job/run_on_board/1418/</t>
  </si>
  <si>
    <t xml:space="preserve">line206:"Actually this function is used to createProcessor which looks like a creator you suggested.
And WeavingProcessor itself doesn't know whether it should be created or not, so we cannot reduce the if condition even I move the new into a creator. So I suggest keeping current solution for now." </t>
  </si>
  <si>
    <t>Patch Set 3:
Build succeed and mock test pass by http://yocto-build1.bj.intel.com:8080/job/libcamhal_build/1934/</t>
  </si>
  <si>
    <t>Patch Set 3:
UT PASSED on board with imx185 by http://yocto-build1.bj.intel.com:8080/job/run_on_board/1441/</t>
  </si>
  <si>
    <t>Patch Set 4:
Build succeed and mock test pass by http://yocto-build1.bj.intel.com:8080/job/libcamhal_build/1948/</t>
  </si>
  <si>
    <t>Patch Set 4:
UT PASSED on board with imx185 by http://yocto-build1.bj.intel.com:8080/job/run_on_board/1454/</t>
  </si>
  <si>
    <t>I3668864bdd1a54601de2c41c783312e78b4e44e0</t>
  </si>
  <si>
    <t>camhalv1: Reduce flicker when movement</t>
  </si>
  <si>
    <t xml:space="preserve">camhalv1: Reduce flicker when movement
Change-Id: I3668864bdd1a54601de2c41c783312e78b4e44e0
Tracked-On: https://jira01.devtools.intel.com/browse/OAM-36601
Signed-off-by: John Mathew &lt;john.mathew@intel.com&gt;
</t>
  </si>
  <si>
    <t>Patch Set 1:
Build succeed and mock test pass by http://yocto-build1.bj.intel.com:8080/job/libcamhal_build/1959/</t>
  </si>
  <si>
    <t>Patch Set 1:
UT PASSED on board with imx185 by http://yocto-build1.bj.intel.com:8080/job/run_on_board/1470/</t>
  </si>
  <si>
    <t>Ie40769a634c0e56cf0aa1fb610fc7e7dc6d04530</t>
  </si>
  <si>
    <t>camhalv1: Fix bug in Picture size setting</t>
  </si>
  <si>
    <t xml:space="preserve">camhalv1: Fix bug in Picture size setting
Fix copy paste error in picture size setting.
Change-Id: Ie40769a634c0e56cf0aa1fb610fc7e7dc6d04530
Tracked-On: https://jira01.devtools.intel.com/browse/OAM-38201
Signed-off-by: John Mathew &lt;john.mathew@intel.com&gt;
</t>
  </si>
  <si>
    <t>Patch Set 1:
Build succeed and mock test pass by http://yocto-build1.bj.intel.com:8080/job/libcamhal_build/1944/</t>
  </si>
  <si>
    <t>Patch Set 1:
UT PASSED on board with imx185 by http://yocto-build1.bj.intel.com:8080/job/run_on_board/1448/</t>
  </si>
  <si>
    <t>I84e7f3540ead9a65ae25804b17d22d59770568b1</t>
  </si>
  <si>
    <t>camhalv1: Add shutter callback for JPEG capture</t>
  </si>
  <si>
    <t xml:space="preserve">camhalv1: Add shutter callback for JPEG capture
Needed by CATS test cases.
Change-Id: I84e7f3540ead9a65ae25804b17d22d59770568b1
Tracked-On: #JICSF-540
Signed-off-by: John Mathew &lt;john.mathew@intel.com&gt;
</t>
  </si>
  <si>
    <t>Patch Set 1:
Build succeed and mock test pass by http://yocto-build1.bj.intel.com:8080/job/libcamhal_build/1937/</t>
  </si>
  <si>
    <t>Patch Set 1:
UT PASSED on board with imx185 by http://yocto-build1.bj.intel.com:8080/job/run_on_board/1444/</t>
  </si>
  <si>
    <t>Patch Set 2:
Build succeed and mock test pass by http://yocto-build1.bj.intel.com:8080/job/libcamhal_build/1945/</t>
  </si>
  <si>
    <t>Patch Set 2:
UT FAILED on board with imx185 by http://yocto-build1.bj.intel.com:8080/job/run_on_board/1449/</t>
  </si>
  <si>
    <t>I5731bd8c27ffd29d55cc5e1c11bc23a414258343</t>
  </si>
  <si>
    <t>camhalv1: Fix Fps calculation</t>
  </si>
  <si>
    <t xml:space="preserve">camhalv1: Fix Fps calculation
Fps calculation was using static variables which
retained values between different preview sessions
and so the calculated fps value was wrong after
multiple preview runs.
Change-Id: I5731bd8c27ffd29d55cc5e1c11bc23a414258343
Tracked-On: #JICSF-540
Signed-off-by: John Mathew &lt;john.mathew@intel.com&gt;
</t>
  </si>
  <si>
    <t>Patch Set 1:
No tracked issue id found, there must be a space after :</t>
  </si>
  <si>
    <t>Patch Set 1:
Build succeed and mock test pass by http://yocto-build1.bj.intel.com:8080/job/libcamhal_build/1924/</t>
  </si>
  <si>
    <t>Patch Set 1:
UT PASSED on board with imx185 by http://yocto-build1.bj.intel.com:8080/job/run_on_board/1427/</t>
  </si>
  <si>
    <t>Patch Set 2:
Build succeed and mock test pass by http://yocto-build1.bj.intel.com:8080/job/libcamhal_build/1925/</t>
  </si>
  <si>
    <t>Patch Set 2:
UT PASSED on board with imx185 by http://yocto-build1.bj.intel.com:8080/job/run_on_board/1431/</t>
  </si>
  <si>
    <t xml:space="preserve">line99:"please don't specify write_never with write often at the same time." </t>
  </si>
  <si>
    <t xml:space="preserve">line99:"Done" </t>
  </si>
  <si>
    <t>Patch Set 3:
Build succeed and mock test pass by http://yocto-build1.bj.intel.com:8080/job/libcamhal_build/1936/</t>
  </si>
  <si>
    <t>Patch Set 3:
UT PASSED on board with imx185 by http://yocto-build1.bj.intel.com:8080/job/run_on_board/1443/</t>
  </si>
  <si>
    <t>Patch Set 4:
Build succeed and mock test pass by http://yocto-build1.bj.intel.com:8080/job/libcamhal_build/1941/</t>
  </si>
  <si>
    <t>Patch Set 4:
UT PASSED on board with imx185 by http://yocto-build1.bj.intel.com:8080/job/run_on_board/1445/</t>
  </si>
  <si>
    <t>I2065bfd7b32159009522fdb0f2fabce34c0be27d</t>
  </si>
  <si>
    <t>Frame size should not related with interlace mode</t>
  </si>
  <si>
    <t xml:space="preserve">Frame size should not related with interlace mode
[Changes]
Remove field parameter from getFrameSize, since frame size
is only related to format, width and height.
Change-Id: I2065bfd7b32159009522fdb0f2fabce34c0be27d
Tracked-On: #R32031
Signed-off-by: Liu, Xiaozhou &lt;xiaozhou.liu@intel.com&gt;
</t>
  </si>
  <si>
    <t>gang.a.hu@intel.com,qingwu.zhang@intel.com,xi.cao@intel.com</t>
  </si>
  <si>
    <t>Patch Set 1:
UT FAILED on board with imx185 by http://yocto-build1.bj.intel.com:8080/job/run_on_board/1411/</t>
  </si>
  <si>
    <t>Patch Set 2:
UT PASSED on board with imx185 by http://yocto-build1.bj.intel.com:8080/job/run_on_board/1420/</t>
  </si>
  <si>
    <t>Patch Set 3:
Build succeed and mock test pass by http://yocto-build1.bj.intel.com:8080/job/libcamhal_build/1935/</t>
  </si>
  <si>
    <t>Patch Set 3:
UT PASSED on board with imx185 by http://yocto-build1.bj.intel.com:8080/job/run_on_board/1442/</t>
  </si>
  <si>
    <t>Patch Set 4:
Build succeed and mock test pass by http://yocto-build1.bj.intel.com:8080/job/libcamhal_build/1947/</t>
  </si>
  <si>
    <t>Patch Set 4:
UT PASSED on board with imx185 by http://yocto-build1.bj.intel.com:8080/job/run_on_board/1453/</t>
  </si>
  <si>
    <t xml:space="preserve">line277:"Is this parameter still useful? if not, you can remove it too" </t>
  </si>
  <si>
    <t xml:space="preserve">line277:"Field is not used in HAL, but in order to make icamerasrc compile, I didn't change the API for now. I'll do it later with icamerasrc patch together, thanks for your comments." </t>
  </si>
  <si>
    <t xml:space="preserve">line277:"ok, then please notice me if you change API, icamerasrc should also change its code." </t>
  </si>
  <si>
    <t>If9d384355dcf9756926f3d56636aabc2be803d06</t>
  </si>
  <si>
    <t>Fix GBCE setting issue</t>
  </si>
  <si>
    <t xml:space="preserve">Fix GBCE setting issue
[Issue]
N/A
[Root Cause]
N/A
[Changes]
GBCE tone_map_level should have proper initial value.
[Test Platform]
imx185
Change-Id: If9d384355dcf9756926f3d56636aabc2be803d06
Tracked-On: #R31719
Signed-off-by: Yang Bin &lt;bin.b.yang@intel.com&gt;
</t>
  </si>
  <si>
    <t>gary.sun@intel.com,gang.a.hu@intel.com,qingwu.zhang@intel.com,xiaozhou.liu@intel.com</t>
  </si>
  <si>
    <t>gary.sun@intel.com</t>
  </si>
  <si>
    <t>Patch Set 1: Code-Review+1 Validation-Linux+2</t>
  </si>
  <si>
    <t>Patch Set 1:
Build succeed and mock test pass by http://yocto-build1.bj.intel.com:8080/job/libcamhal_build/1946/</t>
  </si>
  <si>
    <t>Patch Set 1:
UT PASSED on board with imx185 by http://yocto-build1.bj.intel.com:8080/job/run_on_board/1450/</t>
  </si>
  <si>
    <t>I07b3b6b3561443fc5be3cc943ad171807e5278d2</t>
  </si>
  <si>
    <t>Move run Ltm to PSYS thread</t>
  </si>
  <si>
    <t xml:space="preserve">Move run Ltm to PSYS thread
[Issue]
N/A
[Root Cause]
N/A
[Changes]
1. Move run Ltm to PSYS thread.
[Test Platform]
imx185
Change-Id: I07b3b6b3561443fc5be3cc943ad171807e5278d2
Tracked-On: #R32084
Signed-off-by: Qingwu Zhang &lt;qingwu.zhang@intel.com&gt;
</t>
  </si>
  <si>
    <t>bin.b.yang@intel.com,gang.a.hu@intel.com,xiaozhou.liu@intel.com,wei.l.li@intel.com</t>
  </si>
  <si>
    <t>Patch Set 2:
Build succeed and mock test pass by http://yocto-build1.bj.intel.com:8080/job/libcamhal_build/1942/</t>
  </si>
  <si>
    <t>Patch Set 2:
UT PASSED on board with imx185 by http://yocto-build1.bj.intel.com:8080/job/run_on_board/1446/</t>
  </si>
  <si>
    <t>stable_iot_0912</t>
  </si>
  <si>
    <t>I71018f6a8a55746b312dd0759ded2180b8ddb27a</t>
  </si>
  <si>
    <t>Revert "Disable GDC to make default GDC table generated"</t>
  </si>
  <si>
    <t xml:space="preserve">Revert "Disable GDC to make default GDC table generated"
This reverts commit 0cfa5b0d10f42586721fd96bb76ef40a39aff00d.
Change-Id: I71018f6a8a55746b312dd0759ded2180b8ddb27a
Tracked-On: #R31719
Signed-off-by: Yang Bin &lt;bin.b.yang@intel.com&gt;
</t>
  </si>
  <si>
    <t>xiaozhou.liu@intel.com,wei.l.li@intel.com</t>
  </si>
  <si>
    <t>Patch Set 1:
Build succeed and mock test pass by http://yocto-build1.bj.intel.com:8080/job/libcamhal_build/1926/</t>
  </si>
  <si>
    <t>Patch Set 1:
UT PASSED on board with imx185 by http://yocto-build1.bj.intel.com:8080/job/run_on_board/1433/</t>
  </si>
  <si>
    <t>I5754f254b406b95adf946435abdae706367c686f</t>
  </si>
  <si>
    <t>Add the DMA buffer sharing support for the weaving pg pipeline</t>
  </si>
  <si>
    <t xml:space="preserve">Add the DMA buffer sharing support for the weaving pg pipeline
[Issue]
[Root Cause]
[Changes]
[Test Platform]
Change-Id: I5754f254b406b95adf946435abdae706367c686f
Tracked-On: #R31129
Signed-off-by: Yang Liang &lt;liang.l.yang@intel.com&gt;
</t>
  </si>
  <si>
    <t>Patch Set 1:
Build succeed and mock test pass by http://yocto-build1.bj.intel.com:8080/job/libcamhal_build/1931/</t>
  </si>
  <si>
    <t>Patch Set 1:
UT PASSED on board with imx185 by http://yocto-build1.bj.intel.com:8080/job/run_on_board/1438/</t>
  </si>
  <si>
    <t>Iae67b9d9a57158983a3d2f3ee7afc14e005c6e57</t>
  </si>
  <si>
    <t>Refactor: Cleanup the IspParam</t>
  </si>
  <si>
    <t xml:space="preserve">Refactor: Cleanup the IspParam
[Issue]
N/A
[Root Cause]
N/A
[Changes]
1. cleanup the specific handling to PG_PARAM_PSYS_ISA
2. Init the input parameter in a function
[Test Platform]
mock
Change-Id: Iae67b9d9a57158983a3d2f3ee7afc14e005c6e57
Tracked-On: #H1504334535
Signed-off-by: Hu Gang &lt;gang.a.hu@intel.com&gt;
</t>
  </si>
  <si>
    <t>Patch Set 1:
Build succeed and mock test pass by http://yocto-build1.bj.intel.com:8080/job/libcamhal_build/1932/</t>
  </si>
  <si>
    <t>Patch Set 1:
UT PASSED on board with imx185 by http://yocto-build1.bj.intel.com:8080/job/run_on_board/1439/</t>
  </si>
  <si>
    <t>Patch Set 1:
Build succeed and mock test pass by http://yocto-build1.bj.intel.com:8080/job/libcamhal_build/1950/</t>
  </si>
  <si>
    <t>Patch Set 1:
UT PASSED on board with imx185 by http://yocto-build1.bj.intel.com:8080/job/run_on_board/1456/</t>
  </si>
  <si>
    <t>Ib600ef6f310ead6d256f56b49b696a7b7f53d204</t>
  </si>
  <si>
    <t>Add new Ltm class for Ltm algorithm</t>
  </si>
  <si>
    <t xml:space="preserve">Add new Ltm class for Ltm algorithm
[Issue]
N/A
[Root Cause]
N/A
[Changes]
1. Add new Ltm class for Ltm algorithm.
[Test Platform]
imx185
Change-Id: Ib600ef6f310ead6d256f56b49b696a7b7f53d204
Tracked-On: #R32084
Signed-off-by: Qingwu Zhang &lt;qingwu.zhang@intel.com&gt;
</t>
  </si>
  <si>
    <t>Patch Set 1:
Build succeed and mock test pass by http://yocto-build1.bj.intel.com:8080/job/libcamhal_build/1930/</t>
  </si>
  <si>
    <t>Patch Set 1:
UT PASSED on board with imx185 by http://yocto-build1.bj.intel.com:8080/job/run_on_board/1437/</t>
  </si>
  <si>
    <t>Patch Set 2:
Build succeed and mock test pass by http://yocto-build1.bj.intel.com:8080/job/libcamhal_build/1954/</t>
  </si>
  <si>
    <t>Patch Set 2:
UT PASSED on board with imx185 by http://yocto-build1.bj.intel.com:8080/job/run_on_board/1460/</t>
  </si>
  <si>
    <t>I68573c5099457c3d42755f958af82f17c2be55bf</t>
  </si>
  <si>
    <t>Save Ltm result in AiqResultStorage</t>
  </si>
  <si>
    <t xml:space="preserve">Save Ltm result in AiqResultStorage
[Issue]
N/A
[Root Cause]
N/A
[Changes]
1. Save Ltm result in AiqResultStorage.
[Test Platform]
imx185
Change-Id: I68573c5099457c3d42755f958af82f17c2be55bf
Tracked-On: #R32084
Signed-off-by: Qingwu Zhang &lt;qingwu.zhang@intel.com&gt;
</t>
  </si>
  <si>
    <t>Patch Set 1:
Build succeed and mock test pass by http://yocto-build1.bj.intel.com:8080/job/libcamhal_build/1929/</t>
  </si>
  <si>
    <t>Patch Set 1:
UT PASSED on board with imx185 by http://yocto-build1.bj.intel.com:8080/job/run_on_board/1436/</t>
  </si>
  <si>
    <t>Patch Set 2:
Build succeed and mock test pass by http://yocto-build1.bj.intel.com:8080/job/libcamhal_build/1953/</t>
  </si>
  <si>
    <t>Patch Set 2:
UT PASSED on board with imx185 by http://yocto-build1.bj.intel.com:8080/job/run_on_board/1459/</t>
  </si>
  <si>
    <t>I9cad8263ce33452e7d8fecfad61897de16f9c685</t>
  </si>
  <si>
    <t>Use Ltm class to run Ltm algorithm</t>
  </si>
  <si>
    <t xml:space="preserve">Use Ltm class to run Ltm algorithm
[Issue]
N/A
[Root Cause]
N/A
[Changes]
1. Use Ltm class to run Ltm algorithm.
[Test Platform]
imx185
Change-Id: I9cad8263ce33452e7d8fecfad61897de16f9c685
Tracked-On: #R32084
Signed-off-by: Qingwu Zhang &lt;qingwu.zhang@intel.com&gt;
</t>
  </si>
  <si>
    <t>Patch Set 1:
Build succeed and mock test pass by http://yocto-build1.bj.intel.com:8080/job/libcamhal_build/1928/</t>
  </si>
  <si>
    <t>Patch Set 1:
UT PASSED on board with imx185 by http://yocto-build1.bj.intel.com:8080/job/run_on_board/1435/</t>
  </si>
  <si>
    <t>Patch Set 2:
Build succeed and mock test pass by http://yocto-build1.bj.intel.com:8080/job/libcamhal_build/1952/</t>
  </si>
  <si>
    <t>Patch Set 2:
UT PASSED on board with imx185 by http://yocto-build1.bj.intel.com:8080/job/run_on_board/1458/</t>
  </si>
  <si>
    <t>Ia47d63798a7d4cece5e06aa715939215885e7933</t>
  </si>
  <si>
    <t>Revert "Use concurrency FW as default setting"</t>
  </si>
  <si>
    <t xml:space="preserve">Revert "Use concurrency FW as default setting"
This reverts commit 2eda96a606c8def09ef66754b945f1306b2aff92.
Change-Id: Ia47d63798a7d4cece5e06aa715939215885e7933
Signed-off-by: Qingwu Zhang &lt;qingwu.zhang@intel.com&gt;
</t>
  </si>
  <si>
    <t>Patch Set 1:
Build succeed and mock test pass by http://yocto-build1.bj.intel.com:8080/job/libcamhal_build/1949/</t>
  </si>
  <si>
    <t>Patch Set 1:
UT PASSED on board with imx185 by http://yocto-build1.bj.intel.com:8080/job/run_on_board/1455/</t>
  </si>
  <si>
    <t>Patch Set 1:
Build succeed and mock test pass by http://yocto-build1.bj.intel.com:8080/job/libcamhal_build/1951/</t>
  </si>
  <si>
    <t>Patch Set 1:
UT PASSED on board with imx185 by http://yocto-build1.bj.intel.com:8080/job/run_on_board/1457/</t>
  </si>
  <si>
    <t>xiaozhou.liu@intel.com,bin.b.yang@intel.com</t>
  </si>
  <si>
    <t>Patch Set 1:
Build FAILED by http://yocto-build1.bj.intel.com:8080/job/verify_patches/1690/</t>
  </si>
  <si>
    <t>Patch Set 1:
Build succeed and mock test pass by http://yocto-build1.bj.intel.com:8080/job/libcamhal_build/1867/</t>
  </si>
  <si>
    <t>Patch Set 1:
Build FAILED by http://yocto-build1.bj.intel.com:8080/job/verify_patches/1691/</t>
  </si>
  <si>
    <t>Patch Set 2:
No tracked issue id found, there must be a space after :</t>
  </si>
  <si>
    <t>Patch Set 2:
Build succeed and mock test pass by http://yocto-build1.bj.intel.com:8080/job/libcamhal_build/1868/</t>
  </si>
  <si>
    <t>Patch Set 2:
UT PASSED on board with imx185 by http://yocto-build1.bj.intel.com:8080/job/run_on_board/1340/</t>
  </si>
  <si>
    <t>Patch Set 2:
UT PASSED on board with imx185 by http://yocto-build1.bj.intel.com:8080/job/run_on_board/1341/</t>
  </si>
  <si>
    <t>xiaozhou.liu@intel.com,gang.a.hu@intel.com,bin.b.yang@intel.com,wei.l.li@intel.com</t>
  </si>
  <si>
    <t>Patch Set 1: Validation-Linux-1
Build succeed, but mock test failed by http://yocto-build1.bj.intel.com:8080/job/libcamhal_build/1901/</t>
  </si>
  <si>
    <t>Patch Set 2:
UT FAILED on board with imx185 by http://yocto-build1.bj.intel.com:8080/job/run_on_board/1393/</t>
  </si>
  <si>
    <t>Patch Set 2: Validation-Linux-1
Build succeed, but mock test failed by http://yocto-build1.bj.intel.com:8080/job/libcamhal_build/1902/</t>
  </si>
  <si>
    <t>Patch Set 2:
UT FAILED on board with imx185 by http://yocto-build1.bj.intel.com:8080/job/run_on_board/1394/</t>
  </si>
  <si>
    <t>Patch Set 3:
UT FAILED on board with imx185 by http://yocto-build1.bj.intel.com:8080/job/run_on_board/1395/</t>
  </si>
  <si>
    <t>Patch Set 3:
Build succeed and mock test pass by http://yocto-build1.bj.intel.com:8080/job/libcamhal_build/1903/</t>
  </si>
  <si>
    <t>Patch Set 3:
UT FAILED on board with imx185 by http://yocto-build1.bj.intel.com:8080/job/run_on_board/1396/</t>
  </si>
  <si>
    <t>Patch Set 4:
Build succeed and mock test pass by http://yocto-build1.bj.intel.com:8080/job/libcamhal_build/1913/</t>
  </si>
  <si>
    <t>Patch Set 5:
Build succeed and mock test pass by http://yocto-build1.bj.intel.com:8080/job/libcamhal_build/1915/</t>
  </si>
  <si>
    <t>Patch Set 5:
UT PASSED on board with imx185 by http://yocto-build1.bj.intel.com:8080/job/run_on_board/1417/</t>
  </si>
  <si>
    <t>Patch Set 6:
Build succeed and mock test pass by http://yocto-build1.bj.intel.com:8080/job/libcamhal_build/1921/</t>
  </si>
  <si>
    <t>Patch Set 6:
UT PASSED on board with imx185 by http://yocto-build1.bj.intel.com:8080/job/run_on_board/1423/</t>
  </si>
  <si>
    <t>xiaozhou.liu@intel.com,daxing.li@intel.com,gang.a.hu@intel.com,bin.b.yang@intel.com,wei.l.li@intel.com</t>
  </si>
  <si>
    <t>Patch Set 2:
Build succeed and mock test pass by http://yocto-build1.bj.intel.com:8080/job/libcamhal_build/1899/</t>
  </si>
  <si>
    <t>Patch Set 2:
UT PASSED on board with imx185 by http://yocto-build1.bj.intel.com:8080/job/run_on_board/1390/</t>
  </si>
  <si>
    <t>Patch Set 3:
Build succeed and mock test pass by http://yocto-build1.bj.intel.com:8080/job/libcamhal_build/1912/</t>
  </si>
  <si>
    <t>Patch Set 3:
UT FAILED on board with imx185 by http://yocto-build1.bj.intel.com:8080/job/run_on_board/1407/</t>
  </si>
  <si>
    <t>Patch Set 4:
Build succeed and mock test pass by http://yocto-build1.bj.intel.com:8080/job/libcamhal_build/1920/</t>
  </si>
  <si>
    <t>Patch Set 4:
UT PASSED on board with imx185 by http://yocto-build1.bj.intel.com:8080/job/run_on_board/1422/</t>
  </si>
  <si>
    <t>xiaozhou.liu@intel.com,hongbiao.xie@intel.com,daxing.li@intel.com,gang.a.hu@intel.com,bin.b.yang@intel.com,wei.l.li@intel.com</t>
  </si>
  <si>
    <t>Patch Set 2:
Build succeed and mock test pass by http://yocto-build1.bj.intel.com:8080/job/libcamhal_build/1900/</t>
  </si>
  <si>
    <t>Patch Set 2:
UT PASSED on board with imx185 by http://yocto-build1.bj.intel.com:8080/job/run_on_board/1391/</t>
  </si>
  <si>
    <t xml:space="preserve">line36:"Please add more comments on introducing what's LTM" </t>
  </si>
  <si>
    <t xml:space="preserve">line17:"Better use long name to prevent conflict with other headers." line36:"agree. Add some description" </t>
  </si>
  <si>
    <t>Patch Set 3: Code-Review+1
Fix Gang and Hongbiao's comments.</t>
  </si>
  <si>
    <t>Patch Set 3:
Build succeed and mock test pass by http://yocto-build1.bj.intel.com:8080/job/libcamhal_build/1914/</t>
  </si>
  <si>
    <t>Patch Set 4:
Build succeed and mock test pass by http://yocto-build1.bj.intel.com:8080/job/libcamhal_build/1922/</t>
  </si>
  <si>
    <t>Patch Set 4:
UT PASSED on board with imx185 by http://yocto-build1.bj.intel.com:8080/job/run_on_board/1424/</t>
  </si>
  <si>
    <t>Ifbd634578242c770e3389e1f77c90045248729f9</t>
  </si>
  <si>
    <t>Remove unused functions and member in PSysPipeline</t>
  </si>
  <si>
    <t xml:space="preserve">Remove unused functions and member in PSysPipeline
[Issue]
Redundant functions and member.
[Changes]
Remove unused functions and member in PSysPipeline.
Change-Id: Ifbd634578242c770e3389e1f77c90045248729f9
Tracked-On: #R32031
Signed-off-by: Liu, Xiaozhou &lt;xiaozhou.liu@intel.com&gt;
</t>
  </si>
  <si>
    <t>Patch Set 1:
Build succeed and mock test pass by http://yocto-build1.bj.intel.com:8080/job/libcamhal_build/1906/</t>
  </si>
  <si>
    <t>Patch Set 1:
UT FAILED on board with imx185 by http://yocto-build1.bj.intel.com:8080/job/run_on_board/1400/</t>
  </si>
  <si>
    <t>I8e86eb33452d81ec8e593d7a1c552871ea2533ac</t>
  </si>
  <si>
    <t>camhalv1: Add 720p and 1080p resolutions to back camera</t>
  </si>
  <si>
    <t xml:space="preserve">camhalv1: Add 720p and 1080p resolutions to back camera
Use the gfx scaler.
Change-Id: I8e86eb33452d81ec8e593d7a1c552871ea2533ac
Tracked-On: #JICSF-539
Signed-off-by: John Mathew &lt;john.mathew@intel.com&gt;
</t>
  </si>
  <si>
    <t>Patch Set 1:
Build succeed and mock test pass by http://yocto-build1.bj.intel.com:8080/job/libcamhal_build/1905/</t>
  </si>
  <si>
    <t>Patch Set 1:
UT FAILED on board with imx185 by http://yocto-build1.bj.intel.com:8080/job/run_on_board/1399/</t>
  </si>
  <si>
    <t>I8dab5404c54d814d4e9bc42e9150696da26587dd</t>
  </si>
  <si>
    <t>Cleanup: Remove 'composeSize' logic when set media controller.</t>
  </si>
  <si>
    <t xml:space="preserve">Cleanup: Remove 'composeSize' logic when set media controller.
When sensor has scaler entity, the downscaling/crop will
be done in scaler entity, and the binner entity will just
do the binning. If the scaler entity doesn't exsit, the
binner entity may need to do downscaling/crop.
But there isn't scaler entity in current sensors, and we
use binner to do binning and downscale/crop. So remove the
compose size logic and use other way to set format and
selection if there is scaler entity in the future.
Change-Id: I8dab5404c54d814d4e9bc42e9150696da26587dd
Tracked-On: #H1504314298
Signed-off-by: Li Zong &lt;zongx.li@intel.com&gt;
</t>
  </si>
  <si>
    <t>Patch Set 1:
Build succeed and mock test pass by http://yocto-build1.bj.intel.com:8080/job/libcamhal_build/1904/</t>
  </si>
  <si>
    <t>Patch Set 1:
UT FAILED on board with imx185 by http://yocto-build1.bj.intel.com:8080/job/run_on_board/1398/</t>
  </si>
  <si>
    <t>Ib55e85e7f31e076f18ed0f9ca4e3a85cd0bf6161</t>
  </si>
  <si>
    <t>camhalv1: Enable graphics scaling</t>
  </si>
  <si>
    <t xml:space="preserve">camhalv1: Enable graphics scaling
The buffer flow for preview is now as follows
1. hal gfx buffer -&gt; isys
2. Filled hal gfx buffer -&gt; Software image processor.
3. Software image processor does format conversion
from UYVY-&gt;NV12. This is a hack since gfx scaler is
not able to do the same due to byte order issue in the
HWC for the UYVY format.
3. Gfx scaler does scaling of NV12 buffers from
interlaced size to actual preview size.
Since the de-interlacing is now done by the gfx scaler
it is removed from the Software image processor. So
picture thread also needs to be modified to use the
gfx scaler.  Picture thread follows the same buffer flow
as preview to get the NV12 buffers.
Change-Id: Ib55e85e7f31e076f18ed0f9ca4e3a85cd0bf6161
Tracked-On: #JICSF-539
Signed-off-by: John Mathew &lt;john.mathew@intel.com&gt;
</t>
  </si>
  <si>
    <t>Patch Set 1:
Build succeed and mock test pass by http://yocto-build1.bj.intel.com:8080/job/libcamhal_build/1908/</t>
  </si>
  <si>
    <t>I77670724e6e1129701bcd433169c53ec7760e27f</t>
  </si>
  <si>
    <t>Add WeavingProcessor to run de-interlace pipeline</t>
  </si>
  <si>
    <t xml:space="preserve">Add WeavingProcessor to run de-interlace pipeline
[Changes]
Add WeavingProcessor to run de-interlace pipeline
Change-Id: I77670724e6e1129701bcd433169c53ec7760e27f
Tracked-On: #R32031
Signed-off-by: Liu, Xiaozhou &lt;xiaozhou.liu@intel.com&gt;
</t>
  </si>
  <si>
    <t>Patch Set 1:
Build succeed and mock test pass by http://yocto-build1.bj.intel.com:8080/job/libcamhal_build/1907/</t>
  </si>
  <si>
    <t>Patch Set 1:
UT FAILED on board with imx185 by http://yocto-build1.bj.intel.com:8080/job/run_on_board/1401/</t>
  </si>
  <si>
    <t>Iab2b474e102c0696382ff53a2aa8753dc35a6893</t>
  </si>
  <si>
    <t>icamerasrc: fix build issue</t>
  </si>
  <si>
    <t xml:space="preserve">icamerasrc: fix build issue
Android headers were moved to libutils.
Change-Id: Iab2b474e102c0696382ff53a2aa8753dc35a6893
Tracked-On: #JICSF-638
Signed-off-by: Juha Alanen &lt;juha.alanen@intel.com&gt;
</t>
  </si>
  <si>
    <t>Patch Set 1:
Build succeed by http://yocto-build1.bj.intel.com:8080/job/icamerasrc_build/133/</t>
  </si>
  <si>
    <t>Patch Set 1:
UT FAILED on board with imx185 by http://yocto-build1.bj.intel.com:8080/job/run_on_board/1406/</t>
  </si>
  <si>
    <t>I216152e4c144a939f6a3dbfe3f3ec95ba1a9b90a</t>
  </si>
  <si>
    <t>Use WeavingPipeline in cipr test case</t>
  </si>
  <si>
    <t xml:space="preserve">Use WeavingPipeline in cipr test case
[Issue]
The implementation of weaving pg pipeline has been moved to
WeavingPipeline.
[Root Cause]
[Changes]
Use WeavingPipeline to replace internal implementaion in
case_camera_cipr
[Test Platform]
Change-Id: I216152e4c144a939f6a3dbfe3f3ec95ba1a9b90a
Tracked-On: #R32031
Signed-off-by: Liu, Xiaozhou &lt;xiaozhou.liu@intel.com&gt;
</t>
  </si>
  <si>
    <t>Patch Set 1:
Build succeed and mock test pass by http://yocto-build1.bj.intel.com:8080/job/libcamhal_build/1910/</t>
  </si>
  <si>
    <t>Patch Set 1:
UT FAILED on board with imx185 by http://yocto-build1.bj.intel.com:8080/job/run_on_board/1404/</t>
  </si>
  <si>
    <t>I8a3504531f2872a1a74dadb12bbf2101d96793d7</t>
  </si>
  <si>
    <t>Code cleanup for class WeavingPipeline</t>
  </si>
  <si>
    <t xml:space="preserve">Code cleanup for class WeavingPipeline
[Changes]
1. Initialize class member.
2. Remove useless function
3. Fix second command cannot be queued issue.
[Test Platform]
Change-Id: I8a3504531f2872a1a74dadb12bbf2101d96793d7
Tracked-On: #R32031
Signed-off-by: Liu, Xiaozhou &lt;xiaozhou.liu@intel.com&gt;
Signed-off-by: Yang Liang &lt;liang.l.yang@intel.com&gt;
</t>
  </si>
  <si>
    <t>Patch Set 1:
Build succeed and mock test pass by http://yocto-build1.bj.intel.com:8080/job/libcamhal_build/1909/</t>
  </si>
  <si>
    <t>Patch Set 1:
UT FAILED on board with imx185 by http://yocto-build1.bj.intel.com:8080/job/run_on_board/1403/</t>
  </si>
  <si>
    <t>xiaozhou.liu@intel.com,qingwu.zhang@intel.com,daxing.li@intel.com</t>
  </si>
  <si>
    <t>Patch Set 1:
Build succeed and mock test pass by http://yocto-build1.bj.intel.com:8080/job/libcamhal_build/1879/</t>
  </si>
  <si>
    <t>Patch Set 1:
Build FAILED by http://yocto-build1.bj.intel.com:8080/job/verify_patches/1706/</t>
  </si>
  <si>
    <t>Patch Set 2:
Build succeed and mock test pass by http://yocto-build1.bj.intel.com:8080/job/libcamhal_build/1889/</t>
  </si>
  <si>
    <t>Patch Set 2:
UT PASSED on board with imx185 by http://yocto-build1.bj.intel.com:8080/job/run_on_board/1362/</t>
  </si>
  <si>
    <t>Patch Set 2:
UT PASSED on board with imx185 by http://yocto-build1.bj.intel.com:8080/job/run_on_board/1363/</t>
  </si>
  <si>
    <t>Patch Set 1:
Build succeed and mock test pass by http://yocto-build1.bj.intel.com:8080/job/libcamhal_build/1876/</t>
  </si>
  <si>
    <t>Patch Set 1:
UT PASSED on board with imx185 by http://yocto-build1.bj.intel.com:8080/job/run_on_board/1351/</t>
  </si>
  <si>
    <t xml:space="preserve">line386:"why this hard code?" line554:"why hardcode?" line66:"the ia_cipr_buffer_t have the fd information(handle). You don't need to use a separated function" </t>
  </si>
  <si>
    <t>Patch Set 2:
Build succeed and mock test pass by http://yocto-build1.bj.intel.com:8080/job/libcamhal_build/1880/</t>
  </si>
  <si>
    <t>Patch Set 2:
Build FAILED by http://yocto-build1.bj.intel.com:8080/job/verify_patches/1707/</t>
  </si>
  <si>
    <t>Patch Set 3:
UT FAILED on board with imx185 by http://yocto-build1.bj.intel.com:8080/job/run_on_board/1365/</t>
  </si>
  <si>
    <t>Patch Set 3:
Build succeed and mock test pass by http://yocto-build1.bj.intel.com:8080/job/libcamhal_build/1894/</t>
  </si>
  <si>
    <t>Patch Set 3:
UT FAILED on board with imx185 by http://yocto-build1.bj.intel.com:8080/job/run_on_board/1367/</t>
  </si>
  <si>
    <t>Patch Set 3:
UT FAILED on board with imx185 by http://yocto-build1.bj.intel.com:8080/job/run_on_board/1368/</t>
  </si>
  <si>
    <t>Patch Set 3:
UT PASSED on board with imx185 by http://yocto-build1.bj.intel.com:8080/job/run_on_board/1386/</t>
  </si>
  <si>
    <t>Patch Set 1: Code-Review+1
Please notice that this patch is still a draft.</t>
  </si>
  <si>
    <t>Patch Set 1:
Build succeed and mock test pass by http://yocto-build1.bj.intel.com:8080/job/libcamhal_build/1898/</t>
  </si>
  <si>
    <t>Patch Set 1:
UT FAILED on board with imx185 by http://yocto-build1.bj.intel.com:8080/job/run_on_board/1378/</t>
  </si>
  <si>
    <t>Patch Set 1:
UT FAILED on board with imx185 by http://yocto-build1.bj.intel.com:8080/job/run_on_board/1379/</t>
  </si>
  <si>
    <t>Patch Set 1:
UT FAILED on board with imx185 by http://yocto-build1.bj.intel.com:8080/job/run_on_board/1380/</t>
  </si>
  <si>
    <t>Patch Set 1:
UT FAILED on board with imx185 by http://yocto-build1.bj.intel.com:8080/job/run_on_board/1382/</t>
  </si>
  <si>
    <t>Patch Set 1:
UT FAILED on board with imx185 by http://yocto-build1.bj.intel.com:8080/job/run_on_board/1383/</t>
  </si>
  <si>
    <t>Patch Set 1:
Lots of UT failed is caused by the database of rpm in UT server corrupted.</t>
  </si>
  <si>
    <t>Patch Set 1:
UT PASSED on board with imx185 by http://yocto-build1.bj.intel.com:8080/job/run_on_board/1384/</t>
  </si>
  <si>
    <t>I327df740552d96c48ae80ce93c9cc69701f55752</t>
  </si>
  <si>
    <t>Remove defaultCameraMode setting in xml</t>
  </si>
  <si>
    <t xml:space="preserve">Remove defaultCameraMode setting in xml
[Issue]
N/A
[Root Cause]
N/A
[Changes]
1. Remove defaultCameraMode setting in xml.
[Test Platform]
imx185
Change-Id: I327df740552d96c48ae80ce93c9cc69701f55752
Tracked-On: #R32084
Signed-off-by: Qingwu Zhang &lt;qingwu.zhang@intel.com&gt;
</t>
  </si>
  <si>
    <t>Patch Set 1:
Build succeed and mock test pass by http://yocto-build1.bj.intel.com:8080/job/libcamhal_build/1888/</t>
  </si>
  <si>
    <t>Patch Set 1:
UT PASSED on board with imx185 by http://yocto-build1.bj.intel.com:8080/job/run_on_board/1360/</t>
  </si>
  <si>
    <t>I1160eb76eb319f8c3d0ad6be5e738ac6b404dec2</t>
  </si>
  <si>
    <t>Enable full UT support for imx185-hdr device</t>
  </si>
  <si>
    <t xml:space="preserve">Enable full UT support for imx185-hdr device
[Issue]
With imx185-hdr we cannot run all test cases, since
it requires scene mode to be set.
[Root Cause]
[Changes]
Set scene mode for imx185-hdr device if it's not set.
[Test Platform]
imx185
Change-Id: I1160eb76eb319f8c3d0ad6be5e738ac6b404dec2
Tracked-On: #H1504333316
Signed-off-by: Liu, Xiaozhou &lt;xiaozhou.liu@intel.com&gt;
</t>
  </si>
  <si>
    <t>Patch Set 1:
Build succeed and mock test pass by http://yocto-build1.bj.intel.com:8080/job/libcamhal_build/1883/</t>
  </si>
  <si>
    <t>Patch Set 1:
UT PASSED on board with imx185 by http://yocto-build1.bj.intel.com:8080/job/run_on_board/1355/</t>
  </si>
  <si>
    <t>If8b9e0c682558fcc691a825f80e708a424bcdc8d</t>
  </si>
  <si>
    <t>Use mSkip flag to skip sensor output frame</t>
  </si>
  <si>
    <t xml:space="preserve">Use mSkip flag to skip sensor output frame
[Issue]
N/A
[Root Cause]
N/A
[Changes]
1. Use mSkip flag to skip sensor output frame.
[Test Platform]
imx185
Change-Id: If8b9e0c682558fcc691a825f80e708a424bcdc8d
Tracked-On: #R32084
Signed-off-by: Qingwu Zhang &lt;qingwu.zhang@intel.com&gt;
</t>
  </si>
  <si>
    <t>Patch Set 1:
Build succeed and mock test pass by http://yocto-build1.bj.intel.com:8080/job/libcamhal_build/1882/</t>
  </si>
  <si>
    <t>Patch Set 1:
UT PASSED on board with imx185 by http://yocto-build1.bj.intel.com:8080/job/run_on_board/1354/</t>
  </si>
  <si>
    <t>Ie971db6fb8e1ba7a0eb9a45b61ba90c7181f90f2</t>
  </si>
  <si>
    <t>Use scene mode override wdr mode</t>
  </si>
  <si>
    <t xml:space="preserve">Use scene mode override wdr mode
[Issue]
WDR mode is too limited
[Root Cause]
[Changes]
1. Use scene mode override wdr mode if camera application
has set scene mode. If scene mode isn't set, then map
wdr mode to scene mode.
2. Enable scene mode switch case.
Change-Id: Ie971db6fb8e1ba7a0eb9a45b61ba90c7181f90f2
Depends-On: I8072139323ea856f3c65d8f357095054e9726207
Tracked-On: #H1504333024
Signed-off-by: Liu, Xiaozhou &lt;xiaozhou.liu@intel.com&gt;
</t>
  </si>
  <si>
    <t>Patch Set 1:
Build succeed and mock test pass by http://yocto-build1.bj.intel.com:8080/job/libcamhal_build/1884/</t>
  </si>
  <si>
    <t>Patch Set 1:
UT PASSED on board with imx185 by http://yocto-build1.bj.intel.com:8080/job/run_on_board/1356/</t>
  </si>
  <si>
    <t>Iad465685690e122d34ef0688ec73954f175e6cb5</t>
  </si>
  <si>
    <t>Update the CameraMode</t>
  </si>
  <si>
    <t xml:space="preserve">Update the CameraMode
CameraMode is a little hard to understand
Remove mLastMode which is confused with mCameraMode.
Add the mSwitchMode when mode switch happen
Change-Id: Iad465685690e122d34ef0688ec73954f175e6cb5
Tracked-On: #H1504333506
Signed-off-by: Hu Gang &lt;gang.a.hu@intel.com&gt;
</t>
  </si>
  <si>
    <t>Patch Set 1:
Build succeed and mock test pass by http://yocto-build1.bj.intel.com:8080/job/libcamhal_build/1885/</t>
  </si>
  <si>
    <t>Patch Set 1:
UT PASSED on board with imx185 by http://yocto-build1.bj.intel.com:8080/job/run_on_board/1357/</t>
  </si>
  <si>
    <t>Iec9b7bb5b22f9aec7124d99f6904e1076323efa6</t>
  </si>
  <si>
    <t>Cleanup: Remove unused 'iSysFmtMapping' setting.</t>
  </si>
  <si>
    <t xml:space="preserve">Cleanup: Remove unused 'iSysFmtMapping' setting.
1. For raw sensor, we use the fixed isys format to mapping
to user format and for soc sensor we use bypass mode normally.
So we can remove this unused mapping.
2. We should use mediaCtlConf info to check if enable isys
scaler.
Change-Id: Iec9b7bb5b22f9aec7124d99f6904e1076323efa6
Tracked-On: #H1504314298
Signed-off-by: Li Zong &lt;zongx.li@intel.com&gt;
</t>
  </si>
  <si>
    <t>Patch Set 1:
Build succeed and mock test pass by http://yocto-build1.bj.intel.com:8080/job/libcamhal_build/1887/</t>
  </si>
  <si>
    <t>Patch Set 1:
UT PASSED on board with imx185 by http://yocto-build1.bj.intel.com:8080/job/run_on_board/1359/</t>
  </si>
  <si>
    <t>Ief12981b2c3a92f490f9bcf768fb0576210bb118</t>
  </si>
  <si>
    <t>Revert "Use 1 as the value for num of exposures for HDR"</t>
  </si>
  <si>
    <t xml:space="preserve">Revert "Use 1 as the value for num of exposures for HDR"
This reverts commit 41e8461e6c347698d71ec687d2cd404bb0cb25a9.
Change-Id: Ief12981b2c3a92f490f9bcf768fb0576210bb118
Tracked-On: #R31719
Signed-off-by: Yang Bin &lt;bin.b.yang@intel.com&gt;
</t>
  </si>
  <si>
    <t>Patch Set 1:
Build succeed and mock test pass by http://yocto-build1.bj.intel.com:8080/job/libcamhal_build/1886/</t>
  </si>
  <si>
    <t>Patch Set 1:
UT FAILED on board with imx185 by http://yocto-build1.bj.intel.com:8080/job/run_on_board/1358/</t>
  </si>
  <si>
    <t>I8072139323ea856f3c65d8f357095054e9726207</t>
  </si>
  <si>
    <t>Change wdr-mode to scene-mode</t>
  </si>
  <si>
    <t xml:space="preserve">Change wdr-mode to scene-mode
[Issue]
To override wdr-mode with scene-mode
[Root Cause]
[Changes]
Add W/A, call scene mode interface in when
wdr-mode is auto/on/off
[Test Platform]
Change-Id: I8072139323ea856f3c65d8f357095054e9726207
Tracked-On: #H1504333024
Signed-off-by: caoxi &lt;xi.cao@intel.com&gt;
</t>
  </si>
  <si>
    <t>Patch Set 1:
Build FAILED, please check http://yocto-build1.bj.intel.com:8080/job/icamerasrc_build/120/</t>
  </si>
  <si>
    <t>Patch Set 1:
UT PASSED on board with imx185 by http://yocto-build1.bj.intel.com:8080/job/run_on_board/1361/</t>
  </si>
  <si>
    <t>Patch Set 1:
Build succeed and mock test pass by http://yocto-build1.bj.intel.com:8080/job/libcamhal_build/1870/</t>
  </si>
  <si>
    <t>Patch Set 1:
UT PASSED on board with imx185 by http://yocto-build1.bj.intel.com:8080/job/run_on_board/1344/</t>
  </si>
  <si>
    <t>Patch Set 2:
Build succeed and mock test pass by http://yocto-build1.bj.intel.com:8080/job/libcamhal_build/1871/</t>
  </si>
  <si>
    <t>Patch Set 2:
UT PASSED on board with imx185 by http://yocto-build1.bj.intel.com:8080/job/run_on_board/1345/</t>
  </si>
  <si>
    <t>Patch Set 2: -Integrator</t>
  </si>
  <si>
    <t>Patch Set 3:
Build succeed and mock test pass by http://yocto-build1.bj.intel.com:8080/job/libcamhal_build/1891/</t>
  </si>
  <si>
    <t>Patch Set 3:
UT PASSED on board with imx185 by http://yocto-build1.bj.intel.com:8080/job/run_on_board/1364/</t>
  </si>
  <si>
    <t>xiaozhou.liu@intel.com,ukri.niemimuukko@intel.com,xi.cao@intel.com</t>
  </si>
  <si>
    <t>Patch Set 1:
Build succeed by http://yocto-build1.bj.intel.com:8080/job/icamerasrc_build/116/</t>
  </si>
  <si>
    <t>Patch Set 1:
UT PASSED on board with imx185 by http://yocto-build1.bj.intel.com:8080/job/run_on_board/1327/</t>
  </si>
  <si>
    <t>Patch Set 2:
Build succeed by http://yocto-build1.bj.intel.com:8080/job/icamerasrc_build/119/</t>
  </si>
  <si>
    <t>Patch Set 2:
UT PASSED on board with imx185 by http://yocto-build1.bj.intel.com:8080/job/run_on_board/1342/</t>
  </si>
  <si>
    <t>gang.a.hu@intel.com,liang.l.yang@intel.com</t>
  </si>
  <si>
    <t>Patch Set 1:
Build succeed and mock test pass by http://yocto-build1.bj.intel.com:8080/job/libcamhal_build/1844/</t>
  </si>
  <si>
    <t>Patch Set 2:
Build succeed and mock test pass by http://yocto-build1.bj.intel.com:8080/job/libcamhal_build/1858/</t>
  </si>
  <si>
    <t>Patch Set 2:
UT PASSED on board with imx185 by http://yocto-build1.bj.intel.com:8080/job/run_on_board/1325/</t>
  </si>
  <si>
    <t>Patch Set 1:
Build FAILED, please check http://yocto-build1.bj.intel.com:8080/job/libcamhal_build/1859/</t>
  </si>
  <si>
    <t>Patch Set 1:
Build FAILED by http://yocto-build1.bj.intel.com:8080/job/verify_patches/1674/</t>
  </si>
  <si>
    <t>Patch Set 2: Validation-Linux-1
Build succeed, but mock test failed by http://yocto-build1.bj.intel.com:8080/job/libcamhal_build/1865/</t>
  </si>
  <si>
    <t>Patch Set 2:
UT FAILED on board with imx185 by http://yocto-build1.bj.intel.com:8080/job/run_on_board/1337/</t>
  </si>
  <si>
    <t>Patch Set 3:
Build succeed and mock test pass by http://yocto-build1.bj.intel.com:8080/job/libcamhal_build/1872/</t>
  </si>
  <si>
    <t>Patch Set 3:
UT FAILED on board with imx185 by http://yocto-build1.bj.intel.com:8080/job/run_on_board/1346/</t>
  </si>
  <si>
    <t>Patch Set 3:
UT PASSED on board with imx185 by http://yocto-build1.bj.intel.com:8080/job/run_on_board/1347/</t>
  </si>
  <si>
    <t>Patch Set 3:
Build FAILED, please check http://yocto-build1.bj.intel.com:8080/job/libcamhal_build/1860/</t>
  </si>
  <si>
    <t>Patch Set 3:
Build FAILED by http://yocto-build1.bj.intel.com:8080/job/verify_patches/1675/</t>
  </si>
  <si>
    <t>Patch Set 4:
Build succeed and mock test pass by http://yocto-build1.bj.intel.com:8080/job/libcamhal_build/1864/</t>
  </si>
  <si>
    <t>Patch Set 4:
UT PASSED on board with imx185 by http://yocto-build1.bj.intel.com:8080/job/run_on_board/1338/</t>
  </si>
  <si>
    <t>Patch Set 1:
Build succeed and mock test pass by http://yocto-build1.bj.intel.com:8080/job/libcamhal_build/1842/</t>
  </si>
  <si>
    <t>Patch Set 1:
UT PASSED on board with imx185 by http://yocto-build1.bj.intel.com:8080/job/run_on_board/1323/</t>
  </si>
  <si>
    <t>Patch Set 2:
Build succeed and mock test pass by http://yocto-build1.bj.intel.com:8080/job/libcamhal_build/1873/</t>
  </si>
  <si>
    <t>Patch Set 2:
UT PASSED on board with imx185 by http://yocto-build1.bj.intel.com:8080/job/run_on_board/1348/</t>
  </si>
  <si>
    <t>Patch Set 2:
UT FAILED on board with imx185 by http://yocto-build1.bj.intel.com:8080/job/run_on_board/1370/</t>
  </si>
  <si>
    <t>Patch Set 2:
UT PASSED on board with imx185 by http://yocto-build1.bj.intel.com:8080/job/run_on_board/1388/</t>
  </si>
  <si>
    <t>Patch Set 1:
Build succeed and mock test pass by http://yocto-build1.bj.intel.com:8080/job/libcamhal_build/1822/</t>
  </si>
  <si>
    <t>Patch Set 1:
UT PASSED on board with imx185 by http://yocto-build1.bj.intel.com:8080/job/run_on_board/1303/</t>
  </si>
  <si>
    <t>Patch Set 2:
Build succeed and mock test pass by http://yocto-build1.bj.intel.com:8080/job/libcamhal_build/1841/</t>
  </si>
  <si>
    <t>Patch Set 2:
UT PASSED on board with imx185 by http://yocto-build1.bj.intel.com:8080/job/run_on_board/1322/</t>
  </si>
  <si>
    <t>Patch Set 3:
Build succeed and mock test pass by http://yocto-build1.bj.intel.com:8080/job/libcamhal_build/1874/</t>
  </si>
  <si>
    <t>Patch Set 3:
UT PASSED on board with imx185 by http://yocto-build1.bj.intel.com:8080/job/run_on_board/1349/</t>
  </si>
  <si>
    <t>Patch Set 1:
Build succeed and mock test pass by http://yocto-build1.bj.intel.com:8080/job/libcamhal_build/1843/</t>
  </si>
  <si>
    <t>Patch Set 1:
UT PASSED on board with imx185 by http://yocto-build1.bj.intel.com:8080/job/run_on_board/1324/</t>
  </si>
  <si>
    <t>Patch Set 2:
Build succeed and mock test pass by http://yocto-build1.bj.intel.com:8080/job/libcamhal_build/1875/</t>
  </si>
  <si>
    <t>Patch Set 2:
UT PASSED on board with imx185 by http://yocto-build1.bj.intel.com:8080/job/run_on_board/1350/</t>
  </si>
  <si>
    <t>Iac521495c499ba1c4cf84f1005ae8a8840ed5821</t>
  </si>
  <si>
    <t>Use latest LTM DRC params to ISP pipe.</t>
  </si>
  <si>
    <t xml:space="preserve">Use latest LTM DRC params to ISP pipe.
[Issue]
N/A
[Root Cause]
N/A
[Changes]
LTM DRC params need to go to ISP immediately,
so, use latest AIQ result for ISP.
[Test Platform]
imx185
Change-Id: Iac521495c499ba1c4cf84f1005ae8a8840ed5821
Tracked-On: #R31719
Signed-off-by: Yang Bin &lt;bin.b.yang@intel.com&gt;
</t>
  </si>
  <si>
    <t>Patch Set 1:
Build succeed and mock test pass by http://yocto-build1.bj.intel.com:8080/job/libcamhal_build/1857/</t>
  </si>
  <si>
    <t>I3fa17ecc4ae50b6b0c7904862e8176088a7543e4</t>
  </si>
  <si>
    <t>Remove useless codes in AiqResult</t>
  </si>
  <si>
    <t xml:space="preserve">Remove useless codes in AiqResult
[Issue]
N/A
[Root Cause]
N/A
[Changes]
1. Remove useless codes in AiqResult.
[Test Platform]
imx185
Change-Id: I3fa17ecc4ae50b6b0c7904862e8176088a7543e4
Tracked-On: #R32084
Signed-off-by: Qingwu Zhang &lt;qingwu.zhang@intel.com&gt;
</t>
  </si>
  <si>
    <t>Patch Set 1:
Build succeed and mock test pass by http://yocto-build1.bj.intel.com:8080/job/libcamhal_build/1854/</t>
  </si>
  <si>
    <t>I351596559bf54ddfc1abde67a6dd3237ff9b13d5</t>
  </si>
  <si>
    <t>Create WeavingPipeline from case_camera_cipr</t>
  </si>
  <si>
    <t xml:space="preserve">Create WeavingPipeline from case_camera_cipr
[Issue]
We already have demo code in cipr test case for verifying
weaving pg, but we need them in source code to have E2E test.
[Root Cause]
[Changes]
1. Copy the CiprWrapper class to WeavingPipeline
2. Do some code cleanup.
[Test Platform]
Change-Id: I351596559bf54ddfc1abde67a6dd3237ff9b13d5
Tracked-On: #R32031
Signed-off-by: Liu, Xiaozhou &lt;xiaozhou.liu@intel.com&gt;
</t>
  </si>
  <si>
    <t>Patch Set 1:
Build succeed and mock test pass by http://yocto-build1.bj.intel.com:8080/job/libcamhal_build/1853/</t>
  </si>
  <si>
    <t>I8bc0402c09928592e34268814d398f4eb4888892</t>
  </si>
  <si>
    <t>Add a new parameter api to update debug/dump level.</t>
  </si>
  <si>
    <t xml:space="preserve">Add a new parameter api to update debug/dump level.
[Issue]
N/A
[Root Cause]
N/A
[Changes]
This patch adds a new parameter api to update camera
debug/dump level.
[Test Platform]
Change-Id: I8bc0402c09928592e34268814d398f4eb4888892
Tracked-On: #H1504314298
Signed-off-by: Li Zong &lt;zongx.li@intel.com&gt;
</t>
  </si>
  <si>
    <t>Patch Set 1:
Build succeed and mock test pass by http://yocto-build1.bj.intel.com:8080/job/libcamhal_build/1856/</t>
  </si>
  <si>
    <t>I45ab095cf52c88a193d80fc8cbd693f8a9f6f840</t>
  </si>
  <si>
    <t>Support UYVY format in the weaving pg test case</t>
  </si>
  <si>
    <t xml:space="preserve">Support UYVY format in the weaving pg test case
[Issue]
[Root Cause]
[Changes]
[Test Platform]
Change-Id: I45ab095cf52c88a193d80fc8cbd693f8a9f6f840
Tracked-On: #R31129
Signed-off-by: Liu, Xiaozhou &lt;xiaozhou.liu@intel.com&gt;
</t>
  </si>
  <si>
    <t>Patch Set 1:
Build succeed and mock test pass by http://yocto-build1.bj.intel.com:8080/job/libcamhal_build/1855/</t>
  </si>
  <si>
    <t>I8e611a804a0223c1ab911495adab746dd6afcc6d</t>
  </si>
  <si>
    <t>camhalv1: Fix the camera hal initialisation</t>
  </si>
  <si>
    <t xml:space="preserve">camhalv1: Fix the camera hal initialisation
CameraHal was deinitalised twice during mediaserver
restart in Android. Since the Camerahal.Init()  was
moved to startPreviewInternal the hal init count was
becoming negative and was affecting the media controller
reset all links call. Fix this by moving the CameraHal
init back to where it was and do resetting of all
media-ctl links only when there is one device open.
Change-Id: I8e611a804a0223c1ab911495adab746dd6afcc6d
Tracked-On: #JICSF-540
Signed-off-by: John Mathew &lt;john.mathew@intel.com&gt;
</t>
  </si>
  <si>
    <t>xiaozhou.liu@intel.com,john.mathew@intel.com</t>
  </si>
  <si>
    <t>Patch Set 1:
Build succeed and mock test pass by http://yocto-build1.bj.intel.com:8080/job/libcamhal_build/1850/</t>
  </si>
  <si>
    <t>Patch Set 1: -Approver Code-Review+1</t>
  </si>
  <si>
    <t>I8a347751b12c45d65223f0b8be856d2e4a8516b5</t>
  </si>
  <si>
    <t>camhalv1: Fix camera orientation cts verifier test.</t>
  </si>
  <si>
    <t xml:space="preserve">camhalv1: Fix camera orientation cts verifier test.
When the CAMERA_MSG_COMPRESSED_IMAGE flag is set the
CAMERA_MSG_PREVIEW_FRAME gets disabled and the preview
thread got stuck waiting for call back to complete.
Change-Id: I8a347751b12c45d65223f0b8be856d2e4a8516b5
Tracked-On: https://jira01.devtools.intel.com/browse/OAM-36664
Signed-off-by: John Mathew &lt;john.mathew@intel.com&gt;
</t>
  </si>
  <si>
    <t>Patch Set 1:
Build succeed and mock test pass by http://yocto-build1.bj.intel.com:8080/job/libcamhal_build/1849/</t>
  </si>
  <si>
    <t>I98d2d983b03db9450347ce29751940e08572fcbc</t>
  </si>
  <si>
    <t>Add EE manual and default settings</t>
  </si>
  <si>
    <t xml:space="preserve">Add EE manual and default settings
[Issue]
N/A
[Root Cause]
N/A
[Changes]
Add manual and default settings for Edge Enhancement.
[Test Platform]
imx185
Change-Id: I98d2d983b03db9450347ce29751940e08572fcbc
Tracked-On: #R31719
Signed-off-by: Yang Bin &lt;bin.b.yang@intel.com&gt;
</t>
  </si>
  <si>
    <t>Patch Set 1:
Build succeed and mock test pass by http://yocto-build1.bj.intel.com:8080/job/libcamhal_build/1852/</t>
  </si>
  <si>
    <t>I3f87c7c7898aac426d8eefa9ce45d59ed4fd9e9e</t>
  </si>
  <si>
    <t>Cleanup: remove mipi parser class</t>
  </si>
  <si>
    <t xml:space="preserve">Cleanup: remove mipi parser class
[Issue]
N/A
[Root Cause]
N/A
[Changes]
Remove the mipi parser class, and revert this patch when
use it in the future.
[Test Platform]
imx185 and tpg
Change-Id: I3f87c7c7898aac426d8eefa9ce45d59ed4fd9e9e
Tracked-On: #H1504314298
Signed-off-by: Li Zong &lt;zongx.li@intel.com&gt;
</t>
  </si>
  <si>
    <t>Patch Set 1:
Build succeed and mock test pass by http://yocto-build1.bj.intel.com:8080/job/libcamhal_build/1851/</t>
  </si>
  <si>
    <t>I339f5bbd9bd20a50713c0a12ba0c98ce89a679f8</t>
  </si>
  <si>
    <t>Cleanup: remove mipi environment and test cases.</t>
  </si>
  <si>
    <t xml:space="preserve">Cleanup: remove mipi environment and test cases.
[Issue]
N/A
[Root Cause]
N/A
[Changes]
1. remove the sensor about mipi test.
2. remove the 'cameraMipiCapture" environment.
3. remove some mipi test cases.
[Test Platform]
imx185 and tpg
Change-Id: I339f5bbd9bd20a50713c0a12ba0c98ce89a679f8
Tracked-On: #H1504314298
Signed-off-by: Li Zong &lt;zongx.li@intel.com&gt;
</t>
  </si>
  <si>
    <t>Patch Set 1:
Build succeed and mock test pass by http://yocto-build1.bj.intel.com:8080/job/libcamhal_build/1847/</t>
  </si>
  <si>
    <t>Patch Set 1:
Build FAILED by http://yocto-build1.bj.intel.com:8080/job/verify_patches/1670/</t>
  </si>
  <si>
    <t>I12bcb519c2e2e2bad6aa665af980ff03f0c935d1</t>
  </si>
  <si>
    <t>LOG: Do not print error when exit</t>
  </si>
  <si>
    <t xml:space="preserve">LOG: Do not print error when exit
[Issue]
Error was print when existing from DQ
[Root Cause]
When call stop to CaptureUnit, stream off cause the DQ error.
This is not a real error.
[Changes]
Ignore DQ error when exit.
[Test Platform]
mock
Change-Id: I12bcb519c2e2e2bad6aa665af980ff03f0c935d1
Tracked-On: #H1504315794
Signed-off-by: Hu Gang &lt;gang.a.hu@intel.com&gt;
</t>
  </si>
  <si>
    <t>Patch Set 1:
Build succeed and mock test pass by http://yocto-build1.bj.intel.com:8080/job/libcamhal_build/1848/</t>
  </si>
  <si>
    <t>Patch Set 1:
Build FAILED by http://yocto-build1.bj.intel.com:8080/job/verify_patches/1671/</t>
  </si>
  <si>
    <t>Ic01636b2e72db628123a096a4be9ed6af9fea19f</t>
  </si>
  <si>
    <t>CameraBuffer: Move user buffer pool to stream</t>
  </si>
  <si>
    <t xml:space="preserve">CameraBuffer: Move user buffer pool to stream
[Issue]
CameraDevice manage the buffer pool
[Root Cause]
[Changes]
1. Move the user buffer pool from CameraDevice to CameraStream
[Test Platform]
mock
Change-Id: Ic01636b2e72db628123a096a4be9ed6af9fea19f
Tracked-On: #H1504315794
Signed-off-by: Hu Gang &lt;gang.a.hu@intel.com&gt;
</t>
  </si>
  <si>
    <t>Patch Set 1:
Build succeed and mock test pass by http://yocto-build1.bj.intel.com:8080/job/libcamhal_build/1845/</t>
  </si>
  <si>
    <t>Patch Set 1:
Build FAILED by http://yocto-build1.bj.intel.com:8080/job/verify_patches/1668/</t>
  </si>
  <si>
    <t>I71645c3e8e71b096bb857a4e7ceebb2b1185f629</t>
  </si>
  <si>
    <t>CameraBuffer: Add updateUserBuffer function</t>
  </si>
  <si>
    <t xml:space="preserve">CameraBuffer: Add updateUserBuffer function
[Issue]
Update user buffer is in the CameraDevice
[Root Cause]
[Changes]
1. use a function updateUserBuffer to update timestamp info
   in the camera_buffer_t.
2. Update user buffer info in the Stream class
[Test Platform]
mock
Change-Id: I71645c3e8e71b096bb857a4e7ceebb2b1185f629
Tracked-On: #H1504315794
Signed-off-by: Hu Gang &lt;gang.a.hu@intel.com&gt;
</t>
  </si>
  <si>
    <t>Patch Set 1:
Build succeed and mock test pass by http://yocto-build1.bj.intel.com:8080/job/libcamhal_build/1846/</t>
  </si>
  <si>
    <t>Patch Set 1:
Build FAILED by http://yocto-build1.bj.intel.com:8080/job/verify_patches/1669/</t>
  </si>
  <si>
    <t>Id84fbe3ab3dce4534b835d865e863a87980d1e8c</t>
  </si>
  <si>
    <t>Add 'debug-level' property.</t>
  </si>
  <si>
    <t xml:space="preserve">Add 'debug-level' property.
[Issue]
N/A
[Root Cause]
N/A
[Changes]
This patch adds debug-level property in icamerasrc.
Change-Id: Id84fbe3ab3dce4534b835d865e863a87980d1e8c
Depends-On: I8bc0402c09928592e34268814d398f4eb4888892
Tracked-On: #H1504314298
Signed-off-by: Li Zong &lt;zongx.li@intel.com&gt;
</t>
  </si>
  <si>
    <t>Patch Set 1:
Build FAILED, please check http://yocto-build1.bj.intel.com:8080/job/icamerasrc_build/113/</t>
  </si>
  <si>
    <t>Patch Set 1:
Build FAILED, please check http://yocto-build1.bj.intel.com:8080/job/icamerasrc_build/114/</t>
  </si>
  <si>
    <t>Patch Set 1:
(1 comment)
Build succeed by http://yocto-build1.bj.intel.com:8080/job/icamerasrc_build/109/</t>
  </si>
  <si>
    <t xml:space="preserve">line411:"Don't need this." </t>
  </si>
  <si>
    <t xml:space="preserve">line1173:"Here should be scene mode" line1175:"Here should be scene mode" </t>
  </si>
  <si>
    <t>Patch Set 1:
UT PASSED on board with imx185 by http://yocto-build1.bj.intel.com:8080/job/run_on_board/1311/</t>
  </si>
  <si>
    <t xml:space="preserve">line1175:"will change this" </t>
  </si>
  <si>
    <t>Patch Set 2:
Build FAILED, please check http://yocto-build1.bj.intel.com:8080/job/icamerasrc_build/110/</t>
  </si>
  <si>
    <t>Patch Set 2:
Build FAILED by http://yocto-build1.bj.intel.com:8080/job/verify_patches/1652/</t>
  </si>
  <si>
    <t>Patch Set 3:
Build succeed by http://yocto-build1.bj.intel.com:8080/job/icamerasrc_build/111/</t>
  </si>
  <si>
    <t>Patch Set 3:
UT PASSED on board with imx185 by http://yocto-build1.bj.intel.com:8080/job/run_on_board/1313/</t>
  </si>
  <si>
    <t>Patch Set 4:
Build succeed by http://yocto-build1.bj.intel.com:8080/job/icamerasrc_build/112/</t>
  </si>
  <si>
    <t>Patch Set 4:
UT PASSED on board with imx185 by http://yocto-build1.bj.intel.com:8080/job/run_on_board/1315/</t>
  </si>
  <si>
    <t>xiaozhou.liu@intel.com,zongx.li@intel.com,xi.cao@intel.com,gang.a.hu@intel.com</t>
  </si>
  <si>
    <t>Patch Set 1:
Build succeed and mock test pass by http://yocto-build1.bj.intel.com:8080/job/libcamhal_build/1836/</t>
  </si>
  <si>
    <t>Patch Set 1:
UT PASSED on board with imx185 by http://yocto-build1.bj.intel.com:8080/job/run_on_board/1318/</t>
  </si>
  <si>
    <t>Patch Set 1:
Build succeed and mock test pass by http://yocto-build1.bj.intel.com:8080/job/libcamhal_build/1835/</t>
  </si>
  <si>
    <t>Patch Set 1:
UT PASSED on board with imx185 by http://yocto-build1.bj.intel.com:8080/job/run_on_board/1317/</t>
  </si>
  <si>
    <t>xiaozhou.liu@intel.com,zongx.li@intel.com</t>
  </si>
  <si>
    <t>Patch Set 2:
Build succeed and mock test pass by http://yocto-build1.bj.intel.com:8080/job/libcamhal_build/1832/</t>
  </si>
  <si>
    <t>Patch Set 2:
UT PASSED on board with imx185 by http://yocto-build1.bj.intel.com:8080/job/run_on_board/1312/</t>
  </si>
  <si>
    <t>Patch Set 3:
Build succeed and mock test pass by http://yocto-build1.bj.intel.com:8080/job/libcamhal_build/1837/</t>
  </si>
  <si>
    <t>Patch Set 3:
UT PASSED on board with imx185 by http://yocto-build1.bj.intel.com:8080/job/run_on_board/1319/</t>
  </si>
  <si>
    <t>Patch Set 2:
Build FAILED, please check http://yocto-build1.bj.intel.com:8080/job/libcamhal_build/1838/</t>
  </si>
  <si>
    <t>Patch Set 2:
Build FAILED by http://yocto-build1.bj.intel.com:8080/job/verify_patches/1661/</t>
  </si>
  <si>
    <t>Patch Set 3:
Build succeed and mock test pass by http://yocto-build1.bj.intel.com:8080/job/libcamhal_build/1839/</t>
  </si>
  <si>
    <t>Patch Set 3:
UT PASSED on board with imx185 by http://yocto-build1.bj.intel.com:8080/job/run_on_board/1320/</t>
  </si>
  <si>
    <t>xi.cao@intel.com,qingwu.zhang@intel.com</t>
  </si>
  <si>
    <t>Patch Set 1:
Build succeed and mock test pass by http://yocto-build1.bj.intel.com:8080/job/libcamhal_build/1825/</t>
  </si>
  <si>
    <t>Patch Set 1:
UT FAILED on board with imx185 by http://yocto-build1.bj.intel.com:8080/job/run_on_board/1305/</t>
  </si>
  <si>
    <t>Patch Set 2:
Build succeed and mock test pass by http://yocto-build1.bj.intel.com:8080/job/libcamhal_build/1828/</t>
  </si>
  <si>
    <t>Patch Set 2:
UT PASSED on board with imx185 by http://yocto-build1.bj.intel.com:8080/job/run_on_board/1309/</t>
  </si>
  <si>
    <t>Patch Set 4:
Build succeed and mock test pass by http://yocto-build1.bj.intel.com:8080/job/libcamhal_build/1834/</t>
  </si>
  <si>
    <t>Patch Set 4:
UT PASSED on board with imx185 by http://yocto-build1.bj.intel.com:8080/job/run_on_board/1316/</t>
  </si>
  <si>
    <t>Patch Set 4: -Approver</t>
  </si>
  <si>
    <t>Patch Set 1:
Build succeed and mock test pass by http://yocto-build1.bj.intel.com:8080/job/libcamhal_build/1824/</t>
  </si>
  <si>
    <t>Patch Set 1:
UT PASSED on board with imx185 by http://yocto-build1.bj.intel.com:8080/job/run_on_board/1304/</t>
  </si>
  <si>
    <t>Patch Set 2:
Build succeed and mock test pass by http://yocto-build1.bj.intel.com:8080/job/libcamhal_build/1826/</t>
  </si>
  <si>
    <t>Patch Set 2:
UT PASSED on board with imx185 by http://yocto-build1.bj.intel.com:8080/job/run_on_board/1306/</t>
  </si>
  <si>
    <t>xiaozhou.liu@intel.com,qingwu.zhang@intel.com,xi.cao@intel.com</t>
  </si>
  <si>
    <t>Patch Set 1:
Build succeed and mock test pass by http://yocto-build1.bj.intel.com:8080/job/libcamhal_build/1861/</t>
  </si>
  <si>
    <t>Patch Set 1:
UT PASSED on board with imx185 by http://yocto-build1.bj.intel.com:8080/job/run_on_board/1328/</t>
  </si>
  <si>
    <t>Patch Set 2:
Build succeed and mock test pass by http://yocto-build1.bj.intel.com:8080/job/libcamhal_build/1862/</t>
  </si>
  <si>
    <t>Patch Set 2:
UT PASSED on board with imx185 by http://yocto-build1.bj.intel.com:8080/job/run_on_board/1329/</t>
  </si>
  <si>
    <t>Id0744d3c644e8837b0d10d0fcd28f803ad9433a7</t>
  </si>
  <si>
    <t>Implement noise control parameter</t>
  </si>
  <si>
    <t xml:space="preserve">Implement noise control parameter
[Issue]
N/A
[Root Cause]
N/A
[Changes]
Implement noise control parameter and set its value
to ISP.
[Test Platform]
imx185
Change-Id: Id0744d3c644e8837b0d10d0fcd28f803ad9433a7
Tracked-On: #R31719
Signed-off-by: Yang Bin &lt;bin.b.yang@intel.com&gt;
</t>
  </si>
  <si>
    <t>xiaozhou.liu@intel.com,kranthi.kuntala@intel.com,daxing.li@intel.com,qingwu.zhang@intel.com,bhavin.v.nayak@intel.com,hongbiao.xie@intel.com,gang.a.hu@intel.com</t>
  </si>
  <si>
    <t>Patch Set 1:
Build succeed and mock test pass by http://yocto-build1.bj.intel.com:8080/job/libcamhal_build/1726/</t>
  </si>
  <si>
    <t>Patch Set 1: Validation-Linux-2
Build FAILED which caused by log printing, please check http://yocto-build1.bj.intel.com:8080/job/libcamhal_build/1726/</t>
  </si>
  <si>
    <t>Patch Set 2:
UT PASSED on board with imx185 by http://yocto-build1.bj.intel.com:8080/job/run_on_board/1184/</t>
  </si>
  <si>
    <t>Patch Set 2:
Build succeed and mock test pass by http://yocto-build1.bj.intel.com:8080/job/libcamhal_build/1727/</t>
  </si>
  <si>
    <t>Patch Set 2: Validation-Linux-2
Build FAILED which caused by log printing, please check http://yocto-build1.bj.intel.com:8080/job/libcamhal_build/1727/</t>
  </si>
  <si>
    <t>Patch Set 2:
UT PASSED on board with imx185 by http://yocto-build1.bj.intel.com:8080/job/run_on_board/1187/</t>
  </si>
  <si>
    <t>Patch Set 3:
Build succeed and mock test pass by http://yocto-build1.bj.intel.com:8080/job/libcamhal_build/1728/</t>
  </si>
  <si>
    <t>Patch Set 3:
UT PASSED on board with imx185 by http://yocto-build1.bj.intel.com:8080/job/run_on_board/1188/</t>
  </si>
  <si>
    <t xml:space="preserve">line411:"extra spaces" line441:"why not set 0 as default?" line446:"no need type cast" </t>
  </si>
  <si>
    <t xml:space="preserve">line409:"who decides this mode and how ?" </t>
  </si>
  <si>
    <t xml:space="preserve">line441:"agree" </t>
  </si>
  <si>
    <t>Patch Set 3: Code-Review+1
(2 comments)</t>
  </si>
  <si>
    <t xml:space="preserve">line409:"User, this parameter can go with icamereasrc parameters. But I have made it enabled by default, when no such parameters passed in from user or icamerasrc." line410:"I want to check the return value separately." </t>
  </si>
  <si>
    <t xml:space="preserve">line410:"no need to define manualNrModeSet and manualNrLevelSet, ret is okay for this." line441:"If there is default value which is better to be initialized when parameter init. CameraDevice.cpp initDefaultPrarameters()." </t>
  </si>
  <si>
    <t>Patch Set 3: Code-Review-1</t>
  </si>
  <si>
    <t xml:space="preserve">line441:"We need to make it enabled by default." line441:"Even I put these default value there (in initDefaultParameters), I still like to also put these values here, since these value are "MUST" for bnlm and EXY noise output, so must make sure there are default values to set here. So, I would like to have another patch, maybe later on, to also add this to init function besides here." line446:"safer and no harm :)" </t>
  </si>
  <si>
    <t>Patch Set 4:
Build succeed and mock test pass by http://yocto-build1.bj.intel.com:8080/job/libcamhal_build/1751/</t>
  </si>
  <si>
    <t>Patch Set 4:
UT PASSED on board with imx185 by http://yocto-build1.bj.intel.com:8080/job/run_on_board/1225/</t>
  </si>
  <si>
    <t>Patch Set 4: -Approver -Code-Review</t>
  </si>
  <si>
    <t>bhavin.v.nayak@intel.com</t>
  </si>
  <si>
    <t>Patch Set 4: Code-Review-1
(3 comments)</t>
  </si>
  <si>
    <t xml:space="preserve">line410:"Use ret instead is OK. No need for introducing 2 new varables. you can put "int ret = param.getNrLevel(manualNrLevel);" in next section for separate checking" line411:"extra spaces" line441:"put a little comments here for why set to "1"" </t>
  </si>
  <si>
    <t>Patch Set 4: -Code-Review
remove -1 just keep the comments</t>
  </si>
  <si>
    <t>Patch Set 5: Code-Review-1
(9 comments)</t>
  </si>
  <si>
    <t xml:space="preserve">line208:"why hard coded values here  ?" line209:"logging is not good here" line315:"same here" line847:"here too" line393:"for readability move braces to next line" line411:"tabs" line412:"braces next line" line414:"braces next line" line439:"else should go to next line" </t>
  </si>
  <si>
    <t>Patch Set 8: -Code-Review</t>
  </si>
  <si>
    <t>Patch Set 8:
UT FAILED on board with imx185 by http://yocto-build1.bj.intel.com:8080/job/run_on_board/1264/</t>
  </si>
  <si>
    <t>Patch Set 8:
Build succeed and mock test pass by http://yocto-build1.bj.intel.com:8080/job/libcamhal_build/1787/</t>
  </si>
  <si>
    <t>Patch Set 8:
UT FAILED on board with imx185 by http://yocto-build1.bj.intel.com:8080/job/run_on_board/1265/</t>
  </si>
  <si>
    <t>Patch Set 8:
UT FAILED on board with imx185 by http://yocto-build1.bj.intel.com:8080/job/run_on_board/1266/</t>
  </si>
  <si>
    <t>Patch Set 10:
Build succeed and mock test pass by http://yocto-build1.bj.intel.com:8080/job/libcamhal_build/1788/</t>
  </si>
  <si>
    <t>Patch Set 10:
UT FAILED on board with imx185 by http://yocto-build1.bj.intel.com:8080/job/run_on_board/1267/</t>
  </si>
  <si>
    <t>Patch Set 12: Patch Set 11 was rebased</t>
  </si>
  <si>
    <t>Patch Set 12:
Build succeed and mock test pass by http://yocto-build1.bj.intel.com:8080/job/libcamhal_build/1789/</t>
  </si>
  <si>
    <t>Patch Set 12:
UT PASSED on board with imx185 by http://yocto-build1.bj.intel.com:8080/job/run_on_board/1268/</t>
  </si>
  <si>
    <t>Patch Set 12: Cherry Picked
This patchset was cherry picked to branch stable_iot_0912 as commit 86bc0fe8799a4d674c9ac19938d4be9a01926a5f</t>
  </si>
  <si>
    <t>Patch Set 12: Reverted
This patchset was reverted in change: If1292c29bb631eaafe84ce1da850dd9e4388a2fd</t>
  </si>
  <si>
    <t>Patch Set 1:
Build succeed and mock test pass by http://yocto-build1.bj.intel.com:8080/job/libcamhal_build/1794/</t>
  </si>
  <si>
    <t>Patch Set 1:
UT PASSED on board with imx185 by http://yocto-build1.bj.intel.com:8080/job/run_on_board/1273/</t>
  </si>
  <si>
    <t>Patch Set 2:
Build succeed and mock test pass by http://yocto-build1.bj.intel.com:8080/job/libcamhal_build/1795/</t>
  </si>
  <si>
    <t>Patch Set 2:
UT PASSED on board with imx185 by http://yocto-build1.bj.intel.com:8080/job/run_on_board/1274/</t>
  </si>
  <si>
    <t xml:space="preserve">line203:"why this is for PSYS ISA only?" line203:"inputParams should be init in the default parameters." </t>
  </si>
  <si>
    <t xml:space="preserve">line203:"Yes, It is just for PSYS ISA, otherwise, it will fail UT. I found this issue with Xiaozhou in CI UT." line405:"That is definitely important to have default value, CCA team require that it should be on by default." </t>
  </si>
  <si>
    <t xml:space="preserve">line405:"Yes, we should have default value, but here is not the place to put the default value, please consider move it to CameraDevice::initDefaultParameters in another patch." </t>
  </si>
  <si>
    <t>Patch Set 2: Approver+1 Code-Review+1
(2 comments)
The issue in this patch will be tracked by https://hsdes.intel.com/appstore/article/#/1209013558/main</t>
  </si>
  <si>
    <t xml:space="preserve">line405:"I don't think you need to set the default value again when no update from user.
setParameters is not a place to set default values." line405:"setParameters is not a place to set the default value." </t>
  </si>
  <si>
    <t>xiaozhou.liu@intel.com,gang.a.hu@intel.com,wei.l.li@intel.com,daxing.li@intel.com,qingwu.zhang@intel.com</t>
  </si>
  <si>
    <t>Patch Set 1:
Build succeed and mock test pass by http://yocto-build1.bj.intel.com:8080/job/libcamhal_build/1768/</t>
  </si>
  <si>
    <t>Patch Set 1:
UT PASSED on board with imx185 by http://yocto-build1.bj.intel.com:8080/job/run_on_board/1245/</t>
  </si>
  <si>
    <t>Patch Set 2:
Build succeed and mock test pass by http://yocto-build1.bj.intel.com:8080/job/libcamhal_build/1790/</t>
  </si>
  <si>
    <t>Patch Set 2:
UT PASSED on board with imx185 by http://yocto-build1.bj.intel.com:8080/job/run_on_board/1269/</t>
  </si>
  <si>
    <t>Patch Set 3:
Build succeed and mock test pass by http://yocto-build1.bj.intel.com:8080/job/libcamhal_build/1792/</t>
  </si>
  <si>
    <t>Patch Set 3:
UT PASSED on board with imx185 by http://yocto-build1.bj.intel.com:8080/job/run_on_board/1271/</t>
  </si>
  <si>
    <t>Patch Set 4:
Build succeed and mock test pass by http://yocto-build1.bj.intel.com:8080/job/libcamhal_build/1831/</t>
  </si>
  <si>
    <t>Patch Set 4:
UT PASSED on board with imx185 by http://yocto-build1.bj.intel.com:8080/job/run_on_board/1310/</t>
  </si>
  <si>
    <t>xiaozhou.liu@intel.com,daxing.li@intel.com,gang.a.hu@intel.com</t>
  </si>
  <si>
    <t>Patch Set 1:
Build FAILED, please check http://yocto-build1.bj.intel.com:8080/job/libcamhal_build/1819/</t>
  </si>
  <si>
    <t>Patch Set 1:
Build FAILED by http://yocto-build1.bj.intel.com:8080/job/verify_patches/1639/</t>
  </si>
  <si>
    <t>Patch Set 3:
Build succeed and mock test pass by http://yocto-build1.bj.intel.com:8080/job/libcamhal_build/1827/</t>
  </si>
  <si>
    <t>Patch Set 3:
UT PASSED on board with imx185 by http://yocto-build1.bj.intel.com:8080/job/run_on_board/1307/</t>
  </si>
  <si>
    <t>Patch Set 3:
UT PASSED on board with imx185 by http://yocto-build1.bj.intel.com:8080/job/run_on_board/1308/</t>
  </si>
  <si>
    <t>xi.cao@intel.com,xiaozhou.liu@intel.com,gang.a.hu@intel.com</t>
  </si>
  <si>
    <t xml:space="preserve">line623:"I assume the range is limited, you can adjust it as: -1 to 5 for example" </t>
  </si>
  <si>
    <t>Patch Set 2:
Build FAILED, please check http://yocto-build1.bj.intel.com:8080/job/icamerasrc_build/104/</t>
  </si>
  <si>
    <t>Patch Set 2:
Build FAILED by http://yocto-build1.bj.intel.com:8080/job/verify_patches/1635/</t>
  </si>
  <si>
    <t>Patch Set 4:
Build FAILED, please check http://yocto-build1.bj.intel.com:8080/job/icamerasrc_build/105/</t>
  </si>
  <si>
    <t>Patch Set 4:
Build FAILED, please check http://yocto-build1.bj.intel.com:8080/job/icamerasrc_build/106/</t>
  </si>
  <si>
    <t>Patch Set 4:
Build FAILED, please check http://yocto-build1.bj.intel.com:8080/job/icamerasrc_build/107/</t>
  </si>
  <si>
    <t>Patch Set 4:
UT PASSED on board with imx185 by http://yocto-build1.bj.intel.com:8080/job/run_on_board/1298/</t>
  </si>
  <si>
    <t>Patch Set 5:
Build FAILED, please check http://yocto-build1.bj.intel.com:8080/job/icamerasrc_build/108/</t>
  </si>
  <si>
    <t>Patch Set 5:
UT PASSED on board with imx185 by http://yocto-build1.bj.intel.com:8080/job/run_on_board/1301/</t>
  </si>
  <si>
    <t>liang.l.yang@intel.com,qingwu.zhang@intel.com</t>
  </si>
  <si>
    <t>Patch Set 1:
Build succeed and mock test pass by http://yocto-build1.bj.intel.com:8080/job/libcamhal_build/1821/</t>
  </si>
  <si>
    <t>Patch Set 1:
UT PASSED on board with imx185 by http://yocto-build1.bj.intel.com:8080/job/run_on_board/1302/</t>
  </si>
  <si>
    <t>xiaozhou.liu@intel.com,gang.a.hu@intel.com,hongbiao.xie@intel.com,xi.cao@intel.com,huitao.cao@intel.com</t>
  </si>
  <si>
    <t>Patch Set 1:
Build succeed and mock test pass by http://yocto-build1.bj.intel.com:8080/job/libcamhal_build/1715/</t>
  </si>
  <si>
    <t>Patch Set 1: Code-Review-1
setDebugLevel has some "LOGD" print in this case will be printed per-frame. Please consider to solve this</t>
  </si>
  <si>
    <t>Patch Set 2: Code-Review+1
Patch is ok as a temporary solution, but for a long term we should avoid set dump level every frame even there is no heavy work in it.</t>
  </si>
  <si>
    <t xml:space="preserve">line33:"should be updated." line68:"with this code, the dump path cannot be modified. so these code should be unchanged." line82:"{} is missing." </t>
  </si>
  <si>
    <t xml:space="preserve">line1092:"Add comments.
DebugLevel should be set when application change any system property.
Better to use name updateDebugLevel because there is no get function." line92:"please don't use logD." </t>
  </si>
  <si>
    <t>Patch Set 5:
Build succeed and mock test pass by http://yocto-build1.bj.intel.com:8080/job/libcamhal_build/1805/</t>
  </si>
  <si>
    <t>Patch Set 5:
UT PASSED on board with imx185 by http://yocto-build1.bj.intel.com:8080/job/run_on_board/1285/</t>
  </si>
  <si>
    <t>Patch Set 6:
Build succeed and mock test pass by http://yocto-build1.bj.intel.com:8080/job/libcamhal_build/1817/</t>
  </si>
  <si>
    <t>Patch Set 6:
UT PASSED on board with imx185 by http://yocto-build1.bj.intel.com:8080/job/run_on_board/1297/</t>
  </si>
  <si>
    <t>Patch Set 6: Code-Review-1
Are you going to enable camera dump? I don't see any CameraDump related change but only export an api for debug level.</t>
  </si>
  <si>
    <t>Patch Set 7:
Build succeed and mock test pass by http://yocto-build1.bj.intel.com:8080/job/libcamhal_build/1818/</t>
  </si>
  <si>
    <t>Patch Set 7:
UT PASSED on board with imx185 by http://yocto-build1.bj.intel.com:8080/job/run_on_board/1299/</t>
  </si>
  <si>
    <t>Patch Set 7:
(4 comments)</t>
  </si>
  <si>
    <t xml:space="preserve">line7:"You are actually just export an API to re-check the debug environment. No matter pipeline started or not. This comment is not very proper" line16:"..." line953:"Remove the unused parameter.
Add some comments above this function to describe the mechanism:
User set environment first then call this api to update the new debug level" line955:"the Lock is not needed since this API won't update anything in parameter context" </t>
  </si>
  <si>
    <t>Patch Set 8:
Build succeed and mock test pass by http://yocto-build1.bj.intel.com:8080/job/libcamhal_build/1820/</t>
  </si>
  <si>
    <t>Patch Set 8:
UT PASSED on board with imx185 by http://yocto-build1.bj.intel.com:8080/job/run_on_board/1300/</t>
  </si>
  <si>
    <t>liang.l.yang@intel.com,gang.a.hu@intel.com</t>
  </si>
  <si>
    <t>Patch Set 1:
Build FAILED, please check http://yocto-build1.bj.intel.com:8080/job/libcamhal_build/1773/</t>
  </si>
  <si>
    <t>Patch Set 1:
Build FAILED by http://yocto-build1.bj.intel.com:8080/job/verify_patches/1588/</t>
  </si>
  <si>
    <t>Patch Set 2:
Build succeed and mock test pass by http://yocto-build1.bj.intel.com:8080/job/libcamhal_build/1774/</t>
  </si>
  <si>
    <t>Patch Set 2:
UT PASSED on board with imx185 by http://yocto-build1.bj.intel.com:8080/job/run_on_board/1250/</t>
  </si>
  <si>
    <t>Patch Set 1:
Build succeed and mock test pass by http://yocto-build1.bj.intel.com:8080/job/libcamhal_build/1757/</t>
  </si>
  <si>
    <t>Patch Set 2:
UT PASSED on board with imx185 by http://yocto-build1.bj.intel.com:8080/job/run_on_board/1232/</t>
  </si>
  <si>
    <t>Patch Set 2:
Build succeed and mock test pass by http://yocto-build1.bj.intel.com:8080/job/libcamhal_build/1759/</t>
  </si>
  <si>
    <t>Patch Set 2:
UT PASSED on board with imx185 by http://yocto-build1.bj.intel.com:8080/job/run_on_board/1234/</t>
  </si>
  <si>
    <t xml:space="preserve">line137:"Naming issue, we don't have a function name start with a capital letter." </t>
  </si>
  <si>
    <t xml:space="preserve">line137:"Done" </t>
  </si>
  <si>
    <t>Patch Set 3:
Build succeed and mock test pass by http://yocto-build1.bj.intel.com:8080/job/libcamhal_build/1766/</t>
  </si>
  <si>
    <t>Patch Set 3:
UT PASSED on board with imx185 by http://yocto-build1.bj.intel.com:8080/job/run_on_board/1243/</t>
  </si>
  <si>
    <t xml:space="preserve">line562:"why do you need call this?
I think this can be handled in this API?
camera_device_open" </t>
  </si>
  <si>
    <t>Patch Set 5:
Build succeed and mock test pass by http://yocto-build1.bj.intel.com:8080/job/libcamhal_build/1780/</t>
  </si>
  <si>
    <t>Patch Set 5:
UT PASSED on board with imx185 by http://yocto-build1.bj.intel.com:8080/job/run_on_board/1256/</t>
  </si>
  <si>
    <t>Patch Set 5: Code-Review+1
It seems a WA to me. Ok for now, but I think we should provide a formal solution.</t>
  </si>
  <si>
    <t>Patch Set 5: -Code-Review</t>
  </si>
  <si>
    <t xml:space="preserve">line76:"HAVE_ANDROID_OS should not appear in the common logic." </t>
  </si>
  <si>
    <t>Patch Set 5: Code-Review-1
(4 comments)</t>
  </si>
  <si>
    <t xml:space="preserve">line12:"why there are two "the"?" line78:"if you add the resetAllLinks to the open(), please remove these code." line82:"do you think you need to add the mDevOpenTimes = 0; to here?" line127:"you could remove the macro definition." </t>
  </si>
  <si>
    <t xml:space="preserve">line76:"Done" line78:"Done" line82:"I have initialized the mDevOpenTimes in the constructor. Moreover the mDevOpenTimes is incremented before the init()" line127:"Done" </t>
  </si>
  <si>
    <t>Patch Set 6:
Build succeed and mock test pass by http://yocto-build1.bj.intel.com:8080/job/libcamhal_build/1785/</t>
  </si>
  <si>
    <t>Patch Set 6:
UT PASSED on board with imx185 by http://yocto-build1.bj.intel.com:8080/job/run_on_board/1262/</t>
  </si>
  <si>
    <t>Patch Set 7:
Build succeed and mock test pass by http://yocto-build1.bj.intel.com:8080/job/libcamhal_build/1786/</t>
  </si>
  <si>
    <t>Patch Set 7:
UT PASSED on board with imx185 by http://yocto-build1.bj.intel.com:8080/job/run_on_board/1263/</t>
  </si>
  <si>
    <t>gang.a.hu@intel.com,xiaozhou.liu@intel.com,liang.l.yang@intel.com</t>
  </si>
  <si>
    <t>Patch Set 1:
Build succeed and mock test pass by http://yocto-build1.bj.intel.com:8080/job/libcamhal_build/1771/</t>
  </si>
  <si>
    <t>Patch Set 1:
UT PASSED on board with imx185 by http://yocto-build1.bj.intel.com:8080/job/run_on_board/1248/</t>
  </si>
  <si>
    <t>Patch Set 2:
Build succeed and mock test pass by http://yocto-build1.bj.intel.com:8080/job/libcamhal_build/1779/</t>
  </si>
  <si>
    <t>Patch Set 2:
UT PASSED on board with imx185 by http://yocto-build1.bj.intel.com:8080/job/run_on_board/1255/</t>
  </si>
  <si>
    <t>Patch Set 1:
Build succeed and mock test pass by http://yocto-build1.bj.intel.com:8080/job/libcamhal_build/1781/</t>
  </si>
  <si>
    <t>Patch Set 1:
UT PASSED on board with imx185 by http://yocto-build1.bj.intel.com:8080/job/run_on_board/1258/</t>
  </si>
  <si>
    <t>Patch Set 3:
Build succeed and mock test pass by http://yocto-build1.bj.intel.com:8080/job/libcamhal_build/1806/</t>
  </si>
  <si>
    <t>Patch Set 3:
UT PASSED on board with imx185 by http://yocto-build1.bj.intel.com:8080/job/run_on_board/1286/</t>
  </si>
  <si>
    <t>Patch Set 1:
Build succeed and mock test pass by http://yocto-build1.bj.intel.com:8080/job/libcamhal_build/1755/</t>
  </si>
  <si>
    <t>Patch Set 1:
UT FAILED on board with imx185 by http://yocto-build1.bj.intel.com:8080/job/run_on_board/1229/</t>
  </si>
  <si>
    <t>Patch Set 1:
UT PASSED on board with imx185 by http://yocto-build1.bj.intel.com:8080/job/run_on_board/1230/</t>
  </si>
  <si>
    <t>Patch Set 2:
Build succeed and mock test pass by http://yocto-build1.bj.intel.com:8080/job/libcamhal_build/1778/</t>
  </si>
  <si>
    <t>Patch Set 2:
UT PASSED on board with imx185 by http://yocto-build1.bj.intel.com:8080/job/run_on_board/1254/</t>
  </si>
  <si>
    <t>Patch Set 3:
Build succeed and mock test pass by http://yocto-build1.bj.intel.com:8080/job/libcamhal_build/1797/</t>
  </si>
  <si>
    <t>Patch Set 3:
UT PASSED on board with imx185 by http://yocto-build1.bj.intel.com:8080/job/run_on_board/1277/</t>
  </si>
  <si>
    <t>xiaozhou.liu@intel.com,qingwu.zhang@intel.com,liang.l.yang@intel.com</t>
  </si>
  <si>
    <t>Patch Set 1:
Build succeed and mock test pass by http://yocto-build1.bj.intel.com:8080/job/libcamhal_build/1745/</t>
  </si>
  <si>
    <t>Patch Set 1:
UT PASSED on board with imx185 by http://yocto-build1.bj.intel.com:8080/job/run_on_board/1209/</t>
  </si>
  <si>
    <t xml:space="preserve">line342:"can we print one LOGD or LOGW here? just in case the real error may be missing if remove this log." </t>
  </si>
  <si>
    <t xml:space="preserve">line342:"real error will be printed in the grabFrame." </t>
  </si>
  <si>
    <t>Patch Set 2:
Build succeed and mock test pass by http://yocto-build1.bj.intel.com:8080/job/libcamhal_build/1749/</t>
  </si>
  <si>
    <t>Patch Set 2:
UT PASSED on board with imx185 by http://yocto-build1.bj.intel.com:8080/job/run_on_board/1219/</t>
  </si>
  <si>
    <t>Patch Set 3:
Build succeed and mock test pass by http://yocto-build1.bj.intel.com:8080/job/libcamhal_build/1777/</t>
  </si>
  <si>
    <t>Patch Set 3:
UT PASSED on board with imx185 by http://yocto-build1.bj.intel.com:8080/job/run_on_board/1253/</t>
  </si>
  <si>
    <t>Patch Set 4:
Build succeed and mock test pass by http://yocto-build1.bj.intel.com:8080/job/libcamhal_build/1783/</t>
  </si>
  <si>
    <t>Patch Set 4:
UT PASSED on board with imx185 by http://yocto-build1.bj.intel.com:8080/job/run_on_board/1260/</t>
  </si>
  <si>
    <t>xiaozhou.liu@intel.com,liang.l.yang@intel.com</t>
  </si>
  <si>
    <t>Patch Set 1: Validation-Linux-1
Build succeed, but mock test failed by http://yocto-build1.bj.intel.com:8080/job/libcamhal_build/1742/</t>
  </si>
  <si>
    <t>Patch Set 1:
UT FAILED on board with imx185 by http://yocto-build1.bj.intel.com:8080/job/run_on_board/1206/</t>
  </si>
  <si>
    <t>Patch Set 1:
Case failed, please fix it first.</t>
  </si>
  <si>
    <t>Patch Set 2:
Build FAILED, please check http://yocto-build1.bj.intel.com:8080/job/libcamhal_build/1743/</t>
  </si>
  <si>
    <t>Patch Set 2:
Build FAILED by http://yocto-build1.bj.intel.com:8080/job/verify_patches/1552/</t>
  </si>
  <si>
    <t>Patch Set 3:
Build succeed and mock test pass by http://yocto-build1.bj.intel.com:8080/job/libcamhal_build/1744/</t>
  </si>
  <si>
    <t>Patch Set 3:
UT FAILED on board with imx185 by http://yocto-build1.bj.intel.com:8080/job/run_on_board/1208/</t>
  </si>
  <si>
    <t>Patch Set 3:
UT FAILED on board with imx185 by http://yocto-build1.bj.intel.com:8080/job/run_on_board/1214/</t>
  </si>
  <si>
    <t>Patch Set 3:
UT FAILED on board with imx185 by http://yocto-build1.bj.intel.com:8080/job/run_on_board/1224/</t>
  </si>
  <si>
    <t>Patch Set 3:
UT failed on TPG</t>
  </si>
  <si>
    <t>Patch Set 4:
Build succeed and mock test pass by http://yocto-build1.bj.intel.com:8080/job/libcamhal_build/1775/</t>
  </si>
  <si>
    <t>Patch Set 4:
UT PASSED on board with imx185 by http://yocto-build1.bj.intel.com:8080/job/run_on_board/1251/</t>
  </si>
  <si>
    <t>Patch Set 5:
Build succeed and mock test pass by http://yocto-build1.bj.intel.com:8080/job/libcamhal_build/1784/</t>
  </si>
  <si>
    <t>Patch Set 5:
UT PASSED on board with imx185 by http://yocto-build1.bj.intel.com:8080/job/run_on_board/1261/</t>
  </si>
  <si>
    <t>Patch Set 2:
Build succeed and mock test pass by http://yocto-build1.bj.intel.com:8080/job/libcamhal_build/1740/</t>
  </si>
  <si>
    <t>Patch Set 2:
UT PASSED on board with imx185 by http://yocto-build1.bj.intel.com:8080/job/run_on_board/1204/</t>
  </si>
  <si>
    <t>Patch Set 2: -Approver</t>
  </si>
  <si>
    <t>Patch Set 3:
Build succeed and mock test pass by http://yocto-build1.bj.intel.com:8080/job/libcamhal_build/1776/</t>
  </si>
  <si>
    <t>Patch Set 3:
UT PASSED on board with imx185 by http://yocto-build1.bj.intel.com:8080/job/run_on_board/1252/</t>
  </si>
  <si>
    <t>Patch Set 4:
Build succeed and mock test pass by http://yocto-build1.bj.intel.com:8080/job/libcamhal_build/1782/</t>
  </si>
  <si>
    <t>Patch Set 4:
UT PASSED on board with imx185 by http://yocto-build1.bj.intel.com:8080/job/run_on_board/1259/</t>
  </si>
  <si>
    <t>Patch Set 1: Cherry Picked from branch master.</t>
  </si>
  <si>
    <t>Patch Set 1:
Build succeed and mock test pass by http://yocto-build1.bj.intel.com:8080/job/libcamhal_build/1816/</t>
  </si>
  <si>
    <t>Patch Set 1:
UT PASSED on board with imx185 by http://yocto-build1.bj.intel.com:8080/job/run_on_board/1296/</t>
  </si>
  <si>
    <t>I69c3251e15941b28af49b54f603b71de335d6748</t>
  </si>
  <si>
    <t>Disable GDC to make default GDC table generated</t>
  </si>
  <si>
    <t xml:space="preserve">Disable GDC to make default GDC table generated
[Issue]
N/A
[Root Cause]
N/A
[Changes]
Since DVS is bypassed, need to disable GDC to make default
GDC table generated.
[Test Platform]
imx185
Change-Id: I69c3251e15941b28af49b54f603b71de335d6748
Tracked-On: #R31719
Signed-off-by: Yang Bin &lt;bin.b.yang@intel.com&gt;
</t>
  </si>
  <si>
    <t>Patch Set 1:
Build succeed and mock test pass by http://yocto-build1.bj.intel.com:8080/job/libcamhal_build/1815/</t>
  </si>
  <si>
    <t>Patch Set 1:
UT PASSED on board with imx185 by http://yocto-build1.bj.intel.com:8080/job/run_on_board/1295/</t>
  </si>
  <si>
    <t>I5722d49c78e7b9afb1a43aca80055062be1041b6</t>
  </si>
  <si>
    <t>camhalv1: Fix adv7481 preview corruption</t>
  </si>
  <si>
    <t xml:space="preserve">camhalv1: Fix adv7481 preview corruption
Preview for adv7481 is green and half the screen. This
is due to a bug in de-interlace temporary buffer creation.
Fix argument to CameraBuffer::create for de-interlace buffer
creation.
Change-Id: I5722d49c78e7b9afb1a43aca80055062be1041b6
Tracked-On: #JICSF-615
Signed-off-by: John Mathew &lt;john.mathew@intel.com&gt;
</t>
  </si>
  <si>
    <t>qingwu.zhang@intel.com,xiaozhou.liu@intel.com</t>
  </si>
  <si>
    <t>Patch Set 1:
Build succeed and mock test pass by http://yocto-build1.bj.intel.com:8080/job/libcamhal_build/1802/</t>
  </si>
  <si>
    <t>Patch Set 1:
UT PASSED on board with imx185 by http://yocto-build1.bj.intel.com:8080/job/run_on_board/1282/</t>
  </si>
  <si>
    <t>I3383eaa05fa887a1a8dc5a1ac50a651cf4e7fd5d</t>
  </si>
  <si>
    <t>camhalv1: Fix "invalid format" error trace</t>
  </si>
  <si>
    <t xml:space="preserve">camhalv1: Fix "invalid format" error trace
MediaControl.setFormat uses CameraUtils.getMBusFormat
and expects format-&gt;pixelCode to be filled. This is not
the case as the argument is pass by value. Pass
mbusfmt.code to CameraUtils::pixelCode2String.
Also increase log level for important functions.
Change-Id: I3383eaa05fa887a1a8dc5a1ac50a651cf4e7fd5d
Tracked-On: #JICSF-540
Signed-off-by: John Mathew &lt;john.mathew@intel.com&gt;
</t>
  </si>
  <si>
    <t>Patch Set 1:
Build succeed and mock test pass by http://yocto-build1.bj.intel.com:8080/job/libcamhal_build/1800/</t>
  </si>
  <si>
    <t>Patch Set 1:
UT PASSED on board with imx185 by http://yocto-build1.bj.intel.com:8080/job/run_on_board/1280/</t>
  </si>
  <si>
    <t>I35d2f2ae77b2334eed220d31cdab2159f9d96f2e</t>
  </si>
  <si>
    <t>Add the weaving PG test case based on CIPR</t>
  </si>
  <si>
    <t xml:space="preserve">Add the weaving PG test case based on CIPR
[Issue]
[Root Cause]
The weaving PG is used to do de-interlace.
[Changes]
[Test Platform]
Change-Id: I35d2f2ae77b2334eed220d31cdab2159f9d96f2e
Tracked-On: #R31129
Signed-off-by: Yang Liang &lt;liang.l.yang@intel.com&gt;
</t>
  </si>
  <si>
    <t>Patch Set 1:
Build succeed and mock test pass by http://yocto-build1.bj.intel.com:8080/job/libcamhal_build/1801/</t>
  </si>
  <si>
    <t>Patch Set 1:
UT PASSED on board with imx185 by http://yocto-build1.bj.intel.com:8080/job/run_on_board/1281/</t>
  </si>
  <si>
    <t>I300958624fe8e7dd90b01bbfd933d32e8aeb1dc5</t>
  </si>
  <si>
    <t>CameraBuffer: Update v4l2 buffer field assignment</t>
  </si>
  <si>
    <t xml:space="preserve">CameraBuffer: Update v4l2 buffer field assignment
[Issue]
Pink happen in PIT
[Root Cause]
[Changes]
Copy the neccesary fields of the v4l2 buuffer
from source to dest
[Test Platform]
mock
Change-Id: I300958624fe8e7dd90b01bbfd933d32e8aeb1dc5
Tracked-On: #H1504315794
Signed-off-by: Hu Gang &lt;gang.a.hu@intel.com&gt;
</t>
  </si>
  <si>
    <t>Patch Set 1:
Build succeed and mock test pass by http://yocto-build1.bj.intel.com:8080/job/libcamhal_build/1798/</t>
  </si>
  <si>
    <t>Patch Set 1:
UT PASSED on board with imx185 by http://yocto-build1.bj.intel.com:8080/job/run_on_board/1278/</t>
  </si>
  <si>
    <t>I86115c8356aeb66edc1c8ebef22e10004d014335</t>
  </si>
  <si>
    <t>Remove one workaround to set the buffer to itself</t>
  </si>
  <si>
    <t xml:space="preserve">Remove one workaround to set the buffer to itself
[Issue]
There is a bug that query buffer is called after the
allocating memory for the CameraBuffer.
The v4l2 buffer userptr/fd is cleared to 0 in query.
qbuffer failed with NULL address queued to driver.
There is a WA to set the buffer addr or dmafd again
before qbuf. The allocated buffer addr is saved in another
redundant variable of original CameraBuffer.
After the refactor of V4l2Buffer, the redundant
variable was deleted. This bug was exported.
[Root Cause]
Query Buffer call sequence is wrong.
[Changes]
Delete the workaround as the call sequence was fixed previous patch.
[Test Platform]
mock
Change-Id: I86115c8356aeb66edc1c8ebef22e10004d014335
Tracked-On: #H1504315794
Signed-off-by: Hu Gang &lt;gang.a.hu@intel.com&gt;
</t>
  </si>
  <si>
    <t>Patch Set 1:
Build succeed and mock test pass by http://yocto-build1.bj.intel.com:8080/job/libcamhal_build/1799/</t>
  </si>
  <si>
    <t>Patch Set 1:
UT PASSED on board with imx185 by http://yocto-build1.bj.intel.com:8080/job/run_on_board/1279/</t>
  </si>
  <si>
    <t>Ie3c73a7acf3c3447de86007738254d4634892ce7</t>
  </si>
  <si>
    <t>Fix some code review comments</t>
  </si>
  <si>
    <t xml:space="preserve">Fix some code review comments
[Issue]
The V4l2Buffer is visiable to public
[Root Cause]
[Changes]
1. Change some method from public to private
2. Only the CameraBuffer could access the V4l2Buffer
3. The v4l2_buffer_t is accessed by the V4l2Dev only
   And this follow the original design
[Test Platform]
mock
Change-Id: Ie3c73a7acf3c3447de86007738254d4634892ce7
Tracked-On: #H1504315794
Signed-off-by: Hu Gang &lt;gang.a.hu@intel.com&gt;
</t>
  </si>
  <si>
    <t>Patch Set 1:
Build succeed and mock test pass by http://yocto-build1.bj.intel.com:8080/job/libcamhal_build/1814/</t>
  </si>
  <si>
    <t>Patch Set 1:
UT PASSED on board with imx185 by http://yocto-build1.bj.intel.com:8080/job/run_on_board/1294/</t>
  </si>
  <si>
    <t>I6e6e732d32693e5a620247bb2b3587b59ce1b296</t>
  </si>
  <si>
    <t>Refactoring of CameraBuffer</t>
  </si>
  <si>
    <t xml:space="preserve">Refactoring of CameraBuffer
[Issue]
CameraBuffer is too complicated with v4l2 specific information
such as mplane.
[Root Cause]
[Changes]
1. Move v4l2 info to V4l2Buffer
2. clean the construct
[Test Platform]
mock
Change-Id: I6e6e732d32693e5a620247bb2b3587b59ce1b296
Tracked-On: #H1504315794
Signed-off-by: Hu Gang &lt;gang.a.hu@intel.com&gt;
</t>
  </si>
  <si>
    <t>Patch Set 1:
Build succeed and mock test pass by http://yocto-build1.bj.intel.com:8080/job/libcamhal_build/1813/</t>
  </si>
  <si>
    <t>Patch Set 1:
UT PASSED on board with imx185 by http://yocto-build1.bj.intel.com:8080/job/run_on_board/1293/</t>
  </si>
  <si>
    <t>I73e66f239f23a3ce20bbbf2bb778fc7ba0237cc4</t>
  </si>
  <si>
    <t>Refactoring of V4l2Buffer and CameraBuffer</t>
  </si>
  <si>
    <t xml:space="preserve">Refactoring of V4l2Buffer and CameraBuffer
[Issue]
CameraBuffer is too complicated with v4l2 specific information
such as mplane.
[Root Cause]
[Changes]
Add some API to V4l2Buffer
[Test Platform]
mock
Change-Id: I73e66f239f23a3ce20bbbf2bb778fc7ba0237cc4
Tracked-On: #H1504315794
Signed-off-by: Hu Gang &lt;gang.a.hu@intel.com&gt;
</t>
  </si>
  <si>
    <t>Patch Set 1:
Build succeed and mock test pass by http://yocto-build1.bj.intel.com:8080/job/libcamhal_build/1810/</t>
  </si>
  <si>
    <t>Patch Set 1:
UT PASSED on board with imx185 by http://yocto-build1.bj.intel.com:8080/job/run_on_board/1290/</t>
  </si>
  <si>
    <t>I643bc64f79edba2ae5af2f2d812512fe1227625c</t>
  </si>
  <si>
    <t>camhalv1: Reset all media-ctl links once</t>
  </si>
  <si>
    <t xml:space="preserve">camhalv1: Reset all media-ctl links once
Currently resetting of all media-ctl links is being
done twice. Once during media conrtoller instance creation
and once during camera hal init. This is time consuming
so do reset of all media ctl links only once.
Change-Id: I643bc64f79edba2ae5af2f2d812512fe1227625c
Tracked-On: #JICSF-549
Signed-off-by: John Mathew &lt;john.mathew@intel.com&gt;
</t>
  </si>
  <si>
    <t>Patch Set 1:
Build succeed and mock test pass by http://yocto-build1.bj.intel.com:8080/job/libcamhal_build/1809/</t>
  </si>
  <si>
    <t>Patch Set 1:
UT PASSED on board with imx185 by http://yocto-build1.bj.intel.com:8080/job/run_on_board/1289/</t>
  </si>
  <si>
    <t>I161b097dfb9222e4b8348011f6baeb5fbc9a4dc1</t>
  </si>
  <si>
    <t>Use 1 as the value for num of exposures for HDR</t>
  </si>
  <si>
    <t xml:space="preserve">Use 1 as the value for num of exposures for HDR
[Issue]
N/A
[Root Cause]
AE using 2 independent exposures is unsufficient to
achieve acceptable quality, while using single HDR
exposure, which is compressed 16 bits into 8 bits,
enables necessary quality.
[Changes]
Change the num of exposures to 1 to fix HDR AE issue.
[Test Platform]
imx185
Change-Id: I161b097dfb9222e4b8348011f6baeb5fbc9a4dc1
Depends-On: I67222f5ff8e3ae8f0c892fb6d791b3bf30d0f159
Tracked-On: #R31719
Signed-off-by: Yang Bin &lt;bin.b.yang@intel.com&gt;
</t>
  </si>
  <si>
    <t>Patch Set 1:
Build succeed and mock test pass by http://yocto-build1.bj.intel.com:8080/job/libcamhal_build/1812/</t>
  </si>
  <si>
    <t>Patch Set 1:
UT PASSED on board with imx185 by http://yocto-build1.bj.intel.com:8080/job/run_on_board/1292/</t>
  </si>
  <si>
    <t>I25e879d3187f205cb63f2420fb0f974763373962</t>
  </si>
  <si>
    <t>Enhance the dump support for IQ Studio</t>
  </si>
  <si>
    <t xml:space="preserve">Enhance the dump support for IQ Studio
[Issue]
N/A
[Root Cause]
N/A
[Changes]
1. Add IQ Studio dump format to resolve the conflicted
part between IQ studio dump requirement and other CI tools.
2. Use converted AG and DG in frame dump file name,
to make available values for IQ studio input.
[Test Platform]
imx185
Change-Id: I25e879d3187f205cb63f2420fb0f974763373962
Tracked-On: #R31719
Signed-off-by: Yang Bin &lt;bin.b.yang@intel.com&gt;
</t>
  </si>
  <si>
    <t>Patch Set 1:
Build succeed and mock test pass by http://yocto-build1.bj.intel.com:8080/job/libcamhal_build/1811/</t>
  </si>
  <si>
    <t>Patch Set 1:
UT PASSED on board with imx185 by http://yocto-build1.bj.intel.com:8080/job/run_on_board/1291/</t>
  </si>
  <si>
    <t>I2edf7f358b0bba791bcff548279c6603e0ab47e1</t>
  </si>
  <si>
    <t>Fix ACM memory copy issue</t>
  </si>
  <si>
    <t xml:space="preserve">Fix ACM memory copy issue
[Issue] N/A
[Root Cause]
ACM memory deep copy is of the wrong length.
[Changes]
Make change for the right copy length.
[Test Platform]
imx185
Change-Id: I2edf7f358b0bba791bcff548279c6603e0ab47e1
Tracked-On: #R31719
Signed-off-by: Yang Bin &lt;bin.b.yang@intel.com&gt;
</t>
  </si>
  <si>
    <t>Patch Set 1:
Build succeed and mock test pass by http://yocto-build1.bj.intel.com:8080/job/libcamhal_build/1808/</t>
  </si>
  <si>
    <t>Patch Set 1:
UT PASSED on board with imx185 by http://yocto-build1.bj.intel.com:8080/job/run_on_board/1288/</t>
  </si>
  <si>
    <t>masayoshi.asama@intel.com,xiaozhou.liu@intel.com,gang.a.hu@intel.com,daxing.li@intel.com,qingwu.zhang@intel.com</t>
  </si>
  <si>
    <t>masayoshi.asama@intel.com</t>
  </si>
  <si>
    <t>Patch Set 1:
Let's test the effect at first, then merge.</t>
  </si>
  <si>
    <t>Patch Set 1:
Build succeed and mock test pass by http://yocto-build1.bj.intel.com:8080/job/libcamhal_build/1722/</t>
  </si>
  <si>
    <t>Patch Set 1:
UT PASSED on board with imx185 by http://yocto-build1.bj.intel.com:8080/job/run_on_board/1179/</t>
  </si>
  <si>
    <t>Patch Set 1: Approver-1</t>
  </si>
  <si>
    <t>Patch Set 1: Cherry Picked
This patchset was cherry picked to branch stable_iot_0912 as commit f5431f2a7f69ed7beff90f7aea03fc35d16bf7d6</t>
  </si>
  <si>
    <t>Patch Set 1: Reverted
This patchset was reverted in change: I71018f6a8a55746b312dd0759ded2180b8ddb27a</t>
  </si>
  <si>
    <t>I11df7fbb11d636069e578d57b5a2bfeede7b7628</t>
  </si>
  <si>
    <t>Wait for all executors done when pipe switching</t>
  </si>
  <si>
    <t xml:space="preserve">Wait for all executors done when pipe switching
[Issue]
N/A
[Root Cause]
N/A
[Changes]
1. move static funtions to class members;
2. wait for all executors done when pipe switching.
[Test Platform]
imx185
Change-Id: I11df7fbb11d636069e578d57b5a2bfeede7b7628
Tracked-On: #R31732
Signed-off-by: Qingwu Zhang &lt;qingwu.zhang@intel.com&gt;
</t>
  </si>
  <si>
    <t>Patch Set 1:
Build succeed and mock test pass by http://yocto-build1.bj.intel.com:8080/job/libcamhal_build/1803/</t>
  </si>
  <si>
    <t>Patch Set 1:
UT PASSED on board with imx185 by http://yocto-build1.bj.intel.com:8080/job/run_on_board/1283/</t>
  </si>
  <si>
    <t>Iebfb0b88b4d6690608e1c3acb5e37fc52a1bc7d4</t>
  </si>
  <si>
    <t>Skip frames in PSysUnit when needed</t>
  </si>
  <si>
    <t xml:space="preserve">Skip frames in PSysUnit when needed
[Issue]
Some images are corrupted.
[Root Cause]
The initial frame or first frame after pipe switching
from sensor is corrupted.
[Changes]
1. Skip initial frames when needed;
2. Skip 1 frame when pipe switching.
[Test Platform]
imx185
Change-Id: Iebfb0b88b4d6690608e1c3acb5e37fc52a1bc7d4
Tracked-On: #R31732
Signed-off-by: Qingwu Zhang &lt;qingwu.zhang@intel.com&gt;
</t>
  </si>
  <si>
    <t>Patch Set 1:
Build succeed and mock test pass by http://yocto-build1.bj.intel.com:8080/job/libcamhal_build/1804/</t>
  </si>
  <si>
    <t>Patch Set 1:
UT PASSED on board with imx185 by http://yocto-build1.bj.intel.com:8080/job/run_on_board/1284/</t>
  </si>
  <si>
    <t>xiaozhou.liu@intel.com,qingwu.zhang@intel.com,zongx.li@intel.com</t>
  </si>
  <si>
    <t>Patch Set 2:
Build succeed and mock test pass by http://yocto-build1.bj.intel.com:8080/job/libcamhal_build/1760/</t>
  </si>
  <si>
    <t>Patch Set 2:
UT PASSED on board with imx185 by http://yocto-build1.bj.intel.com:8080/job/run_on_board/1235/</t>
  </si>
  <si>
    <t>Patch Set 3:
Build succeed and mock test pass by http://yocto-build1.bj.intel.com:8080/job/libcamhal_build/1764/</t>
  </si>
  <si>
    <t>Patch Set 3:
(1 comment)
UT FAILED on board with imx185 by http://yocto-build1.bj.intel.com:8080/job/run_on_board/1239/</t>
  </si>
  <si>
    <t xml:space="preserve">line15:"Not match with the solution." </t>
  </si>
  <si>
    <t xml:space="preserve">line155:"It seems ok for now. But I think all fields should be copied. Have you tried with MEMCPY_S(&amp;mV, sizeof(mV), &amp;v4l2buf, sizeof(v4l2buf))" </t>
  </si>
  <si>
    <t>Patch Set 3:
UT on TPG failed.</t>
  </si>
  <si>
    <t>Patch Set 3:
UT PASSED on board with imx185 by http://yocto-build1.bj.intel.com:8080/job/run_on_board/1241/</t>
  </si>
  <si>
    <t>Patch Set 3:
UT PASSED on board with imx185 by http://yocto-build1.bj.intel.com:8080/job/run_on_board/1242/</t>
  </si>
  <si>
    <t>Patch Set 4:
Build succeed and mock test pass by http://yocto-build1.bj.intel.com:8080/job/libcamhal_build/1772/</t>
  </si>
  <si>
    <t>Patch Set 4:
UT PASSED on board with imx185 by http://yocto-build1.bj.intel.com:8080/job/run_on_board/1249/</t>
  </si>
  <si>
    <t>xiaozhou.liu@intel.com,qingwu.zhang@intel.com,gang.a.hu@intel.com</t>
  </si>
  <si>
    <t>Patch Set 1:
Build succeed and mock test pass by http://yocto-build1.bj.intel.com:8080/job/libcamhal_build/1748/</t>
  </si>
  <si>
    <t>Patch Set 1:
UT PASSED on board with imx185 by http://yocto-build1.bj.intel.com:8080/job/run_on_board/1216/</t>
  </si>
  <si>
    <t>Patch Set 1: -Integrator
Remove from PIT list as dependency patch is not ready</t>
  </si>
  <si>
    <t>Patch Set 1:
Build succeed and mock test pass by http://yocto-build1.bj.intel.com:8080/job/libcamhal_build/1753/</t>
  </si>
  <si>
    <t>Patch Set 1:
UT PASSED on board with imx185 by http://yocto-build1.bj.intel.com:8080/job/run_on_board/1227/</t>
  </si>
  <si>
    <t>Patch Set 1:
Build succeed and mock test pass by http://yocto-build1.bj.intel.com:8080/job/libcamhal_build/1756/</t>
  </si>
  <si>
    <t>Patch Set 1:
UT PASSED on board with imx185 by http://yocto-build1.bj.intel.com:8080/job/run_on_board/1231/</t>
  </si>
  <si>
    <t>Patch Set 1:
Build succeed and mock test pass by http://yocto-build1.bj.intel.com:8080/job/libcamhal_build/1761/</t>
  </si>
  <si>
    <t>Patch Set 1: Validation-Linux-2
Build FAILED which caused by log printing, please check http://yocto-build1.bj.intel.com:8080/job/libcamhal_build/1761/</t>
  </si>
  <si>
    <t>Patch Set 2:
UT FAILED on board with imx185 by http://yocto-build1.bj.intel.com:8080/job/run_on_board/1236/</t>
  </si>
  <si>
    <t>Patch Set 3:
Build succeed and mock test pass by http://yocto-build1.bj.intel.com:8080/job/libcamhal_build/1762/</t>
  </si>
  <si>
    <t>Patch Set 4:
UT PASSED on board with imx185 by http://yocto-build1.bj.intel.com:8080/job/run_on_board/1237/</t>
  </si>
  <si>
    <t>Patch Set 4:
Build succeed and mock test pass by http://yocto-build1.bj.intel.com:8080/job/libcamhal_build/1763/</t>
  </si>
  <si>
    <t>Patch Set 4:
UT PASSED on board with imx185 by http://yocto-build1.bj.intel.com:8080/job/run_on_board/1238/</t>
  </si>
  <si>
    <t>Patch Set 5:
Build succeed and mock test pass by http://yocto-build1.bj.intel.com:8080/job/libcamhal_build/1765/</t>
  </si>
  <si>
    <t>Patch Set 5:
UT PASSED on board with imx185 by http://yocto-build1.bj.intel.com:8080/job/run_on_board/1240/</t>
  </si>
  <si>
    <t>Patch Set 2:
Build succeed and mock test pass by http://yocto-build1.bj.intel.com:8080/job/libcamhal_build/1741/</t>
  </si>
  <si>
    <t>Patch Set 2:
UT PASSED on board with imx185 by http://yocto-build1.bj.intel.com:8080/job/run_on_board/1205/</t>
  </si>
  <si>
    <t>Patch Set 2:
(2 comments)
I personally do not like this change.
1. DUMP_FORMAT environment naming is confused. It's actually just the dumped frame naming format.
2. Do we need to support so detailed works in HAL? Even for different tools? Can't that be converted by themselves?
3. Consider setting a new bit in CAMERA_DUMP environment to enable this if really needed.</t>
  </si>
  <si>
    <t xml:space="preserve">line187:"no need to start a new line" line207:"no need the empty line" </t>
  </si>
  <si>
    <t>Patch Set 2: Code-Review+1
Considering the urgency(show stopper). I'm OK to give +1 and approve.
Refactor it later</t>
  </si>
  <si>
    <t>Patch Set 4:
Build succeed and mock test pass by http://yocto-build1.bj.intel.com:8080/job/libcamhal_build/1752/</t>
  </si>
  <si>
    <t>Patch Set 4:
UT PASSED on board with imx185 by http://yocto-build1.bj.intel.com:8080/job/run_on_board/1226/</t>
  </si>
  <si>
    <t>Patch Set 5:
Build succeed and mock test pass by http://yocto-build1.bj.intel.com:8080/job/libcamhal_build/1754/</t>
  </si>
  <si>
    <t>Patch Set 5:
UT PASSED on board with imx185 by http://yocto-build1.bj.intel.com:8080/job/run_on_board/1228/</t>
  </si>
  <si>
    <t>Patch Set 5: Code-Review+1
(1 comment)
minor comment</t>
  </si>
  <si>
    <t xml:space="preserve">line175:"extra space" </t>
  </si>
  <si>
    <t>Patch Set 6:
Build succeed and mock test pass by http://yocto-build1.bj.intel.com:8080/job/libcamhal_build/1769/</t>
  </si>
  <si>
    <t>Patch Set 6:
UT PASSED on board with imx185 by http://yocto-build1.bj.intel.com:8080/job/run_on_board/1246/</t>
  </si>
  <si>
    <t>gang.a.hu@intel.com,fang.c.wang@intel.com,xiaozhou.liu@intel.com,daxing.li@intel.com</t>
  </si>
  <si>
    <t>Patch Set 1:
Build succeed and mock test pass by http://yocto-build1.bj.intel.com:8080/job/libcamhal_build/1770/</t>
  </si>
  <si>
    <t>Patch Set 1:
UT PASSED on board with imx185 by http://yocto-build1.bj.intel.com:8080/job/run_on_board/1247/</t>
  </si>
  <si>
    <t>Patch Set 1:
Build succeed and mock test pass by http://yocto-build1.bj.intel.com:8080/job/libcamhal_build/1721/</t>
  </si>
  <si>
    <t>Patch Set 1:
UT FAILED on board with imx185 by http://yocto-build1.bj.intel.com:8080/job/run_on_board/1178/</t>
  </si>
  <si>
    <t>Patch Set 1:
UT FAILED on board with imx185 by http://yocto-build1.bj.intel.com:8080/job/run_on_board/1183/</t>
  </si>
  <si>
    <t>Patch Set 1: Code-Review-1
mipi related test failed, it may be caused by the parents of this patch.</t>
  </si>
  <si>
    <t>Patch Set 2:
Build succeed and mock test pass by http://yocto-build1.bj.intel.com:8080/job/libcamhal_build/1733/</t>
  </si>
  <si>
    <t>Patch Set 2:
UT PASSED on board with imx185 by http://yocto-build1.bj.intel.com:8080/job/run_on_board/1193/</t>
  </si>
  <si>
    <t>Patch Set 3:
Build succeed and mock test pass by http://yocto-build1.bj.intel.com:8080/job/libcamhal_build/1735/</t>
  </si>
  <si>
    <t>Patch Set 3:
UT PASSED on board with imx185 by http://yocto-build1.bj.intel.com:8080/job/run_on_board/1197/</t>
  </si>
  <si>
    <t>Patch Set 3: Integrator-1
NOGO-&gt;HSD1504330289</t>
  </si>
  <si>
    <t>Patch Set 1:
Build succeed and mock test pass by http://yocto-build1.bj.intel.com:8080/job/libcamhal_build/1719/</t>
  </si>
  <si>
    <t>Patch Set 2:
Build succeed and mock test pass by http://yocto-build1.bj.intel.com:8080/job/libcamhal_build/1723/</t>
  </si>
  <si>
    <t>Patch Set 2:
UT FAILED on board with imx185 by http://yocto-build1.bj.intel.com:8080/job/run_on_board/1180/</t>
  </si>
  <si>
    <t>Patch Set 3:
Build succeed and mock test pass by http://yocto-build1.bj.intel.com:8080/job/libcamhal_build/1734/</t>
  </si>
  <si>
    <t>Patch Set 3:
UT PASSED on board with imx185 by http://yocto-build1.bj.intel.com:8080/job/run_on_board/1194/</t>
  </si>
  <si>
    <t xml:space="preserve">line33:"typo" </t>
  </si>
  <si>
    <t>Patch Set 4:
Build succeed and mock test pass by http://yocto-build1.bj.intel.com:8080/job/libcamhal_build/1736/</t>
  </si>
  <si>
    <t>Patch Set 4:
UT PASSED on board with imx185 by http://yocto-build1.bj.intel.com:8080/job/run_on_board/1198/</t>
  </si>
  <si>
    <t>Patch Set 4: Integrator-1
NOGO-&gt;HSD1504330289</t>
  </si>
  <si>
    <t>Patch Set 4:
UT PASSED on board with imx185 by http://yocto-build1.bj.intel.com:8080/job/run_on_board/1241/</t>
  </si>
  <si>
    <t>xiaozhou.liu@intel.com,liang.l.yang@intel.com,qingwu.zhang@intel.com</t>
  </si>
  <si>
    <t>Patch Set 1:
Build FAILED, please check http://yocto-build1.bj.intel.com:8080/job/libcamhal_build/1602/</t>
  </si>
  <si>
    <t>Patch Set 1:
Build FAILED by http://yocto-build1.bj.intel.com:8080/job/verify_patches/1382/</t>
  </si>
  <si>
    <t>Patch Set 2:
Build FAILED, please check http://yocto-build1.bj.intel.com:8080/job/libcamhal_build/1621/</t>
  </si>
  <si>
    <t>Patch Set 2:
Build FAILED by http://yocto-build1.bj.intel.com:8080/job/verify_patches/1405/</t>
  </si>
  <si>
    <t>Patch Set 5:
Build FAILED, please check http://yocto-build1.bj.intel.com:8080/job/libcamhal_build/1633/</t>
  </si>
  <si>
    <t>Patch Set 5:
Build FAILED by http://yocto-build1.bj.intel.com:8080/job/verify_patches/1418/</t>
  </si>
  <si>
    <t>Patch Set 6:
Build FAILED, please check http://yocto-build1.bj.intel.com:8080/job/libcamhal_build/1655/</t>
  </si>
  <si>
    <t>Patch Set 6:
Build FAILED by http://yocto-build1.bj.intel.com:8080/job/verify_patches/1437/</t>
  </si>
  <si>
    <t>Patch Set 7:
Build succeed and mock test pass by http://yocto-build1.bj.intel.com:8080/job/libcamhal_build/1659/</t>
  </si>
  <si>
    <t>Patch Set 7: Validation-Linux-2
Build FAILED which caused by log printing, please check http://yocto-build1.bj.intel.com:8080/job/libcamhal_build/1659/</t>
  </si>
  <si>
    <t>Patch Set 7:
UT FAILED on board with imx185 by http://yocto-build1.bj.intel.com:8080/job/run_on_board/1132/</t>
  </si>
  <si>
    <t>Patch Set 8:
Build succeed and mock test pass by http://yocto-build1.bj.intel.com:8080/job/libcamhal_build/1662/</t>
  </si>
  <si>
    <t>Patch Set 8: Validation-Linux-2
Build FAILED which caused by log printing, please check http://yocto-build1.bj.intel.com:8080/job/libcamhal_build/1662/</t>
  </si>
  <si>
    <t>Patch Set 9:
Build succeed and mock test pass by http://yocto-build1.bj.intel.com:8080/job/libcamhal_build/1668/</t>
  </si>
  <si>
    <t>Patch Set 9:
UT FAILED on board with imx185 by http://yocto-build1.bj.intel.com:8080/job/run_on_board/1146/</t>
  </si>
  <si>
    <t>Patch Set 10:
Build succeed and mock test pass by http://yocto-build1.bj.intel.com:8080/job/libcamhal_build/1669/</t>
  </si>
  <si>
    <t>Patch Set 11: Validation-Linux-1
Build succeed, but mock test failed by http://yocto-build1.bj.intel.com:8080/job/libcamhal_build/1672/</t>
  </si>
  <si>
    <t>Patch Set 11:
UT FAILED on board with imx185 by http://yocto-build1.bj.intel.com:8080/job/run_on_board/1155/</t>
  </si>
  <si>
    <t>Patch Set 12:
Build succeed and mock test pass by http://yocto-build1.bj.intel.com:8080/job/libcamhal_build/1684/</t>
  </si>
  <si>
    <t>Patch Set 12: Validation-Linux-2
Build FAILED which caused by log printing, please check http://yocto-build1.bj.intel.com:8080/job/libcamhal_build/1684/</t>
  </si>
  <si>
    <t>Patch Set 13:
Build succeed and mock test pass by http://yocto-build1.bj.intel.com:8080/job/libcamhal_build/1693/</t>
  </si>
  <si>
    <t>Patch Set 13: Validation-Linux-2
Build FAILED which caused by log printing, please check http://yocto-build1.bj.intel.com:8080/job/libcamhal_build/1693/</t>
  </si>
  <si>
    <t>Patch Set 14:
Build succeed and mock test pass by http://yocto-build1.bj.intel.com:8080/job/libcamhal_build/1714/</t>
  </si>
  <si>
    <t>Patch Set 14: Validation-Linux-2
Build FAILED which caused by log printing, please check http://yocto-build1.bj.intel.com:8080/job/libcamhal_build/1714/</t>
  </si>
  <si>
    <t>Patch Set 15:
Build succeed and mock test pass by http://yocto-build1.bj.intel.com:8080/job/libcamhal_build/1716/</t>
  </si>
  <si>
    <t>Patch Set 16:
Build succeed and mock test pass by http://yocto-build1.bj.intel.com:8080/job/libcamhal_build/1717/</t>
  </si>
  <si>
    <t>Patch Set 16:
UT FAILED on board with imx185 by http://yocto-build1.bj.intel.com:8080/job/run_on_board/1186/</t>
  </si>
  <si>
    <t>Patch Set 16: Code-Review-1
(1 comment)</t>
  </si>
  <si>
    <t xml:space="preserve">line219:"override the class member mMipiDataBuffer" </t>
  </si>
  <si>
    <t>Patch Set 17:
Build succeed and mock test pass by http://yocto-build1.bj.intel.com:8080/job/libcamhal_build/1729/</t>
  </si>
  <si>
    <t>Patch Set 17:
UT PASSED on board with imx185 by http://yocto-build1.bj.intel.com:8080/job/run_on_board/1189/</t>
  </si>
  <si>
    <t>Patch Set 18:
Build succeed and mock test pass by http://yocto-build1.bj.intel.com:8080/job/libcamhal_build/1732/</t>
  </si>
  <si>
    <t>Patch Set 18:
UT PASSED on board with imx185 by http://yocto-build1.bj.intel.com:8080/job/run_on_board/1192/</t>
  </si>
  <si>
    <t>Patch Set 18: Approver+1 Code-Review+1</t>
  </si>
  <si>
    <t>Patch Set 18:
(1 comment)</t>
  </si>
  <si>
    <t xml:space="preserve">line92:"some members are missing in this copy, like sequence id." </t>
  </si>
  <si>
    <t xml:space="preserve">line92:"All the v4l2 buffer are copied. mV is a struct" </t>
  </si>
  <si>
    <t>Patch Set 18: Integrator-1
NOGO-&gt;HSD1504330289</t>
  </si>
  <si>
    <t>Patch Set 18:
UT PASSED on board with imx185 by http://yocto-build1.bj.intel.com:8080/job/run_on_board/1241/</t>
  </si>
  <si>
    <t>Patch Set 18: -Integrator</t>
  </si>
  <si>
    <t>xiaozhou.liu@intel.com,zongx.li@intel.com,liang.l.yang@intel.com</t>
  </si>
  <si>
    <t>Patch Set 1:
Build succeed and mock test pass by http://yocto-build1.bj.intel.com:8080/job/libcamhal_build/1709/</t>
  </si>
  <si>
    <t>Patch Set 1: Validation-Linux-2
Build FAILED which caused by log printing, please check http://yocto-build1.bj.intel.com:8080/job/libcamhal_build/1709/</t>
  </si>
  <si>
    <t>Patch Set 2:
Build succeed and mock test pass by http://yocto-build1.bj.intel.com:8080/job/libcamhal_build/1710/</t>
  </si>
  <si>
    <t>Patch Set 2: Code-Review-1
(5 comments)</t>
  </si>
  <si>
    <t xml:space="preserve">line35:"should be CLEAR(*t);" line58:"The usage like this is real weird." line99:"coding style issue, {} is needed." line143:"There are also other members need to be copied as well." line51:"prefix with '_' makes these functions like private instead of public." </t>
  </si>
  <si>
    <t>Patch Set 3:
Build succeed and mock test pass by http://yocto-build1.bj.intel.com:8080/job/libcamhal_build/1718/</t>
  </si>
  <si>
    <t>Patch Set 3:
UT PASSED on board with imx185 by http://yocto-build1.bj.intel.com:8080/job/run_on_board/1185/</t>
  </si>
  <si>
    <t>Patch Set 4:
Build succeed and mock test pass by http://yocto-build1.bj.intel.com:8080/job/libcamhal_build/1730/</t>
  </si>
  <si>
    <t>Patch Set 4:
UT PASSED on board with imx185 by http://yocto-build1.bj.intel.com:8080/job/run_on_board/1190/</t>
  </si>
  <si>
    <t>Patch Set 1:
Build succeed and mock test pass by http://yocto-build1.bj.intel.com:8080/job/libcamhal_build/1746/</t>
  </si>
  <si>
    <t>Patch Set 1:
UT FAILED on board with imx185 by http://yocto-build1.bj.intel.com:8080/job/run_on_board/1210/</t>
  </si>
  <si>
    <t>Patch Set 1:
UT FAILED on board with imx185 by http://yocto-build1.bj.intel.com:8080/job/run_on_board/1211/</t>
  </si>
  <si>
    <t>Patch Set 1:
UT FAILED on board with imx185 by http://yocto-build1.bj.intel.com:8080/job/run_on_board/1213/</t>
  </si>
  <si>
    <t>Patch Set 1:
UT PASSED on board with imx185 by http://yocto-build1.bj.intel.com:8080/job/run_on_board/1218/</t>
  </si>
  <si>
    <t xml:space="preserve">line388:"Increase the sensor settings sequence id, so  for any frame that its sequence id is bigger than the user expected id will be discarded." line524:"this comment copy the function name" </t>
  </si>
  <si>
    <t>Patch Set 2: Code-Review+1
Fix Gang's comments.</t>
  </si>
  <si>
    <t>Patch Set 2:
Build succeed and mock test pass by http://yocto-build1.bj.intel.com:8080/job/libcamhal_build/1750/</t>
  </si>
  <si>
    <t>Patch Set 2:
UT PASSED on board with imx185 by http://yocto-build1.bj.intel.com:8080/job/run_on_board/1223/</t>
  </si>
  <si>
    <t xml:space="preserve">line591:"Also need to check if this buffer is re-used" </t>
  </si>
  <si>
    <t xml:space="preserve">line591:"no need to do so if don't need to run pipe." </t>
  </si>
  <si>
    <t>Patch Set 2: Approver+1 Code-Review+1
(1 comment)</t>
  </si>
  <si>
    <t xml:space="preserve">line591:"Discuss with Qingwu offline, if this input buffer isn't needed then it's not re-used as well." </t>
  </si>
  <si>
    <t>masayoshi.asama@intel.com,xiaozhou.liu@intel.com,gang.a.hu@intel.com,gary.sun@intel.com,daxing.li@intel.com</t>
  </si>
  <si>
    <t>Patch Set 1:
Build succeed and mock test pass by http://yocto-build1.bj.intel.com:8080/job/libcamhal_build/1725/</t>
  </si>
  <si>
    <t>Patch Set 1:
UT PASSED on board with imx185 by http://yocto-build1.bj.intel.com:8080/job/run_on_board/1181/</t>
  </si>
  <si>
    <t>Patch Set 1: Code-Review-1
Please add root cause and issue in git commit message</t>
  </si>
  <si>
    <t>Patch Set 2: Code-Review+1
Done with Gang's comment</t>
  </si>
  <si>
    <t>Patch Set 2:
Build succeed and mock test pass by http://yocto-build1.bj.intel.com:8080/job/libcamhal_build/1731/</t>
  </si>
  <si>
    <t>Patch Set 2:
UT PASSED on board with imx185 by http://yocto-build1.bj.intel.com:8080/job/run_on_board/1191/</t>
  </si>
  <si>
    <t xml:space="preserve">line205:"Is this a WA or not, if it's not a WA, we should remove if...else and just assign mAeParams.num_exposures to 1." </t>
  </si>
  <si>
    <t xml:space="preserve">line205:"It is a short term solution targeted to beta, so maybe need to change it to 2 after beta..." </t>
  </si>
  <si>
    <t>Patch Set 3:
No tracked issue id found, there must be a space after :</t>
  </si>
  <si>
    <t>Patch Set 3:
Build succeed and mock test pass by http://yocto-build1.bj.intel.com:8080/job/libcamhal_build/1737/</t>
  </si>
  <si>
    <t>Patch Set 3: Validation-Android+1
receive smoke test</t>
  </si>
  <si>
    <t>Patch Set 3:
UT PASSED on board with imx185 by http://yocto-build1.bj.intel.com:8080/job/run_on_board/1199/</t>
  </si>
  <si>
    <t>Patch Set 4:
Build succeed and mock test pass by http://yocto-build1.bj.intel.com:8080/job/libcamhal_build/1738/</t>
  </si>
  <si>
    <t>Patch Set 4:
UT PASSED on board with imx185 by http://yocto-build1.bj.intel.com:8080/job/run_on_board/1200/</t>
  </si>
  <si>
    <t>gang.a.hu@intel.com,xiaozhou.liu@intel.com,qingwu.zhang@intel.com</t>
  </si>
  <si>
    <t>Patch Set 1:
Build FAILED, please check http://yocto-build1.bj.intel.com:8080/job/libcamhal_build/1724/</t>
  </si>
  <si>
    <t>Patch Set 1:
Build FAILED by http://yocto-build1.bj.intel.com:8080/job/verify_patches/1524/</t>
  </si>
  <si>
    <t>Patch Set 1: Code-Review-1
Build error, please fix it first.</t>
  </si>
  <si>
    <t>Patch Set 2:
rebased</t>
  </si>
  <si>
    <t>Patch Set 2:
Build succeed and mock test pass by http://yocto-build1.bj.intel.com:8080/job/libcamhal_build/1739/</t>
  </si>
  <si>
    <t>Patch Set 2:
UT PASSED on board with imx185 by http://yocto-build1.bj.intel.com:8080/job/run_on_board/1201/</t>
  </si>
  <si>
    <t>Patch Set 2:
UT PASSED on board with imx185 by http://yocto-build1.bj.intel.com:8080/job/run_on_board/1202/</t>
  </si>
  <si>
    <t>Ic5c4ab4fc79e991b0e5ae0c9d5ed64793d4800c1</t>
  </si>
  <si>
    <t>Fix the issue when build android project.</t>
  </si>
  <si>
    <t xml:space="preserve">Fix the issue when build android project.
[Issue]
Build android failed
[Root Cause]
N/A
[Changes]
Add LOGXML for android project.
Change-Id: Ic5c4ab4fc79e991b0e5ae0c9d5ed64793d4800c1
Tracked-On: #H1504314298
Signed-off-by: Li Zong &lt;zongx.li@intel.com&gt;
</t>
  </si>
  <si>
    <t>xiaozhou.liu@intel.com,gang.a.hu@intel.com,wei.l.li@intel.com</t>
  </si>
  <si>
    <t>Patch Set 1:
Build succeed and mock test pass by http://yocto-build1.bj.intel.com:8080/job/libcamhal_build/1747/</t>
  </si>
  <si>
    <t>Patch Set 1:
UT PASSED on board with imx185 by http://yocto-build1.bj.intel.com:8080/job/run_on_board/1212/</t>
  </si>
  <si>
    <t>Patch Set 1:
fix Android build issue and no effect on Linux projects.</t>
  </si>
  <si>
    <t>I947102da24c78ef35258dca2716135c0ae7ae50f</t>
  </si>
  <si>
    <t>Fix NV16 format preview issue</t>
  </si>
  <si>
    <t xml:space="preserve">Fix NV16 format preview issue
[Issue]
When preview NV16 format, pipeline always crash
[Root Cause]
NV16 is a planar format, icamerasrc should
use different formula to caculate its bpl
and stride.
[Changes]
Before create buffer pool, first check if the
format is planar mode. If so, use different
formula with packed formats
[Test Platform]
Change-Id: I947102da24c78ef35258dca2716135c0ae7ae50f
Tracked-On: #R30593
Signed-off-by: caoxi &lt;xi.cao@intel.com&gt;
</t>
  </si>
  <si>
    <t>Patch Set 1:
Build succeed by http://yocto-build1.bj.intel.com:8080/job/icamerasrc_build/93/</t>
  </si>
  <si>
    <t>Patch Set 2:
UT PASSED on board with imx185 by http://yocto-build1.bj.intel.com:8080/job/run_on_board/1171/</t>
  </si>
  <si>
    <t>Patch Set 2:
Build succeed by http://yocto-build1.bj.intel.com:8080/job/icamerasrc_build/94/</t>
  </si>
  <si>
    <t>Patch Set 2:
UT PASSED on board with imx185 by http://yocto-build1.bj.intel.com:8080/job/run_on_board/1174/</t>
  </si>
  <si>
    <t>Patch Set 2: Code-Review+1
(1 comment)
A better way to write</t>
  </si>
  <si>
    <t xml:space="preserve">line668:"if (gst_camerasrc_buffer_pool_isPlanarFormat(camerasrc-&gt;streams[0].format))
camerasrc-&gt;bpl = ALIGN_64(camerasrc-&gt;streams[0].width);
else
camerasrc-&gt;bpl = ALIGN_64(camerasrc-&gt;streams[0].width) * bpp/8" </t>
  </si>
  <si>
    <t>Ic07c581fe7c4bfa3880c08f2fcb43b3762b7b278</t>
  </si>
  <si>
    <t>Switch wdr-mode between ULL and HDR</t>
  </si>
  <si>
    <t xml:space="preserve">Switch wdr-mode between ULL and HDR
[Issue]
Certain sensor should not only support ULL or
HDR seperately, but can switch between them
automatically
[Root Cause]
[Changes]
Certain sensor is enabled when wdr-mode=auto
[Test Platform]
Change-Id: Ic07c581fe7c4bfa3880c08f2fcb43b3762b7b278
Tracked-On: #R31732
Signed-off-by: caoxi &lt;xi.cao@intel.com&gt;
</t>
  </si>
  <si>
    <t>Patch Set 1:
Build succeed by http://yocto-build1.bj.intel.com:8080/job/icamerasrc_build/92/</t>
  </si>
  <si>
    <t>Patch Set 2:
Build succeed by http://yocto-build1.bj.intel.com:8080/job/icamerasrc_build/95/</t>
  </si>
  <si>
    <t>Patch Set 2:
UT PASSED on board with imx185 by http://yocto-build1.bj.intel.com:8080/job/run_on_board/1175/</t>
  </si>
  <si>
    <t>Iba63c121d4891ab1ae9825783b879a4a2e23c08d</t>
  </si>
  <si>
    <t>Cleanup: remove some tedious logs from LOG2</t>
  </si>
  <si>
    <t xml:space="preserve">Cleanup: remove some tedious logs from LOG2
[Issue]
N/A
[Root Cause]
N/A
[Changes]
1. define a new level in "cameraPerf" for emuming meida
controller log
2. define a new level in "cameraDebug" for parsing xml log.
Change-Id: Iba63c121d4891ab1ae9825783b879a4a2e23c08d
Tracked-On: #H1504314298
Signed-off-by: Li Zong &lt;zongx.li@intel.com&gt;
</t>
  </si>
  <si>
    <t>Patch Set 1:
Build succeed and mock test pass by http://yocto-build1.bj.intel.com:8080/job/libcamhal_build/1686/</t>
  </si>
  <si>
    <t>Patch Set 1:
Build FAILED by http://yocto-build1.bj.intel.com:8080/job/verify_patches/1474/</t>
  </si>
  <si>
    <t>Patch Set 2:
Build succeed and mock test pass by http://yocto-build1.bj.intel.com:8080/job/libcamhal_build/1688/</t>
  </si>
  <si>
    <t>Patch Set 2:
Build FAILED by http://yocto-build1.bj.intel.com:8080/job/verify_patches/1476/</t>
  </si>
  <si>
    <t>If6dc5dc0faf56148e7a08c0853054d8461ef9d86</t>
  </si>
  <si>
    <t>Enable auto pipe switching</t>
  </si>
  <si>
    <t xml:space="preserve">Enable auto pipe switching
[Issue]
N/A
[Root Cause]
N/A
[Changes]
1. Enable auto pipe switching.
[Test Platform]
imx185
Change-Id: If6dc5dc0faf56148e7a08c0853054d8461ef9d86
Tracked-On: #R31732
Signed-off-by: Qingwu Zhang &lt;qingwu.zhang@intel.com&gt;
</t>
  </si>
  <si>
    <t>xiaozhou.liu@intel.com,hongbiao.xie@intel.com,gang.a.hu@intel.com</t>
  </si>
  <si>
    <t>Patch Set 1:
Build succeed and mock test pass by http://yocto-build1.bj.intel.com:8080/job/libcamhal_build/1720/</t>
  </si>
  <si>
    <t xml:space="preserve">line100:"empty implementation, Lock for what?" </t>
  </si>
  <si>
    <t xml:space="preserve">line31:"do you need define a new scene?
Or you can add more scenes to current scene mode.
In Android, ULL = night scence. HDR = HDR scene." </t>
  </si>
  <si>
    <t>Iccb13e45a5713b9d638b32f3162b45a0aebb206c</t>
  </si>
  <si>
    <t>Fix MMAP buffers allocation issue</t>
  </si>
  <si>
    <t xml:space="preserve">Fix MMAP buffers allocation issue
[Issue]
[Root Cause]
[Changes]
Allocate MMAP buffers
[Test Platform]
Change-Id: Iccb13e45a5713b9d638b32f3162b45a0aebb206c
Tracked-On: #H1604170412
Signed-off-by: caoxi &lt;xi.cao@intel.com&gt;
</t>
  </si>
  <si>
    <t>gang.a.hu@intel.com,xiaozhou.liu@intel.com,zongx.li@intel.com</t>
  </si>
  <si>
    <t>Patch Set 1:
Build succeed by http://yocto-build1.bj.intel.com:8080/job/icamerasrc_build/91/</t>
  </si>
  <si>
    <t>I9cd6b45c13dc13a96d570e38f48c6d573755011d</t>
  </si>
  <si>
    <t>Fix the PG dump has only 0~9 sequence ID</t>
  </si>
  <si>
    <t xml:space="preserve">Fix the PG dump has only 0~9 sequence ID
[Issue]
Can only see 0~9 sequence ID for PG dump
[Root Cause]
Previously pass the sequence information when registering
buffers
[Changes]
This patch changes to update the sequence information when
executing pipe
[Test Platform]
imx185
Change-Id: I9cd6b45c13dc13a96d570e38f48c6d573755011d
Tracked-On: #H1504329060
Signed-off-by: Xie,Hongbiao &lt;hongbiao.xie@intel.com&gt;
</t>
  </si>
  <si>
    <t>xiaozhou.liu@intel.com,daxing.li@intel.com,gang.a.hu@intel.com,bin.b.yang@intel.com</t>
  </si>
  <si>
    <t>Patch Set 1:
Build succeed and mock test pass by http://yocto-build1.bj.intel.com:8080/job/libcamhal_build/1694/</t>
  </si>
  <si>
    <t>I38a5bd614e8d22ce01c892d5cae6033156380485</t>
  </si>
  <si>
    <t>Update ISA buffer type.</t>
  </si>
  <si>
    <t xml:space="preserve">Update ISA buffer type.
[Issue]
ISA buffer type is not related to the user
passed frame buffer type
[Root Cause]
[Changes]
Hardcode ISA buffer type to userptr
[Test Platform]
mock
Change-Id: I38a5bd614e8d22ce01c892d5cae6033156380485
Tracked-On: #H1504315794
Signed-off-by: Hu Gang &lt;gang.a.hu@intel.com&gt;
</t>
  </si>
  <si>
    <t>Patch Set 1:
Build FAILED, please check http://yocto-build1.bj.intel.com:8080/job/libcamhal_build/1598/</t>
  </si>
  <si>
    <t>Patch Set 1:
Build FAILED by http://yocto-build1.bj.intel.com:8080/job/verify_patches/1376/</t>
  </si>
  <si>
    <t>Patch Set 2:
Build succeed and mock test pass by http://yocto-build1.bj.intel.com:8080/job/libcamhal_build/1603/</t>
  </si>
  <si>
    <t>Patch Set 2:
UT PASSED on board with imx185 by http://yocto-build1.bj.intel.com:8080/job/run_on_board/1074/</t>
  </si>
  <si>
    <t>Patch Set 3: Validation-Linux-1
Build succeed, but mock test failed by http://yocto-build1.bj.intel.com:8080/job/libcamhal_build/1634/</t>
  </si>
  <si>
    <t>Patch Set 3:
UT FAILED on board with imx185 by http://yocto-build1.bj.intel.com:8080/job/run_on_board/1108/</t>
  </si>
  <si>
    <t>Patch Set 4:
Build succeed and mock test pass by http://yocto-build1.bj.intel.com:8080/job/libcamhal_build/1658/</t>
  </si>
  <si>
    <t>Patch Set 4:
UT PASSED on board with imx185 by http://yocto-build1.bj.intel.com:8080/job/run_on_board/1131/</t>
  </si>
  <si>
    <t>Patch Set 5:
Build FAILED, please check http://yocto-build1.bj.intel.com:8080/job/libcamhal_build/1700/</t>
  </si>
  <si>
    <t>Patch Set 5:
Build FAILED by http://yocto-build1.bj.intel.com:8080/job/verify_patches/1495/</t>
  </si>
  <si>
    <t>Patch Set 6:
Build succeed and mock test pass by http://yocto-build1.bj.intel.com:8080/job/libcamhal_build/1703/</t>
  </si>
  <si>
    <t>Patch Set 6: Validation-Linux-2
Build FAILED which caused by log printing, please check http://yocto-build1.bj.intel.com:8080/job/libcamhal_build/1703/</t>
  </si>
  <si>
    <t>Patch Set 7:
Build succeed and mock test pass by http://yocto-build1.bj.intel.com:8080/job/libcamhal_build/1708/</t>
  </si>
  <si>
    <t>I86603fafdb8a9c1dffb43fbeff99f5e7dca82583</t>
  </si>
  <si>
    <t>Delete the setType</t>
  </si>
  <si>
    <t xml:space="preserve">Delete the setType
[Issue]
BufferType is determined in query caps.
No need to call the set buffer type again.
[Root Cause]
[Changes]
Delete redundant set type function
[Test Platform]
mock
Change-Id: I86603fafdb8a9c1dffb43fbeff99f5e7dca82583
Tracked-On: #H1504315794
Signed-off-by: Hu Gang &lt;gang.a.hu@intel.com&gt;
</t>
  </si>
  <si>
    <t>Patch Set 1:
Build succeed and mock test pass by http://yocto-build1.bj.intel.com:8080/job/libcamhal_build/1528/</t>
  </si>
  <si>
    <t>Patch Set 1:
UT PASSED on board with imx185 by http://yocto-build1.bj.intel.com:8080/job/run_on_board/989/</t>
  </si>
  <si>
    <t>Patch Set 2:
Build succeed and mock test pass by http://yocto-build1.bj.intel.com:8080/job/libcamhal_build/1552/</t>
  </si>
  <si>
    <t>Patch Set 2:
UT PASSED on board with imx185 by http://yocto-build1.bj.intel.com:8080/job/run_on_board/1019/</t>
  </si>
  <si>
    <t>Patch Set 3:
Build FAILED, please check http://yocto-build1.bj.intel.com:8080/job/libcamhal_build/1557/</t>
  </si>
  <si>
    <t>Patch Set 3:
Build FAILED by http://yocto-build1.bj.intel.com:8080/job/verify_patches/1316/</t>
  </si>
  <si>
    <t>Patch Set 4:
Build FAILED, please check http://yocto-build1.bj.intel.com:8080/job/libcamhal_build/1559/</t>
  </si>
  <si>
    <t>Patch Set 4:
Build FAILED by http://yocto-build1.bj.intel.com:8080/job/verify_patches/1320/</t>
  </si>
  <si>
    <t>Patch Set 4:
Build FAILED, please check http://yocto-build1.bj.intel.com:8080/job/libcamhal_merged_build/1/</t>
  </si>
  <si>
    <t>Patch Set 5:
Build succeed and mock test pass by http://yocto-build1.bj.intel.com:8080/job/libcamhal_build/1597/</t>
  </si>
  <si>
    <t>Patch Set 5:
UT PASSED on board with imx185 by http://yocto-build1.bj.intel.com:8080/job/run_on_board/1069/</t>
  </si>
  <si>
    <t>Patch Set 6: Validation-Linux-1
Build succeed, but mock test failed by http://yocto-build1.bj.intel.com:8080/job/libcamhal_build/1632/</t>
  </si>
  <si>
    <t>Patch Set 6:
UT FAILED on board with imx185 by http://yocto-build1.bj.intel.com:8080/job/run_on_board/1107/</t>
  </si>
  <si>
    <t>Patch Set 7:
Build succeed and mock test pass by http://yocto-build1.bj.intel.com:8080/job/libcamhal_build/1656/</t>
  </si>
  <si>
    <t>Patch Set 7:
UT PASSED on board with imx185 by http://yocto-build1.bj.intel.com:8080/job/run_on_board/1129/</t>
  </si>
  <si>
    <t>Patch Set 8:
Build FAILED, please check http://yocto-build1.bj.intel.com:8080/job/libcamhal_build/1699/</t>
  </si>
  <si>
    <t>Patch Set 9:
Build succeed and mock test pass by http://yocto-build1.bj.intel.com:8080/job/libcamhal_build/1702/</t>
  </si>
  <si>
    <t>Patch Set 9: Validation-Linux-2
Build FAILED which caused by log printing, please check http://yocto-build1.bj.intel.com:8080/job/libcamhal_build/1702/</t>
  </si>
  <si>
    <t>Patch Set 10:
Build succeed and mock test pass by http://yocto-build1.bj.intel.com:8080/job/libcamhal_build/1706/</t>
  </si>
  <si>
    <t>I8adbd5cea32e3073db49001144f3ce8ee3afe075</t>
  </si>
  <si>
    <t>Refactoring: Move dump to V4l2Buffer class</t>
  </si>
  <si>
    <t xml:space="preserve">Refactoring: Move dump to V4l2Buffer class
[Issue]
Code duplication for v4l2 buffer dump
No dump for all planes
[Root Cause]
[Changes]
Move struct v4l2_buffer dump to V4l2Buffer class
[Test Platform]
mock
Change-Id: I8adbd5cea32e3073db49001144f3ce8ee3afe075
Tracked-On: #H1504315794
Signed-off-by: Hu Gang &lt;gang.a.hu@intel.com&gt;
</t>
  </si>
  <si>
    <t>zongx.li@intel.com,xiaozhou.liu@intel.com,liang.l.yang@intel.com</t>
  </si>
  <si>
    <t>Patch Set 1:
Build succeed and mock test pass by http://yocto-build1.bj.intel.com:8080/job/libcamhal_build/1701/</t>
  </si>
  <si>
    <t>Patch Set 1: Validation-Linux-2
Build FAILED which caused by log printing, please check http://yocto-build1.bj.intel.com:8080/job/libcamhal_build/1701/</t>
  </si>
  <si>
    <t>Patch Set 2:
Build succeed and mock test pass by http://yocto-build1.bj.intel.com:8080/job/libcamhal_build/1707/</t>
  </si>
  <si>
    <t>Ic309756d7da8dcf551406244c4b7257912ff18c2</t>
  </si>
  <si>
    <t>Make sure passing reasonable ET and gain to aiq library.</t>
  </si>
  <si>
    <t xml:space="preserve">Make sure passing reasonable ET and gain to aiq library.
[Issue]
Current ET or gain make out of sensor's capability.
[Root Cause]
N/A
[Changes]
Restrain the ET and gain according to supported exposure time range
and supported gain range.
[Test Platform]
imx185
Change-Id: Ic309756d7da8dcf551406244c4b7257912ff18c2
Tracked-On: #H1504286562
Signed-off-by: Liu, Xiaozhou &lt;xiaozhou.liu@intel.com&gt;
</t>
  </si>
  <si>
    <t>Patch Set 1:
Build succeed and mock test pass by http://yocto-build1.bj.intel.com:8080/job/libcamhal_build/1691/</t>
  </si>
  <si>
    <t>Patch Set 2:
Build succeed and mock test pass by http://yocto-build1.bj.intel.com:8080/job/libcamhal_build/1712/</t>
  </si>
  <si>
    <t>I52c8e7cf71f041b850149d70ca4ba7ea56571534</t>
  </si>
  <si>
    <t>Add supported exposure time and gain in profiles</t>
  </si>
  <si>
    <t xml:space="preserve">Add supported exposure time and gain in profiles
[Issue]
Application cannot know the sensor's capability.
[Root Cause]
N/A
[Changes]
Adding two tags: supportedAeExposureTimeRange and supportedAeGainRange
in camera profile and parsing them.
[Test Platform]
imx185
Change-Id: I52c8e7cf71f041b850149d70ca4ba7ea56571534
Tracked-On: #H1504286562
Signed-off-by: Liu, Xiaozhou &lt;xiaozhou.liu@intel.com&gt;
</t>
  </si>
  <si>
    <t>Patch Set 1:
Build succeed and mock test pass by http://yocto-build1.bj.intel.com:8080/job/libcamhal_build/1692/</t>
  </si>
  <si>
    <t>Patch Set 2:
Build succeed and mock test pass by http://yocto-build1.bj.intel.com:8080/job/libcamhal_build/1713/</t>
  </si>
  <si>
    <t>I0c3fef3c470064b6febf7b6e47e368e7410e6b46</t>
  </si>
  <si>
    <t>Add support exposure time and sensor gain API</t>
  </si>
  <si>
    <t xml:space="preserve">Add support exposure time and sensor gain API
[Issue]
Application doesn't know sensor's capability.
[Root Cause]
N/A
[Changes]
1. Add API getSupportedAeExposureTimeRange
2. Add API getSupportedAeGainRange
[Test Platform]
imx185
Change-Id: I0c3fef3c470064b6febf7b6e47e368e7410e6b46
Tracked-On: #H1504286562
Signed-off-by: Liu, Xiaozhou &lt;xiaozhou.liu@intel.com&gt;
</t>
  </si>
  <si>
    <t>Patch Set 1:
Build succeed and mock test pass by http://yocto-build1.bj.intel.com:8080/job/libcamhal_build/1690/</t>
  </si>
  <si>
    <t>I0baca8264eef5edca8392b28ee7f59a65f94462d</t>
  </si>
  <si>
    <t>Use concurrency FW as default setting</t>
  </si>
  <si>
    <t xml:space="preserve">Use concurrency FW as default setting
[Issue]
N/A
[Root Cause]
N/A
[Changes]
1. Change default PSYS executor number to 2.
[Test Platform]
imx185
Change-Id: I0baca8264eef5edca8392b28ee7f59a65f94462d
Depends-On: Ibe21a4da462bb4f054126d5eb58aa8df66d103cc
Tracked-On: #R31731
Signed-off-by: Qingwu Zhang &lt;qingwu.zhang@intel.com&gt;
</t>
  </si>
  <si>
    <t>Patch Set 2:
Build succeed and mock test pass by http://yocto-build1.bj.intel.com:8080/job/libcamhal_build/1695/</t>
  </si>
  <si>
    <t>Patch Set 3:
Build succeed and mock test pass by http://yocto-build1.bj.intel.com:8080/job/libcamhal_build/1696/</t>
  </si>
  <si>
    <t>Patch Set 4:
Build succeed and mock test pass by http://yocto-build1.bj.intel.com:8080/job/libcamhal_build/1697/</t>
  </si>
  <si>
    <t>Patch Set 4: Reverted
This patchset was reverted in change: Ia47d63798a7d4cece5e06aa715939215885e7933</t>
  </si>
  <si>
    <t>I97d20fba9541d350f72bec1fdb9c48e50cc04e23</t>
  </si>
  <si>
    <t>Cleanup: Merge the MediaCtlConfs of one sensor.</t>
  </si>
  <si>
    <t xml:space="preserve">Cleanup: Merge the MediaCtlConfs of one sensor.
[Issue]
Only format is different in the MediaCtlConfs
of one SOC sensor, we can merge them together
to make xml clean.
[Root Cause]
N/A
[Changes]
1. Add sensor type RAW/SOC for every sensor.
2. According to output format to find the input
format to set each entity.
Change-Id: I97d20fba9541d350f72bec1fdb9c48e50cc04e23
Tracked-On: #H1504314298
Signed-off-by: Li Zong &lt;zongx.li@intel.com&gt;
</t>
  </si>
  <si>
    <t>xiaozhou.liu@intel.com,hongbiao.xie@intel.com,gang.a.hu@intel.com,liang.l.yang@intel.com</t>
  </si>
  <si>
    <t>Patch Set 1:
Build succeed and mock test pass by http://yocto-build1.bj.intel.com:8080/job/libcamhal_build/1614/</t>
  </si>
  <si>
    <t>Patch Set 1:
UT PASSED on board with imx185 by http://yocto-build1.bj.intel.com:8080/job/run_on_board/1088/</t>
  </si>
  <si>
    <t>Patch Set 2:
Build succeed and mock test pass by http://yocto-build1.bj.intel.com:8080/job/libcamhal_build/1671/</t>
  </si>
  <si>
    <t>Patch Set 2:
UT PASSED on board with imx185 by http://yocto-build1.bj.intel.com:8080/job/run_on_board/1154/</t>
  </si>
  <si>
    <t>Patch Set 2:
(3 comments)
A little comment for xml</t>
  </si>
  <si>
    <t xml:space="preserve">line188:"Just a question here, Why no pixel array to binner link defined (just like imx185) for ov13860?" line317:"suggest putting all mondello-x in order together. Move ov13860 and imx185 config down." line592:"I think sensorType="SOC" is enough to be a condition for enabling AIQ or not" </t>
  </si>
  <si>
    <t xml:space="preserve">line317:"OK, will do that." line592:"No, since we may not enable AIQ for some raw sensor." </t>
  </si>
  <si>
    <t>Patch Set 3:
Build succeed and mock test pass by http://yocto-build1.bj.intel.com:8080/job/libcamhal_build/1674/</t>
  </si>
  <si>
    <t>Patch Set 3:
UT PASSED on board with imx185 by http://yocto-build1.bj.intel.com:8080/job/run_on_board/1158/</t>
  </si>
  <si>
    <t xml:space="preserve">line119:"typo" line421:"how about the getMBusFormat()??" line80:"it's better that it could be pass for "SOC" or "SoC" or "soc"......" line216:"why you not use the SensorType?" </t>
  </si>
  <si>
    <t>Patch Set 4:
Build succeed and mock test pass by http://yocto-build1.bj.intel.com:8080/job/libcamhal_build/1685/</t>
  </si>
  <si>
    <t>Patch Set 5:
Build succeed and mock test pass by http://yocto-build1.bj.intel.com:8080/job/libcamhal_build/1687/</t>
  </si>
  <si>
    <t>Patch Set 5:
Build FAILED by http://yocto-build1.bj.intel.com:8080/job/verify_patches/1475/</t>
  </si>
  <si>
    <t>Id1304ac5c66e58b4607e9928f896021ca72a6ae2</t>
  </si>
  <si>
    <t>Fix crash issue when pipe switching</t>
  </si>
  <si>
    <t xml:space="preserve">Fix crash issue when pipe switching
[Issue]
N/A
[Root Cause]
N/A
[Changes]
1. Run 3a without stats when switching pipe.
[Test Platform]
imx185
Change-Id: Id1304ac5c66e58b4607e9928f896021ca72a6ae2
Tracked-On: #R31732
Signed-off-by: Qingwu Zhang &lt;qingwu.zhang@intel.com&gt;
</t>
  </si>
  <si>
    <t>xiaozhou.liu@intel.com,daxing.li@intel.com</t>
  </si>
  <si>
    <t>Patch Set 1:
Build succeed and mock test pass by http://yocto-build1.bj.intel.com:8080/job/libcamhal_build/1689/</t>
  </si>
  <si>
    <t>Patch Set 1:
Build FAILED by http://yocto-build1.bj.intel.com:8080/job/verify_patches/1478/</t>
  </si>
  <si>
    <t>Patch Set 2:
Build succeed and mock test pass by http://yocto-build1.bj.intel.com:8080/job/libcamhal_build/1698/</t>
  </si>
  <si>
    <t>Ie911295882085f0a81b5a5318201b9ac95f78f99</t>
  </si>
  <si>
    <t>Implement setFrameRate interface</t>
  </si>
  <si>
    <t xml:space="preserve">Implement setFrameRate interface
[Issue]
setFrameRate interface not supported.
[Root Cause]
N/A
[Changes]
1. Set V4L2_CID_LINK_FREQ according to different fps.
2. Set AE manual limits according to fps.
3. Set default fps as 30.
4. Set frame duration to sensor in order to control fps
[Test Platform]
imx185
Change-Id: Ie911295882085f0a81b5a5318201b9ac95f78f99
Tracked-On: #H1504326198
Signed-off-by: Liu, Xiaozhou &lt;xiaozhou.liu@intel.com&gt;
</t>
  </si>
  <si>
    <t>Patch Set 1:
Build succeed and mock test pass by http://yocto-build1.bj.intel.com:8080/job/libcamhal_build/1595/</t>
  </si>
  <si>
    <t>Patch Set 1:
UT FAILED on board with imx185 by http://yocto-build1.bj.intel.com:8080/job/run_on_board/1057/</t>
  </si>
  <si>
    <t>Patch Set 1:
UT PASSED on board with imx185 by http://yocto-build1.bj.intel.com:8080/job/run_on_board/1059/</t>
  </si>
  <si>
    <t>Patch Set 1:
Build FAILED, please check http://yocto-build1.bj.intel.com:8080/job/libcamhal_merged_build/1/</t>
  </si>
  <si>
    <t>Patch Set 2:
Build succeed and mock test pass by http://yocto-build1.bj.intel.com:8080/job/libcamhal_build/1670/</t>
  </si>
  <si>
    <t>Patch Set 2:
UT PASSED on board with imx185 by http://yocto-build1.bj.intel.com:8080/job/run_on_board/1153/</t>
  </si>
  <si>
    <t>Patch Set 3:
Build succeed and mock test pass by http://yocto-build1.bj.intel.com:8080/job/libcamhal_build/1677/</t>
  </si>
  <si>
    <t>Patch Set 3:
UT FAILED on board with imx185 by http://yocto-build1.bj.intel.com:8080/job/run_on_board/1161/</t>
  </si>
  <si>
    <t>Patch Set 4:
Build succeed and mock test pass by http://yocto-build1.bj.intel.com:8080/job/libcamhal_build/1681/</t>
  </si>
  <si>
    <t xml:space="preserve">line425:"add error log here" </t>
  </si>
  <si>
    <t xml:space="preserve">line425:"Done" </t>
  </si>
  <si>
    <t>Patch Set 5:
Build succeed and mock test pass by http://yocto-build1.bj.intel.com:8080/job/libcamhal_build/1683/</t>
  </si>
  <si>
    <t>I8e509242b2510ccaaf80d3f87fa8a120e42250b8</t>
  </si>
  <si>
    <t>camhalv1: Clean up CameraHardwareSoc class declatation</t>
  </si>
  <si>
    <t xml:space="preserve">camhalv1: Clean up CameraHardwareSoc class declatation
Re-order the CameraHardwareSoc members according to
coding guidelines.
Change-Id: I8e509242b2510ccaaf80d3f87fa8a120e42250b8
Tracked-On: #JICSF-539
Signed-off-by: John Mathew &lt;john.mathew@intel.com&gt;
</t>
  </si>
  <si>
    <t>Patch Set 1:
Build succeed and mock test pass by http://yocto-build1.bj.intel.com:8080/job/libcamhal_build/1680/</t>
  </si>
  <si>
    <t>Ifaaaed0bc8064558c90989e7538b795b2b6e2516</t>
  </si>
  <si>
    <t>camhalv1: Update the HAL module name.</t>
  </si>
  <si>
    <t xml:space="preserve">camhalv1: Update the HAL module name.
Update Crespo -&gt; IVI V1.
Change-Id: Ifaaaed0bc8064558c90989e7538b795b2b6e2516
Tracked-On: #JICSF-559
Signed-off-by: John Mathew &lt;john.mathew@intel.com&gt;
</t>
  </si>
  <si>
    <t>Patch Set 1:
Build succeed and mock test pass by http://yocto-build1.bj.intel.com:8080/job/libcamhal_build/1679/</t>
  </si>
  <si>
    <t>I8aa3bdb4d1fab4e65df085220db85ae19bc1c490</t>
  </si>
  <si>
    <t>Pass digital gain in HDR and ULL pipe</t>
  </si>
  <si>
    <t xml:space="preserve">Pass digital gain in HDR and ULL pipe
[Issue]
N/A
[Root Cause]
N/A
[Changes]
Pass digital gain to HDR and ULL pipe with related
approach.
[Test Platform]
imx185
Change-Id: I8aa3bdb4d1fab4e65df085220db85ae19bc1c490
Tracked-On: #R31719
Signed-off-by: Yang Bin &lt;bin.b.yang@intel.com&gt;
</t>
  </si>
  <si>
    <t>xiaozhou.liu@intel.com,daxing.li@intel.com,qingwu.zhang@intel.com,gary.sun@intel.com</t>
  </si>
  <si>
    <t>Patch Set 1:
Build FAILED, please check http://yocto-build1.bj.intel.com:8080/job/libcamhal_build/1608/</t>
  </si>
  <si>
    <t>Patch Set 1:
UT PASSED on board with imx185 by http://yocto-build1.bj.intel.com:8080/job/run_on_board/1085/</t>
  </si>
  <si>
    <t>Patch Set 1:
Build succeed and mock test pass by http://yocto-build1.bj.intel.com:8080/job/libcamhal_build/1610/</t>
  </si>
  <si>
    <t>Patch Set 1: Validation-Linux-2
Build FAILED which caused by log printing, please check http://yocto-build1.bj.intel.com:8080/job/libcamhal_build/1610/</t>
  </si>
  <si>
    <t>Patch Set 1:
Build succeed and mock test pass by http://yocto-build1.bj.intel.com:8080/job/libcamhal_build/1611/</t>
  </si>
  <si>
    <t>Patch Set 1:
Build succeed and mock test pass by http://yocto-build1.bj.intel.com:8080/job/libcamhal_build/1612/</t>
  </si>
  <si>
    <t>Patch Set 1:
Build FAILED which caused by log printing, please check http://yocto-build1.bj.intel.com:8080/job/libcamhal_build/1611/</t>
  </si>
  <si>
    <t>Patch Set 1:
Build FAILED which caused by log printing, please check http://yocto-build1.bj.intel.com:8080/job/libcamhal_build/1612/</t>
  </si>
  <si>
    <t>Patch Set 2:
Build succeed and mock test pass by http://yocto-build1.bj.intel.com:8080/job/libcamhal_build/1613/</t>
  </si>
  <si>
    <t>Patch Set 2:
UT PASSED on board with imx185 by http://yocto-build1.bj.intel.com:8080/job/run_on_board/1087/</t>
  </si>
  <si>
    <t>Patch Set 3: Validation-Linux-1
Build succeed, but mock test failed by http://yocto-build1.bj.intel.com:8080/job/libcamhal_build/1635/</t>
  </si>
  <si>
    <t>Patch Set 3:
UT FAILED on board with imx185 by http://yocto-build1.bj.intel.com:8080/job/run_on_board/1109/</t>
  </si>
  <si>
    <t>Patch Set 3:
Build succeed, but mock test failed by http://yocto-build1.bj.intel.com:8080/job/libcamhal_build/1660/</t>
  </si>
  <si>
    <t>Patch Set 4:
Build succeed and mock test pass by http://yocto-build1.bj.intel.com:8080/job/libcamhal_build/1661/</t>
  </si>
  <si>
    <t>Patch Set 4:
UT FAILED on board with imx185 by http://yocto-build1.bj.intel.com:8080/job/run_on_board/1133/</t>
  </si>
  <si>
    <t>Patch Set 4:
UT FAILED on board with imx185 by http://yocto-build1.bj.intel.com:8080/job/run_on_board/1136/</t>
  </si>
  <si>
    <t>Patch Set 4:
UT FAILED on board with imx185 by http://yocto-build1.bj.intel.com:8080/job/run_on_board/1139/</t>
  </si>
  <si>
    <t>Patch Set 8:
Build succeed and mock test pass by http://yocto-build1.bj.intel.com:8080/job/libcamhal_build/1673/</t>
  </si>
  <si>
    <t>Patch Set 8:
UT FAILED on board with imx185 by http://yocto-build1.bj.intel.com:8080/job/run_on_board/1156/</t>
  </si>
  <si>
    <t>Patch Set 9: Published edit on patch set 8</t>
  </si>
  <si>
    <t>Patch Set 9:
Build succeed and mock test pass by http://yocto-build1.bj.intel.com:8080/job/libcamhal_build/1675/</t>
  </si>
  <si>
    <t>Patch Set 9:
UT PASSED on board with imx185 by http://yocto-build1.bj.intel.com:8080/job/run_on_board/1159/</t>
  </si>
  <si>
    <t>Patch Set 10:
Build succeed and mock test pass by http://yocto-build1.bj.intel.com:8080/job/libcamhal_build/1678/</t>
  </si>
  <si>
    <t>Patch Set 10:
UT PASSED on board with imx185 by http://yocto-build1.bj.intel.com:8080/job/run_on_board/1160/</t>
  </si>
  <si>
    <t>Patch Set 10: Code-Review+1 Validation-Linux+2</t>
  </si>
  <si>
    <t>Ic426f7852b5f7460de3614c74cb5f1ee597ab38d</t>
  </si>
  <si>
    <t>camhalv1: Do HAL init on first camera open.</t>
  </si>
  <si>
    <t xml:space="preserve">camhalv1: Do HAL init on first camera open.
Move camera_hal_init() to startPreviewInternal()
so that the media-ctl entities are enumerated and
media-ctl links are resetted when the camera is
opened for the first time. Currently it was bieng done
each time CameraHardwareSoc instance was created when
the camera service was inited on boot. This caused the
the media-ctl links to be resetted twice on boot. This
blocks the operation early camera boot app in android.
Change-Id: Ic426f7852b5f7460de3614c74cb5f1ee597ab38d
Tracked-On: #JICSF-549
Signed-off-by: John Mathew &lt;john.mathew@intel.com&gt;
</t>
  </si>
  <si>
    <t>Patch Set 1:
Build succeed and mock test pass by http://yocto-build1.bj.intel.com:8080/job/libcamhal_build/1676/</t>
  </si>
  <si>
    <t>Patch Set 1:
This patch looks like a WA, some static info should be able to get before preview started.</t>
  </si>
  <si>
    <t>Patch Set 1:
UT FAILED on board with imx185 by http://yocto-build1.bj.intel.com:8080/job/run_on_board/1162/</t>
  </si>
  <si>
    <t>Id25f1b9a7492105cb4ac473b894041c0d7c71ac6</t>
  </si>
  <si>
    <t>Set Wdr mode switch to sensor when pipe switching</t>
  </si>
  <si>
    <t xml:space="preserve">Set Wdr mode switch to sensor when pipe switching
[Issue]
N/A
[Root Cause]
N/A
[Changes]
1. Set Wdr mode switch to sensor when pipe switching.
[Test Platform]
imx185
Change-Id: Id25f1b9a7492105cb4ac473b894041c0d7c71ac6
Tracked-On: #R31731
Signed-off-by: Qingwu Zhang &lt;qingwu.zhang@intel.com&gt;
</t>
  </si>
  <si>
    <t>xiaozhou.liu@intel.com,jie.j.zhang@intel.com,daxing.li@intel.com</t>
  </si>
  <si>
    <t>Patch Set 2:
Build succeed and mock test pass by http://yocto-build1.bj.intel.com:8080/job/libcamhal_build/1663/</t>
  </si>
  <si>
    <t>Patch Set 2:
UT PASSED on board with imx185 by http://yocto-build1.bj.intel.com:8080/job/run_on_board/1137/</t>
  </si>
  <si>
    <t>I86e37c571bb6092779ea1f226164ab310b6266e2</t>
  </si>
  <si>
    <t>Add the psys test case for the video_isa_video_full DAG</t>
  </si>
  <si>
    <t xml:space="preserve">Add the psys test case for the video_isa_video_full DAG
[Issue]
[Root Cause]
[Changes]
1. Add the psys test case for the video_isa_video_full DAG
2. Disable the added psys test case, because
the video_isa PG is not existing in the Linux fw.
[Test Platform]
Change-Id: I86e37c571bb6092779ea1f226164ab310b6266e2
Tracked-On: #R30593
Signed-off-by: Yang Liang &lt;liang.l.yang@intel.com&gt;
</t>
  </si>
  <si>
    <t>Patch Set 1:
Build succeed and mock test pass by http://yocto-build1.bj.intel.com:8080/job/libcamhal_build/1617/</t>
  </si>
  <si>
    <t>Patch Set 1:
UT FAILED on board with imx185 by http://yocto-build1.bj.intel.com:8080/job/run_on_board/1091/</t>
  </si>
  <si>
    <t>Patch Set 2:
Build succeed and mock test pass by http://yocto-build1.bj.intel.com:8080/job/libcamhal_build/1619/</t>
  </si>
  <si>
    <t>Patch Set 2:
UT FAILED on board with imx185 by http://yocto-build1.bj.intel.com:8080/job/run_on_board/1093/</t>
  </si>
  <si>
    <t>Patch Set 3: Validation-Linux-1
Build succeed, but mock test failed by http://yocto-build1.bj.intel.com:8080/job/libcamhal_build/1623/</t>
  </si>
  <si>
    <t>Patch Set 3:
UT FAILED on board with imx185 by http://yocto-build1.bj.intel.com:8080/job/run_on_board/1098/</t>
  </si>
  <si>
    <t>Patch Set 4:
Build succeed and mock test pass by http://yocto-build1.bj.intel.com:8080/job/libcamhal_build/1630/</t>
  </si>
  <si>
    <t>Patch Set 4:
UT FAILED on board with imx185 by http://yocto-build1.bj.intel.com:8080/job/run_on_board/1105/</t>
  </si>
  <si>
    <t>Patch Set 5:
Build succeed and mock test pass by http://yocto-build1.bj.intel.com:8080/job/libcamhal_build/1642/</t>
  </si>
  <si>
    <t>Patch Set 5:
UT FAILED on board with imx185 by http://yocto-build1.bj.intel.com:8080/job/run_on_board/1118/</t>
  </si>
  <si>
    <t>Patch Set 6: Validation-Linux-1
Build succeed, but mock test failed by http://yocto-build1.bj.intel.com:8080/job/libcamhal_build/1647/</t>
  </si>
  <si>
    <t>Patch Set 7:
Build succeed and mock test pass by http://yocto-build1.bj.intel.com:8080/job/libcamhal_build/1654/</t>
  </si>
  <si>
    <t>Patch Set 7:
UT PASSED on board with imx185 by http://yocto-build1.bj.intel.com:8080/job/run_on_board/1128/</t>
  </si>
  <si>
    <t>Patch Set 8:
Build succeed and mock test pass by http://yocto-build1.bj.intel.com:8080/job/libcamhal_build/1667/</t>
  </si>
  <si>
    <t>Patch Set 8:
UT FAILED on board with imx185 by http://yocto-build1.bj.intel.com:8080/job/run_on_board/1143/</t>
  </si>
  <si>
    <t>Patch Set 8:
UT PASSED on board with imx185 by http://yocto-build1.bj.intel.com:8080/job/run_on_board/1150/</t>
  </si>
  <si>
    <t>Patch Set 8:
UT PASSED on board with imx185 by http://yocto-build1.bj.intel.com:8080/job/run_on_board/1151/</t>
  </si>
  <si>
    <t>I85f44517359e4d9006038e09eb73ce1b397d4c6e</t>
  </si>
  <si>
    <t>Add the video_isa_video_full DAG support</t>
  </si>
  <si>
    <t xml:space="preserve">Add the video_isa_video_full DAG support
[Issue]
The ov10640's output israw bayer,
and just the video_isa PG could
handle the raw bayer right now.
[Root Cause]
[Changes]
To support raw input and NV12 output,
add the video_isa_video_full DAG
which includes video_isa PG support.
[Test Platform]
Change-Id: I85f44517359e4d9006038e09eb73ce1b397d4c6e
Tracked-On: #R30593
Signed-off-by: Yang Liang &lt;liang.l.yang@intel.com&gt;
</t>
  </si>
  <si>
    <t>Patch Set 1:
Build succeed and mock test pass by http://yocto-build1.bj.intel.com:8080/job/libcamhal_build/1616/</t>
  </si>
  <si>
    <t>Patch Set 1:
UT FAILED on board with imx185 by http://yocto-build1.bj.intel.com:8080/job/run_on_board/1090/</t>
  </si>
  <si>
    <t>Patch Set 2:
Build succeed and mock test pass by http://yocto-build1.bj.intel.com:8080/job/libcamhal_build/1618/</t>
  </si>
  <si>
    <t>Patch Set 3:
Build succeed and mock test pass by http://yocto-build1.bj.intel.com:8080/job/libcamhal_build/1620/</t>
  </si>
  <si>
    <t>Patch Set 3:
UT FAILED on board with imx185 by http://yocto-build1.bj.intel.com:8080/job/run_on_board/1092/</t>
  </si>
  <si>
    <t>Patch Set 3:
UT PASSED on board with imx185 by http://yocto-build1.bj.intel.com:8080/job/run_on_board/1094/</t>
  </si>
  <si>
    <t>Patch Set 3:
UT PASSED on board with imx185 by http://yocto-build1.bj.intel.com:8080/job/run_on_board/1095/</t>
  </si>
  <si>
    <t>Patch Set 4: Validation-Linux-1
Build succeed, but mock test failed by http://yocto-build1.bj.intel.com:8080/job/libcamhal_build/1625/</t>
  </si>
  <si>
    <t>Patch Set 4:
UT FAILED on board with imx185 by http://yocto-build1.bj.intel.com:8080/job/run_on_board/1100/</t>
  </si>
  <si>
    <t>Patch Set 5:
Build succeed and mock test pass by http://yocto-build1.bj.intel.com:8080/job/libcamhal_build/1629/</t>
  </si>
  <si>
    <t>Patch Set 5:
UT PASSED on board with imx185 by http://yocto-build1.bj.intel.com:8080/job/run_on_board/1104/</t>
  </si>
  <si>
    <t>Patch Set 6:
Build succeed and mock test pass by http://yocto-build1.bj.intel.com:8080/job/libcamhal_build/1641/</t>
  </si>
  <si>
    <t>Patch Set 6:
UT PASSED on board with imx185 by http://yocto-build1.bj.intel.com:8080/job/run_on_board/1117/</t>
  </si>
  <si>
    <t>Patch Set 7:
Build succeed, but mock test failed by http://yocto-build1.bj.intel.com:8080/job/libcamhal_build/1646/</t>
  </si>
  <si>
    <t>Patch Set 7:
UT FAILED on board with imx185 by http://yocto-build1.bj.intel.com:8080/job/run_on_board/1122/</t>
  </si>
  <si>
    <t>Patch Set 8:
Build succeed and mock test pass by http://yocto-build1.bj.intel.com:8080/job/libcamhal_build/1653/</t>
  </si>
  <si>
    <t>Patch Set 8:
UT PASSED on board with imx185 by http://yocto-build1.bj.intel.com:8080/job/run_on_board/1127/</t>
  </si>
  <si>
    <t xml:space="preserve">line403:"please add DAG_VIDEO_ISA_PRE_POST_GDC in this function. It will cause the wrong pipe used." </t>
  </si>
  <si>
    <t>Patch Set 9:
Build succeed and mock test pass by http://yocto-build1.bj.intel.com:8080/job/libcamhal_build/1666/</t>
  </si>
  <si>
    <t>Patch Set 9:
UT FAILED on board with imx185 by http://yocto-build1.bj.intel.com:8080/job/run_on_board/1142/</t>
  </si>
  <si>
    <t>Patch Set 9:
UT FAILED on board with imx185 by http://yocto-build1.bj.intel.com:8080/job/run_on_board/1144/</t>
  </si>
  <si>
    <t>Patch Set 9:
UT FAILED on board with imx185 by http://yocto-build1.bj.intel.com:8080/job/run_on_board/1145/</t>
  </si>
  <si>
    <t>Patch Set 9:
UT PASSED on board with imx185 by http://yocto-build1.bj.intel.com:8080/job/run_on_board/1148/</t>
  </si>
  <si>
    <t>Patch Set 9:
UT PASSED on board with imx185 by http://yocto-build1.bj.intel.com:8080/job/run_on_board/1149/</t>
  </si>
  <si>
    <t>I22c1871cf58765376a961b32a73a39a3bdcc3cf3</t>
  </si>
  <si>
    <t>Remove unused POPG from the camera HAL</t>
  </si>
  <si>
    <t xml:space="preserve">Remove unused POPG from the camera HAL
[Issue]
[Root Cause]
Beause the support for the POPG has been removed from kernel,
it's unnecessary to keep these code in the HAL.
[Changes]
[Test Platform]
Change-Id: I22c1871cf58765376a961b32a73a39a3bdcc3cf3
Tracked-On: #R30593
Signed-off-by: Yang Liang &lt;liang.l.yang@intel.com&gt;
</t>
  </si>
  <si>
    <t>Patch Set 1:
Build succeed and mock test pass by http://yocto-build1.bj.intel.com:8080/job/libcamhal_build/1615/</t>
  </si>
  <si>
    <t>Patch Set 1:
UT PASSED on board with imx185 by http://yocto-build1.bj.intel.com:8080/job/run_on_board/1089/</t>
  </si>
  <si>
    <t>Patch Set 2: Validation-Linux-1
Build succeed, but mock test failed by http://yocto-build1.bj.intel.com:8080/job/libcamhal_build/1624/</t>
  </si>
  <si>
    <t>Patch Set 2:
UT FAILED on board with imx185 by http://yocto-build1.bj.intel.com:8080/job/run_on_board/1099/</t>
  </si>
  <si>
    <t>Patch Set 3:
Build succeed and mock test pass by http://yocto-build1.bj.intel.com:8080/job/libcamhal_build/1628/</t>
  </si>
  <si>
    <t>Patch Set 3:
UT FAILED on board with imx185 by http://yocto-build1.bj.intel.com:8080/job/run_on_board/1103/</t>
  </si>
  <si>
    <t>Patch Set 4:
Build succeed and mock test pass by http://yocto-build1.bj.intel.com:8080/job/libcamhal_build/1640/</t>
  </si>
  <si>
    <t>Patch Set 4:
UT PASSED on board with imx185 by http://yocto-build1.bj.intel.com:8080/job/run_on_board/1116/</t>
  </si>
  <si>
    <t>Patch Set 5: Validation-Linux-1
Build succeed, but mock test failed by http://yocto-build1.bj.intel.com:8080/job/libcamhal_build/1645/</t>
  </si>
  <si>
    <t>Patch Set 5:
UT FAILED on board with imx185 by http://yocto-build1.bj.intel.com:8080/job/run_on_board/1121/</t>
  </si>
  <si>
    <t>Patch Set 6:
UT FAILED on board with imx185 by http://yocto-build1.bj.intel.com:8080/job/run_on_board/1124/</t>
  </si>
  <si>
    <t>Patch Set 6:
Build succeed and mock test pass by http://yocto-build1.bj.intel.com:8080/job/libcamhal_build/1652/</t>
  </si>
  <si>
    <t>Patch Set 6:
UT PASSED on board with imx185 by http://yocto-build1.bj.intel.com:8080/job/run_on_board/1126/</t>
  </si>
  <si>
    <t>Patch Set 7:
Build succeed and mock test pass by http://yocto-build1.bj.intel.com:8080/job/libcamhal_build/1665/</t>
  </si>
  <si>
    <t>Patch Set 7:
UT FAILED on board with imx185 by http://yocto-build1.bj.intel.com:8080/job/run_on_board/1141/</t>
  </si>
  <si>
    <t>Patch Set 7:
UT PASSED on board with imx185 by http://yocto-build1.bj.intel.com:8080/job/run_on_board/1147/</t>
  </si>
  <si>
    <t>I24036690e15855a65beab52940325c0b7218696a</t>
  </si>
  <si>
    <t>Revert "camhalv1: Reset media-ctl links when doing media-ctl setup"</t>
  </si>
  <si>
    <t xml:space="preserve">Revert "camhalv1: Reset media-ctl links when doing media-ctl setup"
This reverts commit 457aee201c7f200737d8388ab4d2656afc92219c.
Change-Id: I24036690e15855a65beab52940325c0b7218696a
</t>
  </si>
  <si>
    <t>Patch Set 1:
Build FAILED, please check http://yocto-build1.bj.intel.com:8080/job/libcamhal_build/1638/</t>
  </si>
  <si>
    <t>Patch Set 1:
Build FAILED by http://yocto-build1.bj.intel.com:8080/job/verify_patches/1423/</t>
  </si>
  <si>
    <t>Patch Set 2: Validation-Linux-1
Build succeed, but mock test failed by http://yocto-build1.bj.intel.com:8080/job/libcamhal_build/1644/</t>
  </si>
  <si>
    <t>Patch Set 2:
UT FAILED on board with imx185 by http://yocto-build1.bj.intel.com:8080/job/run_on_board/1120/</t>
  </si>
  <si>
    <t>If727adf49d80ee722fbc5f6312cccb5cc9590fef</t>
  </si>
  <si>
    <t>Fix segmentation fault issue of gst-tool</t>
  </si>
  <si>
    <t xml:space="preserve">Fix segmentation fault issue of gst-tool
[Issue]
gst-tool failed to execute and has segmentation fault
[Root Cause]
Lack of gstreamer-video-1.0 libraries
[Changes]
Add more dependency libraries
[Test Platform]
Change-Id: If727adf49d80ee722fbc5f6312cccb5cc9590fef
Tracked-On: #H1504323696
Signed-off-by: caoxi &lt;xi.cao@intel.com&gt;
</t>
  </si>
  <si>
    <t>Patch Set 1:
Build FAILED, please check http://yocto-build1.bj.intel.com:8080/job/icamerasrc_build/67/</t>
  </si>
  <si>
    <t>Patch Set 1:
Build FAILED, please check http://yocto-build1.bj.intel.com:8080/job/icamerasrc_build/68/</t>
  </si>
  <si>
    <t>Patch Set 2:
Build FAILED, please check http://yocto-build1.bj.intel.com:8080/job/icamerasrc_build/69/</t>
  </si>
  <si>
    <t>Patch Set 2:
Build FAILED, please check http://yocto-build1.bj.intel.com:8080/job/icamerasrc_build/71/</t>
  </si>
  <si>
    <t>Patch Set 2:
UT PASSED on board with imx185 by http://yocto-build1.bj.intel.com:8080/job/run_on_board/1077/</t>
  </si>
  <si>
    <t>Patch Set 3:
Build FAILED, please check http://yocto-build1.bj.intel.com:8080/job/icamerasrc_build/72/</t>
  </si>
  <si>
    <t>Patch Set 4:
Build FAILED, please check http://yocto-build1.bj.intel.com:8080/job/icamerasrc_build/73/</t>
  </si>
  <si>
    <t>Patch Set 4:
Build FAILED, please check http://yocto-build1.bj.intel.com:8080/job/icamerasrc_build/74/</t>
  </si>
  <si>
    <t>Patch Set 4:
UT PASSED on board with imx185 by http://yocto-build1.bj.intel.com:8080/job/run_on_board/1079/</t>
  </si>
  <si>
    <t>Patch Set 5:
Build FAILED, please check http://yocto-build1.bj.intel.com:8080/job/icamerasrc_build/75/</t>
  </si>
  <si>
    <t>Patch Set 5:
UT PASSED on board with imx185 by http://yocto-build1.bj.intel.com:8080/job/run_on_board/1080/</t>
  </si>
  <si>
    <t>Patch Set 5:
Build FAILED, please check http://yocto-build1.bj.intel.com:8080/job/icamerasrc_build/77/</t>
  </si>
  <si>
    <t>Patch Set 6:
Build FAILED, please check http://yocto-build1.bj.intel.com:8080/job/icamerasrc_build/78/</t>
  </si>
  <si>
    <t>Patch Set 7:
Build FAILED, please check http://yocto-build1.bj.intel.com:8080/job/icamerasrc_build/79/</t>
  </si>
  <si>
    <t>Patch Set 7:
UT PASSED on board with imx185 by http://yocto-build1.bj.intel.com:8080/job/run_on_board/1081/</t>
  </si>
  <si>
    <t>Patch Set 7:
Build FAILED, please check http://yocto-build1.bj.intel.com:8080/job/icamerasrc_build/80/</t>
  </si>
  <si>
    <t>Patch Set 7:
UT PASSED on board with imx185 by http://yocto-build1.bj.intel.com:8080/job/run_on_board/1083/</t>
  </si>
  <si>
    <t>Restored</t>
  </si>
  <si>
    <t>Patch Set 7:
Build succeed by http://yocto-build1.bj.intel.com:8080/job/icamerasrc_build/83/</t>
  </si>
  <si>
    <t>Patch Set 7:
Build succeed by http://yocto-build1.bj.intel.com:8080/job/icamerasrc_build/84/</t>
  </si>
  <si>
    <t>Patch Set 7:
Build FAILED, please check http://yocto-build1.bj.intel.com:8080/job/icamerasrc_build/85/</t>
  </si>
  <si>
    <t>Patch Set 7:
UT PASSED on board with imx185 by http://yocto-build1.bj.intel.com:8080/job/run_on_board/1084/</t>
  </si>
  <si>
    <t>Patch Set 7:
Build FAILED, please check http://yocto-build1.bj.intel.com:8080/job/icamerasrc_build/87/</t>
  </si>
  <si>
    <t>Patch Set 8:
Build succeed by http://yocto-build1.bj.intel.com:8080/job/icamerasrc_build/88/</t>
  </si>
  <si>
    <t>Patch Set 8:
Build succeed by http://yocto-build1.bj.intel.com:8080/job/icamerasrc_build/89/</t>
  </si>
  <si>
    <t>Patch Set 8:
UT PASSED on board with imx185 by http://yocto-build1.bj.intel.com:8080/job/run_on_board/1086/</t>
  </si>
  <si>
    <t>I86d1e95deecf254ce849b3c735cba3b85757678b</t>
  </si>
  <si>
    <t>Implement framerate interface</t>
  </si>
  <si>
    <t xml:space="preserve">Implement framerate interface
[Issue]
[Root Cause]
[Changes]
1.Call HAL interface to control 'fps' property
2.Change default enum value of 'fps' property
[Test Platform]
Change-Id: I86d1e95deecf254ce849b3c735cba3b85757678b
Tracked-On: #H1504326198
Signed-off-by: caoxi &lt;xi.cao@intel.com&gt;
</t>
  </si>
  <si>
    <t>liang.l.yang@intel.com,xiaozhou.liu@intel.com,gang.a.hu@intel.com</t>
  </si>
  <si>
    <t>Patch Set 1:
Build succeed by http://yocto-build1.bj.intel.com:8080/job/icamerasrc_build/37/</t>
  </si>
  <si>
    <t>Patch Set 1:
UT PASSED on board with imx185 by http://yocto-build1.bj.intel.com:8080/job/run_on_board/1054/</t>
  </si>
  <si>
    <t>Patch Set 2:
Build succeed by http://yocto-build1.bj.intel.com:8080/job/icamerasrc_build/39/</t>
  </si>
  <si>
    <t>Patch Set 2:
UT PASSED on board with imx185 by http://yocto-build1.bj.intel.com:8080/job/run_on_board/1056/</t>
  </si>
  <si>
    <t>Patch Set 2:
UT PASSED on board with imx185 by http://yocto-build1.bj.intel.com:8080/job/run_on_board/1059/</t>
  </si>
  <si>
    <t>Patch Set 3:
Build succeed by http://yocto-build1.bj.intel.com:8080/job/icamerasrc_build/41/</t>
  </si>
  <si>
    <t>Patch Set 3:
UT PASSED on board with imx185 by http://yocto-build1.bj.intel.com:8080/job/run_on_board/1061/</t>
  </si>
  <si>
    <t>Patch Set 3: Integrator-1</t>
  </si>
  <si>
    <t>Id2ed89e0bedffdca2d6960f850dac3668a272689</t>
  </si>
  <si>
    <t>Add missing configuration info</t>
  </si>
  <si>
    <t xml:space="preserve">Add missing configuration info
[Issue]
The missing configuration info causes
the mock test fail.
[Root Cause]
[Changes]
1. Add missing configuration info
2. disable the psys case for "video.pre-post-gdc-combined.ff"
[Test Platform]
Change-Id: Id2ed89e0bedffdca2d6960f850dac3668a272689
Tracked-On: #R30593
Signed-off-by: Yang Liang &lt;liang.l.yang@intel.com&gt;
</t>
  </si>
  <si>
    <t>Patch Set 1:
Build succeed and mock test pass by http://yocto-build1.bj.intel.com:8080/job/libcamhal_build/1626/</t>
  </si>
  <si>
    <t>Patch Set 2:
UT FAILED on board with imx185 by http://yocto-build1.bj.intel.com:8080/job/run_on_board/1101/</t>
  </si>
  <si>
    <t>Patch Set 2:
Build succeed and mock test pass by http://yocto-build1.bj.intel.com:8080/job/libcamhal_build/1627/</t>
  </si>
  <si>
    <t>Patch Set 2:
UT FAILED on board with imx185 by http://yocto-build1.bj.intel.com:8080/job/run_on_board/1102/</t>
  </si>
  <si>
    <t>Patch Set 3:
UT FAILED on board with imx185 by http://yocto-build1.bj.intel.com:8080/job/run_on_board/1110/</t>
  </si>
  <si>
    <t>Patch Set 3:
Build succeed and mock test pass by http://yocto-build1.bj.intel.com:8080/job/libcamhal_build/1636/</t>
  </si>
  <si>
    <t>Patch Set 4:
UT FAILED on board with imx185 by http://yocto-build1.bj.intel.com:8080/job/run_on_board/1111/</t>
  </si>
  <si>
    <t>Patch Set 4:
UT PASSED on board with imx185 by http://yocto-build1.bj.intel.com:8080/job/run_on_board/1112/</t>
  </si>
  <si>
    <t>Patch Set 4:
Build succeed and mock test pass by http://yocto-build1.bj.intel.com:8080/job/libcamhal_build/1637/</t>
  </si>
  <si>
    <t>Patch Set 4:
UT PASSED on board with imx185 by http://yocto-build1.bj.intel.com:8080/job/run_on_board/1113/</t>
  </si>
  <si>
    <t>Patch Set 4:
UT PASSED on board with imx185 by http://yocto-build1.bj.intel.com:8080/job/run_on_board/1114/</t>
  </si>
  <si>
    <t>Patch Set 4:
UT PASSED on board with imx185 by http://yocto-build1.bj.intel.com:8080/job/run_on_board/1115/</t>
  </si>
  <si>
    <t>Patch Set 2:
Test patch set</t>
  </si>
  <si>
    <t>Patch Set 4:
Merged it directly per urgent request from dev and no influence on libcamhal library</t>
  </si>
  <si>
    <t>Ia65ca1dff059d0e904106a1c2d77d7aeca661ebf</t>
  </si>
  <si>
    <t>Add ov10640 raw sensor setting</t>
  </si>
  <si>
    <t xml:space="preserve">Add ov10640 raw sensor setting
[Issue]
[Root Cause]
[Changes]
[Test Platform]
Change-Id: Ia65ca1dff059d0e904106a1c2d77d7aeca661ebf
Tracked-On: #R30593
Signed-off-by: Yang Liang &lt;liang.l.yang@intel.com&gt;
</t>
  </si>
  <si>
    <t>Patch Set 1: Validation-Linux-1
Build succeed, but mock test failed by http://yocto-build1.bj.intel.com:8080/job/libcamhal_build/1580/</t>
  </si>
  <si>
    <t>Patch Set 1:
UT FAILED on board with imx185 by http://yocto-build1.bj.intel.com:8080/job/run_on_board/1042/</t>
  </si>
  <si>
    <t>Patch Set 2: Validation-Linux-1
Build succeed, but mock test failed by http://yocto-build1.bj.intel.com:8080/job/libcamhal_build/1592/</t>
  </si>
  <si>
    <t>Patch Set 2:
UT FAILED on board with imx185 by http://yocto-build1.bj.intel.com:8080/job/run_on_board/1051/</t>
  </si>
  <si>
    <t>Patch Set 2:
Build FAILED, please check http://yocto-build1.bj.intel.com:8080/job/libcamhal_merged_build/1/</t>
  </si>
  <si>
    <t>Patch Set 3: Validation-Linux-1
Build succeed, but mock test failed by http://yocto-build1.bj.intel.com:8080/job/libcamhal_build/1605/</t>
  </si>
  <si>
    <t>Patch Set 3:
UT FAILED on board with imx185 by http://yocto-build1.bj.intel.com:8080/job/run_on_board/1076/</t>
  </si>
  <si>
    <t>Ic6eacfdce0a82ce7d27125ca5b376f045560141e</t>
  </si>
  <si>
    <t>Add NV16 support for the mondello, aggregator and ov10635</t>
  </si>
  <si>
    <t xml:space="preserve">Add NV16 support for the mondello, aggregator and ov10635
[Issue]
[Root Cause]
[Changes]
[Test Platform]
Change-Id: Ic6eacfdce0a82ce7d27125ca5b376f045560141e
Tracked-On: #R30593
Signed-off-by: Yang Liang &lt;liang.l.yang@intel.com&gt;
</t>
  </si>
  <si>
    <t>Patch Set 1:
Build succeed and mock test pass by http://yocto-build1.bj.intel.com:8080/job/libcamhal_build/1566/</t>
  </si>
  <si>
    <t>Patch Set 1:
UT PASSED on board with imx185 by http://yocto-build1.bj.intel.com:8080/job/run_on_board/1033/</t>
  </si>
  <si>
    <t>Patch Set 3:
Build succeed and mock test pass by http://yocto-build1.bj.intel.com:8080/job/libcamhal_build/1569/</t>
  </si>
  <si>
    <t>Patch Set 3:
UT PASSED on board with imx185 by http://yocto-build1.bj.intel.com:8080/job/run_on_board/1036/</t>
  </si>
  <si>
    <t>Patch Set 4:
Build succeed and mock test pass by http://yocto-build1.bj.intel.com:8080/job/libcamhal_build/1573/</t>
  </si>
  <si>
    <t>Patch Set 5: Validation-Linux-1
Build succeed, but mock test failed by http://yocto-build1.bj.intel.com:8080/job/libcamhal_build/1574/</t>
  </si>
  <si>
    <t>Patch Set 6: Validation-Linux-1
Build succeed, but mock test failed by http://yocto-build1.bj.intel.com:8080/job/libcamhal_build/1575/</t>
  </si>
  <si>
    <t>Patch Set 7: Validation-Linux-1
Build succeed, but mock test failed by http://yocto-build1.bj.intel.com:8080/job/libcamhal_build/1576/</t>
  </si>
  <si>
    <t>Patch Set 7:
Build succeed, but mock test failed by http://yocto-build1.bj.intel.com:8080/job/libcamhal_build/1582/</t>
  </si>
  <si>
    <t>Patch Set 8: Validation-Linux-1
Build succeed, but mock test failed by http://yocto-build1.bj.intel.com:8080/job/libcamhal_build/1586/</t>
  </si>
  <si>
    <t>Patch Set 8:
Build succeed, but mock test failed by http://yocto-build1.bj.intel.com:8080/job/libcamhal_build/1588/</t>
  </si>
  <si>
    <t>Patch Set 9:
UT PASSED on board with imx185 by http://yocto-build1.bj.intel.com:8080/job/run_on_board/1048/</t>
  </si>
  <si>
    <t>Patch Set 9:
Build succeed and mock test pass by http://yocto-build1.bj.intel.com:8080/job/libcamhal_build/1589/</t>
  </si>
  <si>
    <t>Patch Set 10:
UT PASSED on board with imx185 by http://yocto-build1.bj.intel.com:8080/job/run_on_board/1049/</t>
  </si>
  <si>
    <t>Patch Set 10:
Build succeed and mock test pass by http://yocto-build1.bj.intel.com:8080/job/libcamhal_build/1590/</t>
  </si>
  <si>
    <t>Patch Set 10:
Build succeed and mock test pass by http://yocto-build1.bj.intel.com:8080/job/libcamhal_build/1591/</t>
  </si>
  <si>
    <t>Patch Set 10:
UT PASSED on board with imx185 by http://yocto-build1.bj.intel.com:8080/job/run_on_board/1050/</t>
  </si>
  <si>
    <t>Patch Set 10:
Build FAILED, please check http://yocto-build1.bj.intel.com:8080/job/libcamhal_merged_build/1/</t>
  </si>
  <si>
    <t>Patch Set 10: -Integrator</t>
  </si>
  <si>
    <t>Patch Set 11:
Build FAILED, please check http://yocto-build1.bj.intel.com:8080/job/libcamhal_build/1601/</t>
  </si>
  <si>
    <t>Patch Set 11:
UT PASSED on board with imx185 by http://yocto-build1.bj.intel.com:8080/job/run_on_board/1073/</t>
  </si>
  <si>
    <t>I68dd66dd70671b9b3f4f28e7e92b565ae85e4e96</t>
  </si>
  <si>
    <t>Change the logic of selecting mediaCtlConf</t>
  </si>
  <si>
    <t xml:space="preserve">Change the logic of selecting mediaCtlConf
[Issue]
N/A
[Root Cause]
N/A
[Changes]
1. Define the "id" for every MediaCtlConfig.
2. Define a mapping table which we could get the mediaCtlConf
through looking-up this table when configure stream.
3. Merge the BE/FE sensor name together in xml.
Change-Id: I68dd66dd70671b9b3f4f28e7e92b565ae85e4e96
Tracked-On: #H1504314298
Signed-off-by: Li Zong &lt;zongx.li@intel.com&gt;
Signed-off-by: Yang Liang &lt;liang.l.yang@intel.com&gt;
</t>
  </si>
  <si>
    <t>Patch Set 1:
Build succeed and mock test pass by http://yocto-build1.bj.intel.com:8080/job/libcamhal_build/1538/</t>
  </si>
  <si>
    <t>Patch Set 1:
UT PASSED on board with imx185 by http://yocto-build1.bj.intel.com:8080/job/run_on_board/1004/</t>
  </si>
  <si>
    <t>Patch Set 2:
Build succeed and mock test pass by http://yocto-build1.bj.intel.com:8080/job/libcamhal_build/1543/</t>
  </si>
  <si>
    <t>Patch Set 2:
UT PASSED on board with imx185 by http://yocto-build1.bj.intel.com:8080/job/run_on_board/1009/</t>
  </si>
  <si>
    <t>Patch Set 3:
Build succeed and mock test pass by http://yocto-build1.bj.intel.com:8080/job/libcamhal_build/1561/</t>
  </si>
  <si>
    <t>Patch Set 3: Validation-Linux-2
Build FAILED which caused by log printing, please check http://yocto-build1.bj.intel.com:8080/job/libcamhal_build/1561/</t>
  </si>
  <si>
    <t>Patch Set 3:
UT PASSED on board with imx185 by http://yocto-build1.bj.intel.com:8080/job/run_on_board/1028/</t>
  </si>
  <si>
    <t>Patch Set 4:
Build succeed and mock test pass by http://yocto-build1.bj.intel.com:8080/job/libcamhal_build/1562/</t>
  </si>
  <si>
    <t>Patch Set 4: Validation-Linux-2
Build FAILED which caused by log printing, please check http://yocto-build1.bj.intel.com:8080/job/libcamhal_build/1562/</t>
  </si>
  <si>
    <t xml:space="preserve">line163:"update comments also." </t>
  </si>
  <si>
    <t>Patch Set 4:
UT PASSED on board with imx185 by http://yocto-build1.bj.intel.com:8080/job/run_on_board/1029/</t>
  </si>
  <si>
    <t>Patch Set 5:
Build succeed and mock test pass by http://yocto-build1.bj.intel.com:8080/job/libcamhal_build/1563/</t>
  </si>
  <si>
    <t>Patch Set 5:
UT PASSED on board with imx185 by http://yocto-build1.bj.intel.com:8080/job/run_on_board/1030/</t>
  </si>
  <si>
    <t>Patch Set 5: Code-Review-1
(5 comments)</t>
  </si>
  <si>
    <t xml:space="preserve">line19:"it's better that you could add comments for what the media ctl config is for.
such as FE, BE. just put them to the comments is ok." line273:"could you add log to here for atts[idx] and atts[idx + 1]?" line398:"change the StreamVector to streamVector" line278:"please change it to LOG1" line703:"your meaning is the TPG and CSI-2 will be Front End all the time? why?" </t>
  </si>
  <si>
    <t>Patch Set 6:
Build succeed and mock test pass by http://yocto-build1.bj.intel.com:8080/job/libcamhal_build/1567/</t>
  </si>
  <si>
    <t>Patch Set 7:
UT PASSED on board with imx185 by http://yocto-build1.bj.intel.com:8080/job/run_on_board/1034/</t>
  </si>
  <si>
    <t>Patch Set 7:
Build succeed and mock test pass by http://yocto-build1.bj.intel.com:8080/job/libcamhal_build/1568/</t>
  </si>
  <si>
    <t>Patch Set 8:
UT PASSED on board with imx185 by http://yocto-build1.bj.intel.com:8080/job/run_on_board/1035/</t>
  </si>
  <si>
    <t>Patch Set 8:
Build succeed and mock test pass by http://yocto-build1.bj.intel.com:8080/job/libcamhal_build/1570/</t>
  </si>
  <si>
    <t>Patch Set 8:
UT PASSED on board with imx185 by http://yocto-build1.bj.intel.com:8080/job/run_on_board/1037/</t>
  </si>
  <si>
    <t>Patch Set 8: Integrator-1
NOGO-&gt;HSD1504325865</t>
  </si>
  <si>
    <t>Patch Set 8:
Build succeed and mock test pass by http://yocto-build1.bj.intel.com:8080/job/libcamhal_build/1583/</t>
  </si>
  <si>
    <t>Patch Set 8:
Build FAILED, please check http://yocto-build1.bj.intel.com:8080/job/libcamhal_merged_build/1/</t>
  </si>
  <si>
    <t>Patch Set 8: Integrator-1
Patch conflict</t>
  </si>
  <si>
    <t>Patch Set 8: Integrator-1</t>
  </si>
  <si>
    <t>Patch Set 9:
Build succeed and mock test pass by http://yocto-build1.bj.intel.com:8080/job/libcamhal_build/1604/</t>
  </si>
  <si>
    <t>Patch Set 9:
UT PASSED on board with imx185 by http://yocto-build1.bj.intel.com:8080/job/run_on_board/1075/</t>
  </si>
  <si>
    <t>Iefe5722bfd9e9a8b6b12b1553d729e4db5d0b4ec</t>
  </si>
  <si>
    <t>Revert "Refine ftrace for dual/multi camera PnP KPIs"</t>
  </si>
  <si>
    <t xml:space="preserve">Revert "Refine ftrace for dual/multi camera PnP KPIs"
PnP code clean up.
Remove "csi2_port" and "virtual_channel"
This reverts commit 25cf00c53e4a7bf560d2e9aa6ffa7cef83d78b84.
Change-Id: Iefe5722bfd9e9a8b6b12b1553d729e4db5d0b4ec
Tracked-On: #H1504316026
Depends-On: Id3d6a8d90213856d6fd4b70fddca7b8c748aa4ca
Signed-off-by: Yang Haiping &lt;haipingx.yang@intel.com&gt;
</t>
  </si>
  <si>
    <t>gang.a.hu@intel.com,liang.l.yang@intel.com,xiaozhou.liu@intel.com</t>
  </si>
  <si>
    <t>Patch Set 2:
Build FAILED, please check http://yocto-build1.bj.intel.com:8080/job/icamerasrc_build/27/</t>
  </si>
  <si>
    <t>Patch Set 2:
UT PASSED on board with imx185 by http://yocto-build1.bj.intel.com:8080/job/run_on_board/1000/</t>
  </si>
  <si>
    <t>Ibb0416080e06a8b4da471bb9f88a417cfd152d0f</t>
  </si>
  <si>
    <t>Add NV16 format</t>
  </si>
  <si>
    <t xml:space="preserve">Add NV16 format
[Issue]
[Root Cause]
[Changes]
1.Add NV16 format in icamerasrc
2.Add NV16 test cases
3.Remove unused cases of BGRx/RGBx progressive
[Test Platform]
Tracked-On: #R30593
Change-Id: Ibb0416080e06a8b4da471bb9f88a417cfd152d0f
Signed-off-by: caoxi &lt;xi.cao@intel.com&gt;
</t>
  </si>
  <si>
    <t>Patch Set 1:
Build succeed by http://yocto-build1.bj.intel.com:8080/job/icamerasrc_build/35/</t>
  </si>
  <si>
    <t>Patch Set 1:
UT PASSED on board with imx185 by http://yocto-build1.bj.intel.com:8080/job/run_on_board/1045/</t>
  </si>
  <si>
    <t xml:space="preserve">line212:"the 1280x800 and 800x480 are also needed." line263:"1280x800 and 800x480" </t>
  </si>
  <si>
    <t xml:space="preserve">line212:"will add in next patchset" </t>
  </si>
  <si>
    <t>Patch Set 2:
Build succeed by http://yocto-build1.bj.intel.com:8080/job/icamerasrc_build/36/</t>
  </si>
  <si>
    <t>Patch Set 2:
UT PASSED on board with imx185 by http://yocto-build1.bj.intel.com:8080/job/run_on_board/1053/</t>
  </si>
  <si>
    <t>Patch Set 3:
Build succeed by http://yocto-build1.bj.intel.com:8080/job/icamerasrc_build/40/</t>
  </si>
  <si>
    <t>Patch Set 3:
UT PASSED on board with imx185 by http://yocto-build1.bj.intel.com:8080/job/run_on_board/1060/</t>
  </si>
  <si>
    <t>Ie32984a186f889be0e2c473b754fe8e052b3546a</t>
  </si>
  <si>
    <t>Remove W/A of switching camera device</t>
  </si>
  <si>
    <t xml:space="preserve">Remove W/A of switching camera device
[Issue]
BE/FE sensor names are merged
[Root Cause]
[Changes]
Remove W/A of mondello due to changes of
xml files
[Test Platform]
Depends-On: I68dd66dd70671b9b3f4f28e7e92b565ae85e4e96
Tracked-On: #H1504314298
Change-Id: Ie32984a186f889be0e2c473b754fe8e052b3546a
Signed-off-by: caoxi &lt;xi.cao@intel.com&gt;
</t>
  </si>
  <si>
    <t>gang.a.hu@intel.com,xiaozhou.liu@intel.com,zongx.li@intel.com,liang.l.yang@intel.com</t>
  </si>
  <si>
    <t>Patch Set 1: Code-Review-1
add dependency in the commit message.</t>
  </si>
  <si>
    <t>Patch Set 1:
Build succeed by http://yocto-build1.bj.intel.com:8080/job/icamerasrc_build/30/</t>
  </si>
  <si>
    <t>Patch Set 1:
&gt; add dependency in the commit message.
Done</t>
  </si>
  <si>
    <t>Patch Set 2:
UT PASSED on board with imx185 by http://yocto-build1.bj.intel.com:8080/job/run_on_board/1038/</t>
  </si>
  <si>
    <t>Patch Set 3:
Build succeed by http://yocto-build1.bj.intel.com:8080/job/icamerasrc_build/38/</t>
  </si>
  <si>
    <t>Patch Set 3:
UT PASSED on board with imx185 by http://yocto-build1.bj.intel.com:8080/job/run_on_board/1055/</t>
  </si>
  <si>
    <t>Id3d6a8d90213856d6fd4b70fddca7b8c748aa4ca</t>
  </si>
  <si>
    <t>PnP code clean up for the api</t>
  </si>
  <si>
    <t xml:space="preserve">PnP code clean up for the api
Remove "csi2_port" and "virtual_channel" from api parameters
Change-Id: Id3d6a8d90213856d6fd4b70fddca7b8c748aa4ca
Tracked-On: #H1504316026
Depends-On: Iefe5722bfd9e9a8b6b12b1553d729e4db5d0b4ec
Signed-off-by: Yang Haiping &lt;haipingx.yang@intel.com&gt;
</t>
  </si>
  <si>
    <t>Patch Set 1:
Build succeed and mock test pass by http://yocto-build1.bj.intel.com:8080/job/libcamhal_build/1415/</t>
  </si>
  <si>
    <t>Patch Set 1:
Build FAILED by http://yocto-build1.bj.intel.com:8080/job/verify_patches/1168/</t>
  </si>
  <si>
    <t>Patch Set 1:
please add https://icggerrit.corp.intel.com/#/c/139989/ as the dependency of this patch.</t>
  </si>
  <si>
    <t>Patch Set 1: Integrator-1
Reject the patch for conflict</t>
  </si>
  <si>
    <t>Patch Set 2:
Build succeed and mock test pass by http://yocto-build1.bj.intel.com:8080/job/libcamhal_build/1534/</t>
  </si>
  <si>
    <t>Patch Set 2:
Build FAILED by http://yocto-build1.bj.intel.com:8080/job/verify_patches/1289/</t>
  </si>
  <si>
    <t>Patch Set 3:
Build succeed and mock test pass by http://yocto-build1.bj.intel.com:8080/job/libcamhal_build/1535/</t>
  </si>
  <si>
    <t>Patch Set 3:
UT PASSED on board with imx185 by http://yocto-build1.bj.intel.com:8080/job/run_on_board/1001/</t>
  </si>
  <si>
    <t>Patch Set 4:
Build succeed and mock test pass by http://yocto-build1.bj.intel.com:8080/job/libcamhal_build/1564/</t>
  </si>
  <si>
    <t>Patch Set 4:
UT PASSED on board with imx185 by http://yocto-build1.bj.intel.com:8080/job/run_on_board/1031/</t>
  </si>
  <si>
    <t>I876e74a7b75fac42bc3c564dedb6e63b7c65eb53</t>
  </si>
  <si>
    <t>Add Isp params test cases for per frame control</t>
  </si>
  <si>
    <t xml:space="preserve">Add Isp params test cases for per frame control
[Issue]
N/A
[Root Cause]
N/A
[Changes]
Add Isp params test cases for per frame control
[Test Platform]
imx185
Change-Id: I876e74a7b75fac42bc3c564dedb6e63b7c65eb53
Tracked-On: #R31125
Signed-off-by: Liu Xiaolu &lt;xiaolu.liu@intel.com&gt;
</t>
  </si>
  <si>
    <t>jie.j.zhang@intel.com,xiaozhou.liu@intel.com,gang.a.hu@intel.com</t>
  </si>
  <si>
    <t>Patch Set 3:
Build succeed and mock test pass by http://yocto-build1.bj.intel.com:8080/job/libcamhal_build/1545/</t>
  </si>
  <si>
    <t>Patch Set 3: Validation-Linux-2
Build FAILED which caused by log printing, please check http://yocto-build1.bj.intel.com:8080/job/libcamhal_build/1545/</t>
  </si>
  <si>
    <t>Patch Set 4:
Build succeed and mock test pass by http://yocto-build1.bj.intel.com:8080/job/libcamhal_build/1548/</t>
  </si>
  <si>
    <t>Patch Set 4: Validation-Linux-2
Build FAILED which caused by log printing, please check http://yocto-build1.bj.intel.com:8080/job/libcamhal_build/1548/</t>
  </si>
  <si>
    <t>Patch Set 4:
UT PASSED on board with imx185 by http://yocto-build1.bj.intel.com:8080/job/run_on_board/1011/</t>
  </si>
  <si>
    <t>Patch Set 5:
Build succeed and mock test pass by http://yocto-build1.bj.intel.com:8080/job/libcamhal_build/1549/</t>
  </si>
  <si>
    <t>Patch Set 5:
UT PASSED on board with imx185 by http://yocto-build1.bj.intel.com:8080/job/run_on_board/1014/</t>
  </si>
  <si>
    <t>Patch Set 5:
UT PASSED on board with imx185 by http://yocto-build1.bj.intel.com:8080/job/run_on_board/1015/</t>
  </si>
  <si>
    <t>Patch Set 5:
Build FAILED, please check http://yocto-build1.bj.intel.com:8080/job/libcamhal_merged_build/1/</t>
  </si>
  <si>
    <t>I224317e05a6c6583f65900f6532a6e856c4a51ac</t>
  </si>
  <si>
    <t>Add 2 stream test case for per-frame control</t>
  </si>
  <si>
    <t xml:space="preserve">Add 2 stream test case for per-frame control
[Issue]
N/A
[Root Cause]
N/A
[Changes]
1. Add 2 streams test cases in case_camera_per_frame_control.cpp
2. move prepareStreams from case_camera_stream_ops.cpp to common
3. Increase kStorageSize in ParameterGenerator.
[Test Platform]
imx185
Change-Id: I224317e05a6c6583f65900f6532a6e856c4a51ac
Tracked-On: #H1504322380
Signed-off-by: Liu Xiaolu &lt;xiaolu.liu@intel.com&gt;
</t>
  </si>
  <si>
    <t>jie.j.zhang@intel.com,xiaozhou.liu@intel.com</t>
  </si>
  <si>
    <t xml:space="preserve">line129:"It is not error" </t>
  </si>
  <si>
    <t xml:space="preserve">line344:"mStreamNum = 1;" </t>
  </si>
  <si>
    <t>Patch Set 1:
(2 comments)
Draft Published: CI job has been scheduled.</t>
  </si>
  <si>
    <t xml:space="preserve">line129:"Done" line344:"Done" </t>
  </si>
  <si>
    <t>Patch Set 5:
Build succeed and mock test pass by http://yocto-build1.bj.intel.com:8080/job/libcamhal_build/1546/</t>
  </si>
  <si>
    <t>Patch Set 5: Validation-Linux-2
Build FAILED which caused by log printing, please check http://yocto-build1.bj.intel.com:8080/job/libcamhal_build/1546/</t>
  </si>
  <si>
    <t>Patch Set 6:
UT PASSED on board with imx185 by http://yocto-build1.bj.intel.com:8080/job/run_on_board/1012/</t>
  </si>
  <si>
    <t>Patch Set 6:
Build succeed and mock test pass by http://yocto-build1.bj.intel.com:8080/job/libcamhal_build/1550/</t>
  </si>
  <si>
    <t>Patch Set 6:
UT PASSED on board with imx185 by http://yocto-build1.bj.intel.com:8080/job/run_on_board/1016/</t>
  </si>
  <si>
    <t>Patch Set 6:
Build FAILED, please check http://yocto-build1.bj.intel.com:8080/job/libcamhal_merged_build/1/</t>
  </si>
  <si>
    <t>I0f9f47c5a45a62c88333c6bbe707702f7596be10</t>
  </si>
  <si>
    <t>Add test case for per-frame control</t>
  </si>
  <si>
    <t xml:space="preserve">Add test case for per-frame control
[Issue]
N/A
[Root Cause]
N/A
[Changes]
Add test case for per-frame control
[Test Platform]
imx185
Change-Id: I0f9f47c5a45a62c88333c6bbe707702f7596be10
Tracked-On: #R31125
Signed-off-by: Zhang Jie J &lt;jie.j.zhang@intel.com&gt;
</t>
  </si>
  <si>
    <t>xiaolu.liu@intel.com,xiaozhou.liu@intel.com,gang.a.hu@intel.com</t>
  </si>
  <si>
    <t>Patch Set 3:
Build succeed and mock test pass by http://yocto-build1.bj.intel.com:8080/job/libcamhal_build/1468/</t>
  </si>
  <si>
    <t>Patch Set 4:
Build succeed and mock test pass by http://yocto-build1.bj.intel.com:8080/job/libcamhal_build/1475/</t>
  </si>
  <si>
    <t>Patch Set 4:
UT PASSED on board with imx185 by http://yocto-build1.bj.intel.com:8080/job/run_on_board/945/</t>
  </si>
  <si>
    <t>Patch Set 5:
Build succeed and mock test pass by http://yocto-build1.bj.intel.com:8080/job/libcamhal_build/1476/</t>
  </si>
  <si>
    <t>Patch Set 5:
UT PASSED on board with imx185 by http://yocto-build1.bj.intel.com:8080/job/run_on_board/946/</t>
  </si>
  <si>
    <t>Patch Set 6: Code-Review+1
Only fix file's permissions.</t>
  </si>
  <si>
    <t>Patch Set 6:
Build succeed and mock test pass by http://yocto-build1.bj.intel.com:8080/job/libcamhal_build/1496/</t>
  </si>
  <si>
    <t>Patch Set 6:
UT PASSED on board with imx185 by http://yocto-build1.bj.intel.com:8080/job/run_on_board/970/</t>
  </si>
  <si>
    <t>Patch Set 7:
Build succeed and mock test pass by http://yocto-build1.bj.intel.com:8080/job/libcamhal_build/1544/</t>
  </si>
  <si>
    <t>Patch Set 7:
UT PASSED on board with imx185 by http://yocto-build1.bj.intel.com:8080/job/run_on_board/1010/</t>
  </si>
  <si>
    <t>Patch Set 7: Code-Review+1
(1 comment)</t>
  </si>
  <si>
    <t xml:space="preserve">line31:"should be removed directly if not used." </t>
  </si>
  <si>
    <t>Patch Set 7:
Build FAILED, please check http://yocto-build1.bj.intel.com:8080/job/libcamhal_merged_build/1/</t>
  </si>
  <si>
    <t>If492f7bf1546d67c2375d3ab9c467b56ad1e635b</t>
  </si>
  <si>
    <t>Do corresponding changes with CCA 3.0.0.0 release</t>
  </si>
  <si>
    <t xml:space="preserve">Do corresponding changes with CCA 3.0.0.0 release
[Issue]
N/A
[Root Cause]
N/A
[Changes]
1. Do corresponding changes due to APIs changes in CCA
   3.0.0.0 release.
[Test Platform]
imx185
Change-Id: If492f7bf1546d67c2375d3ab9c467b56ad1e635b
Depends-On: I7d58703972c7ca6a372bca06e86d1547b4e30dd4
Tracked-On: #R31886
Signed-off-by: Qingwu Zhang &lt;qingwu.zhang@intel.com&gt;
</t>
  </si>
  <si>
    <t>xiaozhou.liu@intel.com,gang.a.hu@intel.com,daxing.li@intel.com,jie.j.zhang@intel.com,bin.b.yang@intel.com,wei.l.li@intel.com</t>
  </si>
  <si>
    <t>Patch Set 2:
Build FAILED, please check http://yocto-build1.bj.intel.com:8080/job/libcamhal_build/1571/</t>
  </si>
  <si>
    <t>Patch Set 2:
Build FAILED by http://yocto-build1.bj.intel.com:8080/job/verify_patches/1332/</t>
  </si>
  <si>
    <t>Patch Set 3:
Build FAILED, please check http://yocto-build1.bj.intel.com:8080/job/libcamhal_build/1577/</t>
  </si>
  <si>
    <t>Patch Set 3:
Build FAILED by http://yocto-build1.bj.intel.com:8080/job/verify_patches/1342/</t>
  </si>
  <si>
    <t>Abandoned
CCA release regression issue</t>
  </si>
  <si>
    <t>Restored
smoke test passed</t>
  </si>
  <si>
    <t>Patch Set 3:
Build FAILED, please check http://yocto-build1.bj.intel.com:8080/job/libcamhal_build/1593/</t>
  </si>
  <si>
    <t>Patch Set 3:
Build FAILED by http://yocto-build1.bj.intel.com:8080/job/verify_patches/1357/</t>
  </si>
  <si>
    <t>Patch Set 4:
Build FAILED, please check http://yocto-build1.bj.intel.com:8080/job/libcamhal_build/1594/</t>
  </si>
  <si>
    <t>Patch Set 4:
UT PASSED on board with imx185 by http://yocto-build1.bj.intel.com:8080/job/run_on_board/1052/</t>
  </si>
  <si>
    <t>Patch Set 5:
Build FAILED, please check http://yocto-build1.bj.intel.com:8080/job/libcamhal_build/1596/</t>
  </si>
  <si>
    <t>Patch Set 5:
UT PASSED on board with imx185 by http://yocto-build1.bj.intel.com:8080/job/run_on_board/1058/</t>
  </si>
  <si>
    <t>Patch Set 5:
UT FAILED on board with imx185 by http://yocto-build1.bj.intel.com:8080/job/run_on_board/1063/</t>
  </si>
  <si>
    <t>I6f9b761b2f19e28550d1f68f06aea8605e673b5e</t>
  </si>
  <si>
    <t>camhalv1: Reset media-ctl links when doing media-ctl setup</t>
  </si>
  <si>
    <t xml:space="preserve">camhalv1: Reset media-ctl links when doing media-ctl setup
Currently the all media-ctl links are being reset very early.
In android this happens during module mediaserver start in
M dessert. This is not needed. It is enough to reset the links
before we actually set up new links. This allows early camera
boot scripts to set up media-ctl links for early camera boot
app to use.
Change-Id: I6f9b761b2f19e28550d1f68f06aea8605e673b5e
Tracked-On: #JICSF-549
Signed-off-by: John Mathew &lt;john.mathew@intel.com&gt;
</t>
  </si>
  <si>
    <t>gang.a.hu@intel.com,xiaozhou.liu@intel.com,qingwu.zhang@intel.com,wei.l.li@intel.com</t>
  </si>
  <si>
    <t>Patch Set 1:
Build succeed and mock test pass by http://yocto-build1.bj.intel.com:8080/job/libcamhal_build/1581/</t>
  </si>
  <si>
    <t>Patch Set 1:
UT PASSED on board with imx185 by http://yocto-build1.bj.intel.com:8080/job/run_on_board/1043/</t>
  </si>
  <si>
    <t>Patch Set 1:
Doesn't seem related to this patch
src/core/IspParamAdaptor.cpp: In member function 'int icamera::IspParamAdaptor::runIspAdapt(const icamera::IspSettings*, long int)':
src/core/IspParamAdaptor.cpp:809:17: error: 'struct ia_isp_bxt_input_params' has no member named 'ae_results'
     inputParams.ae_results = &amp;aiqResults-&gt;mAeResults;</t>
  </si>
  <si>
    <t>Patch Set 1: Reverted
This patchset was reverted in change: I24036690e15855a65beab52940325c0b7218696a</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</si>
</sst>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000"/>
    <numFmt numFmtId="165" formatCode="0.0%"/>
    <numFmt numFmtId="166" formatCode="yyyy/m/d\ h:mm"/>
    <numFmt numFmtId="167" formatCode="yyyy\-mm\-dd\ h:mm:ss"/>
  </numFmts>
  <fonts count="29">
    <font>
      <sz val="11"/>
      <color theme="1"/>
      <name val="Calibri"/>
      <family val="2"/>
      <charset val="134"/>
    </font>
    <font>
      <b/>
      <sz val="11"/>
      <color theme="1"/>
      <name val="Calibri"/>
      <family val="2"/>
    </font>
    <font>
      <b/>
      <sz val="11"/>
      <color rgb="FF000000"/>
      <name val="Calibri"/>
      <family val="2"/>
    </font>
    <font>
      <sz val="12"/>
      <color rgb="FF061922"/>
      <name val="Calibri"/>
      <family val="2"/>
    </font>
    <font>
      <sz val="11"/>
      <color rgb="FF000000"/>
      <name val="Calibri"/>
      <family val="2"/>
    </font>
    <font>
      <sz val="9"/>
      <name val="Calibri"/>
      <family val="2"/>
      <charset val="134"/>
    </font>
    <font>
      <b/>
      <sz val="11"/>
      <color theme="0"/>
      <name val="Calibri"/>
      <family val="2"/>
      <charset val="134"/>
    </font>
    <font>
      <sz val="11"/>
      <color theme="1"/>
      <name val="Calibri"/>
      <family val="2"/>
      <charset val="134"/>
      <scheme val="minor"/>
    </font>
    <font>
      <sz val="8"/>
      <color theme="1"/>
      <name val="Intel Clear"/>
      <family val="2"/>
    </font>
    <font>
      <sz val="11"/>
      <color theme="1"/>
      <name val="Calibri"/>
      <family val="2"/>
    </font>
    <font>
      <sz val="11"/>
      <color theme="1"/>
      <name val="Calibri"/>
      <family val="2"/>
      <scheme val="minor"/>
    </font>
    <font>
      <sz val="8"/>
      <color theme="1"/>
      <name val="Arial"/>
      <family val="2"/>
    </font>
    <font>
      <b/>
      <sz val="8"/>
      <color theme="1"/>
      <name val="Intel Clear"/>
      <family val="2"/>
    </font>
    <font>
      <sz val="11"/>
      <color theme="1"/>
      <name val="Calibri"/>
      <family val="2"/>
      <charset val="134"/>
    </font>
    <font>
      <sz val="11"/>
      <color theme="1" tint="0.499984740745262"/>
      <name val="Calibri"/>
      <family val="2"/>
      <charset val="134"/>
    </font>
    <font>
      <sz val="11"/>
      <name val="Calibri"/>
      <family val="2"/>
    </font>
    <font>
      <sz val="11"/>
      <color rgb="FFFF0000"/>
      <name val="Calibri"/>
      <family val="2"/>
      <charset val="134"/>
    </font>
    <font>
      <b/>
      <sz val="11"/>
      <color theme="1"/>
      <name val="Calibri"/>
      <family val="2"/>
      <charset val="134"/>
    </font>
    <font>
      <i/>
      <sz val="11"/>
      <color theme="1"/>
      <name val="Calibri"/>
      <family val="2"/>
    </font>
    <font>
      <b/>
      <sz val="11"/>
      <color rgb="FF7030A0"/>
      <name val="Calibri"/>
      <family val="2"/>
    </font>
    <font>
      <sz val="11"/>
      <color rgb="FF7030A0"/>
      <name val="Calibri"/>
      <family val="2"/>
    </font>
    <font>
      <sz val="11"/>
      <color rgb="FF0070C0"/>
      <name val="Calibri"/>
      <family val="2"/>
      <charset val="134"/>
    </font>
    <font>
      <b/>
      <sz val="11"/>
      <color rgb="FF0070C0"/>
      <name val="Calibri"/>
      <family val="2"/>
      <charset val="134"/>
    </font>
    <font>
      <sz val="11"/>
      <color theme="0" tint="-0.499984740745262"/>
      <name val="Calibri"/>
      <family val="2"/>
      <charset val="134"/>
    </font>
    <font>
      <b/>
      <sz val="11"/>
      <color rgb="FF0070C0"/>
      <name val="Calibri"/>
      <family val="2"/>
    </font>
    <font>
      <sz val="9"/>
      <color indexed="81"/>
      <name val="Tahoma"/>
      <family val="2"/>
    </font>
    <font>
      <b/>
      <sz val="9"/>
      <color indexed="81"/>
      <name val="Tahoma"/>
      <family val="2"/>
    </font>
    <font>
      <sz val="8"/>
      <color theme="1"/>
      <name val="Calibri"/>
      <family val="2"/>
    </font>
    <font>
      <sz val="11"/>
      <color rgb="FFFF0000"/>
      <name val="Calibri"/>
      <family val="2"/>
    </font>
  </fonts>
  <fills count="22">
    <fill>
      <patternFill patternType="none"/>
    </fill>
    <fill>
      <patternFill patternType="gray125"/>
    </fill>
    <fill>
      <patternFill patternType="solid">
        <fgColor rgb="FFFCE4D6"/>
        <bgColor indexed="64"/>
      </patternFill>
    </fill>
    <fill>
      <patternFill patternType="solid">
        <fgColor rgb="FF9BC2E6"/>
        <bgColor indexed="64"/>
      </patternFill>
    </fill>
    <fill>
      <patternFill patternType="solid">
        <fgColor rgb="FFF2F2F2"/>
        <bgColor indexed="64"/>
      </patternFill>
    </fill>
    <fill>
      <patternFill patternType="solid">
        <fgColor rgb="FF92D050"/>
        <bgColor indexed="64"/>
      </patternFill>
    </fill>
    <fill>
      <patternFill patternType="solid">
        <fgColor rgb="FF00B050"/>
        <bgColor indexed="64"/>
      </patternFill>
    </fill>
    <fill>
      <patternFill patternType="solid">
        <fgColor theme="2" tint="-0.249977111117893"/>
        <bgColor indexed="64"/>
      </patternFill>
    </fill>
    <fill>
      <patternFill patternType="solid">
        <fgColor rgb="FFFFFF00"/>
        <bgColor indexed="64"/>
      </patternFill>
    </fill>
    <fill>
      <patternFill patternType="solid">
        <fgColor theme="0" tint="0.59999389629810485"/>
        <bgColor indexed="64"/>
      </patternFill>
    </fill>
    <fill>
      <patternFill patternType="solid">
        <fgColor rgb="FF00B0F0"/>
        <bgColor indexed="64"/>
      </patternFill>
    </fill>
    <fill>
      <patternFill patternType="solid">
        <fgColor rgb="FFFF0000"/>
        <bgColor indexed="64"/>
      </patternFill>
    </fill>
    <fill>
      <patternFill patternType="solid">
        <fgColor theme="9"/>
        <bgColor indexed="64"/>
      </patternFill>
    </fill>
    <fill>
      <patternFill patternType="solid">
        <fgColor theme="4" tint="0.39997558519241921"/>
        <bgColor indexed="6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rgb="FFFFFFFF"/>
        <bgColor indexed="64"/>
      </patternFill>
    </fill>
    <fill>
      <patternFill patternType="solid">
        <fgColor theme="5"/>
        <bgColor theme="4" tint="0.79998168889431442"/>
      </patternFill>
    </fill>
    <fill>
      <patternFill patternType="solid">
        <fgColor theme="0" tint="-0.249977111117893"/>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4" tint="0.59999389629810485"/>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theme="4" tint="0.39997558519241921"/>
      </top>
      <bottom style="thin">
        <color theme="4" tint="0.3999755851924192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C0C0C0"/>
      </bottom>
      <diagonal/>
    </border>
    <border>
      <left style="medium">
        <color rgb="FFC0C0C0"/>
      </left>
      <right style="thin">
        <color rgb="FF000000"/>
      </right>
      <top style="thin">
        <color rgb="FF000000"/>
      </top>
      <bottom style="medium">
        <color rgb="FFC0C0C0"/>
      </bottom>
      <diagonal/>
    </border>
    <border>
      <left style="medium">
        <color rgb="FFC0C0C0"/>
      </left>
      <right style="thin">
        <color rgb="FF000000"/>
      </right>
      <top style="thin">
        <color rgb="FF000000"/>
      </top>
      <bottom style="thin">
        <color rgb="FF000000"/>
      </bottom>
      <diagonal/>
    </border>
    <border>
      <left style="thin">
        <color rgb="FF000000"/>
      </left>
      <right style="thin">
        <color rgb="FF000000"/>
      </right>
      <top style="medium">
        <color rgb="FFC0C0C0"/>
      </top>
      <bottom style="thin">
        <color rgb="FF000000"/>
      </bottom>
      <diagonal/>
    </border>
    <border>
      <left style="medium">
        <color rgb="FFC0C0C0"/>
      </left>
      <right style="thin">
        <color rgb="FF000000"/>
      </right>
      <top style="medium">
        <color rgb="FFC0C0C0"/>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medium">
        <color rgb="FFC0C0C0"/>
      </right>
      <top style="medium">
        <color rgb="FFC0C0C0"/>
      </top>
      <bottom style="thin">
        <color rgb="FF000000"/>
      </bottom>
      <diagonal/>
    </border>
    <border>
      <left style="thin">
        <color rgb="FF000000"/>
      </left>
      <right style="medium">
        <color rgb="FFC0C0C0"/>
      </right>
      <top style="thin">
        <color rgb="FF000000"/>
      </top>
      <bottom style="thin">
        <color rgb="FF000000"/>
      </bottom>
      <diagonal/>
    </border>
    <border>
      <left style="thin">
        <color rgb="FF000000"/>
      </left>
      <right style="medium">
        <color rgb="FFC0C0C0"/>
      </right>
      <top style="thin">
        <color rgb="FF000000"/>
      </top>
      <bottom style="medium">
        <color rgb="FFC0C0C0"/>
      </bottom>
      <diagonal/>
    </border>
  </borders>
  <cellStyleXfs count="4">
    <xf numFmtId="0" fontId="0" fillId="0" borderId="0">
      <alignment vertical="center"/>
    </xf>
    <xf numFmtId="0" fontId="7" fillId="0" borderId="0">
      <alignment vertical="center"/>
    </xf>
    <xf numFmtId="0" fontId="10" fillId="0" borderId="0"/>
    <xf numFmtId="9" fontId="13" fillId="0" borderId="0" applyFont="0" applyFill="0" applyBorder="0" applyAlignment="0" applyProtection="0">
      <alignment vertical="center"/>
    </xf>
  </cellStyleXfs>
  <cellXfs count="184">
    <xf numFmtId="0" fontId="0" fillId="0" borderId="0" xfId="0">
      <alignment vertical="center"/>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0" fillId="0" borderId="1" xfId="0" applyBorder="1" applyAlignment="1">
      <alignment vertical="center" wrapText="1"/>
    </xf>
    <xf numFmtId="0" fontId="1" fillId="6" borderId="0" xfId="0" applyFont="1" applyFill="1">
      <alignment vertical="center"/>
    </xf>
    <xf numFmtId="0" fontId="0" fillId="0" borderId="0" xfId="0" applyNumberFormat="1">
      <alignment vertical="center"/>
    </xf>
    <xf numFmtId="22" fontId="0" fillId="0" borderId="0" xfId="0" applyNumberFormat="1">
      <alignment vertical="center"/>
    </xf>
    <xf numFmtId="0" fontId="3" fillId="0" borderId="2" xfId="0" applyFont="1" applyBorder="1" applyAlignment="1">
      <alignment vertical="center" wrapText="1"/>
    </xf>
    <xf numFmtId="0" fontId="3" fillId="0" borderId="3" xfId="0" applyFont="1" applyBorder="1" applyAlignment="1">
      <alignment vertical="center" wrapText="1"/>
    </xf>
    <xf numFmtId="0" fontId="7" fillId="0" borderId="0" xfId="1" applyAlignment="1">
      <alignment vertical="center"/>
    </xf>
    <xf numFmtId="0" fontId="0" fillId="0" borderId="0" xfId="0" applyAlignment="1">
      <alignment vertical="center"/>
    </xf>
    <xf numFmtId="0" fontId="8" fillId="0" borderId="0" xfId="1" applyFont="1" applyAlignment="1">
      <alignment vertical="center"/>
    </xf>
    <xf numFmtId="0" fontId="9" fillId="0" borderId="0" xfId="1" applyFont="1" applyAlignment="1">
      <alignment vertical="center"/>
    </xf>
    <xf numFmtId="0" fontId="11" fillId="0" borderId="5" xfId="0" applyFont="1" applyBorder="1" applyAlignment="1">
      <alignment vertical="center"/>
    </xf>
    <xf numFmtId="0" fontId="11" fillId="0" borderId="6" xfId="0" applyFont="1" applyBorder="1" applyAlignment="1">
      <alignment vertical="center"/>
    </xf>
    <xf numFmtId="0" fontId="11" fillId="0" borderId="7" xfId="0" applyFont="1" applyBorder="1" applyAlignment="1">
      <alignment vertical="center"/>
    </xf>
    <xf numFmtId="0" fontId="11" fillId="0" borderId="8" xfId="0" applyFont="1" applyBorder="1" applyAlignment="1">
      <alignment vertical="center"/>
    </xf>
    <xf numFmtId="0" fontId="8" fillId="8" borderId="0" xfId="1" applyFont="1" applyFill="1" applyAlignment="1">
      <alignment vertical="center"/>
    </xf>
    <xf numFmtId="0" fontId="12" fillId="8" borderId="9" xfId="0" applyFont="1" applyFill="1" applyBorder="1" applyAlignment="1">
      <alignment horizontal="center" vertical="center"/>
    </xf>
    <xf numFmtId="0" fontId="12" fillId="8" borderId="10" xfId="0" applyFont="1" applyFill="1" applyBorder="1" applyAlignment="1">
      <alignment horizontal="center" vertical="center"/>
    </xf>
    <xf numFmtId="0" fontId="0" fillId="7" borderId="0" xfId="0" applyFill="1">
      <alignment vertical="center"/>
    </xf>
    <xf numFmtId="0" fontId="6" fillId="7" borderId="4" xfId="0" applyFont="1" applyFill="1" applyBorder="1">
      <alignment vertical="center"/>
    </xf>
    <xf numFmtId="0" fontId="0" fillId="6" borderId="0" xfId="0" applyFill="1">
      <alignment vertical="center"/>
    </xf>
    <xf numFmtId="0" fontId="0" fillId="6" borderId="0" xfId="0" applyFill="1" applyAlignment="1">
      <alignment vertical="center"/>
    </xf>
    <xf numFmtId="0" fontId="0" fillId="0" borderId="0" xfId="0" applyAlignment="1">
      <alignment horizontal="center" vertical="center"/>
    </xf>
    <xf numFmtId="0" fontId="0" fillId="0" borderId="1" xfId="0" applyBorder="1" applyAlignment="1">
      <alignment horizontal="center" vertical="center"/>
    </xf>
    <xf numFmtId="9" fontId="0" fillId="0" borderId="1" xfId="3" applyFont="1" applyBorder="1" applyAlignment="1">
      <alignment horizontal="center" vertical="center"/>
    </xf>
    <xf numFmtId="2" fontId="0" fillId="0" borderId="1" xfId="0" applyNumberFormat="1" applyBorder="1" applyAlignment="1">
      <alignment horizontal="center" vertical="center"/>
    </xf>
    <xf numFmtId="0" fontId="14" fillId="0" borderId="0" xfId="0" applyFont="1" applyAlignment="1">
      <alignment horizontal="center" vertical="center" wrapText="1"/>
    </xf>
    <xf numFmtId="0" fontId="0" fillId="0" borderId="0" xfId="0" pivotButton="1">
      <alignment vertical="center"/>
    </xf>
    <xf numFmtId="0" fontId="4" fillId="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3" fillId="0" borderId="1" xfId="0" applyFont="1" applyBorder="1" applyAlignment="1">
      <alignment vertical="center" wrapText="1"/>
    </xf>
    <xf numFmtId="9" fontId="4" fillId="4" borderId="1" xfId="0" applyNumberFormat="1" applyFont="1" applyFill="1" applyBorder="1" applyAlignment="1">
      <alignment horizontal="center" vertical="center" wrapText="1"/>
    </xf>
    <xf numFmtId="9" fontId="4" fillId="5" borderId="1" xfId="0" applyNumberFormat="1" applyFont="1" applyFill="1" applyBorder="1" applyAlignment="1">
      <alignment horizontal="center" vertical="center" wrapText="1"/>
    </xf>
    <xf numFmtId="2" fontId="0" fillId="9" borderId="1" xfId="0" applyNumberFormat="1" applyFill="1" applyBorder="1" applyAlignment="1">
      <alignment horizontal="center" vertical="center"/>
    </xf>
    <xf numFmtId="9" fontId="0" fillId="9" borderId="1" xfId="3" applyFont="1" applyFill="1" applyBorder="1" applyAlignment="1">
      <alignment horizontal="center" vertical="center"/>
    </xf>
    <xf numFmtId="14" fontId="0" fillId="0" borderId="0" xfId="0" applyNumberFormat="1">
      <alignment vertical="center"/>
    </xf>
    <xf numFmtId="0" fontId="0" fillId="0" borderId="0" xfId="0" applyNumberFormat="1" applyAlignment="1">
      <alignment horizontal="center" vertical="center"/>
    </xf>
    <xf numFmtId="0" fontId="0" fillId="0" borderId="1" xfId="0" applyBorder="1">
      <alignment vertical="center"/>
    </xf>
    <xf numFmtId="0" fontId="1" fillId="0" borderId="1" xfId="0" applyFont="1" applyBorder="1" applyAlignment="1">
      <alignment horizontal="center" vertical="center" wrapText="1"/>
    </xf>
    <xf numFmtId="0" fontId="2" fillId="10" borderId="1" xfId="0" applyFont="1" applyFill="1" applyBorder="1" applyAlignment="1">
      <alignment horizontal="center" vertical="center" wrapText="1"/>
    </xf>
    <xf numFmtId="0" fontId="0" fillId="0" borderId="1" xfId="0" applyBorder="1" applyAlignment="1">
      <alignment horizontal="center" vertical="center" wrapText="1"/>
    </xf>
    <xf numFmtId="0" fontId="14" fillId="9" borderId="1" xfId="0" applyFont="1" applyFill="1" applyBorder="1" applyAlignment="1">
      <alignment horizontal="center" vertical="center" wrapText="1"/>
    </xf>
    <xf numFmtId="0" fontId="14" fillId="0" borderId="1" xfId="0" applyFont="1" applyBorder="1" applyAlignment="1">
      <alignment horizontal="center" vertical="center" wrapText="1"/>
    </xf>
    <xf numFmtId="0" fontId="4" fillId="4" borderId="1" xfId="0" applyFont="1" applyFill="1" applyBorder="1" applyAlignment="1">
      <alignment horizontal="center" vertical="center" wrapText="1"/>
    </xf>
    <xf numFmtId="9" fontId="4" fillId="5" borderId="1" xfId="0" applyNumberFormat="1" applyFont="1" applyFill="1" applyBorder="1" applyAlignment="1">
      <alignment horizontal="center" vertical="center" wrapText="1"/>
    </xf>
    <xf numFmtId="9" fontId="4" fillId="4" borderId="1" xfId="0" applyNumberFormat="1" applyFont="1" applyFill="1" applyBorder="1" applyAlignment="1">
      <alignment horizontal="center" vertical="center" wrapText="1"/>
    </xf>
    <xf numFmtId="0" fontId="4" fillId="5" borderId="1" xfId="0" applyFont="1" applyFill="1" applyBorder="1" applyAlignment="1">
      <alignment horizontal="center" vertical="center" wrapText="1"/>
    </xf>
    <xf numFmtId="0" fontId="16" fillId="0" borderId="0" xfId="0" applyFont="1" applyAlignment="1">
      <alignment horizontal="center" vertical="center"/>
    </xf>
    <xf numFmtId="0" fontId="0" fillId="9" borderId="1" xfId="0" applyFill="1" applyBorder="1" applyAlignment="1">
      <alignment horizontal="center" vertical="center" wrapText="1"/>
    </xf>
    <xf numFmtId="0" fontId="3" fillId="0" borderId="0" xfId="0" applyFont="1" applyFill="1" applyBorder="1" applyAlignment="1">
      <alignment vertical="center"/>
    </xf>
    <xf numFmtId="0" fontId="3" fillId="0" borderId="1" xfId="0" applyFont="1" applyBorder="1" applyAlignment="1">
      <alignment vertical="center" wrapText="1"/>
    </xf>
    <xf numFmtId="0" fontId="4" fillId="4" borderId="1" xfId="0" applyFont="1" applyFill="1" applyBorder="1" applyAlignment="1">
      <alignment horizontal="center" vertical="center" wrapText="1"/>
    </xf>
    <xf numFmtId="9" fontId="4" fillId="5" borderId="1" xfId="0" applyNumberFormat="1" applyFont="1" applyFill="1" applyBorder="1" applyAlignment="1">
      <alignment horizontal="center" vertical="center" wrapText="1"/>
    </xf>
    <xf numFmtId="9" fontId="4" fillId="4" borderId="1" xfId="0" applyNumberFormat="1" applyFont="1" applyFill="1" applyBorder="1" applyAlignment="1">
      <alignment horizontal="center" vertical="center" wrapText="1"/>
    </xf>
    <xf numFmtId="0" fontId="4" fillId="5" borderId="1" xfId="0" applyFont="1" applyFill="1" applyBorder="1" applyAlignment="1">
      <alignment horizontal="center" vertical="center" wrapText="1"/>
    </xf>
    <xf numFmtId="0" fontId="3" fillId="12" borderId="0" xfId="0" applyFont="1" applyFill="1" applyBorder="1" applyAlignment="1">
      <alignment vertical="center" wrapText="1"/>
    </xf>
    <xf numFmtId="0" fontId="0" fillId="12" borderId="0" xfId="0" applyFill="1">
      <alignment vertical="center"/>
    </xf>
    <xf numFmtId="0" fontId="0" fillId="12" borderId="0" xfId="0" applyFill="1" applyAlignment="1">
      <alignment horizontal="center" vertical="center"/>
    </xf>
    <xf numFmtId="0" fontId="14" fillId="0" borderId="11" xfId="0" applyFont="1" applyBorder="1" applyAlignment="1">
      <alignment horizontal="center" vertical="center" wrapText="1"/>
    </xf>
    <xf numFmtId="0" fontId="14" fillId="0" borderId="0" xfId="0" applyFont="1" applyFill="1" applyBorder="1" applyAlignment="1">
      <alignment horizontal="center" vertical="center" wrapText="1"/>
    </xf>
    <xf numFmtId="0" fontId="1" fillId="0" borderId="1" xfId="0" applyFont="1" applyBorder="1">
      <alignment vertical="center"/>
    </xf>
    <xf numFmtId="14" fontId="0" fillId="0" borderId="1" xfId="0" applyNumberFormat="1" applyBorder="1">
      <alignment vertical="center"/>
    </xf>
    <xf numFmtId="0" fontId="17" fillId="14" borderId="1" xfId="0" applyFont="1" applyFill="1" applyBorder="1" applyAlignment="1">
      <alignment horizontal="center" vertical="center"/>
    </xf>
    <xf numFmtId="0" fontId="0" fillId="0" borderId="1" xfId="0" applyNumberFormat="1" applyBorder="1" applyAlignment="1">
      <alignment horizontal="center" vertical="center"/>
    </xf>
    <xf numFmtId="0" fontId="17" fillId="14" borderId="1" xfId="0" applyNumberFormat="1" applyFont="1" applyFill="1" applyBorder="1" applyAlignment="1">
      <alignment horizontal="center" vertical="center"/>
    </xf>
    <xf numFmtId="0" fontId="18" fillId="15" borderId="1" xfId="0" applyFont="1" applyFill="1" applyBorder="1" applyAlignment="1">
      <alignment horizontal="center" vertical="center"/>
    </xf>
    <xf numFmtId="0" fontId="18" fillId="15" borderId="1" xfId="0" applyNumberFormat="1" applyFont="1" applyFill="1" applyBorder="1" applyAlignment="1">
      <alignment horizontal="center" vertical="center"/>
    </xf>
    <xf numFmtId="0" fontId="0" fillId="0" borderId="0" xfId="0" applyAlignment="1">
      <alignment horizontal="left" vertical="center"/>
    </xf>
    <xf numFmtId="0" fontId="0" fillId="0" borderId="1" xfId="0" applyBorder="1" applyAlignment="1">
      <alignment horizontal="center" vertical="center"/>
    </xf>
    <xf numFmtId="0" fontId="0" fillId="0" borderId="1" xfId="0" applyBorder="1" applyAlignment="1">
      <alignment horizontal="center" vertical="center"/>
    </xf>
    <xf numFmtId="0" fontId="20" fillId="0" borderId="0" xfId="0" applyFont="1" applyAlignment="1">
      <alignment horizontal="center" vertical="center"/>
    </xf>
    <xf numFmtId="0" fontId="20" fillId="0" borderId="0" xfId="0" applyFont="1">
      <alignment vertical="center"/>
    </xf>
    <xf numFmtId="0" fontId="19" fillId="14" borderId="1" xfId="0" applyNumberFormat="1" applyFont="1" applyFill="1" applyBorder="1" applyAlignment="1">
      <alignment horizontal="center" vertical="center"/>
    </xf>
    <xf numFmtId="0" fontId="20" fillId="16" borderId="1" xfId="0" applyNumberFormat="1" applyFont="1" applyFill="1" applyBorder="1" applyAlignment="1">
      <alignment horizontal="center" vertical="center"/>
    </xf>
    <xf numFmtId="0" fontId="20" fillId="16" borderId="1" xfId="0" applyFont="1" applyFill="1" applyBorder="1" applyAlignment="1">
      <alignment horizontal="center" vertical="center"/>
    </xf>
    <xf numFmtId="0" fontId="0" fillId="0" borderId="0" xfId="0" applyAlignment="1">
      <alignment vertical="center" wrapText="1"/>
    </xf>
    <xf numFmtId="0" fontId="17" fillId="14" borderId="1" xfId="0" applyFont="1" applyFill="1" applyBorder="1" applyAlignment="1">
      <alignment horizontal="center" vertical="center" wrapText="1"/>
    </xf>
    <xf numFmtId="0" fontId="1" fillId="13" borderId="1" xfId="0" applyFont="1" applyFill="1" applyBorder="1" applyAlignment="1">
      <alignment horizontal="center" vertical="center" wrapText="1"/>
    </xf>
    <xf numFmtId="0" fontId="19" fillId="14" borderId="1" xfId="0" applyFont="1" applyFill="1" applyBorder="1" applyAlignment="1">
      <alignment horizontal="center" vertical="center" wrapText="1"/>
    </xf>
    <xf numFmtId="0" fontId="19" fillId="13" borderId="1" xfId="0" applyFont="1" applyFill="1" applyBorder="1" applyAlignment="1">
      <alignment horizontal="center" vertical="center" wrapText="1"/>
    </xf>
    <xf numFmtId="0" fontId="3" fillId="0" borderId="1" xfId="0" applyFont="1" applyBorder="1" applyAlignment="1">
      <alignment vertical="center" wrapText="1"/>
    </xf>
    <xf numFmtId="0" fontId="4" fillId="4" borderId="1" xfId="0" applyFont="1" applyFill="1" applyBorder="1" applyAlignment="1">
      <alignment horizontal="center" vertical="center" wrapText="1"/>
    </xf>
    <xf numFmtId="9" fontId="4" fillId="4" borderId="1" xfId="0" applyNumberFormat="1" applyFont="1" applyFill="1" applyBorder="1" applyAlignment="1">
      <alignment horizontal="center" vertical="center" wrapText="1"/>
    </xf>
    <xf numFmtId="0" fontId="17" fillId="17" borderId="1" xfId="0" applyFont="1" applyFill="1" applyBorder="1" applyAlignment="1">
      <alignment horizontal="center" vertical="center"/>
    </xf>
    <xf numFmtId="0" fontId="2" fillId="18" borderId="1" xfId="0" applyFont="1" applyFill="1" applyBorder="1" applyAlignment="1">
      <alignment horizontal="center" vertical="center" wrapText="1"/>
    </xf>
    <xf numFmtId="0" fontId="4" fillId="18" borderId="1" xfId="0" applyFont="1" applyFill="1" applyBorder="1" applyAlignment="1">
      <alignment horizontal="center" vertical="center" wrapText="1"/>
    </xf>
    <xf numFmtId="9" fontId="4" fillId="18" borderId="1" xfId="0" applyNumberFormat="1" applyFont="1" applyFill="1" applyBorder="1" applyAlignment="1">
      <alignment horizontal="center" vertical="center" wrapText="1"/>
    </xf>
    <xf numFmtId="0" fontId="3" fillId="19" borderId="0" xfId="0" applyFont="1" applyFill="1" applyBorder="1" applyAlignment="1">
      <alignment vertical="center" wrapText="1"/>
    </xf>
    <xf numFmtId="0" fontId="4" fillId="20" borderId="1" xfId="0" applyFont="1" applyFill="1" applyBorder="1" applyAlignment="1">
      <alignment horizontal="center" vertical="center" wrapText="1"/>
    </xf>
    <xf numFmtId="9" fontId="4" fillId="20" borderId="1" xfId="0" applyNumberFormat="1" applyFont="1" applyFill="1" applyBorder="1" applyAlignment="1">
      <alignment horizontal="center" vertical="center" wrapText="1"/>
    </xf>
    <xf numFmtId="0" fontId="2" fillId="2" borderId="11" xfId="0" applyFont="1" applyFill="1" applyBorder="1" applyAlignment="1">
      <alignment vertical="center" wrapText="1"/>
    </xf>
    <xf numFmtId="0" fontId="2" fillId="2" borderId="12" xfId="0" applyFont="1" applyFill="1" applyBorder="1" applyAlignment="1">
      <alignment vertical="center" wrapText="1"/>
    </xf>
    <xf numFmtId="0" fontId="2" fillId="2" borderId="13" xfId="0" applyFont="1" applyFill="1" applyBorder="1" applyAlignment="1">
      <alignment vertical="center" wrapText="1"/>
    </xf>
    <xf numFmtId="0" fontId="21" fillId="0" borderId="0" xfId="0" applyFont="1" applyAlignment="1">
      <alignment horizontal="center" vertical="center"/>
    </xf>
    <xf numFmtId="0" fontId="21" fillId="9" borderId="1" xfId="0" applyFont="1" applyFill="1" applyBorder="1" applyAlignment="1">
      <alignment horizontal="center" vertical="center" wrapText="1"/>
    </xf>
    <xf numFmtId="2" fontId="21" fillId="9" borderId="1" xfId="0" applyNumberFormat="1" applyFont="1" applyFill="1" applyBorder="1" applyAlignment="1">
      <alignment horizontal="center" vertical="center"/>
    </xf>
    <xf numFmtId="9" fontId="21" fillId="9" borderId="1" xfId="3" applyFont="1" applyFill="1" applyBorder="1" applyAlignment="1">
      <alignment horizontal="center" vertical="center"/>
    </xf>
    <xf numFmtId="0" fontId="21" fillId="12" borderId="0" xfId="0" applyFont="1" applyFill="1" applyAlignment="1">
      <alignment horizontal="center" vertical="center"/>
    </xf>
    <xf numFmtId="0" fontId="21" fillId="0" borderId="0" xfId="0" applyFont="1">
      <alignment vertical="center"/>
    </xf>
    <xf numFmtId="0" fontId="22" fillId="14" borderId="1" xfId="0" applyFont="1" applyFill="1" applyBorder="1" applyAlignment="1">
      <alignment horizontal="center" vertical="center" wrapText="1"/>
    </xf>
    <xf numFmtId="0" fontId="21" fillId="0" borderId="1" xfId="0" applyNumberFormat="1" applyFont="1" applyBorder="1" applyAlignment="1">
      <alignment horizontal="center" vertical="center"/>
    </xf>
    <xf numFmtId="0" fontId="22" fillId="14" borderId="1" xfId="0" applyNumberFormat="1" applyFont="1" applyFill="1" applyBorder="1" applyAlignment="1">
      <alignment horizontal="center" vertical="center"/>
    </xf>
    <xf numFmtId="0" fontId="23" fillId="9" borderId="1" xfId="0" applyFont="1" applyFill="1" applyBorder="1" applyAlignment="1">
      <alignment horizontal="center" vertical="center" wrapText="1"/>
    </xf>
    <xf numFmtId="0" fontId="24" fillId="9" borderId="1" xfId="0" applyFont="1" applyFill="1" applyBorder="1" applyAlignment="1">
      <alignment horizontal="center" vertical="center" wrapText="1"/>
    </xf>
    <xf numFmtId="0" fontId="1" fillId="0" borderId="1" xfId="0" applyFont="1" applyBorder="1" applyAlignment="1">
      <alignment horizontal="center" vertical="center"/>
    </xf>
    <xf numFmtId="0" fontId="12" fillId="8" borderId="14" xfId="0" applyFont="1" applyFill="1" applyBorder="1" applyAlignment="1">
      <alignment horizontal="center" vertical="center"/>
    </xf>
    <xf numFmtId="0" fontId="12" fillId="8" borderId="0" xfId="0" applyFont="1" applyFill="1" applyBorder="1" applyAlignment="1">
      <alignment horizontal="left" vertical="center"/>
    </xf>
    <xf numFmtId="0" fontId="11" fillId="0" borderId="15" xfId="0" applyFont="1" applyBorder="1" applyAlignment="1">
      <alignment vertical="center"/>
    </xf>
    <xf numFmtId="0" fontId="11" fillId="0" borderId="0" xfId="0" applyFont="1" applyBorder="1" applyAlignment="1">
      <alignment vertical="center"/>
    </xf>
    <xf numFmtId="0" fontId="8" fillId="0" borderId="1" xfId="1" applyFont="1" applyBorder="1">
      <alignment vertical="center"/>
    </xf>
    <xf numFmtId="0" fontId="11" fillId="0" borderId="8" xfId="1" applyFont="1" applyBorder="1" applyAlignment="1">
      <alignment vertical="center"/>
    </xf>
    <xf numFmtId="0" fontId="11" fillId="0" borderId="5" xfId="1" applyFont="1" applyBorder="1" applyAlignment="1">
      <alignment vertical="center"/>
    </xf>
    <xf numFmtId="0" fontId="11" fillId="0" borderId="15" xfId="1" applyFont="1" applyBorder="1" applyAlignment="1">
      <alignment vertical="center"/>
    </xf>
    <xf numFmtId="0" fontId="11" fillId="21" borderId="8" xfId="0" applyFont="1" applyFill="1" applyBorder="1" applyAlignment="1">
      <alignment vertical="center"/>
    </xf>
    <xf numFmtId="0" fontId="11" fillId="21" borderId="5" xfId="0" applyFont="1" applyFill="1" applyBorder="1" applyAlignment="1">
      <alignment vertical="center"/>
    </xf>
    <xf numFmtId="0" fontId="11" fillId="21" borderId="15" xfId="0" applyFont="1" applyFill="1" applyBorder="1" applyAlignment="1">
      <alignment vertical="center"/>
    </xf>
    <xf numFmtId="0" fontId="11" fillId="21" borderId="0" xfId="0" applyFont="1" applyFill="1" applyBorder="1" applyAlignment="1">
      <alignment vertical="center"/>
    </xf>
    <xf numFmtId="0" fontId="9" fillId="0" borderId="0" xfId="1" applyFont="1" applyAlignment="1">
      <alignment horizontal="left" vertical="center"/>
    </xf>
    <xf numFmtId="0" fontId="27" fillId="0" borderId="8" xfId="1" applyFont="1" applyBorder="1" applyAlignment="1">
      <alignment vertical="center"/>
    </xf>
    <xf numFmtId="0" fontId="28" fillId="0" borderId="0" xfId="1" applyFont="1" applyAlignment="1">
      <alignment horizontal="left" vertical="center"/>
    </xf>
    <xf numFmtId="0" fontId="11" fillId="21" borderId="8" xfId="1" applyFont="1" applyFill="1" applyBorder="1" applyAlignment="1">
      <alignment vertical="center"/>
    </xf>
    <xf numFmtId="0" fontId="11" fillId="21" borderId="5" xfId="1" applyFont="1" applyFill="1" applyBorder="1" applyAlignment="1">
      <alignment vertical="center"/>
    </xf>
    <xf numFmtId="0" fontId="11" fillId="21" borderId="15" xfId="1" applyFont="1" applyFill="1" applyBorder="1" applyAlignment="1">
      <alignment vertical="center"/>
    </xf>
    <xf numFmtId="0" fontId="8" fillId="21" borderId="1" xfId="1" applyFont="1" applyFill="1" applyBorder="1">
      <alignment vertical="center"/>
    </xf>
    <xf numFmtId="0" fontId="11" fillId="21" borderId="1" xfId="0" applyFont="1" applyFill="1" applyBorder="1" applyAlignment="1">
      <alignment vertical="center"/>
    </xf>
    <xf numFmtId="0" fontId="11" fillId="0" borderId="1" xfId="0" applyFont="1" applyBorder="1" applyAlignment="1">
      <alignment vertical="center"/>
    </xf>
    <xf numFmtId="0" fontId="11" fillId="20" borderId="8" xfId="1" applyFont="1" applyFill="1" applyBorder="1" applyAlignment="1">
      <alignment vertical="center"/>
    </xf>
    <xf numFmtId="0" fontId="11" fillId="20" borderId="5" xfId="1" applyFont="1" applyFill="1" applyBorder="1" applyAlignment="1">
      <alignment vertical="center"/>
    </xf>
    <xf numFmtId="0" fontId="11" fillId="20" borderId="15" xfId="1" applyFont="1" applyFill="1" applyBorder="1" applyAlignment="1">
      <alignment vertical="center"/>
    </xf>
    <xf numFmtId="0" fontId="11" fillId="0" borderId="16" xfId="0" applyFont="1" applyBorder="1" applyAlignment="1">
      <alignment vertical="center"/>
    </xf>
    <xf numFmtId="0" fontId="9" fillId="0" borderId="0" xfId="0" applyFont="1" applyAlignment="1">
      <alignment horizontal="left"/>
    </xf>
    <xf numFmtId="0" fontId="9" fillId="0" borderId="0" xfId="0" applyNumberFormat="1" applyFont="1" applyAlignment="1"/>
    <xf numFmtId="0" fontId="9" fillId="0" borderId="0" xfId="0" applyFont="1" applyAlignment="1"/>
    <xf numFmtId="0" fontId="8" fillId="0" borderId="0" xfId="1" applyFont="1">
      <alignment vertical="center"/>
    </xf>
    <xf numFmtId="0" fontId="0" fillId="0" borderId="1" xfId="0" applyBorder="1" applyAlignment="1">
      <alignment vertical="center"/>
    </xf>
    <xf numFmtId="164" fontId="0" fillId="0" borderId="0" xfId="0" applyNumberFormat="1" applyAlignment="1">
      <alignment horizontal="center" vertical="center"/>
    </xf>
    <xf numFmtId="0" fontId="0" fillId="0" borderId="1" xfId="0" applyBorder="1" applyAlignment="1">
      <alignment horizontal="center" vertical="center"/>
    </xf>
    <xf numFmtId="165" fontId="21" fillId="9" borderId="1" xfId="3" applyNumberFormat="1" applyFont="1" applyFill="1" applyBorder="1" applyAlignment="1">
      <alignment horizontal="center" vertical="center"/>
    </xf>
    <xf numFmtId="9" fontId="0" fillId="0" borderId="1" xfId="3" applyFont="1" applyBorder="1" applyAlignment="1">
      <alignment horizontal="center" vertical="center" wrapText="1"/>
    </xf>
    <xf numFmtId="0" fontId="0" fillId="0" borderId="0" xfId="0" applyAlignment="1">
      <alignment horizontal="center" vertical="center" wrapText="1"/>
    </xf>
    <xf numFmtId="0" fontId="16" fillId="0" borderId="0" xfId="0" applyFont="1" applyAlignment="1">
      <alignment horizontal="center" vertical="center" wrapText="1"/>
    </xf>
    <xf numFmtId="2" fontId="0" fillId="0" borderId="1" xfId="0" applyNumberFormat="1" applyBorder="1" applyAlignment="1">
      <alignment horizontal="center" vertical="center" wrapText="1"/>
    </xf>
    <xf numFmtId="0" fontId="0" fillId="12" borderId="0" xfId="0" applyFill="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0" xfId="0" applyAlignment="1"/>
    <xf numFmtId="167" fontId="0" fillId="0" borderId="0" xfId="0" applyNumberFormat="1" applyAlignment="1"/>
    <xf numFmtId="166" fontId="0" fillId="0" borderId="0" xfId="0" applyNumberFormat="1" applyAlignment="1"/>
    <xf numFmtId="9" fontId="4" fillId="6" borderId="1" xfId="0" applyNumberFormat="1" applyFont="1" applyFill="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3" fillId="0" borderId="1" xfId="0" applyFont="1" applyBorder="1" applyAlignment="1">
      <alignment vertical="center" wrapText="1"/>
    </xf>
    <xf numFmtId="0" fontId="4" fillId="4" borderId="1" xfId="0" applyFont="1" applyFill="1" applyBorder="1" applyAlignment="1">
      <alignment horizontal="center" vertical="center" wrapText="1"/>
    </xf>
    <xf numFmtId="9" fontId="4" fillId="5" borderId="1" xfId="0" applyNumberFormat="1" applyFont="1" applyFill="1" applyBorder="1" applyAlignment="1">
      <alignment horizontal="center" vertical="center" wrapText="1"/>
    </xf>
    <xf numFmtId="9" fontId="4" fillId="4" borderId="1" xfId="0" applyNumberFormat="1" applyFont="1" applyFill="1" applyBorder="1" applyAlignment="1">
      <alignment horizontal="center" vertical="center" wrapText="1"/>
    </xf>
    <xf numFmtId="0" fontId="4" fillId="6" borderId="1" xfId="0" applyFont="1" applyFill="1" applyBorder="1" applyAlignment="1">
      <alignment horizontal="center" vertical="center" wrapText="1"/>
    </xf>
    <xf numFmtId="0" fontId="4" fillId="0" borderId="1" xfId="0" applyFont="1" applyBorder="1" applyAlignment="1">
      <alignment vertical="center" wrapText="1"/>
    </xf>
    <xf numFmtId="0" fontId="4" fillId="5"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4" fillId="10" borderId="2" xfId="0" applyFont="1" applyFill="1" applyBorder="1" applyAlignment="1">
      <alignment horizontal="center" vertical="center" wrapText="1"/>
    </xf>
    <xf numFmtId="0" fontId="4" fillId="10" borderId="3"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3" xfId="0" applyFont="1" applyFill="1" applyBorder="1" applyAlignment="1">
      <alignment horizontal="center" vertical="center" wrapText="1"/>
    </xf>
    <xf numFmtId="9" fontId="4" fillId="10" borderId="2" xfId="0" applyNumberFormat="1" applyFont="1" applyFill="1" applyBorder="1" applyAlignment="1">
      <alignment horizontal="center" vertical="center" wrapText="1"/>
    </xf>
    <xf numFmtId="9" fontId="15" fillId="11" borderId="2" xfId="0" applyNumberFormat="1" applyFont="1" applyFill="1" applyBorder="1" applyAlignment="1">
      <alignment horizontal="center" vertical="center" wrapText="1"/>
    </xf>
    <xf numFmtId="9" fontId="15" fillId="11" borderId="3" xfId="0" applyNumberFormat="1" applyFont="1" applyFill="1" applyBorder="1" applyAlignment="1">
      <alignment horizontal="center" vertical="center" wrapText="1"/>
    </xf>
    <xf numFmtId="9" fontId="4" fillId="10" borderId="3" xfId="0" applyNumberFormat="1" applyFont="1" applyFill="1" applyBorder="1" applyAlignment="1">
      <alignment horizontal="center" vertical="center" wrapText="1"/>
    </xf>
    <xf numFmtId="9" fontId="4" fillId="5" borderId="2" xfId="0" applyNumberFormat="1" applyFont="1" applyFill="1" applyBorder="1" applyAlignment="1">
      <alignment horizontal="center" vertical="center" wrapText="1"/>
    </xf>
    <xf numFmtId="9" fontId="4" fillId="5" borderId="3" xfId="0" applyNumberFormat="1" applyFont="1" applyFill="1" applyBorder="1" applyAlignment="1">
      <alignment horizontal="center" vertical="center" wrapText="1"/>
    </xf>
    <xf numFmtId="9" fontId="4" fillId="18" borderId="1" xfId="0" applyNumberFormat="1" applyFont="1" applyFill="1" applyBorder="1" applyAlignment="1">
      <alignment horizontal="center" vertical="center" wrapText="1"/>
    </xf>
    <xf numFmtId="0" fontId="4" fillId="18" borderId="1" xfId="0" applyFont="1" applyFill="1" applyBorder="1" applyAlignment="1">
      <alignment horizontal="center" vertical="center" wrapText="1"/>
    </xf>
    <xf numFmtId="9" fontId="4" fillId="20" borderId="1" xfId="0" applyNumberFormat="1" applyFont="1" applyFill="1" applyBorder="1" applyAlignment="1">
      <alignment horizontal="center" vertical="center" wrapText="1"/>
    </xf>
    <xf numFmtId="0" fontId="4" fillId="20" borderId="1" xfId="0" applyFont="1" applyFill="1" applyBorder="1" applyAlignment="1">
      <alignment horizontal="center" vertical="center" wrapText="1"/>
    </xf>
    <xf numFmtId="0" fontId="1" fillId="13" borderId="1" xfId="0" applyFont="1" applyFill="1" applyBorder="1" applyAlignment="1">
      <alignment horizontal="center" vertical="center"/>
    </xf>
    <xf numFmtId="0" fontId="0" fillId="0" borderId="1" xfId="0" applyBorder="1" applyAlignment="1">
      <alignment horizontal="center" vertical="center"/>
    </xf>
    <xf numFmtId="0" fontId="19" fillId="13" borderId="11" xfId="0" applyFont="1" applyFill="1" applyBorder="1" applyAlignment="1">
      <alignment horizontal="center" vertical="center"/>
    </xf>
    <xf numFmtId="0" fontId="19" fillId="13" borderId="12" xfId="0" applyFont="1" applyFill="1" applyBorder="1" applyAlignment="1">
      <alignment horizontal="center" vertical="center"/>
    </xf>
    <xf numFmtId="0" fontId="19" fillId="13" borderId="13" xfId="0" applyFont="1" applyFill="1" applyBorder="1" applyAlignment="1">
      <alignment horizontal="center" vertical="center"/>
    </xf>
  </cellXfs>
  <cellStyles count="4">
    <cellStyle name="Normal" xfId="0" builtinId="0"/>
    <cellStyle name="Normal 2" xfId="1"/>
    <cellStyle name="Normal 3" xfId="2"/>
    <cellStyle name="Percent" xfId="3" builtinId="5"/>
  </cellStyles>
  <dxfs count="59">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7" formatCode="yyyy\-mm\-dd\ h:mm:ss"/>
      <alignment horizontal="general" vertical="bottom" textRotation="0" wrapText="0" indent="0" justifyLastLine="0" shrinkToFit="0" readingOrder="0"/>
    </dxf>
    <dxf>
      <alignment horizontal="general" vertical="bottom" textRotation="0" wrapText="0" indent="0" justifyLastLine="0" shrinkToFit="0" readingOrder="0"/>
    </dxf>
    <dxf>
      <numFmt numFmtId="166" formatCode="yyyy/m/d\ h:mm"/>
      <alignment horizontal="general" vertical="bottom" textRotation="0" wrapText="0" indent="0" justifyLastLine="0" shrinkToFit="0" readingOrder="0"/>
    </dxf>
    <dxf>
      <numFmt numFmtId="167" formatCode="yyyy\-mm\-dd\ h:mm:ss"/>
      <alignment horizontal="general" vertical="bottom" textRotation="0" wrapText="0" indent="0" justifyLastLine="0" shrinkToFit="0" readingOrder="0"/>
    </dxf>
    <dxf>
      <numFmt numFmtId="166" formatCode="yyyy/m/d\ h:mm"/>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yyyy/m/d\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sz="1200"/>
              <a:t>HAL Common Patch Review-Q2'16</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'BJ-byM'!$J$2</c:f>
              <c:strCache>
                <c:ptCount val="1"/>
                <c:pt idx="0">
                  <c:v>15'Q4</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('BJ-byM'!$B$3,'BJ-byM'!$B$5,'BJ-byM'!$B$7,'BJ-byM'!$B$9)</c:f>
              <c:strCache>
                <c:ptCount val="4"/>
                <c:pt idx="0">
                  <c:v>Review-1 # per patch (BJ patch)</c:v>
                </c:pt>
                <c:pt idx="1">
                  <c:v>Review # from local (%)</c:v>
                </c:pt>
                <c:pt idx="2">
                  <c:v>Review-1 # given locally (%)  (BJ patch)</c:v>
                </c:pt>
                <c:pt idx="3">
                  <c:v>Cross site review(%)</c:v>
                </c:pt>
              </c:strCache>
            </c:strRef>
          </c:cat>
          <c:val>
            <c:numRef>
              <c:f>('BJ-byM'!$J$3,'BJ-byM'!$J$5,'BJ-byM'!$J$7,'BJ-byM'!$J$9)</c:f>
              <c:numCache>
                <c:formatCode>0%</c:formatCode>
                <c:ptCount val="4"/>
                <c:pt idx="0" formatCode="0.00">
                  <c:v>0.96551724137931039</c:v>
                </c:pt>
                <c:pt idx="1">
                  <c:v>0.36796536796536794</c:v>
                </c:pt>
                <c:pt idx="2">
                  <c:v>0.14285714285714285</c:v>
                </c:pt>
                <c:pt idx="3" formatCode="0.0%">
                  <c:v>0.59803921568627449</c:v>
                </c:pt>
              </c:numCache>
            </c:numRef>
          </c:val>
        </c:ser>
        <c:ser>
          <c:idx val="1"/>
          <c:order val="1"/>
          <c:tx>
            <c:strRef>
              <c:f>'BJ-byM'!$K$2</c:f>
              <c:strCache>
                <c:ptCount val="1"/>
                <c:pt idx="0">
                  <c:v>16'Q3</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('BJ-byM'!$B$3,'BJ-byM'!$B$5,'BJ-byM'!$B$7,'BJ-byM'!$B$9)</c:f>
              <c:strCache>
                <c:ptCount val="4"/>
                <c:pt idx="0">
                  <c:v>Review-1 # per patch (BJ patch)</c:v>
                </c:pt>
                <c:pt idx="1">
                  <c:v>Review # from local (%)</c:v>
                </c:pt>
                <c:pt idx="2">
                  <c:v>Review-1 # given locally (%)  (BJ patch)</c:v>
                </c:pt>
                <c:pt idx="3">
                  <c:v>Cross site review(%)</c:v>
                </c:pt>
              </c:strCache>
            </c:strRef>
          </c:cat>
          <c:val>
            <c:numRef>
              <c:f>('BJ-byM'!$K$3,'BJ-byM'!$K$5,'BJ-byM'!$K$7,'BJ-byM'!$K$9)</c:f>
              <c:numCache>
                <c:formatCode>0%</c:formatCode>
                <c:ptCount val="4"/>
                <c:pt idx="0" formatCode="0.00">
                  <c:v>0.20666666666666667</c:v>
                </c:pt>
                <c:pt idx="1">
                  <c:v>0.997588424437299</c:v>
                </c:pt>
                <c:pt idx="2">
                  <c:v>1</c:v>
                </c:pt>
                <c:pt idx="3" formatCode="0.0%">
                  <c:v>1</c:v>
                </c:pt>
              </c:numCache>
            </c:numRef>
          </c:val>
        </c:ser>
        <c:dLbls>
          <c:dLblPos val="inEnd"/>
          <c:showLegendKey val="0"/>
          <c:showVal val="1"/>
          <c:showCatName val="0"/>
          <c:showSerName val="0"/>
          <c:showPercent val="0"/>
          <c:showBubbleSize val="0"/>
        </c:dLbls>
        <c:gapWidth val="65"/>
        <c:axId val="165183616"/>
        <c:axId val="165184008"/>
      </c:barChart>
      <c:catAx>
        <c:axId val="1651836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5184008"/>
        <c:crosses val="autoZero"/>
        <c:auto val="1"/>
        <c:lblAlgn val="ctr"/>
        <c:lblOffset val="100"/>
        <c:noMultiLvlLbl val="0"/>
      </c:catAx>
      <c:valAx>
        <c:axId val="16518400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65183616"/>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sz="1200"/>
              <a:t>HAL Common Patch Review,</a:t>
            </a:r>
            <a:r>
              <a:rPr lang="en-US" sz="1200" baseline="0"/>
              <a:t> April-May</a:t>
            </a:r>
            <a:endParaRPr lang="en-US" sz="1200"/>
          </a:p>
        </c:rich>
      </c:tx>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'BJ-byM'!$L$2</c:f>
              <c:strCache>
                <c:ptCount val="1"/>
                <c:pt idx="0">
                  <c:v>16'm7</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('BJ-byM'!$B$3,'BJ-byM'!$B$5,'BJ-byM'!$B$7,'BJ-byM'!$B$9)</c:f>
              <c:strCache>
                <c:ptCount val="4"/>
                <c:pt idx="0">
                  <c:v>Review-1 # per patch (BJ patch)</c:v>
                </c:pt>
                <c:pt idx="1">
                  <c:v>Review # from local (%)</c:v>
                </c:pt>
                <c:pt idx="2">
                  <c:v>Review-1 # given locally (%)  (BJ patch)</c:v>
                </c:pt>
                <c:pt idx="3">
                  <c:v>Cross site review(%)</c:v>
                </c:pt>
              </c:strCache>
            </c:strRef>
          </c:cat>
          <c:val>
            <c:numRef>
              <c:f>('BJ-byM'!$L$3,'BJ-byM'!$L$5,'BJ-byM'!$L$7,'BJ-byM'!$L$9)</c:f>
              <c:numCache>
                <c:formatCode>0%</c:formatCode>
                <c:ptCount val="4"/>
                <c:pt idx="0" formatCode="0.00">
                  <c:v>0</c:v>
                </c:pt>
                <c:pt idx="1">
                  <c:v>0</c:v>
                </c:pt>
                <c:pt idx="2">
                  <c:v>0</c:v>
                </c:pt>
                <c:pt idx="3">
                  <c:v>0</c:v>
                </c:pt>
              </c:numCache>
            </c:numRef>
          </c:val>
        </c:ser>
        <c:ser>
          <c:idx val="1"/>
          <c:order val="1"/>
          <c:tx>
            <c:strRef>
              <c:f>'BJ-byM'!$M$2</c:f>
              <c:strCache>
                <c:ptCount val="1"/>
                <c:pt idx="0">
                  <c:v>16'm8</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('BJ-byM'!$B$3,'BJ-byM'!$B$5,'BJ-byM'!$B$7,'BJ-byM'!$B$9)</c:f>
              <c:strCache>
                <c:ptCount val="4"/>
                <c:pt idx="0">
                  <c:v>Review-1 # per patch (BJ patch)</c:v>
                </c:pt>
                <c:pt idx="1">
                  <c:v>Review # from local (%)</c:v>
                </c:pt>
                <c:pt idx="2">
                  <c:v>Review-1 # given locally (%)  (BJ patch)</c:v>
                </c:pt>
                <c:pt idx="3">
                  <c:v>Cross site review(%)</c:v>
                </c:pt>
              </c:strCache>
            </c:strRef>
          </c:cat>
          <c:val>
            <c:numRef>
              <c:f>('BJ-byM'!$M$3,'BJ-byM'!$M$5,'BJ-byM'!$M$7,'BJ-byM'!$M$9)</c:f>
              <c:numCache>
                <c:formatCode>0%</c:formatCode>
                <c:ptCount val="4"/>
                <c:pt idx="0" formatCode="0.00">
                  <c:v>0</c:v>
                </c:pt>
                <c:pt idx="1">
                  <c:v>0</c:v>
                </c:pt>
                <c:pt idx="2">
                  <c:v>0</c:v>
                </c:pt>
                <c:pt idx="3">
                  <c:v>0</c:v>
                </c:pt>
              </c:numCache>
            </c:numRef>
          </c:val>
        </c:ser>
        <c:ser>
          <c:idx val="2"/>
          <c:order val="2"/>
          <c:tx>
            <c:strRef>
              <c:f>'BJ-byM'!$N$2</c:f>
              <c:strCache>
                <c:ptCount val="1"/>
                <c:pt idx="0">
                  <c:v>16'm9</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('BJ-byM'!$B$3,'BJ-byM'!$B$5,'BJ-byM'!$B$7,'BJ-byM'!$B$9)</c:f>
              <c:strCache>
                <c:ptCount val="4"/>
                <c:pt idx="0">
                  <c:v>Review-1 # per patch (BJ patch)</c:v>
                </c:pt>
                <c:pt idx="1">
                  <c:v>Review # from local (%)</c:v>
                </c:pt>
                <c:pt idx="2">
                  <c:v>Review-1 # given locally (%)  (BJ patch)</c:v>
                </c:pt>
                <c:pt idx="3">
                  <c:v>Cross site review(%)</c:v>
                </c:pt>
              </c:strCache>
            </c:strRef>
          </c:cat>
          <c:val>
            <c:numRef>
              <c:f>('BJ-byM'!$N$3,'BJ-byM'!$N$5,'BJ-byM'!$N$7,'BJ-byM'!$N$9)</c:f>
              <c:numCache>
                <c:formatCode>0%</c:formatCode>
                <c:ptCount val="4"/>
                <c:pt idx="0" formatCode="0.00">
                  <c:v>0.20666666666666667</c:v>
                </c:pt>
                <c:pt idx="1">
                  <c:v>0.997588424437299</c:v>
                </c:pt>
                <c:pt idx="2">
                  <c:v>1</c:v>
                </c:pt>
                <c:pt idx="3">
                  <c:v>1</c:v>
                </c:pt>
              </c:numCache>
            </c:numRef>
          </c:val>
        </c:ser>
        <c:dLbls>
          <c:dLblPos val="inEnd"/>
          <c:showLegendKey val="0"/>
          <c:showVal val="1"/>
          <c:showCatName val="0"/>
          <c:showSerName val="0"/>
          <c:showPercent val="0"/>
          <c:showBubbleSize val="0"/>
        </c:dLbls>
        <c:gapWidth val="65"/>
        <c:axId val="165184792"/>
        <c:axId val="167781592"/>
      </c:barChart>
      <c:catAx>
        <c:axId val="1651847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7781592"/>
        <c:crosses val="autoZero"/>
        <c:auto val="1"/>
        <c:lblAlgn val="ctr"/>
        <c:lblOffset val="100"/>
        <c:noMultiLvlLbl val="0"/>
      </c:catAx>
      <c:valAx>
        <c:axId val="16778159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65184792"/>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sz="1200"/>
              <a:t>FI Common patch review Q1'16</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'FI-byM'!$J$2</c:f>
              <c:strCache>
                <c:ptCount val="1"/>
                <c:pt idx="0">
                  <c:v>15'Q4</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('FI-byM'!$B$3,'FI-byM'!$B$5,'FI-byM'!$B$7,'FI-byM'!$B$9)</c:f>
              <c:strCache>
                <c:ptCount val="4"/>
                <c:pt idx="0">
                  <c:v>Review-1 # per patch</c:v>
                </c:pt>
                <c:pt idx="1">
                  <c:v>Review # from local (%)</c:v>
                </c:pt>
                <c:pt idx="2">
                  <c:v>Review-1 # given locally (%)</c:v>
                </c:pt>
                <c:pt idx="3">
                  <c:v>Cross site review(%)</c:v>
                </c:pt>
              </c:strCache>
            </c:strRef>
          </c:cat>
          <c:val>
            <c:numRef>
              <c:f>('FI-byM'!$J$3,'FI-byM'!$J$5,'FI-byM'!$J$7,'FI-byM'!$J$9)</c:f>
              <c:numCache>
                <c:formatCode>0%</c:formatCode>
                <c:ptCount val="4"/>
                <c:pt idx="0" formatCode="0.00">
                  <c:v>0</c:v>
                </c:pt>
                <c:pt idx="1">
                  <c:v>0</c:v>
                </c:pt>
                <c:pt idx="2">
                  <c:v>0</c:v>
                </c:pt>
                <c:pt idx="3" formatCode="0.0%">
                  <c:v>0</c:v>
                </c:pt>
              </c:numCache>
            </c:numRef>
          </c:val>
        </c:ser>
        <c:ser>
          <c:idx val="1"/>
          <c:order val="1"/>
          <c:tx>
            <c:strRef>
              <c:f>'FI-byM'!$K$2</c:f>
              <c:strCache>
                <c:ptCount val="1"/>
                <c:pt idx="0">
                  <c:v>16'Q3</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('FI-byM'!$B$3,'FI-byM'!$B$5,'FI-byM'!$B$7,'FI-byM'!$B$9)</c:f>
              <c:strCache>
                <c:ptCount val="4"/>
                <c:pt idx="0">
                  <c:v>Review-1 # per patch</c:v>
                </c:pt>
                <c:pt idx="1">
                  <c:v>Review # from local (%)</c:v>
                </c:pt>
                <c:pt idx="2">
                  <c:v>Review-1 # given locally (%)</c:v>
                </c:pt>
                <c:pt idx="3">
                  <c:v>Cross site review(%)</c:v>
                </c:pt>
              </c:strCache>
            </c:strRef>
          </c:cat>
          <c:val>
            <c:numRef>
              <c:f>('FI-byM'!$K$3,'FI-byM'!$K$5,'FI-byM'!$K$7,'FI-byM'!$K$9)</c:f>
              <c:numCache>
                <c:formatCode>0%</c:formatCode>
                <c:ptCount val="4"/>
                <c:pt idx="0" formatCode="0.00">
                  <c:v>0.29411764705882354</c:v>
                </c:pt>
                <c:pt idx="1">
                  <c:v>8.2644628099173556E-3</c:v>
                </c:pt>
                <c:pt idx="2">
                  <c:v>0</c:v>
                </c:pt>
                <c:pt idx="3" formatCode="0.0%">
                  <c:v>1.3333333333333334E-2</c:v>
                </c:pt>
              </c:numCache>
            </c:numRef>
          </c:val>
        </c:ser>
        <c:dLbls>
          <c:dLblPos val="inEnd"/>
          <c:showLegendKey val="0"/>
          <c:showVal val="1"/>
          <c:showCatName val="0"/>
          <c:showSerName val="0"/>
          <c:showPercent val="0"/>
          <c:showBubbleSize val="0"/>
        </c:dLbls>
        <c:gapWidth val="65"/>
        <c:axId val="191487920"/>
        <c:axId val="191488312"/>
      </c:barChart>
      <c:catAx>
        <c:axId val="1914879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1488312"/>
        <c:crosses val="autoZero"/>
        <c:auto val="1"/>
        <c:lblAlgn val="ctr"/>
        <c:lblOffset val="100"/>
        <c:noMultiLvlLbl val="0"/>
      </c:catAx>
      <c:valAx>
        <c:axId val="1914883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91487920"/>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sz="1200" b="1" i="0" baseline="0">
                <a:effectLst/>
              </a:rPr>
              <a:t>FI Common patch review Jan-Mar</a:t>
            </a:r>
            <a:endParaRPr lang="en-US" sz="1200">
              <a:effectLst/>
            </a:endParaRPr>
          </a:p>
        </c:rich>
      </c:tx>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'FI-byM'!$L$2</c:f>
              <c:strCache>
                <c:ptCount val="1"/>
                <c:pt idx="0">
                  <c:v>16'm7</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('FI-byM'!$B$3,'FI-byM'!$B$5,'FI-byM'!$B$7,'FI-byM'!$B$9)</c:f>
              <c:strCache>
                <c:ptCount val="4"/>
                <c:pt idx="0">
                  <c:v>Review-1 # per patch</c:v>
                </c:pt>
                <c:pt idx="1">
                  <c:v>Review # from local (%)</c:v>
                </c:pt>
                <c:pt idx="2">
                  <c:v>Review-1 # given locally (%)</c:v>
                </c:pt>
                <c:pt idx="3">
                  <c:v>Cross site review(%)</c:v>
                </c:pt>
              </c:strCache>
            </c:strRef>
          </c:cat>
          <c:val>
            <c:numRef>
              <c:f>('FI-byM'!$L$3,'FI-byM'!$L$5,'FI-byM'!$L$7,'FI-byM'!$L$9)</c:f>
              <c:numCache>
                <c:formatCode>0%</c:formatCode>
                <c:ptCount val="4"/>
                <c:pt idx="0" formatCode="0.00">
                  <c:v>0</c:v>
                </c:pt>
                <c:pt idx="1">
                  <c:v>0</c:v>
                </c:pt>
                <c:pt idx="2">
                  <c:v>0</c:v>
                </c:pt>
                <c:pt idx="3">
                  <c:v>0</c:v>
                </c:pt>
              </c:numCache>
            </c:numRef>
          </c:val>
        </c:ser>
        <c:ser>
          <c:idx val="1"/>
          <c:order val="1"/>
          <c:tx>
            <c:strRef>
              <c:f>'FI-byM'!$M$2</c:f>
              <c:strCache>
                <c:ptCount val="1"/>
                <c:pt idx="0">
                  <c:v>16'm8</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('FI-byM'!$B$3,'FI-byM'!$B$5,'FI-byM'!$B$7,'FI-byM'!$B$9)</c:f>
              <c:strCache>
                <c:ptCount val="4"/>
                <c:pt idx="0">
                  <c:v>Review-1 # per patch</c:v>
                </c:pt>
                <c:pt idx="1">
                  <c:v>Review # from local (%)</c:v>
                </c:pt>
                <c:pt idx="2">
                  <c:v>Review-1 # given locally (%)</c:v>
                </c:pt>
                <c:pt idx="3">
                  <c:v>Cross site review(%)</c:v>
                </c:pt>
              </c:strCache>
            </c:strRef>
          </c:cat>
          <c:val>
            <c:numRef>
              <c:f>('FI-byM'!$M$3,'FI-byM'!$M$5,'FI-byM'!$M$7,'FI-byM'!$M$9)</c:f>
              <c:numCache>
                <c:formatCode>0%</c:formatCode>
                <c:ptCount val="4"/>
                <c:pt idx="0" formatCode="0.00">
                  <c:v>0</c:v>
                </c:pt>
                <c:pt idx="1">
                  <c:v>0</c:v>
                </c:pt>
                <c:pt idx="2">
                  <c:v>0</c:v>
                </c:pt>
                <c:pt idx="3">
                  <c:v>0</c:v>
                </c:pt>
              </c:numCache>
            </c:numRef>
          </c:val>
        </c:ser>
        <c:ser>
          <c:idx val="2"/>
          <c:order val="2"/>
          <c:tx>
            <c:strRef>
              <c:f>'FI-byM'!$N$2</c:f>
              <c:strCache>
                <c:ptCount val="1"/>
                <c:pt idx="0">
                  <c:v>16'm9</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('FI-byM'!$B$3,'FI-byM'!$B$5,'FI-byM'!$B$7,'FI-byM'!$B$9)</c:f>
              <c:strCache>
                <c:ptCount val="4"/>
                <c:pt idx="0">
                  <c:v>Review-1 # per patch</c:v>
                </c:pt>
                <c:pt idx="1">
                  <c:v>Review # from local (%)</c:v>
                </c:pt>
                <c:pt idx="2">
                  <c:v>Review-1 # given locally (%)</c:v>
                </c:pt>
                <c:pt idx="3">
                  <c:v>Cross site review(%)</c:v>
                </c:pt>
              </c:strCache>
            </c:strRef>
          </c:cat>
          <c:val>
            <c:numRef>
              <c:f>('FI-byM'!$N$3,'FI-byM'!$N$5,'FI-byM'!$N$7,'FI-byM'!$N$9)</c:f>
              <c:numCache>
                <c:formatCode>0%</c:formatCode>
                <c:ptCount val="4"/>
                <c:pt idx="0" formatCode="0.00">
                  <c:v>0.29411764705882354</c:v>
                </c:pt>
                <c:pt idx="1">
                  <c:v>8.2644628099173556E-3</c:v>
                </c:pt>
                <c:pt idx="2">
                  <c:v>0</c:v>
                </c:pt>
                <c:pt idx="3">
                  <c:v>1.3333333333333334E-2</c:v>
                </c:pt>
              </c:numCache>
            </c:numRef>
          </c:val>
        </c:ser>
        <c:dLbls>
          <c:dLblPos val="inEnd"/>
          <c:showLegendKey val="0"/>
          <c:showVal val="1"/>
          <c:showCatName val="0"/>
          <c:showSerName val="0"/>
          <c:showPercent val="0"/>
          <c:showBubbleSize val="0"/>
        </c:dLbls>
        <c:gapWidth val="65"/>
        <c:axId val="191489096"/>
        <c:axId val="191489488"/>
      </c:barChart>
      <c:catAx>
        <c:axId val="19148909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1489488"/>
        <c:crosses val="autoZero"/>
        <c:auto val="1"/>
        <c:lblAlgn val="ctr"/>
        <c:lblOffset val="100"/>
        <c:noMultiLvlLbl val="0"/>
      </c:catAx>
      <c:valAx>
        <c:axId val="19148948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91489096"/>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15</xdr:col>
      <xdr:colOff>317499</xdr:colOff>
      <xdr:row>1</xdr:row>
      <xdr:rowOff>337607</xdr:rowOff>
    </xdr:from>
    <xdr:to>
      <xdr:col>23</xdr:col>
      <xdr:colOff>84666</xdr:colOff>
      <xdr:row>7</xdr:row>
      <xdr:rowOff>539749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370417</xdr:colOff>
      <xdr:row>8</xdr:row>
      <xdr:rowOff>104774</xdr:rowOff>
    </xdr:from>
    <xdr:to>
      <xdr:col>23</xdr:col>
      <xdr:colOff>52916</xdr:colOff>
      <xdr:row>31</xdr:row>
      <xdr:rowOff>137583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561975</xdr:colOff>
      <xdr:row>1</xdr:row>
      <xdr:rowOff>442912</xdr:rowOff>
    </xdr:from>
    <xdr:to>
      <xdr:col>21</xdr:col>
      <xdr:colOff>466725</xdr:colOff>
      <xdr:row>6</xdr:row>
      <xdr:rowOff>528637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571500</xdr:colOff>
      <xdr:row>6</xdr:row>
      <xdr:rowOff>623887</xdr:rowOff>
    </xdr:from>
    <xdr:to>
      <xdr:col>21</xdr:col>
      <xdr:colOff>476250</xdr:colOff>
      <xdr:row>24</xdr:row>
      <xdr:rowOff>61912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0</xdr:rowOff>
        </xdr:to>
        <xdr:sp macro="" textlink="">
          <xdr:nvSpPr>
            <xdr:cNvPr id="4097" name="Control 1" hidden="1">
              <a:extLst>
                <a:ext uri="{63B3BB69-23CF-44E3-9099-C40C66FF867C}">
                  <a14:compatExt spid="_x0000_s4097"/>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xliu35/Documents/PnP/Validation/Bug/CHT/CHT%20retrospect%20-%20ww4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lixiaofa/Documents/Engineering%20Practice/Patch%20Analysis/Kernel%20patch%20indicator-2015/KernelCommentIndicator%20-%2015Q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lixiaofa/Documents/Engineering%20Practice/Patch%20Analysis/Kernel_HAL%20patch%20indicator-2015/HALCommentIndicator%20-%20Q4'15_w15%20-%20comm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KKJB"/>
      <sheetName val="ImnL"/>
      <sheetName val="HSDES Validation"/>
      <sheetName val="T4vsHR"/>
      <sheetName val="KKJB trend"/>
      <sheetName val="IminL trend"/>
      <sheetName val="CHT trend"/>
      <sheetName val="CHT trend-2 (CH)"/>
      <sheetName val="BYTL"/>
      <sheetName val="CHT Imin"/>
      <sheetName val="CHTiRef"/>
      <sheetName val="CHT gmin"/>
      <sheetName val="MerrL"/>
      <sheetName val="MOFD L"/>
      <sheetName val="BYTKKJBbugs"/>
      <sheetName val="BYTKKJBOther"/>
      <sheetName val="MerrKKJBbugs"/>
      <sheetName val="MOFDJBKK"/>
      <sheetName val="KKJB SearchCrit"/>
      <sheetName val="index"/>
      <sheetName val="Ver"/>
      <sheetName val="oldt4note"/>
      <sheetName val="new-findpatch"/>
      <sheetName val="Sheet2"/>
      <sheetName val="CHT trend(toclose)"/>
      <sheetName val="bratin-group-email"/>
      <sheetName val="deleteMerrBugs"/>
    </sheetNames>
    <sheetDataSet>
      <sheetData sheetId="0"/>
      <sheetData sheetId="1"/>
      <sheetData sheetId="2">
        <row r="6">
          <cell r="C6">
            <v>359</v>
          </cell>
        </row>
        <row r="8">
          <cell r="C8">
            <v>417</v>
          </cell>
        </row>
        <row r="9">
          <cell r="C9">
            <v>297</v>
          </cell>
        </row>
        <row r="10">
          <cell r="C10">
            <v>769</v>
          </cell>
        </row>
        <row r="11">
          <cell r="C11">
            <v>252</v>
          </cell>
        </row>
        <row r="12">
          <cell r="C12">
            <v>472</v>
          </cell>
        </row>
        <row r="16">
          <cell r="C16">
            <v>110</v>
          </cell>
        </row>
        <row r="18">
          <cell r="C18">
            <v>142</v>
          </cell>
        </row>
        <row r="19">
          <cell r="C19">
            <v>101</v>
          </cell>
        </row>
        <row r="20">
          <cell r="C20">
            <v>117</v>
          </cell>
        </row>
        <row r="21">
          <cell r="C21">
            <v>89</v>
          </cell>
        </row>
        <row r="22">
          <cell r="C22">
            <v>101</v>
          </cell>
        </row>
        <row r="32">
          <cell r="C32">
            <v>347</v>
          </cell>
        </row>
        <row r="35">
          <cell r="C35">
            <v>392</v>
          </cell>
        </row>
        <row r="36">
          <cell r="C36">
            <v>293</v>
          </cell>
        </row>
        <row r="37">
          <cell r="C37">
            <v>720</v>
          </cell>
        </row>
        <row r="38">
          <cell r="C38">
            <v>210</v>
          </cell>
        </row>
        <row r="39">
          <cell r="C39">
            <v>452</v>
          </cell>
        </row>
        <row r="44">
          <cell r="C44">
            <v>99</v>
          </cell>
        </row>
        <row r="47">
          <cell r="C47">
            <v>121</v>
          </cell>
        </row>
        <row r="48">
          <cell r="C48">
            <v>97</v>
          </cell>
        </row>
        <row r="49">
          <cell r="C49">
            <v>72</v>
          </cell>
        </row>
        <row r="50">
          <cell r="C50">
            <v>49</v>
          </cell>
        </row>
        <row r="51">
          <cell r="C51">
            <v>85</v>
          </cell>
        </row>
        <row r="63">
          <cell r="C63">
            <v>306</v>
          </cell>
          <cell r="E63">
            <v>81</v>
          </cell>
        </row>
        <row r="65">
          <cell r="C65">
            <v>326</v>
          </cell>
          <cell r="E65">
            <v>82</v>
          </cell>
        </row>
        <row r="66">
          <cell r="C66">
            <v>240</v>
          </cell>
          <cell r="E66">
            <v>68</v>
          </cell>
        </row>
        <row r="67">
          <cell r="C67">
            <v>640</v>
          </cell>
          <cell r="E67">
            <v>98</v>
          </cell>
        </row>
        <row r="68">
          <cell r="C68">
            <v>216</v>
          </cell>
          <cell r="E68">
            <v>75</v>
          </cell>
        </row>
        <row r="69">
          <cell r="C69">
            <v>381</v>
          </cell>
          <cell r="E69">
            <v>73</v>
          </cell>
        </row>
        <row r="109">
          <cell r="C109">
            <v>295</v>
          </cell>
          <cell r="D109">
            <v>71</v>
          </cell>
          <cell r="E109">
            <v>592</v>
          </cell>
          <cell r="F109">
            <v>54</v>
          </cell>
          <cell r="G109">
            <v>305</v>
          </cell>
          <cell r="H109">
            <v>64</v>
          </cell>
          <cell r="I109">
            <v>177</v>
          </cell>
          <cell r="J109">
            <v>38</v>
          </cell>
          <cell r="K109">
            <v>236</v>
          </cell>
          <cell r="L109">
            <v>64</v>
          </cell>
          <cell r="M109">
            <v>364</v>
          </cell>
          <cell r="N109">
            <v>59</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byPer"/>
      <sheetName val="linxdrv-old"/>
      <sheetName val="OrgTree"/>
      <sheetName val="linxdrv-latestww"/>
      <sheetName val="KernelCommentIndicator - 15Q4"/>
    </sheetNames>
    <sheetDataSet>
      <sheetData sheetId="0"/>
      <sheetData sheetId="1"/>
      <sheetData sheetId="2"/>
      <sheetData sheetId="3"/>
      <sheetData sheetId="4"/>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J-byW"/>
      <sheetName val="BJ-byM"/>
      <sheetName val="FI-byW"/>
      <sheetName val="FI-byM"/>
      <sheetName val="byPer"/>
      <sheetName val="patch"/>
      <sheetName val="linxdrv-latestww"/>
      <sheetName val="OrgTree"/>
      <sheetName val="ver"/>
      <sheetName val="Sheet1"/>
      <sheetName val="HALCommentIndicator - Q4'15_w15"/>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iu, Xiaolu" refreshedDate="42471.77476886574" createdVersion="5" refreshedVersion="5" minRefreshableVersion="3" recordCount="2492">
  <cacheSource type="worksheet">
    <worksheetSource name="patch"/>
  </cacheSource>
  <cacheFields count="32">
    <cacheField name="tmp-number" numFmtId="0">
      <sharedItems containsSemiMixedTypes="0" containsString="0" containsNumber="1" containsInteger="1" minValue="41263" maxValue="111173" count="1015">
        <n v="109390"/>
        <n v="109581"/>
        <n v="108095"/>
        <n v="108411"/>
        <n v="107489"/>
        <n v="108753"/>
        <n v="108378"/>
        <n v="109162"/>
        <n v="106604"/>
        <n v="104719"/>
        <n v="106057"/>
        <n v="107138"/>
        <n v="103136"/>
        <n v="107267"/>
        <n v="106172"/>
        <n v="107469"/>
        <n v="109897"/>
        <n v="109900"/>
        <n v="105719"/>
        <n v="104966"/>
        <n v="103462"/>
        <n v="101615"/>
        <n v="105367"/>
        <n v="104194"/>
        <n v="103471"/>
        <n v="98105"/>
        <n v="96212"/>
        <n v="101218"/>
        <n v="102411"/>
        <n v="102410"/>
        <n v="102420"/>
        <n v="102409"/>
        <n v="102408"/>
        <n v="102407"/>
        <n v="102406"/>
        <n v="102405"/>
        <n v="101171"/>
        <n v="100129"/>
        <n v="100087"/>
        <n v="99270"/>
        <n v="99579"/>
        <n v="99753"/>
        <n v="95493"/>
        <n v="96189"/>
        <n v="97744"/>
        <n v="98640"/>
        <n v="98031"/>
        <n v="95501"/>
        <n v="92111"/>
        <n v="88208"/>
        <n v="90027"/>
        <n v="93300"/>
        <n v="91583"/>
        <n v="91582"/>
        <n v="91581"/>
        <n v="94150"/>
        <n v="92993"/>
        <n v="92518"/>
        <n v="91736"/>
        <n v="86707"/>
        <n v="93475"/>
        <n v="94215"/>
        <n v="94164"/>
        <n v="86706"/>
        <n v="90604"/>
        <n v="92968"/>
        <n v="92496"/>
        <n v="92983"/>
        <n v="92969"/>
        <n v="103732" u="1"/>
        <n v="93269" u="1"/>
        <n v="99320" u="1"/>
        <n v="103102" u="1"/>
        <n v="92765" u="1"/>
        <n v="106758" u="1"/>
        <n v="92513" u="1"/>
        <n v="101968" u="1"/>
        <n v="95791" u="1"/>
        <n v="95665" u="1"/>
        <n v="101590" u="1"/>
        <n v="103355" u="1"/>
        <n v="103103" u="1"/>
        <n v="107137" u="1"/>
        <n v="96674" u="1"/>
        <n v="92514" u="1"/>
        <n v="100078" u="1"/>
        <n v="102095" u="1"/>
        <n v="93901" u="1"/>
        <n v="91506" u="1"/>
        <n v="101591" u="1"/>
        <n v="103104" u="1"/>
        <n v="92515" u="1"/>
        <n v="100079" u="1"/>
        <n v="102096" u="1"/>
        <n v="93902" u="1"/>
        <n v="109912" u="1"/>
        <n v="99575" u="1"/>
        <n v="95163" u="1"/>
        <n v="107139" u="1"/>
        <n v="111173" u="1"/>
        <n v="104744" u="1"/>
        <n v="98567" u="1"/>
        <n v="102601" u="1"/>
        <n v="106509" u="1"/>
        <n v="104240" u="1"/>
        <n v="100080" u="1"/>
        <n v="102097" u="1"/>
        <n v="93903" u="1"/>
        <n v="103988" u="1"/>
        <n v="95668" u="1"/>
        <n v="99576" u="1"/>
        <n v="93273" u="1"/>
        <n v="103106" u="1"/>
        <n v="96929" u="1"/>
        <n v="96677" u="1"/>
        <n v="92517" u="1"/>
        <n v="106510" u="1"/>
        <n v="104241" u="1"/>
        <n v="93904" u="1"/>
        <n v="101846" u="1"/>
        <n v="103737" u="1"/>
        <n v="93274" u="1"/>
        <n v="103107" u="1"/>
        <n v="100082" u="1"/>
        <n v="101217" u="1"/>
        <n v="103108" u="1"/>
        <n v="90880" u="1"/>
        <n v="94788" u="1"/>
        <n v="102352" u="1"/>
        <n v="94158" u="1"/>
        <n v="102100" u="1"/>
        <n v="106765" u="1"/>
        <n v="92520" u="1"/>
        <n v="110547" u="1"/>
        <n v="102101" u="1"/>
        <n v="101849" u="1"/>
        <n v="99706" u="1"/>
        <n v="105379" u="1"/>
        <n v="103110" u="1"/>
        <n v="109161" u="1"/>
        <n v="109035" u="1"/>
        <n v="94664" u="1"/>
        <n v="104245" u="1"/>
        <n v="100085" u="1"/>
        <n v="102102" u="1"/>
        <n v="108027" u="1"/>
        <n v="101850" u="1"/>
        <n v="103237" u="1"/>
        <n v="103111" u="1"/>
        <n v="108406" u="1"/>
        <n v="94161" u="1"/>
        <n v="108280" u="1"/>
        <n v="91766" u="1"/>
        <n v="103112" u="1"/>
        <n v="97692" u="1"/>
        <n v="101600" u="1"/>
        <n v="107399" u="1"/>
        <n v="103113" u="1"/>
        <n v="107147" u="1"/>
        <n v="84834" u="1"/>
        <n v="98827" u="1"/>
        <n v="92524" u="1"/>
        <n v="94289" u="1"/>
        <n v="98323" u="1"/>
        <n v="98071" u="1"/>
        <n v="102105" u="1"/>
        <n v="99962" u="1"/>
        <n v="101349" u="1"/>
        <n v="103366" u="1"/>
        <n v="105131" u="1"/>
        <n v="92525" u="1"/>
        <n v="98324" u="1"/>
        <n v="108409" u="1"/>
        <n v="93912" u="1"/>
        <n v="91769" u="1"/>
        <n v="108410" u="1"/>
        <n v="96182" u="1"/>
        <n v="94039" u="1"/>
        <n v="94040" u="1"/>
        <n v="106142" u="1"/>
        <n v="103369" u="1"/>
        <n v="95175" u="1"/>
        <n v="102361" u="1"/>
        <n v="106017" u="1"/>
        <n v="95176" u="1"/>
        <n v="101858" u="1"/>
        <n v="107783" u="1"/>
        <n v="101606" u="1"/>
        <n v="95429" u="1"/>
        <n v="104758" u="1"/>
        <n v="94169" u="1"/>
        <n v="98077" u="1"/>
        <n v="110179" u="1"/>
        <n v="101859" u="1"/>
        <n v="105137" u="1"/>
        <n v="102994" u="1"/>
        <n v="94674" u="1"/>
        <n v="106776" u="1"/>
        <n v="98582" u="1"/>
        <n v="96313" u="1"/>
        <n v="100221" u="1"/>
        <n v="98078" u="1"/>
        <n v="105138" u="1"/>
        <n v="109172" u="1"/>
        <n v="93919" u="1"/>
        <n v="105139" u="1"/>
        <n v="84843" u="1"/>
        <n v="94172" u="1"/>
        <n v="104131" u="1"/>
        <n v="105140" u="1"/>
        <n v="96694" u="1"/>
        <n v="108670" u="1"/>
        <n v="94173" u="1"/>
        <n v="100098" u="1"/>
        <n v="93921" u="1"/>
        <n v="99846" u="1"/>
        <n v="101611" u="1"/>
        <n v="103376" u="1"/>
        <n v="94678" u="1"/>
        <n v="108671" u="1"/>
        <n v="108293" u="1"/>
        <n v="100099" u="1"/>
        <n v="102116" u="1"/>
        <n v="93922" u="1"/>
        <n v="106024" u="1"/>
        <n v="92788" u="1"/>
        <n v="94679" u="1"/>
        <n v="104764" u="1"/>
        <n v="108294" u="1"/>
        <n v="104134" u="1"/>
        <n v="99974" u="1"/>
        <n v="106025" u="1"/>
        <n v="91780" u="1"/>
        <n v="109933" u="1"/>
        <n v="107664" u="1"/>
        <n v="109681" u="1"/>
        <n v="105143" u="1"/>
        <n v="92789" u="1"/>
        <n v="94680" u="1"/>
        <n v="108295" u="1"/>
        <n v="99975" u="1"/>
        <n v="109934" u="1"/>
        <n v="109682" u="1"/>
        <n v="93294" u="1"/>
        <n v="103127" u="1"/>
        <n v="109052" u="1"/>
        <n v="92790" u="1"/>
        <n v="94681" u="1"/>
        <n v="106279" u="1"/>
        <n v="99976" u="1"/>
        <n v="109935" u="1"/>
        <n v="109683" u="1"/>
        <n v="107414" u="1"/>
        <n v="100985" u="1"/>
        <n v="92791" u="1"/>
        <n v="104263" u="1"/>
        <n v="106280" u="1"/>
        <n v="109684" u="1"/>
        <n v="95439" u="1"/>
        <n v="71109" u="1"/>
        <n v="100986" u="1"/>
        <n v="92792" u="1"/>
        <n v="96700" u="1"/>
        <n v="96448" u="1"/>
        <n v="104264" u="1"/>
        <n v="106281" u="1"/>
        <n v="108298" u="1"/>
        <n v="103634" u="1"/>
        <n v="71110" u="1"/>
        <n v="105399" u="1"/>
        <n v="94936" u="1"/>
        <n v="92793" u="1"/>
        <n v="106786" u="1"/>
        <n v="92541" u="1"/>
        <n v="108299" u="1"/>
        <n v="97710" u="1"/>
        <n v="93424" u="1"/>
        <n v="71111" u="1"/>
        <n v="105400" u="1"/>
        <n v="92794" u="1"/>
        <n v="104896" u="1"/>
        <n v="90525" u="1"/>
        <n v="92542" u="1"/>
        <n v="92290" u="1"/>
        <n v="108300" u="1"/>
        <n v="98089" u="1"/>
        <n v="102123" u="1"/>
        <n v="101745" u="1"/>
        <n v="85357" u="1"/>
        <n v="93425" u="1"/>
        <n v="99476" u="1"/>
        <n v="71112" u="1"/>
        <n v="107418" u="1"/>
        <n v="95064" u="1"/>
        <n v="109057" u="1"/>
        <n v="104897" u="1"/>
        <n v="92543" u="1"/>
        <n v="98090" u="1"/>
        <n v="102124" u="1"/>
        <n v="93930" u="1"/>
        <n v="104015" u="1"/>
        <n v="105402" u="1"/>
        <n v="97208" u="1"/>
        <n v="101242" u="1"/>
        <n v="95065" u="1"/>
        <n v="92922" u="1"/>
        <n v="106789" u="1"/>
        <n v="96452" u="1"/>
        <n v="106285" u="1"/>
        <n v="98091" u="1"/>
        <n v="102125" u="1"/>
        <n v="93931" u="1"/>
        <n v="91788" u="1"/>
        <n v="93301" u="1"/>
        <n v="95066" u="1"/>
        <n v="92797" u="1"/>
        <n v="106286" u="1"/>
        <n v="108303" u="1"/>
        <n v="102126" u="1"/>
        <n v="91789" u="1"/>
        <n v="103639" u="1"/>
        <n v="95445" u="1"/>
        <n v="92798" u="1"/>
        <n v="92546" u="1"/>
        <n v="102379" u="1"/>
        <n v="91790" u="1"/>
        <n v="103640" u="1"/>
        <n v="99480" u="1"/>
        <n v="99228" u="1"/>
        <n v="109313" u="1"/>
        <n v="103010" u="1"/>
        <n v="92799" u="1"/>
        <n v="92295" u="1"/>
        <n v="98346" u="1"/>
        <n v="91791" u="1"/>
        <n v="93556" u="1"/>
        <n v="103641" u="1"/>
        <n v="95447" u="1"/>
        <n v="90909" u="1"/>
        <n v="94943" u="1"/>
        <n v="104272" u="1"/>
        <n v="91792" u="1"/>
        <n v="95826" u="1"/>
        <n v="103642" u="1"/>
        <n v="93053" u="1"/>
        <n v="88515" u="1"/>
        <n v="102634" u="1"/>
        <n v="91793" u="1"/>
        <n v="101752" u="1"/>
        <n v="101626" u="1"/>
        <n v="93432" u="1"/>
        <n v="99231" u="1"/>
        <n v="103013" u="1"/>
        <n v="110703" u="1"/>
        <n v="94189" u="1"/>
        <n v="96206" u="1"/>
        <n v="106291" u="1"/>
        <n v="91794" u="1"/>
        <n v="95828" u="1"/>
        <n v="99862" u="1"/>
        <n v="101879" u="1"/>
        <n v="97341" u="1"/>
        <n v="99232" u="1"/>
        <n v="90030" u="1"/>
        <n v="98098" u="1"/>
        <n v="91795" u="1"/>
        <n v="99863" u="1"/>
        <n v="101880" u="1"/>
        <n v="107805" u="1"/>
        <n v="109696" u="1"/>
        <n v="95451" u="1"/>
        <n v="97342" u="1"/>
        <n v="109066" u="1"/>
        <n v="92804" u="1"/>
        <n v="92300" u="1"/>
        <n v="107806" u="1"/>
        <n v="97343" u="1"/>
        <n v="105411" u="1"/>
        <n v="102638" u="1"/>
        <n v="95453" u="1"/>
        <n v="97344" u="1"/>
        <n v="94949" u="1"/>
        <n v="88772" u="1"/>
        <n v="102639" u="1"/>
        <n v="108312" u="1"/>
        <n v="102135" u="1"/>
        <n v="108060" u="1"/>
        <n v="99866" u="1"/>
        <n v="93563" u="1"/>
        <n v="97345" u="1"/>
        <n v="108565" u="1"/>
        <n v="108061" u="1"/>
        <n v="93564" u="1"/>
        <n v="101632" u="1"/>
        <n v="99489" u="1"/>
        <n v="96464" u="1"/>
        <n v="108566" u="1"/>
        <n v="108062" u="1"/>
        <n v="91548" u="1"/>
        <n v="105415" u="1"/>
        <n v="106802" u="1"/>
        <n v="106298" u="1"/>
        <n v="108063" u="1"/>
        <n v="94953" u="1"/>
        <n v="98861" u="1"/>
        <n v="96466" u="1"/>
        <n v="106551" u="1"/>
        <n v="102391" u="1"/>
        <n v="94197" u="1"/>
        <n v="96214" u="1"/>
        <n v="108064" u="1"/>
        <n v="101761" u="1"/>
        <n v="93567" u="1"/>
        <n v="96467" u="1"/>
        <n v="94198" u="1"/>
        <n v="106300" u="1"/>
        <n v="99997" u="1"/>
        <n v="103905" u="1"/>
        <n v="105670" u="1"/>
        <n v="93442" u="1"/>
        <n v="109326" u="1"/>
        <n v="96972" u="1"/>
        <n v="101006" u="1"/>
        <n v="108696" u="1"/>
        <n v="96468" u="1"/>
        <n v="98359" u="1"/>
        <n v="100124" u="1"/>
        <n v="103906" u="1"/>
        <n v="107436" u="1"/>
        <n v="96973" u="1"/>
        <n v="101007" u="1"/>
        <n v="108697" u="1"/>
        <n v="96469" u="1"/>
        <n v="98360" u="1"/>
        <n v="103907" u="1"/>
        <n v="89536" u="1"/>
        <n v="96974" u="1"/>
        <n v="108698" u="1"/>
        <n v="96470" u="1"/>
        <n v="98361" u="1"/>
        <n v="97731" u="1"/>
        <n v="105673" u="1"/>
        <n v="98866" u="1"/>
        <n v="100127" u="1"/>
        <n v="106052" u="1"/>
        <n v="91555" u="1"/>
        <n v="93572" u="1"/>
        <n v="101388" u="1"/>
        <n v="107439" u="1"/>
        <n v="98867" u="1"/>
        <n v="100128" u="1"/>
        <n v="106053" u="1"/>
        <n v="95464" u="1"/>
        <n v="107440" u="1"/>
        <n v="106054" u="1"/>
        <n v="99247" u="1"/>
        <n v="108576" u="1"/>
        <n v="106055" u="1"/>
        <n v="105173" u="1"/>
        <n v="96979" u="1"/>
        <n v="96727" u="1"/>
        <n v="94584" u="1"/>
        <n v="98618" u="1"/>
        <n v="108577" u="1"/>
        <n v="102022" u="1"/>
        <n v="106056" u="1"/>
        <n v="93576" u="1"/>
        <n v="99501" u="1"/>
        <n v="109586" u="1"/>
        <n v="93324" u="1"/>
        <n v="97232" u="1"/>
        <n v="104922" u="1"/>
        <n v="98619" u="1"/>
        <n v="96981" u="1"/>
        <n v="109083" u="1"/>
        <n v="104923" u="1"/>
        <n v="102402" u="1"/>
        <n v="94082" u="1"/>
        <n v="93956" u="1"/>
        <n v="103789" u="1"/>
        <n v="97234" u="1"/>
        <n v="94839" u="1"/>
        <n v="106815" u="1"/>
        <n v="102025" u="1"/>
        <n v="106059" u="1"/>
        <n v="95722" u="1"/>
        <n v="103790" u="1"/>
        <n v="89293" u="1"/>
        <n v="101395" u="1"/>
        <n v="107446" u="1"/>
        <n v="96983" u="1"/>
        <n v="86772" u="1"/>
        <n v="94840" u="1"/>
        <n v="98748" u="1"/>
        <n v="102656" u="1"/>
        <n v="94210" u="1"/>
        <n v="100261" u="1"/>
        <n v="108077" u="1"/>
        <n v="101900" u="1"/>
        <n v="109716" u="1"/>
        <n v="99253" u="1"/>
        <n v="105052" u="1"/>
        <n v="109086" u="1"/>
        <n v="86773" u="1"/>
        <n v="96732" u="1"/>
        <n v="106691" u="1"/>
        <n v="94211" u="1"/>
        <n v="108078" u="1"/>
        <n v="99884" u="1"/>
        <n v="97741" u="1"/>
        <n v="109717" u="1"/>
        <n v="107574" u="1"/>
        <n v="96985" u="1"/>
        <n v="100767" u="1"/>
        <n v="108079" u="1"/>
        <n v="109718" u="1"/>
        <n v="86775" u="1"/>
        <n v="98877" u="1"/>
        <n v="100768" u="1"/>
        <n v="108584" u="1"/>
        <n v="97995" u="1"/>
        <n v="109719" u="1"/>
        <n v="97365" u="1"/>
        <n v="99256" u="1"/>
        <n v="100769" u="1"/>
        <n v="106694" u="1"/>
        <n v="108585" u="1"/>
        <n v="109720" u="1"/>
        <n v="109342" u="1"/>
        <n v="98879" u="1"/>
        <n v="100770" u="1"/>
        <n v="96484" u="1"/>
        <n v="85895" u="1"/>
        <n v="101653" u="1"/>
        <n v="107452" u="1"/>
        <n v="109343" u="1"/>
        <n v="98880" u="1"/>
        <n v="91065" u="1"/>
        <n v="98881" u="1"/>
        <n v="100772" u="1"/>
        <n v="101655" u="1"/>
        <n v="91066" u="1"/>
        <n v="86654" u="1"/>
        <n v="106572" u="1"/>
        <n v="108589" u="1"/>
        <n v="102412" u="1"/>
        <n v="99765" u="1"/>
        <n v="107455" u="1"/>
        <n v="109346" u="1"/>
        <n v="102413" u="1"/>
        <n v="101909" u="1"/>
        <n v="97749" u="1"/>
        <n v="109347" u="1"/>
        <n v="102414" u="1"/>
        <n v="106070" u="1"/>
        <n v="89808" u="1"/>
        <n v="103927" u="1"/>
        <n v="95229" u="1"/>
        <n v="107079" u="1"/>
        <n v="94599" u="1"/>
        <n v="102415" u="1"/>
        <n v="104306" u="1"/>
        <n v="93969" u="1"/>
        <n v="108088" u="1"/>
        <n v="105693" u="1"/>
        <n v="95482" u="1"/>
        <n v="107584" u="1"/>
        <n v="95230" u="1"/>
        <n v="109349" u="1"/>
        <n v="104937" u="1"/>
        <n v="106576" u="1"/>
        <n v="102038" u="1"/>
        <n v="107585" u="1"/>
        <n v="99265" u="1"/>
        <n v="94601" u="1"/>
        <n v="106577" u="1"/>
        <n v="91450" u="1"/>
        <n v="107586" u="1"/>
        <n v="102670" u="1"/>
        <n v="92333" u="1"/>
        <n v="100149" u="1"/>
        <n v="107587" u="1"/>
        <n v="94603" u="1"/>
        <n v="102671" u="1"/>
        <n v="100024" u="1"/>
        <n v="97755" u="1"/>
        <n v="109731" u="1"/>
        <n v="93469" u="1"/>
        <n v="107588" u="1"/>
        <n v="105445" u="1"/>
        <n v="105193" u="1"/>
        <n v="94604" u="1"/>
        <n v="110740" u="1"/>
        <n v="102546" u="1"/>
        <n v="100025" u="1"/>
        <n v="102042" u="1"/>
        <n v="94605" u="1"/>
        <n v="98639" u="1"/>
        <n v="102673" u="1"/>
        <n v="110741" u="1"/>
        <n v="104186" u="1"/>
        <n v="97757" u="1"/>
        <n v="94606" u="1"/>
        <n v="110742" u="1"/>
        <n v="108599" u="1"/>
        <n v="108347" u="1"/>
        <n v="102170" u="1"/>
        <n v="93598" u="1"/>
        <n v="101414" u="1"/>
        <n v="105448" u="1"/>
        <n v="94607" u="1"/>
        <n v="110743" u="1"/>
        <n v="102423" u="1"/>
        <n v="98137" u="1"/>
        <n v="91708" u="1"/>
        <n v="105449" u="1"/>
        <n v="95238" u="1"/>
        <n v="109357" u="1"/>
        <n v="105197" u="1"/>
        <n v="107088" u="1"/>
        <n v="102424" u="1"/>
        <n v="110114" u="1"/>
        <n v="97382" u="1"/>
        <n v="105450" u="1"/>
        <n v="95239" u="1"/>
        <n v="92970" u="1"/>
        <n v="107089" u="1"/>
        <n v="102551" u="1"/>
        <n v="92340" u="1"/>
        <n v="107594" u="1"/>
        <n v="107468" u="1"/>
        <n v="95240" u="1"/>
        <n v="99274" u="1"/>
        <n v="92593" u="1"/>
        <n v="100283" u="1"/>
        <n v="108099" u="1"/>
        <n v="93476" u="1"/>
        <n v="92972" u="1"/>
        <n v="92594" u="1"/>
        <n v="102679" u="1"/>
        <n v="100284" u="1"/>
        <n v="96124" u="1"/>
        <n v="93981" u="1"/>
        <n v="89821" u="1"/>
        <n v="93603" u="1"/>
        <n v="105705" u="1"/>
        <n v="103436" u="1"/>
        <n v="107470" u="1"/>
        <n v="92595" u="1"/>
        <n v="89822" u="1"/>
        <n v="93604" u="1"/>
        <n v="93478" u="1"/>
        <n v="105454" u="1"/>
        <n v="104950" u="1"/>
        <n v="104698" u="1"/>
        <n v="92344" u="1"/>
        <n v="94235" u="1"/>
        <n v="89823" u="1"/>
        <n v="99530" u="1"/>
        <n v="107598" u="1"/>
        <n v="111002" u="1"/>
        <n v="106716" u="1"/>
        <n v="110750" u="1"/>
        <n v="104195" u="1"/>
        <n v="89824" u="1"/>
        <n v="97766" u="1"/>
        <n v="107599" u="1"/>
        <n v="109616" u="1"/>
        <n v="92976" u="1"/>
        <n v="103061" u="1"/>
        <n v="94615" u="1"/>
        <n v="104700" u="1"/>
        <n v="110751" u="1"/>
        <n v="92472" u="1"/>
        <n v="104196" u="1"/>
        <n v="108104" u="1"/>
        <n v="89825" u="1"/>
        <n v="105583" u="1"/>
        <n v="109617" u="1"/>
        <n v="108609" u="1"/>
        <n v="102432" u="1"/>
        <n v="104197" u="1"/>
        <n v="89826" u="1"/>
        <n v="109618" u="1"/>
        <n v="101424" u="1"/>
        <n v="96886" u="1"/>
        <n v="94617" u="1"/>
        <n v="102433" u="1"/>
        <n v="98273" u="1"/>
        <n v="104198" u="1"/>
        <n v="101425" u="1"/>
        <n v="105459" u="1"/>
        <n v="93231" u="1"/>
        <n v="103064" u="1"/>
        <n v="100795" u="1"/>
        <n v="86550" u="1"/>
        <n v="94618" u="1"/>
        <n v="110754" u="1"/>
        <n v="108611" u="1"/>
        <n v="108233" u="1"/>
        <n v="91971" u="1"/>
        <n v="102056" u="1"/>
        <n v="101804" u="1"/>
        <n v="107729" u="1"/>
        <n v="96888" u="1"/>
        <n v="86551" u="1"/>
        <n v="108612" u="1"/>
        <n v="102057" u="1"/>
        <n v="97771" u="1"/>
        <n v="99662" u="1"/>
        <n v="93485" u="1"/>
        <n v="95502" u="1"/>
        <n v="105461" u="1"/>
        <n v="96889" u="1"/>
        <n v="102058" u="1"/>
        <n v="101932" u="1"/>
        <n v="99411" u="1"/>
        <n v="103319" u="1"/>
        <n v="92982" u="1"/>
        <n v="94873" u="1"/>
        <n v="96890" u="1"/>
        <n v="106345" u="1"/>
        <n v="108362" u="1"/>
        <n v="107606" u="1"/>
        <n v="93235" u="1"/>
        <n v="103320" u="1"/>
        <n v="96891" u="1"/>
        <n v="106850" u="1"/>
        <n v="104707" u="1"/>
        <n v="108615" u="1"/>
        <n v="106346" u="1"/>
        <n v="104203" u="1"/>
        <n v="93488" u="1"/>
        <n v="103321" u="1"/>
        <n v="82899" u="1"/>
        <n v="103069" u="1"/>
        <n v="96892" u="1"/>
        <n v="104960" u="1"/>
        <n v="90589" u="1"/>
        <n v="94623" u="1"/>
        <n v="106725" u="1"/>
        <n v="105969" u="1"/>
        <n v="103826" u="1"/>
        <n v="96893" u="1"/>
        <n v="104961" u="1"/>
        <n v="106852" u="1"/>
        <n v="106726" u="1"/>
        <n v="93868" u="1"/>
        <n v="97776" u="1"/>
        <n v="109626" u="1"/>
        <n v="96894" u="1"/>
        <n v="100928" u="1"/>
        <n v="104962" u="1"/>
        <n v="106853" u="1"/>
        <n v="94625" u="1"/>
        <n v="106727" u="1"/>
        <n v="98533" u="1"/>
        <n v="92356" u="1"/>
        <n v="88953" u="1"/>
        <n v="94878" u="1"/>
        <n v="100929" u="1"/>
        <n v="104963" u="1"/>
        <n v="111014" u="1"/>
        <n v="104711" u="1"/>
        <n v="98534" u="1"/>
        <n v="106476" u="1"/>
        <n v="105720" u="1"/>
        <n v="105216" u="1"/>
        <n v="88954" u="1"/>
        <n v="100930" u="1"/>
        <n v="104964" u="1"/>
        <n v="94627" u="1"/>
        <n v="102695" u="1"/>
        <n v="104712" u="1"/>
        <n v="89963" u="1"/>
        <n v="103704" u="1"/>
        <n v="107486" u="1"/>
        <n v="107108" u="1"/>
        <n v="104965" u="1"/>
        <n v="92485" u="1"/>
        <n v="108243" u="1"/>
        <n v="89964" u="1"/>
        <n v="95763" u="1"/>
        <n v="99419" u="1"/>
        <n v="101436" u="1"/>
        <n v="93242" u="1"/>
        <n v="107109" u="1"/>
        <n v="94629" u="1"/>
        <n v="108244" u="1"/>
        <n v="95764" u="1"/>
        <n v="103706" u="1"/>
        <n v="101563" u="1"/>
        <n v="105471" u="1"/>
        <n v="93243" u="1"/>
        <n v="107110" u="1"/>
        <n v="111018" u="1"/>
        <n v="98790" u="1"/>
        <n v="100555" u="1"/>
        <n v="93874" u="1"/>
        <n v="95765" u="1"/>
        <n v="97656" u="1"/>
        <n v="99547" u="1"/>
        <n v="105598" u="1"/>
        <n v="107111" u="1"/>
        <n v="98665" u="1"/>
        <n v="96522" u="1"/>
        <n v="88202" u="1"/>
        <n v="96144" u="1"/>
        <n v="106229" u="1"/>
        <n v="93875" u="1"/>
        <n v="95766" u="1"/>
        <n v="96523" u="1"/>
        <n v="100305" u="1"/>
        <n v="95767" u="1"/>
        <n v="93246" u="1"/>
        <n v="94885" u="1"/>
        <n v="102701" u="1"/>
        <n v="104718" u="1"/>
        <n v="108374" u="1"/>
        <n v="96146" u="1"/>
        <n v="100054" u="1"/>
        <n v="93877" u="1"/>
        <n v="95768" u="1"/>
        <n v="99550" u="1"/>
        <n v="101567" u="1"/>
        <n v="93247" u="1"/>
        <n v="97281" u="1"/>
        <n v="86944" u="1"/>
        <n v="103080" u="1"/>
        <n v="102702" u="1"/>
        <n v="96525" u="1"/>
        <n v="96399" u="1"/>
        <n v="102450" u="1"/>
        <n v="108501" u="1"/>
        <n v="108375" u="1"/>
        <n v="108249" u="1"/>
        <n v="94004" u="1"/>
        <n v="93878" u="1"/>
        <n v="95769" u="1"/>
        <n v="101568" u="1"/>
        <n v="109636" u="1"/>
        <n v="103081" u="1"/>
        <n v="108754" u="1"/>
        <n v="96148" u="1"/>
        <n v="100056" u="1"/>
        <n v="93879" u="1"/>
        <n v="95770" u="1"/>
        <n v="99552" u="1"/>
        <n v="109511" u="1"/>
        <n v="103082" u="1"/>
        <n v="90224" u="1"/>
        <n v="100309" u="1"/>
        <n v="90098" u="1"/>
        <n v="98040" u="1"/>
        <n v="95771" u="1"/>
        <n v="109890" u="1"/>
        <n v="93376" u="1"/>
        <n v="93250" u="1"/>
        <n v="92998" u="1"/>
        <n v="94889" u="1"/>
        <n v="90603" u="1"/>
        <n v="102453" u="1"/>
        <n v="90225" u="1"/>
        <n v="90099" u="1"/>
        <n v="104218" u="1"/>
        <n v="108126" u="1"/>
        <n v="95772" u="1"/>
        <n v="109891" u="1"/>
        <n v="93377" u="1"/>
        <n v="93251" u="1"/>
        <n v="92999" u="1"/>
        <n v="95016" u="1"/>
        <n v="94638" u="1"/>
        <n v="90100" u="1"/>
        <n v="101950" u="1"/>
        <n v="109892" u="1"/>
        <n v="107749" u="1"/>
        <n v="93378" u="1"/>
        <n v="109514" u="1"/>
        <n v="93000" u="1"/>
        <n v="95017" u="1"/>
        <n v="100942" u="1"/>
        <n v="88336" u="1"/>
        <n v="108380" u="1"/>
        <n v="90101" u="1"/>
        <n v="104220" u="1"/>
        <n v="100060" u="1"/>
        <n v="97791" u="1"/>
        <n v="109893" u="1"/>
        <n v="95522" u="1"/>
        <n v="109641" u="1"/>
        <n v="93253" u="1"/>
        <n v="107372" u="1"/>
        <n v="93001" u="1"/>
        <n v="92749" u="1"/>
        <n v="94640" u="1"/>
        <n v="88337" u="1"/>
        <n v="98296" u="1"/>
        <n v="90102" u="1"/>
        <n v="106238" u="1"/>
        <n v="108129" u="1"/>
        <n v="109894" u="1"/>
        <n v="93380" u="1"/>
        <n v="103339" u="1"/>
        <n v="101196" u="1"/>
        <n v="95019" u="1"/>
        <n v="108634" u="1"/>
        <n v="90103" u="1"/>
        <n v="108256" u="1"/>
        <n v="110021" u="1"/>
        <n v="95776" u="1"/>
        <n v="109895" u="1"/>
        <n v="95650" u="1"/>
        <n v="95524" u="1"/>
        <n v="105609" u="1"/>
        <n v="105483" u="1"/>
        <n v="103340" u="1"/>
        <n v="95146" u="1"/>
        <n v="104979" u="1"/>
        <n v="96155" u="1"/>
        <n v="106240" u="1"/>
        <n v="110022" u="1"/>
        <n v="95651" u="1"/>
        <n v="105610" u="1"/>
        <n v="101450" u="1"/>
        <n v="99307" u="1"/>
        <n v="94643" u="1"/>
        <n v="108636" u="1"/>
        <n v="100064" u="1"/>
        <n v="103720" u="1"/>
        <n v="105611" u="1"/>
        <n v="103342" u="1"/>
        <n v="107376" u="1"/>
        <n v="108637" u="1"/>
        <n v="109898" u="1"/>
        <n v="41263" u="1"/>
        <n v="95653" u="1"/>
        <n v="99561" u="1"/>
        <n v="104982" u="1"/>
        <n v="96662" u="1"/>
        <n v="102587" u="1"/>
        <n v="108638" u="1"/>
        <n v="109899" u="1"/>
        <n v="99562" u="1"/>
        <n v="94772" u="1"/>
        <n v="94646" u="1"/>
        <n v="108639" u="1"/>
        <n v="91999" u="1"/>
        <n v="99563" u="1"/>
        <n v="101202" u="1"/>
        <n v="98807" u="1"/>
        <n v="94647" u="1"/>
        <n v="102085" u="1"/>
        <n v="109901" u="1"/>
        <n v="99564" u="1"/>
        <n v="93261" u="1"/>
        <n v="99312" u="1"/>
        <n v="103346" u="1"/>
        <n v="94900" u="1"/>
        <n v="96917" u="1"/>
        <n v="104985" u="1"/>
        <n v="94648" u="1"/>
        <n v="98556" u="1"/>
        <n v="102590" u="1"/>
        <n v="109776" u="1"/>
        <n v="105364" u="1"/>
        <n v="94901" u="1"/>
        <n v="96918" u="1"/>
        <n v="94649" u="1"/>
        <n v="92506" u="1"/>
        <n v="92254" u="1"/>
        <n v="102339" u="1"/>
        <n v="105365" u="1"/>
        <n v="92507" u="1"/>
        <n v="102088" u="1"/>
        <n v="108013" u="1"/>
        <n v="95785" u="1"/>
        <n v="99567" u="1"/>
        <n v="87339" u="1"/>
        <n v="105366" u="1"/>
        <n v="104988" u="1"/>
        <n v="92760" u="1"/>
        <n v="92508" u="1"/>
        <n v="108518" u="1"/>
        <n v="98307" u="1"/>
        <n v="106249" u="1"/>
        <n v="105997" u="1"/>
        <n v="108014" u="1"/>
        <n v="95660" u="1"/>
        <n v="89483" u="1"/>
        <n v="87340" u="1"/>
        <n v="98056" u="1"/>
        <n v="95787" u="1"/>
        <n v="95661" u="1"/>
        <n v="103099" u="1"/>
        <n v="98813" u="1"/>
        <n v="86333" u="1"/>
        <n v="105747" u="1"/>
        <n v="105495" u="1"/>
        <n v="95158" u="1"/>
        <n v="103100" u="1"/>
        <n v="104235" u="1"/>
        <n v="102092" u="1"/>
        <n v="93898" u="1"/>
        <n v="95789" u="1"/>
        <n v="101840" u="1"/>
        <n v="103731" u="1"/>
        <n v="103101" u="1"/>
        <n v="98815" u="1"/>
        <n v="92512" u="1"/>
        <n v="106505" u="1"/>
        <n v="94151" u="1"/>
        <n v="81923" u="1"/>
        <n v="93899" u="1"/>
        <n v="101967" u="1"/>
      </sharedItems>
    </cacheField>
    <cacheField name="number" numFmtId="0">
      <sharedItems containsString="0" containsBlank="1" containsNumber="1" containsInteger="1" minValue="86706" maxValue="109900"/>
    </cacheField>
    <cacheField name="project" numFmtId="0">
      <sharedItems containsBlank="1"/>
    </cacheField>
    <cacheField name="branch" numFmtId="0">
      <sharedItems containsBlank="1"/>
    </cacheField>
    <cacheField name="ChangeId" numFmtId="0">
      <sharedItems containsBlank="1"/>
    </cacheField>
    <cacheField name="owner.emal" numFmtId="0">
      <sharedItems containsBlank="1"/>
    </cacheField>
    <cacheField name="status" numFmtId="0">
      <sharedItems containsBlank="1"/>
    </cacheField>
    <cacheField name="subject" numFmtId="0">
      <sharedItems containsBlank="1"/>
    </cacheField>
    <cacheField name="commitMessage" numFmtId="0">
      <sharedItems containsBlank="1" longText="1"/>
    </cacheField>
    <cacheField name="createdOn" numFmtId="0">
      <sharedItems containsNonDate="0" containsDate="1" containsString="0" containsBlank="1" minDate="2015-11-26T09:33:00" maxDate="2016-03-24T13:51:00"/>
    </cacheField>
    <cacheField name="MergeDate" numFmtId="0">
      <sharedItems containsNonDate="0" containsDate="1" containsString="0" containsBlank="1" minDate="2016-01-07T17:24:00" maxDate="2016-03-28T10:12:00"/>
    </cacheField>
    <cacheField name="if common" numFmtId="0">
      <sharedItems containsBlank="1"/>
    </cacheField>
    <cacheField name="reviewer" numFmtId="0">
      <sharedItems count="110">
        <s v="miguel.verdu@intel.com"/>
        <s v="arnaud.mandy@intel.com"/>
        <s v="jukka.o.kaartinen@intel.com"/>
        <s v="renwei.wu@intel.com"/>
        <s v="per.persson@intel.com"/>
        <s v="juha.alanen@intel.com"/>
        <s v="ukri.niemimuukko@intel.com"/>
        <s v="huitao.cao@intel.com"/>
        <s v="john.mathew@intel.com"/>
        <s v="weix.meng@intel.com"/>
        <s v="dongdong.zhang@intel.com"/>
        <s v="kaisa.taipale@intel.com"/>
        <s v="lassi.i.vaatamoinen@intel.com"/>
        <s v="gang.a.hu@intel.com"/>
        <s v="wei.tao@intel.com"/>
        <s v="hongjiang.a.zheng@intel.com"/>
        <s v="jingzhi.yu@intel.com"/>
        <s v="jarno.jakonen@intel.com"/>
        <s v="anttu.koski@intel.com"/>
        <s v="xuesong.shi@intel.com"/>
        <s v="john.fredriksson@intel.com"/>
        <s v="saija.sorsa@intel.com"/>
        <s v="xuezhen.zhu@intel.com"/>
        <s v="yanyan.li@intel.com"/>
        <s v="haipingx.yang@intel.com"/>
        <s v="hongyu.yi@intel.com"/>
        <s v="fan.f.yang@intel.com"/>
        <s v="huanan.guo@intel.com"/>
        <s v="weix.shen@intel.com"/>
        <s v="kalervo.kontola@intel.com"/>
        <s v="mikael.persson@intel.com"/>
        <s v="vns.murthy.sristi@intel.com"/>
        <s v="sambathkumarx.chandrasekaran@intel.com"/>
        <s v="jie.j.zhang@intel.com"/>
        <s v="fan79.zhang@intel.com"/>
        <s v="yao.cheng@intel.com"/>
        <s v="leifu.zhao@intel.com"/>
        <s v="kun.jiang@intel.com"/>
        <s v="dong.yang@intel.com"/>
        <s v="linx.na@intel.com"/>
        <s v="wei.w.sun@intel.com"/>
        <s v="qingwu.zhang@intel.com"/>
        <s v="hongfu.ruan@intel.com"/>
        <s v="tommi.franttila@intel.com"/>
        <s v="haiyang.zhu@intel.com" u="1"/>
        <s v="matias.lehtinen@intel.com" u="1"/>
        <s v="zaikuo.wang@intel.com" u="1"/>
        <s v="niklas.a.simons@intel.com" u="1"/>
        <s v="xiaozhou.liu@intel.com" u="1"/>
        <s v="xiaogang.zhai@intel.com" u="1"/>
        <s v="bin.b.yang@intel.com" u="1"/>
        <s v="xi.cao@intel.com" u="1"/>
        <s v="antti.laakso@intel.com" u="1"/>
        <s v="jouni.hogander@intel.com" u="1"/>
        <s v="sungeun.kim@intel.com" u="1"/>
        <s v="sakari.ailus@intel.com" u="1"/>
        <s v="shuguang.gong@intel.com" u="1"/>
        <s v="daxing.li@intel.com" u="1"/>
        <s v="gandhimathi.anand@intel.com" u="1"/>
        <s v="pradeep.sakhamoori@intel.com" u="1"/>
        <s v="henry.tang@intel.com" u="1"/>
        <s v="juha.haapakorpi@intel.com" u="1"/>
        <s v="mingda.xu@intel.com" u="1"/>
        <s v="bingbu.cao@intel.com" u="1"/>
        <s v="changyeon.jo@intel.com" u="1"/>
        <s v="kriti.pachhandara@intel.com" u="1"/>
        <s v="qing.xu@intel.com" u="1"/>
        <s v="kamalanathan.ramamoorthy@intel.com" u="1"/>
        <s v="jian.feng.qin@intel.com" u="1"/>
        <s v="jian.xu.zheng@intel.com" u="1"/>
        <s v="fang.c.wang@intel.com" u="1"/>
        <s v="peter.van.der.meer@intel.com" u="1"/>
        <s v="b.binusha@intel.com" u="1"/>
        <s v="samuel.lehtonen@intel.com" u="1"/>
        <s v="manoj.dawarwadikar@intel.com" u="1"/>
        <s v="samu.onkalo@intel.com" u="1"/>
        <s v="yunliang.ding@intel.com" u="1"/>
        <s v="jose.r.sapiens@intel.com" u="1"/>
        <s v="tuukka.toivonen@intel.com" u="1"/>
        <s v="xia.wu@intel.com" u="1"/>
        <s v="shouyongx.xia@intel.com" u="1"/>
        <s v="ricardo.lopez.esparza@intel.com" u="1"/>
        <s v="hyunback.kim@intel.com" u="1"/>
        <s v="janne.kotka@intel.com" u="1"/>
        <s v="harish.essaky.sankaran@intel.com" u="1"/>
        <s v="jouni.ukkonen@intel.com" u="1"/>
        <s v="jing.tao@intel.com" u="1"/>
        <s v="yunying.sun@intel.com" u="1"/>
        <s v="zongx.li@intel.com" u="1"/>
        <s v="pingli.wang@intel.com" u="1"/>
        <s v="jinjingx.li@intel.com" u="1"/>
        <s v="xingjiangx.lu@intel.com" u="1"/>
        <s v="lingnan.li@intel.com" u="1"/>
        <s v="teemu.tuominen@intel.com" u="1"/>
        <s v="gerben.essink@intel.com" u="1"/>
        <s v="vinod.govindapillai@intel.com" u="1"/>
        <s v="bin.b.han@intel.com" u="1"/>
        <s v="tian.shu.qiu@intel.com" u="1"/>
        <s v="liang.l.yang@intel.com" u="1"/>
        <s v="cesar.de.la.mora.alvarez@intel.com" u="1"/>
        <s v="icgvert@intel.com" u="1"/>
        <s v="kai.vehmanen@intel.com" u="1"/>
        <s v="jim.lai@intel.com" u="1"/>
        <s v="markku.mettala@intel.com" u="1"/>
        <s v="tony.chung@intel.com" u="1"/>
        <s v="mika.andersson@intel.com" u="1"/>
        <s v="shuang.xu@intel.com" u="1"/>
        <s v="matti.j.aaltonen@intel.com" u="1"/>
        <s v="mattias.eriksson@intel.com" u="1"/>
        <s v="yunchu.lee@intel.com" u="1"/>
      </sharedItems>
    </cacheField>
    <cacheField name="review-time" numFmtId="22">
      <sharedItems containsSemiMixedTypes="0" containsNonDate="0" containsDate="1" containsString="0" minDate="2015-11-26T09:33:00" maxDate="2016-03-31T19:32:00"/>
    </cacheField>
    <cacheField name="comments" numFmtId="0">
      <sharedItems longText="1"/>
    </cacheField>
    <cacheField name="inline_comments" numFmtId="0">
      <sharedItems containsBlank="1" longText="1"/>
    </cacheField>
    <cacheField name="all_reviewer" numFmtId="0">
      <sharedItems containsBlank="1" longText="1"/>
    </cacheField>
    <cacheField name="tmp-owner.email" numFmtId="0">
      <sharedItems/>
    </cacheField>
    <cacheField name="AuthorGroup" numFmtId="0">
      <sharedItems count="8">
        <s v="FL And dev"/>
        <s v="not ICG SWFW"/>
        <s v="SH And dev"/>
        <s v="BJ And dev"/>
        <s v="Val"/>
        <s v="pva" u="1"/>
        <s v="other" u="1"/>
        <s v="FW" u="1"/>
      </sharedItems>
    </cacheField>
    <cacheField name="ReviewerGroup" numFmtId="0">
      <sharedItems count="10">
        <s v="author"/>
        <s v="FL And dev"/>
        <s v="SH And dev"/>
        <s v="not ICG SWFW"/>
        <s v="BJ And dev"/>
        <s v="Val"/>
        <s v="FW"/>
        <s v="pva" u="1"/>
        <s v="other" u="1"/>
        <s v="win dev" u="1"/>
      </sharedItems>
    </cacheField>
    <cacheField name="MergeWW" numFmtId="0">
      <sharedItems/>
    </cacheField>
    <cacheField name="MergeMonth" numFmtId="0">
      <sharedItems count="4">
        <s v="16'm3"/>
        <s v="16'm2"/>
        <s v="16'm1"/>
        <s v="15'm2" u="1"/>
      </sharedItems>
    </cacheField>
    <cacheField name="BJFISH -1 num" numFmtId="0">
      <sharedItems containsMixedTypes="1" containsNumber="1" containsInteger="1" minValue="0" maxValue="6"/>
    </cacheField>
    <cacheField name="BJ -1 num" numFmtId="0">
      <sharedItems containsMixedTypes="1" containsNumber="1" containsInteger="1" minValue="0" maxValue="2"/>
    </cacheField>
    <cacheField name="FI -1 num" numFmtId="0">
      <sharedItems containsMixedTypes="1" containsNumber="1" containsInteger="1" minValue="0" maxValue="5"/>
    </cacheField>
    <cacheField name="SH -1 num" numFmtId="0">
      <sharedItems containsMixedTypes="1" containsNumber="1" containsInteger="1" minValue="0" maxValue="2"/>
    </cacheField>
    <cacheField name="BJ review num" numFmtId="0">
      <sharedItems containsMixedTypes="1" containsNumber="1" containsInteger="1" minValue="0" maxValue="12"/>
    </cacheField>
    <cacheField name="FI review num" numFmtId="0">
      <sharedItems containsMixedTypes="1" containsNumber="1" containsInteger="1" minValue="0" maxValue="22"/>
    </cacheField>
    <cacheField name="SH review num" numFmtId="0">
      <sharedItems containsMixedTypes="1" containsNumber="1" containsInteger="1" minValue="0" maxValue="16"/>
    </cacheField>
    <cacheField name="Review-1" numFmtId="0">
      <sharedItems count="2">
        <s v=""/>
        <s v="Review-1"/>
      </sharedItems>
    </cacheField>
    <cacheField name="Integrator" numFmtId="0">
      <sharedItems count="3">
        <s v=""/>
        <s v="IntegratorValidationComment"/>
        <s v="IntegratorComment" u="1"/>
      </sharedItems>
    </cacheField>
    <cacheField name="status2" numFmtId="0">
      <sharedItems containsMixedTypes="1" containsNumber="1" containsInteger="1" minValue="0" maxValue="0" count="2">
        <s v="common"/>
        <n v="0"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92">
  <r>
    <x v="0"/>
    <n v="109390"/>
    <s v="vied-viedandr-camera3hal"/>
    <s v="platform/android/main"/>
    <s v="I0dcf56b938461f00238c837b21b2ffa2c098dea4"/>
    <s v="miguel.verdu@intel.com"/>
    <s v="MERGED"/>
    <s v="c3: move dependency to libyuv to correct PSL"/>
    <s v="c3: move dependency to libyuv to correct PSL\n\nA recent patch had added a dependency to libyuv\nto all the PSL's. Currently only CIF PSL is using it.\nSo this should be moved there.\n\nChange-Id: I0dcf56b938461f00238c837b21b2ffa2c098dea4\nTracked-On: #R513546\nSigned-off-by: Miguel Verdu &lt;miguel.verdu@intel.com&gt;\nReviewed-on: https://icggerrit.ir.intel.com/109390\nReviewed-by: Arnaud Mandy &lt;arnaud.mandy@intel.com&gt;\nReviewed-by: Jukka O Kaartinen &lt;jukka.o.kaartinen@intel.com&gt;\nReviewed-by: Renwei Wu &lt;renwei.wu@intel.com&gt;\nReviewed-by: Per Persson &lt;per.persson@intel.com&gt;\nReviewed-by: Juha Alanen &lt;juha.alanen@intel.com&gt;\nReviewed-by: Ukri Niemimuukko &lt;ukri.niemimuukko@intel.com&gt;\nReviewed-by: Huitao Cao &lt;huitao.cao@intel.com&gt;\nApprover: Jukka O Kaartinen &lt;jukka.o.kaartinen@intel.com&gt;\nBuild: Dessert M SOFIA (SC)\nBuild: Dessert M BXT RVP (SC)\nBuild: Dessert M BTNS (SC)\nBuild: Dessert M CHT FFD (SC)\nIntegrator: WeiX Meng &lt;weix.meng@intel.com&gt;\n"/>
    <d v="2016-03-22T20:06:00"/>
    <d v="2016-03-24T16:35:00"/>
    <s v="common"/>
    <x v="0"/>
    <d v="2016-03-22T20:06:00"/>
    <s v="Patch Set 1:\n\nPatchset Created: CI job has been scheduled."/>
    <m/>
    <s v="dongdong.zhang@intel.com;weix.meng@intel.com;john.mathew@intel.com;huitao.cao@intel.com;ukri.niemimuukko@intel.com;juha.alanen@intel.com;per.persson@intel.com;renwei.wu@intel.com;jukka.o.kaartinen@intel.com;arnaud.mandy@intel.com;"/>
    <s v="miguel.verdu@intel.com"/>
    <x v="0"/>
    <x v="0"/>
    <s v="16'ww13"/>
    <x v="0"/>
    <n v="0"/>
    <n v="0"/>
    <n v="0"/>
    <n v="0"/>
    <n v="1"/>
    <n v="10"/>
    <n v="1"/>
    <x v="0"/>
    <x v="0"/>
    <x v="0"/>
  </r>
  <r>
    <x v="0"/>
    <m/>
    <m/>
    <m/>
    <m/>
    <m/>
    <m/>
    <m/>
    <m/>
    <m/>
    <m/>
    <m/>
    <x v="0"/>
    <d v="2016-03-22T20:06:00"/>
    <s v="Uploaded patch set 1."/>
    <m/>
    <m/>
    <s v="miguel.verdu@intel.com"/>
    <x v="0"/>
    <x v="0"/>
    <s v=""/>
    <x v="0"/>
    <s v=""/>
    <s v=""/>
    <s v=""/>
    <s v=""/>
    <s v=""/>
    <s v=""/>
    <s v=""/>
    <x v="0"/>
    <x v="0"/>
    <x v="0"/>
  </r>
  <r>
    <x v="0"/>
    <m/>
    <m/>
    <m/>
    <m/>
    <m/>
    <m/>
    <m/>
    <m/>
    <m/>
    <m/>
    <m/>
    <x v="1"/>
    <d v="2016-03-22T20:07:00"/>
    <s v="Patch Set 1: Code-Review+1"/>
    <m/>
    <m/>
    <s v="miguel.verdu@intel.com"/>
    <x v="0"/>
    <x v="1"/>
    <s v=""/>
    <x v="0"/>
    <s v=""/>
    <s v=""/>
    <s v=""/>
    <s v=""/>
    <s v=""/>
    <s v=""/>
    <s v=""/>
    <x v="0"/>
    <x v="0"/>
    <x v="0"/>
  </r>
  <r>
    <x v="0"/>
    <m/>
    <m/>
    <m/>
    <m/>
    <m/>
    <m/>
    <m/>
    <m/>
    <m/>
    <m/>
    <m/>
    <x v="2"/>
    <d v="2016-03-22T20:09:00"/>
    <s v="Patch Set 1: Code-Review+1"/>
    <m/>
    <m/>
    <s v="miguel.verdu@intel.com"/>
    <x v="0"/>
    <x v="1"/>
    <s v=""/>
    <x v="0"/>
    <s v=""/>
    <s v=""/>
    <s v=""/>
    <s v=""/>
    <s v=""/>
    <s v=""/>
    <s v=""/>
    <x v="0"/>
    <x v="0"/>
    <x v="0"/>
  </r>
  <r>
    <x v="0"/>
    <m/>
    <m/>
    <m/>
    <m/>
    <m/>
    <m/>
    <m/>
    <m/>
    <m/>
    <m/>
    <m/>
    <x v="3"/>
    <d v="2016-03-22T20:22:00"/>
    <s v="Patch Set 1: Code-Review+1"/>
    <m/>
    <m/>
    <s v="miguel.verdu@intel.com"/>
    <x v="0"/>
    <x v="2"/>
    <s v=""/>
    <x v="0"/>
    <s v=""/>
    <s v=""/>
    <s v=""/>
    <s v=""/>
    <s v=""/>
    <s v=""/>
    <s v=""/>
    <x v="0"/>
    <x v="0"/>
    <x v="0"/>
  </r>
  <r>
    <x v="0"/>
    <m/>
    <m/>
    <m/>
    <m/>
    <m/>
    <m/>
    <m/>
    <m/>
    <m/>
    <m/>
    <m/>
    <x v="0"/>
    <d v="2016-03-22T20:34:00"/>
    <s v="Uploaded patch set 2: Patch Set 1 was rebased."/>
    <m/>
    <m/>
    <s v="miguel.verdu@intel.com"/>
    <x v="0"/>
    <x v="0"/>
    <s v=""/>
    <x v="0"/>
    <s v=""/>
    <s v=""/>
    <s v=""/>
    <s v=""/>
    <s v=""/>
    <s v=""/>
    <s v=""/>
    <x v="0"/>
    <x v="0"/>
    <x v="0"/>
  </r>
  <r>
    <x v="0"/>
    <m/>
    <m/>
    <m/>
    <m/>
    <m/>
    <m/>
    <m/>
    <m/>
    <m/>
    <m/>
    <m/>
    <x v="0"/>
    <d v="2016-03-22T20:34:00"/>
    <s v="Patch Set 2:\n\nPatchset Created: CI job has been scheduled."/>
    <m/>
    <m/>
    <s v="miguel.verdu@intel.com"/>
    <x v="0"/>
    <x v="0"/>
    <s v=""/>
    <x v="0"/>
    <s v=""/>
    <s v=""/>
    <s v=""/>
    <s v=""/>
    <s v=""/>
    <s v=""/>
    <s v=""/>
    <x v="0"/>
    <x v="0"/>
    <x v="0"/>
  </r>
  <r>
    <x v="0"/>
    <m/>
    <m/>
    <m/>
    <m/>
    <m/>
    <m/>
    <m/>
    <m/>
    <m/>
    <m/>
    <m/>
    <x v="4"/>
    <d v="2016-03-22T20:34:00"/>
    <s v="Patch Set 1: Code-Review+1 Validation-Android+1\n\nVerified on Sofia 3GR MRD6"/>
    <m/>
    <m/>
    <s v="miguel.verdu@intel.com"/>
    <x v="0"/>
    <x v="3"/>
    <s v=""/>
    <x v="0"/>
    <s v=""/>
    <s v=""/>
    <s v=""/>
    <s v=""/>
    <s v=""/>
    <s v=""/>
    <s v=""/>
    <x v="0"/>
    <x v="0"/>
    <x v="0"/>
  </r>
  <r>
    <x v="0"/>
    <m/>
    <m/>
    <m/>
    <m/>
    <m/>
    <m/>
    <m/>
    <m/>
    <m/>
    <m/>
    <m/>
    <x v="5"/>
    <d v="2016-03-22T20:39:00"/>
    <s v="Patch Set 2: Code-Review+1"/>
    <m/>
    <m/>
    <s v="miguel.verdu@intel.com"/>
    <x v="0"/>
    <x v="1"/>
    <s v=""/>
    <x v="0"/>
    <s v=""/>
    <s v=""/>
    <s v=""/>
    <s v=""/>
    <s v=""/>
    <s v=""/>
    <s v=""/>
    <x v="0"/>
    <x v="0"/>
    <x v="0"/>
  </r>
  <r>
    <x v="0"/>
    <m/>
    <m/>
    <m/>
    <m/>
    <m/>
    <m/>
    <m/>
    <m/>
    <m/>
    <m/>
    <m/>
    <x v="0"/>
    <d v="2016-03-22T20:44:00"/>
    <s v="Patch Set 2: Code-Review+1"/>
    <m/>
    <m/>
    <s v="miguel.verdu@intel.com"/>
    <x v="0"/>
    <x v="0"/>
    <s v=""/>
    <x v="0"/>
    <s v=""/>
    <s v=""/>
    <s v=""/>
    <s v=""/>
    <s v=""/>
    <s v=""/>
    <s v=""/>
    <x v="0"/>
    <x v="0"/>
    <x v="0"/>
  </r>
  <r>
    <x v="0"/>
    <m/>
    <m/>
    <m/>
    <m/>
    <m/>
    <m/>
    <m/>
    <m/>
    <m/>
    <m/>
    <m/>
    <x v="6"/>
    <d v="2016-03-22T20:53:00"/>
    <s v="Patch Set 2: Code-Review+1"/>
    <m/>
    <m/>
    <s v="miguel.verdu@intel.com"/>
    <x v="0"/>
    <x v="1"/>
    <s v=""/>
    <x v="0"/>
    <s v=""/>
    <s v=""/>
    <s v=""/>
    <s v=""/>
    <s v=""/>
    <s v=""/>
    <s v=""/>
    <x v="0"/>
    <x v="0"/>
    <x v="0"/>
  </r>
  <r>
    <x v="0"/>
    <m/>
    <m/>
    <m/>
    <m/>
    <m/>
    <m/>
    <m/>
    <m/>
    <m/>
    <m/>
    <m/>
    <x v="7"/>
    <d v="2016-03-23T15:37:00"/>
    <s v="Patch Set 2: Code-Review+1"/>
    <m/>
    <m/>
    <s v="miguel.verdu@intel.com"/>
    <x v="0"/>
    <x v="4"/>
    <s v=""/>
    <x v="0"/>
    <s v=""/>
    <s v=""/>
    <s v=""/>
    <s v=""/>
    <s v=""/>
    <s v=""/>
    <s v=""/>
    <x v="0"/>
    <x v="0"/>
    <x v="0"/>
  </r>
  <r>
    <x v="0"/>
    <m/>
    <m/>
    <m/>
    <m/>
    <m/>
    <m/>
    <m/>
    <m/>
    <m/>
    <m/>
    <m/>
    <x v="2"/>
    <d v="2016-03-23T17:55:00"/>
    <s v="Patch Set 2: Approver+1"/>
    <m/>
    <m/>
    <s v="miguel.verdu@intel.com"/>
    <x v="0"/>
    <x v="1"/>
    <s v=""/>
    <x v="0"/>
    <s v=""/>
    <s v=""/>
    <s v=""/>
    <s v=""/>
    <s v=""/>
    <s v=""/>
    <s v=""/>
    <x v="0"/>
    <x v="0"/>
    <x v="0"/>
  </r>
  <r>
    <x v="0"/>
    <m/>
    <m/>
    <m/>
    <m/>
    <m/>
    <m/>
    <m/>
    <m/>
    <m/>
    <m/>
    <m/>
    <x v="8"/>
    <d v="2016-03-23T17:58:00"/>
    <s v="Topic changed from up_gcss to bxt_preint_HEAD"/>
    <m/>
    <m/>
    <s v="miguel.verdu@intel.com"/>
    <x v="0"/>
    <x v="1"/>
    <s v=""/>
    <x v="0"/>
    <s v=""/>
    <s v=""/>
    <s v=""/>
    <s v=""/>
    <s v=""/>
    <s v=""/>
    <s v=""/>
    <x v="0"/>
    <x v="0"/>
    <x v="0"/>
  </r>
  <r>
    <x v="0"/>
    <m/>
    <m/>
    <m/>
    <m/>
    <m/>
    <m/>
    <m/>
    <m/>
    <m/>
    <m/>
    <m/>
    <x v="8"/>
    <d v="2016-03-23T18:07:00"/>
    <s v="Uploaded patch set 3: Patch Set 2 was rebased."/>
    <m/>
    <m/>
    <s v="miguel.verdu@intel.com"/>
    <x v="0"/>
    <x v="1"/>
    <s v=""/>
    <x v="0"/>
    <s v=""/>
    <s v=""/>
    <s v=""/>
    <s v=""/>
    <s v=""/>
    <s v=""/>
    <s v=""/>
    <x v="0"/>
    <x v="0"/>
    <x v="0"/>
  </r>
  <r>
    <x v="0"/>
    <m/>
    <m/>
    <m/>
    <m/>
    <m/>
    <m/>
    <m/>
    <m/>
    <m/>
    <m/>
    <m/>
    <x v="8"/>
    <d v="2016-03-23T18:07:00"/>
    <s v="Patch Set 3:\n\nPatchset Created: CI job has been scheduled."/>
    <m/>
    <m/>
    <s v="miguel.verdu@intel.com"/>
    <x v="0"/>
    <x v="1"/>
    <s v=""/>
    <x v="0"/>
    <s v=""/>
    <s v=""/>
    <s v=""/>
    <s v=""/>
    <s v=""/>
    <s v=""/>
    <s v=""/>
    <x v="0"/>
    <x v="0"/>
    <x v="0"/>
  </r>
  <r>
    <x v="0"/>
    <m/>
    <m/>
    <m/>
    <m/>
    <m/>
    <m/>
    <m/>
    <m/>
    <m/>
    <m/>
    <m/>
    <x v="8"/>
    <d v="2016-03-23T18:07:00"/>
    <s v="Topic changed from 23.3_v6 to bxt_preint_HEAD"/>
    <m/>
    <m/>
    <s v="miguel.verdu@intel.com"/>
    <x v="0"/>
    <x v="1"/>
    <s v=""/>
    <x v="0"/>
    <s v=""/>
    <s v=""/>
    <s v=""/>
    <s v=""/>
    <s v=""/>
    <s v=""/>
    <s v=""/>
    <x v="0"/>
    <x v="0"/>
    <x v="0"/>
  </r>
  <r>
    <x v="0"/>
    <m/>
    <m/>
    <m/>
    <m/>
    <m/>
    <m/>
    <m/>
    <m/>
    <m/>
    <m/>
    <m/>
    <x v="0"/>
    <d v="2016-03-23T19:09:00"/>
    <s v="Patch Set 4:\n\nPatchset Created: CI job has been scheduled."/>
    <m/>
    <m/>
    <s v="miguel.verdu@intel.com"/>
    <x v="0"/>
    <x v="0"/>
    <s v=""/>
    <x v="0"/>
    <s v=""/>
    <s v=""/>
    <s v=""/>
    <s v=""/>
    <s v=""/>
    <s v=""/>
    <s v=""/>
    <x v="0"/>
    <x v="0"/>
    <x v="0"/>
  </r>
  <r>
    <x v="0"/>
    <m/>
    <m/>
    <m/>
    <m/>
    <m/>
    <m/>
    <m/>
    <m/>
    <m/>
    <m/>
    <m/>
    <x v="0"/>
    <d v="2016-03-23T19:09:00"/>
    <s v="Uploaded patch set 4: Patch Set 3 was rebased."/>
    <m/>
    <m/>
    <s v="miguel.verdu@intel.com"/>
    <x v="0"/>
    <x v="0"/>
    <s v=""/>
    <x v="0"/>
    <s v=""/>
    <s v=""/>
    <s v=""/>
    <s v=""/>
    <s v=""/>
    <s v=""/>
    <s v=""/>
    <x v="0"/>
    <x v="0"/>
    <x v="0"/>
  </r>
  <r>
    <x v="0"/>
    <m/>
    <m/>
    <m/>
    <m/>
    <m/>
    <m/>
    <m/>
    <m/>
    <m/>
    <m/>
    <m/>
    <x v="0"/>
    <d v="2016-03-23T19:09:00"/>
    <s v="Topic changed from up_fixes to bxt_preint_HEAD"/>
    <m/>
    <m/>
    <s v="miguel.verdu@intel.com"/>
    <x v="0"/>
    <x v="0"/>
    <s v=""/>
    <x v="0"/>
    <s v=""/>
    <s v=""/>
    <s v=""/>
    <s v=""/>
    <s v=""/>
    <s v=""/>
    <s v=""/>
    <x v="0"/>
    <x v="0"/>
    <x v="0"/>
  </r>
  <r>
    <x v="0"/>
    <m/>
    <m/>
    <m/>
    <m/>
    <m/>
    <m/>
    <m/>
    <m/>
    <m/>
    <m/>
    <m/>
    <x v="2"/>
    <d v="2016-03-23T20:29:00"/>
    <s v="Topic changed from bxt_preint_HEAD to bxt_preint"/>
    <m/>
    <m/>
    <s v="miguel.verdu@intel.com"/>
    <x v="0"/>
    <x v="1"/>
    <s v=""/>
    <x v="0"/>
    <s v=""/>
    <s v=""/>
    <s v=""/>
    <s v=""/>
    <s v=""/>
    <s v=""/>
    <s v=""/>
    <x v="0"/>
    <x v="0"/>
    <x v="0"/>
  </r>
  <r>
    <x v="0"/>
    <m/>
    <m/>
    <m/>
    <m/>
    <m/>
    <m/>
    <m/>
    <m/>
    <m/>
    <m/>
    <m/>
    <x v="9"/>
    <d v="2016-03-24T08:45:00"/>
    <s v="Patch Set 4: Integrator+1\n\nIntegrator +1; patch will be add to PT; please no change now"/>
    <m/>
    <m/>
    <s v="miguel.verdu@intel.com"/>
    <x v="0"/>
    <x v="5"/>
    <s v=""/>
    <x v="0"/>
    <s v=""/>
    <s v=""/>
    <s v=""/>
    <s v=""/>
    <s v=""/>
    <s v=""/>
    <s v=""/>
    <x v="0"/>
    <x v="1"/>
    <x v="0"/>
  </r>
  <r>
    <x v="0"/>
    <m/>
    <m/>
    <m/>
    <m/>
    <m/>
    <m/>
    <m/>
    <m/>
    <m/>
    <m/>
    <m/>
    <x v="9"/>
    <d v="2016-03-24T11:37:00"/>
    <s v="Patch Set 4:\n\nPassed static analysis code analyzing test. No CRITICAL issue in this patch. Auto reported by kwscan@psi-build5.bj.intel.com"/>
    <m/>
    <m/>
    <s v="miguel.verdu@intel.com"/>
    <x v="0"/>
    <x v="5"/>
    <s v=""/>
    <x v="0"/>
    <s v=""/>
    <s v=""/>
    <s v=""/>
    <s v=""/>
    <s v=""/>
    <s v=""/>
    <s v=""/>
    <x v="0"/>
    <x v="0"/>
    <x v="0"/>
  </r>
  <r>
    <x v="0"/>
    <m/>
    <m/>
    <m/>
    <m/>
    <m/>
    <m/>
    <m/>
    <m/>
    <m/>
    <m/>
    <m/>
    <x v="9"/>
    <d v="2016-03-24T15:28:00"/>
    <s v="Patch Set 4:\n\nIntegrator +1; patch will be add to PT; please no change now"/>
    <m/>
    <m/>
    <s v="miguel.verdu@intel.com"/>
    <x v="0"/>
    <x v="5"/>
    <s v=""/>
    <x v="0"/>
    <s v=""/>
    <s v=""/>
    <s v=""/>
    <s v=""/>
    <s v=""/>
    <s v=""/>
    <s v=""/>
    <x v="0"/>
    <x v="1"/>
    <x v="0"/>
  </r>
  <r>
    <x v="0"/>
    <m/>
    <m/>
    <m/>
    <m/>
    <m/>
    <m/>
    <m/>
    <m/>
    <m/>
    <m/>
    <m/>
    <x v="10"/>
    <d v="2016-03-31T19:32:00"/>
    <s v="Patch Set 5:\n\nThe patch has been successfully merged into 1A master with https://android.intel.com/487136"/>
    <m/>
    <m/>
    <s v="miguel.verdu@intel.com"/>
    <x v="0"/>
    <x v="5"/>
    <s v=""/>
    <x v="0"/>
    <s v=""/>
    <s v=""/>
    <s v=""/>
    <s v=""/>
    <s v=""/>
    <s v=""/>
    <s v=""/>
    <x v="0"/>
    <x v="0"/>
    <x v="0"/>
  </r>
  <r>
    <x v="1"/>
    <n v="109581"/>
    <s v="vied-viedandr-camera3hal"/>
    <s v="platform/android/main"/>
    <s v="I4a0d812f6013b5b9c2fd0e0ebd6bed45a0abdcc6"/>
    <s v="kaisa.taipale@intel.com"/>
    <s v="MERGED"/>
    <s v="c3:3a: Add support for smart scene detection"/>
    <s v="c3:3a: Add support for smart scene detection\n\nThis patch adds a function for filling AIQ input parameters\nfor ia_aiq_dsd_run; and another function for running dsd.\n\nChange-Id: I4a0d812f6013b5b9c2fd0e0ebd6bed45a0abdcc6\nTracked-On: #H1504170021\nSigned-off-by: Kaisa Taipale &lt;kaisa.taipale@intel.com&gt;\nReviewed-on: https://icggerrit.ir.intel.com/109581\nReviewed-by: Lassi I Vaatamoinen &lt;lassi.i.vaatamoinen@intel.com&gt;\nReviewed-by: Jukka O Kaartinen &lt;jukka.o.kaartinen@intel.com&gt;\nReviewed-by: Miguel Verdu &lt;miguel.verdu@intel.com&gt;\nApprover: Jukka O Kaartinen &lt;jukka.o.kaartinen@intel.com&gt;\nValidation-Android: Wei Tao &lt;wei.tao@intel.com&gt;\nBuild: Dessert M BXT RVP (SC)\nBuild: Dessert M SOFIA (SC)\nBuild: Dessert M BTNS (SC)\nReviewed-by: Renwei Wu &lt;renwei.wu@intel.com&gt;\nIntegrator: WeiX Meng &lt;weix.meng@intel.com&gt;\nReviewed-by: WeiX Meng &lt;weix.meng@intel.com&gt;\n"/>
    <d v="2016-03-23T15:03:00"/>
    <d v="2016-03-25T15:51:00"/>
    <s v="common"/>
    <x v="11"/>
    <d v="2016-03-23T15:03:00"/>
    <s v="Uploaded patch set 1."/>
    <m/>
    <s v="dongdong.zhang@intel.com;weix.meng@intel.com;miguel.verdu@intel.com;hongjiang.a.zheng@intel.com;gang.a.hu@intel.com;jukka.o.kaartinen@intel.com;renwei.wu@intel.com;juha.alanen@intel.com;lassi.i.vaatamoinen@intel.com;"/>
    <s v="kaisa.taipale@intel.com"/>
    <x v="0"/>
    <x v="0"/>
    <s v="16'ww13"/>
    <x v="0"/>
    <n v="6"/>
    <n v="1"/>
    <n v="5"/>
    <n v="0"/>
    <n v="3"/>
    <n v="21"/>
    <n v="3"/>
    <x v="0"/>
    <x v="0"/>
    <x v="0"/>
  </r>
  <r>
    <x v="1"/>
    <m/>
    <m/>
    <m/>
    <m/>
    <m/>
    <m/>
    <m/>
    <m/>
    <m/>
    <m/>
    <m/>
    <x v="11"/>
    <d v="2016-03-23T15:03:00"/>
    <s v="Patch Set 1:\n\nPatchset Created: CI job has been scheduled."/>
    <m/>
    <m/>
    <s v="kaisa.taipale@intel.com"/>
    <x v="0"/>
    <x v="0"/>
    <s v=""/>
    <x v="0"/>
    <s v=""/>
    <s v=""/>
    <s v=""/>
    <s v=""/>
    <s v=""/>
    <s v=""/>
    <s v=""/>
    <x v="0"/>
    <x v="0"/>
    <x v="0"/>
  </r>
  <r>
    <x v="1"/>
    <m/>
    <m/>
    <m/>
    <m/>
    <m/>
    <m/>
    <m/>
    <m/>
    <m/>
    <m/>
    <m/>
    <x v="12"/>
    <d v="2016-03-23T15:54:00"/>
    <s v="Patch Set 1: Code-Review-1\n\n(3 comments)"/>
    <s v="line658 :&quot;although we use the deprecated cast elsewhere as well; static_cast&lt;ia_aiq_scene_mode&gt;(..) might be more readable here&quot; line1596 :&quot;is it OK to run with possibly NULL dsdInputParams?&quot; line249 :&quot;comment not accurate&quot;"/>
    <m/>
    <s v="kaisa.taipale@intel.com"/>
    <x v="0"/>
    <x v="1"/>
    <s v=""/>
    <x v="0"/>
    <s v=""/>
    <s v=""/>
    <s v=""/>
    <s v=""/>
    <s v=""/>
    <s v=""/>
    <s v=""/>
    <x v="1"/>
    <x v="0"/>
    <x v="0"/>
  </r>
  <r>
    <x v="1"/>
    <m/>
    <m/>
    <m/>
    <m/>
    <m/>
    <m/>
    <m/>
    <m/>
    <m/>
    <m/>
    <m/>
    <x v="11"/>
    <d v="2016-03-23T17:17:00"/>
    <s v="Uploaded patch set 2."/>
    <m/>
    <m/>
    <s v="kaisa.taipale@intel.com"/>
    <x v="0"/>
    <x v="0"/>
    <s v=""/>
    <x v="0"/>
    <s v=""/>
    <s v=""/>
    <s v=""/>
    <s v=""/>
    <s v=""/>
    <s v=""/>
    <s v=""/>
    <x v="0"/>
    <x v="0"/>
    <x v="0"/>
  </r>
  <r>
    <x v="1"/>
    <m/>
    <m/>
    <m/>
    <m/>
    <m/>
    <m/>
    <m/>
    <m/>
    <m/>
    <m/>
    <m/>
    <x v="11"/>
    <d v="2016-03-23T17:17:00"/>
    <s v="Patch Set 2:\n\nPatchset Created: CI job has been scheduled."/>
    <m/>
    <m/>
    <s v="kaisa.taipale@intel.com"/>
    <x v="0"/>
    <x v="0"/>
    <s v=""/>
    <x v="0"/>
    <s v=""/>
    <s v=""/>
    <s v=""/>
    <s v=""/>
    <s v=""/>
    <s v=""/>
    <s v=""/>
    <x v="0"/>
    <x v="0"/>
    <x v="0"/>
  </r>
  <r>
    <x v="1"/>
    <m/>
    <m/>
    <m/>
    <m/>
    <m/>
    <m/>
    <m/>
    <m/>
    <m/>
    <m/>
    <m/>
    <x v="11"/>
    <d v="2016-03-23T17:18:00"/>
    <s v="Patch Set 1:\n\n(3 comments)"/>
    <s v="line658 :&quot;Done&quot; line1596 :&quot;It's ok; it just doesn't calculate anything. But anyway it's nice to print an error message.&quot; line249 :&quot;The whole item was redundant.&quot;"/>
    <m/>
    <s v="kaisa.taipale@intel.com"/>
    <x v="0"/>
    <x v="0"/>
    <s v=""/>
    <x v="0"/>
    <s v=""/>
    <s v=""/>
    <s v=""/>
    <s v=""/>
    <s v=""/>
    <s v=""/>
    <s v=""/>
    <x v="0"/>
    <x v="0"/>
    <x v="0"/>
  </r>
  <r>
    <x v="1"/>
    <m/>
    <m/>
    <m/>
    <m/>
    <m/>
    <m/>
    <m/>
    <m/>
    <m/>
    <m/>
    <m/>
    <x v="11"/>
    <d v="2016-03-23T18:16:00"/>
    <s v="Patch Set 2: Code-Review+1"/>
    <m/>
    <m/>
    <s v="kaisa.taipale@intel.com"/>
    <x v="0"/>
    <x v="0"/>
    <s v=""/>
    <x v="0"/>
    <s v=""/>
    <s v=""/>
    <s v=""/>
    <s v=""/>
    <s v=""/>
    <s v=""/>
    <s v=""/>
    <x v="0"/>
    <x v="0"/>
    <x v="0"/>
  </r>
  <r>
    <x v="1"/>
    <m/>
    <m/>
    <m/>
    <m/>
    <m/>
    <m/>
    <m/>
    <m/>
    <m/>
    <m/>
    <m/>
    <x v="5"/>
    <d v="2016-03-23T18:56:00"/>
    <s v="Patch Set 2: Code-Review-1\n\n(2 comments)"/>
    <s v="line1605 :&quot;Add also LOGE in case of error.&quot; line319 :&quot;IMO it would be better to use the same style as the other runX() methods (give the result as parameter).&quot;"/>
    <m/>
    <s v="kaisa.taipale@intel.com"/>
    <x v="0"/>
    <x v="1"/>
    <s v=""/>
    <x v="0"/>
    <s v=""/>
    <s v=""/>
    <s v=""/>
    <s v=""/>
    <s v=""/>
    <s v=""/>
    <s v=""/>
    <x v="1"/>
    <x v="0"/>
    <x v="0"/>
  </r>
  <r>
    <x v="1"/>
    <m/>
    <m/>
    <m/>
    <m/>
    <m/>
    <m/>
    <m/>
    <m/>
    <m/>
    <m/>
    <m/>
    <x v="5"/>
    <d v="2016-03-23T20:05:00"/>
    <s v="Patch Set 2: -Code-Review"/>
    <m/>
    <m/>
    <s v="kaisa.taipale@intel.com"/>
    <x v="0"/>
    <x v="1"/>
    <s v=""/>
    <x v="0"/>
    <s v=""/>
    <s v=""/>
    <s v=""/>
    <s v=""/>
    <s v=""/>
    <s v=""/>
    <s v=""/>
    <x v="0"/>
    <x v="0"/>
    <x v="0"/>
  </r>
  <r>
    <x v="1"/>
    <m/>
    <m/>
    <m/>
    <m/>
    <m/>
    <m/>
    <m/>
    <m/>
    <m/>
    <m/>
    <m/>
    <x v="11"/>
    <d v="2016-03-23T21:31:00"/>
    <s v="Uploaded patch set 3."/>
    <m/>
    <m/>
    <s v="kaisa.taipale@intel.com"/>
    <x v="0"/>
    <x v="0"/>
    <s v=""/>
    <x v="0"/>
    <s v=""/>
    <s v=""/>
    <s v=""/>
    <s v=""/>
    <s v=""/>
    <s v=""/>
    <s v=""/>
    <x v="0"/>
    <x v="0"/>
    <x v="0"/>
  </r>
  <r>
    <x v="1"/>
    <m/>
    <m/>
    <m/>
    <m/>
    <m/>
    <m/>
    <m/>
    <m/>
    <m/>
    <m/>
    <m/>
    <x v="11"/>
    <d v="2016-03-23T21:31:00"/>
    <s v="Patch Set 3:\n\nPatchset Created: CI job has been scheduled."/>
    <m/>
    <m/>
    <s v="kaisa.taipale@intel.com"/>
    <x v="0"/>
    <x v="0"/>
    <s v=""/>
    <x v="0"/>
    <s v=""/>
    <s v=""/>
    <s v=""/>
    <s v=""/>
    <s v=""/>
    <s v=""/>
    <s v=""/>
    <x v="0"/>
    <x v="0"/>
    <x v="0"/>
  </r>
  <r>
    <x v="1"/>
    <m/>
    <m/>
    <m/>
    <m/>
    <m/>
    <m/>
    <m/>
    <m/>
    <m/>
    <m/>
    <m/>
    <x v="11"/>
    <d v="2016-03-23T21:32:00"/>
    <s v="Patch Set 2:\n\n(2 comments)"/>
    <s v="line1605 :&quot;Done&quot; line319 :&quot;Done&quot;"/>
    <m/>
    <s v="kaisa.taipale@intel.com"/>
    <x v="0"/>
    <x v="0"/>
    <s v=""/>
    <x v="0"/>
    <s v=""/>
    <s v=""/>
    <s v=""/>
    <s v=""/>
    <s v=""/>
    <s v=""/>
    <s v=""/>
    <x v="0"/>
    <x v="0"/>
    <x v="0"/>
  </r>
  <r>
    <x v="1"/>
    <m/>
    <m/>
    <m/>
    <m/>
    <m/>
    <m/>
    <m/>
    <m/>
    <m/>
    <m/>
    <m/>
    <x v="11"/>
    <d v="2016-03-23T21:33:00"/>
    <s v="Patch Set 3: Code-Review+1"/>
    <m/>
    <m/>
    <s v="kaisa.taipale@intel.com"/>
    <x v="0"/>
    <x v="0"/>
    <s v=""/>
    <x v="0"/>
    <s v=""/>
    <s v=""/>
    <s v=""/>
    <s v=""/>
    <s v=""/>
    <s v=""/>
    <s v=""/>
    <x v="0"/>
    <x v="0"/>
    <x v="0"/>
  </r>
  <r>
    <x v="1"/>
    <m/>
    <m/>
    <m/>
    <m/>
    <m/>
    <m/>
    <m/>
    <m/>
    <m/>
    <m/>
    <m/>
    <x v="12"/>
    <d v="2016-03-23T21:42:00"/>
    <s v="Patch Set 3: Code-Review+1"/>
    <m/>
    <m/>
    <s v="kaisa.taipale@intel.com"/>
    <x v="0"/>
    <x v="1"/>
    <s v=""/>
    <x v="0"/>
    <s v=""/>
    <s v=""/>
    <s v=""/>
    <s v=""/>
    <s v=""/>
    <s v=""/>
    <s v=""/>
    <x v="0"/>
    <x v="0"/>
    <x v="0"/>
  </r>
  <r>
    <x v="1"/>
    <m/>
    <m/>
    <m/>
    <m/>
    <m/>
    <m/>
    <m/>
    <m/>
    <m/>
    <m/>
    <m/>
    <x v="3"/>
    <d v="2016-03-23T21:48:00"/>
    <s v="Patch Set 3: Code-Review+1"/>
    <m/>
    <m/>
    <s v="kaisa.taipale@intel.com"/>
    <x v="0"/>
    <x v="2"/>
    <s v=""/>
    <x v="0"/>
    <s v=""/>
    <s v=""/>
    <s v=""/>
    <s v=""/>
    <s v=""/>
    <s v=""/>
    <s v=""/>
    <x v="0"/>
    <x v="0"/>
    <x v="0"/>
  </r>
  <r>
    <x v="1"/>
    <m/>
    <m/>
    <m/>
    <m/>
    <m/>
    <m/>
    <m/>
    <m/>
    <m/>
    <m/>
    <m/>
    <x v="5"/>
    <d v="2016-03-23T21:49:00"/>
    <s v="Patch Set 3: Code-Review+1"/>
    <m/>
    <m/>
    <s v="kaisa.taipale@intel.com"/>
    <x v="0"/>
    <x v="1"/>
    <s v=""/>
    <x v="0"/>
    <s v=""/>
    <s v=""/>
    <s v=""/>
    <s v=""/>
    <s v=""/>
    <s v=""/>
    <s v=""/>
    <x v="0"/>
    <x v="0"/>
    <x v="0"/>
  </r>
  <r>
    <x v="1"/>
    <m/>
    <m/>
    <m/>
    <m/>
    <m/>
    <m/>
    <m/>
    <m/>
    <m/>
    <m/>
    <m/>
    <x v="2"/>
    <d v="2016-03-24T03:48:00"/>
    <s v="Patch Set 3: Code-Review-1\n\n(1 comment)"/>
    <s v="line1608 :&quot;align&quot;"/>
    <m/>
    <s v="kaisa.taipale@intel.com"/>
    <x v="0"/>
    <x v="1"/>
    <s v=""/>
    <x v="0"/>
    <s v=""/>
    <s v=""/>
    <s v=""/>
    <s v=""/>
    <s v=""/>
    <s v=""/>
    <s v=""/>
    <x v="1"/>
    <x v="0"/>
    <x v="0"/>
  </r>
  <r>
    <x v="1"/>
    <m/>
    <m/>
    <m/>
    <m/>
    <m/>
    <m/>
    <m/>
    <m/>
    <m/>
    <m/>
    <m/>
    <x v="13"/>
    <d v="2016-03-24T14:15:00"/>
    <s v="Patch Set 3: Code-Review-1\n\n(1 comment)"/>
    <s v="line1606 :&quot;Do the error check first and then run the normal code without indent.\nif (ret != ia_err_none) {\n LOGE(\&quot;Smart scene detection failed\&quot;);\n return convertError(ret);\n}\n\nLOG2(\&quot;Success; detected scene mode: %d\&quot;; detectedSceneMode);\nreturn NO_ERROR;\n}&quot;"/>
    <m/>
    <s v="kaisa.taipale@intel.com"/>
    <x v="0"/>
    <x v="4"/>
    <s v=""/>
    <x v="0"/>
    <s v=""/>
    <s v=""/>
    <s v=""/>
    <s v=""/>
    <s v=""/>
    <s v=""/>
    <s v=""/>
    <x v="1"/>
    <x v="0"/>
    <x v="0"/>
  </r>
  <r>
    <x v="1"/>
    <m/>
    <m/>
    <m/>
    <m/>
    <m/>
    <m/>
    <m/>
    <m/>
    <m/>
    <m/>
    <m/>
    <x v="11"/>
    <d v="2016-03-24T14:26:00"/>
    <s v="Uploaded patch set 4."/>
    <m/>
    <m/>
    <s v="kaisa.taipale@intel.com"/>
    <x v="0"/>
    <x v="0"/>
    <s v=""/>
    <x v="0"/>
    <s v=""/>
    <s v=""/>
    <s v=""/>
    <s v=""/>
    <s v=""/>
    <s v=""/>
    <s v=""/>
    <x v="0"/>
    <x v="0"/>
    <x v="0"/>
  </r>
  <r>
    <x v="1"/>
    <m/>
    <m/>
    <m/>
    <m/>
    <m/>
    <m/>
    <m/>
    <m/>
    <m/>
    <m/>
    <m/>
    <x v="11"/>
    <d v="2016-03-24T14:26:00"/>
    <s v="Patch Set 4:\n\nPatchset Created: CI job has been scheduled."/>
    <m/>
    <m/>
    <s v="kaisa.taipale@intel.com"/>
    <x v="0"/>
    <x v="0"/>
    <s v=""/>
    <x v="0"/>
    <s v=""/>
    <s v=""/>
    <s v=""/>
    <s v=""/>
    <s v=""/>
    <s v=""/>
    <s v=""/>
    <x v="0"/>
    <x v="0"/>
    <x v="0"/>
  </r>
  <r>
    <x v="1"/>
    <m/>
    <m/>
    <m/>
    <m/>
    <m/>
    <m/>
    <m/>
    <m/>
    <m/>
    <m/>
    <m/>
    <x v="11"/>
    <d v="2016-03-24T14:27:00"/>
    <s v="Patch Set 3:\n\n(1 comment)"/>
    <s v="line1606 :&quot;Done&quot;"/>
    <m/>
    <s v="kaisa.taipale@intel.com"/>
    <x v="0"/>
    <x v="0"/>
    <s v=""/>
    <x v="0"/>
    <s v=""/>
    <s v=""/>
    <s v=""/>
    <s v=""/>
    <s v=""/>
    <s v=""/>
    <s v=""/>
    <x v="0"/>
    <x v="0"/>
    <x v="0"/>
  </r>
  <r>
    <x v="1"/>
    <m/>
    <m/>
    <m/>
    <m/>
    <m/>
    <m/>
    <m/>
    <m/>
    <m/>
    <m/>
    <m/>
    <x v="11"/>
    <d v="2016-03-24T14:27:00"/>
    <s v="Patch Set 4: Code-Review+1"/>
    <m/>
    <m/>
    <s v="kaisa.taipale@intel.com"/>
    <x v="0"/>
    <x v="0"/>
    <s v=""/>
    <x v="0"/>
    <s v=""/>
    <s v=""/>
    <s v=""/>
    <s v=""/>
    <s v=""/>
    <s v=""/>
    <s v=""/>
    <x v="0"/>
    <x v="0"/>
    <x v="0"/>
  </r>
  <r>
    <x v="1"/>
    <m/>
    <m/>
    <m/>
    <m/>
    <m/>
    <m/>
    <m/>
    <m/>
    <m/>
    <m/>
    <m/>
    <x v="3"/>
    <d v="2016-03-24T14:47:00"/>
    <s v="Patch Set 4: Code-Review+1"/>
    <m/>
    <m/>
    <s v="kaisa.taipale@intel.com"/>
    <x v="0"/>
    <x v="2"/>
    <s v=""/>
    <x v="0"/>
    <s v=""/>
    <s v=""/>
    <s v=""/>
    <s v=""/>
    <s v=""/>
    <s v=""/>
    <s v=""/>
    <x v="0"/>
    <x v="0"/>
    <x v="0"/>
  </r>
  <r>
    <x v="1"/>
    <m/>
    <m/>
    <m/>
    <m/>
    <m/>
    <m/>
    <m/>
    <m/>
    <m/>
    <m/>
    <m/>
    <x v="13"/>
    <d v="2016-03-24T15:59:00"/>
    <s v="Patch Set 4: Code-Review+1"/>
    <m/>
    <m/>
    <s v="kaisa.taipale@intel.com"/>
    <x v="0"/>
    <x v="4"/>
    <s v=""/>
    <x v="0"/>
    <s v=""/>
    <s v=""/>
    <s v=""/>
    <s v=""/>
    <s v=""/>
    <s v=""/>
    <s v=""/>
    <x v="0"/>
    <x v="0"/>
    <x v="0"/>
  </r>
  <r>
    <x v="1"/>
    <m/>
    <m/>
    <m/>
    <m/>
    <m/>
    <m/>
    <m/>
    <m/>
    <m/>
    <m/>
    <m/>
    <x v="2"/>
    <d v="2016-03-24T16:01:00"/>
    <s v="Patch Set 4: Code-Review+1"/>
    <m/>
    <m/>
    <s v="kaisa.taipale@intel.com"/>
    <x v="0"/>
    <x v="1"/>
    <s v=""/>
    <x v="0"/>
    <s v=""/>
    <s v=""/>
    <s v=""/>
    <s v=""/>
    <s v=""/>
    <s v=""/>
    <s v=""/>
    <x v="0"/>
    <x v="0"/>
    <x v="0"/>
  </r>
  <r>
    <x v="1"/>
    <m/>
    <m/>
    <m/>
    <m/>
    <m/>
    <m/>
    <m/>
    <m/>
    <m/>
    <m/>
    <m/>
    <x v="11"/>
    <d v="2016-03-24T16:54:00"/>
    <s v="Uploaded patch set 5: Patch Set 4 was rebased."/>
    <m/>
    <m/>
    <s v="kaisa.taipale@intel.com"/>
    <x v="0"/>
    <x v="0"/>
    <s v=""/>
    <x v="0"/>
    <s v=""/>
    <s v=""/>
    <s v=""/>
    <s v=""/>
    <s v=""/>
    <s v=""/>
    <s v=""/>
    <x v="0"/>
    <x v="0"/>
    <x v="0"/>
  </r>
  <r>
    <x v="1"/>
    <m/>
    <m/>
    <m/>
    <m/>
    <m/>
    <m/>
    <m/>
    <m/>
    <m/>
    <m/>
    <m/>
    <x v="11"/>
    <d v="2016-03-24T16:54:00"/>
    <s v="Patch Set 5:\n\nPatchset Created: CI job has been scheduled."/>
    <m/>
    <m/>
    <s v="kaisa.taipale@intel.com"/>
    <x v="0"/>
    <x v="0"/>
    <s v=""/>
    <x v="0"/>
    <s v=""/>
    <s v=""/>
    <s v=""/>
    <s v=""/>
    <s v=""/>
    <s v=""/>
    <s v=""/>
    <x v="0"/>
    <x v="0"/>
    <x v="0"/>
  </r>
  <r>
    <x v="1"/>
    <m/>
    <m/>
    <m/>
    <m/>
    <m/>
    <m/>
    <m/>
    <m/>
    <m/>
    <m/>
    <m/>
    <x v="14"/>
    <d v="2016-03-24T16:56:00"/>
    <s v="Patch Set 5: Validation-Android+1\n\nreceive smoke test"/>
    <m/>
    <m/>
    <s v="kaisa.taipale@intel.com"/>
    <x v="0"/>
    <x v="5"/>
    <s v=""/>
    <x v="0"/>
    <s v=""/>
    <s v=""/>
    <s v=""/>
    <s v=""/>
    <s v=""/>
    <s v=""/>
    <s v=""/>
    <x v="0"/>
    <x v="1"/>
    <x v="0"/>
  </r>
  <r>
    <x v="1"/>
    <m/>
    <m/>
    <m/>
    <m/>
    <m/>
    <m/>
    <m/>
    <m/>
    <m/>
    <m/>
    <m/>
    <x v="12"/>
    <d v="2016-03-24T17:08:00"/>
    <s v="Patch Set 5: Code-Review+1"/>
    <m/>
    <m/>
    <s v="kaisa.taipale@intel.com"/>
    <x v="0"/>
    <x v="1"/>
    <s v=""/>
    <x v="0"/>
    <s v=""/>
    <s v=""/>
    <s v=""/>
    <s v=""/>
    <s v=""/>
    <s v=""/>
    <s v=""/>
    <x v="0"/>
    <x v="0"/>
    <x v="0"/>
  </r>
  <r>
    <x v="1"/>
    <m/>
    <m/>
    <m/>
    <m/>
    <m/>
    <m/>
    <m/>
    <m/>
    <m/>
    <m/>
    <m/>
    <x v="2"/>
    <d v="2016-03-24T17:09:00"/>
    <s v="Patch Set 5: Approver+1"/>
    <m/>
    <m/>
    <s v="kaisa.taipale@intel.com"/>
    <x v="0"/>
    <x v="1"/>
    <s v=""/>
    <x v="0"/>
    <s v=""/>
    <s v=""/>
    <s v=""/>
    <s v=""/>
    <s v=""/>
    <s v=""/>
    <s v=""/>
    <x v="0"/>
    <x v="0"/>
    <x v="0"/>
  </r>
  <r>
    <x v="1"/>
    <m/>
    <m/>
    <m/>
    <m/>
    <m/>
    <m/>
    <m/>
    <m/>
    <m/>
    <m/>
    <m/>
    <x v="2"/>
    <d v="2016-03-24T17:09:00"/>
    <s v="Topic changed from smart to bxt_preint"/>
    <m/>
    <m/>
    <s v="kaisa.taipale@intel.com"/>
    <x v="0"/>
    <x v="1"/>
    <s v=""/>
    <x v="0"/>
    <s v=""/>
    <s v=""/>
    <s v=""/>
    <s v=""/>
    <s v=""/>
    <s v=""/>
    <s v=""/>
    <x v="0"/>
    <x v="0"/>
    <x v="0"/>
  </r>
  <r>
    <x v="1"/>
    <m/>
    <m/>
    <m/>
    <m/>
    <m/>
    <m/>
    <m/>
    <m/>
    <m/>
    <m/>
    <m/>
    <x v="15"/>
    <d v="2016-03-24T17:12:00"/>
    <s v="Patch Set 5: Code-Review+1"/>
    <m/>
    <m/>
    <s v="kaisa.taipale@intel.com"/>
    <x v="0"/>
    <x v="4"/>
    <s v=""/>
    <x v="0"/>
    <s v=""/>
    <s v=""/>
    <s v=""/>
    <s v=""/>
    <s v=""/>
    <s v=""/>
    <s v=""/>
    <x v="0"/>
    <x v="0"/>
    <x v="0"/>
  </r>
  <r>
    <x v="1"/>
    <m/>
    <m/>
    <m/>
    <m/>
    <m/>
    <m/>
    <m/>
    <m/>
    <m/>
    <m/>
    <m/>
    <x v="0"/>
    <d v="2016-03-24T17:15:00"/>
    <s v="Patch Set 5: Approver-1 Code-Review-1\n\n(3 comments)"/>
    <s v="line250 :&quot;use initialized list. only clear members&quot; line1606 :&quot;This is not a critical failure... and it will print an error all the time. remove it. Caller can decide to pritn an error or not&quot; line650 :&quot;this error message is not very informative... I would remove it&quot;"/>
    <m/>
    <s v="kaisa.taipale@intel.com"/>
    <x v="0"/>
    <x v="1"/>
    <s v=""/>
    <x v="0"/>
    <s v=""/>
    <s v=""/>
    <s v=""/>
    <s v=""/>
    <s v=""/>
    <s v=""/>
    <s v=""/>
    <x v="1"/>
    <x v="0"/>
    <x v="0"/>
  </r>
  <r>
    <x v="1"/>
    <m/>
    <m/>
    <m/>
    <m/>
    <m/>
    <m/>
    <m/>
    <m/>
    <m/>
    <m/>
    <m/>
    <x v="0"/>
    <d v="2016-03-24T17:19:00"/>
    <s v="Patch Set 5:\n\n(1 comment)"/>
    <s v="line656 :&quot;are you aware that you are resetting the pointer to null? I mean dsdInputParams.aiqInputParams\nAre you doing that on purpose?&quot;"/>
    <m/>
    <s v="kaisa.taipale@intel.com"/>
    <x v="0"/>
    <x v="1"/>
    <s v=""/>
    <x v="0"/>
    <s v=""/>
    <s v=""/>
    <s v=""/>
    <s v=""/>
    <s v=""/>
    <s v=""/>
    <s v=""/>
    <x v="0"/>
    <x v="0"/>
    <x v="0"/>
  </r>
  <r>
    <x v="1"/>
    <m/>
    <m/>
    <m/>
    <m/>
    <m/>
    <m/>
    <m/>
    <m/>
    <m/>
    <m/>
    <m/>
    <x v="12"/>
    <d v="2016-03-24T17:21:00"/>
    <s v="Patch Set 5: Code-Review-1\n\n(1 comment)"/>
    <s v="line671 :&quot;maybe also fix this field to refer to 'dsdInputParams'; as you have named it; otherwise it may be misleading&quot;"/>
    <m/>
    <s v="kaisa.taipale@intel.com"/>
    <x v="0"/>
    <x v="1"/>
    <s v=""/>
    <x v="0"/>
    <s v=""/>
    <s v=""/>
    <s v=""/>
    <s v=""/>
    <s v=""/>
    <s v=""/>
    <s v=""/>
    <x v="1"/>
    <x v="0"/>
    <x v="0"/>
  </r>
  <r>
    <x v="1"/>
    <m/>
    <m/>
    <m/>
    <m/>
    <m/>
    <m/>
    <m/>
    <m/>
    <m/>
    <m/>
    <m/>
    <x v="2"/>
    <d v="2016-03-24T17:23:00"/>
    <s v="Patch Set 5: -Approver"/>
    <m/>
    <m/>
    <s v="kaisa.taipale@intel.com"/>
    <x v="0"/>
    <x v="1"/>
    <s v=""/>
    <x v="0"/>
    <s v=""/>
    <s v=""/>
    <s v=""/>
    <s v=""/>
    <s v=""/>
    <s v=""/>
    <s v=""/>
    <x v="0"/>
    <x v="0"/>
    <x v="0"/>
  </r>
  <r>
    <x v="1"/>
    <m/>
    <m/>
    <m/>
    <m/>
    <m/>
    <m/>
    <m/>
    <m/>
    <m/>
    <m/>
    <m/>
    <x v="9"/>
    <d v="2016-03-24T17:26:00"/>
    <s v="Patch Set 4:\n\nPassed static analysis code analyzing test. No CRITICAL issue in this patch. Auto reported by kwscan@psi-build5.bj.intel.com"/>
    <m/>
    <m/>
    <s v="kaisa.taipale@intel.com"/>
    <x v="0"/>
    <x v="5"/>
    <s v=""/>
    <x v="0"/>
    <s v=""/>
    <s v=""/>
    <s v=""/>
    <s v=""/>
    <s v=""/>
    <s v=""/>
    <s v=""/>
    <x v="0"/>
    <x v="0"/>
    <x v="0"/>
  </r>
  <r>
    <x v="1"/>
    <m/>
    <m/>
    <m/>
    <m/>
    <m/>
    <m/>
    <m/>
    <m/>
    <m/>
    <m/>
    <m/>
    <x v="0"/>
    <d v="2016-03-24T17:38:00"/>
    <s v="Patch Set 5: -Approver"/>
    <m/>
    <m/>
    <s v="kaisa.taipale@intel.com"/>
    <x v="0"/>
    <x v="1"/>
    <s v=""/>
    <x v="0"/>
    <s v=""/>
    <s v=""/>
    <s v=""/>
    <s v=""/>
    <s v=""/>
    <s v=""/>
    <s v=""/>
    <x v="0"/>
    <x v="0"/>
    <x v="0"/>
  </r>
  <r>
    <x v="1"/>
    <m/>
    <m/>
    <m/>
    <m/>
    <m/>
    <m/>
    <m/>
    <m/>
    <m/>
    <m/>
    <m/>
    <x v="0"/>
    <d v="2016-03-24T17:38:00"/>
    <s v="Topic changed from bxt_preint to SDS"/>
    <m/>
    <m/>
    <s v="kaisa.taipale@intel.com"/>
    <x v="0"/>
    <x v="1"/>
    <s v=""/>
    <x v="0"/>
    <s v=""/>
    <s v=""/>
    <s v=""/>
    <s v=""/>
    <s v=""/>
    <s v=""/>
    <s v=""/>
    <x v="0"/>
    <x v="0"/>
    <x v="0"/>
  </r>
  <r>
    <x v="1"/>
    <m/>
    <m/>
    <m/>
    <m/>
    <m/>
    <m/>
    <m/>
    <m/>
    <m/>
    <m/>
    <m/>
    <x v="11"/>
    <d v="2016-03-24T18:57:00"/>
    <s v="Uploaded patch set 6."/>
    <m/>
    <m/>
    <s v="kaisa.taipale@intel.com"/>
    <x v="0"/>
    <x v="0"/>
    <s v=""/>
    <x v="0"/>
    <s v=""/>
    <s v=""/>
    <s v=""/>
    <s v=""/>
    <s v=""/>
    <s v=""/>
    <s v=""/>
    <x v="0"/>
    <x v="0"/>
    <x v="0"/>
  </r>
  <r>
    <x v="1"/>
    <m/>
    <m/>
    <m/>
    <m/>
    <m/>
    <m/>
    <m/>
    <m/>
    <m/>
    <m/>
    <m/>
    <x v="11"/>
    <d v="2016-03-24T18:57:00"/>
    <s v="Patch Set 6:\n\nPatchset Created: CI job has been scheduled."/>
    <m/>
    <m/>
    <s v="kaisa.taipale@intel.com"/>
    <x v="0"/>
    <x v="0"/>
    <s v=""/>
    <x v="0"/>
    <s v=""/>
    <s v=""/>
    <s v=""/>
    <s v=""/>
    <s v=""/>
    <s v=""/>
    <s v=""/>
    <x v="0"/>
    <x v="0"/>
    <x v="0"/>
  </r>
  <r>
    <x v="1"/>
    <m/>
    <m/>
    <m/>
    <m/>
    <m/>
    <m/>
    <m/>
    <m/>
    <m/>
    <m/>
    <m/>
    <x v="11"/>
    <d v="2016-03-24T19:01:00"/>
    <s v="Uploaded patch set 7: Patch Set 6 was rebased."/>
    <m/>
    <m/>
    <s v="kaisa.taipale@intel.com"/>
    <x v="0"/>
    <x v="0"/>
    <s v=""/>
    <x v="0"/>
    <s v=""/>
    <s v=""/>
    <s v=""/>
    <s v=""/>
    <s v=""/>
    <s v=""/>
    <s v=""/>
    <x v="0"/>
    <x v="0"/>
    <x v="0"/>
  </r>
  <r>
    <x v="1"/>
    <m/>
    <m/>
    <m/>
    <m/>
    <m/>
    <m/>
    <m/>
    <m/>
    <m/>
    <m/>
    <m/>
    <x v="11"/>
    <d v="2016-03-24T19:01:00"/>
    <s v="Patch Set 7:\n\nPatchset Created: CI job has been scheduled."/>
    <m/>
    <m/>
    <s v="kaisa.taipale@intel.com"/>
    <x v="0"/>
    <x v="0"/>
    <s v=""/>
    <x v="0"/>
    <s v=""/>
    <s v=""/>
    <s v=""/>
    <s v=""/>
    <s v=""/>
    <s v=""/>
    <s v=""/>
    <x v="0"/>
    <x v="0"/>
    <x v="0"/>
  </r>
  <r>
    <x v="1"/>
    <m/>
    <m/>
    <m/>
    <m/>
    <m/>
    <m/>
    <m/>
    <m/>
    <m/>
    <m/>
    <m/>
    <x v="11"/>
    <d v="2016-03-24T19:03:00"/>
    <s v="Patch Set 5:\n\n(5 comments)"/>
    <s v="line250 :&quot;Done&quot; line671 :&quot;Done&quot; line1606 :&quot;Done&quot; line650 :&quot;Done&quot; line656 :&quot;Done&quot;"/>
    <m/>
    <s v="kaisa.taipale@intel.com"/>
    <x v="0"/>
    <x v="0"/>
    <s v=""/>
    <x v="0"/>
    <s v=""/>
    <s v=""/>
    <s v=""/>
    <s v=""/>
    <s v=""/>
    <s v=""/>
    <s v=""/>
    <x v="0"/>
    <x v="0"/>
    <x v="0"/>
  </r>
  <r>
    <x v="1"/>
    <m/>
    <m/>
    <m/>
    <m/>
    <m/>
    <m/>
    <m/>
    <m/>
    <m/>
    <m/>
    <m/>
    <x v="12"/>
    <d v="2016-03-24T19:03:00"/>
    <s v="Patch Set 7: Code-Review+1"/>
    <m/>
    <m/>
    <s v="kaisa.taipale@intel.com"/>
    <x v="0"/>
    <x v="1"/>
    <s v=""/>
    <x v="0"/>
    <s v=""/>
    <s v=""/>
    <s v=""/>
    <s v=""/>
    <s v=""/>
    <s v=""/>
    <s v=""/>
    <x v="0"/>
    <x v="0"/>
    <x v="0"/>
  </r>
  <r>
    <x v="1"/>
    <m/>
    <m/>
    <m/>
    <m/>
    <m/>
    <m/>
    <m/>
    <m/>
    <m/>
    <m/>
    <m/>
    <x v="2"/>
    <d v="2016-03-24T19:05:00"/>
    <s v="Patch Set 7: Code-Review+1"/>
    <m/>
    <m/>
    <s v="kaisa.taipale@intel.com"/>
    <x v="0"/>
    <x v="1"/>
    <s v=""/>
    <x v="0"/>
    <s v=""/>
    <s v=""/>
    <s v=""/>
    <s v=""/>
    <s v=""/>
    <s v=""/>
    <s v=""/>
    <x v="0"/>
    <x v="0"/>
    <x v="0"/>
  </r>
  <r>
    <x v="1"/>
    <m/>
    <m/>
    <m/>
    <m/>
    <m/>
    <m/>
    <m/>
    <m/>
    <m/>
    <m/>
    <m/>
    <x v="11"/>
    <d v="2016-03-24T19:06:00"/>
    <s v="Patch Set 7: Code-Review+1"/>
    <m/>
    <m/>
    <s v="kaisa.taipale@intel.com"/>
    <x v="0"/>
    <x v="0"/>
    <s v=""/>
    <x v="0"/>
    <s v=""/>
    <s v=""/>
    <s v=""/>
    <s v=""/>
    <s v=""/>
    <s v=""/>
    <s v=""/>
    <x v="0"/>
    <x v="0"/>
    <x v="0"/>
  </r>
  <r>
    <x v="1"/>
    <m/>
    <m/>
    <m/>
    <m/>
    <m/>
    <m/>
    <m/>
    <m/>
    <m/>
    <m/>
    <m/>
    <x v="0"/>
    <d v="2016-03-24T19:08:00"/>
    <s v="Patch Set 7: Code-Review+1"/>
    <m/>
    <m/>
    <s v="kaisa.taipale@intel.com"/>
    <x v="0"/>
    <x v="1"/>
    <s v=""/>
    <x v="0"/>
    <s v=""/>
    <s v=""/>
    <s v=""/>
    <s v=""/>
    <s v=""/>
    <s v=""/>
    <s v=""/>
    <x v="0"/>
    <x v="0"/>
    <x v="0"/>
  </r>
  <r>
    <x v="1"/>
    <m/>
    <m/>
    <m/>
    <m/>
    <m/>
    <m/>
    <m/>
    <m/>
    <m/>
    <m/>
    <m/>
    <x v="2"/>
    <d v="2016-03-24T19:25:00"/>
    <s v="Patch Set 7: Approver+1"/>
    <m/>
    <m/>
    <s v="kaisa.taipale@intel.com"/>
    <x v="0"/>
    <x v="1"/>
    <s v=""/>
    <x v="0"/>
    <s v=""/>
    <s v=""/>
    <s v=""/>
    <s v=""/>
    <s v=""/>
    <s v=""/>
    <s v=""/>
    <x v="0"/>
    <x v="0"/>
    <x v="0"/>
  </r>
  <r>
    <x v="1"/>
    <m/>
    <m/>
    <m/>
    <m/>
    <m/>
    <m/>
    <m/>
    <m/>
    <m/>
    <m/>
    <m/>
    <x v="2"/>
    <d v="2016-03-24T19:25:00"/>
    <s v="Topic changed from smart to bxt_preint"/>
    <m/>
    <m/>
    <s v="kaisa.taipale@intel.com"/>
    <x v="0"/>
    <x v="1"/>
    <s v=""/>
    <x v="0"/>
    <s v=""/>
    <s v=""/>
    <s v=""/>
    <s v=""/>
    <s v=""/>
    <s v=""/>
    <s v=""/>
    <x v="0"/>
    <x v="0"/>
    <x v="0"/>
  </r>
  <r>
    <x v="1"/>
    <m/>
    <m/>
    <m/>
    <m/>
    <m/>
    <m/>
    <m/>
    <m/>
    <m/>
    <m/>
    <m/>
    <x v="14"/>
    <d v="2016-03-24T19:27:00"/>
    <s v="Patch Set 7: Validation-Android+1\n\nreceive smoke test"/>
    <m/>
    <m/>
    <s v="kaisa.taipale@intel.com"/>
    <x v="0"/>
    <x v="5"/>
    <s v=""/>
    <x v="0"/>
    <s v=""/>
    <s v=""/>
    <s v=""/>
    <s v=""/>
    <s v=""/>
    <s v=""/>
    <s v=""/>
    <x v="0"/>
    <x v="1"/>
    <x v="0"/>
  </r>
  <r>
    <x v="1"/>
    <m/>
    <m/>
    <m/>
    <m/>
    <m/>
    <m/>
    <m/>
    <m/>
    <m/>
    <m/>
    <m/>
    <x v="3"/>
    <d v="2016-03-25T08:24:00"/>
    <s v="Patch Set 7: Code-Review+1"/>
    <m/>
    <m/>
    <s v="kaisa.taipale@intel.com"/>
    <x v="0"/>
    <x v="2"/>
    <s v=""/>
    <x v="0"/>
    <s v=""/>
    <s v=""/>
    <s v=""/>
    <s v=""/>
    <s v=""/>
    <s v=""/>
    <s v=""/>
    <x v="0"/>
    <x v="0"/>
    <x v="0"/>
  </r>
  <r>
    <x v="1"/>
    <m/>
    <m/>
    <m/>
    <m/>
    <m/>
    <m/>
    <m/>
    <m/>
    <m/>
    <m/>
    <m/>
    <x v="9"/>
    <d v="2016-03-25T09:03:00"/>
    <s v="Patch Set 7: Integrator+1\n\nIntegrator +1; patch will be add to PT; please no change now"/>
    <m/>
    <m/>
    <s v="kaisa.taipale@intel.com"/>
    <x v="0"/>
    <x v="5"/>
    <s v=""/>
    <x v="0"/>
    <s v=""/>
    <s v=""/>
    <s v=""/>
    <s v=""/>
    <s v=""/>
    <s v=""/>
    <s v=""/>
    <x v="0"/>
    <x v="1"/>
    <x v="0"/>
  </r>
  <r>
    <x v="1"/>
    <m/>
    <m/>
    <m/>
    <m/>
    <m/>
    <m/>
    <m/>
    <m/>
    <m/>
    <m/>
    <m/>
    <x v="9"/>
    <d v="2016-03-25T11:18:00"/>
    <s v="Patch Set 7:\n\nPassed static analysis code analyzing test. No CRITICAL issue in this patch. Auto reported by kwscan@psi-build5.bj.intel.com"/>
    <m/>
    <m/>
    <s v="kaisa.taipale@intel.com"/>
    <x v="0"/>
    <x v="5"/>
    <s v=""/>
    <x v="0"/>
    <s v=""/>
    <s v=""/>
    <s v=""/>
    <s v=""/>
    <s v=""/>
    <s v=""/>
    <s v=""/>
    <x v="0"/>
    <x v="0"/>
    <x v="0"/>
  </r>
  <r>
    <x v="1"/>
    <m/>
    <m/>
    <m/>
    <m/>
    <m/>
    <m/>
    <m/>
    <m/>
    <m/>
    <m/>
    <m/>
    <x v="9"/>
    <d v="2016-03-25T14:26:00"/>
    <s v="Patch Set 7:\n\nPassed static analysis code analyzing test. No CRITICAL issue in this patch. Auto reported by kwscan@andr-val-srv0.bj.intel.com"/>
    <m/>
    <m/>
    <s v="kaisa.taipale@intel.com"/>
    <x v="0"/>
    <x v="5"/>
    <s v=""/>
    <x v="0"/>
    <s v=""/>
    <s v=""/>
    <s v=""/>
    <s v=""/>
    <s v=""/>
    <s v=""/>
    <s v=""/>
    <x v="0"/>
    <x v="0"/>
    <x v="0"/>
  </r>
  <r>
    <x v="1"/>
    <m/>
    <m/>
    <m/>
    <m/>
    <m/>
    <m/>
    <m/>
    <m/>
    <m/>
    <m/>
    <m/>
    <x v="9"/>
    <d v="2016-03-25T15:49:00"/>
    <s v="Patch Set 7: Code-Review+1\n\nPassed PIT; ready for merge"/>
    <m/>
    <m/>
    <s v="kaisa.taipale@intel.com"/>
    <x v="0"/>
    <x v="5"/>
    <s v=""/>
    <x v="0"/>
    <s v=""/>
    <s v=""/>
    <s v=""/>
    <s v=""/>
    <s v=""/>
    <s v=""/>
    <s v=""/>
    <x v="0"/>
    <x v="0"/>
    <x v="0"/>
  </r>
  <r>
    <x v="1"/>
    <m/>
    <m/>
    <m/>
    <m/>
    <m/>
    <m/>
    <m/>
    <m/>
    <m/>
    <m/>
    <m/>
    <x v="10"/>
    <d v="2016-03-28T17:37:00"/>
    <s v="Patch Set 8:\n\nThe patch has been successfully merged into r6_legacy with https://android.intel.com/486850"/>
    <m/>
    <m/>
    <s v="kaisa.taipale@intel.com"/>
    <x v="0"/>
    <x v="5"/>
    <s v=""/>
    <x v="0"/>
    <s v=""/>
    <s v=""/>
    <s v=""/>
    <s v=""/>
    <s v=""/>
    <s v=""/>
    <s v=""/>
    <x v="0"/>
    <x v="0"/>
    <x v="0"/>
  </r>
  <r>
    <x v="1"/>
    <m/>
    <m/>
    <m/>
    <m/>
    <m/>
    <m/>
    <m/>
    <m/>
    <m/>
    <m/>
    <m/>
    <x v="10"/>
    <d v="2016-03-31T19:30:00"/>
    <s v="Patch Set 8:\n\nThe patch has been successfully merged into 1A master with https://android.intel.com/487136"/>
    <m/>
    <m/>
    <s v="kaisa.taipale@intel.com"/>
    <x v="0"/>
    <x v="5"/>
    <s v=""/>
    <x v="0"/>
    <s v=""/>
    <s v=""/>
    <s v=""/>
    <s v=""/>
    <s v=""/>
    <s v=""/>
    <s v=""/>
    <x v="0"/>
    <x v="0"/>
    <x v="0"/>
  </r>
  <r>
    <x v="2"/>
    <n v="108095"/>
    <s v="vied-viedandr-camera3hal"/>
    <s v="platform/android/main"/>
    <s v="If966805c5cea6108be7327beb77a83ee58cc7ba6"/>
    <s v="ukri.niemimuukko@intel.com"/>
    <s v="MERGED"/>
    <s v="c3:common: macro for detecting if control mode is off"/>
    <s v="c3:common: macro for detecting if control mode is off\n\nChange-Id: If966805c5cea6108be7327beb77a83ee58cc7ba6\nTracked-On: #R432494\nSigned-off-by: Ukri Niemimuukko &lt;ukri.niemimuukko@intel.com&gt;\nReviewed-on: https://icggerrit.ir.intel.com/108095\nReviewed-by: Arnaud Mandy &lt;arnaud.mandy@intel.com&gt;\nReviewed-by: Jingzhi Yu &lt;jingzhi.yu@intel.com&gt;\nReviewed-by: Juha Alanen &lt;juha.alanen@intel.com&gt;\nReviewed-by: Hongjiang A Zheng &lt;hongjiang.a.zheng@intel.com&gt;\nReviewed-by: Huitao Cao &lt;huitao.cao@intel.com&gt;\nValidation-Android: Wei Tao &lt;wei.tao@intel.com&gt;\nApprover: Jukka O Kaartinen &lt;jukka.o.kaartinen@intel.com&gt;\nReviewed-by: Miguel Verdu &lt;miguel.verdu@intel.com&gt;\nBuild: Dessert M BXT RVP (SC)\nReviewed-by: Lassi I Vaatamoinen &lt;lassi.i.vaatamoinen@intel.com&gt;\nReviewed-by: Renwei Wu &lt;renwei.wu@intel.com&gt;\nIntegrator: WeiX Meng &lt;weix.meng@intel.com&gt;\nReviewed-by: WeiX Meng &lt;weix.meng@intel.com&gt;\n"/>
    <d v="2016-03-16T17:18:00"/>
    <d v="2016-03-21T16:20:00"/>
    <s v="common"/>
    <x v="6"/>
    <d v="2016-03-16T17:18:00"/>
    <s v="Patch Set 1:\n\nPatchset Created: CI job has been scheduled."/>
    <m/>
    <s v="dongdong.zhang@intel.com;weix.meng@intel.com;lassi.i.vaatamoinen@intel.com;miguel.verdu@intel.com;huitao.cao@intel.com;hongjiang.a.zheng@intel.com;renwei.wu@intel.com;jingzhi.yu@intel.com;juha.alanen@intel.com;jukka.o.kaartinen@intel.com;arnaud.mandy@intel.com;"/>
    <s v="ukri.niemimuukko@intel.com"/>
    <x v="0"/>
    <x v="0"/>
    <s v="16'ww13"/>
    <x v="0"/>
    <n v="0"/>
    <n v="0"/>
    <n v="0"/>
    <n v="0"/>
    <n v="6"/>
    <n v="14"/>
    <n v="2"/>
    <x v="0"/>
    <x v="0"/>
    <x v="0"/>
  </r>
  <r>
    <x v="2"/>
    <m/>
    <m/>
    <m/>
    <m/>
    <m/>
    <m/>
    <m/>
    <m/>
    <m/>
    <m/>
    <m/>
    <x v="6"/>
    <d v="2016-03-16T17:18:00"/>
    <s v="Uploaded patch set 1."/>
    <m/>
    <m/>
    <s v="ukri.niemimuukko@intel.com"/>
    <x v="0"/>
    <x v="0"/>
    <s v=""/>
    <x v="0"/>
    <s v=""/>
    <s v=""/>
    <s v=""/>
    <s v=""/>
    <s v=""/>
    <s v=""/>
    <s v=""/>
    <x v="0"/>
    <x v="0"/>
    <x v="0"/>
  </r>
  <r>
    <x v="2"/>
    <m/>
    <m/>
    <m/>
    <m/>
    <m/>
    <m/>
    <m/>
    <m/>
    <m/>
    <m/>
    <m/>
    <x v="1"/>
    <d v="2016-03-16T17:25:00"/>
    <s v="Patch Set 1: Code-Review+1"/>
    <m/>
    <m/>
    <s v="ukri.niemimuukko@intel.com"/>
    <x v="0"/>
    <x v="1"/>
    <s v=""/>
    <x v="0"/>
    <s v=""/>
    <s v=""/>
    <s v=""/>
    <s v=""/>
    <s v=""/>
    <s v=""/>
    <s v=""/>
    <x v="0"/>
    <x v="0"/>
    <x v="0"/>
  </r>
  <r>
    <x v="2"/>
    <m/>
    <m/>
    <m/>
    <m/>
    <m/>
    <m/>
    <m/>
    <m/>
    <m/>
    <m/>
    <m/>
    <x v="2"/>
    <d v="2016-03-16T19:41:00"/>
    <s v="Patch Set 1: Code-Review+1\n\n(1 comment)"/>
    <s v="line9 :&quot;you could remove is. it is just duplication&quot;"/>
    <m/>
    <s v="ukri.niemimuukko@intel.com"/>
    <x v="0"/>
    <x v="1"/>
    <s v=""/>
    <x v="0"/>
    <s v=""/>
    <s v=""/>
    <s v=""/>
    <s v=""/>
    <s v=""/>
    <s v=""/>
    <s v=""/>
    <x v="0"/>
    <x v="0"/>
    <x v="0"/>
  </r>
  <r>
    <x v="2"/>
    <m/>
    <m/>
    <m/>
    <m/>
    <m/>
    <m/>
    <m/>
    <m/>
    <m/>
    <m/>
    <m/>
    <x v="5"/>
    <d v="2016-03-17T16:57:00"/>
    <s v="Patch Set 1: Code-Review+1"/>
    <m/>
    <m/>
    <s v="ukri.niemimuukko@intel.com"/>
    <x v="0"/>
    <x v="1"/>
    <s v=""/>
    <x v="0"/>
    <s v=""/>
    <s v=""/>
    <s v=""/>
    <s v=""/>
    <s v=""/>
    <s v=""/>
    <s v=""/>
    <x v="0"/>
    <x v="0"/>
    <x v="0"/>
  </r>
  <r>
    <x v="2"/>
    <m/>
    <m/>
    <m/>
    <m/>
    <m/>
    <m/>
    <m/>
    <m/>
    <m/>
    <m/>
    <m/>
    <x v="16"/>
    <d v="2016-03-17T19:25:00"/>
    <s v="Patch Set 1: Code-Review+1"/>
    <m/>
    <m/>
    <s v="ukri.niemimuukko@intel.com"/>
    <x v="0"/>
    <x v="4"/>
    <s v=""/>
    <x v="0"/>
    <s v=""/>
    <s v=""/>
    <s v=""/>
    <s v=""/>
    <s v=""/>
    <s v=""/>
    <s v=""/>
    <x v="0"/>
    <x v="0"/>
    <x v="0"/>
  </r>
  <r>
    <x v="2"/>
    <m/>
    <m/>
    <m/>
    <m/>
    <m/>
    <m/>
    <m/>
    <m/>
    <m/>
    <m/>
    <m/>
    <x v="3"/>
    <d v="2016-03-17T20:01:00"/>
    <s v="Patch Set 1: Code-Review+1"/>
    <m/>
    <m/>
    <s v="ukri.niemimuukko@intel.com"/>
    <x v="0"/>
    <x v="2"/>
    <s v=""/>
    <x v="0"/>
    <s v=""/>
    <s v=""/>
    <s v=""/>
    <s v=""/>
    <s v=""/>
    <s v=""/>
    <s v=""/>
    <x v="0"/>
    <x v="0"/>
    <x v="0"/>
  </r>
  <r>
    <x v="2"/>
    <m/>
    <m/>
    <m/>
    <m/>
    <m/>
    <m/>
    <m/>
    <m/>
    <m/>
    <m/>
    <m/>
    <x v="15"/>
    <d v="2016-03-17T23:15:00"/>
    <s v="Patch Set 1: Code-Review+1"/>
    <m/>
    <m/>
    <s v="ukri.niemimuukko@intel.com"/>
    <x v="0"/>
    <x v="4"/>
    <s v=""/>
    <x v="0"/>
    <s v=""/>
    <s v=""/>
    <s v=""/>
    <s v=""/>
    <s v=""/>
    <s v=""/>
    <s v=""/>
    <x v="0"/>
    <x v="0"/>
    <x v="0"/>
  </r>
  <r>
    <x v="2"/>
    <m/>
    <m/>
    <m/>
    <m/>
    <m/>
    <m/>
    <m/>
    <m/>
    <m/>
    <m/>
    <m/>
    <x v="7"/>
    <d v="2016-03-18T16:52:00"/>
    <s v="Patch Set 1: Code-Review+1"/>
    <m/>
    <m/>
    <s v="ukri.niemimuukko@intel.com"/>
    <x v="0"/>
    <x v="4"/>
    <s v=""/>
    <x v="0"/>
    <s v=""/>
    <s v=""/>
    <s v=""/>
    <s v=""/>
    <s v=""/>
    <s v=""/>
    <s v=""/>
    <x v="0"/>
    <x v="0"/>
    <x v="0"/>
  </r>
  <r>
    <x v="2"/>
    <m/>
    <m/>
    <m/>
    <m/>
    <m/>
    <m/>
    <m/>
    <m/>
    <m/>
    <m/>
    <m/>
    <x v="1"/>
    <d v="2016-03-18T16:56:00"/>
    <s v="Uploaded patch set 2."/>
    <m/>
    <m/>
    <s v="ukri.niemimuukko@intel.com"/>
    <x v="0"/>
    <x v="1"/>
    <s v=""/>
    <x v="0"/>
    <s v=""/>
    <s v=""/>
    <s v=""/>
    <s v=""/>
    <s v=""/>
    <s v=""/>
    <s v=""/>
    <x v="0"/>
    <x v="0"/>
    <x v="0"/>
  </r>
  <r>
    <x v="2"/>
    <m/>
    <m/>
    <m/>
    <m/>
    <m/>
    <m/>
    <m/>
    <m/>
    <m/>
    <m/>
    <m/>
    <x v="1"/>
    <d v="2016-03-18T16:56:00"/>
    <s v="Patch Set 2:\n\nPatchset Created: CI job has been scheduled."/>
    <m/>
    <m/>
    <s v="ukri.niemimuukko@intel.com"/>
    <x v="0"/>
    <x v="1"/>
    <s v=""/>
    <x v="0"/>
    <s v=""/>
    <s v=""/>
    <s v=""/>
    <s v=""/>
    <s v=""/>
    <s v=""/>
    <s v=""/>
    <x v="0"/>
    <x v="0"/>
    <x v="0"/>
  </r>
  <r>
    <x v="2"/>
    <m/>
    <m/>
    <m/>
    <m/>
    <m/>
    <m/>
    <m/>
    <m/>
    <m/>
    <m/>
    <m/>
    <x v="1"/>
    <d v="2016-03-18T16:58:00"/>
    <s v="Patch Set 2: Code-Review+1"/>
    <m/>
    <m/>
    <s v="ukri.niemimuukko@intel.com"/>
    <x v="0"/>
    <x v="1"/>
    <s v=""/>
    <x v="0"/>
    <s v=""/>
    <s v=""/>
    <s v=""/>
    <s v=""/>
    <s v=""/>
    <s v=""/>
    <s v=""/>
    <x v="0"/>
    <x v="0"/>
    <x v="0"/>
  </r>
  <r>
    <x v="2"/>
    <m/>
    <m/>
    <m/>
    <m/>
    <m/>
    <m/>
    <m/>
    <m/>
    <m/>
    <m/>
    <m/>
    <x v="16"/>
    <d v="2016-03-18T16:59:00"/>
    <s v="Patch Set 2: Code-Review+1"/>
    <m/>
    <m/>
    <s v="ukri.niemimuukko@intel.com"/>
    <x v="0"/>
    <x v="4"/>
    <s v=""/>
    <x v="0"/>
    <s v=""/>
    <s v=""/>
    <s v=""/>
    <s v=""/>
    <s v=""/>
    <s v=""/>
    <s v=""/>
    <x v="0"/>
    <x v="0"/>
    <x v="0"/>
  </r>
  <r>
    <x v="2"/>
    <m/>
    <m/>
    <m/>
    <m/>
    <m/>
    <m/>
    <m/>
    <m/>
    <m/>
    <m/>
    <m/>
    <x v="5"/>
    <d v="2016-03-18T17:00:00"/>
    <s v="Patch Set 2: Code-Review+1"/>
    <m/>
    <m/>
    <s v="ukri.niemimuukko@intel.com"/>
    <x v="0"/>
    <x v="1"/>
    <s v=""/>
    <x v="0"/>
    <s v=""/>
    <s v=""/>
    <s v=""/>
    <s v=""/>
    <s v=""/>
    <s v=""/>
    <s v=""/>
    <x v="0"/>
    <x v="0"/>
    <x v="0"/>
  </r>
  <r>
    <x v="2"/>
    <m/>
    <m/>
    <m/>
    <m/>
    <m/>
    <m/>
    <m/>
    <m/>
    <m/>
    <m/>
    <m/>
    <x v="15"/>
    <d v="2016-03-18T17:00:00"/>
    <s v="Patch Set 2: Code-Review+1"/>
    <m/>
    <m/>
    <s v="ukri.niemimuukko@intel.com"/>
    <x v="0"/>
    <x v="4"/>
    <s v=""/>
    <x v="0"/>
    <s v=""/>
    <s v=""/>
    <s v=""/>
    <s v=""/>
    <s v=""/>
    <s v=""/>
    <s v=""/>
    <x v="0"/>
    <x v="0"/>
    <x v="0"/>
  </r>
  <r>
    <x v="2"/>
    <m/>
    <m/>
    <m/>
    <m/>
    <m/>
    <m/>
    <m/>
    <m/>
    <m/>
    <m/>
    <m/>
    <x v="1"/>
    <d v="2016-03-18T17:00:00"/>
    <s v="Uploaded patch set 3: Patch Set 2 was rebased."/>
    <m/>
    <m/>
    <s v="ukri.niemimuukko@intel.com"/>
    <x v="0"/>
    <x v="1"/>
    <s v=""/>
    <x v="0"/>
    <s v=""/>
    <s v=""/>
    <s v=""/>
    <s v=""/>
    <s v=""/>
    <s v=""/>
    <s v=""/>
    <x v="0"/>
    <x v="0"/>
    <x v="0"/>
  </r>
  <r>
    <x v="2"/>
    <m/>
    <m/>
    <m/>
    <m/>
    <m/>
    <m/>
    <m/>
    <m/>
    <m/>
    <m/>
    <m/>
    <x v="1"/>
    <d v="2016-03-18T17:00:00"/>
    <s v="Patch Set 3:\n\nPatchset Created: CI job has been scheduled."/>
    <m/>
    <m/>
    <s v="ukri.niemimuukko@intel.com"/>
    <x v="0"/>
    <x v="1"/>
    <s v=""/>
    <x v="0"/>
    <s v=""/>
    <s v=""/>
    <s v=""/>
    <s v=""/>
    <s v=""/>
    <s v=""/>
    <s v=""/>
    <x v="0"/>
    <x v="0"/>
    <x v="0"/>
  </r>
  <r>
    <x v="2"/>
    <m/>
    <m/>
    <m/>
    <m/>
    <m/>
    <m/>
    <m/>
    <m/>
    <m/>
    <m/>
    <m/>
    <x v="7"/>
    <d v="2016-03-18T17:02:00"/>
    <s v="Patch Set 3: Code-Review+1"/>
    <m/>
    <m/>
    <s v="ukri.niemimuukko@intel.com"/>
    <x v="0"/>
    <x v="4"/>
    <s v=""/>
    <x v="0"/>
    <s v=""/>
    <s v=""/>
    <s v=""/>
    <s v=""/>
    <s v=""/>
    <s v=""/>
    <s v=""/>
    <x v="0"/>
    <x v="0"/>
    <x v="0"/>
  </r>
  <r>
    <x v="2"/>
    <m/>
    <m/>
    <m/>
    <m/>
    <m/>
    <m/>
    <m/>
    <m/>
    <m/>
    <m/>
    <m/>
    <x v="14"/>
    <d v="2016-03-18T17:03:00"/>
    <s v="Patch Set 3: Validation-Android+1\n\nreceive smoke test"/>
    <m/>
    <m/>
    <s v="ukri.niemimuukko@intel.com"/>
    <x v="0"/>
    <x v="5"/>
    <s v=""/>
    <x v="0"/>
    <s v=""/>
    <s v=""/>
    <s v=""/>
    <s v=""/>
    <s v=""/>
    <s v=""/>
    <s v=""/>
    <x v="0"/>
    <x v="1"/>
    <x v="0"/>
  </r>
  <r>
    <x v="2"/>
    <m/>
    <m/>
    <m/>
    <m/>
    <m/>
    <m/>
    <m/>
    <m/>
    <m/>
    <m/>
    <m/>
    <x v="2"/>
    <d v="2016-03-18T17:05:00"/>
    <s v="Patch Set 3: Approver+1"/>
    <m/>
    <m/>
    <s v="ukri.niemimuukko@intel.com"/>
    <x v="0"/>
    <x v="1"/>
    <s v=""/>
    <x v="0"/>
    <s v=""/>
    <s v=""/>
    <s v=""/>
    <s v=""/>
    <s v=""/>
    <s v=""/>
    <s v=""/>
    <x v="0"/>
    <x v="0"/>
    <x v="0"/>
  </r>
  <r>
    <x v="2"/>
    <m/>
    <m/>
    <m/>
    <m/>
    <m/>
    <m/>
    <m/>
    <m/>
    <m/>
    <m/>
    <m/>
    <x v="2"/>
    <d v="2016-03-18T17:06:00"/>
    <s v="Topic changed from March18c1 to bxt_preint_HEAD"/>
    <m/>
    <m/>
    <s v="ukri.niemimuukko@intel.com"/>
    <x v="0"/>
    <x v="1"/>
    <s v=""/>
    <x v="0"/>
    <s v=""/>
    <s v=""/>
    <s v=""/>
    <s v=""/>
    <s v=""/>
    <s v=""/>
    <s v=""/>
    <x v="0"/>
    <x v="0"/>
    <x v="0"/>
  </r>
  <r>
    <x v="2"/>
    <m/>
    <m/>
    <m/>
    <m/>
    <m/>
    <m/>
    <m/>
    <m/>
    <m/>
    <m/>
    <m/>
    <x v="2"/>
    <d v="2016-03-18T17:09:00"/>
    <s v="Topic changed from bxt_preint_HEAD to bxt_preint"/>
    <m/>
    <m/>
    <s v="ukri.niemimuukko@intel.com"/>
    <x v="0"/>
    <x v="1"/>
    <s v=""/>
    <x v="0"/>
    <s v=""/>
    <s v=""/>
    <s v=""/>
    <s v=""/>
    <s v=""/>
    <s v=""/>
    <s v=""/>
    <x v="0"/>
    <x v="0"/>
    <x v="0"/>
  </r>
  <r>
    <x v="2"/>
    <m/>
    <m/>
    <m/>
    <m/>
    <m/>
    <m/>
    <m/>
    <m/>
    <m/>
    <m/>
    <m/>
    <x v="0"/>
    <d v="2016-03-18T17:17:00"/>
    <s v="Patch Set 3: Code-Review+1"/>
    <m/>
    <m/>
    <s v="ukri.niemimuukko@intel.com"/>
    <x v="0"/>
    <x v="1"/>
    <s v=""/>
    <x v="0"/>
    <s v=""/>
    <s v=""/>
    <s v=""/>
    <s v=""/>
    <s v=""/>
    <s v=""/>
    <s v=""/>
    <x v="0"/>
    <x v="0"/>
    <x v="0"/>
  </r>
  <r>
    <x v="2"/>
    <m/>
    <m/>
    <m/>
    <m/>
    <m/>
    <m/>
    <m/>
    <m/>
    <m/>
    <m/>
    <m/>
    <x v="12"/>
    <d v="2016-03-18T18:57:00"/>
    <s v="Patch Set 3: Code-Review+1"/>
    <m/>
    <m/>
    <s v="ukri.niemimuukko@intel.com"/>
    <x v="0"/>
    <x v="1"/>
    <s v=""/>
    <x v="0"/>
    <s v=""/>
    <s v=""/>
    <s v=""/>
    <s v=""/>
    <s v=""/>
    <s v=""/>
    <s v=""/>
    <x v="0"/>
    <x v="0"/>
    <x v="0"/>
  </r>
  <r>
    <x v="2"/>
    <m/>
    <m/>
    <m/>
    <m/>
    <m/>
    <m/>
    <m/>
    <m/>
    <m/>
    <m/>
    <m/>
    <x v="3"/>
    <d v="2016-03-21T08:26:00"/>
    <s v="Patch Set 3: Code-Review+1"/>
    <m/>
    <m/>
    <s v="ukri.niemimuukko@intel.com"/>
    <x v="0"/>
    <x v="2"/>
    <s v=""/>
    <x v="0"/>
    <s v=""/>
    <s v=""/>
    <s v=""/>
    <s v=""/>
    <s v=""/>
    <s v=""/>
    <s v=""/>
    <x v="0"/>
    <x v="0"/>
    <x v="0"/>
  </r>
  <r>
    <x v="2"/>
    <m/>
    <m/>
    <m/>
    <m/>
    <m/>
    <m/>
    <m/>
    <m/>
    <m/>
    <m/>
    <m/>
    <x v="9"/>
    <d v="2016-03-21T09:00:00"/>
    <s v="Patch Set 3: Integrator+1\n\nIntegrator +1; patch will be add to PT; please no change now"/>
    <m/>
    <m/>
    <s v="ukri.niemimuukko@intel.com"/>
    <x v="0"/>
    <x v="5"/>
    <s v=""/>
    <x v="0"/>
    <s v=""/>
    <s v=""/>
    <s v=""/>
    <s v=""/>
    <s v=""/>
    <s v=""/>
    <s v=""/>
    <x v="0"/>
    <x v="1"/>
    <x v="0"/>
  </r>
  <r>
    <x v="2"/>
    <m/>
    <m/>
    <m/>
    <m/>
    <m/>
    <m/>
    <m/>
    <m/>
    <m/>
    <m/>
    <m/>
    <x v="9"/>
    <d v="2016-03-21T12:05:00"/>
    <s v="Patch Set 3:\n\nPassed static analysis code analyzing test. No CRITICAL issue in this patch. Auto reported by kwscan@andr-val-srv0.bj.intel.com"/>
    <m/>
    <m/>
    <s v="ukri.niemimuukko@intel.com"/>
    <x v="0"/>
    <x v="5"/>
    <s v=""/>
    <x v="0"/>
    <s v=""/>
    <s v=""/>
    <s v=""/>
    <s v=""/>
    <s v=""/>
    <s v=""/>
    <s v=""/>
    <x v="0"/>
    <x v="0"/>
    <x v="0"/>
  </r>
  <r>
    <x v="2"/>
    <m/>
    <m/>
    <m/>
    <m/>
    <m/>
    <m/>
    <m/>
    <m/>
    <m/>
    <m/>
    <m/>
    <x v="9"/>
    <d v="2016-03-21T12:13:00"/>
    <s v="Patch Set 3:\n\nPassed static analysis code analyzing test. No CRITICAL issue in this patch. Auto reported by kwscan@psi-build5.bj.intel.com"/>
    <m/>
    <m/>
    <s v="ukri.niemimuukko@intel.com"/>
    <x v="0"/>
    <x v="5"/>
    <s v=""/>
    <x v="0"/>
    <s v=""/>
    <s v=""/>
    <s v=""/>
    <s v=""/>
    <s v=""/>
    <s v=""/>
    <s v=""/>
    <x v="0"/>
    <x v="0"/>
    <x v="0"/>
  </r>
  <r>
    <x v="2"/>
    <m/>
    <m/>
    <m/>
    <m/>
    <m/>
    <m/>
    <m/>
    <m/>
    <m/>
    <m/>
    <m/>
    <x v="9"/>
    <d v="2016-03-21T16:17:00"/>
    <s v="Patch Set 3: Code-Review+1\n\nPassed PIT; ready for merge"/>
    <m/>
    <m/>
    <s v="ukri.niemimuukko@intel.com"/>
    <x v="0"/>
    <x v="5"/>
    <s v=""/>
    <x v="0"/>
    <s v=""/>
    <s v=""/>
    <s v=""/>
    <s v=""/>
    <s v=""/>
    <s v=""/>
    <s v=""/>
    <x v="0"/>
    <x v="0"/>
    <x v="0"/>
  </r>
  <r>
    <x v="2"/>
    <m/>
    <m/>
    <m/>
    <m/>
    <m/>
    <m/>
    <m/>
    <m/>
    <m/>
    <m/>
    <m/>
    <x v="10"/>
    <d v="2016-03-30T17:00:00"/>
    <s v="Patch Set 4:\n\nThe patch has been successfully merged into 1A master with https://android.intel.com/485928"/>
    <m/>
    <m/>
    <s v="ukri.niemimuukko@intel.com"/>
    <x v="0"/>
    <x v="5"/>
    <s v=""/>
    <x v="0"/>
    <s v=""/>
    <s v=""/>
    <s v=""/>
    <s v=""/>
    <s v=""/>
    <s v=""/>
    <s v=""/>
    <x v="0"/>
    <x v="0"/>
    <x v="0"/>
  </r>
  <r>
    <x v="3"/>
    <n v="108411"/>
    <s v="vied-viedandr-camera3hal"/>
    <s v="platform/android/main"/>
    <s v="I9642aa6f17a76f03be0969cb90309916e2e0a4b6"/>
    <s v="lassi.i.vaatamoinen@intel.com"/>
    <s v="MERGED"/>
    <s v="c3:v4l2dev: fixing CC_ macro bracketing"/>
    <s v="c3:v4l2dev: fixing CC_ macro bracketing\n\nSome macros had bracketing issues; possibly affecting code parsers\n\nChange-Id: I9642aa6f17a76f03be0969cb90309916e2e0a4b6\nTracked-On: #R513545\nSigned-off-by: Lassi I Vaatamoinen &lt;lassi.i.vaatamoinen@intel.com&gt;\nSigned-off-by: Miguel Verdu &lt;miguel.verdu@intel.com&gt;\nReviewed-on: https://icggerrit.ir.intel.com/108411\nBuild: Dessert M BXT RVP (SC)\nReviewed-by: Jukka O Kaartinen &lt;jukka.o.kaartinen@intel.com&gt;\nReviewed-by: Renwei Wu &lt;renwei.wu@intel.com&gt;\nReviewed-by: Jarno Jakonen &lt;jarno.jakonen@intel.com&gt;\nValidation-Android: Wei Tao &lt;wei.tao@intel.com&gt;\nIntegrator: WeiX Meng &lt;weix.meng@intel.com&gt;\nReviewed-by: Jingzhi Yu &lt;jingzhi.yu@intel.com&gt;\nReviewed-by: Gang A Hu &lt;gang.a.hu@intel.com&gt;\nReviewed-by: WeiX Meng &lt;weix.meng@intel.com&gt;\n"/>
    <d v="2016-03-17T22:45:00"/>
    <d v="2016-03-22T16:08:00"/>
    <s v="common"/>
    <x v="12"/>
    <d v="2016-03-17T22:45:00"/>
    <s v="Uploaded patch set 1."/>
    <m/>
    <s v="dongdong.zhang@intel.com;weix.meng@intel.com;gang.a.hu@intel.com;jingzhi.yu@intel.com;jarno.jakonen@intel.com;miguel.verdu@intel.com;renwei.wu@intel.com;juha.alanen@intel.com;jukka.o.kaartinen@intel.com;"/>
    <s v="lassi.i.vaatamoinen@intel.com"/>
    <x v="0"/>
    <x v="0"/>
    <s v="16'ww13"/>
    <x v="0"/>
    <n v="0"/>
    <n v="0"/>
    <n v="0"/>
    <n v="0"/>
    <n v="2"/>
    <n v="10"/>
    <n v="2"/>
    <x v="0"/>
    <x v="0"/>
    <x v="0"/>
  </r>
  <r>
    <x v="3"/>
    <m/>
    <m/>
    <m/>
    <m/>
    <m/>
    <m/>
    <m/>
    <m/>
    <m/>
    <m/>
    <m/>
    <x v="12"/>
    <d v="2016-03-17T22:45:00"/>
    <s v="Patch Set 1:\n\nPatchset Created: CI job has been scheduled."/>
    <m/>
    <m/>
    <s v="lassi.i.vaatamoinen@intel.com"/>
    <x v="0"/>
    <x v="0"/>
    <s v=""/>
    <x v="0"/>
    <s v=""/>
    <s v=""/>
    <s v=""/>
    <s v=""/>
    <s v=""/>
    <s v=""/>
    <s v=""/>
    <x v="0"/>
    <x v="0"/>
    <x v="0"/>
  </r>
  <r>
    <x v="3"/>
    <m/>
    <m/>
    <m/>
    <m/>
    <m/>
    <m/>
    <m/>
    <m/>
    <m/>
    <m/>
    <m/>
    <x v="2"/>
    <d v="2016-03-17T22:47:00"/>
    <s v="Patch Set 1: Code-Review+1"/>
    <m/>
    <m/>
    <s v="lassi.i.vaatamoinen@intel.com"/>
    <x v="0"/>
    <x v="1"/>
    <s v=""/>
    <x v="0"/>
    <s v=""/>
    <s v=""/>
    <s v=""/>
    <s v=""/>
    <s v=""/>
    <s v=""/>
    <s v=""/>
    <x v="0"/>
    <x v="0"/>
    <x v="0"/>
  </r>
  <r>
    <x v="3"/>
    <m/>
    <m/>
    <m/>
    <m/>
    <m/>
    <m/>
    <m/>
    <m/>
    <m/>
    <m/>
    <m/>
    <x v="5"/>
    <d v="2016-03-17T22:54:00"/>
    <s v="Patch Set 1: Code-Review+1"/>
    <m/>
    <m/>
    <s v="lassi.i.vaatamoinen@intel.com"/>
    <x v="0"/>
    <x v="1"/>
    <s v=""/>
    <x v="0"/>
    <s v=""/>
    <s v=""/>
    <s v=""/>
    <s v=""/>
    <s v=""/>
    <s v=""/>
    <s v=""/>
    <x v="0"/>
    <x v="0"/>
    <x v="0"/>
  </r>
  <r>
    <x v="3"/>
    <m/>
    <m/>
    <m/>
    <m/>
    <m/>
    <m/>
    <m/>
    <m/>
    <m/>
    <m/>
    <m/>
    <x v="12"/>
    <d v="2016-03-17T23:06:00"/>
    <s v="Patch Set 1: Code-Review+1"/>
    <m/>
    <m/>
    <s v="lassi.i.vaatamoinen@intel.com"/>
    <x v="0"/>
    <x v="0"/>
    <s v=""/>
    <x v="0"/>
    <s v=""/>
    <s v=""/>
    <s v=""/>
    <s v=""/>
    <s v=""/>
    <s v=""/>
    <s v=""/>
    <x v="0"/>
    <x v="0"/>
    <x v="0"/>
  </r>
  <r>
    <x v="3"/>
    <m/>
    <m/>
    <m/>
    <m/>
    <m/>
    <m/>
    <m/>
    <m/>
    <m/>
    <m/>
    <m/>
    <x v="12"/>
    <d v="2016-03-17T23:32:00"/>
    <s v="Patch Set 2:\n\nPatchset Created: CI job has been scheduled."/>
    <m/>
    <m/>
    <s v="lassi.i.vaatamoinen@intel.com"/>
    <x v="0"/>
    <x v="0"/>
    <s v=""/>
    <x v="0"/>
    <s v=""/>
    <s v=""/>
    <s v=""/>
    <s v=""/>
    <s v=""/>
    <s v=""/>
    <s v=""/>
    <x v="0"/>
    <x v="0"/>
    <x v="0"/>
  </r>
  <r>
    <x v="3"/>
    <m/>
    <m/>
    <m/>
    <m/>
    <m/>
    <m/>
    <m/>
    <m/>
    <m/>
    <m/>
    <m/>
    <x v="12"/>
    <d v="2016-03-17T23:32:00"/>
    <s v="Uploaded patch set 2: Patch Set 1 was rebased."/>
    <m/>
    <m/>
    <s v="lassi.i.vaatamoinen@intel.com"/>
    <x v="0"/>
    <x v="0"/>
    <s v=""/>
    <x v="0"/>
    <s v=""/>
    <s v=""/>
    <s v=""/>
    <s v=""/>
    <s v=""/>
    <s v=""/>
    <s v=""/>
    <x v="0"/>
    <x v="0"/>
    <x v="0"/>
  </r>
  <r>
    <x v="3"/>
    <m/>
    <m/>
    <m/>
    <m/>
    <m/>
    <m/>
    <m/>
    <m/>
    <m/>
    <m/>
    <m/>
    <x v="3"/>
    <d v="2016-03-18T10:03:00"/>
    <s v="Patch Set 2: Code-Review+1"/>
    <m/>
    <m/>
    <s v="lassi.i.vaatamoinen@intel.com"/>
    <x v="0"/>
    <x v="2"/>
    <s v=""/>
    <x v="0"/>
    <s v=""/>
    <s v=""/>
    <s v=""/>
    <s v=""/>
    <s v=""/>
    <s v=""/>
    <s v=""/>
    <x v="0"/>
    <x v="0"/>
    <x v="0"/>
  </r>
  <r>
    <x v="3"/>
    <m/>
    <m/>
    <m/>
    <m/>
    <m/>
    <m/>
    <m/>
    <m/>
    <m/>
    <m/>
    <m/>
    <x v="12"/>
    <d v="2016-03-18T17:10:00"/>
    <s v="Uploaded patch set 3: Patch Set 2 was rebased."/>
    <m/>
    <m/>
    <s v="lassi.i.vaatamoinen@intel.com"/>
    <x v="0"/>
    <x v="0"/>
    <s v=""/>
    <x v="0"/>
    <s v=""/>
    <s v=""/>
    <s v=""/>
    <s v=""/>
    <s v=""/>
    <s v=""/>
    <s v=""/>
    <x v="0"/>
    <x v="0"/>
    <x v="0"/>
  </r>
  <r>
    <x v="3"/>
    <m/>
    <m/>
    <m/>
    <m/>
    <m/>
    <m/>
    <m/>
    <m/>
    <m/>
    <m/>
    <m/>
    <x v="12"/>
    <d v="2016-03-18T17:10:00"/>
    <s v="Patch Set 3:\n\nPatchset Created: CI job has been scheduled."/>
    <m/>
    <m/>
    <s v="lassi.i.vaatamoinen@intel.com"/>
    <x v="0"/>
    <x v="0"/>
    <s v=""/>
    <x v="0"/>
    <s v=""/>
    <s v=""/>
    <s v=""/>
    <s v=""/>
    <s v=""/>
    <s v=""/>
    <s v=""/>
    <x v="0"/>
    <x v="0"/>
    <x v="0"/>
  </r>
  <r>
    <x v="3"/>
    <m/>
    <m/>
    <m/>
    <m/>
    <m/>
    <m/>
    <m/>
    <m/>
    <m/>
    <m/>
    <m/>
    <x v="12"/>
    <d v="2016-03-18T17:21:00"/>
    <s v="Uploaded patch set 4: Patch Set 3 was rebased."/>
    <m/>
    <m/>
    <s v="lassi.i.vaatamoinen@intel.com"/>
    <x v="0"/>
    <x v="0"/>
    <s v=""/>
    <x v="0"/>
    <s v=""/>
    <s v=""/>
    <s v=""/>
    <s v=""/>
    <s v=""/>
    <s v=""/>
    <s v=""/>
    <x v="0"/>
    <x v="0"/>
    <x v="0"/>
  </r>
  <r>
    <x v="3"/>
    <m/>
    <m/>
    <m/>
    <m/>
    <m/>
    <m/>
    <m/>
    <m/>
    <m/>
    <m/>
    <m/>
    <x v="12"/>
    <d v="2016-03-18T17:21:00"/>
    <s v="Patch Set 4:\n\nPatchset Created: CI job has been scheduled."/>
    <m/>
    <m/>
    <s v="lassi.i.vaatamoinen@intel.com"/>
    <x v="0"/>
    <x v="0"/>
    <s v=""/>
    <x v="0"/>
    <s v=""/>
    <s v=""/>
    <s v=""/>
    <s v=""/>
    <s v=""/>
    <s v=""/>
    <s v=""/>
    <x v="0"/>
    <x v="0"/>
    <x v="0"/>
  </r>
  <r>
    <x v="3"/>
    <m/>
    <m/>
    <m/>
    <m/>
    <m/>
    <m/>
    <m/>
    <m/>
    <m/>
    <m/>
    <m/>
    <x v="0"/>
    <d v="2016-03-18T17:21:00"/>
    <s v="Patch Set 4: Code-Review+1"/>
    <m/>
    <m/>
    <s v="lassi.i.vaatamoinen@intel.com"/>
    <x v="0"/>
    <x v="1"/>
    <s v=""/>
    <x v="0"/>
    <s v=""/>
    <s v=""/>
    <s v=""/>
    <s v=""/>
    <s v=""/>
    <s v=""/>
    <s v=""/>
    <x v="0"/>
    <x v="0"/>
    <x v="0"/>
  </r>
  <r>
    <x v="3"/>
    <m/>
    <m/>
    <m/>
    <m/>
    <m/>
    <m/>
    <m/>
    <m/>
    <m/>
    <m/>
    <m/>
    <x v="12"/>
    <d v="2016-03-18T18:29:00"/>
    <s v="Uploaded patch set 5: Patch Set 4 was rebased."/>
    <m/>
    <m/>
    <s v="lassi.i.vaatamoinen@intel.com"/>
    <x v="0"/>
    <x v="0"/>
    <s v=""/>
    <x v="0"/>
    <s v=""/>
    <s v=""/>
    <s v=""/>
    <s v=""/>
    <s v=""/>
    <s v=""/>
    <s v=""/>
    <x v="0"/>
    <x v="0"/>
    <x v="0"/>
  </r>
  <r>
    <x v="3"/>
    <m/>
    <m/>
    <m/>
    <m/>
    <m/>
    <m/>
    <m/>
    <m/>
    <m/>
    <m/>
    <m/>
    <x v="12"/>
    <d v="2016-03-18T18:29:00"/>
    <s v="Patch Set 5:\n\nPatchset Created: CI job has been scheduled."/>
    <m/>
    <m/>
    <s v="lassi.i.vaatamoinen@intel.com"/>
    <x v="0"/>
    <x v="0"/>
    <s v=""/>
    <x v="0"/>
    <s v=""/>
    <s v=""/>
    <s v=""/>
    <s v=""/>
    <s v=""/>
    <s v=""/>
    <s v=""/>
    <x v="0"/>
    <x v="0"/>
    <x v="0"/>
  </r>
  <r>
    <x v="3"/>
    <m/>
    <m/>
    <m/>
    <m/>
    <m/>
    <m/>
    <m/>
    <m/>
    <m/>
    <m/>
    <m/>
    <x v="12"/>
    <d v="2016-03-18T18:56:00"/>
    <s v="Uploaded patch set 6: Patch Set 5 was rebased."/>
    <m/>
    <m/>
    <s v="lassi.i.vaatamoinen@intel.com"/>
    <x v="0"/>
    <x v="0"/>
    <s v=""/>
    <x v="0"/>
    <s v=""/>
    <s v=""/>
    <s v=""/>
    <s v=""/>
    <s v=""/>
    <s v=""/>
    <s v=""/>
    <x v="0"/>
    <x v="0"/>
    <x v="0"/>
  </r>
  <r>
    <x v="3"/>
    <m/>
    <m/>
    <m/>
    <m/>
    <m/>
    <m/>
    <m/>
    <m/>
    <m/>
    <m/>
    <m/>
    <x v="12"/>
    <d v="2016-03-18T18:56:00"/>
    <s v="Patch Set 6:\n\nPatchset Created: CI job has been scheduled."/>
    <m/>
    <m/>
    <s v="lassi.i.vaatamoinen@intel.com"/>
    <x v="0"/>
    <x v="0"/>
    <s v=""/>
    <x v="0"/>
    <s v=""/>
    <s v=""/>
    <s v=""/>
    <s v=""/>
    <s v=""/>
    <s v=""/>
    <s v=""/>
    <x v="0"/>
    <x v="0"/>
    <x v="0"/>
  </r>
  <r>
    <x v="3"/>
    <m/>
    <m/>
    <m/>
    <m/>
    <m/>
    <m/>
    <m/>
    <m/>
    <m/>
    <m/>
    <m/>
    <x v="17"/>
    <d v="2016-03-18T20:46:00"/>
    <s v="Patch Set 6: Code-Review+1"/>
    <m/>
    <m/>
    <s v="lassi.i.vaatamoinen@intel.com"/>
    <x v="0"/>
    <x v="1"/>
    <s v=""/>
    <x v="0"/>
    <s v=""/>
    <s v=""/>
    <s v=""/>
    <s v=""/>
    <s v=""/>
    <s v=""/>
    <s v=""/>
    <x v="0"/>
    <x v="0"/>
    <x v="0"/>
  </r>
  <r>
    <x v="3"/>
    <m/>
    <m/>
    <m/>
    <m/>
    <m/>
    <m/>
    <m/>
    <m/>
    <m/>
    <m/>
    <m/>
    <x v="12"/>
    <d v="2016-03-18T23:52:00"/>
    <s v="Patch Set 7:\n\nPatchset Created: CI job has been scheduled."/>
    <m/>
    <m/>
    <s v="lassi.i.vaatamoinen@intel.com"/>
    <x v="0"/>
    <x v="0"/>
    <s v=""/>
    <x v="0"/>
    <s v=""/>
    <s v=""/>
    <s v=""/>
    <s v=""/>
    <s v=""/>
    <s v=""/>
    <s v=""/>
    <x v="0"/>
    <x v="0"/>
    <x v="0"/>
  </r>
  <r>
    <x v="3"/>
    <m/>
    <m/>
    <m/>
    <m/>
    <m/>
    <m/>
    <m/>
    <m/>
    <m/>
    <m/>
    <m/>
    <x v="12"/>
    <d v="2016-03-18T23:52:00"/>
    <s v="Uploaded patch set 7: Patch Set 6 was rebased."/>
    <m/>
    <m/>
    <s v="lassi.i.vaatamoinen@intel.com"/>
    <x v="0"/>
    <x v="0"/>
    <s v=""/>
    <x v="0"/>
    <s v=""/>
    <s v=""/>
    <s v=""/>
    <s v=""/>
    <s v=""/>
    <s v=""/>
    <s v=""/>
    <x v="0"/>
    <x v="0"/>
    <x v="0"/>
  </r>
  <r>
    <x v="3"/>
    <m/>
    <m/>
    <m/>
    <m/>
    <m/>
    <m/>
    <m/>
    <m/>
    <m/>
    <m/>
    <m/>
    <x v="14"/>
    <d v="2016-03-19T00:02:00"/>
    <s v="Patch Set 7: Validation-Android+1\n\nreceive smoke test"/>
    <m/>
    <m/>
    <s v="lassi.i.vaatamoinen@intel.com"/>
    <x v="0"/>
    <x v="5"/>
    <s v=""/>
    <x v="0"/>
    <s v=""/>
    <s v=""/>
    <s v=""/>
    <s v=""/>
    <s v=""/>
    <s v=""/>
    <s v=""/>
    <x v="0"/>
    <x v="1"/>
    <x v="0"/>
  </r>
  <r>
    <x v="3"/>
    <m/>
    <m/>
    <m/>
    <m/>
    <m/>
    <m/>
    <m/>
    <m/>
    <m/>
    <m/>
    <m/>
    <x v="0"/>
    <d v="2016-03-19T05:59:00"/>
    <s v="Uploaded patch set 8."/>
    <m/>
    <m/>
    <s v="lassi.i.vaatamoinen@intel.com"/>
    <x v="0"/>
    <x v="1"/>
    <s v=""/>
    <x v="0"/>
    <s v=""/>
    <s v=""/>
    <s v=""/>
    <s v=""/>
    <s v=""/>
    <s v=""/>
    <s v=""/>
    <x v="0"/>
    <x v="0"/>
    <x v="0"/>
  </r>
  <r>
    <x v="3"/>
    <m/>
    <m/>
    <m/>
    <m/>
    <m/>
    <m/>
    <m/>
    <m/>
    <m/>
    <m/>
    <m/>
    <x v="0"/>
    <d v="2016-03-19T05:59:00"/>
    <s v="Patch Set 8:\n\nPatchset Created: CI job has been scheduled."/>
    <m/>
    <m/>
    <s v="lassi.i.vaatamoinen@intel.com"/>
    <x v="0"/>
    <x v="1"/>
    <s v=""/>
    <x v="0"/>
    <s v=""/>
    <s v=""/>
    <s v=""/>
    <s v=""/>
    <s v=""/>
    <s v=""/>
    <s v=""/>
    <x v="0"/>
    <x v="0"/>
    <x v="0"/>
  </r>
  <r>
    <x v="3"/>
    <m/>
    <m/>
    <m/>
    <m/>
    <m/>
    <m/>
    <m/>
    <m/>
    <m/>
    <m/>
    <m/>
    <x v="2"/>
    <d v="2016-03-19T14:43:00"/>
    <s v="Patch Set 8: Code-Review+1"/>
    <m/>
    <m/>
    <s v="lassi.i.vaatamoinen@intel.com"/>
    <x v="0"/>
    <x v="1"/>
    <s v=""/>
    <x v="0"/>
    <s v=""/>
    <s v=""/>
    <s v=""/>
    <s v=""/>
    <s v=""/>
    <s v=""/>
    <s v=""/>
    <x v="0"/>
    <x v="0"/>
    <x v="0"/>
  </r>
  <r>
    <x v="3"/>
    <m/>
    <m/>
    <m/>
    <m/>
    <m/>
    <m/>
    <m/>
    <m/>
    <m/>
    <m/>
    <m/>
    <x v="3"/>
    <d v="2016-03-21T08:27:00"/>
    <s v="Patch Set 8: Code-Review+1"/>
    <m/>
    <m/>
    <s v="lassi.i.vaatamoinen@intel.com"/>
    <x v="0"/>
    <x v="2"/>
    <s v=""/>
    <x v="0"/>
    <s v=""/>
    <s v=""/>
    <s v=""/>
    <s v=""/>
    <s v=""/>
    <s v=""/>
    <s v=""/>
    <x v="0"/>
    <x v="0"/>
    <x v="0"/>
  </r>
  <r>
    <x v="3"/>
    <m/>
    <m/>
    <m/>
    <m/>
    <m/>
    <m/>
    <m/>
    <m/>
    <m/>
    <m/>
    <m/>
    <x v="12"/>
    <d v="2016-03-21T15:35:00"/>
    <s v="Patch Set 8: Code-Review+1"/>
    <m/>
    <m/>
    <s v="lassi.i.vaatamoinen@intel.com"/>
    <x v="0"/>
    <x v="0"/>
    <s v=""/>
    <x v="0"/>
    <s v=""/>
    <s v=""/>
    <s v=""/>
    <s v=""/>
    <s v=""/>
    <s v=""/>
    <s v=""/>
    <x v="0"/>
    <x v="0"/>
    <x v="0"/>
  </r>
  <r>
    <x v="3"/>
    <m/>
    <m/>
    <m/>
    <m/>
    <m/>
    <m/>
    <m/>
    <m/>
    <m/>
    <m/>
    <m/>
    <x v="0"/>
    <d v="2016-03-21T17:32:00"/>
    <s v="Patch Set 8: Code-Review+1"/>
    <m/>
    <m/>
    <s v="lassi.i.vaatamoinen@intel.com"/>
    <x v="0"/>
    <x v="1"/>
    <s v=""/>
    <x v="0"/>
    <s v=""/>
    <s v=""/>
    <s v=""/>
    <s v=""/>
    <s v=""/>
    <s v=""/>
    <s v=""/>
    <x v="0"/>
    <x v="0"/>
    <x v="0"/>
  </r>
  <r>
    <x v="3"/>
    <m/>
    <m/>
    <m/>
    <m/>
    <m/>
    <m/>
    <m/>
    <m/>
    <m/>
    <m/>
    <m/>
    <x v="17"/>
    <d v="2016-03-21T18:10:00"/>
    <s v="Patch Set 8: Code-Review+1"/>
    <m/>
    <m/>
    <s v="lassi.i.vaatamoinen@intel.com"/>
    <x v="0"/>
    <x v="1"/>
    <s v=""/>
    <x v="0"/>
    <s v=""/>
    <s v=""/>
    <s v=""/>
    <s v=""/>
    <s v=""/>
    <s v=""/>
    <s v=""/>
    <x v="0"/>
    <x v="0"/>
    <x v="0"/>
  </r>
  <r>
    <x v="3"/>
    <m/>
    <m/>
    <m/>
    <m/>
    <m/>
    <m/>
    <m/>
    <m/>
    <m/>
    <m/>
    <m/>
    <x v="0"/>
    <d v="2016-03-21T23:27:00"/>
    <s v="Patch Set 8: Approver+1"/>
    <m/>
    <m/>
    <s v="lassi.i.vaatamoinen@intel.com"/>
    <x v="0"/>
    <x v="1"/>
    <s v=""/>
    <x v="0"/>
    <s v=""/>
    <s v=""/>
    <s v=""/>
    <s v=""/>
    <s v=""/>
    <s v=""/>
    <s v=""/>
    <x v="0"/>
    <x v="0"/>
    <x v="0"/>
  </r>
  <r>
    <x v="3"/>
    <m/>
    <m/>
    <m/>
    <m/>
    <m/>
    <m/>
    <m/>
    <m/>
    <m/>
    <m/>
    <m/>
    <x v="12"/>
    <d v="2016-03-21T23:33:00"/>
    <s v="Topic changed from up_gcss to bxt_preint"/>
    <m/>
    <m/>
    <s v="lassi.i.vaatamoinen@intel.com"/>
    <x v="0"/>
    <x v="0"/>
    <s v=""/>
    <x v="0"/>
    <s v=""/>
    <s v=""/>
    <s v=""/>
    <s v=""/>
    <s v=""/>
    <s v=""/>
    <s v=""/>
    <x v="0"/>
    <x v="0"/>
    <x v="0"/>
  </r>
  <r>
    <x v="3"/>
    <m/>
    <m/>
    <m/>
    <m/>
    <m/>
    <m/>
    <m/>
    <m/>
    <m/>
    <m/>
    <m/>
    <x v="14"/>
    <d v="2016-03-21T23:34:00"/>
    <s v="Patch Set 8: Validation-Android+1\n\nreceive smoke test"/>
    <m/>
    <m/>
    <s v="lassi.i.vaatamoinen@intel.com"/>
    <x v="0"/>
    <x v="5"/>
    <s v=""/>
    <x v="0"/>
    <s v=""/>
    <s v=""/>
    <s v=""/>
    <s v=""/>
    <s v=""/>
    <s v=""/>
    <s v=""/>
    <x v="0"/>
    <x v="1"/>
    <x v="0"/>
  </r>
  <r>
    <x v="3"/>
    <m/>
    <m/>
    <m/>
    <m/>
    <m/>
    <m/>
    <m/>
    <m/>
    <m/>
    <m/>
    <m/>
    <x v="9"/>
    <d v="2016-03-22T08:47:00"/>
    <s v="Patch Set 8: Integrator+1\n\nIntegrator +1; patch will be add to PT; please no change now"/>
    <m/>
    <m/>
    <s v="lassi.i.vaatamoinen@intel.com"/>
    <x v="0"/>
    <x v="5"/>
    <s v=""/>
    <x v="0"/>
    <s v=""/>
    <s v=""/>
    <s v=""/>
    <s v=""/>
    <s v=""/>
    <s v=""/>
    <s v=""/>
    <x v="0"/>
    <x v="1"/>
    <x v="0"/>
  </r>
  <r>
    <x v="3"/>
    <m/>
    <m/>
    <m/>
    <m/>
    <m/>
    <m/>
    <m/>
    <m/>
    <m/>
    <m/>
    <m/>
    <x v="16"/>
    <d v="2016-03-22T10:20:00"/>
    <s v="Patch Set 8: Code-Review+1"/>
    <m/>
    <m/>
    <s v="lassi.i.vaatamoinen@intel.com"/>
    <x v="0"/>
    <x v="4"/>
    <s v=""/>
    <x v="0"/>
    <s v=""/>
    <s v=""/>
    <s v=""/>
    <s v=""/>
    <s v=""/>
    <s v=""/>
    <s v=""/>
    <x v="0"/>
    <x v="0"/>
    <x v="0"/>
  </r>
  <r>
    <x v="3"/>
    <m/>
    <m/>
    <m/>
    <m/>
    <m/>
    <m/>
    <m/>
    <m/>
    <m/>
    <m/>
    <m/>
    <x v="13"/>
    <d v="2016-03-22T10:49:00"/>
    <s v="Patch Set 8: Code-Review+1"/>
    <m/>
    <m/>
    <s v="lassi.i.vaatamoinen@intel.com"/>
    <x v="0"/>
    <x v="4"/>
    <s v=""/>
    <x v="0"/>
    <s v=""/>
    <s v=""/>
    <s v=""/>
    <s v=""/>
    <s v=""/>
    <s v=""/>
    <s v=""/>
    <x v="0"/>
    <x v="0"/>
    <x v="0"/>
  </r>
  <r>
    <x v="3"/>
    <m/>
    <m/>
    <m/>
    <m/>
    <m/>
    <m/>
    <m/>
    <m/>
    <m/>
    <m/>
    <m/>
    <x v="9"/>
    <d v="2016-03-22T11:17:00"/>
    <s v="Patch Set 8:\n\nPassed static analysis code analyzing test. No CRITICAL issue in this patch. Auto reported by kwscan@andr-val-srv0.bj.intel.com"/>
    <m/>
    <m/>
    <s v="lassi.i.vaatamoinen@intel.com"/>
    <x v="0"/>
    <x v="5"/>
    <s v=""/>
    <x v="0"/>
    <s v=""/>
    <s v=""/>
    <s v=""/>
    <s v=""/>
    <s v=""/>
    <s v=""/>
    <s v=""/>
    <x v="0"/>
    <x v="0"/>
    <x v="0"/>
  </r>
  <r>
    <x v="3"/>
    <m/>
    <m/>
    <m/>
    <m/>
    <m/>
    <m/>
    <m/>
    <m/>
    <m/>
    <m/>
    <m/>
    <x v="9"/>
    <d v="2016-03-22T11:46:00"/>
    <s v="Patch Set 8:\n\nPassed static analysis code analyzing test. No CRITICAL issue in this patch. Auto reported by kwscan@psi-build5.bj.intel.com"/>
    <m/>
    <m/>
    <s v="lassi.i.vaatamoinen@intel.com"/>
    <x v="0"/>
    <x v="5"/>
    <s v=""/>
    <x v="0"/>
    <s v=""/>
    <s v=""/>
    <s v=""/>
    <s v=""/>
    <s v=""/>
    <s v=""/>
    <s v=""/>
    <x v="0"/>
    <x v="0"/>
    <x v="0"/>
  </r>
  <r>
    <x v="3"/>
    <m/>
    <m/>
    <m/>
    <m/>
    <m/>
    <m/>
    <m/>
    <m/>
    <m/>
    <m/>
    <m/>
    <x v="9"/>
    <d v="2016-03-22T12:00:00"/>
    <s v="Patch Set 8:\n\nPassed static analysis code analyzing test. No CRITICAL issue in this patch. Auto reported by kwscan@kw-srv2.bj.intel.com"/>
    <m/>
    <m/>
    <s v="lassi.i.vaatamoinen@intel.com"/>
    <x v="0"/>
    <x v="5"/>
    <s v=""/>
    <x v="0"/>
    <s v=""/>
    <s v=""/>
    <s v=""/>
    <s v=""/>
    <s v=""/>
    <s v=""/>
    <s v=""/>
    <x v="0"/>
    <x v="0"/>
    <x v="0"/>
  </r>
  <r>
    <x v="3"/>
    <m/>
    <m/>
    <m/>
    <m/>
    <m/>
    <m/>
    <m/>
    <m/>
    <m/>
    <m/>
    <m/>
    <x v="9"/>
    <d v="2016-03-22T14:51:00"/>
    <s v="Patch Set 8:\n\nPassed static analysis code analyzing test. No CRITICAL issue in this patch. Auto reported by kwscan@psi-build5.bj.intel.com"/>
    <m/>
    <m/>
    <s v="lassi.i.vaatamoinen@intel.com"/>
    <x v="0"/>
    <x v="5"/>
    <s v=""/>
    <x v="0"/>
    <s v=""/>
    <s v=""/>
    <s v=""/>
    <s v=""/>
    <s v=""/>
    <s v=""/>
    <s v=""/>
    <x v="0"/>
    <x v="0"/>
    <x v="0"/>
  </r>
  <r>
    <x v="3"/>
    <m/>
    <m/>
    <m/>
    <m/>
    <m/>
    <m/>
    <m/>
    <m/>
    <m/>
    <m/>
    <m/>
    <x v="9"/>
    <d v="2016-03-22T16:07:00"/>
    <s v="Patch Set 8: Code-Review+1\n\nPassed PIT; ready for merge"/>
    <m/>
    <m/>
    <s v="lassi.i.vaatamoinen@intel.com"/>
    <x v="0"/>
    <x v="5"/>
    <s v=""/>
    <x v="0"/>
    <s v=""/>
    <s v=""/>
    <s v=""/>
    <s v=""/>
    <s v=""/>
    <s v=""/>
    <s v=""/>
    <x v="0"/>
    <x v="0"/>
    <x v="0"/>
  </r>
  <r>
    <x v="3"/>
    <m/>
    <m/>
    <m/>
    <m/>
    <m/>
    <m/>
    <m/>
    <m/>
    <m/>
    <m/>
    <m/>
    <x v="10"/>
    <d v="2016-03-30T16:59:00"/>
    <s v="Patch Set 9:\n\nThe patch has been successfully merged into 1A master with https://android.intel.com/485928"/>
    <m/>
    <m/>
    <s v="lassi.i.vaatamoinen@intel.com"/>
    <x v="0"/>
    <x v="5"/>
    <s v=""/>
    <x v="0"/>
    <s v=""/>
    <s v=""/>
    <s v=""/>
    <s v=""/>
    <s v=""/>
    <s v=""/>
    <s v=""/>
    <x v="0"/>
    <x v="0"/>
    <x v="0"/>
  </r>
  <r>
    <x v="4"/>
    <n v="107489"/>
    <s v="vied-viedandr-camera3hal"/>
    <s v="platform/android/main"/>
    <s v="Id79ff6da6e76b2a11b917371531ddc5b2ad01d08"/>
    <s v="miguel.verdu@intel.com"/>
    <s v="MERGED"/>
    <s v="c3: new common macro; check binary flag"/>
    <s v="c3: new common macro; check binary flag\n\nUseful when checking gralloc usage flags.\n\nChange-Id: Id79ff6da6e76b2a11b917371531ddc5b2ad01d08\nTracked-On: #R14510\nSigned-off-by: Miguel Verdu &lt;miguel.verdu@intel.com&gt;\nReviewed-on: https://icggerrit.ir.intel.com/107489\nReviewed-by: John Mathew &lt;john.mathew@intel.com&gt;\nReviewed-by: Renwei Wu &lt;renwei.wu@intel.com&gt;\nReviewed-by: Jingzhi Yu &lt;jingzhi.yu@intel.com&gt;\nReviewed-by: Jukka O Kaartinen &lt;jukka.o.kaartinen@intel.com&gt;\nReviewed-by: Arnaud Mandy &lt;arnaud.mandy@intel.com&gt;\nReviewed-by: Juha Alanen &lt;juha.alanen@intel.com&gt;\nReviewed-by: Lassi I Vaatamoinen &lt;lassi.i.vaatamoinen@intel.com&gt;\nReviewed-by: Hongjiang A Zheng &lt;hongjiang.a.zheng@intel.com&gt;\nReviewed-by: Gang A Hu &lt;gang.a.hu@intel.com&gt;\nReviewed-by: Jarno Jakonen &lt;jarno.jakonen@intel.com&gt;\nBuild: Dessert M BXT RVP (SC)\nApprover: Lassi I Vaatamoinen &lt;lassi.i.vaatamoinen@intel.com&gt;\nValidation-Android: Wei Tao &lt;wei.tao@intel.com&gt;\nIntegrator: WeiX Meng &lt;weix.meng@intel.com&gt;\nReviewed-by: WeiX Meng &lt;weix.meng@intel.com&gt;\n"/>
    <d v="2016-03-14T23:11:00"/>
    <d v="2016-03-22T16:08:00"/>
    <s v="common"/>
    <x v="0"/>
    <d v="2016-03-14T23:11:00"/>
    <s v="Patch Set 1:\n\nPatchset Created: CI job has been scheduled."/>
    <m/>
    <s v="dongdong.zhang@intel.com;weix.meng@intel.com;jarno.jakonen@intel.com;gang.a.hu@intel.com;hongjiang.a.zheng@intel.com;lassi.i.vaatamoinen@intel.com;juha.alanen@intel.com;arnaud.mandy@intel.com;jukka.o.kaartinen@intel.com;jingzhi.yu@intel.com;renwei.wu@intel.com;john.mathew@intel.com;"/>
    <s v="miguel.verdu@intel.com"/>
    <x v="0"/>
    <x v="0"/>
    <s v="16'ww13"/>
    <x v="0"/>
    <n v="0"/>
    <n v="0"/>
    <n v="0"/>
    <n v="0"/>
    <n v="3"/>
    <n v="8"/>
    <n v="1"/>
    <x v="0"/>
    <x v="0"/>
    <x v="0"/>
  </r>
  <r>
    <x v="4"/>
    <m/>
    <m/>
    <m/>
    <m/>
    <m/>
    <m/>
    <m/>
    <m/>
    <m/>
    <m/>
    <m/>
    <x v="0"/>
    <d v="2016-03-14T23:11:00"/>
    <s v="Uploaded patch set 1."/>
    <m/>
    <m/>
    <s v="miguel.verdu@intel.com"/>
    <x v="0"/>
    <x v="0"/>
    <s v=""/>
    <x v="0"/>
    <s v=""/>
    <s v=""/>
    <s v=""/>
    <s v=""/>
    <s v=""/>
    <s v=""/>
    <s v=""/>
    <x v="0"/>
    <x v="0"/>
    <x v="0"/>
  </r>
  <r>
    <x v="4"/>
    <m/>
    <m/>
    <m/>
    <m/>
    <m/>
    <m/>
    <m/>
    <m/>
    <m/>
    <m/>
    <m/>
    <x v="0"/>
    <d v="2016-03-14T23:14:00"/>
    <s v="Patch Set 1: Code-Review-1\n\nnot ready yet"/>
    <m/>
    <m/>
    <s v="miguel.verdu@intel.com"/>
    <x v="0"/>
    <x v="0"/>
    <s v=""/>
    <x v="0"/>
    <s v=""/>
    <s v=""/>
    <s v=""/>
    <s v=""/>
    <s v=""/>
    <s v=""/>
    <s v=""/>
    <x v="1"/>
    <x v="0"/>
    <x v="0"/>
  </r>
  <r>
    <x v="4"/>
    <m/>
    <m/>
    <m/>
    <m/>
    <m/>
    <m/>
    <m/>
    <m/>
    <m/>
    <m/>
    <m/>
    <x v="0"/>
    <d v="2016-03-16T14:27:00"/>
    <s v="Patch Set 2:\n\nPatchset Created: CI job has been scheduled."/>
    <m/>
    <m/>
    <s v="miguel.verdu@intel.com"/>
    <x v="0"/>
    <x v="0"/>
    <s v=""/>
    <x v="0"/>
    <s v=""/>
    <s v=""/>
    <s v=""/>
    <s v=""/>
    <s v=""/>
    <s v=""/>
    <s v=""/>
    <x v="0"/>
    <x v="0"/>
    <x v="0"/>
  </r>
  <r>
    <x v="4"/>
    <m/>
    <m/>
    <m/>
    <m/>
    <m/>
    <m/>
    <m/>
    <m/>
    <m/>
    <m/>
    <m/>
    <x v="0"/>
    <d v="2016-03-16T14:27:00"/>
    <s v="Uploaded patch set 2."/>
    <m/>
    <m/>
    <s v="miguel.verdu@intel.com"/>
    <x v="0"/>
    <x v="0"/>
    <s v=""/>
    <x v="0"/>
    <s v=""/>
    <s v=""/>
    <s v=""/>
    <s v=""/>
    <s v=""/>
    <s v=""/>
    <s v=""/>
    <x v="0"/>
    <x v="0"/>
    <x v="0"/>
  </r>
  <r>
    <x v="4"/>
    <m/>
    <m/>
    <m/>
    <m/>
    <m/>
    <m/>
    <m/>
    <m/>
    <m/>
    <m/>
    <m/>
    <x v="8"/>
    <d v="2016-03-16T14:56:00"/>
    <s v="Patch Set 2: Code-Review+1"/>
    <m/>
    <m/>
    <s v="miguel.verdu@intel.com"/>
    <x v="0"/>
    <x v="1"/>
    <s v=""/>
    <x v="0"/>
    <s v=""/>
    <s v=""/>
    <s v=""/>
    <s v=""/>
    <s v=""/>
    <s v=""/>
    <s v=""/>
    <x v="0"/>
    <x v="0"/>
    <x v="0"/>
  </r>
  <r>
    <x v="4"/>
    <m/>
    <m/>
    <m/>
    <m/>
    <m/>
    <m/>
    <m/>
    <m/>
    <m/>
    <m/>
    <m/>
    <x v="3"/>
    <d v="2016-03-16T15:00:00"/>
    <s v="Patch Set 2: Code-Review+1"/>
    <m/>
    <m/>
    <s v="miguel.verdu@intel.com"/>
    <x v="0"/>
    <x v="2"/>
    <s v=""/>
    <x v="0"/>
    <s v=""/>
    <s v=""/>
    <s v=""/>
    <s v=""/>
    <s v=""/>
    <s v=""/>
    <s v=""/>
    <x v="0"/>
    <x v="0"/>
    <x v="0"/>
  </r>
  <r>
    <x v="4"/>
    <m/>
    <m/>
    <m/>
    <m/>
    <m/>
    <m/>
    <m/>
    <m/>
    <m/>
    <m/>
    <m/>
    <x v="0"/>
    <d v="2016-03-16T15:03:00"/>
    <s v="Patch Set 2: Code-Review+1"/>
    <m/>
    <m/>
    <s v="miguel.verdu@intel.com"/>
    <x v="0"/>
    <x v="0"/>
    <s v=""/>
    <x v="0"/>
    <s v=""/>
    <s v=""/>
    <s v=""/>
    <s v=""/>
    <s v=""/>
    <s v=""/>
    <s v=""/>
    <x v="0"/>
    <x v="0"/>
    <x v="0"/>
  </r>
  <r>
    <x v="4"/>
    <m/>
    <m/>
    <m/>
    <m/>
    <m/>
    <m/>
    <m/>
    <m/>
    <m/>
    <m/>
    <m/>
    <x v="16"/>
    <d v="2016-03-16T15:13:00"/>
    <s v="Patch Set 2: Code-Review+1"/>
    <m/>
    <m/>
    <s v="miguel.verdu@intel.com"/>
    <x v="0"/>
    <x v="4"/>
    <s v=""/>
    <x v="0"/>
    <s v=""/>
    <s v=""/>
    <s v=""/>
    <s v=""/>
    <s v=""/>
    <s v=""/>
    <s v=""/>
    <x v="0"/>
    <x v="0"/>
    <x v="0"/>
  </r>
  <r>
    <x v="4"/>
    <m/>
    <m/>
    <m/>
    <m/>
    <m/>
    <m/>
    <m/>
    <m/>
    <m/>
    <m/>
    <m/>
    <x v="2"/>
    <d v="2016-03-16T15:13:00"/>
    <s v="Patch Set 2: Code-Review+1"/>
    <m/>
    <m/>
    <s v="miguel.verdu@intel.com"/>
    <x v="0"/>
    <x v="1"/>
    <s v=""/>
    <x v="0"/>
    <s v=""/>
    <s v=""/>
    <s v=""/>
    <s v=""/>
    <s v=""/>
    <s v=""/>
    <s v=""/>
    <x v="0"/>
    <x v="0"/>
    <x v="0"/>
  </r>
  <r>
    <x v="4"/>
    <m/>
    <m/>
    <m/>
    <m/>
    <m/>
    <m/>
    <m/>
    <m/>
    <m/>
    <m/>
    <m/>
    <x v="1"/>
    <d v="2016-03-16T15:15:00"/>
    <s v="Patch Set 2: Code-Review+1"/>
    <m/>
    <m/>
    <s v="miguel.verdu@intel.com"/>
    <x v="0"/>
    <x v="1"/>
    <s v=""/>
    <x v="0"/>
    <s v=""/>
    <s v=""/>
    <s v=""/>
    <s v=""/>
    <s v=""/>
    <s v=""/>
    <s v=""/>
    <x v="0"/>
    <x v="0"/>
    <x v="0"/>
  </r>
  <r>
    <x v="4"/>
    <m/>
    <m/>
    <m/>
    <m/>
    <m/>
    <m/>
    <m/>
    <m/>
    <m/>
    <m/>
    <m/>
    <x v="5"/>
    <d v="2016-03-16T15:17:00"/>
    <s v="Patch Set 2: Code-Review+1"/>
    <m/>
    <m/>
    <s v="miguel.verdu@intel.com"/>
    <x v="0"/>
    <x v="1"/>
    <s v=""/>
    <x v="0"/>
    <s v=""/>
    <s v=""/>
    <s v=""/>
    <s v=""/>
    <s v=""/>
    <s v=""/>
    <s v=""/>
    <x v="0"/>
    <x v="0"/>
    <x v="0"/>
  </r>
  <r>
    <x v="4"/>
    <m/>
    <m/>
    <m/>
    <m/>
    <m/>
    <m/>
    <m/>
    <m/>
    <m/>
    <m/>
    <m/>
    <x v="12"/>
    <d v="2016-03-16T15:25:00"/>
    <s v="Patch Set 2: Code-Review+1"/>
    <m/>
    <m/>
    <s v="miguel.verdu@intel.com"/>
    <x v="0"/>
    <x v="1"/>
    <s v=""/>
    <x v="0"/>
    <s v=""/>
    <s v=""/>
    <s v=""/>
    <s v=""/>
    <s v=""/>
    <s v=""/>
    <s v=""/>
    <x v="0"/>
    <x v="0"/>
    <x v="0"/>
  </r>
  <r>
    <x v="4"/>
    <m/>
    <m/>
    <m/>
    <m/>
    <m/>
    <m/>
    <m/>
    <m/>
    <m/>
    <m/>
    <m/>
    <x v="15"/>
    <d v="2016-03-16T15:32:00"/>
    <s v="Patch Set 2: Code-Review+1"/>
    <m/>
    <m/>
    <s v="miguel.verdu@intel.com"/>
    <x v="0"/>
    <x v="4"/>
    <s v=""/>
    <x v="0"/>
    <s v=""/>
    <s v=""/>
    <s v=""/>
    <s v=""/>
    <s v=""/>
    <s v=""/>
    <s v=""/>
    <x v="0"/>
    <x v="0"/>
    <x v="0"/>
  </r>
  <r>
    <x v="4"/>
    <m/>
    <m/>
    <m/>
    <m/>
    <m/>
    <m/>
    <m/>
    <m/>
    <m/>
    <m/>
    <m/>
    <x v="13"/>
    <d v="2016-03-16T15:41:00"/>
    <s v="Patch Set 2: Code-Review+1"/>
    <m/>
    <m/>
    <s v="miguel.verdu@intel.com"/>
    <x v="0"/>
    <x v="4"/>
    <s v=""/>
    <x v="0"/>
    <s v=""/>
    <s v=""/>
    <s v=""/>
    <s v=""/>
    <s v=""/>
    <s v=""/>
    <s v=""/>
    <x v="0"/>
    <x v="0"/>
    <x v="0"/>
  </r>
  <r>
    <x v="4"/>
    <m/>
    <m/>
    <m/>
    <m/>
    <m/>
    <m/>
    <m/>
    <m/>
    <m/>
    <m/>
    <m/>
    <x v="0"/>
    <d v="2016-03-18T20:05:00"/>
    <s v="Patch Set 3:\n\nPatchset Created: CI job has been scheduled."/>
    <m/>
    <m/>
    <s v="miguel.verdu@intel.com"/>
    <x v="0"/>
    <x v="0"/>
    <s v=""/>
    <x v="0"/>
    <s v=""/>
    <s v=""/>
    <s v=""/>
    <s v=""/>
    <s v=""/>
    <s v=""/>
    <s v=""/>
    <x v="0"/>
    <x v="0"/>
    <x v="0"/>
  </r>
  <r>
    <x v="4"/>
    <m/>
    <m/>
    <m/>
    <m/>
    <m/>
    <m/>
    <m/>
    <m/>
    <m/>
    <m/>
    <m/>
    <x v="0"/>
    <d v="2016-03-18T20:05:00"/>
    <s v="Uploaded patch set 3: Patch Set 2 was rebased."/>
    <m/>
    <m/>
    <s v="miguel.verdu@intel.com"/>
    <x v="0"/>
    <x v="0"/>
    <s v=""/>
    <x v="0"/>
    <s v=""/>
    <s v=""/>
    <s v=""/>
    <s v=""/>
    <s v=""/>
    <s v=""/>
    <s v=""/>
    <x v="0"/>
    <x v="0"/>
    <x v="0"/>
  </r>
  <r>
    <x v="4"/>
    <m/>
    <m/>
    <m/>
    <m/>
    <m/>
    <m/>
    <m/>
    <m/>
    <m/>
    <m/>
    <m/>
    <x v="17"/>
    <d v="2016-03-18T20:47:00"/>
    <s v="Patch Set 3: Code-Review+1"/>
    <m/>
    <m/>
    <s v="miguel.verdu@intel.com"/>
    <x v="0"/>
    <x v="1"/>
    <s v=""/>
    <x v="0"/>
    <s v=""/>
    <s v=""/>
    <s v=""/>
    <s v=""/>
    <s v=""/>
    <s v=""/>
    <s v=""/>
    <x v="0"/>
    <x v="0"/>
    <x v="0"/>
  </r>
  <r>
    <x v="4"/>
    <m/>
    <m/>
    <m/>
    <m/>
    <m/>
    <m/>
    <m/>
    <m/>
    <m/>
    <m/>
    <m/>
    <x v="0"/>
    <d v="2016-03-19T05:59:00"/>
    <s v="Uploaded patch set 4: Patch Set 3 was rebased."/>
    <m/>
    <m/>
    <s v="miguel.verdu@intel.com"/>
    <x v="0"/>
    <x v="0"/>
    <s v=""/>
    <x v="0"/>
    <s v=""/>
    <s v=""/>
    <s v=""/>
    <s v=""/>
    <s v=""/>
    <s v=""/>
    <s v=""/>
    <x v="0"/>
    <x v="0"/>
    <x v="0"/>
  </r>
  <r>
    <x v="4"/>
    <m/>
    <m/>
    <m/>
    <m/>
    <m/>
    <m/>
    <m/>
    <m/>
    <m/>
    <m/>
    <m/>
    <x v="0"/>
    <d v="2016-03-19T05:59:00"/>
    <s v="Patch Set 4:\n\nPatchset Created: CI job has been scheduled."/>
    <m/>
    <m/>
    <s v="miguel.verdu@intel.com"/>
    <x v="0"/>
    <x v="0"/>
    <s v=""/>
    <x v="0"/>
    <s v=""/>
    <s v=""/>
    <s v=""/>
    <s v=""/>
    <s v=""/>
    <s v=""/>
    <s v=""/>
    <x v="0"/>
    <x v="0"/>
    <x v="0"/>
  </r>
  <r>
    <x v="4"/>
    <m/>
    <m/>
    <m/>
    <m/>
    <m/>
    <m/>
    <m/>
    <m/>
    <m/>
    <m/>
    <m/>
    <x v="12"/>
    <d v="2016-03-21T23:29:00"/>
    <s v="Patch Set 4: Approver+1"/>
    <m/>
    <m/>
    <s v="miguel.verdu@intel.com"/>
    <x v="0"/>
    <x v="1"/>
    <s v=""/>
    <x v="0"/>
    <s v=""/>
    <s v=""/>
    <s v=""/>
    <s v=""/>
    <s v=""/>
    <s v=""/>
    <s v=""/>
    <x v="0"/>
    <x v="0"/>
    <x v="0"/>
  </r>
  <r>
    <x v="4"/>
    <m/>
    <m/>
    <m/>
    <m/>
    <m/>
    <m/>
    <m/>
    <m/>
    <m/>
    <m/>
    <m/>
    <x v="12"/>
    <d v="2016-03-21T23:33:00"/>
    <s v="Topic changed from up_gcss to bxt_preint"/>
    <m/>
    <m/>
    <s v="miguel.verdu@intel.com"/>
    <x v="0"/>
    <x v="1"/>
    <s v=""/>
    <x v="0"/>
    <s v=""/>
    <s v=""/>
    <s v=""/>
    <s v=""/>
    <s v=""/>
    <s v=""/>
    <s v=""/>
    <x v="0"/>
    <x v="0"/>
    <x v="0"/>
  </r>
  <r>
    <x v="4"/>
    <m/>
    <m/>
    <m/>
    <m/>
    <m/>
    <m/>
    <m/>
    <m/>
    <m/>
    <m/>
    <m/>
    <x v="14"/>
    <d v="2016-03-21T23:33:00"/>
    <s v="Patch Set 4: Validation-Android+1\n\nreceive smoke test"/>
    <m/>
    <m/>
    <s v="miguel.verdu@intel.com"/>
    <x v="0"/>
    <x v="5"/>
    <s v=""/>
    <x v="0"/>
    <s v=""/>
    <s v=""/>
    <s v=""/>
    <s v=""/>
    <s v=""/>
    <s v=""/>
    <s v=""/>
    <x v="0"/>
    <x v="1"/>
    <x v="0"/>
  </r>
  <r>
    <x v="4"/>
    <m/>
    <m/>
    <m/>
    <m/>
    <m/>
    <m/>
    <m/>
    <m/>
    <m/>
    <m/>
    <m/>
    <x v="9"/>
    <d v="2016-03-22T08:47:00"/>
    <s v="Patch Set 4: Integrator+1\n\nIntegrator +1; patch will be add to PT; please no change now"/>
    <m/>
    <m/>
    <s v="miguel.verdu@intel.com"/>
    <x v="0"/>
    <x v="5"/>
    <s v=""/>
    <x v="0"/>
    <s v=""/>
    <s v=""/>
    <s v=""/>
    <s v=""/>
    <s v=""/>
    <s v=""/>
    <s v=""/>
    <x v="0"/>
    <x v="1"/>
    <x v="0"/>
  </r>
  <r>
    <x v="4"/>
    <m/>
    <m/>
    <m/>
    <m/>
    <m/>
    <m/>
    <m/>
    <m/>
    <m/>
    <m/>
    <m/>
    <x v="9"/>
    <d v="2016-03-22T11:17:00"/>
    <s v="Patch Set 4:\n\nPassed static analysis code analyzing test. No CRITICAL issue in this patch. Auto reported by kwscan@andr-val-srv0.bj.intel.com"/>
    <m/>
    <m/>
    <s v="miguel.verdu@intel.com"/>
    <x v="0"/>
    <x v="5"/>
    <s v=""/>
    <x v="0"/>
    <s v=""/>
    <s v=""/>
    <s v=""/>
    <s v=""/>
    <s v=""/>
    <s v=""/>
    <s v=""/>
    <x v="0"/>
    <x v="0"/>
    <x v="0"/>
  </r>
  <r>
    <x v="4"/>
    <m/>
    <m/>
    <m/>
    <m/>
    <m/>
    <m/>
    <m/>
    <m/>
    <m/>
    <m/>
    <m/>
    <x v="9"/>
    <d v="2016-03-22T11:46:00"/>
    <s v="Patch Set 4:\n\nPassed static analysis code analyzing test. No CRITICAL issue in this patch. Auto reported by kwscan@psi-build5.bj.intel.com"/>
    <m/>
    <m/>
    <s v="miguel.verdu@intel.com"/>
    <x v="0"/>
    <x v="5"/>
    <s v=""/>
    <x v="0"/>
    <s v=""/>
    <s v=""/>
    <s v=""/>
    <s v=""/>
    <s v=""/>
    <s v=""/>
    <s v=""/>
    <x v="0"/>
    <x v="0"/>
    <x v="0"/>
  </r>
  <r>
    <x v="4"/>
    <m/>
    <m/>
    <m/>
    <m/>
    <m/>
    <m/>
    <m/>
    <m/>
    <m/>
    <m/>
    <m/>
    <x v="9"/>
    <d v="2016-03-22T12:00:00"/>
    <s v="Patch Set 4:\n\nPassed static analysis code analyzing test. No CRITICAL issue in this patch. Auto reported by kwscan@kw-srv2.bj.intel.com"/>
    <m/>
    <m/>
    <s v="miguel.verdu@intel.com"/>
    <x v="0"/>
    <x v="5"/>
    <s v=""/>
    <x v="0"/>
    <s v=""/>
    <s v=""/>
    <s v=""/>
    <s v=""/>
    <s v=""/>
    <s v=""/>
    <s v=""/>
    <x v="0"/>
    <x v="0"/>
    <x v="0"/>
  </r>
  <r>
    <x v="4"/>
    <m/>
    <m/>
    <m/>
    <m/>
    <m/>
    <m/>
    <m/>
    <m/>
    <m/>
    <m/>
    <m/>
    <x v="9"/>
    <d v="2016-03-22T14:51:00"/>
    <s v="Patch Set 4:\n\nPassed static analysis code analyzing test. No CRITICAL issue in this patch. Auto reported by kwscan@psi-build5.bj.intel.com"/>
    <m/>
    <m/>
    <s v="miguel.verdu@intel.com"/>
    <x v="0"/>
    <x v="5"/>
    <s v=""/>
    <x v="0"/>
    <s v=""/>
    <s v=""/>
    <s v=""/>
    <s v=""/>
    <s v=""/>
    <s v=""/>
    <s v=""/>
    <x v="0"/>
    <x v="0"/>
    <x v="0"/>
  </r>
  <r>
    <x v="4"/>
    <m/>
    <m/>
    <m/>
    <m/>
    <m/>
    <m/>
    <m/>
    <m/>
    <m/>
    <m/>
    <m/>
    <x v="9"/>
    <d v="2016-03-22T16:07:00"/>
    <s v="Patch Set 4: Code-Review+1\n\nPassed PIT; ready for merge"/>
    <m/>
    <m/>
    <s v="miguel.verdu@intel.com"/>
    <x v="0"/>
    <x v="5"/>
    <s v=""/>
    <x v="0"/>
    <s v=""/>
    <s v=""/>
    <s v=""/>
    <s v=""/>
    <s v=""/>
    <s v=""/>
    <s v=""/>
    <x v="0"/>
    <x v="0"/>
    <x v="0"/>
  </r>
  <r>
    <x v="4"/>
    <m/>
    <m/>
    <m/>
    <m/>
    <m/>
    <m/>
    <m/>
    <m/>
    <m/>
    <m/>
    <m/>
    <x v="10"/>
    <d v="2016-03-30T16:59:00"/>
    <s v="Patch Set 5:\n\nThe patch has been successfully merged into 1A master with https://android.intel.com/485928"/>
    <m/>
    <m/>
    <s v="miguel.verdu@intel.com"/>
    <x v="0"/>
    <x v="5"/>
    <s v=""/>
    <x v="0"/>
    <s v=""/>
    <s v=""/>
    <s v=""/>
    <s v=""/>
    <s v=""/>
    <s v=""/>
    <s v=""/>
    <x v="0"/>
    <x v="0"/>
    <x v="0"/>
  </r>
  <r>
    <x v="5"/>
    <n v="108753"/>
    <s v="vied-viedandr-camera3hal"/>
    <s v="platform/android/main"/>
    <s v="I936de7db118cfd3a389c3c9a0634d08c9f2703a4"/>
    <s v="miguel.verdu@intel.com"/>
    <s v="MERGED"/>
    <s v="c3:CameraProfiles: fix log traces"/>
    <s v="c3:CameraProfiles: fix log traces\n\nFixing misleading traces.\n\nChange-Id: I936de7db118cfd3a389c3c9a0634d08c9f2703a4\nTracked-On: #R513548\nSigned-off-by: Miguel Verdu &lt;miguel.verdu@intel.com&gt;\nReviewed-on: https://icggerrit.ir.intel.com/108753\nBuild: Dessert M BXT RVP (SC)\nReviewed-by: Jarno Jakonen &lt;jarno.jakonen@intel.com&gt;\nReviewed-by: Jukka O Kaartinen &lt;jukka.o.kaartinen@intel.com&gt;\nReviewed-by: Lassi I Vaatamoinen &lt;lassi.i.vaatamoinen@intel.com&gt;\nApprover: Lassi I Vaatamoinen &lt;lassi.i.vaatamoinen@intel.com&gt;\nValidation-Android: Wei Tao &lt;wei.tao@intel.com&gt;\nIntegrator: WeiX Meng &lt;weix.meng@intel.com&gt;\nReviewed-by: WeiX Meng &lt;weix.meng@intel.com&gt;\n"/>
    <d v="2016-03-19T05:59:00"/>
    <d v="2016-03-22T16:09:00"/>
    <s v="common"/>
    <x v="0"/>
    <d v="2016-03-19T05:59:00"/>
    <s v="Uploaded patch set 1."/>
    <m/>
    <s v="dongdong.zhang@intel.com;weix.meng@intel.com;lassi.i.vaatamoinen@intel.com;jarno.jakonen@intel.com;jukka.o.kaartinen@intel.com;"/>
    <s v="miguel.verdu@intel.com"/>
    <x v="0"/>
    <x v="0"/>
    <s v="16'ww13"/>
    <x v="0"/>
    <n v="1"/>
    <n v="0"/>
    <n v="1"/>
    <n v="0"/>
    <n v="0"/>
    <n v="6"/>
    <n v="0"/>
    <x v="0"/>
    <x v="0"/>
    <x v="0"/>
  </r>
  <r>
    <x v="5"/>
    <m/>
    <m/>
    <m/>
    <m/>
    <m/>
    <m/>
    <m/>
    <m/>
    <m/>
    <m/>
    <m/>
    <x v="0"/>
    <d v="2016-03-19T05:59:00"/>
    <s v="Patch Set 1:\n\nPatchset Created: CI job has been scheduled."/>
    <m/>
    <m/>
    <s v="miguel.verdu@intel.com"/>
    <x v="0"/>
    <x v="0"/>
    <s v=""/>
    <x v="0"/>
    <s v=""/>
    <s v=""/>
    <s v=""/>
    <s v=""/>
    <s v=""/>
    <s v=""/>
    <s v=""/>
    <x v="0"/>
    <x v="0"/>
    <x v="0"/>
  </r>
  <r>
    <x v="5"/>
    <m/>
    <m/>
    <m/>
    <m/>
    <m/>
    <m/>
    <m/>
    <m/>
    <m/>
    <m/>
    <m/>
    <x v="2"/>
    <d v="2016-03-19T14:21:00"/>
    <s v="Patch Set 1: Code-Review-1\n\n(1 comment)\n\ngood patch one fix please to make it complete"/>
    <s v="line1003 :&quot;here as well&quot;"/>
    <m/>
    <s v="miguel.verdu@intel.com"/>
    <x v="0"/>
    <x v="1"/>
    <s v=""/>
    <x v="0"/>
    <s v=""/>
    <s v=""/>
    <s v=""/>
    <s v=""/>
    <s v=""/>
    <s v=""/>
    <s v=""/>
    <x v="1"/>
    <x v="0"/>
    <x v="0"/>
  </r>
  <r>
    <x v="5"/>
    <m/>
    <m/>
    <m/>
    <m/>
    <m/>
    <m/>
    <m/>
    <m/>
    <m/>
    <m/>
    <m/>
    <x v="0"/>
    <d v="2016-03-21T16:00:00"/>
    <s v="Patch Set 1:\n\n(1 comment)"/>
    <s v="line1003 :&quot;Done&quot;"/>
    <m/>
    <s v="miguel.verdu@intel.com"/>
    <x v="0"/>
    <x v="0"/>
    <s v=""/>
    <x v="0"/>
    <s v=""/>
    <s v=""/>
    <s v=""/>
    <s v=""/>
    <s v=""/>
    <s v=""/>
    <s v=""/>
    <x v="0"/>
    <x v="0"/>
    <x v="0"/>
  </r>
  <r>
    <x v="5"/>
    <m/>
    <m/>
    <m/>
    <m/>
    <m/>
    <m/>
    <m/>
    <m/>
    <m/>
    <m/>
    <m/>
    <x v="0"/>
    <d v="2016-03-21T17:30:00"/>
    <s v="Patch Set 2:\n\nPatchset Created: CI job has been scheduled."/>
    <m/>
    <m/>
    <s v="miguel.verdu@intel.com"/>
    <x v="0"/>
    <x v="0"/>
    <s v=""/>
    <x v="0"/>
    <s v=""/>
    <s v=""/>
    <s v=""/>
    <s v=""/>
    <s v=""/>
    <s v=""/>
    <s v=""/>
    <x v="0"/>
    <x v="0"/>
    <x v="0"/>
  </r>
  <r>
    <x v="5"/>
    <m/>
    <m/>
    <m/>
    <m/>
    <m/>
    <m/>
    <m/>
    <m/>
    <m/>
    <m/>
    <m/>
    <x v="0"/>
    <d v="2016-03-21T17:30:00"/>
    <s v="Uploaded patch set 2."/>
    <m/>
    <m/>
    <s v="miguel.verdu@intel.com"/>
    <x v="0"/>
    <x v="0"/>
    <s v=""/>
    <x v="0"/>
    <s v=""/>
    <s v=""/>
    <s v=""/>
    <s v=""/>
    <s v=""/>
    <s v=""/>
    <s v=""/>
    <x v="0"/>
    <x v="0"/>
    <x v="0"/>
  </r>
  <r>
    <x v="5"/>
    <m/>
    <m/>
    <m/>
    <m/>
    <m/>
    <m/>
    <m/>
    <m/>
    <m/>
    <m/>
    <m/>
    <x v="0"/>
    <d v="2016-03-21T17:32:00"/>
    <s v="Patch Set 2: Code-Review+1"/>
    <m/>
    <m/>
    <s v="miguel.verdu@intel.com"/>
    <x v="0"/>
    <x v="0"/>
    <s v=""/>
    <x v="0"/>
    <s v=""/>
    <s v=""/>
    <s v=""/>
    <s v=""/>
    <s v=""/>
    <s v=""/>
    <s v=""/>
    <x v="0"/>
    <x v="0"/>
    <x v="0"/>
  </r>
  <r>
    <x v="5"/>
    <m/>
    <m/>
    <m/>
    <m/>
    <m/>
    <m/>
    <m/>
    <m/>
    <m/>
    <m/>
    <m/>
    <x v="17"/>
    <d v="2016-03-21T18:12:00"/>
    <s v="Patch Set 2: Code-Review+1"/>
    <m/>
    <m/>
    <s v="miguel.verdu@intel.com"/>
    <x v="0"/>
    <x v="1"/>
    <s v=""/>
    <x v="0"/>
    <s v=""/>
    <s v=""/>
    <s v=""/>
    <s v=""/>
    <s v=""/>
    <s v=""/>
    <s v=""/>
    <x v="0"/>
    <x v="0"/>
    <x v="0"/>
  </r>
  <r>
    <x v="5"/>
    <m/>
    <m/>
    <m/>
    <m/>
    <m/>
    <m/>
    <m/>
    <m/>
    <m/>
    <m/>
    <m/>
    <x v="2"/>
    <d v="2016-03-21T20:30:00"/>
    <s v="Patch Set 2: Code-Review+1"/>
    <m/>
    <m/>
    <s v="miguel.verdu@intel.com"/>
    <x v="0"/>
    <x v="1"/>
    <s v=""/>
    <x v="0"/>
    <s v=""/>
    <s v=""/>
    <s v=""/>
    <s v=""/>
    <s v=""/>
    <s v=""/>
    <s v=""/>
    <x v="0"/>
    <x v="0"/>
    <x v="0"/>
  </r>
  <r>
    <x v="5"/>
    <m/>
    <m/>
    <m/>
    <m/>
    <m/>
    <m/>
    <m/>
    <m/>
    <m/>
    <m/>
    <m/>
    <x v="12"/>
    <d v="2016-03-21T22:15:00"/>
    <s v="Patch Set 2: Code-Review+1"/>
    <m/>
    <m/>
    <s v="miguel.verdu@intel.com"/>
    <x v="0"/>
    <x v="1"/>
    <s v=""/>
    <x v="0"/>
    <s v=""/>
    <s v=""/>
    <s v=""/>
    <s v=""/>
    <s v=""/>
    <s v=""/>
    <s v=""/>
    <x v="0"/>
    <x v="0"/>
    <x v="0"/>
  </r>
  <r>
    <x v="5"/>
    <m/>
    <m/>
    <m/>
    <m/>
    <m/>
    <m/>
    <m/>
    <m/>
    <m/>
    <m/>
    <m/>
    <x v="12"/>
    <d v="2016-03-21T23:31:00"/>
    <s v="Patch Set 2: Approver+1"/>
    <m/>
    <m/>
    <s v="miguel.verdu@intel.com"/>
    <x v="0"/>
    <x v="1"/>
    <s v=""/>
    <x v="0"/>
    <s v=""/>
    <s v=""/>
    <s v=""/>
    <s v=""/>
    <s v=""/>
    <s v=""/>
    <s v=""/>
    <x v="0"/>
    <x v="0"/>
    <x v="0"/>
  </r>
  <r>
    <x v="5"/>
    <m/>
    <m/>
    <m/>
    <m/>
    <m/>
    <m/>
    <m/>
    <m/>
    <m/>
    <m/>
    <m/>
    <x v="12"/>
    <d v="2016-03-21T23:32:00"/>
    <s v="Topic changed from up_gcss to bxt_preint"/>
    <m/>
    <m/>
    <s v="miguel.verdu@intel.com"/>
    <x v="0"/>
    <x v="1"/>
    <s v=""/>
    <x v="0"/>
    <s v=""/>
    <s v=""/>
    <s v=""/>
    <s v=""/>
    <s v=""/>
    <s v=""/>
    <s v=""/>
    <x v="0"/>
    <x v="0"/>
    <x v="0"/>
  </r>
  <r>
    <x v="5"/>
    <m/>
    <m/>
    <m/>
    <m/>
    <m/>
    <m/>
    <m/>
    <m/>
    <m/>
    <m/>
    <m/>
    <x v="14"/>
    <d v="2016-03-21T23:34:00"/>
    <s v="Patch Set 2: Validation-Android+1\n\nreceive smoke test"/>
    <m/>
    <m/>
    <s v="miguel.verdu@intel.com"/>
    <x v="0"/>
    <x v="5"/>
    <s v=""/>
    <x v="0"/>
    <s v=""/>
    <s v=""/>
    <s v=""/>
    <s v=""/>
    <s v=""/>
    <s v=""/>
    <s v=""/>
    <x v="0"/>
    <x v="1"/>
    <x v="0"/>
  </r>
  <r>
    <x v="5"/>
    <m/>
    <m/>
    <m/>
    <m/>
    <m/>
    <m/>
    <m/>
    <m/>
    <m/>
    <m/>
    <m/>
    <x v="9"/>
    <d v="2016-03-22T08:48:00"/>
    <s v="Patch Set 2: Integrator+1\n\nIntegrator +1; patch will be add to PT; please no change now"/>
    <m/>
    <m/>
    <s v="miguel.verdu@intel.com"/>
    <x v="0"/>
    <x v="5"/>
    <s v=""/>
    <x v="0"/>
    <s v=""/>
    <s v=""/>
    <s v=""/>
    <s v=""/>
    <s v=""/>
    <s v=""/>
    <s v=""/>
    <x v="0"/>
    <x v="1"/>
    <x v="0"/>
  </r>
  <r>
    <x v="5"/>
    <m/>
    <m/>
    <m/>
    <m/>
    <m/>
    <m/>
    <m/>
    <m/>
    <m/>
    <m/>
    <m/>
    <x v="9"/>
    <d v="2016-03-22T11:18:00"/>
    <s v="Patch Set 2:\n\nPassed static analysis code analyzing test. No CRITICAL issue in this patch. Auto reported by kwscan@andr-val-srv0.bj.intel.com"/>
    <m/>
    <m/>
    <s v="miguel.verdu@intel.com"/>
    <x v="0"/>
    <x v="5"/>
    <s v=""/>
    <x v="0"/>
    <s v=""/>
    <s v=""/>
    <s v=""/>
    <s v=""/>
    <s v=""/>
    <s v=""/>
    <s v=""/>
    <x v="0"/>
    <x v="0"/>
    <x v="0"/>
  </r>
  <r>
    <x v="5"/>
    <m/>
    <m/>
    <m/>
    <m/>
    <m/>
    <m/>
    <m/>
    <m/>
    <m/>
    <m/>
    <m/>
    <x v="9"/>
    <d v="2016-03-22T11:47:00"/>
    <s v="Patch Set 2:\n\nPassed static analysis code analyzing test. No CRITICAL issue in this patch. Auto reported by kwscan@psi-build5.bj.intel.com"/>
    <m/>
    <m/>
    <s v="miguel.verdu@intel.com"/>
    <x v="0"/>
    <x v="5"/>
    <s v=""/>
    <x v="0"/>
    <s v=""/>
    <s v=""/>
    <s v=""/>
    <s v=""/>
    <s v=""/>
    <s v=""/>
    <s v=""/>
    <x v="0"/>
    <x v="0"/>
    <x v="0"/>
  </r>
  <r>
    <x v="5"/>
    <m/>
    <m/>
    <m/>
    <m/>
    <m/>
    <m/>
    <m/>
    <m/>
    <m/>
    <m/>
    <m/>
    <x v="9"/>
    <d v="2016-03-22T12:00:00"/>
    <s v="Patch Set 2:\n\nPassed static analysis code analyzing test. No CRITICAL issue in this patch. Auto reported by kwscan@kw-srv2.bj.intel.com"/>
    <m/>
    <m/>
    <s v="miguel.verdu@intel.com"/>
    <x v="0"/>
    <x v="5"/>
    <s v=""/>
    <x v="0"/>
    <s v=""/>
    <s v=""/>
    <s v=""/>
    <s v=""/>
    <s v=""/>
    <s v=""/>
    <s v=""/>
    <x v="0"/>
    <x v="0"/>
    <x v="0"/>
  </r>
  <r>
    <x v="5"/>
    <m/>
    <m/>
    <m/>
    <m/>
    <m/>
    <m/>
    <m/>
    <m/>
    <m/>
    <m/>
    <m/>
    <x v="9"/>
    <d v="2016-03-22T14:52:00"/>
    <s v="Patch Set 2:\n\nPassed static analysis code analyzing test. No CRITICAL issue in this patch. Auto reported by kwscan@psi-build5.bj.intel.com"/>
    <m/>
    <m/>
    <s v="miguel.verdu@intel.com"/>
    <x v="0"/>
    <x v="5"/>
    <s v=""/>
    <x v="0"/>
    <s v=""/>
    <s v=""/>
    <s v=""/>
    <s v=""/>
    <s v=""/>
    <s v=""/>
    <s v=""/>
    <x v="0"/>
    <x v="0"/>
    <x v="0"/>
  </r>
  <r>
    <x v="5"/>
    <m/>
    <m/>
    <m/>
    <m/>
    <m/>
    <m/>
    <m/>
    <m/>
    <m/>
    <m/>
    <m/>
    <x v="9"/>
    <d v="2016-03-22T16:08:00"/>
    <s v="Patch Set 2: Code-Review+1\n\nPassed PIT; ready for merge"/>
    <m/>
    <m/>
    <s v="miguel.verdu@intel.com"/>
    <x v="0"/>
    <x v="5"/>
    <s v=""/>
    <x v="0"/>
    <s v=""/>
    <s v=""/>
    <s v=""/>
    <s v=""/>
    <s v=""/>
    <s v=""/>
    <s v=""/>
    <x v="0"/>
    <x v="0"/>
    <x v="0"/>
  </r>
  <r>
    <x v="5"/>
    <m/>
    <m/>
    <m/>
    <m/>
    <m/>
    <m/>
    <m/>
    <m/>
    <m/>
    <m/>
    <m/>
    <x v="10"/>
    <d v="2016-03-30T16:58:00"/>
    <s v="Patch Set 3:\n\nThe patch has been successfully merged into 1A master with https://android.intel.com/485928"/>
    <m/>
    <m/>
    <s v="miguel.verdu@intel.com"/>
    <x v="0"/>
    <x v="5"/>
    <s v=""/>
    <x v="0"/>
    <s v=""/>
    <s v=""/>
    <s v=""/>
    <s v=""/>
    <s v=""/>
    <s v=""/>
    <s v=""/>
    <x v="0"/>
    <x v="0"/>
    <x v="0"/>
  </r>
  <r>
    <x v="6"/>
    <n v="108378"/>
    <s v="vied-viedandr-camera3hal"/>
    <s v="platform/android/main"/>
    <s v="I105245fb6ae271e158e137147529b688b7debf92"/>
    <s v="per.persson@intel.com"/>
    <s v="MERGED"/>
    <s v="c3:cifpu: Improve performance when 3 camera streams"/>
    <s v="c3:cifpu: Improve performance when 3 camera streams\n\nBy using libyuv; decrease execution time when doing sw scaling\nin the 3 camera stream use case.\n\nChange-Id: I105245fb6ae271e158e137147529b688b7debf92\nOriginal-Tracked-On: OAM-23379\nTracked-On: https://jira01.devtools.intel.com/browse/OAM-25005\nSigned-off-by: Per Persson &lt;per.persson@intel.com&gt;\nReviewed-on: https://icggerrit.ir.intel.com/108378\nReviewed-by: Renwei Wu &lt;renwei.wu@intel.com&gt;\nBuild: Dessert M SOFIA (SC)\nBuild: Dessert M BTNS (SC)\nBuild: Dessert M CHT FFD (SC)\nApprover: Renwei Wu &lt;renwei.wu@intel.com&gt;\nIntegrator: WeiX Meng &lt;weix.meng@intel.com&gt;\nReviewed-by: WeiX Meng &lt;weix.meng@intel.com&gt;\n"/>
    <d v="2016-03-17T21:29:00"/>
    <d v="2016-03-22T16:11:00"/>
    <s v="common"/>
    <x v="4"/>
    <d v="2016-03-17T21:29:00"/>
    <s v="Patch Set 1:\n\nPatchset Created: CI job has been scheduled."/>
    <m/>
    <s v="dongdong.zhang@intel.com;weix.meng@intel.com;renwei.wu@intel.com;"/>
    <s v="per.persson@intel.com"/>
    <x v="1"/>
    <x v="0"/>
    <s v="16'ww13"/>
    <x v="0"/>
    <n v="0"/>
    <n v="0"/>
    <n v="0"/>
    <n v="0"/>
    <n v="0"/>
    <n v="0"/>
    <n v="3"/>
    <x v="0"/>
    <x v="0"/>
    <x v="0"/>
  </r>
  <r>
    <x v="6"/>
    <m/>
    <m/>
    <m/>
    <m/>
    <m/>
    <m/>
    <m/>
    <m/>
    <m/>
    <m/>
    <m/>
    <x v="4"/>
    <d v="2016-03-17T21:29:00"/>
    <s v="Uploaded patch set 1."/>
    <m/>
    <m/>
    <s v="per.persson@intel.com"/>
    <x v="1"/>
    <x v="0"/>
    <s v=""/>
    <x v="0"/>
    <s v=""/>
    <s v=""/>
    <s v=""/>
    <s v=""/>
    <s v=""/>
    <s v=""/>
    <s v=""/>
    <x v="0"/>
    <x v="0"/>
    <x v="0"/>
  </r>
  <r>
    <x v="6"/>
    <m/>
    <m/>
    <m/>
    <m/>
    <m/>
    <m/>
    <m/>
    <m/>
    <m/>
    <m/>
    <m/>
    <x v="4"/>
    <d v="2016-03-17T21:30:00"/>
    <s v="Patch Set 1: Code-Review+1"/>
    <m/>
    <m/>
    <s v="per.persson@intel.com"/>
    <x v="1"/>
    <x v="0"/>
    <s v=""/>
    <x v="0"/>
    <s v=""/>
    <s v=""/>
    <s v=""/>
    <s v=""/>
    <s v=""/>
    <s v=""/>
    <s v=""/>
    <x v="0"/>
    <x v="0"/>
    <x v="0"/>
  </r>
  <r>
    <x v="6"/>
    <m/>
    <m/>
    <m/>
    <m/>
    <m/>
    <m/>
    <m/>
    <m/>
    <m/>
    <m/>
    <m/>
    <x v="3"/>
    <d v="2016-03-17T21:32:00"/>
    <s v="Patch Set 1: Code-Review+1"/>
    <m/>
    <m/>
    <s v="per.persson@intel.com"/>
    <x v="1"/>
    <x v="2"/>
    <s v=""/>
    <x v="0"/>
    <s v=""/>
    <s v=""/>
    <s v=""/>
    <s v=""/>
    <s v=""/>
    <s v=""/>
    <s v=""/>
    <x v="0"/>
    <x v="0"/>
    <x v="0"/>
  </r>
  <r>
    <x v="6"/>
    <m/>
    <m/>
    <m/>
    <m/>
    <m/>
    <m/>
    <m/>
    <m/>
    <m/>
    <m/>
    <m/>
    <x v="4"/>
    <d v="2016-03-21T15:05:00"/>
    <s v="Patch Set 1: -Code-Review"/>
    <m/>
    <m/>
    <s v="per.persson@intel.com"/>
    <x v="1"/>
    <x v="0"/>
    <s v=""/>
    <x v="0"/>
    <s v=""/>
    <s v=""/>
    <s v=""/>
    <s v=""/>
    <s v=""/>
    <s v=""/>
    <s v=""/>
    <x v="0"/>
    <x v="0"/>
    <x v="0"/>
  </r>
  <r>
    <x v="6"/>
    <m/>
    <m/>
    <m/>
    <m/>
    <m/>
    <m/>
    <m/>
    <m/>
    <m/>
    <m/>
    <m/>
    <x v="4"/>
    <d v="2016-03-21T15:05:00"/>
    <s v="Patch Set 1: Code-Review+1"/>
    <m/>
    <m/>
    <s v="per.persson@intel.com"/>
    <x v="1"/>
    <x v="0"/>
    <s v=""/>
    <x v="0"/>
    <s v=""/>
    <s v=""/>
    <s v=""/>
    <s v=""/>
    <s v=""/>
    <s v=""/>
    <s v=""/>
    <x v="0"/>
    <x v="0"/>
    <x v="0"/>
  </r>
  <r>
    <x v="6"/>
    <m/>
    <m/>
    <m/>
    <m/>
    <m/>
    <m/>
    <m/>
    <m/>
    <m/>
    <m/>
    <m/>
    <x v="3"/>
    <d v="2016-03-21T15:13:00"/>
    <s v="Patch Set 1:\n\nplease post verified +1? I will approve the patch"/>
    <m/>
    <m/>
    <s v="per.persson@intel.com"/>
    <x v="1"/>
    <x v="2"/>
    <s v=""/>
    <x v="0"/>
    <s v=""/>
    <s v=""/>
    <s v=""/>
    <s v=""/>
    <s v=""/>
    <s v=""/>
    <s v=""/>
    <x v="0"/>
    <x v="0"/>
    <x v="0"/>
  </r>
  <r>
    <x v="6"/>
    <m/>
    <m/>
    <m/>
    <m/>
    <m/>
    <m/>
    <m/>
    <m/>
    <m/>
    <m/>
    <m/>
    <x v="4"/>
    <d v="2016-03-21T15:15:00"/>
    <s v="Patch Set 1: Validation-Android+1"/>
    <m/>
    <m/>
    <s v="per.persson@intel.com"/>
    <x v="1"/>
    <x v="0"/>
    <s v=""/>
    <x v="0"/>
    <s v=""/>
    <s v=""/>
    <s v=""/>
    <s v=""/>
    <s v=""/>
    <s v=""/>
    <s v=""/>
    <x v="0"/>
    <x v="1"/>
    <x v="0"/>
  </r>
  <r>
    <x v="6"/>
    <m/>
    <m/>
    <m/>
    <m/>
    <m/>
    <m/>
    <m/>
    <m/>
    <m/>
    <m/>
    <m/>
    <x v="3"/>
    <d v="2016-03-21T15:16:00"/>
    <s v="Patch Set 1: Approver+1"/>
    <m/>
    <m/>
    <s v="per.persson@intel.com"/>
    <x v="1"/>
    <x v="2"/>
    <s v=""/>
    <x v="0"/>
    <s v=""/>
    <s v=""/>
    <s v=""/>
    <s v=""/>
    <s v=""/>
    <s v=""/>
    <s v=""/>
    <x v="0"/>
    <x v="0"/>
    <x v="0"/>
  </r>
  <r>
    <x v="6"/>
    <m/>
    <m/>
    <m/>
    <m/>
    <m/>
    <m/>
    <m/>
    <m/>
    <m/>
    <m/>
    <m/>
    <x v="9"/>
    <d v="2016-03-22T08:47:00"/>
    <s v="Patch Set 1: Integrator+1\n\nIntegrator +1; patch will be add to PT; please no change now"/>
    <m/>
    <m/>
    <s v="per.persson@intel.com"/>
    <x v="1"/>
    <x v="5"/>
    <s v=""/>
    <x v="0"/>
    <s v=""/>
    <s v=""/>
    <s v=""/>
    <s v=""/>
    <s v=""/>
    <s v=""/>
    <s v=""/>
    <x v="0"/>
    <x v="1"/>
    <x v="0"/>
  </r>
  <r>
    <x v="6"/>
    <m/>
    <m/>
    <m/>
    <m/>
    <m/>
    <m/>
    <m/>
    <m/>
    <m/>
    <m/>
    <m/>
    <x v="9"/>
    <d v="2016-03-22T11:17:00"/>
    <s v="Patch Set 1:\n\nPassed static analysis code analyzing test. No CRITICAL issue in this patch. Auto reported by kwscan@andr-val-srv0.bj.intel.com"/>
    <m/>
    <m/>
    <s v="per.persson@intel.com"/>
    <x v="1"/>
    <x v="5"/>
    <s v=""/>
    <x v="0"/>
    <s v=""/>
    <s v=""/>
    <s v=""/>
    <s v=""/>
    <s v=""/>
    <s v=""/>
    <s v=""/>
    <x v="0"/>
    <x v="0"/>
    <x v="0"/>
  </r>
  <r>
    <x v="6"/>
    <m/>
    <m/>
    <m/>
    <m/>
    <m/>
    <m/>
    <m/>
    <m/>
    <m/>
    <m/>
    <m/>
    <x v="9"/>
    <d v="2016-03-22T11:46:00"/>
    <s v="Patch Set 1:\n\nPassed static analysis code analyzing test. No CRITICAL issue in this patch. Auto reported by kwscan@psi-build5.bj.intel.com"/>
    <m/>
    <m/>
    <s v="per.persson@intel.com"/>
    <x v="1"/>
    <x v="5"/>
    <s v=""/>
    <x v="0"/>
    <s v=""/>
    <s v=""/>
    <s v=""/>
    <s v=""/>
    <s v=""/>
    <s v=""/>
    <s v=""/>
    <x v="0"/>
    <x v="0"/>
    <x v="0"/>
  </r>
  <r>
    <x v="6"/>
    <m/>
    <m/>
    <m/>
    <m/>
    <m/>
    <m/>
    <m/>
    <m/>
    <m/>
    <m/>
    <m/>
    <x v="9"/>
    <d v="2016-03-22T11:59:00"/>
    <s v="Patch Set 1:\n\nPassed static analysis code analyzing test. No CRITICAL issue in this patch. Auto reported by kwscan@kw-srv2.bj.intel.com"/>
    <m/>
    <m/>
    <s v="per.persson@intel.com"/>
    <x v="1"/>
    <x v="5"/>
    <s v=""/>
    <x v="0"/>
    <s v=""/>
    <s v=""/>
    <s v=""/>
    <s v=""/>
    <s v=""/>
    <s v=""/>
    <s v=""/>
    <x v="0"/>
    <x v="0"/>
    <x v="0"/>
  </r>
  <r>
    <x v="6"/>
    <m/>
    <m/>
    <m/>
    <m/>
    <m/>
    <m/>
    <m/>
    <m/>
    <m/>
    <m/>
    <m/>
    <x v="9"/>
    <d v="2016-03-22T14:51:00"/>
    <s v="Patch Set 1:\n\nPassed static analysis code analyzing test. No CRITICAL issue in this patch. Auto reported by kwscan@psi-build5.bj.intel.com"/>
    <m/>
    <m/>
    <s v="per.persson@intel.com"/>
    <x v="1"/>
    <x v="5"/>
    <s v=""/>
    <x v="0"/>
    <s v=""/>
    <s v=""/>
    <s v=""/>
    <s v=""/>
    <s v=""/>
    <s v=""/>
    <s v=""/>
    <x v="0"/>
    <x v="0"/>
    <x v="0"/>
  </r>
  <r>
    <x v="6"/>
    <m/>
    <m/>
    <m/>
    <m/>
    <m/>
    <m/>
    <m/>
    <m/>
    <m/>
    <m/>
    <m/>
    <x v="9"/>
    <d v="2016-03-22T16:06:00"/>
    <s v="Patch Set 1: Code-Review+1\n\nPassed PIT; ready for merge"/>
    <m/>
    <m/>
    <s v="per.persson@intel.com"/>
    <x v="1"/>
    <x v="5"/>
    <s v=""/>
    <x v="0"/>
    <s v=""/>
    <s v=""/>
    <s v=""/>
    <s v=""/>
    <s v=""/>
    <s v=""/>
    <s v=""/>
    <x v="0"/>
    <x v="0"/>
    <x v="0"/>
  </r>
  <r>
    <x v="6"/>
    <m/>
    <m/>
    <m/>
    <m/>
    <m/>
    <m/>
    <m/>
    <m/>
    <m/>
    <m/>
    <m/>
    <x v="10"/>
    <d v="2016-03-30T16:57:00"/>
    <s v="Patch Set 2:\n\nThe patch has been successfully merged into 1A master with https://android.intel.com/485928"/>
    <m/>
    <m/>
    <s v="per.persson@intel.com"/>
    <x v="1"/>
    <x v="5"/>
    <s v=""/>
    <x v="0"/>
    <s v=""/>
    <s v=""/>
    <s v=""/>
    <s v=""/>
    <s v=""/>
    <s v=""/>
    <s v=""/>
    <x v="0"/>
    <x v="0"/>
    <x v="0"/>
  </r>
  <r>
    <x v="7"/>
    <n v="109162"/>
    <s v="vied-viedandr-camera3hal"/>
    <s v="platform/android/main"/>
    <s v="If0bbb93a0852c43bb5f0cee4c88a59efe86d5759"/>
    <s v="jukka.o.kaartinen@intel.com"/>
    <s v="MERGED"/>
    <s v="c3: fix misleading trace"/>
    <s v="c3: fix misleading trace\n\nMediaController's getMediaEntity can be used to query\nif entity exist or not.\nCaller should decide if entity \not found\ -case is error or not.\n\nChange-Id: If0bbb93a0852c43bb5f0cee4c88a59efe86d5759\nTracked-On: #R519219\nSigned-off-by: Jukka Kaartinen &lt;jukka.o.kaartinen@intel.com&gt;\nSigned-off-by: Miguel Verdu &lt;miguel.verdu@intel.com&gt;\nReviewed-on: https://icggerrit.ir.intel.com/109162\nValidation-Android: Wei Tao &lt;wei.tao@intel.com&gt;\nReviewed-by: John Mathew &lt;john.mathew@intel.com&gt;\nBuild: Dessert M BXT RVP (SC)\nReviewed-by: Arnaud Mandy &lt;arnaud.mandy@intel.com&gt;\nBuild: Dessert M SOFIA (SC)\nBuild: Dessert M CHT FFD (SC)\nIntegrator: WeiX Meng &lt;weix.meng@intel.com&gt;\nReviewed-by: WeiX Meng &lt;weix.meng@intel.com&gt;\nReviewed-by: Lassi I Vaatamoinen &lt;lassi.i.vaatamoinen@intel.com&gt;\n"/>
    <d v="2016-03-21T22:21:00"/>
    <d v="2016-03-23T16:34:00"/>
    <s v="common"/>
    <x v="2"/>
    <d v="2016-03-21T22:21:00"/>
    <s v="Uploaded patch set 1."/>
    <m/>
    <s v="dongdong.zhang@intel.com;weix.meng@intel.com;miguel.verdu@intel.com;arnaud.mandy@intel.com;juha.alanen@intel.com;lassi.i.vaatamoinen@intel.com;renwei.wu@intel.com;john.mathew@intel.com;hongjiang.a.zheng@intel.com;gang.a.hu@intel.com;anttu.koski@intel.com;"/>
    <s v="jukka.o.kaartinen@intel.com"/>
    <x v="0"/>
    <x v="0"/>
    <s v="16'ww13"/>
    <x v="0"/>
    <n v="2"/>
    <n v="0"/>
    <n v="2"/>
    <n v="0"/>
    <n v="2"/>
    <n v="17"/>
    <n v="1"/>
    <x v="0"/>
    <x v="0"/>
    <x v="0"/>
  </r>
  <r>
    <x v="7"/>
    <m/>
    <m/>
    <m/>
    <m/>
    <m/>
    <m/>
    <m/>
    <m/>
    <m/>
    <m/>
    <m/>
    <x v="2"/>
    <d v="2016-03-21T22:21:00"/>
    <s v="Patch Set 1:\n\nPatchset Created: CI job has been scheduled."/>
    <m/>
    <m/>
    <s v="jukka.o.kaartinen@intel.com"/>
    <x v="0"/>
    <x v="0"/>
    <s v=""/>
    <x v="0"/>
    <s v=""/>
    <s v=""/>
    <s v=""/>
    <s v=""/>
    <s v=""/>
    <s v=""/>
    <s v=""/>
    <x v="0"/>
    <x v="0"/>
    <x v="0"/>
  </r>
  <r>
    <x v="7"/>
    <m/>
    <m/>
    <m/>
    <m/>
    <m/>
    <m/>
    <m/>
    <m/>
    <m/>
    <m/>
    <m/>
    <x v="14"/>
    <d v="2016-03-21T22:23:00"/>
    <s v="Patch Set 1: Validation-Android+1\n\nreceive smoke test"/>
    <m/>
    <m/>
    <s v="jukka.o.kaartinen@intel.com"/>
    <x v="0"/>
    <x v="5"/>
    <s v=""/>
    <x v="0"/>
    <s v=""/>
    <s v=""/>
    <s v=""/>
    <s v=""/>
    <s v=""/>
    <s v=""/>
    <s v=""/>
    <x v="0"/>
    <x v="1"/>
    <x v="0"/>
  </r>
  <r>
    <x v="7"/>
    <m/>
    <m/>
    <m/>
    <m/>
    <m/>
    <m/>
    <m/>
    <m/>
    <m/>
    <m/>
    <m/>
    <x v="18"/>
    <d v="2016-03-21T22:28:00"/>
    <s v="Patch Set 1: Code-Review-1\n\n(2 comments)"/>
    <s v="line7 :&quot;Who's this Ms Leading Trace?\n\n-&gt; misleading&quot; line10 :&quot;remove \&quot;it\&quot;&quot;"/>
    <m/>
    <s v="jukka.o.kaartinen@intel.com"/>
    <x v="0"/>
    <x v="1"/>
    <s v=""/>
    <x v="0"/>
    <s v=""/>
    <s v=""/>
    <s v=""/>
    <s v=""/>
    <s v=""/>
    <s v=""/>
    <s v=""/>
    <x v="1"/>
    <x v="0"/>
    <x v="0"/>
  </r>
  <r>
    <x v="7"/>
    <m/>
    <m/>
    <m/>
    <m/>
    <m/>
    <m/>
    <m/>
    <m/>
    <m/>
    <m/>
    <m/>
    <x v="2"/>
    <d v="2016-03-21T23:11:00"/>
    <s v="Patch Set 1:\n\n(2 comments)"/>
    <s v="line7 :&quot;Done&quot; line10 :&quot;Done&quot;"/>
    <m/>
    <s v="jukka.o.kaartinen@intel.com"/>
    <x v="0"/>
    <x v="0"/>
    <s v=""/>
    <x v="0"/>
    <s v=""/>
    <s v=""/>
    <s v=""/>
    <s v=""/>
    <s v=""/>
    <s v=""/>
    <s v=""/>
    <x v="0"/>
    <x v="0"/>
    <x v="0"/>
  </r>
  <r>
    <x v="7"/>
    <m/>
    <m/>
    <m/>
    <m/>
    <m/>
    <m/>
    <m/>
    <m/>
    <m/>
    <m/>
    <m/>
    <x v="2"/>
    <d v="2016-03-21T23:18:00"/>
    <s v="Patch Set 2:\n\nPatchset Created: CI job has been scheduled."/>
    <m/>
    <m/>
    <s v="jukka.o.kaartinen@intel.com"/>
    <x v="0"/>
    <x v="0"/>
    <s v=""/>
    <x v="0"/>
    <s v=""/>
    <s v=""/>
    <s v=""/>
    <s v=""/>
    <s v=""/>
    <s v=""/>
    <s v=""/>
    <x v="0"/>
    <x v="0"/>
    <x v="0"/>
  </r>
  <r>
    <x v="7"/>
    <m/>
    <m/>
    <m/>
    <m/>
    <m/>
    <m/>
    <m/>
    <m/>
    <m/>
    <m/>
    <m/>
    <x v="2"/>
    <d v="2016-03-21T23:18:00"/>
    <s v="Uploaded patch set 2."/>
    <m/>
    <m/>
    <s v="jukka.o.kaartinen@intel.com"/>
    <x v="0"/>
    <x v="0"/>
    <s v=""/>
    <x v="0"/>
    <s v=""/>
    <s v=""/>
    <s v=""/>
    <s v=""/>
    <s v=""/>
    <s v=""/>
    <s v=""/>
    <x v="0"/>
    <x v="0"/>
    <x v="0"/>
  </r>
  <r>
    <x v="7"/>
    <m/>
    <m/>
    <m/>
    <m/>
    <m/>
    <m/>
    <m/>
    <m/>
    <m/>
    <m/>
    <m/>
    <x v="2"/>
    <d v="2016-03-21T23:19:00"/>
    <s v="Patch Set 2: Code-Review+1"/>
    <m/>
    <m/>
    <s v="jukka.o.kaartinen@intel.com"/>
    <x v="0"/>
    <x v="0"/>
    <s v=""/>
    <x v="0"/>
    <s v=""/>
    <s v=""/>
    <s v=""/>
    <s v=""/>
    <s v=""/>
    <s v=""/>
    <s v=""/>
    <x v="0"/>
    <x v="0"/>
    <x v="0"/>
  </r>
  <r>
    <x v="7"/>
    <m/>
    <m/>
    <m/>
    <m/>
    <m/>
    <m/>
    <m/>
    <m/>
    <m/>
    <m/>
    <m/>
    <x v="2"/>
    <d v="2016-03-21T23:29:00"/>
    <s v="Patch Set 3:\n\nPatchset Created: CI job has been scheduled."/>
    <m/>
    <m/>
    <s v="jukka.o.kaartinen@intel.com"/>
    <x v="0"/>
    <x v="0"/>
    <s v=""/>
    <x v="0"/>
    <s v=""/>
    <s v=""/>
    <s v=""/>
    <s v=""/>
    <s v=""/>
    <s v=""/>
    <s v=""/>
    <x v="0"/>
    <x v="0"/>
    <x v="0"/>
  </r>
  <r>
    <x v="7"/>
    <m/>
    <m/>
    <m/>
    <m/>
    <m/>
    <m/>
    <m/>
    <m/>
    <m/>
    <m/>
    <m/>
    <x v="2"/>
    <d v="2016-03-21T23:29:00"/>
    <s v="Uploaded patch set 3: Patch Set 2 was rebased."/>
    <m/>
    <m/>
    <s v="jukka.o.kaartinen@intel.com"/>
    <x v="0"/>
    <x v="0"/>
    <s v=""/>
    <x v="0"/>
    <s v=""/>
    <s v=""/>
    <s v=""/>
    <s v=""/>
    <s v=""/>
    <s v=""/>
    <s v=""/>
    <x v="0"/>
    <x v="0"/>
    <x v="0"/>
  </r>
  <r>
    <x v="7"/>
    <m/>
    <m/>
    <m/>
    <m/>
    <m/>
    <m/>
    <m/>
    <m/>
    <m/>
    <m/>
    <m/>
    <x v="14"/>
    <d v="2016-03-21T23:38:00"/>
    <s v="Patch Set 3: Validation-Android+1\n\nreceive smoke test"/>
    <m/>
    <m/>
    <s v="jukka.o.kaartinen@intel.com"/>
    <x v="0"/>
    <x v="5"/>
    <s v=""/>
    <x v="0"/>
    <s v=""/>
    <s v=""/>
    <s v=""/>
    <s v=""/>
    <s v=""/>
    <s v=""/>
    <s v=""/>
    <x v="0"/>
    <x v="1"/>
    <x v="0"/>
  </r>
  <r>
    <x v="7"/>
    <m/>
    <m/>
    <m/>
    <m/>
    <m/>
    <m/>
    <m/>
    <m/>
    <m/>
    <m/>
    <m/>
    <x v="13"/>
    <d v="2016-03-22T10:41:00"/>
    <s v="Patch Set 3: Code-Review+1"/>
    <m/>
    <m/>
    <s v="jukka.o.kaartinen@intel.com"/>
    <x v="0"/>
    <x v="4"/>
    <s v=""/>
    <x v="0"/>
    <s v=""/>
    <s v=""/>
    <s v=""/>
    <s v=""/>
    <s v=""/>
    <s v=""/>
    <s v=""/>
    <x v="0"/>
    <x v="0"/>
    <x v="0"/>
  </r>
  <r>
    <x v="7"/>
    <m/>
    <m/>
    <m/>
    <m/>
    <m/>
    <m/>
    <m/>
    <m/>
    <m/>
    <m/>
    <m/>
    <x v="15"/>
    <d v="2016-03-22T11:55:00"/>
    <s v="Patch Set 3: Code-Review+1"/>
    <m/>
    <m/>
    <s v="jukka.o.kaartinen@intel.com"/>
    <x v="0"/>
    <x v="4"/>
    <s v=""/>
    <x v="0"/>
    <s v=""/>
    <s v=""/>
    <s v=""/>
    <s v=""/>
    <s v=""/>
    <s v=""/>
    <s v=""/>
    <x v="0"/>
    <x v="0"/>
    <x v="0"/>
  </r>
  <r>
    <x v="7"/>
    <m/>
    <m/>
    <m/>
    <m/>
    <m/>
    <m/>
    <m/>
    <m/>
    <m/>
    <m/>
    <m/>
    <x v="2"/>
    <d v="2016-03-22T15:27:00"/>
    <s v="Uploaded patch set 4: Patch Set 3 was rebased."/>
    <m/>
    <m/>
    <s v="jukka.o.kaartinen@intel.com"/>
    <x v="0"/>
    <x v="0"/>
    <s v=""/>
    <x v="0"/>
    <s v=""/>
    <s v=""/>
    <s v=""/>
    <s v=""/>
    <s v=""/>
    <s v=""/>
    <s v=""/>
    <x v="0"/>
    <x v="0"/>
    <x v="0"/>
  </r>
  <r>
    <x v="7"/>
    <m/>
    <m/>
    <m/>
    <m/>
    <m/>
    <m/>
    <m/>
    <m/>
    <m/>
    <m/>
    <m/>
    <x v="2"/>
    <d v="2016-03-22T15:27:00"/>
    <s v="Patch Set 4:\n\nPatchset Created: CI job has been scheduled."/>
    <m/>
    <m/>
    <s v="jukka.o.kaartinen@intel.com"/>
    <x v="0"/>
    <x v="0"/>
    <s v=""/>
    <x v="0"/>
    <s v=""/>
    <s v=""/>
    <s v=""/>
    <s v=""/>
    <s v=""/>
    <s v=""/>
    <s v=""/>
    <x v="0"/>
    <x v="0"/>
    <x v="0"/>
  </r>
  <r>
    <x v="7"/>
    <m/>
    <m/>
    <m/>
    <m/>
    <m/>
    <m/>
    <m/>
    <m/>
    <m/>
    <m/>
    <m/>
    <x v="18"/>
    <d v="2016-03-22T15:28:00"/>
    <s v="Patch Set 4: Code-Review+1"/>
    <m/>
    <m/>
    <s v="jukka.o.kaartinen@intel.com"/>
    <x v="0"/>
    <x v="1"/>
    <s v=""/>
    <x v="0"/>
    <s v=""/>
    <s v=""/>
    <s v=""/>
    <s v=""/>
    <s v=""/>
    <s v=""/>
    <s v=""/>
    <x v="0"/>
    <x v="0"/>
    <x v="0"/>
  </r>
  <r>
    <x v="7"/>
    <m/>
    <m/>
    <m/>
    <m/>
    <m/>
    <m/>
    <m/>
    <m/>
    <m/>
    <m/>
    <m/>
    <x v="8"/>
    <d v="2016-03-22T15:30:00"/>
    <s v="Patch Set 4: Code-Review+1"/>
    <m/>
    <m/>
    <s v="jukka.o.kaartinen@intel.com"/>
    <x v="0"/>
    <x v="1"/>
    <s v=""/>
    <x v="0"/>
    <s v=""/>
    <s v=""/>
    <s v=""/>
    <s v=""/>
    <s v=""/>
    <s v=""/>
    <s v=""/>
    <x v="0"/>
    <x v="0"/>
    <x v="0"/>
  </r>
  <r>
    <x v="7"/>
    <m/>
    <m/>
    <m/>
    <m/>
    <m/>
    <m/>
    <m/>
    <m/>
    <m/>
    <m/>
    <m/>
    <x v="14"/>
    <d v="2016-03-22T15:43:00"/>
    <s v="Patch Set 4: Validation-Android+1\n\nreceive smoke test"/>
    <m/>
    <m/>
    <s v="jukka.o.kaartinen@intel.com"/>
    <x v="0"/>
    <x v="5"/>
    <s v=""/>
    <x v="0"/>
    <s v=""/>
    <s v=""/>
    <s v=""/>
    <s v=""/>
    <s v=""/>
    <s v=""/>
    <s v=""/>
    <x v="0"/>
    <x v="1"/>
    <x v="0"/>
  </r>
  <r>
    <x v="7"/>
    <m/>
    <m/>
    <m/>
    <m/>
    <m/>
    <m/>
    <m/>
    <m/>
    <m/>
    <m/>
    <m/>
    <x v="3"/>
    <d v="2016-03-22T15:44:00"/>
    <s v="Patch Set 4: Code-Review+1"/>
    <m/>
    <m/>
    <s v="jukka.o.kaartinen@intel.com"/>
    <x v="0"/>
    <x v="2"/>
    <s v=""/>
    <x v="0"/>
    <s v=""/>
    <s v=""/>
    <s v=""/>
    <s v=""/>
    <s v=""/>
    <s v=""/>
    <s v=""/>
    <x v="0"/>
    <x v="0"/>
    <x v="0"/>
  </r>
  <r>
    <x v="7"/>
    <m/>
    <m/>
    <m/>
    <m/>
    <m/>
    <m/>
    <m/>
    <m/>
    <m/>
    <m/>
    <m/>
    <x v="8"/>
    <d v="2016-03-22T15:45:00"/>
    <s v="Patch Set 4: Approver+1"/>
    <m/>
    <m/>
    <s v="jukka.o.kaartinen@intel.com"/>
    <x v="0"/>
    <x v="1"/>
    <s v=""/>
    <x v="0"/>
    <s v=""/>
    <s v=""/>
    <s v=""/>
    <s v=""/>
    <s v=""/>
    <s v=""/>
    <s v=""/>
    <x v="0"/>
    <x v="0"/>
    <x v="0"/>
  </r>
  <r>
    <x v="7"/>
    <m/>
    <m/>
    <m/>
    <m/>
    <m/>
    <m/>
    <m/>
    <m/>
    <m/>
    <m/>
    <m/>
    <x v="8"/>
    <d v="2016-03-22T15:46:00"/>
    <s v="Topic set to bxt_preint_HEAD"/>
    <m/>
    <m/>
    <s v="jukka.o.kaartinen@intel.com"/>
    <x v="0"/>
    <x v="1"/>
    <s v=""/>
    <x v="0"/>
    <s v=""/>
    <s v=""/>
    <s v=""/>
    <s v=""/>
    <s v=""/>
    <s v=""/>
    <s v=""/>
    <x v="0"/>
    <x v="0"/>
    <x v="0"/>
  </r>
  <r>
    <x v="7"/>
    <m/>
    <m/>
    <m/>
    <m/>
    <m/>
    <m/>
    <m/>
    <m/>
    <m/>
    <m/>
    <m/>
    <x v="12"/>
    <d v="2016-03-22T15:55:00"/>
    <s v="Patch Set 4: Code-Review+1"/>
    <m/>
    <m/>
    <s v="jukka.o.kaartinen@intel.com"/>
    <x v="0"/>
    <x v="1"/>
    <s v=""/>
    <x v="0"/>
    <s v=""/>
    <s v=""/>
    <s v=""/>
    <s v=""/>
    <s v=""/>
    <s v=""/>
    <s v=""/>
    <x v="0"/>
    <x v="0"/>
    <x v="0"/>
  </r>
  <r>
    <x v="7"/>
    <m/>
    <m/>
    <m/>
    <m/>
    <m/>
    <m/>
    <m/>
    <m/>
    <m/>
    <m/>
    <m/>
    <x v="2"/>
    <d v="2016-03-22T16:52:00"/>
    <s v="Topic changed from bxt_preint_HEAD to bxt_preint"/>
    <m/>
    <m/>
    <s v="jukka.o.kaartinen@intel.com"/>
    <x v="0"/>
    <x v="0"/>
    <s v=""/>
    <x v="0"/>
    <s v=""/>
    <s v=""/>
    <s v=""/>
    <s v=""/>
    <s v=""/>
    <s v=""/>
    <s v=""/>
    <x v="0"/>
    <x v="0"/>
    <x v="0"/>
  </r>
  <r>
    <x v="7"/>
    <m/>
    <m/>
    <m/>
    <m/>
    <m/>
    <m/>
    <m/>
    <m/>
    <m/>
    <m/>
    <m/>
    <x v="5"/>
    <d v="2016-03-22T17:07:00"/>
    <s v="Patch Set 4: Code-Review-1\n\n(1 comment)"/>
    <s v="line544 :&quot;Why don't you just downgrade this to LOG1?&quot;"/>
    <m/>
    <s v="jukka.o.kaartinen@intel.com"/>
    <x v="0"/>
    <x v="1"/>
    <s v=""/>
    <x v="0"/>
    <s v=""/>
    <s v=""/>
    <s v=""/>
    <s v=""/>
    <s v=""/>
    <s v=""/>
    <s v=""/>
    <x v="1"/>
    <x v="0"/>
    <x v="0"/>
  </r>
  <r>
    <x v="7"/>
    <m/>
    <m/>
    <m/>
    <m/>
    <m/>
    <m/>
    <m/>
    <m/>
    <m/>
    <m/>
    <m/>
    <x v="2"/>
    <d v="2016-03-22T17:15:00"/>
    <s v="Patch Set 4:\n\n(1 comment)"/>
    <s v="line544 :&quot;I disagree.\nbecause there is no need to add trace here.\ncaller can add the trace if it wants to do so.&quot;"/>
    <m/>
    <s v="jukka.o.kaartinen@intel.com"/>
    <x v="0"/>
    <x v="0"/>
    <s v=""/>
    <x v="0"/>
    <s v=""/>
    <s v=""/>
    <s v=""/>
    <s v=""/>
    <s v=""/>
    <s v=""/>
    <s v=""/>
    <x v="0"/>
    <x v="0"/>
    <x v="0"/>
  </r>
  <r>
    <x v="7"/>
    <m/>
    <m/>
    <m/>
    <m/>
    <m/>
    <m/>
    <m/>
    <m/>
    <m/>
    <m/>
    <m/>
    <x v="1"/>
    <d v="2016-03-22T19:35:00"/>
    <s v="Patch Set 4: Code-Review+1"/>
    <m/>
    <m/>
    <s v="jukka.o.kaartinen@intel.com"/>
    <x v="0"/>
    <x v="1"/>
    <s v=""/>
    <x v="0"/>
    <s v=""/>
    <s v=""/>
    <s v=""/>
    <s v=""/>
    <s v=""/>
    <s v=""/>
    <s v=""/>
    <x v="0"/>
    <x v="0"/>
    <x v="0"/>
  </r>
  <r>
    <x v="7"/>
    <m/>
    <m/>
    <m/>
    <m/>
    <m/>
    <m/>
    <m/>
    <m/>
    <m/>
    <m/>
    <m/>
    <x v="0"/>
    <d v="2016-03-22T20:20:00"/>
    <s v="Uploaded patch set 5."/>
    <m/>
    <m/>
    <s v="jukka.o.kaartinen@intel.com"/>
    <x v="0"/>
    <x v="1"/>
    <s v=""/>
    <x v="0"/>
    <s v=""/>
    <s v=""/>
    <s v=""/>
    <s v=""/>
    <s v=""/>
    <s v=""/>
    <s v=""/>
    <x v="0"/>
    <x v="0"/>
    <x v="0"/>
  </r>
  <r>
    <x v="7"/>
    <m/>
    <m/>
    <m/>
    <m/>
    <m/>
    <m/>
    <m/>
    <m/>
    <m/>
    <m/>
    <m/>
    <x v="0"/>
    <d v="2016-03-22T20:20:00"/>
    <s v="Patch Set 5:\n\nPatchset Created: CI job has been scheduled."/>
    <m/>
    <m/>
    <s v="jukka.o.kaartinen@intel.com"/>
    <x v="0"/>
    <x v="1"/>
    <s v=""/>
    <x v="0"/>
    <s v=""/>
    <s v=""/>
    <s v=""/>
    <s v=""/>
    <s v=""/>
    <s v=""/>
    <s v=""/>
    <x v="0"/>
    <x v="0"/>
    <x v="0"/>
  </r>
  <r>
    <x v="7"/>
    <m/>
    <m/>
    <m/>
    <m/>
    <m/>
    <m/>
    <m/>
    <m/>
    <m/>
    <m/>
    <m/>
    <x v="14"/>
    <d v="2016-03-22T20:23:00"/>
    <s v="Patch Set 5: Validation-Android+1\n\nreceive smoke test"/>
    <m/>
    <m/>
    <s v="jukka.o.kaartinen@intel.com"/>
    <x v="0"/>
    <x v="5"/>
    <s v=""/>
    <x v="0"/>
    <s v=""/>
    <s v=""/>
    <s v=""/>
    <s v=""/>
    <s v=""/>
    <s v=""/>
    <s v=""/>
    <x v="0"/>
    <x v="1"/>
    <x v="0"/>
  </r>
  <r>
    <x v="7"/>
    <m/>
    <m/>
    <m/>
    <m/>
    <m/>
    <m/>
    <m/>
    <m/>
    <m/>
    <m/>
    <m/>
    <x v="0"/>
    <d v="2016-03-22T20:25:00"/>
    <s v="Topic changed from up_gcss to bxt_preint"/>
    <m/>
    <m/>
    <s v="jukka.o.kaartinen@intel.com"/>
    <x v="0"/>
    <x v="1"/>
    <s v=""/>
    <x v="0"/>
    <s v=""/>
    <s v=""/>
    <s v=""/>
    <s v=""/>
    <s v=""/>
    <s v=""/>
    <s v=""/>
    <x v="0"/>
    <x v="0"/>
    <x v="0"/>
  </r>
  <r>
    <x v="7"/>
    <m/>
    <m/>
    <m/>
    <m/>
    <m/>
    <m/>
    <m/>
    <m/>
    <m/>
    <m/>
    <m/>
    <x v="0"/>
    <d v="2016-03-22T20:25:00"/>
    <s v="Patch Set 5: Code-Review+1"/>
    <m/>
    <m/>
    <s v="jukka.o.kaartinen@intel.com"/>
    <x v="0"/>
    <x v="1"/>
    <s v=""/>
    <x v="0"/>
    <s v=""/>
    <s v=""/>
    <s v=""/>
    <s v=""/>
    <s v=""/>
    <s v=""/>
    <s v=""/>
    <x v="0"/>
    <x v="0"/>
    <x v="0"/>
  </r>
  <r>
    <x v="7"/>
    <m/>
    <m/>
    <m/>
    <m/>
    <m/>
    <m/>
    <m/>
    <m/>
    <m/>
    <m/>
    <m/>
    <x v="8"/>
    <d v="2016-03-22T20:27:00"/>
    <s v="Patch Set 5: Code-Review+1"/>
    <m/>
    <m/>
    <s v="jukka.o.kaartinen@intel.com"/>
    <x v="0"/>
    <x v="1"/>
    <s v=""/>
    <x v="0"/>
    <s v=""/>
    <s v=""/>
    <s v=""/>
    <s v=""/>
    <s v=""/>
    <s v=""/>
    <s v=""/>
    <x v="0"/>
    <x v="0"/>
    <x v="0"/>
  </r>
  <r>
    <x v="7"/>
    <m/>
    <m/>
    <m/>
    <m/>
    <m/>
    <m/>
    <m/>
    <m/>
    <m/>
    <m/>
    <m/>
    <x v="2"/>
    <d v="2016-03-22T20:27:00"/>
    <s v="Patch Set 5: Code-Review+1"/>
    <m/>
    <m/>
    <s v="jukka.o.kaartinen@intel.com"/>
    <x v="0"/>
    <x v="0"/>
    <s v=""/>
    <x v="0"/>
    <s v=""/>
    <s v=""/>
    <s v=""/>
    <s v=""/>
    <s v=""/>
    <s v=""/>
    <s v=""/>
    <x v="0"/>
    <x v="0"/>
    <x v="0"/>
  </r>
  <r>
    <x v="7"/>
    <m/>
    <m/>
    <m/>
    <m/>
    <m/>
    <m/>
    <m/>
    <m/>
    <m/>
    <m/>
    <m/>
    <x v="0"/>
    <d v="2016-03-22T20:27:00"/>
    <s v="Patch Set 5: Approver+1"/>
    <m/>
    <m/>
    <s v="jukka.o.kaartinen@intel.com"/>
    <x v="0"/>
    <x v="1"/>
    <s v=""/>
    <x v="0"/>
    <s v=""/>
    <s v=""/>
    <s v=""/>
    <s v=""/>
    <s v=""/>
    <s v=""/>
    <s v=""/>
    <x v="0"/>
    <x v="0"/>
    <x v="0"/>
  </r>
  <r>
    <x v="7"/>
    <m/>
    <m/>
    <m/>
    <m/>
    <m/>
    <m/>
    <m/>
    <m/>
    <m/>
    <m/>
    <m/>
    <x v="5"/>
    <d v="2016-03-22T20:39:00"/>
    <s v="Patch Set 5: -Code-Review"/>
    <m/>
    <m/>
    <s v="jukka.o.kaartinen@intel.com"/>
    <x v="0"/>
    <x v="1"/>
    <s v=""/>
    <x v="0"/>
    <s v=""/>
    <s v=""/>
    <s v=""/>
    <s v=""/>
    <s v=""/>
    <s v=""/>
    <s v=""/>
    <x v="0"/>
    <x v="0"/>
    <x v="0"/>
  </r>
  <r>
    <x v="7"/>
    <m/>
    <m/>
    <m/>
    <m/>
    <m/>
    <m/>
    <m/>
    <m/>
    <m/>
    <m/>
    <m/>
    <x v="1"/>
    <d v="2016-03-22T21:12:00"/>
    <s v="Patch Set 5: Code-Review+1"/>
    <m/>
    <m/>
    <s v="jukka.o.kaartinen@intel.com"/>
    <x v="0"/>
    <x v="1"/>
    <s v=""/>
    <x v="0"/>
    <s v=""/>
    <s v=""/>
    <s v=""/>
    <s v=""/>
    <s v=""/>
    <s v=""/>
    <s v=""/>
    <x v="0"/>
    <x v="0"/>
    <x v="0"/>
  </r>
  <r>
    <x v="7"/>
    <m/>
    <m/>
    <m/>
    <m/>
    <m/>
    <m/>
    <m/>
    <m/>
    <m/>
    <m/>
    <m/>
    <x v="9"/>
    <d v="2016-03-23T08:47:00"/>
    <s v="Patch Set 5: Integrator+1\n\nIntegrator +1; patch will be add to PT; please no change now"/>
    <m/>
    <m/>
    <s v="jukka.o.kaartinen@intel.com"/>
    <x v="0"/>
    <x v="5"/>
    <s v=""/>
    <x v="0"/>
    <s v=""/>
    <s v=""/>
    <s v=""/>
    <s v=""/>
    <s v=""/>
    <s v=""/>
    <s v=""/>
    <x v="0"/>
    <x v="1"/>
    <x v="0"/>
  </r>
  <r>
    <x v="7"/>
    <m/>
    <m/>
    <m/>
    <m/>
    <m/>
    <m/>
    <m/>
    <m/>
    <m/>
    <m/>
    <m/>
    <x v="9"/>
    <d v="2016-03-23T10:52:00"/>
    <s v="Patch Set 5:\n\nPassed static analysis code analyzing test. No CRITICAL issue in this patch. Auto reported by kwscan@psi-build5.bj.intel.com"/>
    <m/>
    <m/>
    <s v="jukka.o.kaartinen@intel.com"/>
    <x v="0"/>
    <x v="5"/>
    <s v=""/>
    <x v="0"/>
    <s v=""/>
    <s v=""/>
    <s v=""/>
    <s v=""/>
    <s v=""/>
    <s v=""/>
    <s v=""/>
    <x v="0"/>
    <x v="0"/>
    <x v="0"/>
  </r>
  <r>
    <x v="7"/>
    <m/>
    <m/>
    <m/>
    <m/>
    <m/>
    <m/>
    <m/>
    <m/>
    <m/>
    <m/>
    <m/>
    <x v="9"/>
    <d v="2016-03-23T11:48:00"/>
    <s v="Patch Set 5:\n\nPassed static analysis code analyzing test. No CRITICAL issue in this patch. Auto reported by kwscan@andr-val-srv0.bj.intel.com"/>
    <m/>
    <m/>
    <s v="jukka.o.kaartinen@intel.com"/>
    <x v="0"/>
    <x v="5"/>
    <s v=""/>
    <x v="0"/>
    <s v=""/>
    <s v=""/>
    <s v=""/>
    <s v=""/>
    <s v=""/>
    <s v=""/>
    <s v=""/>
    <x v="0"/>
    <x v="0"/>
    <x v="0"/>
  </r>
  <r>
    <x v="7"/>
    <m/>
    <m/>
    <m/>
    <m/>
    <m/>
    <m/>
    <m/>
    <m/>
    <m/>
    <m/>
    <m/>
    <x v="9"/>
    <d v="2016-03-23T15:45:00"/>
    <s v="Patch Set 5: Code-Review+1\n\nPassed PIT; ready for merge"/>
    <m/>
    <m/>
    <s v="jukka.o.kaartinen@intel.com"/>
    <x v="0"/>
    <x v="5"/>
    <s v=""/>
    <x v="0"/>
    <s v=""/>
    <s v=""/>
    <s v=""/>
    <s v=""/>
    <s v=""/>
    <s v=""/>
    <s v=""/>
    <x v="0"/>
    <x v="0"/>
    <x v="0"/>
  </r>
  <r>
    <x v="7"/>
    <m/>
    <m/>
    <m/>
    <m/>
    <m/>
    <m/>
    <m/>
    <m/>
    <m/>
    <m/>
    <m/>
    <x v="12"/>
    <d v="2016-03-23T15:46:00"/>
    <s v="Patch Set 5: Code-Review+1"/>
    <m/>
    <m/>
    <s v="jukka.o.kaartinen@intel.com"/>
    <x v="0"/>
    <x v="1"/>
    <s v=""/>
    <x v="0"/>
    <s v=""/>
    <s v=""/>
    <s v=""/>
    <s v=""/>
    <s v=""/>
    <s v=""/>
    <s v=""/>
    <x v="0"/>
    <x v="0"/>
    <x v="0"/>
  </r>
  <r>
    <x v="7"/>
    <m/>
    <m/>
    <m/>
    <m/>
    <m/>
    <m/>
    <m/>
    <m/>
    <m/>
    <m/>
    <m/>
    <x v="10"/>
    <d v="2016-03-30T16:55:00"/>
    <s v="Patch Set 6:\n\nThe patch has been successfully merged into 1A master with https://android.intel.com/485928"/>
    <m/>
    <m/>
    <s v="jukka.o.kaartinen@intel.com"/>
    <x v="0"/>
    <x v="5"/>
    <s v=""/>
    <x v="0"/>
    <s v=""/>
    <s v=""/>
    <s v=""/>
    <s v=""/>
    <s v=""/>
    <s v=""/>
    <s v=""/>
    <x v="0"/>
    <x v="0"/>
    <x v="0"/>
  </r>
  <r>
    <x v="8"/>
    <n v="106604"/>
    <s v="vied-viedandr-camera3hal"/>
    <s v="platform/android/main"/>
    <s v="I675d2ea2b5dc7311f3de44899a4e2991c5a31335"/>
    <s v="arnaud.mandy@intel.com"/>
    <s v="MERGED"/>
    <s v="c3:ItemPool: Adding function to return ItemPool size"/>
    <s v="c3:ItemPool: Adding function to return ItemPool size\n\nChange-Id: I675d2ea2b5dc7311f3de44899a4e2991c5a31335\nTracked-On: #R517339\nSigned-off-by: Arnaud Mandy &lt;arnaud.mandy@intel.com&gt;\nReviewed-on: https://icggerrit.ir.intel.com/106604\nValidation-Android: Wei Tao &lt;wei.tao@intel.com&gt;\nBuild: Dessert M SOFIA (SC)\nBuild: Dessert M BXT RVP (SC)\nReviewed-by: Gang A Hu &lt;gang.a.hu@intel.com&gt;\nReviewed-by: Huitao Cao &lt;huitao.cao@intel.com&gt;\nReviewed-by: Jukka O Kaartinen &lt;jukka.o.kaartinen@intel.com&gt;\nReviewed-by: Juha Alanen &lt;juha.alanen@intel.com&gt;\nReviewed-by: Renwei Wu &lt;renwei.wu@intel.com&gt;\nApprover: Jukka O Kaartinen &lt;jukka.o.kaartinen@intel.com&gt;\nBuild: Dessert M CHT FFD (SC)\nReviewed-by: Miguel Verdu &lt;miguel.verdu@intel.com&gt;\nReviewed-by: Jingzhi Yu &lt;jingzhi.yu@intel.com&gt;\nReviewed-by: Hongjiang A Zheng &lt;hongjiang.a.zheng@intel.com&gt;\nIntegrator: WeiX Meng &lt;weix.meng@intel.com&gt;\nReviewed-by: WeiX Meng &lt;weix.meng@intel.com&gt;\n"/>
    <d v="2016-03-10T00:43:00"/>
    <d v="2016-03-14T16:33:00"/>
    <s v="common"/>
    <x v="1"/>
    <d v="2016-03-10T00:43:00"/>
    <s v="Patch Set 1:\n\nPatchset Created: CI job has been scheduled."/>
    <m/>
    <s v="dongdong.zhang@intel.com;weix.meng@intel.com;hongjiang.a.zheng@intel.com;jingzhi.yu@intel.com;miguel.verdu@intel.com;renwei.wu@intel.com;juha.alanen@intel.com;jukka.o.kaartinen@intel.com;huitao.cao@intel.com;gang.a.hu@intel.com;"/>
    <s v="arnaud.mandy@intel.com"/>
    <x v="0"/>
    <x v="0"/>
    <s v="16'ww12"/>
    <x v="0"/>
    <n v="0"/>
    <n v="0"/>
    <n v="0"/>
    <n v="0"/>
    <n v="4"/>
    <n v="6"/>
    <n v="1"/>
    <x v="0"/>
    <x v="0"/>
    <x v="0"/>
  </r>
  <r>
    <x v="8"/>
    <m/>
    <m/>
    <m/>
    <m/>
    <m/>
    <m/>
    <m/>
    <m/>
    <m/>
    <m/>
    <m/>
    <x v="1"/>
    <d v="2016-03-10T00:43:00"/>
    <s v="Uploaded patch set 1."/>
    <m/>
    <m/>
    <s v="arnaud.mandy@intel.com"/>
    <x v="0"/>
    <x v="0"/>
    <s v=""/>
    <x v="0"/>
    <s v=""/>
    <s v=""/>
    <s v=""/>
    <s v=""/>
    <s v=""/>
    <s v=""/>
    <s v=""/>
    <x v="0"/>
    <x v="0"/>
    <x v="0"/>
  </r>
  <r>
    <x v="8"/>
    <m/>
    <m/>
    <m/>
    <m/>
    <m/>
    <m/>
    <m/>
    <m/>
    <m/>
    <m/>
    <m/>
    <x v="1"/>
    <d v="2016-03-10T00:44:00"/>
    <s v="Patch Set 1: Code-Review+1"/>
    <m/>
    <m/>
    <s v="arnaud.mandy@intel.com"/>
    <x v="0"/>
    <x v="0"/>
    <s v=""/>
    <x v="0"/>
    <s v=""/>
    <s v=""/>
    <s v=""/>
    <s v=""/>
    <s v=""/>
    <s v=""/>
    <s v=""/>
    <x v="0"/>
    <x v="0"/>
    <x v="0"/>
  </r>
  <r>
    <x v="8"/>
    <m/>
    <m/>
    <m/>
    <m/>
    <m/>
    <m/>
    <m/>
    <m/>
    <m/>
    <m/>
    <m/>
    <x v="14"/>
    <d v="2016-03-10T00:45:00"/>
    <s v="Patch Set 1: Validation-Android+1\n\nreceive smoke test"/>
    <m/>
    <m/>
    <s v="arnaud.mandy@intel.com"/>
    <x v="0"/>
    <x v="5"/>
    <s v=""/>
    <x v="0"/>
    <s v=""/>
    <s v=""/>
    <s v=""/>
    <s v=""/>
    <s v=""/>
    <s v=""/>
    <s v=""/>
    <x v="0"/>
    <x v="1"/>
    <x v="0"/>
  </r>
  <r>
    <x v="8"/>
    <m/>
    <m/>
    <m/>
    <m/>
    <m/>
    <m/>
    <m/>
    <m/>
    <m/>
    <m/>
    <m/>
    <x v="1"/>
    <d v="2016-03-10T00:48:00"/>
    <s v="Patch Set 2:\n\nPatchset Created: CI job has been scheduled."/>
    <m/>
    <m/>
    <s v="arnaud.mandy@intel.com"/>
    <x v="0"/>
    <x v="0"/>
    <s v=""/>
    <x v="0"/>
    <s v=""/>
    <s v=""/>
    <s v=""/>
    <s v=""/>
    <s v=""/>
    <s v=""/>
    <s v=""/>
    <x v="0"/>
    <x v="0"/>
    <x v="0"/>
  </r>
  <r>
    <x v="8"/>
    <m/>
    <m/>
    <m/>
    <m/>
    <m/>
    <m/>
    <m/>
    <m/>
    <m/>
    <m/>
    <m/>
    <x v="1"/>
    <d v="2016-03-10T00:48:00"/>
    <s v="Uploaded patch set 2: Commit message was updated."/>
    <m/>
    <m/>
    <s v="arnaud.mandy@intel.com"/>
    <x v="0"/>
    <x v="0"/>
    <s v=""/>
    <x v="0"/>
    <s v=""/>
    <s v=""/>
    <s v=""/>
    <s v=""/>
    <s v=""/>
    <s v=""/>
    <s v=""/>
    <x v="0"/>
    <x v="0"/>
    <x v="0"/>
  </r>
  <r>
    <x v="8"/>
    <m/>
    <m/>
    <m/>
    <m/>
    <m/>
    <m/>
    <m/>
    <m/>
    <m/>
    <m/>
    <m/>
    <x v="14"/>
    <d v="2016-03-10T00:50:00"/>
    <s v="Patch Set 2: Validation-Android+1\n\nreceive smoke test"/>
    <m/>
    <m/>
    <s v="arnaud.mandy@intel.com"/>
    <x v="0"/>
    <x v="5"/>
    <s v=""/>
    <x v="0"/>
    <s v=""/>
    <s v=""/>
    <s v=""/>
    <s v=""/>
    <s v=""/>
    <s v=""/>
    <s v=""/>
    <x v="0"/>
    <x v="1"/>
    <x v="0"/>
  </r>
  <r>
    <x v="8"/>
    <m/>
    <m/>
    <m/>
    <m/>
    <m/>
    <m/>
    <m/>
    <m/>
    <m/>
    <m/>
    <m/>
    <x v="13"/>
    <d v="2016-03-10T08:59:00"/>
    <s v="Patch Set 2: Code-Review+1"/>
    <m/>
    <m/>
    <s v="arnaud.mandy@intel.com"/>
    <x v="0"/>
    <x v="4"/>
    <s v=""/>
    <x v="0"/>
    <s v=""/>
    <s v=""/>
    <s v=""/>
    <s v=""/>
    <s v=""/>
    <s v=""/>
    <s v=""/>
    <x v="0"/>
    <x v="0"/>
    <x v="0"/>
  </r>
  <r>
    <x v="8"/>
    <m/>
    <m/>
    <m/>
    <m/>
    <m/>
    <m/>
    <m/>
    <m/>
    <m/>
    <m/>
    <m/>
    <x v="7"/>
    <d v="2016-03-10T10:06:00"/>
    <s v="Patch Set 2: Code-Review+1"/>
    <m/>
    <m/>
    <s v="arnaud.mandy@intel.com"/>
    <x v="0"/>
    <x v="4"/>
    <s v=""/>
    <x v="0"/>
    <s v=""/>
    <s v=""/>
    <s v=""/>
    <s v=""/>
    <s v=""/>
    <s v=""/>
    <s v=""/>
    <x v="0"/>
    <x v="0"/>
    <x v="0"/>
  </r>
  <r>
    <x v="8"/>
    <m/>
    <m/>
    <m/>
    <m/>
    <m/>
    <m/>
    <m/>
    <m/>
    <m/>
    <m/>
    <m/>
    <x v="2"/>
    <d v="2016-03-10T13:35:00"/>
    <s v="Patch Set 2: Code-Review+1"/>
    <m/>
    <m/>
    <s v="arnaud.mandy@intel.com"/>
    <x v="0"/>
    <x v="1"/>
    <s v=""/>
    <x v="0"/>
    <s v=""/>
    <s v=""/>
    <s v=""/>
    <s v=""/>
    <s v=""/>
    <s v=""/>
    <s v=""/>
    <x v="0"/>
    <x v="0"/>
    <x v="0"/>
  </r>
  <r>
    <x v="8"/>
    <m/>
    <m/>
    <m/>
    <m/>
    <m/>
    <m/>
    <m/>
    <m/>
    <m/>
    <m/>
    <m/>
    <x v="5"/>
    <d v="2016-03-10T16:20:00"/>
    <s v="Patch Set 2: Code-Review+1"/>
    <m/>
    <m/>
    <s v="arnaud.mandy@intel.com"/>
    <x v="0"/>
    <x v="1"/>
    <s v=""/>
    <x v="0"/>
    <s v=""/>
    <s v=""/>
    <s v=""/>
    <s v=""/>
    <s v=""/>
    <s v=""/>
    <s v=""/>
    <x v="0"/>
    <x v="0"/>
    <x v="0"/>
  </r>
  <r>
    <x v="8"/>
    <m/>
    <m/>
    <m/>
    <m/>
    <m/>
    <m/>
    <m/>
    <m/>
    <m/>
    <m/>
    <m/>
    <x v="3"/>
    <d v="2016-03-10T16:29:00"/>
    <s v="Patch Set 2: Code-Review+1"/>
    <m/>
    <m/>
    <s v="arnaud.mandy@intel.com"/>
    <x v="0"/>
    <x v="2"/>
    <s v=""/>
    <x v="0"/>
    <s v=""/>
    <s v=""/>
    <s v=""/>
    <s v=""/>
    <s v=""/>
    <s v=""/>
    <s v=""/>
    <x v="0"/>
    <x v="0"/>
    <x v="0"/>
  </r>
  <r>
    <x v="8"/>
    <m/>
    <m/>
    <m/>
    <m/>
    <m/>
    <m/>
    <m/>
    <m/>
    <m/>
    <m/>
    <m/>
    <x v="2"/>
    <d v="2016-03-10T16:52:00"/>
    <s v="Patch Set 2: Approver+1"/>
    <m/>
    <m/>
    <s v="arnaud.mandy@intel.com"/>
    <x v="0"/>
    <x v="1"/>
    <s v=""/>
    <x v="0"/>
    <s v=""/>
    <s v=""/>
    <s v=""/>
    <s v=""/>
    <s v=""/>
    <s v=""/>
    <s v=""/>
    <x v="0"/>
    <x v="0"/>
    <x v="0"/>
  </r>
  <r>
    <x v="8"/>
    <m/>
    <m/>
    <m/>
    <m/>
    <m/>
    <m/>
    <m/>
    <m/>
    <m/>
    <m/>
    <m/>
    <x v="2"/>
    <d v="2016-03-10T16:52:00"/>
    <s v="Topic changed from March9xx to bxt_preint_HEAD"/>
    <m/>
    <m/>
    <s v="arnaud.mandy@intel.com"/>
    <x v="0"/>
    <x v="1"/>
    <s v=""/>
    <x v="0"/>
    <s v=""/>
    <s v=""/>
    <s v=""/>
    <s v=""/>
    <s v=""/>
    <s v=""/>
    <s v=""/>
    <x v="0"/>
    <x v="0"/>
    <x v="0"/>
  </r>
  <r>
    <x v="8"/>
    <m/>
    <m/>
    <m/>
    <m/>
    <m/>
    <m/>
    <m/>
    <m/>
    <m/>
    <m/>
    <m/>
    <x v="0"/>
    <d v="2016-03-10T23:09:00"/>
    <s v="Patch Set 2: Code-Review+1"/>
    <m/>
    <m/>
    <s v="arnaud.mandy@intel.com"/>
    <x v="0"/>
    <x v="1"/>
    <s v=""/>
    <x v="0"/>
    <s v=""/>
    <s v=""/>
    <s v=""/>
    <s v=""/>
    <s v=""/>
    <s v=""/>
    <s v=""/>
    <x v="0"/>
    <x v="0"/>
    <x v="0"/>
  </r>
  <r>
    <x v="8"/>
    <m/>
    <m/>
    <m/>
    <m/>
    <m/>
    <m/>
    <m/>
    <m/>
    <m/>
    <m/>
    <m/>
    <x v="16"/>
    <d v="2016-03-11T09:45:00"/>
    <s v="Patch Set 2: Code-Review+1"/>
    <m/>
    <m/>
    <s v="arnaud.mandy@intel.com"/>
    <x v="0"/>
    <x v="4"/>
    <s v=""/>
    <x v="0"/>
    <s v=""/>
    <s v=""/>
    <s v=""/>
    <s v=""/>
    <s v=""/>
    <s v=""/>
    <s v=""/>
    <x v="0"/>
    <x v="0"/>
    <x v="0"/>
  </r>
  <r>
    <x v="8"/>
    <m/>
    <m/>
    <m/>
    <m/>
    <m/>
    <m/>
    <m/>
    <m/>
    <m/>
    <m/>
    <m/>
    <x v="15"/>
    <d v="2016-03-11T13:11:00"/>
    <s v="Patch Set 2: Code-Review+1"/>
    <m/>
    <m/>
    <s v="arnaud.mandy@intel.com"/>
    <x v="0"/>
    <x v="4"/>
    <s v=""/>
    <x v="0"/>
    <s v=""/>
    <s v=""/>
    <s v=""/>
    <s v=""/>
    <s v=""/>
    <s v=""/>
    <s v=""/>
    <x v="0"/>
    <x v="0"/>
    <x v="0"/>
  </r>
  <r>
    <x v="8"/>
    <m/>
    <m/>
    <m/>
    <m/>
    <m/>
    <m/>
    <m/>
    <m/>
    <m/>
    <m/>
    <m/>
    <x v="9"/>
    <d v="2016-03-11T13:45:00"/>
    <s v="Patch Set 2:\n\nSet integrator to 0; re-add to PT test"/>
    <m/>
    <m/>
    <s v="arnaud.mandy@intel.com"/>
    <x v="0"/>
    <x v="5"/>
    <s v=""/>
    <x v="0"/>
    <s v=""/>
    <s v=""/>
    <s v=""/>
    <s v=""/>
    <s v=""/>
    <s v=""/>
    <s v=""/>
    <x v="0"/>
    <x v="0"/>
    <x v="0"/>
  </r>
  <r>
    <x v="8"/>
    <m/>
    <m/>
    <m/>
    <m/>
    <m/>
    <m/>
    <m/>
    <m/>
    <m/>
    <m/>
    <m/>
    <x v="9"/>
    <d v="2016-03-11T13:49:00"/>
    <s v="Patch Set 2: Integrator+1\n\nIntegrator +1; patch will be add to PT; please no change now"/>
    <m/>
    <m/>
    <s v="arnaud.mandy@intel.com"/>
    <x v="0"/>
    <x v="5"/>
    <s v=""/>
    <x v="0"/>
    <s v=""/>
    <s v=""/>
    <s v=""/>
    <s v=""/>
    <s v=""/>
    <s v=""/>
    <s v=""/>
    <x v="0"/>
    <x v="1"/>
    <x v="0"/>
  </r>
  <r>
    <x v="8"/>
    <m/>
    <m/>
    <m/>
    <m/>
    <m/>
    <m/>
    <m/>
    <m/>
    <m/>
    <m/>
    <m/>
    <x v="2"/>
    <d v="2016-03-11T21:33:00"/>
    <s v="Topic changed from bxt_preint_HEAD to bxt_preint_HEAD_old"/>
    <m/>
    <m/>
    <s v="arnaud.mandy@intel.com"/>
    <x v="0"/>
    <x v="1"/>
    <s v=""/>
    <x v="0"/>
    <s v=""/>
    <s v=""/>
    <s v=""/>
    <s v=""/>
    <s v=""/>
    <s v=""/>
    <s v=""/>
    <x v="0"/>
    <x v="0"/>
    <x v="0"/>
  </r>
  <r>
    <x v="8"/>
    <m/>
    <m/>
    <m/>
    <m/>
    <m/>
    <m/>
    <m/>
    <m/>
    <m/>
    <m/>
    <m/>
    <x v="9"/>
    <d v="2016-03-14T16:29:00"/>
    <s v="Patch Set 2: Code-Review+1\n\nPassed PIT; ready for merge"/>
    <m/>
    <m/>
    <s v="arnaud.mandy@intel.com"/>
    <x v="0"/>
    <x v="5"/>
    <s v=""/>
    <x v="0"/>
    <s v=""/>
    <s v=""/>
    <s v=""/>
    <s v=""/>
    <s v=""/>
    <s v=""/>
    <s v=""/>
    <x v="0"/>
    <x v="0"/>
    <x v="0"/>
  </r>
  <r>
    <x v="8"/>
    <m/>
    <m/>
    <m/>
    <m/>
    <m/>
    <m/>
    <m/>
    <m/>
    <m/>
    <m/>
    <m/>
    <x v="10"/>
    <d v="2016-03-15T13:38:00"/>
    <s v="Patch Set 3:\n\nThe patch has been successfully merged into r6_legacy with https://android.intel.com/481593"/>
    <m/>
    <m/>
    <s v="arnaud.mandy@intel.com"/>
    <x v="0"/>
    <x v="5"/>
    <s v=""/>
    <x v="0"/>
    <s v=""/>
    <s v=""/>
    <s v=""/>
    <s v=""/>
    <s v=""/>
    <s v=""/>
    <s v=""/>
    <x v="0"/>
    <x v="0"/>
    <x v="0"/>
  </r>
  <r>
    <x v="8"/>
    <m/>
    <m/>
    <m/>
    <m/>
    <m/>
    <m/>
    <m/>
    <m/>
    <m/>
    <m/>
    <m/>
    <x v="10"/>
    <d v="2016-03-30T16:47:00"/>
    <s v="Patch Set 3:\n\nThe patch has been successfully merged into 1A master with https://android.intel.com/483489"/>
    <m/>
    <m/>
    <s v="arnaud.mandy@intel.com"/>
    <x v="0"/>
    <x v="5"/>
    <s v=""/>
    <x v="0"/>
    <s v=""/>
    <s v=""/>
    <s v=""/>
    <s v=""/>
    <s v=""/>
    <s v=""/>
    <s v=""/>
    <x v="0"/>
    <x v="0"/>
    <x v="0"/>
  </r>
  <r>
    <x v="9"/>
    <n v="104719"/>
    <s v="vied-viedandr-camera3hal"/>
    <s v="platform/android/main"/>
    <s v="Ibfefbe0840ac29b58ef0a80324ba33b994476092"/>
    <s v="xuesong.shi@intel.com"/>
    <s v="MERGED"/>
    <s v="c3: check status of gfx buffer allocation"/>
    <s v="c3: check status of gfx buffer allocation\n\nThe constructor of GraphicBuffer may fail in allocating buffers.\nTo indicate the failure; it provides a method initCheck(). We should\nmake use of it in CameraBuffer::MemoryUtils::allocateGraphicBuffer.\n\nWhen such a failure (or other failures) occurs; GraphicBuffer should\nbe released before allocateGraphicBuffer returns with a NULL.\n\nChange-Id: Ibfefbe0840ac29b58ef0a80324ba33b994476092\nTracked-On: https://jira01.devtools.intel.com/browse/OAM-20414\nSigned-off-by: Xuesong Shi &lt;xuesong.shi@intel.com&gt;\nReviewed-on: https://icggerrit.ir.intel.com/104719\nBuild: Dessert M BXT RVP (SC)\nReviewed-by: Hongjiang A Zheng &lt;hongjiang.a.zheng@intel.com&gt;\nReviewed-by: Huitao Cao &lt;huitao.cao@intel.com&gt;\nReviewed-by: Jukka O Kaartinen &lt;jukka.o.kaartinen@intel.com&gt;\nValidation-Android: Wei Tao &lt;wei.tao@intel.com&gt;\nApprover: Renwei Wu &lt;renwei.wu@intel.com&gt;\nIntegrator: WeiX Meng &lt;weix.meng@intel.com&gt;\nReviewed-by: WeiX Meng &lt;weix.meng@intel.com&gt;\n"/>
    <d v="2016-02-29T16:19:00"/>
    <d v="2016-03-16T17:50:00"/>
    <s v="common"/>
    <x v="19"/>
    <d v="2016-02-29T16:19:00"/>
    <s v="Uploaded patch set 1."/>
    <m/>
    <s v="dongdong.zhang@intel.com;weix.meng@intel.com;renwei.wu@intel.com;jukka.o.kaartinen@intel.com;huitao.cao@intel.com;hongjiang.a.zheng@intel.com;"/>
    <s v="xuesong.shi@intel.com"/>
    <x v="1"/>
    <x v="0"/>
    <s v="16'ww12"/>
    <x v="0"/>
    <n v="0"/>
    <n v="0"/>
    <n v="0"/>
    <n v="0"/>
    <n v="2"/>
    <n v="1"/>
    <n v="1"/>
    <x v="0"/>
    <x v="0"/>
    <x v="0"/>
  </r>
  <r>
    <x v="9"/>
    <m/>
    <m/>
    <m/>
    <m/>
    <m/>
    <m/>
    <m/>
    <m/>
    <m/>
    <m/>
    <m/>
    <x v="19"/>
    <d v="2016-02-29T16:19:00"/>
    <s v="Patch Set 1:\n\nPatchset Created: CI job has been scheduled."/>
    <m/>
    <m/>
    <s v="xuesong.shi@intel.com"/>
    <x v="1"/>
    <x v="0"/>
    <s v=""/>
    <x v="0"/>
    <s v=""/>
    <s v=""/>
    <s v=""/>
    <s v=""/>
    <s v=""/>
    <s v=""/>
    <s v=""/>
    <x v="0"/>
    <x v="0"/>
    <x v="0"/>
  </r>
  <r>
    <x v="9"/>
    <m/>
    <m/>
    <m/>
    <m/>
    <m/>
    <m/>
    <m/>
    <m/>
    <m/>
    <m/>
    <m/>
    <x v="15"/>
    <d v="2016-03-01T11:23:00"/>
    <s v="Patch Set 1: Code-Review+1"/>
    <m/>
    <m/>
    <s v="xuesong.shi@intel.com"/>
    <x v="1"/>
    <x v="4"/>
    <s v=""/>
    <x v="0"/>
    <s v=""/>
    <s v=""/>
    <s v=""/>
    <s v=""/>
    <s v=""/>
    <s v=""/>
    <s v=""/>
    <x v="0"/>
    <x v="0"/>
    <x v="0"/>
  </r>
  <r>
    <x v="9"/>
    <m/>
    <m/>
    <m/>
    <m/>
    <m/>
    <m/>
    <m/>
    <m/>
    <m/>
    <m/>
    <m/>
    <x v="19"/>
    <d v="2016-03-03T10:44:00"/>
    <s v="Patch Set 1: Code-Review+1"/>
    <m/>
    <m/>
    <s v="xuesong.shi@intel.com"/>
    <x v="1"/>
    <x v="0"/>
    <s v=""/>
    <x v="0"/>
    <s v=""/>
    <s v=""/>
    <s v=""/>
    <s v=""/>
    <s v=""/>
    <s v=""/>
    <s v=""/>
    <x v="0"/>
    <x v="0"/>
    <x v="0"/>
  </r>
  <r>
    <x v="9"/>
    <m/>
    <m/>
    <m/>
    <m/>
    <m/>
    <m/>
    <m/>
    <m/>
    <m/>
    <m/>
    <m/>
    <x v="7"/>
    <d v="2016-03-03T13:57:00"/>
    <s v="Patch Set 1: Code-Review+1"/>
    <m/>
    <m/>
    <s v="xuesong.shi@intel.com"/>
    <x v="1"/>
    <x v="4"/>
    <s v=""/>
    <x v="0"/>
    <s v=""/>
    <s v=""/>
    <s v=""/>
    <s v=""/>
    <s v=""/>
    <s v=""/>
    <s v=""/>
    <x v="0"/>
    <x v="0"/>
    <x v="0"/>
  </r>
  <r>
    <x v="9"/>
    <m/>
    <m/>
    <m/>
    <m/>
    <m/>
    <m/>
    <m/>
    <m/>
    <m/>
    <m/>
    <m/>
    <x v="2"/>
    <d v="2016-03-04T16:12:00"/>
    <s v="Patch Set 1: Code-Review+1"/>
    <m/>
    <m/>
    <s v="xuesong.shi@intel.com"/>
    <x v="1"/>
    <x v="1"/>
    <s v=""/>
    <x v="0"/>
    <s v=""/>
    <s v=""/>
    <s v=""/>
    <s v=""/>
    <s v=""/>
    <s v=""/>
    <s v=""/>
    <x v="0"/>
    <x v="0"/>
    <x v="0"/>
  </r>
  <r>
    <x v="9"/>
    <m/>
    <m/>
    <m/>
    <m/>
    <m/>
    <m/>
    <m/>
    <m/>
    <m/>
    <m/>
    <m/>
    <x v="14"/>
    <d v="2016-03-14T11:58:00"/>
    <s v="Patch Set 1: Validation-Android+1\n\nreceive smoke test"/>
    <m/>
    <m/>
    <s v="xuesong.shi@intel.com"/>
    <x v="1"/>
    <x v="5"/>
    <s v=""/>
    <x v="0"/>
    <s v=""/>
    <s v=""/>
    <s v=""/>
    <s v=""/>
    <s v=""/>
    <s v=""/>
    <s v=""/>
    <x v="0"/>
    <x v="1"/>
    <x v="0"/>
  </r>
  <r>
    <x v="9"/>
    <m/>
    <m/>
    <m/>
    <m/>
    <m/>
    <m/>
    <m/>
    <m/>
    <m/>
    <m/>
    <m/>
    <x v="19"/>
    <d v="2016-03-14T17:06:00"/>
    <s v="Patch Set 1:\n\nThis patch has been reviewed on the stable branch: https://icggerrit.ir.intel.com/#/c/103553/"/>
    <m/>
    <m/>
    <s v="xuesong.shi@intel.com"/>
    <x v="1"/>
    <x v="0"/>
    <s v=""/>
    <x v="0"/>
    <s v=""/>
    <s v=""/>
    <s v=""/>
    <s v=""/>
    <s v=""/>
    <s v=""/>
    <s v=""/>
    <x v="0"/>
    <x v="0"/>
    <x v="0"/>
  </r>
  <r>
    <x v="9"/>
    <m/>
    <m/>
    <m/>
    <m/>
    <m/>
    <m/>
    <m/>
    <m/>
    <m/>
    <m/>
    <m/>
    <x v="3"/>
    <d v="2016-03-15T22:41:00"/>
    <s v="Patch Set 1: Approver+1"/>
    <m/>
    <m/>
    <s v="xuesong.shi@intel.com"/>
    <x v="1"/>
    <x v="2"/>
    <s v=""/>
    <x v="0"/>
    <s v=""/>
    <s v=""/>
    <s v=""/>
    <s v=""/>
    <s v=""/>
    <s v=""/>
    <s v=""/>
    <x v="0"/>
    <x v="0"/>
    <x v="0"/>
  </r>
  <r>
    <x v="9"/>
    <m/>
    <m/>
    <m/>
    <m/>
    <m/>
    <m/>
    <m/>
    <m/>
    <m/>
    <m/>
    <m/>
    <x v="9"/>
    <d v="2016-03-16T08:57:00"/>
    <s v="Patch Set 1: Integrator+1\n\nIntegrator +1; patch will be add to PT; please no change now"/>
    <m/>
    <m/>
    <s v="xuesong.shi@intel.com"/>
    <x v="1"/>
    <x v="5"/>
    <s v=""/>
    <x v="0"/>
    <s v=""/>
    <s v=""/>
    <s v=""/>
    <s v=""/>
    <s v=""/>
    <s v=""/>
    <s v=""/>
    <x v="0"/>
    <x v="1"/>
    <x v="0"/>
  </r>
  <r>
    <x v="9"/>
    <m/>
    <m/>
    <m/>
    <m/>
    <m/>
    <m/>
    <m/>
    <m/>
    <m/>
    <m/>
    <m/>
    <x v="9"/>
    <d v="2016-03-16T12:16:00"/>
    <s v="Patch Set 1:\n\nPassed static analysis code analyzing test. No CRITICAL issue in this patch. Auto reported by kwscan@psi-build5.bj.intel.com"/>
    <m/>
    <m/>
    <s v="xuesong.shi@intel.com"/>
    <x v="1"/>
    <x v="5"/>
    <s v=""/>
    <x v="0"/>
    <s v=""/>
    <s v=""/>
    <s v=""/>
    <s v=""/>
    <s v=""/>
    <s v=""/>
    <s v=""/>
    <x v="0"/>
    <x v="0"/>
    <x v="0"/>
  </r>
  <r>
    <x v="9"/>
    <m/>
    <m/>
    <m/>
    <m/>
    <m/>
    <m/>
    <m/>
    <m/>
    <m/>
    <m/>
    <m/>
    <x v="9"/>
    <d v="2016-03-16T13:17:00"/>
    <s v="Patch Set 1:\n\nPassed static analysis code analyzing test. No CRITICAL issue in this patch. Auto reported by kwscan@kw-srv2.bj.intel.com"/>
    <m/>
    <m/>
    <s v="xuesong.shi@intel.com"/>
    <x v="1"/>
    <x v="5"/>
    <s v=""/>
    <x v="0"/>
    <s v=""/>
    <s v=""/>
    <s v=""/>
    <s v=""/>
    <s v=""/>
    <s v=""/>
    <s v=""/>
    <x v="0"/>
    <x v="0"/>
    <x v="0"/>
  </r>
  <r>
    <x v="9"/>
    <m/>
    <m/>
    <m/>
    <m/>
    <m/>
    <m/>
    <m/>
    <m/>
    <m/>
    <m/>
    <m/>
    <x v="9"/>
    <d v="2016-03-16T17:50:00"/>
    <s v="Patch Set 1: Code-Review+1\n\nPassed PIT; ready for merge"/>
    <m/>
    <m/>
    <s v="xuesong.shi@intel.com"/>
    <x v="1"/>
    <x v="5"/>
    <s v=""/>
    <x v="0"/>
    <s v=""/>
    <s v=""/>
    <s v=""/>
    <s v=""/>
    <s v=""/>
    <s v=""/>
    <s v=""/>
    <x v="0"/>
    <x v="0"/>
    <x v="0"/>
  </r>
  <r>
    <x v="9"/>
    <m/>
    <m/>
    <m/>
    <m/>
    <m/>
    <m/>
    <m/>
    <m/>
    <m/>
    <m/>
    <m/>
    <x v="9"/>
    <d v="2016-03-16T22:59:00"/>
    <s v="Patch Set 1:\n\nPassed static analysis code analyzing test. No CRITICAL issue in this patch. Auto reported by kwscan@andr-val-srv0.bj.intel.com"/>
    <m/>
    <m/>
    <s v="xuesong.shi@intel.com"/>
    <x v="1"/>
    <x v="5"/>
    <s v=""/>
    <x v="0"/>
    <s v=""/>
    <s v=""/>
    <s v=""/>
    <s v=""/>
    <s v=""/>
    <s v=""/>
    <s v=""/>
    <x v="0"/>
    <x v="0"/>
    <x v="0"/>
  </r>
  <r>
    <x v="9"/>
    <m/>
    <m/>
    <m/>
    <m/>
    <m/>
    <m/>
    <m/>
    <m/>
    <m/>
    <m/>
    <m/>
    <x v="10"/>
    <d v="2016-03-25T18:12:00"/>
    <s v="Patch Set 2:\n\nThe patch has been successfully merged into r6_legacy with https://android.intel.com/486339"/>
    <m/>
    <m/>
    <s v="xuesong.shi@intel.com"/>
    <x v="1"/>
    <x v="5"/>
    <s v=""/>
    <x v="0"/>
    <s v=""/>
    <s v=""/>
    <s v=""/>
    <s v=""/>
    <s v=""/>
    <s v=""/>
    <s v=""/>
    <x v="0"/>
    <x v="0"/>
    <x v="0"/>
  </r>
  <r>
    <x v="9"/>
    <m/>
    <m/>
    <m/>
    <m/>
    <m/>
    <m/>
    <m/>
    <m/>
    <m/>
    <m/>
    <m/>
    <x v="10"/>
    <d v="2016-03-30T16:45:00"/>
    <s v="Patch Set 2:\n\nThe patch has been successfully merged into 1A master with https://android.intel.com/483489"/>
    <m/>
    <m/>
    <s v="xuesong.shi@intel.com"/>
    <x v="1"/>
    <x v="5"/>
    <s v=""/>
    <x v="0"/>
    <s v=""/>
    <s v=""/>
    <s v=""/>
    <s v=""/>
    <s v=""/>
    <s v=""/>
    <s v=""/>
    <x v="0"/>
    <x v="0"/>
    <x v="0"/>
  </r>
  <r>
    <x v="10"/>
    <n v="106057"/>
    <s v="vied-viedandr-camera3hal"/>
    <s v="platform/android/main"/>
    <s v="If429eb3bafe296d94bb7286d42e012af58ce244d"/>
    <s v="john.fredriksson@intel.com"/>
    <s v="MERGED"/>
    <s v="c3: Changes for clang compiler switch"/>
    <s v="c3: Changes for clang compiler switch\n\nSilence some errors that clang complains about.\nGCC is not as picky about some warnings.\nThese errors require further analysis of the hal\nif they should be fixed. It still works as before.\n\nThis patch does not change compiler. It is just an\nenabling patch for when the whole system will switch.\n\nChange-Id: If429eb3bafe296d94bb7286d42e012af58ce244d\nTracked-On: https://jira01.devtools.intel.com/browse/OAM-21352\nSigned-off-by: John Fredriksson &lt;john.fredriksson@intel.com&gt;\nReviewed-on: https://icggerrit.ir.intel.com/106057\nBuild: Dessert M BXT RVP (SC)\nBuild: Dessert M SOFIA (SC)\nBuild: Dessert M CHT FFD (SC)\nReviewed-by: Lassi I Vaatamoinen &lt;lassi.i.vaatamoinen@intel.com&gt;\nReviewed-by: Renwei Wu &lt;renwei.wu@intel.com&gt;\nReviewed-by: Anttu Koski &lt;anttu.koski@intel.com&gt;\nReviewed-by: Jukka O Kaartinen &lt;jukka.o.kaartinen@intel.com&gt;\nValidation-Android: Wei Tao &lt;wei.tao@intel.com&gt;\nReviewed-by: Hongjiang A Zheng &lt;hongjiang.a.zheng@intel.com&gt;\nReviewed-by: Juha Alanen &lt;juha.alanen@intel.com&gt;\nReviewed-by: Miguel Verdu &lt;miguel.verdu@intel.com&gt;\nReviewed-by: Jingzhi Yu &lt;jingzhi.yu@intel.com&gt;\nReviewed-by: Gang A Hu &lt;gang.a.hu@intel.com&gt;\nApprover: Jukka O Kaartinen &lt;jukka.o.kaartinen@intel.com&gt;\nIntegrator: WeiX Meng &lt;weix.meng@intel.com&gt;\nReviewed-by: WeiX Meng &lt;weix.meng@intel.com&gt;\n"/>
    <d v="2016-03-07T21:45:00"/>
    <d v="2016-03-16T17:51:00"/>
    <s v="common"/>
    <x v="20"/>
    <d v="2016-03-07T21:45:00"/>
    <s v="Uploaded patch set 1."/>
    <m/>
    <s v="dongdong.zhang@intel.com;weix.meng@intel.com;gang.a.hu@intel.com;jingzhi.yu@intel.com;miguel.verdu@intel.com;juha.alanen@intel.com;hongjiang.a.zheng@intel.com;wei.tao@intel.com;jukka.o.kaartinen@intel.com;anttu.koski@intel.com;renwei.wu@intel.com;lassi.i.vaatamoinen@intel.com;"/>
    <s v="john.fredriksson@intel.com"/>
    <x v="1"/>
    <x v="0"/>
    <s v="16'ww12"/>
    <x v="0"/>
    <n v="0"/>
    <n v="0"/>
    <n v="0"/>
    <n v="0"/>
    <n v="3"/>
    <n v="6"/>
    <n v="1"/>
    <x v="0"/>
    <x v="0"/>
    <x v="0"/>
  </r>
  <r>
    <x v="10"/>
    <m/>
    <m/>
    <m/>
    <m/>
    <m/>
    <m/>
    <m/>
    <m/>
    <m/>
    <m/>
    <m/>
    <x v="20"/>
    <d v="2016-03-07T21:45:00"/>
    <s v="Patch Set 1:\n\nPatchset Created: CI job has been scheduled."/>
    <m/>
    <m/>
    <s v="john.fredriksson@intel.com"/>
    <x v="1"/>
    <x v="0"/>
    <s v=""/>
    <x v="0"/>
    <s v=""/>
    <s v=""/>
    <s v=""/>
    <s v=""/>
    <s v=""/>
    <s v=""/>
    <s v=""/>
    <x v="0"/>
    <x v="0"/>
    <x v="0"/>
  </r>
  <r>
    <x v="10"/>
    <m/>
    <m/>
    <m/>
    <m/>
    <m/>
    <m/>
    <m/>
    <m/>
    <m/>
    <m/>
    <m/>
    <x v="20"/>
    <d v="2016-03-07T22:02:00"/>
    <s v="Patch Set 1: Code-Review+1 Validation-Android+2"/>
    <m/>
    <m/>
    <s v="john.fredriksson@intel.com"/>
    <x v="1"/>
    <x v="0"/>
    <s v=""/>
    <x v="0"/>
    <s v=""/>
    <s v=""/>
    <s v=""/>
    <s v=""/>
    <s v=""/>
    <s v=""/>
    <s v=""/>
    <x v="0"/>
    <x v="0"/>
    <x v="0"/>
  </r>
  <r>
    <x v="10"/>
    <m/>
    <m/>
    <m/>
    <m/>
    <m/>
    <m/>
    <m/>
    <m/>
    <m/>
    <m/>
    <m/>
    <x v="20"/>
    <d v="2016-03-07T22:12:00"/>
    <s v="Patch Set 1: Validation-Android+1"/>
    <m/>
    <m/>
    <s v="john.fredriksson@intel.com"/>
    <x v="1"/>
    <x v="0"/>
    <s v=""/>
    <x v="0"/>
    <s v=""/>
    <s v=""/>
    <s v=""/>
    <s v=""/>
    <s v=""/>
    <s v=""/>
    <s v=""/>
    <x v="0"/>
    <x v="1"/>
    <x v="0"/>
  </r>
  <r>
    <x v="10"/>
    <m/>
    <m/>
    <m/>
    <m/>
    <m/>
    <m/>
    <m/>
    <m/>
    <m/>
    <m/>
    <m/>
    <x v="12"/>
    <d v="2016-03-08T18:12:00"/>
    <s v="Patch Set 1: Code-Review+1"/>
    <m/>
    <m/>
    <s v="john.fredriksson@intel.com"/>
    <x v="1"/>
    <x v="1"/>
    <s v=""/>
    <x v="0"/>
    <s v=""/>
    <s v=""/>
    <s v=""/>
    <s v=""/>
    <s v=""/>
    <s v=""/>
    <s v=""/>
    <x v="0"/>
    <x v="0"/>
    <x v="0"/>
  </r>
  <r>
    <x v="10"/>
    <m/>
    <m/>
    <m/>
    <m/>
    <m/>
    <m/>
    <m/>
    <m/>
    <m/>
    <m/>
    <m/>
    <x v="3"/>
    <d v="2016-03-08T21:35:00"/>
    <s v="Patch Set 1: Code-Review+1"/>
    <m/>
    <m/>
    <s v="john.fredriksson@intel.com"/>
    <x v="1"/>
    <x v="2"/>
    <s v=""/>
    <x v="0"/>
    <s v=""/>
    <s v=""/>
    <s v=""/>
    <s v=""/>
    <s v=""/>
    <s v=""/>
    <s v=""/>
    <x v="0"/>
    <x v="0"/>
    <x v="0"/>
  </r>
  <r>
    <x v="10"/>
    <m/>
    <m/>
    <m/>
    <m/>
    <m/>
    <m/>
    <m/>
    <m/>
    <m/>
    <m/>
    <m/>
    <x v="18"/>
    <d v="2016-03-08T22:20:00"/>
    <s v="Patch Set 1: Code-Review+1"/>
    <m/>
    <m/>
    <s v="john.fredriksson@intel.com"/>
    <x v="1"/>
    <x v="1"/>
    <s v=""/>
    <x v="0"/>
    <s v=""/>
    <s v=""/>
    <s v=""/>
    <s v=""/>
    <s v=""/>
    <s v=""/>
    <s v=""/>
    <x v="0"/>
    <x v="0"/>
    <x v="0"/>
  </r>
  <r>
    <x v="10"/>
    <m/>
    <m/>
    <m/>
    <m/>
    <m/>
    <m/>
    <m/>
    <m/>
    <m/>
    <m/>
    <m/>
    <x v="2"/>
    <d v="2016-03-08T22:24:00"/>
    <s v="Patch Set 1: Code-Review+1"/>
    <m/>
    <m/>
    <s v="john.fredriksson@intel.com"/>
    <x v="1"/>
    <x v="1"/>
    <s v=""/>
    <x v="0"/>
    <s v=""/>
    <s v=""/>
    <s v=""/>
    <s v=""/>
    <s v=""/>
    <s v=""/>
    <s v=""/>
    <x v="0"/>
    <x v="0"/>
    <x v="0"/>
  </r>
  <r>
    <x v="10"/>
    <m/>
    <m/>
    <m/>
    <m/>
    <m/>
    <m/>
    <m/>
    <m/>
    <m/>
    <m/>
    <m/>
    <x v="14"/>
    <d v="2016-03-09T22:31:00"/>
    <s v="Patch Set 1: Validation-Android+1\n\nreceive smoke test"/>
    <m/>
    <m/>
    <s v="john.fredriksson@intel.com"/>
    <x v="1"/>
    <x v="5"/>
    <s v=""/>
    <x v="0"/>
    <s v=""/>
    <s v=""/>
    <s v=""/>
    <s v=""/>
    <s v=""/>
    <s v=""/>
    <s v=""/>
    <x v="0"/>
    <x v="1"/>
    <x v="0"/>
  </r>
  <r>
    <x v="10"/>
    <m/>
    <m/>
    <m/>
    <m/>
    <m/>
    <m/>
    <m/>
    <m/>
    <m/>
    <m/>
    <m/>
    <x v="14"/>
    <d v="2016-03-10T23:30:00"/>
    <s v="Patch Set 1:\n\nreceive smoke test"/>
    <m/>
    <m/>
    <s v="john.fredriksson@intel.com"/>
    <x v="1"/>
    <x v="5"/>
    <s v=""/>
    <x v="0"/>
    <s v=""/>
    <s v=""/>
    <s v=""/>
    <s v=""/>
    <s v=""/>
    <s v=""/>
    <s v=""/>
    <x v="0"/>
    <x v="0"/>
    <x v="0"/>
  </r>
  <r>
    <x v="10"/>
    <m/>
    <m/>
    <m/>
    <m/>
    <m/>
    <m/>
    <m/>
    <m/>
    <m/>
    <m/>
    <m/>
    <x v="15"/>
    <d v="2016-03-11T15:08:00"/>
    <s v="Patch Set 1: Code-Review+1"/>
    <m/>
    <m/>
    <s v="john.fredriksson@intel.com"/>
    <x v="1"/>
    <x v="4"/>
    <s v=""/>
    <x v="0"/>
    <s v=""/>
    <s v=""/>
    <s v=""/>
    <s v=""/>
    <s v=""/>
    <s v=""/>
    <s v=""/>
    <x v="0"/>
    <x v="0"/>
    <x v="0"/>
  </r>
  <r>
    <x v="10"/>
    <m/>
    <m/>
    <m/>
    <m/>
    <m/>
    <m/>
    <m/>
    <m/>
    <m/>
    <m/>
    <m/>
    <x v="5"/>
    <d v="2016-03-11T15:54:00"/>
    <s v="Patch Set 1: Code-Review+1"/>
    <m/>
    <m/>
    <s v="john.fredriksson@intel.com"/>
    <x v="1"/>
    <x v="1"/>
    <s v=""/>
    <x v="0"/>
    <s v=""/>
    <s v=""/>
    <s v=""/>
    <s v=""/>
    <s v=""/>
    <s v=""/>
    <s v=""/>
    <x v="0"/>
    <x v="0"/>
    <x v="0"/>
  </r>
  <r>
    <x v="10"/>
    <m/>
    <m/>
    <m/>
    <m/>
    <m/>
    <m/>
    <m/>
    <m/>
    <m/>
    <m/>
    <m/>
    <x v="0"/>
    <d v="2016-03-11T20:28:00"/>
    <s v="Patch Set 1: Code-Review+1"/>
    <m/>
    <m/>
    <s v="john.fredriksson@intel.com"/>
    <x v="1"/>
    <x v="1"/>
    <s v=""/>
    <x v="0"/>
    <s v=""/>
    <s v=""/>
    <s v=""/>
    <s v=""/>
    <s v=""/>
    <s v=""/>
    <s v=""/>
    <x v="0"/>
    <x v="0"/>
    <x v="0"/>
  </r>
  <r>
    <x v="10"/>
    <m/>
    <m/>
    <m/>
    <m/>
    <m/>
    <m/>
    <m/>
    <m/>
    <m/>
    <m/>
    <m/>
    <x v="16"/>
    <d v="2016-03-14T15:26:00"/>
    <s v="Patch Set 1: Code-Review+1"/>
    <m/>
    <m/>
    <s v="john.fredriksson@intel.com"/>
    <x v="1"/>
    <x v="4"/>
    <s v=""/>
    <x v="0"/>
    <s v=""/>
    <s v=""/>
    <s v=""/>
    <s v=""/>
    <s v=""/>
    <s v=""/>
    <s v=""/>
    <x v="0"/>
    <x v="0"/>
    <x v="0"/>
  </r>
  <r>
    <x v="10"/>
    <m/>
    <m/>
    <m/>
    <m/>
    <m/>
    <m/>
    <m/>
    <m/>
    <m/>
    <m/>
    <m/>
    <x v="13"/>
    <d v="2016-03-15T16:40:00"/>
    <s v="Patch Set 1: Code-Review+1"/>
    <m/>
    <m/>
    <s v="john.fredriksson@intel.com"/>
    <x v="1"/>
    <x v="4"/>
    <s v=""/>
    <x v="0"/>
    <s v=""/>
    <s v=""/>
    <s v=""/>
    <s v=""/>
    <s v=""/>
    <s v=""/>
    <s v=""/>
    <x v="0"/>
    <x v="0"/>
    <x v="0"/>
  </r>
  <r>
    <x v="10"/>
    <m/>
    <m/>
    <m/>
    <m/>
    <m/>
    <m/>
    <m/>
    <m/>
    <m/>
    <m/>
    <m/>
    <x v="2"/>
    <d v="2016-03-15T17:30:00"/>
    <s v="Patch Set 1: Approver+1"/>
    <m/>
    <m/>
    <s v="john.fredriksson@intel.com"/>
    <x v="1"/>
    <x v="1"/>
    <s v=""/>
    <x v="0"/>
    <s v=""/>
    <s v=""/>
    <s v=""/>
    <s v=""/>
    <s v=""/>
    <s v=""/>
    <s v=""/>
    <x v="0"/>
    <x v="0"/>
    <x v="0"/>
  </r>
  <r>
    <x v="10"/>
    <m/>
    <m/>
    <m/>
    <m/>
    <m/>
    <m/>
    <m/>
    <m/>
    <m/>
    <m/>
    <m/>
    <x v="9"/>
    <d v="2016-03-16T08:57:00"/>
    <s v="Patch Set 1: Integrator+1\n\nIntegrator +1; patch will be add to PT; please no change now"/>
    <m/>
    <m/>
    <s v="john.fredriksson@intel.com"/>
    <x v="1"/>
    <x v="5"/>
    <s v=""/>
    <x v="0"/>
    <s v=""/>
    <s v=""/>
    <s v=""/>
    <s v=""/>
    <s v=""/>
    <s v=""/>
    <s v=""/>
    <x v="0"/>
    <x v="1"/>
    <x v="0"/>
  </r>
  <r>
    <x v="10"/>
    <m/>
    <m/>
    <m/>
    <m/>
    <m/>
    <m/>
    <m/>
    <m/>
    <m/>
    <m/>
    <m/>
    <x v="9"/>
    <d v="2016-03-16T12:17:00"/>
    <s v="Patch Set 1:\n\nPassed static analysis code analyzing test. No CRITICAL issue in this patch. Auto reported by kwscan@psi-build5.bj.intel.com"/>
    <m/>
    <m/>
    <s v="john.fredriksson@intel.com"/>
    <x v="1"/>
    <x v="5"/>
    <s v=""/>
    <x v="0"/>
    <s v=""/>
    <s v=""/>
    <s v=""/>
    <s v=""/>
    <s v=""/>
    <s v=""/>
    <s v=""/>
    <x v="0"/>
    <x v="0"/>
    <x v="0"/>
  </r>
  <r>
    <x v="10"/>
    <m/>
    <m/>
    <m/>
    <m/>
    <m/>
    <m/>
    <m/>
    <m/>
    <m/>
    <m/>
    <m/>
    <x v="9"/>
    <d v="2016-03-16T13:17:00"/>
    <s v="Patch Set 1:\n\nPassed static analysis code analyzing test. No CRITICAL issue in this patch. Auto reported by kwscan@kw-srv2.bj.intel.com"/>
    <m/>
    <m/>
    <s v="john.fredriksson@intel.com"/>
    <x v="1"/>
    <x v="5"/>
    <s v=""/>
    <x v="0"/>
    <s v=""/>
    <s v=""/>
    <s v=""/>
    <s v=""/>
    <s v=""/>
    <s v=""/>
    <s v=""/>
    <x v="0"/>
    <x v="0"/>
    <x v="0"/>
  </r>
  <r>
    <x v="10"/>
    <m/>
    <m/>
    <m/>
    <m/>
    <m/>
    <m/>
    <m/>
    <m/>
    <m/>
    <m/>
    <m/>
    <x v="9"/>
    <d v="2016-03-16T17:50:00"/>
    <s v="Patch Set 1: Code-Review+1\n\nPassed PIT; ready for merge"/>
    <m/>
    <m/>
    <s v="john.fredriksson@intel.com"/>
    <x v="1"/>
    <x v="5"/>
    <s v=""/>
    <x v="0"/>
    <s v=""/>
    <s v=""/>
    <s v=""/>
    <s v=""/>
    <s v=""/>
    <s v=""/>
    <s v=""/>
    <x v="0"/>
    <x v="0"/>
    <x v="0"/>
  </r>
  <r>
    <x v="10"/>
    <m/>
    <m/>
    <m/>
    <m/>
    <m/>
    <m/>
    <m/>
    <m/>
    <m/>
    <m/>
    <m/>
    <x v="9"/>
    <d v="2016-03-16T22:59:00"/>
    <s v="Patch Set 1:\n\nPassed static analysis code analyzing test. No CRITICAL issue in this patch. Auto reported by kwscan@andr-val-srv0.bj.intel.com"/>
    <m/>
    <m/>
    <s v="john.fredriksson@intel.com"/>
    <x v="1"/>
    <x v="5"/>
    <s v=""/>
    <x v="0"/>
    <s v=""/>
    <s v=""/>
    <s v=""/>
    <s v=""/>
    <s v=""/>
    <s v=""/>
    <s v=""/>
    <x v="0"/>
    <x v="0"/>
    <x v="0"/>
  </r>
  <r>
    <x v="10"/>
    <m/>
    <m/>
    <m/>
    <m/>
    <m/>
    <m/>
    <m/>
    <m/>
    <m/>
    <m/>
    <m/>
    <x v="10"/>
    <d v="2016-03-25T18:12:00"/>
    <s v="Patch Set 2:\n\nThe patch has been successfully merged into r6_legacy with https://android.intel.com/486340"/>
    <m/>
    <m/>
    <s v="john.fredriksson@intel.com"/>
    <x v="1"/>
    <x v="5"/>
    <s v=""/>
    <x v="0"/>
    <s v=""/>
    <s v=""/>
    <s v=""/>
    <s v=""/>
    <s v=""/>
    <s v=""/>
    <s v=""/>
    <x v="0"/>
    <x v="0"/>
    <x v="0"/>
  </r>
  <r>
    <x v="10"/>
    <m/>
    <m/>
    <m/>
    <m/>
    <m/>
    <m/>
    <m/>
    <m/>
    <m/>
    <m/>
    <m/>
    <x v="10"/>
    <d v="2016-03-30T16:45:00"/>
    <s v="Patch Set 2:\n\nThe patch has been successfully merged into 1A master with https://android.intel.com/483489"/>
    <m/>
    <m/>
    <s v="john.fredriksson@intel.com"/>
    <x v="1"/>
    <x v="5"/>
    <s v=""/>
    <x v="0"/>
    <s v=""/>
    <s v=""/>
    <s v=""/>
    <s v=""/>
    <s v=""/>
    <s v=""/>
    <s v=""/>
    <x v="0"/>
    <x v="0"/>
    <x v="0"/>
  </r>
  <r>
    <x v="11"/>
    <n v="107138"/>
    <s v="vied-viedandr-camera3hal"/>
    <s v="platform/android/main"/>
    <s v="I5c950d73ecd2ec2dcb0e3e889bb84dd01918159c"/>
    <s v="jukka.o.kaartinen@intel.com"/>
    <s v="MERGED"/>
    <s v="c3:ipu4: fix dvs cannot be disabled bug"/>
    <s v="c3:ipu4: fix dvs cannot be disabled bug\n\nChange-Id: I5c950d73ecd2ec2dcb0e3e889bb84dd01918159c\nTracked-On: #H1504159213\nSigned-off-by: Jukka Kaartinen &lt;jukka.o.kaartinen@intel.com&gt;\nReviewed-on: https://icggerrit.ir.intel.com/107138\nReviewed-by: Jarno Jakonen &lt;jarno.jakonen@intel.com&gt;\nReviewed-by: Miguel Verdu &lt;miguel.verdu@intel.com&gt;\nReviewed-by: Lassi I Vaatamoinen &lt;lassi.i.vaatamoinen@intel.com&gt;\nReviewed-by: Juha Alanen &lt;juha.alanen@intel.com&gt;\nApprover: Ukri Niemimuukko &lt;ukri.niemimuukko@intel.com&gt;\nReviewed-by: WeiX Meng &lt;weix.meng@intel.com&gt;\nIntegrator: WeiX Meng &lt;weix.meng@intel.com&gt;\n"/>
    <d v="2016-03-11T20:30:00"/>
    <d v="2016-03-16T18:12:00"/>
    <s v="common"/>
    <x v="2"/>
    <d v="2016-03-11T20:30:00"/>
    <s v="Uploaded patch set 1."/>
    <m/>
    <s v="dongdong.zhang@intel.com;weix.meng@intel.com;ukri.niemimuukko@intel.com;wei.tao@intel.com;juha.alanen@intel.com;lassi.i.vaatamoinen@intel.com;miguel.verdu@intel.com;jarno.jakonen@intel.com;"/>
    <s v="jukka.o.kaartinen@intel.com"/>
    <x v="0"/>
    <x v="0"/>
    <s v="16'ww12"/>
    <x v="0"/>
    <n v="0"/>
    <n v="0"/>
    <n v="0"/>
    <n v="0"/>
    <n v="0"/>
    <n v="5"/>
    <n v="0"/>
    <x v="0"/>
    <x v="0"/>
    <x v="0"/>
  </r>
  <r>
    <x v="11"/>
    <m/>
    <m/>
    <m/>
    <m/>
    <m/>
    <m/>
    <m/>
    <m/>
    <m/>
    <m/>
    <m/>
    <x v="2"/>
    <d v="2016-03-11T20:30:00"/>
    <s v="Patch Set 1:\n\nPatchset Created: CI job has been scheduled."/>
    <m/>
    <m/>
    <s v="jukka.o.kaartinen@intel.com"/>
    <x v="0"/>
    <x v="0"/>
    <s v=""/>
    <x v="0"/>
    <s v=""/>
    <s v=""/>
    <s v=""/>
    <s v=""/>
    <s v=""/>
    <s v=""/>
    <s v=""/>
    <x v="0"/>
    <x v="0"/>
    <x v="0"/>
  </r>
  <r>
    <x v="11"/>
    <m/>
    <m/>
    <m/>
    <m/>
    <m/>
    <m/>
    <m/>
    <m/>
    <m/>
    <m/>
    <m/>
    <x v="2"/>
    <d v="2016-03-11T20:31:00"/>
    <s v="Patch Set 1: Code-Review+1"/>
    <m/>
    <m/>
    <s v="jukka.o.kaartinen@intel.com"/>
    <x v="0"/>
    <x v="0"/>
    <s v=""/>
    <x v="0"/>
    <s v=""/>
    <s v=""/>
    <s v=""/>
    <s v=""/>
    <s v=""/>
    <s v=""/>
    <s v=""/>
    <x v="0"/>
    <x v="0"/>
    <x v="0"/>
  </r>
  <r>
    <x v="11"/>
    <m/>
    <m/>
    <m/>
    <m/>
    <m/>
    <m/>
    <m/>
    <m/>
    <m/>
    <m/>
    <m/>
    <x v="2"/>
    <d v="2016-03-11T20:43:00"/>
    <s v="Uploaded patch set 2."/>
    <m/>
    <m/>
    <s v="jukka.o.kaartinen@intel.com"/>
    <x v="0"/>
    <x v="0"/>
    <s v=""/>
    <x v="0"/>
    <s v=""/>
    <s v=""/>
    <s v=""/>
    <s v=""/>
    <s v=""/>
    <s v=""/>
    <s v=""/>
    <x v="0"/>
    <x v="0"/>
    <x v="0"/>
  </r>
  <r>
    <x v="11"/>
    <m/>
    <m/>
    <m/>
    <m/>
    <m/>
    <m/>
    <m/>
    <m/>
    <m/>
    <m/>
    <m/>
    <x v="2"/>
    <d v="2016-03-11T20:43:00"/>
    <s v="Patch Set 2:\n\nPatchset Created: CI job has been scheduled."/>
    <m/>
    <m/>
    <s v="jukka.o.kaartinen@intel.com"/>
    <x v="0"/>
    <x v="0"/>
    <s v=""/>
    <x v="0"/>
    <s v=""/>
    <s v=""/>
    <s v=""/>
    <s v=""/>
    <s v=""/>
    <s v=""/>
    <s v=""/>
    <x v="0"/>
    <x v="0"/>
    <x v="0"/>
  </r>
  <r>
    <x v="11"/>
    <m/>
    <m/>
    <m/>
    <m/>
    <m/>
    <m/>
    <m/>
    <m/>
    <m/>
    <m/>
    <m/>
    <x v="2"/>
    <d v="2016-03-11T20:43:00"/>
    <s v="Patch Set 2: Code-Review+1"/>
    <m/>
    <m/>
    <s v="jukka.o.kaartinen@intel.com"/>
    <x v="0"/>
    <x v="0"/>
    <s v=""/>
    <x v="0"/>
    <s v=""/>
    <s v=""/>
    <s v=""/>
    <s v=""/>
    <s v=""/>
    <s v=""/>
    <s v=""/>
    <x v="0"/>
    <x v="0"/>
    <x v="0"/>
  </r>
  <r>
    <x v="11"/>
    <m/>
    <m/>
    <m/>
    <m/>
    <m/>
    <m/>
    <m/>
    <m/>
    <m/>
    <m/>
    <m/>
    <x v="17"/>
    <d v="2016-03-11T21:20:00"/>
    <s v="Patch Set 2: Code-Review+1"/>
    <m/>
    <m/>
    <s v="jukka.o.kaartinen@intel.com"/>
    <x v="0"/>
    <x v="1"/>
    <s v=""/>
    <x v="0"/>
    <s v=""/>
    <s v=""/>
    <s v=""/>
    <s v=""/>
    <s v=""/>
    <s v=""/>
    <s v=""/>
    <x v="0"/>
    <x v="0"/>
    <x v="0"/>
  </r>
  <r>
    <x v="11"/>
    <m/>
    <m/>
    <m/>
    <m/>
    <m/>
    <m/>
    <m/>
    <m/>
    <m/>
    <m/>
    <m/>
    <x v="2"/>
    <d v="2016-03-11T21:42:00"/>
    <s v="Uploaded patch set 3: Patch Set 2 was rebased."/>
    <m/>
    <m/>
    <s v="jukka.o.kaartinen@intel.com"/>
    <x v="0"/>
    <x v="0"/>
    <s v=""/>
    <x v="0"/>
    <s v=""/>
    <s v=""/>
    <s v=""/>
    <s v=""/>
    <s v=""/>
    <s v=""/>
    <s v=""/>
    <x v="0"/>
    <x v="0"/>
    <x v="0"/>
  </r>
  <r>
    <x v="11"/>
    <m/>
    <m/>
    <m/>
    <m/>
    <m/>
    <m/>
    <m/>
    <m/>
    <m/>
    <m/>
    <m/>
    <x v="2"/>
    <d v="2016-03-11T21:42:00"/>
    <s v="Patch Set 3:\n\nPatchset Created: CI job has been scheduled."/>
    <m/>
    <m/>
    <s v="jukka.o.kaartinen@intel.com"/>
    <x v="0"/>
    <x v="0"/>
    <s v=""/>
    <x v="0"/>
    <s v=""/>
    <s v=""/>
    <s v=""/>
    <s v=""/>
    <s v=""/>
    <s v=""/>
    <s v=""/>
    <x v="0"/>
    <x v="0"/>
    <x v="0"/>
  </r>
  <r>
    <x v="11"/>
    <m/>
    <m/>
    <m/>
    <m/>
    <m/>
    <m/>
    <m/>
    <m/>
    <m/>
    <m/>
    <m/>
    <x v="0"/>
    <d v="2016-03-11T22:10:00"/>
    <s v="Patch Set 3: Code-Review+1"/>
    <m/>
    <m/>
    <s v="jukka.o.kaartinen@intel.com"/>
    <x v="0"/>
    <x v="1"/>
    <s v=""/>
    <x v="0"/>
    <s v=""/>
    <s v=""/>
    <s v=""/>
    <s v=""/>
    <s v=""/>
    <s v=""/>
    <s v=""/>
    <x v="0"/>
    <x v="0"/>
    <x v="0"/>
  </r>
  <r>
    <x v="11"/>
    <m/>
    <m/>
    <m/>
    <m/>
    <m/>
    <m/>
    <m/>
    <m/>
    <m/>
    <m/>
    <m/>
    <x v="2"/>
    <d v="2016-03-11T23:24:00"/>
    <s v="Uploaded patch set 4: Patch Set 3 was rebased."/>
    <m/>
    <m/>
    <s v="jukka.o.kaartinen@intel.com"/>
    <x v="0"/>
    <x v="0"/>
    <s v=""/>
    <x v="0"/>
    <s v=""/>
    <s v=""/>
    <s v=""/>
    <s v=""/>
    <s v=""/>
    <s v=""/>
    <s v=""/>
    <x v="0"/>
    <x v="0"/>
    <x v="0"/>
  </r>
  <r>
    <x v="11"/>
    <m/>
    <m/>
    <m/>
    <m/>
    <m/>
    <m/>
    <m/>
    <m/>
    <m/>
    <m/>
    <m/>
    <x v="2"/>
    <d v="2016-03-11T23:24:00"/>
    <s v="Patch Set 4:\n\nPatchset Created: CI job has been scheduled."/>
    <m/>
    <m/>
    <s v="jukka.o.kaartinen@intel.com"/>
    <x v="0"/>
    <x v="0"/>
    <s v=""/>
    <x v="0"/>
    <s v=""/>
    <s v=""/>
    <s v=""/>
    <s v=""/>
    <s v=""/>
    <s v=""/>
    <s v=""/>
    <x v="0"/>
    <x v="0"/>
    <x v="0"/>
  </r>
  <r>
    <x v="11"/>
    <m/>
    <m/>
    <m/>
    <m/>
    <m/>
    <m/>
    <m/>
    <m/>
    <m/>
    <m/>
    <m/>
    <x v="12"/>
    <d v="2016-03-11T23:59:00"/>
    <s v="Patch Set 4: Code-Review+1"/>
    <m/>
    <m/>
    <s v="jukka.o.kaartinen@intel.com"/>
    <x v="0"/>
    <x v="1"/>
    <s v=""/>
    <x v="0"/>
    <s v=""/>
    <s v=""/>
    <s v=""/>
    <s v=""/>
    <s v=""/>
    <s v=""/>
    <s v=""/>
    <x v="0"/>
    <x v="0"/>
    <x v="0"/>
  </r>
  <r>
    <x v="11"/>
    <m/>
    <m/>
    <m/>
    <m/>
    <m/>
    <m/>
    <m/>
    <m/>
    <m/>
    <m/>
    <m/>
    <x v="2"/>
    <d v="2016-03-14T16:15:00"/>
    <s v="Uploaded patch set 5: Patch Set 4 was rebased."/>
    <m/>
    <m/>
    <s v="jukka.o.kaartinen@intel.com"/>
    <x v="0"/>
    <x v="0"/>
    <s v=""/>
    <x v="0"/>
    <s v=""/>
    <s v=""/>
    <s v=""/>
    <s v=""/>
    <s v=""/>
    <s v=""/>
    <s v=""/>
    <x v="0"/>
    <x v="0"/>
    <x v="0"/>
  </r>
  <r>
    <x v="11"/>
    <m/>
    <m/>
    <m/>
    <m/>
    <m/>
    <m/>
    <m/>
    <m/>
    <m/>
    <m/>
    <m/>
    <x v="2"/>
    <d v="2016-03-14T16:15:00"/>
    <s v="Patch Set 5:\n\nPatchset Created: CI job has been scheduled."/>
    <m/>
    <m/>
    <s v="jukka.o.kaartinen@intel.com"/>
    <x v="0"/>
    <x v="0"/>
    <s v=""/>
    <x v="0"/>
    <s v=""/>
    <s v=""/>
    <s v=""/>
    <s v=""/>
    <s v=""/>
    <s v=""/>
    <s v=""/>
    <x v="0"/>
    <x v="0"/>
    <x v="0"/>
  </r>
  <r>
    <x v="11"/>
    <m/>
    <m/>
    <m/>
    <m/>
    <m/>
    <m/>
    <m/>
    <m/>
    <m/>
    <m/>
    <m/>
    <x v="2"/>
    <d v="2016-03-14T19:24:00"/>
    <s v="Uploaded patch set 6: Patch Set 5 was rebased."/>
    <m/>
    <m/>
    <s v="jukka.o.kaartinen@intel.com"/>
    <x v="0"/>
    <x v="0"/>
    <s v=""/>
    <x v="0"/>
    <s v=""/>
    <s v=""/>
    <s v=""/>
    <s v=""/>
    <s v=""/>
    <s v=""/>
    <s v=""/>
    <x v="0"/>
    <x v="0"/>
    <x v="0"/>
  </r>
  <r>
    <x v="11"/>
    <m/>
    <m/>
    <m/>
    <m/>
    <m/>
    <m/>
    <m/>
    <m/>
    <m/>
    <m/>
    <m/>
    <x v="2"/>
    <d v="2016-03-14T19:24:00"/>
    <s v="Patch Set 6:\n\nPatchset Created: CI job has been scheduled."/>
    <m/>
    <m/>
    <s v="jukka.o.kaartinen@intel.com"/>
    <x v="0"/>
    <x v="0"/>
    <s v=""/>
    <x v="0"/>
    <s v=""/>
    <s v=""/>
    <s v=""/>
    <s v=""/>
    <s v=""/>
    <s v=""/>
    <s v=""/>
    <x v="0"/>
    <x v="0"/>
    <x v="0"/>
  </r>
  <r>
    <x v="11"/>
    <m/>
    <m/>
    <m/>
    <m/>
    <m/>
    <m/>
    <m/>
    <m/>
    <m/>
    <m/>
    <m/>
    <x v="14"/>
    <d v="2016-03-14T20:17:00"/>
    <s v="Patch Set 6: Validation-Android+1\n\nreceive smoke test"/>
    <m/>
    <m/>
    <s v="jukka.o.kaartinen@intel.com"/>
    <x v="0"/>
    <x v="5"/>
    <s v=""/>
    <x v="0"/>
    <s v=""/>
    <s v=""/>
    <s v=""/>
    <s v=""/>
    <s v=""/>
    <s v=""/>
    <s v=""/>
    <x v="0"/>
    <x v="1"/>
    <x v="0"/>
  </r>
  <r>
    <x v="11"/>
    <m/>
    <m/>
    <m/>
    <m/>
    <m/>
    <m/>
    <m/>
    <m/>
    <m/>
    <m/>
    <m/>
    <x v="2"/>
    <d v="2016-03-14T20:27:00"/>
    <s v="Uploaded patch set 7: Patch Set 6 was rebased."/>
    <m/>
    <m/>
    <s v="jukka.o.kaartinen@intel.com"/>
    <x v="0"/>
    <x v="0"/>
    <s v=""/>
    <x v="0"/>
    <s v=""/>
    <s v=""/>
    <s v=""/>
    <s v=""/>
    <s v=""/>
    <s v=""/>
    <s v=""/>
    <x v="0"/>
    <x v="0"/>
    <x v="0"/>
  </r>
  <r>
    <x v="11"/>
    <m/>
    <m/>
    <m/>
    <m/>
    <m/>
    <m/>
    <m/>
    <m/>
    <m/>
    <m/>
    <m/>
    <x v="2"/>
    <d v="2016-03-14T20:27:00"/>
    <s v="Patch Set 7:\n\nPatchset Created: CI job has been scheduled."/>
    <m/>
    <m/>
    <s v="jukka.o.kaartinen@intel.com"/>
    <x v="0"/>
    <x v="0"/>
    <s v=""/>
    <x v="0"/>
    <s v=""/>
    <s v=""/>
    <s v=""/>
    <s v=""/>
    <s v=""/>
    <s v=""/>
    <s v=""/>
    <x v="0"/>
    <x v="0"/>
    <x v="0"/>
  </r>
  <r>
    <x v="11"/>
    <m/>
    <m/>
    <m/>
    <m/>
    <m/>
    <m/>
    <m/>
    <m/>
    <m/>
    <m/>
    <m/>
    <x v="14"/>
    <d v="2016-03-14T20:32:00"/>
    <s v="Patch Set 7: Validation-Android+1\n\nreceive smoke test"/>
    <m/>
    <m/>
    <s v="jukka.o.kaartinen@intel.com"/>
    <x v="0"/>
    <x v="5"/>
    <s v=""/>
    <x v="0"/>
    <s v=""/>
    <s v=""/>
    <s v=""/>
    <s v=""/>
    <s v=""/>
    <s v=""/>
    <s v=""/>
    <x v="0"/>
    <x v="1"/>
    <x v="0"/>
  </r>
  <r>
    <x v="11"/>
    <m/>
    <m/>
    <m/>
    <m/>
    <m/>
    <m/>
    <m/>
    <m/>
    <m/>
    <m/>
    <m/>
    <x v="5"/>
    <d v="2016-03-14T21:15:00"/>
    <s v="Patch Set 7: Code-Review+1"/>
    <m/>
    <m/>
    <s v="jukka.o.kaartinen@intel.com"/>
    <x v="0"/>
    <x v="1"/>
    <s v=""/>
    <x v="0"/>
    <s v=""/>
    <s v=""/>
    <s v=""/>
    <s v=""/>
    <s v=""/>
    <s v=""/>
    <s v=""/>
    <x v="0"/>
    <x v="0"/>
    <x v="0"/>
  </r>
  <r>
    <x v="11"/>
    <m/>
    <m/>
    <m/>
    <m/>
    <m/>
    <m/>
    <m/>
    <m/>
    <m/>
    <m/>
    <m/>
    <x v="2"/>
    <d v="2016-03-14T23:38:00"/>
    <s v="Uploaded patch set 8: Patch Set 7 was rebased."/>
    <m/>
    <m/>
    <s v="jukka.o.kaartinen@intel.com"/>
    <x v="0"/>
    <x v="0"/>
    <s v=""/>
    <x v="0"/>
    <s v=""/>
    <s v=""/>
    <s v=""/>
    <s v=""/>
    <s v=""/>
    <s v=""/>
    <s v=""/>
    <x v="0"/>
    <x v="0"/>
    <x v="0"/>
  </r>
  <r>
    <x v="11"/>
    <m/>
    <m/>
    <m/>
    <m/>
    <m/>
    <m/>
    <m/>
    <m/>
    <m/>
    <m/>
    <m/>
    <x v="2"/>
    <d v="2016-03-14T23:38:00"/>
    <s v="Patch Set 8:\n\nPatchset Created: CI job has been scheduled."/>
    <m/>
    <m/>
    <s v="jukka.o.kaartinen@intel.com"/>
    <x v="0"/>
    <x v="0"/>
    <s v=""/>
    <x v="0"/>
    <s v=""/>
    <s v=""/>
    <s v=""/>
    <s v=""/>
    <s v=""/>
    <s v=""/>
    <s v=""/>
    <x v="0"/>
    <x v="0"/>
    <x v="0"/>
  </r>
  <r>
    <x v="11"/>
    <m/>
    <m/>
    <m/>
    <m/>
    <m/>
    <m/>
    <m/>
    <m/>
    <m/>
    <m/>
    <m/>
    <x v="14"/>
    <d v="2016-03-15T16:22:00"/>
    <s v="Patch Set 8: Validation-Android+1\n\nreceive smoke test"/>
    <m/>
    <m/>
    <s v="jukka.o.kaartinen@intel.com"/>
    <x v="0"/>
    <x v="5"/>
    <s v=""/>
    <x v="0"/>
    <s v=""/>
    <s v=""/>
    <s v=""/>
    <s v=""/>
    <s v=""/>
    <s v=""/>
    <s v=""/>
    <x v="0"/>
    <x v="1"/>
    <x v="0"/>
  </r>
  <r>
    <x v="11"/>
    <m/>
    <m/>
    <m/>
    <m/>
    <m/>
    <m/>
    <m/>
    <m/>
    <m/>
    <m/>
    <m/>
    <x v="14"/>
    <d v="2016-03-15T18:19:00"/>
    <s v="Patch Set 8:\n\nreceive smoke test"/>
    <m/>
    <m/>
    <s v="jukka.o.kaartinen@intel.com"/>
    <x v="0"/>
    <x v="5"/>
    <s v=""/>
    <x v="0"/>
    <s v=""/>
    <s v=""/>
    <s v=""/>
    <s v=""/>
    <s v=""/>
    <s v=""/>
    <s v=""/>
    <x v="0"/>
    <x v="0"/>
    <x v="0"/>
  </r>
  <r>
    <x v="11"/>
    <m/>
    <m/>
    <m/>
    <m/>
    <m/>
    <m/>
    <m/>
    <m/>
    <m/>
    <m/>
    <m/>
    <x v="6"/>
    <d v="2016-03-15T18:20:00"/>
    <s v="Patch Set 8: Approver+1"/>
    <m/>
    <m/>
    <s v="jukka.o.kaartinen@intel.com"/>
    <x v="0"/>
    <x v="1"/>
    <s v=""/>
    <x v="0"/>
    <s v=""/>
    <s v=""/>
    <s v=""/>
    <s v=""/>
    <s v=""/>
    <s v=""/>
    <s v=""/>
    <x v="0"/>
    <x v="0"/>
    <x v="0"/>
  </r>
  <r>
    <x v="11"/>
    <m/>
    <m/>
    <m/>
    <m/>
    <m/>
    <m/>
    <m/>
    <m/>
    <m/>
    <m/>
    <m/>
    <x v="2"/>
    <d v="2016-03-15T18:21:00"/>
    <s v="Topic set to bxt_preint"/>
    <m/>
    <m/>
    <s v="jukka.o.kaartinen@intel.com"/>
    <x v="0"/>
    <x v="0"/>
    <s v=""/>
    <x v="0"/>
    <s v=""/>
    <s v=""/>
    <s v=""/>
    <s v=""/>
    <s v=""/>
    <s v=""/>
    <s v=""/>
    <x v="0"/>
    <x v="0"/>
    <x v="0"/>
  </r>
  <r>
    <x v="11"/>
    <m/>
    <m/>
    <m/>
    <m/>
    <m/>
    <m/>
    <m/>
    <m/>
    <m/>
    <m/>
    <m/>
    <x v="14"/>
    <d v="2016-03-15T18:33:00"/>
    <s v="Patch Set 8:\n\nreceive smoke test"/>
    <m/>
    <m/>
    <s v="jukka.o.kaartinen@intel.com"/>
    <x v="0"/>
    <x v="5"/>
    <s v=""/>
    <x v="0"/>
    <s v=""/>
    <s v=""/>
    <s v=""/>
    <s v=""/>
    <s v=""/>
    <s v=""/>
    <s v=""/>
    <x v="0"/>
    <x v="0"/>
    <x v="0"/>
  </r>
  <r>
    <x v="11"/>
    <m/>
    <m/>
    <m/>
    <m/>
    <m/>
    <m/>
    <m/>
    <m/>
    <m/>
    <m/>
    <m/>
    <x v="9"/>
    <d v="2016-03-16T08:59:00"/>
    <s v="Patch Set 8: Integrator+1\n\nIntegrator +1; patch will be add to PT; please no change now"/>
    <m/>
    <m/>
    <s v="jukka.o.kaartinen@intel.com"/>
    <x v="0"/>
    <x v="5"/>
    <s v=""/>
    <x v="0"/>
    <s v=""/>
    <s v=""/>
    <s v=""/>
    <s v=""/>
    <s v=""/>
    <s v=""/>
    <s v=""/>
    <x v="0"/>
    <x v="1"/>
    <x v="0"/>
  </r>
  <r>
    <x v="11"/>
    <m/>
    <m/>
    <m/>
    <m/>
    <m/>
    <m/>
    <m/>
    <m/>
    <m/>
    <m/>
    <m/>
    <x v="9"/>
    <d v="2016-03-16T12:18:00"/>
    <s v="Patch Set 8:\n\nPassed static analysis code analyzing test. No CRITICAL issue in this patch. Auto reported by kwscan@psi-build5.bj.intel.com"/>
    <m/>
    <m/>
    <s v="jukka.o.kaartinen@intel.com"/>
    <x v="0"/>
    <x v="5"/>
    <s v=""/>
    <x v="0"/>
    <s v=""/>
    <s v=""/>
    <s v=""/>
    <s v=""/>
    <s v=""/>
    <s v=""/>
    <s v=""/>
    <x v="0"/>
    <x v="0"/>
    <x v="0"/>
  </r>
  <r>
    <x v="11"/>
    <m/>
    <m/>
    <m/>
    <m/>
    <m/>
    <m/>
    <m/>
    <m/>
    <m/>
    <m/>
    <m/>
    <x v="9"/>
    <d v="2016-03-16T13:18:00"/>
    <s v="Patch Set 8:\n\nPassed static analysis code analyzing test. No CRITICAL issue in this patch. Auto reported by kwscan@kw-srv2.bj.intel.com"/>
    <m/>
    <m/>
    <s v="jukka.o.kaartinen@intel.com"/>
    <x v="0"/>
    <x v="5"/>
    <s v=""/>
    <x v="0"/>
    <s v=""/>
    <s v=""/>
    <s v=""/>
    <s v=""/>
    <s v=""/>
    <s v=""/>
    <s v=""/>
    <x v="0"/>
    <x v="0"/>
    <x v="0"/>
  </r>
  <r>
    <x v="11"/>
    <m/>
    <m/>
    <m/>
    <m/>
    <m/>
    <m/>
    <m/>
    <m/>
    <m/>
    <m/>
    <m/>
    <x v="9"/>
    <d v="2016-03-16T17:51:00"/>
    <s v="Patch Set 8: Code-Review+1\n\nPassed PIT; ready for merge"/>
    <m/>
    <m/>
    <s v="jukka.o.kaartinen@intel.com"/>
    <x v="0"/>
    <x v="5"/>
    <s v=""/>
    <x v="0"/>
    <s v=""/>
    <s v=""/>
    <s v=""/>
    <s v=""/>
    <s v=""/>
    <s v=""/>
    <s v=""/>
    <x v="0"/>
    <x v="0"/>
    <x v="0"/>
  </r>
  <r>
    <x v="11"/>
    <m/>
    <m/>
    <m/>
    <m/>
    <m/>
    <m/>
    <m/>
    <m/>
    <m/>
    <m/>
    <m/>
    <x v="9"/>
    <d v="2016-03-16T18:11:00"/>
    <s v="Patch Set 8: -Integrator"/>
    <m/>
    <m/>
    <s v="jukka.o.kaartinen@intel.com"/>
    <x v="0"/>
    <x v="5"/>
    <s v=""/>
    <x v="0"/>
    <s v=""/>
    <s v=""/>
    <s v=""/>
    <s v=""/>
    <s v=""/>
    <s v=""/>
    <s v=""/>
    <x v="0"/>
    <x v="1"/>
    <x v="0"/>
  </r>
  <r>
    <x v="11"/>
    <m/>
    <m/>
    <m/>
    <m/>
    <m/>
    <m/>
    <m/>
    <m/>
    <m/>
    <m/>
    <m/>
    <x v="9"/>
    <d v="2016-03-16T18:11:00"/>
    <s v="Patch Set 9: Patch Set 8 was rebased"/>
    <m/>
    <m/>
    <s v="jukka.o.kaartinen@intel.com"/>
    <x v="0"/>
    <x v="5"/>
    <s v=""/>
    <x v="0"/>
    <s v=""/>
    <s v=""/>
    <s v=""/>
    <s v=""/>
    <s v=""/>
    <s v=""/>
    <s v=""/>
    <x v="0"/>
    <x v="0"/>
    <x v="0"/>
  </r>
  <r>
    <x v="11"/>
    <m/>
    <m/>
    <m/>
    <m/>
    <m/>
    <m/>
    <m/>
    <m/>
    <m/>
    <m/>
    <m/>
    <x v="9"/>
    <d v="2016-03-16T18:12:00"/>
    <s v="Patch Set 9:\n\nPatchset Created: CI job has been scheduled."/>
    <m/>
    <m/>
    <s v="jukka.o.kaartinen@intel.com"/>
    <x v="0"/>
    <x v="5"/>
    <s v=""/>
    <x v="0"/>
    <s v=""/>
    <s v=""/>
    <s v=""/>
    <s v=""/>
    <s v=""/>
    <s v=""/>
    <s v=""/>
    <x v="0"/>
    <x v="0"/>
    <x v="0"/>
  </r>
  <r>
    <x v="11"/>
    <m/>
    <m/>
    <m/>
    <m/>
    <m/>
    <m/>
    <m/>
    <m/>
    <m/>
    <m/>
    <m/>
    <x v="9"/>
    <d v="2016-03-16T18:12:00"/>
    <s v="Patch Set 9: Integrator+1"/>
    <m/>
    <m/>
    <s v="jukka.o.kaartinen@intel.com"/>
    <x v="0"/>
    <x v="5"/>
    <s v=""/>
    <x v="0"/>
    <s v=""/>
    <s v=""/>
    <s v=""/>
    <s v=""/>
    <s v=""/>
    <s v=""/>
    <s v=""/>
    <x v="0"/>
    <x v="1"/>
    <x v="0"/>
  </r>
  <r>
    <x v="11"/>
    <m/>
    <m/>
    <m/>
    <m/>
    <m/>
    <m/>
    <m/>
    <m/>
    <m/>
    <m/>
    <m/>
    <x v="9"/>
    <d v="2016-03-16T22:59:00"/>
    <s v="Patch Set 8:\n\nPassed static analysis code analyzing test. No CRITICAL issue in this patch. Auto reported by kwscan@andr-val-srv0.bj.intel.com"/>
    <m/>
    <m/>
    <s v="jukka.o.kaartinen@intel.com"/>
    <x v="0"/>
    <x v="5"/>
    <s v=""/>
    <x v="0"/>
    <s v=""/>
    <s v=""/>
    <s v=""/>
    <s v=""/>
    <s v=""/>
    <s v=""/>
    <s v=""/>
    <x v="0"/>
    <x v="0"/>
    <x v="0"/>
  </r>
  <r>
    <x v="11"/>
    <m/>
    <m/>
    <m/>
    <m/>
    <m/>
    <m/>
    <m/>
    <m/>
    <m/>
    <m/>
    <m/>
    <x v="10"/>
    <d v="2016-03-25T18:13:00"/>
    <s v="Patch Set 10:\n\nThe patch has been successfully merged into r6_legacy with https://android.intel.com/486344"/>
    <m/>
    <m/>
    <s v="jukka.o.kaartinen@intel.com"/>
    <x v="0"/>
    <x v="5"/>
    <s v=""/>
    <x v="0"/>
    <s v=""/>
    <s v=""/>
    <s v=""/>
    <s v=""/>
    <s v=""/>
    <s v=""/>
    <s v=""/>
    <x v="0"/>
    <x v="0"/>
    <x v="0"/>
  </r>
  <r>
    <x v="11"/>
    <m/>
    <m/>
    <m/>
    <m/>
    <m/>
    <m/>
    <m/>
    <m/>
    <m/>
    <m/>
    <m/>
    <x v="10"/>
    <d v="2016-03-30T16:44:00"/>
    <s v="Patch Set 10:\n\nThe patch has been successfully merged into 1A master with https://android.intel.com/483489"/>
    <m/>
    <m/>
    <s v="jukka.o.kaartinen@intel.com"/>
    <x v="0"/>
    <x v="5"/>
    <s v=""/>
    <x v="0"/>
    <s v=""/>
    <s v=""/>
    <s v=""/>
    <s v=""/>
    <s v=""/>
    <s v=""/>
    <s v=""/>
    <x v="0"/>
    <x v="0"/>
    <x v="0"/>
  </r>
  <r>
    <x v="12"/>
    <n v="103136"/>
    <s v="vied-viedandr-camera3hal"/>
    <s v="platform/android/main"/>
    <s v="I25e2deab49ea10b15f2293dcf906918fcd1fddc2"/>
    <s v="saija.sorsa@intel.com"/>
    <s v="MERGED"/>
    <s v="c3:3a:fix an issue on LSCGrid struct initializer"/>
    <s v="c3:3a:fix an issue on LSCGrid struct initializer\n\nChange LSCGrid-struct constructor from using\nCLEAR macro to initializer list.\n\nChange-Id: I25e2deab49ea10b15f2293dcf906918fcd1fddc2\nTracked-On: #H1804184542\nSigned-off-by: Saija Sorsa &lt;saija.sorsa@intel.com&gt;\nReviewed-on: https://icggerrit.ir.intel.com/103136\nReviewed-by: Ukri Niemimuukko &lt;ukri.niemimuukko@intel.com&gt;\nReviewed-by: Lassi I Vaatamoinen &lt;lassi.i.vaatamoinen@intel.com&gt;\nReviewed-by: Jukka O Kaartinen &lt;jukka.o.kaartinen@intel.com&gt;\nReviewed-by: Gang A Hu &lt;gang.a.hu@intel.com&gt;\nReviewed-by: Renwei Wu &lt;renwei.wu@intel.com&gt;\nApprover: Jukka O Kaartinen &lt;jukka.o.kaartinen@intel.com&gt;\nReviewed-by: Miguel Verdu &lt;miguel.verdu@intel.com&gt;\nReviewed-by: Anttu Koski &lt;anttu.koski@intel.com&gt;\nReviewed-by: Arnaud Mandy &lt;arnaud.mandy@intel.com&gt;\nReviewed-by: WeiX Meng &lt;weix.meng@intel.com&gt;\nIntegrator: WeiX Meng &lt;weix.meng@intel.com&gt;\n"/>
    <d v="2016-02-22T20:45:00"/>
    <d v="2016-03-16T18:15:00"/>
    <s v="common"/>
    <x v="21"/>
    <d v="2016-02-22T20:45:00"/>
    <s v="Uploaded patch set 1."/>
    <m/>
    <s v="dongdong.zhang@intel.com;arnaud.mandy@intel.com;anttu.koski@intel.com;miguel.verdu@intel.com;renwei.wu@intel.com;gang.a.hu@intel.com;jukka.o.kaartinen@intel.com;weix.meng@intel.com;lassi.i.vaatamoinen@intel.com;ukri.niemimuukko@intel.com;"/>
    <s v="saija.sorsa@intel.com"/>
    <x v="0"/>
    <x v="0"/>
    <s v="16'ww12"/>
    <x v="0"/>
    <n v="2"/>
    <n v="0"/>
    <n v="2"/>
    <n v="0"/>
    <n v="1"/>
    <n v="13"/>
    <n v="1"/>
    <x v="0"/>
    <x v="0"/>
    <x v="0"/>
  </r>
  <r>
    <x v="12"/>
    <m/>
    <m/>
    <m/>
    <m/>
    <m/>
    <m/>
    <m/>
    <m/>
    <m/>
    <m/>
    <m/>
    <x v="21"/>
    <d v="2016-02-22T20:45:00"/>
    <s v="Patch Set 1:\n\nPatchset Created: CI job has been scheduled."/>
    <m/>
    <m/>
    <s v="saija.sorsa@intel.com"/>
    <x v="0"/>
    <x v="0"/>
    <s v=""/>
    <x v="0"/>
    <s v=""/>
    <s v=""/>
    <s v=""/>
    <s v=""/>
    <s v=""/>
    <s v=""/>
    <s v=""/>
    <x v="0"/>
    <x v="0"/>
    <x v="0"/>
  </r>
  <r>
    <x v="12"/>
    <m/>
    <m/>
    <m/>
    <m/>
    <m/>
    <m/>
    <m/>
    <m/>
    <m/>
    <m/>
    <m/>
    <x v="6"/>
    <d v="2016-02-22T22:01:00"/>
    <s v="Patch Set 1: Code-Review-1\n\n(2 comments)"/>
    <s v="line360 :&quot;goes over 80-char limit; split to separate lines&quot; line360 :&quot;extra space&quot;"/>
    <m/>
    <s v="saija.sorsa@intel.com"/>
    <x v="0"/>
    <x v="1"/>
    <s v=""/>
    <x v="0"/>
    <s v=""/>
    <s v=""/>
    <s v=""/>
    <s v=""/>
    <s v=""/>
    <s v=""/>
    <s v=""/>
    <x v="1"/>
    <x v="0"/>
    <x v="0"/>
  </r>
  <r>
    <x v="12"/>
    <m/>
    <m/>
    <m/>
    <m/>
    <m/>
    <m/>
    <m/>
    <m/>
    <m/>
    <m/>
    <m/>
    <x v="12"/>
    <d v="2016-02-22T23:10:00"/>
    <s v="Patch Set 1: Code-Review-1\n\n(1 comment)"/>
    <s v="line7 :&quot;prefix the subject line with \&quot;c3:3a: \&quot;&quot;"/>
    <m/>
    <s v="saija.sorsa@intel.com"/>
    <x v="0"/>
    <x v="1"/>
    <s v=""/>
    <x v="0"/>
    <s v=""/>
    <s v=""/>
    <s v=""/>
    <s v=""/>
    <s v=""/>
    <s v=""/>
    <s v=""/>
    <x v="1"/>
    <x v="0"/>
    <x v="0"/>
  </r>
  <r>
    <x v="12"/>
    <m/>
    <m/>
    <m/>
    <m/>
    <m/>
    <m/>
    <m/>
    <m/>
    <m/>
    <m/>
    <m/>
    <x v="12"/>
    <d v="2016-02-22T23:12:00"/>
    <s v="Patch Set 1:\n\n(1 comment)"/>
    <s v="line15 :&quot;Add \&quot;Tracked-On: #H&lt;bug_id&gt;\&quot; before signed-off line&quot;"/>
    <m/>
    <s v="saija.sorsa@intel.com"/>
    <x v="0"/>
    <x v="1"/>
    <s v=""/>
    <x v="0"/>
    <s v=""/>
    <s v=""/>
    <s v=""/>
    <s v=""/>
    <s v=""/>
    <s v=""/>
    <s v=""/>
    <x v="0"/>
    <x v="0"/>
    <x v="0"/>
  </r>
  <r>
    <x v="12"/>
    <m/>
    <m/>
    <m/>
    <m/>
    <m/>
    <m/>
    <m/>
    <m/>
    <m/>
    <m/>
    <m/>
    <x v="9"/>
    <d v="2016-02-22T23:17:00"/>
    <s v="Patch Set 1:\n\nPassed Klocwork code analyzing test. No CRITICAL issue in this patch. Auto reported by kwscan@psi-build5.bj.intel.com"/>
    <m/>
    <m/>
    <s v="saija.sorsa@intel.com"/>
    <x v="0"/>
    <x v="5"/>
    <s v=""/>
    <x v="0"/>
    <s v=""/>
    <s v=""/>
    <s v=""/>
    <s v=""/>
    <s v=""/>
    <s v=""/>
    <s v=""/>
    <x v="0"/>
    <x v="0"/>
    <x v="0"/>
  </r>
  <r>
    <x v="12"/>
    <m/>
    <m/>
    <m/>
    <m/>
    <m/>
    <m/>
    <m/>
    <m/>
    <m/>
    <m/>
    <m/>
    <x v="21"/>
    <d v="2016-02-23T15:36:00"/>
    <s v="Patch Set 2:\n\nPatchset Created: CI job has been scheduled."/>
    <m/>
    <m/>
    <s v="saija.sorsa@intel.com"/>
    <x v="0"/>
    <x v="0"/>
    <s v=""/>
    <x v="0"/>
    <s v=""/>
    <s v=""/>
    <s v=""/>
    <s v=""/>
    <s v=""/>
    <s v=""/>
    <s v=""/>
    <x v="0"/>
    <x v="0"/>
    <x v="0"/>
  </r>
  <r>
    <x v="12"/>
    <m/>
    <m/>
    <m/>
    <m/>
    <m/>
    <m/>
    <m/>
    <m/>
    <m/>
    <m/>
    <m/>
    <x v="21"/>
    <d v="2016-02-23T15:36:00"/>
    <s v="Uploaded patch set 2."/>
    <m/>
    <m/>
    <s v="saija.sorsa@intel.com"/>
    <x v="0"/>
    <x v="0"/>
    <s v=""/>
    <x v="0"/>
    <s v=""/>
    <s v=""/>
    <s v=""/>
    <s v=""/>
    <s v=""/>
    <s v=""/>
    <s v=""/>
    <x v="0"/>
    <x v="0"/>
    <x v="0"/>
  </r>
  <r>
    <x v="12"/>
    <m/>
    <m/>
    <m/>
    <m/>
    <m/>
    <m/>
    <m/>
    <m/>
    <m/>
    <m/>
    <m/>
    <x v="21"/>
    <d v="2016-02-23T15:47:00"/>
    <s v="Patch Set 3:\n\nPatchset Created: CI job has been scheduled."/>
    <m/>
    <m/>
    <s v="saija.sorsa@intel.com"/>
    <x v="0"/>
    <x v="0"/>
    <s v=""/>
    <x v="0"/>
    <s v=""/>
    <s v=""/>
    <s v=""/>
    <s v=""/>
    <s v=""/>
    <s v=""/>
    <s v=""/>
    <x v="0"/>
    <x v="0"/>
    <x v="0"/>
  </r>
  <r>
    <x v="12"/>
    <m/>
    <m/>
    <m/>
    <m/>
    <m/>
    <m/>
    <m/>
    <m/>
    <m/>
    <m/>
    <m/>
    <x v="21"/>
    <d v="2016-02-23T15:47:00"/>
    <s v="Uploaded patch set 3: Commit message was updated."/>
    <m/>
    <m/>
    <s v="saija.sorsa@intel.com"/>
    <x v="0"/>
    <x v="0"/>
    <s v=""/>
    <x v="0"/>
    <s v=""/>
    <s v=""/>
    <s v=""/>
    <s v=""/>
    <s v=""/>
    <s v=""/>
    <s v=""/>
    <x v="0"/>
    <x v="0"/>
    <x v="0"/>
  </r>
  <r>
    <x v="12"/>
    <m/>
    <m/>
    <m/>
    <m/>
    <m/>
    <m/>
    <m/>
    <m/>
    <m/>
    <m/>
    <m/>
    <x v="21"/>
    <d v="2016-03-01T18:32:00"/>
    <s v="Patch Set 4: Published edit on patch set 3"/>
    <m/>
    <m/>
    <s v="saija.sorsa@intel.com"/>
    <x v="0"/>
    <x v="0"/>
    <s v=""/>
    <x v="0"/>
    <s v=""/>
    <s v=""/>
    <s v=""/>
    <s v=""/>
    <s v=""/>
    <s v=""/>
    <s v=""/>
    <x v="0"/>
    <x v="0"/>
    <x v="0"/>
  </r>
  <r>
    <x v="12"/>
    <m/>
    <m/>
    <m/>
    <m/>
    <m/>
    <m/>
    <m/>
    <m/>
    <m/>
    <m/>
    <m/>
    <x v="21"/>
    <d v="2016-03-01T18:32:00"/>
    <s v="Patch Set 4:\n\nPatchset Created: CI job has been scheduled."/>
    <m/>
    <m/>
    <s v="saija.sorsa@intel.com"/>
    <x v="0"/>
    <x v="0"/>
    <s v=""/>
    <x v="0"/>
    <s v=""/>
    <s v=""/>
    <s v=""/>
    <s v=""/>
    <s v=""/>
    <s v=""/>
    <s v=""/>
    <x v="0"/>
    <x v="0"/>
    <x v="0"/>
  </r>
  <r>
    <x v="12"/>
    <m/>
    <m/>
    <m/>
    <m/>
    <m/>
    <m/>
    <m/>
    <m/>
    <m/>
    <m/>
    <m/>
    <x v="6"/>
    <d v="2016-03-02T15:54:00"/>
    <s v="Patch Set 4: Code-Review+1"/>
    <m/>
    <m/>
    <s v="saija.sorsa@intel.com"/>
    <x v="0"/>
    <x v="1"/>
    <s v=""/>
    <x v="0"/>
    <s v=""/>
    <s v=""/>
    <s v=""/>
    <s v=""/>
    <s v=""/>
    <s v=""/>
    <s v=""/>
    <x v="0"/>
    <x v="0"/>
    <x v="0"/>
  </r>
  <r>
    <x v="12"/>
    <m/>
    <m/>
    <m/>
    <m/>
    <m/>
    <m/>
    <m/>
    <m/>
    <m/>
    <m/>
    <m/>
    <x v="12"/>
    <d v="2016-03-02T16:04:00"/>
    <s v="Patch Set 4: Code-Review+1"/>
    <m/>
    <m/>
    <s v="saija.sorsa@intel.com"/>
    <x v="0"/>
    <x v="1"/>
    <s v=""/>
    <x v="0"/>
    <s v=""/>
    <s v=""/>
    <s v=""/>
    <s v=""/>
    <s v=""/>
    <s v=""/>
    <s v=""/>
    <x v="0"/>
    <x v="0"/>
    <x v="0"/>
  </r>
  <r>
    <x v="12"/>
    <m/>
    <m/>
    <m/>
    <m/>
    <m/>
    <m/>
    <m/>
    <m/>
    <m/>
    <m/>
    <m/>
    <x v="2"/>
    <d v="2016-03-04T21:11:00"/>
    <s v="Patch Set 4: Code-Review+1"/>
    <m/>
    <m/>
    <s v="saija.sorsa@intel.com"/>
    <x v="0"/>
    <x v="1"/>
    <s v=""/>
    <x v="0"/>
    <s v=""/>
    <s v=""/>
    <s v=""/>
    <s v=""/>
    <s v=""/>
    <s v=""/>
    <s v=""/>
    <x v="0"/>
    <x v="0"/>
    <x v="0"/>
  </r>
  <r>
    <x v="12"/>
    <m/>
    <m/>
    <m/>
    <m/>
    <m/>
    <m/>
    <m/>
    <m/>
    <m/>
    <m/>
    <m/>
    <x v="21"/>
    <d v="2016-03-11T19:53:00"/>
    <s v="Patch Set 5:\n\nPatchset Created: CI job has been scheduled."/>
    <m/>
    <m/>
    <s v="saija.sorsa@intel.com"/>
    <x v="0"/>
    <x v="0"/>
    <s v=""/>
    <x v="0"/>
    <s v=""/>
    <s v=""/>
    <s v=""/>
    <s v=""/>
    <s v=""/>
    <s v=""/>
    <s v=""/>
    <x v="0"/>
    <x v="0"/>
    <x v="0"/>
  </r>
  <r>
    <x v="12"/>
    <m/>
    <m/>
    <m/>
    <m/>
    <m/>
    <m/>
    <m/>
    <m/>
    <m/>
    <m/>
    <m/>
    <x v="21"/>
    <d v="2016-03-11T19:53:00"/>
    <s v="Uploaded patch set 5: Patch Set 4 was rebased."/>
    <m/>
    <m/>
    <s v="saija.sorsa@intel.com"/>
    <x v="0"/>
    <x v="0"/>
    <s v=""/>
    <x v="0"/>
    <s v=""/>
    <s v=""/>
    <s v=""/>
    <s v=""/>
    <s v=""/>
    <s v=""/>
    <s v=""/>
    <x v="0"/>
    <x v="0"/>
    <x v="0"/>
  </r>
  <r>
    <x v="12"/>
    <m/>
    <m/>
    <m/>
    <m/>
    <m/>
    <m/>
    <m/>
    <m/>
    <m/>
    <m/>
    <m/>
    <x v="21"/>
    <d v="2016-03-15T16:18:00"/>
    <s v="Patch Set 6:\n\nPatchset Created: CI job has been scheduled."/>
    <m/>
    <m/>
    <s v="saija.sorsa@intel.com"/>
    <x v="0"/>
    <x v="0"/>
    <s v=""/>
    <x v="0"/>
    <s v=""/>
    <s v=""/>
    <s v=""/>
    <s v=""/>
    <s v=""/>
    <s v=""/>
    <s v=""/>
    <x v="0"/>
    <x v="0"/>
    <x v="0"/>
  </r>
  <r>
    <x v="12"/>
    <m/>
    <m/>
    <m/>
    <m/>
    <m/>
    <m/>
    <m/>
    <m/>
    <m/>
    <m/>
    <m/>
    <x v="21"/>
    <d v="2016-03-15T16:18:00"/>
    <s v="Uploaded patch set 6: Patch Set 5 was rebased."/>
    <m/>
    <m/>
    <s v="saija.sorsa@intel.com"/>
    <x v="0"/>
    <x v="0"/>
    <s v=""/>
    <x v="0"/>
    <s v=""/>
    <s v=""/>
    <s v=""/>
    <s v=""/>
    <s v=""/>
    <s v=""/>
    <s v=""/>
    <x v="0"/>
    <x v="0"/>
    <x v="0"/>
  </r>
  <r>
    <x v="12"/>
    <m/>
    <m/>
    <m/>
    <m/>
    <m/>
    <m/>
    <m/>
    <m/>
    <m/>
    <m/>
    <m/>
    <x v="21"/>
    <d v="2016-03-15T17:20:00"/>
    <s v="Patch Set 7: Published edit on patch set 6"/>
    <m/>
    <m/>
    <s v="saija.sorsa@intel.com"/>
    <x v="0"/>
    <x v="0"/>
    <s v=""/>
    <x v="0"/>
    <s v=""/>
    <s v=""/>
    <s v=""/>
    <s v=""/>
    <s v=""/>
    <s v=""/>
    <s v=""/>
    <x v="0"/>
    <x v="0"/>
    <x v="0"/>
  </r>
  <r>
    <x v="12"/>
    <m/>
    <m/>
    <m/>
    <m/>
    <m/>
    <m/>
    <m/>
    <m/>
    <m/>
    <m/>
    <m/>
    <x v="21"/>
    <d v="2016-03-15T17:20:00"/>
    <s v="Patch Set 7:\n\nPatchset Created: CI job has been scheduled."/>
    <m/>
    <m/>
    <s v="saija.sorsa@intel.com"/>
    <x v="0"/>
    <x v="0"/>
    <s v=""/>
    <x v="0"/>
    <s v=""/>
    <s v=""/>
    <s v=""/>
    <s v=""/>
    <s v=""/>
    <s v=""/>
    <s v=""/>
    <x v="0"/>
    <x v="0"/>
    <x v="0"/>
  </r>
  <r>
    <x v="12"/>
    <m/>
    <m/>
    <m/>
    <m/>
    <m/>
    <m/>
    <m/>
    <m/>
    <m/>
    <m/>
    <m/>
    <x v="13"/>
    <d v="2016-03-15T17:25:00"/>
    <s v="Patch Set 7: Code-Review+1"/>
    <m/>
    <m/>
    <s v="saija.sorsa@intel.com"/>
    <x v="0"/>
    <x v="4"/>
    <s v=""/>
    <x v="0"/>
    <s v=""/>
    <s v=""/>
    <s v=""/>
    <s v=""/>
    <s v=""/>
    <s v=""/>
    <s v=""/>
    <x v="0"/>
    <x v="0"/>
    <x v="0"/>
  </r>
  <r>
    <x v="12"/>
    <m/>
    <m/>
    <m/>
    <m/>
    <m/>
    <m/>
    <m/>
    <m/>
    <m/>
    <m/>
    <m/>
    <x v="21"/>
    <d v="2016-03-15T17:42:00"/>
    <s v="Patch Set 8:\n\nPatchset Created: CI job has been scheduled."/>
    <m/>
    <m/>
    <s v="saija.sorsa@intel.com"/>
    <x v="0"/>
    <x v="0"/>
    <s v=""/>
    <x v="0"/>
    <s v=""/>
    <s v=""/>
    <s v=""/>
    <s v=""/>
    <s v=""/>
    <s v=""/>
    <s v=""/>
    <x v="0"/>
    <x v="0"/>
    <x v="0"/>
  </r>
  <r>
    <x v="12"/>
    <m/>
    <m/>
    <m/>
    <m/>
    <m/>
    <m/>
    <m/>
    <m/>
    <m/>
    <m/>
    <m/>
    <x v="21"/>
    <d v="2016-03-15T17:42:00"/>
    <s v="Uploaded patch set 8: Commit message was updated."/>
    <m/>
    <m/>
    <s v="saija.sorsa@intel.com"/>
    <x v="0"/>
    <x v="0"/>
    <s v=""/>
    <x v="0"/>
    <s v=""/>
    <s v=""/>
    <s v=""/>
    <s v=""/>
    <s v=""/>
    <s v=""/>
    <s v=""/>
    <x v="0"/>
    <x v="0"/>
    <x v="0"/>
  </r>
  <r>
    <x v="12"/>
    <m/>
    <m/>
    <m/>
    <m/>
    <m/>
    <m/>
    <m/>
    <m/>
    <m/>
    <m/>
    <m/>
    <x v="2"/>
    <d v="2016-03-15T18:24:00"/>
    <s v="Patch Set 9:\n\nPatchset Created: CI job has been scheduled."/>
    <m/>
    <m/>
    <s v="saija.sorsa@intel.com"/>
    <x v="0"/>
    <x v="1"/>
    <s v=""/>
    <x v="0"/>
    <s v=""/>
    <s v=""/>
    <s v=""/>
    <s v=""/>
    <s v=""/>
    <s v=""/>
    <s v=""/>
    <x v="0"/>
    <x v="0"/>
    <x v="0"/>
  </r>
  <r>
    <x v="12"/>
    <m/>
    <m/>
    <m/>
    <m/>
    <m/>
    <m/>
    <m/>
    <m/>
    <m/>
    <m/>
    <m/>
    <x v="2"/>
    <d v="2016-03-15T18:24:00"/>
    <s v="Uploaded patch set 9: Patch Set 8 was rebased."/>
    <m/>
    <m/>
    <s v="saija.sorsa@intel.com"/>
    <x v="0"/>
    <x v="1"/>
    <s v=""/>
    <x v="0"/>
    <s v=""/>
    <s v=""/>
    <s v=""/>
    <s v=""/>
    <s v=""/>
    <s v=""/>
    <s v=""/>
    <x v="0"/>
    <x v="0"/>
    <x v="0"/>
  </r>
  <r>
    <x v="12"/>
    <m/>
    <m/>
    <m/>
    <m/>
    <m/>
    <m/>
    <m/>
    <m/>
    <m/>
    <m/>
    <m/>
    <x v="3"/>
    <d v="2016-03-15T18:26:00"/>
    <s v="Patch Set 9: Code-Review+1"/>
    <m/>
    <m/>
    <s v="saija.sorsa@intel.com"/>
    <x v="0"/>
    <x v="2"/>
    <s v=""/>
    <x v="0"/>
    <s v=""/>
    <s v=""/>
    <s v=""/>
    <s v=""/>
    <s v=""/>
    <s v=""/>
    <s v=""/>
    <x v="0"/>
    <x v="0"/>
    <x v="0"/>
  </r>
  <r>
    <x v="12"/>
    <m/>
    <m/>
    <m/>
    <m/>
    <m/>
    <m/>
    <m/>
    <m/>
    <m/>
    <m/>
    <m/>
    <x v="2"/>
    <d v="2016-03-15T18:27:00"/>
    <s v="Patch Set 9: Approver+1"/>
    <m/>
    <m/>
    <s v="saija.sorsa@intel.com"/>
    <x v="0"/>
    <x v="1"/>
    <s v=""/>
    <x v="0"/>
    <s v=""/>
    <s v=""/>
    <s v=""/>
    <s v=""/>
    <s v=""/>
    <s v=""/>
    <s v=""/>
    <x v="0"/>
    <x v="0"/>
    <x v="0"/>
  </r>
  <r>
    <x v="12"/>
    <m/>
    <m/>
    <m/>
    <m/>
    <m/>
    <m/>
    <m/>
    <m/>
    <m/>
    <m/>
    <m/>
    <x v="2"/>
    <d v="2016-03-15T18:27:00"/>
    <s v="Topic changed from myOksa to bxt_preint"/>
    <m/>
    <m/>
    <s v="saija.sorsa@intel.com"/>
    <x v="0"/>
    <x v="1"/>
    <s v=""/>
    <x v="0"/>
    <s v=""/>
    <s v=""/>
    <s v=""/>
    <s v=""/>
    <s v=""/>
    <s v=""/>
    <s v=""/>
    <x v="0"/>
    <x v="0"/>
    <x v="0"/>
  </r>
  <r>
    <x v="12"/>
    <m/>
    <m/>
    <m/>
    <m/>
    <m/>
    <m/>
    <m/>
    <m/>
    <m/>
    <m/>
    <m/>
    <x v="14"/>
    <d v="2016-03-15T18:33:00"/>
    <s v="Patch Set 9: Validation-Android+1\n\nreceive smoke test"/>
    <m/>
    <m/>
    <s v="saija.sorsa@intel.com"/>
    <x v="0"/>
    <x v="5"/>
    <s v=""/>
    <x v="0"/>
    <s v=""/>
    <s v=""/>
    <s v=""/>
    <s v=""/>
    <s v=""/>
    <s v=""/>
    <s v=""/>
    <x v="0"/>
    <x v="1"/>
    <x v="0"/>
  </r>
  <r>
    <x v="12"/>
    <m/>
    <m/>
    <m/>
    <m/>
    <m/>
    <m/>
    <m/>
    <m/>
    <m/>
    <m/>
    <m/>
    <x v="0"/>
    <d v="2016-03-15T22:22:00"/>
    <s v="Patch Set 9: Code-Review+1"/>
    <m/>
    <m/>
    <s v="saija.sorsa@intel.com"/>
    <x v="0"/>
    <x v="1"/>
    <s v=""/>
    <x v="0"/>
    <s v=""/>
    <s v=""/>
    <s v=""/>
    <s v=""/>
    <s v=""/>
    <s v=""/>
    <s v=""/>
    <x v="0"/>
    <x v="0"/>
    <x v="0"/>
  </r>
  <r>
    <x v="12"/>
    <m/>
    <m/>
    <m/>
    <m/>
    <m/>
    <m/>
    <m/>
    <m/>
    <m/>
    <m/>
    <m/>
    <x v="9"/>
    <d v="2016-03-16T08:59:00"/>
    <s v="Patch Set 9: Integrator+1\n\nIntegrator +1; patch will be add to PT; please no change now"/>
    <m/>
    <m/>
    <s v="saija.sorsa@intel.com"/>
    <x v="0"/>
    <x v="5"/>
    <s v=""/>
    <x v="0"/>
    <s v=""/>
    <s v=""/>
    <s v=""/>
    <s v=""/>
    <s v=""/>
    <s v=""/>
    <s v=""/>
    <x v="0"/>
    <x v="1"/>
    <x v="0"/>
  </r>
  <r>
    <x v="12"/>
    <m/>
    <m/>
    <m/>
    <m/>
    <m/>
    <m/>
    <m/>
    <m/>
    <m/>
    <m/>
    <m/>
    <x v="9"/>
    <d v="2016-03-16T12:18:00"/>
    <s v="Patch Set 9:\n\nPassed static analysis code analyzing test. No CRITICAL issue in this patch. Auto reported by kwscan@psi-build5.bj.intel.com"/>
    <m/>
    <m/>
    <s v="saija.sorsa@intel.com"/>
    <x v="0"/>
    <x v="5"/>
    <s v=""/>
    <x v="0"/>
    <s v=""/>
    <s v=""/>
    <s v=""/>
    <s v=""/>
    <s v=""/>
    <s v=""/>
    <s v=""/>
    <x v="0"/>
    <x v="0"/>
    <x v="0"/>
  </r>
  <r>
    <x v="12"/>
    <m/>
    <m/>
    <m/>
    <m/>
    <m/>
    <m/>
    <m/>
    <m/>
    <m/>
    <m/>
    <m/>
    <x v="9"/>
    <d v="2016-03-16T13:18:00"/>
    <s v="Patch Set 9:\n\nPassed static analysis code analyzing test. No CRITICAL issue in this patch. Auto reported by kwscan@kw-srv2.bj.intel.com"/>
    <m/>
    <m/>
    <s v="saija.sorsa@intel.com"/>
    <x v="0"/>
    <x v="5"/>
    <s v=""/>
    <x v="0"/>
    <s v=""/>
    <s v=""/>
    <s v=""/>
    <s v=""/>
    <s v=""/>
    <s v=""/>
    <s v=""/>
    <x v="0"/>
    <x v="0"/>
    <x v="0"/>
  </r>
  <r>
    <x v="12"/>
    <m/>
    <m/>
    <m/>
    <m/>
    <m/>
    <m/>
    <m/>
    <m/>
    <m/>
    <m/>
    <m/>
    <x v="18"/>
    <d v="2016-03-16T15:30:00"/>
    <s v="Patch Set 9: Code-Review+1"/>
    <m/>
    <m/>
    <s v="saija.sorsa@intel.com"/>
    <x v="0"/>
    <x v="1"/>
    <s v=""/>
    <x v="0"/>
    <s v=""/>
    <s v=""/>
    <s v=""/>
    <s v=""/>
    <s v=""/>
    <s v=""/>
    <s v=""/>
    <x v="0"/>
    <x v="0"/>
    <x v="0"/>
  </r>
  <r>
    <x v="12"/>
    <m/>
    <m/>
    <m/>
    <m/>
    <m/>
    <m/>
    <m/>
    <m/>
    <m/>
    <m/>
    <m/>
    <x v="1"/>
    <d v="2016-03-16T17:03:00"/>
    <s v="Patch Set 9: Code-Review+1"/>
    <m/>
    <m/>
    <s v="saija.sorsa@intel.com"/>
    <x v="0"/>
    <x v="1"/>
    <s v=""/>
    <x v="0"/>
    <s v=""/>
    <s v=""/>
    <s v=""/>
    <s v=""/>
    <s v=""/>
    <s v=""/>
    <s v=""/>
    <x v="0"/>
    <x v="0"/>
    <x v="0"/>
  </r>
  <r>
    <x v="12"/>
    <m/>
    <m/>
    <m/>
    <m/>
    <m/>
    <m/>
    <m/>
    <m/>
    <m/>
    <m/>
    <m/>
    <x v="9"/>
    <d v="2016-03-16T17:52:00"/>
    <s v="Patch Set 9: Code-Review+1\n\nPassed PIT; ready for merge"/>
    <m/>
    <m/>
    <s v="saija.sorsa@intel.com"/>
    <x v="0"/>
    <x v="5"/>
    <s v=""/>
    <x v="0"/>
    <s v=""/>
    <s v=""/>
    <s v=""/>
    <s v=""/>
    <s v=""/>
    <s v=""/>
    <s v=""/>
    <x v="0"/>
    <x v="0"/>
    <x v="0"/>
  </r>
  <r>
    <x v="12"/>
    <m/>
    <m/>
    <m/>
    <m/>
    <m/>
    <m/>
    <m/>
    <m/>
    <m/>
    <m/>
    <m/>
    <x v="9"/>
    <d v="2016-03-16T18:15:00"/>
    <s v="Patch Set 9: -Integrator"/>
    <m/>
    <m/>
    <s v="saija.sorsa@intel.com"/>
    <x v="0"/>
    <x v="5"/>
    <s v=""/>
    <x v="0"/>
    <s v=""/>
    <s v=""/>
    <s v=""/>
    <s v=""/>
    <s v=""/>
    <s v=""/>
    <s v=""/>
    <x v="0"/>
    <x v="1"/>
    <x v="0"/>
  </r>
  <r>
    <x v="12"/>
    <m/>
    <m/>
    <m/>
    <m/>
    <m/>
    <m/>
    <m/>
    <m/>
    <m/>
    <m/>
    <m/>
    <x v="9"/>
    <d v="2016-03-16T18:15:00"/>
    <s v="Patch Set 10: Patch Set 9 was rebased"/>
    <m/>
    <m/>
    <s v="saija.sorsa@intel.com"/>
    <x v="0"/>
    <x v="5"/>
    <s v=""/>
    <x v="0"/>
    <s v=""/>
    <s v=""/>
    <s v=""/>
    <s v=""/>
    <s v=""/>
    <s v=""/>
    <s v=""/>
    <x v="0"/>
    <x v="0"/>
    <x v="0"/>
  </r>
  <r>
    <x v="12"/>
    <m/>
    <m/>
    <m/>
    <m/>
    <m/>
    <m/>
    <m/>
    <m/>
    <m/>
    <m/>
    <m/>
    <x v="9"/>
    <d v="2016-03-16T18:15:00"/>
    <s v="Patch Set 10:\n\nPatchset Created: CI job has been scheduled."/>
    <m/>
    <m/>
    <s v="saija.sorsa@intel.com"/>
    <x v="0"/>
    <x v="5"/>
    <s v=""/>
    <x v="0"/>
    <s v=""/>
    <s v=""/>
    <s v=""/>
    <s v=""/>
    <s v=""/>
    <s v=""/>
    <s v=""/>
    <x v="0"/>
    <x v="0"/>
    <x v="0"/>
  </r>
  <r>
    <x v="12"/>
    <m/>
    <m/>
    <m/>
    <m/>
    <m/>
    <m/>
    <m/>
    <m/>
    <m/>
    <m/>
    <m/>
    <x v="9"/>
    <d v="2016-03-16T18:15:00"/>
    <s v="Patch Set 10: Integrator+1"/>
    <m/>
    <m/>
    <s v="saija.sorsa@intel.com"/>
    <x v="0"/>
    <x v="5"/>
    <s v=""/>
    <x v="0"/>
    <s v=""/>
    <s v=""/>
    <s v=""/>
    <s v=""/>
    <s v=""/>
    <s v=""/>
    <s v=""/>
    <x v="0"/>
    <x v="1"/>
    <x v="0"/>
  </r>
  <r>
    <x v="12"/>
    <m/>
    <m/>
    <m/>
    <m/>
    <m/>
    <m/>
    <m/>
    <m/>
    <m/>
    <m/>
    <m/>
    <x v="9"/>
    <d v="2016-03-16T23:00:00"/>
    <s v="Patch Set 9:\n\nPassed static analysis code analyzing test. No CRITICAL issue in this patch. Auto reported by kwscan@andr-val-srv0.bj.intel.com"/>
    <m/>
    <m/>
    <s v="saija.sorsa@intel.com"/>
    <x v="0"/>
    <x v="5"/>
    <s v=""/>
    <x v="0"/>
    <s v=""/>
    <s v=""/>
    <s v=""/>
    <s v=""/>
    <s v=""/>
    <s v=""/>
    <s v=""/>
    <x v="0"/>
    <x v="0"/>
    <x v="0"/>
  </r>
  <r>
    <x v="12"/>
    <m/>
    <m/>
    <m/>
    <m/>
    <m/>
    <m/>
    <m/>
    <m/>
    <m/>
    <m/>
    <m/>
    <x v="10"/>
    <d v="2016-03-25T18:14:00"/>
    <s v="Patch Set 11:\n\nThe patch has been successfully merged into r6_legacy with https://android.intel.com/486348"/>
    <m/>
    <m/>
    <s v="saija.sorsa@intel.com"/>
    <x v="0"/>
    <x v="5"/>
    <s v=""/>
    <x v="0"/>
    <s v=""/>
    <s v=""/>
    <s v=""/>
    <s v=""/>
    <s v=""/>
    <s v=""/>
    <s v=""/>
    <x v="0"/>
    <x v="0"/>
    <x v="0"/>
  </r>
  <r>
    <x v="12"/>
    <m/>
    <m/>
    <m/>
    <m/>
    <m/>
    <m/>
    <m/>
    <m/>
    <m/>
    <m/>
    <m/>
    <x v="10"/>
    <d v="2016-03-30T16:43:00"/>
    <s v="Patch Set 11:\n\nThe patch has been successfully merged into 1A master with https://android.intel.com/483489"/>
    <m/>
    <m/>
    <s v="saija.sorsa@intel.com"/>
    <x v="0"/>
    <x v="5"/>
    <s v=""/>
    <x v="0"/>
    <s v=""/>
    <s v=""/>
    <s v=""/>
    <s v=""/>
    <s v=""/>
    <s v=""/>
    <s v=""/>
    <x v="0"/>
    <x v="0"/>
    <x v="0"/>
  </r>
  <r>
    <x v="13"/>
    <n v="107267"/>
    <s v="vied-viedandr-camera3hal"/>
    <s v="platform/android/main"/>
    <s v="Ibb4d9b0ec5bd18a17f38dc72c477980d096a2841"/>
    <s v="renwei.wu@intel.com"/>
    <s v="MERGED"/>
    <s v="c3:3a add support to load/save aiqd data"/>
    <s v="c3:3a add support to load/save aiqd data\n\nAiqd data contains various AIQ internal parameters like af calibration\nand focus range; collected during runtime and it will be stored in a\nhost file system. It should be passed to AIQ library by ia_aiq_init\nand read back by ia_aiq_get_aiqd_data. This adds two private\ninterfaces to load/save the aiqd data from/to aiq library. Also adds\none more param in initAIQ to enablei/disable for the Aiqd data save;\ndisabled by default.\n\nChange-Id: Ibb4d9b0ec5bd18a17f38dc72c477980d096a2841\nTracked-On: https://jira01.devtools.intel.com/browse/OAM-18757\nSigned-off-by: renwei wu &lt;renwei.wu@intel.com&gt;\nReviewed-On: https://icggerrit.ir.intel.com/#/c/107267/\nReviewed-on: https://icggerrit.ir.intel.com/107267\nReviewed-by: Xuezhen Zhu &lt;xuezhen.zhu@intel.com&gt;\nBuild: Dessert M BTNS (SC)\nBuild: Dessert M SOFIA (SC)\nBuild: Dessert M BXT RVP (SC)\nReviewed-by: Hongjiang A Zheng &lt;hongjiang.a.zheng@intel.com&gt;\nBuild: Dessert M CHT FFD (SC)\nReviewed-by: Jingzhi Yu &lt;jingzhi.yu@intel.com&gt;\nReviewed-by: Yanyan Li &lt;yanyan.li@intel.com&gt;\nReviewed-by: Kaisa Taipale &lt;kaisa.taipale@intel.com&gt;\nReviewed-by: Jukka O Kaartinen &lt;jukka.o.kaartinen@intel.com&gt;\nReviewed-by: Ukri Niemimuukko &lt;ukri.niemimuukko@intel.com&gt;\nReviewed-by: Miguel Verdu &lt;miguel.verdu@intel.com&gt;\nReviewed-by: Lassi I Vaatamoinen &lt;lassi.i.vaatamoinen@intel.com&gt;\nValidation-Android: Wei Tao &lt;wei.tao@intel.com&gt;\nApprover: Xuezhen Zhu &lt;xuezhen.zhu@intel.com&gt;\nValidation-Android: Dessert M SOFIA (SC)\nIntegrator: WeiX Meng &lt;weix.meng@intel.com&gt;\nReviewed-by: WeiX Meng &lt;weix.meng@intel.com&gt;\n"/>
    <d v="2016-03-12T20:48:00"/>
    <d v="2016-03-17T16:56:00"/>
    <s v="common"/>
    <x v="3"/>
    <d v="2016-03-12T20:48:00"/>
    <s v="Uploaded patch set 1."/>
    <m/>
    <s v="dongdong.zhang@intel.com;weix.meng@intel.com;yanyan.li@intel.com;jingzhi.yu@intel.com;hongjiang.a.zheng@intel.com;xuezhen.zhu@intel.com;miguel.verdu@intel.com;lassi.i.vaatamoinen@intel.com;ukri.niemimuukko@intel.com;jukka.o.kaartinen@intel.com;kaisa.taipale@intel.com;"/>
    <s v="renwei.wu@intel.com"/>
    <x v="2"/>
    <x v="0"/>
    <s v="16'ww12"/>
    <x v="0"/>
    <n v="5"/>
    <n v="0"/>
    <n v="5"/>
    <n v="0"/>
    <n v="3"/>
    <n v="12"/>
    <n v="3"/>
    <x v="0"/>
    <x v="0"/>
    <x v="0"/>
  </r>
  <r>
    <x v="13"/>
    <m/>
    <m/>
    <m/>
    <m/>
    <m/>
    <m/>
    <m/>
    <m/>
    <m/>
    <m/>
    <m/>
    <x v="3"/>
    <d v="2016-03-12T20:48:00"/>
    <s v="Patch Set 1:\n\nPatchset Created: CI job has been scheduled."/>
    <m/>
    <m/>
    <s v="renwei.wu@intel.com"/>
    <x v="2"/>
    <x v="0"/>
    <s v=""/>
    <x v="0"/>
    <s v=""/>
    <s v=""/>
    <s v=""/>
    <s v=""/>
    <s v=""/>
    <s v=""/>
    <s v=""/>
    <x v="0"/>
    <x v="0"/>
    <x v="0"/>
  </r>
  <r>
    <x v="13"/>
    <m/>
    <m/>
    <m/>
    <m/>
    <m/>
    <m/>
    <m/>
    <m/>
    <m/>
    <m/>
    <m/>
    <x v="3"/>
    <d v="2016-03-14T12:58:00"/>
    <s v="Patch Set 2:\n\nPatchset Created: CI job has been scheduled."/>
    <m/>
    <m/>
    <s v="renwei.wu@intel.com"/>
    <x v="2"/>
    <x v="0"/>
    <s v=""/>
    <x v="0"/>
    <s v=""/>
    <s v=""/>
    <s v=""/>
    <s v=""/>
    <s v=""/>
    <s v=""/>
    <s v=""/>
    <x v="0"/>
    <x v="0"/>
    <x v="0"/>
  </r>
  <r>
    <x v="13"/>
    <m/>
    <m/>
    <m/>
    <m/>
    <m/>
    <m/>
    <m/>
    <m/>
    <m/>
    <m/>
    <m/>
    <x v="3"/>
    <d v="2016-03-14T12:58:00"/>
    <s v="Uploaded patch set 2: Commit message was updated."/>
    <m/>
    <m/>
    <s v="renwei.wu@intel.com"/>
    <x v="2"/>
    <x v="0"/>
    <s v=""/>
    <x v="0"/>
    <s v=""/>
    <s v=""/>
    <s v=""/>
    <s v=""/>
    <s v=""/>
    <s v=""/>
    <s v=""/>
    <x v="0"/>
    <x v="0"/>
    <x v="0"/>
  </r>
  <r>
    <x v="13"/>
    <m/>
    <m/>
    <m/>
    <m/>
    <m/>
    <m/>
    <m/>
    <m/>
    <m/>
    <m/>
    <m/>
    <x v="11"/>
    <d v="2016-03-14T15:04:00"/>
    <s v="Patch Set 2: Code-Review-1\n\n(5 comments)\n\nMinor style issues; otherwise fine."/>
    <s v="line1663 :&quot;Not needed.&quot; line231 :&quot;Indent to after (. Also; I would prefer every parameter to be in a separate line but that's more a personal opinion than official guideline I guess :)&quot; line1668 :&quot;returns -&gt; return&quot; line1665 :&quot;r -&gt; R&quot; line1669 :&quot;anycase -&gt; any case&quot;"/>
    <m/>
    <s v="renwei.wu@intel.com"/>
    <x v="2"/>
    <x v="1"/>
    <s v=""/>
    <x v="0"/>
    <s v=""/>
    <s v=""/>
    <s v=""/>
    <s v=""/>
    <s v=""/>
    <s v=""/>
    <s v=""/>
    <x v="1"/>
    <x v="0"/>
    <x v="0"/>
  </r>
  <r>
    <x v="13"/>
    <m/>
    <m/>
    <m/>
    <m/>
    <m/>
    <m/>
    <m/>
    <m/>
    <m/>
    <m/>
    <m/>
    <x v="3"/>
    <d v="2016-03-14T21:48:00"/>
    <s v="Patch Set 3:\n\nPatchset Created: CI job has been scheduled."/>
    <m/>
    <m/>
    <s v="renwei.wu@intel.com"/>
    <x v="2"/>
    <x v="0"/>
    <s v=""/>
    <x v="0"/>
    <s v=""/>
    <s v=""/>
    <s v=""/>
    <s v=""/>
    <s v=""/>
    <s v=""/>
    <s v=""/>
    <x v="0"/>
    <x v="0"/>
    <x v="0"/>
  </r>
  <r>
    <x v="13"/>
    <m/>
    <m/>
    <m/>
    <m/>
    <m/>
    <m/>
    <m/>
    <m/>
    <m/>
    <m/>
    <m/>
    <x v="3"/>
    <d v="2016-03-14T21:48:00"/>
    <s v="Uploaded patch set 3."/>
    <m/>
    <m/>
    <s v="renwei.wu@intel.com"/>
    <x v="2"/>
    <x v="0"/>
    <s v=""/>
    <x v="0"/>
    <s v=""/>
    <s v=""/>
    <s v=""/>
    <s v=""/>
    <s v=""/>
    <s v=""/>
    <s v=""/>
    <x v="0"/>
    <x v="0"/>
    <x v="0"/>
  </r>
  <r>
    <x v="13"/>
    <m/>
    <m/>
    <m/>
    <m/>
    <m/>
    <m/>
    <m/>
    <m/>
    <m/>
    <m/>
    <m/>
    <x v="3"/>
    <d v="2016-03-14T21:49:00"/>
    <s v="Patch Set 4:\n\nPatchset Created: CI job has been scheduled."/>
    <m/>
    <m/>
    <s v="renwei.wu@intel.com"/>
    <x v="2"/>
    <x v="0"/>
    <s v=""/>
    <x v="0"/>
    <s v=""/>
    <s v=""/>
    <s v=""/>
    <s v=""/>
    <s v=""/>
    <s v=""/>
    <s v=""/>
    <x v="0"/>
    <x v="0"/>
    <x v="0"/>
  </r>
  <r>
    <x v="13"/>
    <m/>
    <m/>
    <m/>
    <m/>
    <m/>
    <m/>
    <m/>
    <m/>
    <m/>
    <m/>
    <m/>
    <x v="3"/>
    <d v="2016-03-14T21:49:00"/>
    <s v="Uploaded patch set 4: Commit message was updated."/>
    <m/>
    <m/>
    <s v="renwei.wu@intel.com"/>
    <x v="2"/>
    <x v="0"/>
    <s v=""/>
    <x v="0"/>
    <s v=""/>
    <s v=""/>
    <s v=""/>
    <s v=""/>
    <s v=""/>
    <s v=""/>
    <s v=""/>
    <x v="0"/>
    <x v="0"/>
    <x v="0"/>
  </r>
  <r>
    <x v="13"/>
    <m/>
    <m/>
    <m/>
    <m/>
    <m/>
    <m/>
    <m/>
    <m/>
    <m/>
    <m/>
    <m/>
    <x v="3"/>
    <d v="2016-03-15T11:47:00"/>
    <s v="Uploaded patch set 5."/>
    <m/>
    <m/>
    <s v="renwei.wu@intel.com"/>
    <x v="2"/>
    <x v="0"/>
    <s v=""/>
    <x v="0"/>
    <s v=""/>
    <s v=""/>
    <s v=""/>
    <s v=""/>
    <s v=""/>
    <s v=""/>
    <s v=""/>
    <x v="0"/>
    <x v="0"/>
    <x v="0"/>
  </r>
  <r>
    <x v="13"/>
    <m/>
    <m/>
    <m/>
    <m/>
    <m/>
    <m/>
    <m/>
    <m/>
    <m/>
    <m/>
    <m/>
    <x v="3"/>
    <d v="2016-03-15T11:47:00"/>
    <s v="Patch Set 5:\n\nPatchset Created: CI job has been scheduled."/>
    <m/>
    <m/>
    <s v="renwei.wu@intel.com"/>
    <x v="2"/>
    <x v="0"/>
    <s v=""/>
    <x v="0"/>
    <s v=""/>
    <s v=""/>
    <s v=""/>
    <s v=""/>
    <s v=""/>
    <s v=""/>
    <s v=""/>
    <x v="0"/>
    <x v="0"/>
    <x v="0"/>
  </r>
  <r>
    <x v="13"/>
    <m/>
    <m/>
    <m/>
    <m/>
    <m/>
    <m/>
    <m/>
    <m/>
    <m/>
    <m/>
    <m/>
    <x v="3"/>
    <d v="2016-03-15T12:48:00"/>
    <s v="Uploaded patch set 6."/>
    <m/>
    <m/>
    <s v="renwei.wu@intel.com"/>
    <x v="2"/>
    <x v="0"/>
    <s v=""/>
    <x v="0"/>
    <s v=""/>
    <s v=""/>
    <s v=""/>
    <s v=""/>
    <s v=""/>
    <s v=""/>
    <s v=""/>
    <x v="0"/>
    <x v="0"/>
    <x v="0"/>
  </r>
  <r>
    <x v="13"/>
    <m/>
    <m/>
    <m/>
    <m/>
    <m/>
    <m/>
    <m/>
    <m/>
    <m/>
    <m/>
    <m/>
    <x v="3"/>
    <d v="2016-03-15T12:48:00"/>
    <s v="Patch Set 6:\n\nPatchset Created: CI job has been scheduled."/>
    <m/>
    <m/>
    <s v="renwei.wu@intel.com"/>
    <x v="2"/>
    <x v="0"/>
    <s v=""/>
    <x v="0"/>
    <s v=""/>
    <s v=""/>
    <s v=""/>
    <s v=""/>
    <s v=""/>
    <s v=""/>
    <s v=""/>
    <x v="0"/>
    <x v="0"/>
    <x v="0"/>
  </r>
  <r>
    <x v="13"/>
    <m/>
    <m/>
    <m/>
    <m/>
    <m/>
    <m/>
    <m/>
    <m/>
    <m/>
    <m/>
    <m/>
    <x v="3"/>
    <d v="2016-03-15T13:22:00"/>
    <s v="Patch Set 6: Code-Review+1\n\nport from stable branch:https://android.intel.com/#/c/481050/"/>
    <m/>
    <m/>
    <s v="renwei.wu@intel.com"/>
    <x v="2"/>
    <x v="0"/>
    <s v=""/>
    <x v="0"/>
    <s v=""/>
    <s v=""/>
    <s v=""/>
    <s v=""/>
    <s v=""/>
    <s v=""/>
    <s v=""/>
    <x v="0"/>
    <x v="0"/>
    <x v="0"/>
  </r>
  <r>
    <x v="13"/>
    <m/>
    <m/>
    <m/>
    <m/>
    <m/>
    <m/>
    <m/>
    <m/>
    <m/>
    <m/>
    <m/>
    <x v="2"/>
    <d v="2016-03-15T13:36:00"/>
    <s v="Patch Set 6: Code-Review-1\n\n(2 comments)"/>
    <s v="line294 :&quot;do you think is wise to hard code the name construction to here? Could you ask this from the platform data?&quot; line2756 :&quot;function name is allowed in the error messages&quot;"/>
    <m/>
    <s v="renwei.wu@intel.com"/>
    <x v="2"/>
    <x v="1"/>
    <s v=""/>
    <x v="0"/>
    <s v=""/>
    <s v=""/>
    <s v=""/>
    <s v=""/>
    <s v=""/>
    <s v=""/>
    <s v=""/>
    <x v="1"/>
    <x v="0"/>
    <x v="0"/>
  </r>
  <r>
    <x v="13"/>
    <m/>
    <m/>
    <m/>
    <m/>
    <m/>
    <m/>
    <m/>
    <m/>
    <m/>
    <m/>
    <m/>
    <x v="6"/>
    <d v="2016-03-15T13:52:00"/>
    <s v="Patch Set 6: Code-Review-1\n\nSee my comments in the stable branch version."/>
    <m/>
    <m/>
    <s v="renwei.wu@intel.com"/>
    <x v="2"/>
    <x v="1"/>
    <s v=""/>
    <x v="0"/>
    <s v=""/>
    <s v=""/>
    <s v=""/>
    <s v=""/>
    <s v=""/>
    <s v=""/>
    <s v=""/>
    <x v="1"/>
    <x v="0"/>
    <x v="0"/>
  </r>
  <r>
    <x v="13"/>
    <m/>
    <m/>
    <m/>
    <m/>
    <m/>
    <m/>
    <m/>
    <m/>
    <m/>
    <m/>
    <m/>
    <x v="3"/>
    <d v="2016-03-15T16:47:00"/>
    <s v="Patch Set 7:\n\nPatchset Created: CI job has been scheduled."/>
    <m/>
    <m/>
    <s v="renwei.wu@intel.com"/>
    <x v="2"/>
    <x v="0"/>
    <s v=""/>
    <x v="0"/>
    <s v=""/>
    <s v=""/>
    <s v=""/>
    <s v=""/>
    <s v=""/>
    <s v=""/>
    <s v=""/>
    <x v="0"/>
    <x v="0"/>
    <x v="0"/>
  </r>
  <r>
    <x v="13"/>
    <m/>
    <m/>
    <m/>
    <m/>
    <m/>
    <m/>
    <m/>
    <m/>
    <m/>
    <m/>
    <m/>
    <x v="3"/>
    <d v="2016-03-15T16:47:00"/>
    <s v="Uploaded patch set 7."/>
    <m/>
    <m/>
    <s v="renwei.wu@intel.com"/>
    <x v="2"/>
    <x v="0"/>
    <s v=""/>
    <x v="0"/>
    <s v=""/>
    <s v=""/>
    <s v=""/>
    <s v=""/>
    <s v=""/>
    <s v=""/>
    <s v=""/>
    <x v="0"/>
    <x v="0"/>
    <x v="0"/>
  </r>
  <r>
    <x v="13"/>
    <m/>
    <m/>
    <m/>
    <m/>
    <m/>
    <m/>
    <m/>
    <m/>
    <m/>
    <m/>
    <m/>
    <x v="3"/>
    <d v="2016-03-15T16:52:00"/>
    <s v="Patch Set 6:\n\n(2 comments)"/>
    <s v="line294 :&quot;move to platformdata:getAiqdFileName&quot; line2756 :&quot;Done&quot;"/>
    <m/>
    <s v="renwei.wu@intel.com"/>
    <x v="2"/>
    <x v="0"/>
    <s v=""/>
    <x v="0"/>
    <s v=""/>
    <s v=""/>
    <s v=""/>
    <s v=""/>
    <s v=""/>
    <s v=""/>
    <s v=""/>
    <x v="0"/>
    <x v="0"/>
    <x v="0"/>
  </r>
  <r>
    <x v="13"/>
    <m/>
    <m/>
    <m/>
    <m/>
    <m/>
    <m/>
    <m/>
    <m/>
    <m/>
    <m/>
    <m/>
    <x v="3"/>
    <d v="2016-03-15T16:52:00"/>
    <s v="Patch Set 6:\n\nreloaded."/>
    <m/>
    <m/>
    <s v="renwei.wu@intel.com"/>
    <x v="2"/>
    <x v="0"/>
    <s v=""/>
    <x v="0"/>
    <s v=""/>
    <s v=""/>
    <s v=""/>
    <s v=""/>
    <s v=""/>
    <s v=""/>
    <s v=""/>
    <x v="0"/>
    <x v="0"/>
    <x v="0"/>
  </r>
  <r>
    <x v="13"/>
    <m/>
    <m/>
    <m/>
    <m/>
    <m/>
    <m/>
    <m/>
    <m/>
    <m/>
    <m/>
    <m/>
    <x v="2"/>
    <d v="2016-03-15T18:30:00"/>
    <s v="Patch Set 7:\n\n(1 comment)"/>
    <s v="line267 :&quot;would it be nicer to add new function to enable this feature?&quot;"/>
    <m/>
    <s v="renwei.wu@intel.com"/>
    <x v="2"/>
    <x v="1"/>
    <s v=""/>
    <x v="0"/>
    <s v=""/>
    <s v=""/>
    <s v=""/>
    <s v=""/>
    <s v=""/>
    <s v=""/>
    <s v=""/>
    <x v="0"/>
    <x v="0"/>
    <x v="0"/>
  </r>
  <r>
    <x v="13"/>
    <m/>
    <m/>
    <m/>
    <m/>
    <m/>
    <m/>
    <m/>
    <m/>
    <m/>
    <m/>
    <m/>
    <x v="3"/>
    <d v="2016-03-15T18:36:00"/>
    <s v="Patch Set 7:\n\n(1 comment)"/>
    <s v="line267 :&quot;You can see the iia_aiq_init is in initAIQ; the aiqd data has to be passed to AIQ library in this init function.&quot;"/>
    <m/>
    <s v="renwei.wu@intel.com"/>
    <x v="2"/>
    <x v="0"/>
    <s v=""/>
    <x v="0"/>
    <s v=""/>
    <s v=""/>
    <s v=""/>
    <s v=""/>
    <s v=""/>
    <s v=""/>
    <s v=""/>
    <x v="0"/>
    <x v="0"/>
    <x v="0"/>
  </r>
  <r>
    <x v="13"/>
    <m/>
    <m/>
    <m/>
    <m/>
    <m/>
    <m/>
    <m/>
    <m/>
    <m/>
    <m/>
    <m/>
    <x v="12"/>
    <d v="2016-03-15T18:41:00"/>
    <s v="Patch Set 7: Code-Review-1\n\n(2 comments)\n\nminor cosmetic notes"/>
    <s v="line537 :&quot;this is redundant; can be removed&quot; line541 :&quot;'\\param'; also you can remove the semi-colon&quot;"/>
    <m/>
    <s v="renwei.wu@intel.com"/>
    <x v="2"/>
    <x v="1"/>
    <s v=""/>
    <x v="0"/>
    <s v=""/>
    <s v=""/>
    <s v=""/>
    <s v=""/>
    <s v=""/>
    <s v=""/>
    <s v=""/>
    <x v="1"/>
    <x v="0"/>
    <x v="0"/>
  </r>
  <r>
    <x v="13"/>
    <m/>
    <m/>
    <m/>
    <m/>
    <m/>
    <m/>
    <m/>
    <m/>
    <m/>
    <m/>
    <m/>
    <x v="0"/>
    <d v="2016-03-15T21:43:00"/>
    <s v="Patch Set 7: Code-Review+1"/>
    <m/>
    <m/>
    <s v="renwei.wu@intel.com"/>
    <x v="2"/>
    <x v="1"/>
    <s v=""/>
    <x v="0"/>
    <s v=""/>
    <s v=""/>
    <s v=""/>
    <s v=""/>
    <s v=""/>
    <s v=""/>
    <s v=""/>
    <x v="0"/>
    <x v="0"/>
    <x v="0"/>
  </r>
  <r>
    <x v="13"/>
    <m/>
    <m/>
    <m/>
    <m/>
    <m/>
    <m/>
    <m/>
    <m/>
    <m/>
    <m/>
    <m/>
    <x v="0"/>
    <d v="2016-03-15T21:46:00"/>
    <s v="Patch Set 7: Code-Review-1"/>
    <m/>
    <m/>
    <s v="renwei.wu@intel.com"/>
    <x v="2"/>
    <x v="1"/>
    <s v=""/>
    <x v="0"/>
    <s v=""/>
    <s v=""/>
    <s v=""/>
    <s v=""/>
    <s v=""/>
    <s v=""/>
    <s v=""/>
    <x v="1"/>
    <x v="0"/>
    <x v="0"/>
  </r>
  <r>
    <x v="13"/>
    <m/>
    <m/>
    <m/>
    <m/>
    <m/>
    <m/>
    <m/>
    <m/>
    <m/>
    <m/>
    <m/>
    <x v="3"/>
    <d v="2016-03-16T00:12:00"/>
    <s v="Patch Set 8:\n\nPatchset Created: CI job has been scheduled."/>
    <m/>
    <m/>
    <s v="renwei.wu@intel.com"/>
    <x v="2"/>
    <x v="0"/>
    <s v=""/>
    <x v="0"/>
    <s v=""/>
    <s v=""/>
    <s v=""/>
    <s v=""/>
    <s v=""/>
    <s v=""/>
    <s v=""/>
    <x v="0"/>
    <x v="0"/>
    <x v="0"/>
  </r>
  <r>
    <x v="13"/>
    <m/>
    <m/>
    <m/>
    <m/>
    <m/>
    <m/>
    <m/>
    <m/>
    <m/>
    <m/>
    <m/>
    <x v="3"/>
    <d v="2016-03-16T00:12:00"/>
    <s v="Uploaded patch set 8."/>
    <m/>
    <m/>
    <s v="renwei.wu@intel.com"/>
    <x v="2"/>
    <x v="0"/>
    <s v=""/>
    <x v="0"/>
    <s v=""/>
    <s v=""/>
    <s v=""/>
    <s v=""/>
    <s v=""/>
    <s v=""/>
    <s v=""/>
    <x v="0"/>
    <x v="0"/>
    <x v="0"/>
  </r>
  <r>
    <x v="13"/>
    <m/>
    <m/>
    <m/>
    <m/>
    <m/>
    <m/>
    <m/>
    <m/>
    <m/>
    <m/>
    <m/>
    <x v="3"/>
    <d v="2016-03-16T09:24:00"/>
    <s v="Patch Set 9:\n\nPatchset Created: CI job has been scheduled."/>
    <m/>
    <m/>
    <s v="renwei.wu@intel.com"/>
    <x v="2"/>
    <x v="0"/>
    <s v=""/>
    <x v="0"/>
    <s v=""/>
    <s v=""/>
    <s v=""/>
    <s v=""/>
    <s v=""/>
    <s v=""/>
    <s v=""/>
    <x v="0"/>
    <x v="0"/>
    <x v="0"/>
  </r>
  <r>
    <x v="13"/>
    <m/>
    <m/>
    <m/>
    <m/>
    <m/>
    <m/>
    <m/>
    <m/>
    <m/>
    <m/>
    <m/>
    <x v="3"/>
    <d v="2016-03-16T09:24:00"/>
    <s v="Uploaded patch set 9."/>
    <m/>
    <m/>
    <s v="renwei.wu@intel.com"/>
    <x v="2"/>
    <x v="0"/>
    <s v=""/>
    <x v="0"/>
    <s v=""/>
    <s v=""/>
    <s v=""/>
    <s v=""/>
    <s v=""/>
    <s v=""/>
    <s v=""/>
    <x v="0"/>
    <x v="0"/>
    <x v="0"/>
  </r>
  <r>
    <x v="13"/>
    <m/>
    <m/>
    <m/>
    <m/>
    <m/>
    <m/>
    <m/>
    <m/>
    <m/>
    <m/>
    <m/>
    <x v="3"/>
    <d v="2016-03-16T09:26:00"/>
    <s v="Patch Set 9: Code-Review+1"/>
    <m/>
    <m/>
    <s v="renwei.wu@intel.com"/>
    <x v="2"/>
    <x v="0"/>
    <s v=""/>
    <x v="0"/>
    <s v=""/>
    <s v=""/>
    <s v=""/>
    <s v=""/>
    <s v=""/>
    <s v=""/>
    <s v=""/>
    <x v="0"/>
    <x v="0"/>
    <x v="0"/>
  </r>
  <r>
    <x v="13"/>
    <m/>
    <m/>
    <m/>
    <m/>
    <m/>
    <m/>
    <m/>
    <m/>
    <m/>
    <m/>
    <m/>
    <x v="22"/>
    <d v="2016-03-16T09:38:00"/>
    <s v="Patch Set 9: Code-Review+1"/>
    <m/>
    <m/>
    <s v="renwei.wu@intel.com"/>
    <x v="2"/>
    <x v="2"/>
    <s v=""/>
    <x v="0"/>
    <s v=""/>
    <s v=""/>
    <s v=""/>
    <s v=""/>
    <s v=""/>
    <s v=""/>
    <s v=""/>
    <x v="0"/>
    <x v="0"/>
    <x v="0"/>
  </r>
  <r>
    <x v="13"/>
    <m/>
    <m/>
    <m/>
    <m/>
    <m/>
    <m/>
    <m/>
    <m/>
    <m/>
    <m/>
    <m/>
    <x v="15"/>
    <d v="2016-03-16T10:21:00"/>
    <s v="Patch Set 9: Code-Review+1"/>
    <m/>
    <m/>
    <s v="renwei.wu@intel.com"/>
    <x v="2"/>
    <x v="4"/>
    <s v=""/>
    <x v="0"/>
    <s v=""/>
    <s v=""/>
    <s v=""/>
    <s v=""/>
    <s v=""/>
    <s v=""/>
    <s v=""/>
    <x v="0"/>
    <x v="0"/>
    <x v="0"/>
  </r>
  <r>
    <x v="13"/>
    <m/>
    <m/>
    <m/>
    <m/>
    <m/>
    <m/>
    <m/>
    <m/>
    <m/>
    <m/>
    <m/>
    <x v="16"/>
    <d v="2016-03-16T11:03:00"/>
    <s v="Patch Set 9:\n\n(1 comment)\n\nthe same implementation in ipu2; can we extract them into common part?"/>
    <s v="line544 :&quot;there is also one similar function in ipu2; should be cleaned up.&quot;"/>
    <m/>
    <s v="renwei.wu@intel.com"/>
    <x v="2"/>
    <x v="4"/>
    <s v=""/>
    <x v="0"/>
    <s v=""/>
    <s v=""/>
    <s v=""/>
    <s v=""/>
    <s v=""/>
    <s v=""/>
    <s v=""/>
    <x v="0"/>
    <x v="0"/>
    <x v="0"/>
  </r>
  <r>
    <x v="13"/>
    <m/>
    <m/>
    <m/>
    <m/>
    <m/>
    <m/>
    <m/>
    <m/>
    <m/>
    <m/>
    <m/>
    <x v="16"/>
    <d v="2016-03-16T11:25:00"/>
    <s v="Patch Set 9: Code-Review+1"/>
    <m/>
    <m/>
    <s v="renwei.wu@intel.com"/>
    <x v="2"/>
    <x v="4"/>
    <s v=""/>
    <x v="0"/>
    <s v=""/>
    <s v=""/>
    <s v=""/>
    <s v=""/>
    <s v=""/>
    <s v=""/>
    <s v=""/>
    <x v="0"/>
    <x v="0"/>
    <x v="0"/>
  </r>
  <r>
    <x v="13"/>
    <m/>
    <m/>
    <m/>
    <m/>
    <m/>
    <m/>
    <m/>
    <m/>
    <m/>
    <m/>
    <m/>
    <x v="23"/>
    <d v="2016-03-16T12:58:00"/>
    <s v="Patch Set 9: Code-Review+1"/>
    <m/>
    <m/>
    <s v="renwei.wu@intel.com"/>
    <x v="2"/>
    <x v="2"/>
    <s v=""/>
    <x v="0"/>
    <s v=""/>
    <s v=""/>
    <s v=""/>
    <s v=""/>
    <s v=""/>
    <s v=""/>
    <s v=""/>
    <x v="0"/>
    <x v="0"/>
    <x v="0"/>
  </r>
  <r>
    <x v="13"/>
    <m/>
    <m/>
    <m/>
    <m/>
    <m/>
    <m/>
    <m/>
    <m/>
    <m/>
    <m/>
    <m/>
    <x v="11"/>
    <d v="2016-03-16T14:32:00"/>
    <s v="Patch Set 9: Code-Review+1"/>
    <m/>
    <m/>
    <s v="renwei.wu@intel.com"/>
    <x v="2"/>
    <x v="1"/>
    <s v=""/>
    <x v="0"/>
    <s v=""/>
    <s v=""/>
    <s v=""/>
    <s v=""/>
    <s v=""/>
    <s v=""/>
    <s v=""/>
    <x v="0"/>
    <x v="0"/>
    <x v="0"/>
  </r>
  <r>
    <x v="13"/>
    <m/>
    <m/>
    <m/>
    <m/>
    <m/>
    <m/>
    <m/>
    <m/>
    <m/>
    <m/>
    <m/>
    <x v="2"/>
    <d v="2016-03-16T14:34:00"/>
    <s v="Patch Set 9: Code-Review+1"/>
    <m/>
    <m/>
    <s v="renwei.wu@intel.com"/>
    <x v="2"/>
    <x v="1"/>
    <s v=""/>
    <x v="0"/>
    <s v=""/>
    <s v=""/>
    <s v=""/>
    <s v=""/>
    <s v=""/>
    <s v=""/>
    <s v=""/>
    <x v="0"/>
    <x v="0"/>
    <x v="0"/>
  </r>
  <r>
    <x v="13"/>
    <m/>
    <m/>
    <m/>
    <m/>
    <m/>
    <m/>
    <m/>
    <m/>
    <m/>
    <m/>
    <m/>
    <x v="6"/>
    <d v="2016-03-16T14:53:00"/>
    <s v="Patch Set 9: Code-Review+1"/>
    <m/>
    <m/>
    <s v="renwei.wu@intel.com"/>
    <x v="2"/>
    <x v="1"/>
    <s v=""/>
    <x v="0"/>
    <s v=""/>
    <s v=""/>
    <s v=""/>
    <s v=""/>
    <s v=""/>
    <s v=""/>
    <s v=""/>
    <x v="0"/>
    <x v="0"/>
    <x v="0"/>
  </r>
  <r>
    <x v="13"/>
    <m/>
    <m/>
    <m/>
    <m/>
    <m/>
    <m/>
    <m/>
    <m/>
    <m/>
    <m/>
    <m/>
    <x v="0"/>
    <d v="2016-03-16T15:02:00"/>
    <s v="Patch Set 9: Code-Review+1"/>
    <m/>
    <m/>
    <s v="renwei.wu@intel.com"/>
    <x v="2"/>
    <x v="1"/>
    <s v=""/>
    <x v="0"/>
    <s v=""/>
    <s v=""/>
    <s v=""/>
    <s v=""/>
    <s v=""/>
    <s v=""/>
    <s v=""/>
    <x v="0"/>
    <x v="0"/>
    <x v="0"/>
  </r>
  <r>
    <x v="13"/>
    <m/>
    <m/>
    <m/>
    <m/>
    <m/>
    <m/>
    <m/>
    <m/>
    <m/>
    <m/>
    <m/>
    <x v="12"/>
    <d v="2016-03-16T15:21:00"/>
    <s v="Patch Set 9: Code-Review+1"/>
    <m/>
    <m/>
    <s v="renwei.wu@intel.com"/>
    <x v="2"/>
    <x v="1"/>
    <s v=""/>
    <x v="0"/>
    <s v=""/>
    <s v=""/>
    <s v=""/>
    <s v=""/>
    <s v=""/>
    <s v=""/>
    <s v=""/>
    <x v="0"/>
    <x v="0"/>
    <x v="0"/>
  </r>
  <r>
    <x v="13"/>
    <m/>
    <m/>
    <m/>
    <m/>
    <m/>
    <m/>
    <m/>
    <m/>
    <m/>
    <m/>
    <m/>
    <x v="14"/>
    <d v="2016-03-16T15:56:00"/>
    <s v="Patch Set 9: Validation-Android+1\n\nreceive smoke test"/>
    <m/>
    <m/>
    <s v="renwei.wu@intel.com"/>
    <x v="2"/>
    <x v="5"/>
    <s v=""/>
    <x v="0"/>
    <s v=""/>
    <s v=""/>
    <s v=""/>
    <s v=""/>
    <s v=""/>
    <s v=""/>
    <s v=""/>
    <x v="0"/>
    <x v="1"/>
    <x v="0"/>
  </r>
  <r>
    <x v="13"/>
    <m/>
    <m/>
    <m/>
    <m/>
    <m/>
    <m/>
    <m/>
    <m/>
    <m/>
    <m/>
    <m/>
    <x v="22"/>
    <d v="2016-03-16T16:27:00"/>
    <s v="Patch Set 9: Approver+1"/>
    <m/>
    <m/>
    <s v="renwei.wu@intel.com"/>
    <x v="2"/>
    <x v="2"/>
    <s v=""/>
    <x v="0"/>
    <s v=""/>
    <s v=""/>
    <s v=""/>
    <s v=""/>
    <s v=""/>
    <s v=""/>
    <s v=""/>
    <x v="0"/>
    <x v="0"/>
    <x v="0"/>
  </r>
  <r>
    <x v="13"/>
    <m/>
    <m/>
    <m/>
    <m/>
    <m/>
    <m/>
    <m/>
    <m/>
    <m/>
    <m/>
    <m/>
    <x v="9"/>
    <d v="2016-03-17T09:20:00"/>
    <s v="Patch Set 9: Integrator+1\n\nIntegrator +1; patch will be add to PT; please no change now"/>
    <m/>
    <m/>
    <s v="renwei.wu@intel.com"/>
    <x v="2"/>
    <x v="5"/>
    <s v=""/>
    <x v="0"/>
    <s v=""/>
    <s v=""/>
    <s v=""/>
    <s v=""/>
    <s v=""/>
    <s v=""/>
    <s v=""/>
    <x v="0"/>
    <x v="1"/>
    <x v="0"/>
  </r>
  <r>
    <x v="13"/>
    <m/>
    <m/>
    <m/>
    <m/>
    <m/>
    <m/>
    <m/>
    <m/>
    <m/>
    <m/>
    <m/>
    <x v="9"/>
    <d v="2016-03-17T16:55:00"/>
    <s v="Patch Set 9: Code-Review+1\n\nPassed PIT; ready for merge"/>
    <m/>
    <m/>
    <s v="renwei.wu@intel.com"/>
    <x v="2"/>
    <x v="5"/>
    <s v=""/>
    <x v="0"/>
    <s v=""/>
    <s v=""/>
    <s v=""/>
    <s v=""/>
    <s v=""/>
    <s v=""/>
    <s v=""/>
    <x v="0"/>
    <x v="0"/>
    <x v="0"/>
  </r>
  <r>
    <x v="13"/>
    <m/>
    <m/>
    <m/>
    <m/>
    <m/>
    <m/>
    <m/>
    <m/>
    <m/>
    <m/>
    <m/>
    <x v="10"/>
    <d v="2016-03-25T18:14:00"/>
    <s v="Patch Set 10:\n\nThe patch has been successfully merged into r6_legacy with https://android.intel.com/486351"/>
    <m/>
    <m/>
    <s v="renwei.wu@intel.com"/>
    <x v="2"/>
    <x v="5"/>
    <s v=""/>
    <x v="0"/>
    <s v=""/>
    <s v=""/>
    <s v=""/>
    <s v=""/>
    <s v=""/>
    <s v=""/>
    <s v=""/>
    <x v="0"/>
    <x v="0"/>
    <x v="0"/>
  </r>
  <r>
    <x v="13"/>
    <m/>
    <m/>
    <m/>
    <m/>
    <m/>
    <m/>
    <m/>
    <m/>
    <m/>
    <m/>
    <m/>
    <x v="10"/>
    <d v="2016-03-30T16:43:00"/>
    <s v="Patch Set 10:\n\nThe patch has been successfully merged into 1A master with https://android.intel.com/483489"/>
    <m/>
    <m/>
    <s v="renwei.wu@intel.com"/>
    <x v="2"/>
    <x v="5"/>
    <s v=""/>
    <x v="0"/>
    <s v=""/>
    <s v=""/>
    <s v=""/>
    <s v=""/>
    <s v=""/>
    <s v=""/>
    <s v=""/>
    <x v="0"/>
    <x v="0"/>
    <x v="0"/>
  </r>
  <r>
    <x v="14"/>
    <n v="106172"/>
    <s v="vied-viedandr-camera3hal"/>
    <s v="platform/android/main"/>
    <s v="I2b75b88145e988ad2320f24424db86ee4ba9c308"/>
    <s v="haipingx.yang@intel.com"/>
    <s v="MERGED"/>
    <s v="c3:common: Modify atrace outputs in buffer done callback"/>
    <s v="c3:common: Modify atrace outputs in buffer done callback\n\nTo measure the frame interval for each stream; atrace outputs\nalso stream id besides request id in buffer done callback to\nframework. The higher 4 bit is used for the stream id; while\nthe lower 28 bit is used for the request id.\n\nChange-Id: I2b75b88145e988ad2320f24424db86ee4ba9c308\nTracked-On: #H1504177749\nSigned-off-by: Yang Haiping &lt;haipingx.yang@intel.com&gt;\nReviewed-on: https://icggerrit.ir.intel.com/106172\nReviewed-by: Jukka O Kaartinen &lt;jukka.o.kaartinen@intel.com&gt;\nReviewed-by: Gang A Hu &lt;gang.a.hu@intel.com&gt;\nReviewed-by: Jingzhi Yu &lt;jingzhi.yu@intel.com&gt;\nReviewed-by: Juha Alanen &lt;juha.alanen@intel.com&gt;\nReviewed-by: Hongyu Yi &lt;hongyu.yi@intel.com&gt;\nReviewed-by: Renwei Wu &lt;renwei.wu@intel.com&gt;\nApprover: Gang A Hu &lt;gang.a.hu@intel.com&gt;\nReviewed-by: WeiX Meng &lt;weix.meng@intel.com&gt;\nIntegrator: WeiX Meng &lt;weix.meng@intel.com&gt;\n"/>
    <d v="2016-03-08T11:44:00"/>
    <d v="2016-03-17T16:58:00"/>
    <s v="common"/>
    <x v="24"/>
    <d v="2016-03-08T11:44:00"/>
    <s v="Uploaded patch set 1."/>
    <m/>
    <s v="dongdong.zhang@intel.com;juha.alanen@intel.com;weix.meng@intel.com;anttu.koski@intel.com;jingzhi.yu@intel.com;renwei.wu@intel.com;miguel.verdu@intel.com;ukri.niemimuukko@intel.com;jukka.o.kaartinen@intel.com;gang.a.hu@intel.com;hongjiang.a.zheng@intel.com;hongyu.yi@intel.com;"/>
    <s v="haipingx.yang@intel.com"/>
    <x v="3"/>
    <x v="0"/>
    <s v="16'ww12"/>
    <x v="0"/>
    <n v="2"/>
    <n v="1"/>
    <n v="1"/>
    <n v="0"/>
    <n v="12"/>
    <n v="8"/>
    <n v="2"/>
    <x v="0"/>
    <x v="0"/>
    <x v="0"/>
  </r>
  <r>
    <x v="14"/>
    <m/>
    <m/>
    <m/>
    <m/>
    <m/>
    <m/>
    <m/>
    <m/>
    <m/>
    <m/>
    <m/>
    <x v="24"/>
    <d v="2016-03-08T11:44:00"/>
    <s v="Patch Set 1:\n\nPatchset Created: CI job has been scheduled."/>
    <m/>
    <m/>
    <s v="haipingx.yang@intel.com"/>
    <x v="3"/>
    <x v="0"/>
    <s v=""/>
    <x v="0"/>
    <s v=""/>
    <s v=""/>
    <s v=""/>
    <s v=""/>
    <s v=""/>
    <s v=""/>
    <s v=""/>
    <x v="0"/>
    <x v="0"/>
    <x v="0"/>
  </r>
  <r>
    <x v="14"/>
    <m/>
    <m/>
    <m/>
    <m/>
    <m/>
    <m/>
    <m/>
    <m/>
    <m/>
    <m/>
    <m/>
    <x v="25"/>
    <d v="2016-03-08T14:55:00"/>
    <s v="Patch Set 1: Code-Review-1"/>
    <m/>
    <m/>
    <s v="haipingx.yang@intel.com"/>
    <x v="3"/>
    <x v="4"/>
    <s v=""/>
    <x v="0"/>
    <s v=""/>
    <s v=""/>
    <s v=""/>
    <s v=""/>
    <s v=""/>
    <s v=""/>
    <s v=""/>
    <x v="1"/>
    <x v="0"/>
    <x v="0"/>
  </r>
  <r>
    <x v="14"/>
    <m/>
    <m/>
    <m/>
    <m/>
    <m/>
    <m/>
    <m/>
    <m/>
    <m/>
    <m/>
    <m/>
    <x v="25"/>
    <d v="2016-03-08T15:00:00"/>
    <s v="Patch Set 1:\n\nNo need to add another atrace micro.\nWe could still use the original micro; to output both request id and stream id; for example; left shift xxbit for stream id."/>
    <m/>
    <m/>
    <s v="haipingx.yang@intel.com"/>
    <x v="3"/>
    <x v="4"/>
    <s v=""/>
    <x v="0"/>
    <s v=""/>
    <s v=""/>
    <s v=""/>
    <s v=""/>
    <s v=""/>
    <s v=""/>
    <s v=""/>
    <x v="0"/>
    <x v="0"/>
    <x v="0"/>
  </r>
  <r>
    <x v="14"/>
    <m/>
    <m/>
    <m/>
    <m/>
    <m/>
    <m/>
    <m/>
    <m/>
    <m/>
    <m/>
    <m/>
    <x v="24"/>
    <d v="2016-03-08T15:29:00"/>
    <s v="Patch Set 2:\n\nPatchset Created: CI job has been scheduled."/>
    <m/>
    <m/>
    <s v="haipingx.yang@intel.com"/>
    <x v="3"/>
    <x v="0"/>
    <s v=""/>
    <x v="0"/>
    <s v=""/>
    <s v=""/>
    <s v=""/>
    <s v=""/>
    <s v=""/>
    <s v=""/>
    <s v=""/>
    <x v="0"/>
    <x v="0"/>
    <x v="0"/>
  </r>
  <r>
    <x v="14"/>
    <m/>
    <m/>
    <m/>
    <m/>
    <m/>
    <m/>
    <m/>
    <m/>
    <m/>
    <m/>
    <m/>
    <x v="24"/>
    <d v="2016-03-08T15:29:00"/>
    <s v="Uploaded patch set 2."/>
    <m/>
    <m/>
    <s v="haipingx.yang@intel.com"/>
    <x v="3"/>
    <x v="0"/>
    <s v=""/>
    <x v="0"/>
    <s v=""/>
    <s v=""/>
    <s v=""/>
    <s v=""/>
    <s v=""/>
    <s v=""/>
    <s v=""/>
    <x v="0"/>
    <x v="0"/>
    <x v="0"/>
  </r>
  <r>
    <x v="14"/>
    <m/>
    <m/>
    <m/>
    <m/>
    <m/>
    <m/>
    <m/>
    <m/>
    <m/>
    <m/>
    <m/>
    <x v="24"/>
    <d v="2016-03-08T15:47:00"/>
    <s v="Patch Set 3:\n\nPatchset Created: CI job has been scheduled."/>
    <m/>
    <m/>
    <s v="haipingx.yang@intel.com"/>
    <x v="3"/>
    <x v="0"/>
    <s v=""/>
    <x v="0"/>
    <s v=""/>
    <s v=""/>
    <s v=""/>
    <s v=""/>
    <s v=""/>
    <s v=""/>
    <s v=""/>
    <x v="0"/>
    <x v="0"/>
    <x v="0"/>
  </r>
  <r>
    <x v="14"/>
    <m/>
    <m/>
    <m/>
    <m/>
    <m/>
    <m/>
    <m/>
    <m/>
    <m/>
    <m/>
    <m/>
    <x v="24"/>
    <d v="2016-03-08T15:47:00"/>
    <s v="Uploaded patch set 3: Commit message was updated."/>
    <m/>
    <m/>
    <s v="haipingx.yang@intel.com"/>
    <x v="3"/>
    <x v="0"/>
    <s v=""/>
    <x v="0"/>
    <s v=""/>
    <s v=""/>
    <s v=""/>
    <s v=""/>
    <s v=""/>
    <s v=""/>
    <s v=""/>
    <x v="0"/>
    <x v="0"/>
    <x v="0"/>
  </r>
  <r>
    <x v="14"/>
    <m/>
    <m/>
    <m/>
    <m/>
    <m/>
    <m/>
    <m/>
    <m/>
    <m/>
    <m/>
    <m/>
    <x v="24"/>
    <d v="2016-03-08T15:48:00"/>
    <s v="Patch Set 3: Code-Review+1"/>
    <m/>
    <m/>
    <s v="haipingx.yang@intel.com"/>
    <x v="3"/>
    <x v="0"/>
    <s v=""/>
    <x v="0"/>
    <s v=""/>
    <s v=""/>
    <s v=""/>
    <s v=""/>
    <s v=""/>
    <s v=""/>
    <s v=""/>
    <x v="0"/>
    <x v="0"/>
    <x v="0"/>
  </r>
  <r>
    <x v="14"/>
    <m/>
    <m/>
    <m/>
    <m/>
    <m/>
    <m/>
    <m/>
    <m/>
    <m/>
    <m/>
    <m/>
    <x v="25"/>
    <d v="2016-03-08T15:50:00"/>
    <s v="Patch Set 3: Code-Review+1"/>
    <m/>
    <m/>
    <s v="haipingx.yang@intel.com"/>
    <x v="3"/>
    <x v="4"/>
    <s v=""/>
    <x v="0"/>
    <s v=""/>
    <s v=""/>
    <s v=""/>
    <s v=""/>
    <s v=""/>
    <s v=""/>
    <s v=""/>
    <x v="0"/>
    <x v="0"/>
    <x v="0"/>
  </r>
  <r>
    <x v="14"/>
    <m/>
    <m/>
    <m/>
    <m/>
    <m/>
    <m/>
    <m/>
    <m/>
    <m/>
    <m/>
    <m/>
    <x v="15"/>
    <d v="2016-03-08T16:16:00"/>
    <s v="Patch Set 3: Code-Review+1"/>
    <m/>
    <m/>
    <s v="haipingx.yang@intel.com"/>
    <x v="3"/>
    <x v="4"/>
    <s v=""/>
    <x v="0"/>
    <s v=""/>
    <s v=""/>
    <s v=""/>
    <s v=""/>
    <s v=""/>
    <s v=""/>
    <s v=""/>
    <x v="0"/>
    <x v="0"/>
    <x v="0"/>
  </r>
  <r>
    <x v="14"/>
    <m/>
    <m/>
    <m/>
    <m/>
    <m/>
    <m/>
    <m/>
    <m/>
    <m/>
    <m/>
    <m/>
    <x v="13"/>
    <d v="2016-03-08T16:30:00"/>
    <s v="Patch Set 3: Code-Review+1"/>
    <m/>
    <m/>
    <s v="haipingx.yang@intel.com"/>
    <x v="3"/>
    <x v="4"/>
    <s v=""/>
    <x v="0"/>
    <s v=""/>
    <s v=""/>
    <s v=""/>
    <s v=""/>
    <s v=""/>
    <s v=""/>
    <s v=""/>
    <x v="0"/>
    <x v="0"/>
    <x v="0"/>
  </r>
  <r>
    <x v="14"/>
    <m/>
    <m/>
    <m/>
    <m/>
    <m/>
    <m/>
    <m/>
    <m/>
    <m/>
    <m/>
    <m/>
    <x v="2"/>
    <d v="2016-03-08T16:48:00"/>
    <s v="Patch Set 3: Code-Review-1\n\n(2 comments)"/>
    <s v="line15 :&quot;HSD-ES: -&gt; #H&quot; line420 :&quot;add spaces around the operators | and &lt;&lt;&quot;"/>
    <m/>
    <s v="haipingx.yang@intel.com"/>
    <x v="3"/>
    <x v="1"/>
    <s v=""/>
    <x v="0"/>
    <s v=""/>
    <s v=""/>
    <s v=""/>
    <s v=""/>
    <s v=""/>
    <s v=""/>
    <s v=""/>
    <x v="1"/>
    <x v="0"/>
    <x v="0"/>
  </r>
  <r>
    <x v="14"/>
    <m/>
    <m/>
    <m/>
    <m/>
    <m/>
    <m/>
    <m/>
    <m/>
    <m/>
    <m/>
    <m/>
    <x v="24"/>
    <d v="2016-03-08T16:56:00"/>
    <s v="Patch Set 4:\n\nPatchset Created: CI job has been scheduled."/>
    <m/>
    <m/>
    <s v="haipingx.yang@intel.com"/>
    <x v="3"/>
    <x v="0"/>
    <s v=""/>
    <x v="0"/>
    <s v=""/>
    <s v=""/>
    <s v=""/>
    <s v=""/>
    <s v=""/>
    <s v=""/>
    <s v=""/>
    <x v="0"/>
    <x v="0"/>
    <x v="0"/>
  </r>
  <r>
    <x v="14"/>
    <m/>
    <m/>
    <m/>
    <m/>
    <m/>
    <m/>
    <m/>
    <m/>
    <m/>
    <m/>
    <m/>
    <x v="24"/>
    <d v="2016-03-08T16:56:00"/>
    <s v="Uploaded patch set 4."/>
    <m/>
    <m/>
    <s v="haipingx.yang@intel.com"/>
    <x v="3"/>
    <x v="0"/>
    <s v=""/>
    <x v="0"/>
    <s v=""/>
    <s v=""/>
    <s v=""/>
    <s v=""/>
    <s v=""/>
    <s v=""/>
    <s v=""/>
    <x v="0"/>
    <x v="0"/>
    <x v="0"/>
  </r>
  <r>
    <x v="14"/>
    <m/>
    <m/>
    <m/>
    <m/>
    <m/>
    <m/>
    <m/>
    <m/>
    <m/>
    <m/>
    <m/>
    <x v="24"/>
    <d v="2016-03-08T16:59:00"/>
    <s v="Patch Set 4: Code-Review+1"/>
    <m/>
    <m/>
    <s v="haipingx.yang@intel.com"/>
    <x v="3"/>
    <x v="0"/>
    <s v=""/>
    <x v="0"/>
    <s v=""/>
    <s v=""/>
    <s v=""/>
    <s v=""/>
    <s v=""/>
    <s v=""/>
    <s v=""/>
    <x v="0"/>
    <x v="0"/>
    <x v="0"/>
  </r>
  <r>
    <x v="14"/>
    <m/>
    <m/>
    <m/>
    <m/>
    <m/>
    <m/>
    <m/>
    <m/>
    <m/>
    <m/>
    <m/>
    <x v="24"/>
    <d v="2016-03-08T17:12:00"/>
    <s v="Patch Set 5:\n\nPatchset Created: CI job has been scheduled."/>
    <m/>
    <m/>
    <s v="haipingx.yang@intel.com"/>
    <x v="3"/>
    <x v="0"/>
    <s v=""/>
    <x v="0"/>
    <s v=""/>
    <s v=""/>
    <s v=""/>
    <s v=""/>
    <s v=""/>
    <s v=""/>
    <s v=""/>
    <x v="0"/>
    <x v="0"/>
    <x v="0"/>
  </r>
  <r>
    <x v="14"/>
    <m/>
    <m/>
    <m/>
    <m/>
    <m/>
    <m/>
    <m/>
    <m/>
    <m/>
    <m/>
    <m/>
    <x v="24"/>
    <d v="2016-03-08T17:12:00"/>
    <s v="Uploaded patch set 5: Commit message was updated."/>
    <m/>
    <m/>
    <s v="haipingx.yang@intel.com"/>
    <x v="3"/>
    <x v="0"/>
    <s v=""/>
    <x v="0"/>
    <s v=""/>
    <s v=""/>
    <s v=""/>
    <s v=""/>
    <s v=""/>
    <s v=""/>
    <s v=""/>
    <x v="0"/>
    <x v="0"/>
    <x v="0"/>
  </r>
  <r>
    <x v="14"/>
    <m/>
    <m/>
    <m/>
    <m/>
    <m/>
    <m/>
    <m/>
    <m/>
    <m/>
    <m/>
    <m/>
    <x v="25"/>
    <d v="2016-03-08T17:47:00"/>
    <s v="Patch Set 5: Code-Review+1"/>
    <m/>
    <m/>
    <s v="haipingx.yang@intel.com"/>
    <x v="3"/>
    <x v="4"/>
    <s v=""/>
    <x v="0"/>
    <s v=""/>
    <s v=""/>
    <s v=""/>
    <s v=""/>
    <s v=""/>
    <s v=""/>
    <s v=""/>
    <x v="0"/>
    <x v="0"/>
    <x v="0"/>
  </r>
  <r>
    <x v="14"/>
    <m/>
    <m/>
    <m/>
    <m/>
    <m/>
    <m/>
    <m/>
    <m/>
    <m/>
    <m/>
    <m/>
    <x v="6"/>
    <d v="2016-03-08T18:14:00"/>
    <s v="Patch Set 5: Code-Review+1\n\nlong line; but other than that ok"/>
    <m/>
    <m/>
    <s v="haipingx.yang@intel.com"/>
    <x v="3"/>
    <x v="1"/>
    <s v=""/>
    <x v="0"/>
    <s v=""/>
    <s v=""/>
    <s v=""/>
    <s v=""/>
    <s v=""/>
    <s v=""/>
    <s v=""/>
    <x v="0"/>
    <x v="0"/>
    <x v="0"/>
  </r>
  <r>
    <x v="14"/>
    <m/>
    <m/>
    <m/>
    <m/>
    <m/>
    <m/>
    <m/>
    <m/>
    <m/>
    <m/>
    <m/>
    <x v="0"/>
    <d v="2016-03-08T19:53:00"/>
    <s v="Patch Set 5: Code-Review+1"/>
    <m/>
    <m/>
    <s v="haipingx.yang@intel.com"/>
    <x v="3"/>
    <x v="1"/>
    <s v=""/>
    <x v="0"/>
    <s v=""/>
    <s v=""/>
    <s v=""/>
    <s v=""/>
    <s v=""/>
    <s v=""/>
    <s v=""/>
    <x v="0"/>
    <x v="0"/>
    <x v="0"/>
  </r>
  <r>
    <x v="14"/>
    <m/>
    <m/>
    <m/>
    <m/>
    <m/>
    <m/>
    <m/>
    <m/>
    <m/>
    <m/>
    <m/>
    <x v="2"/>
    <d v="2016-03-08T22:00:00"/>
    <s v="Patch Set 5: Code-Review+1"/>
    <m/>
    <m/>
    <s v="haipingx.yang@intel.com"/>
    <x v="3"/>
    <x v="1"/>
    <s v=""/>
    <x v="0"/>
    <s v=""/>
    <s v=""/>
    <s v=""/>
    <s v=""/>
    <s v=""/>
    <s v=""/>
    <s v=""/>
    <x v="0"/>
    <x v="0"/>
    <x v="0"/>
  </r>
  <r>
    <x v="14"/>
    <m/>
    <m/>
    <m/>
    <m/>
    <m/>
    <m/>
    <m/>
    <m/>
    <m/>
    <m/>
    <m/>
    <x v="3"/>
    <d v="2016-03-09T09:36:00"/>
    <s v="Patch Set 5: Code-Review+1"/>
    <m/>
    <m/>
    <s v="haipingx.yang@intel.com"/>
    <x v="3"/>
    <x v="2"/>
    <s v=""/>
    <x v="0"/>
    <s v=""/>
    <s v=""/>
    <s v=""/>
    <s v=""/>
    <s v=""/>
    <s v=""/>
    <s v=""/>
    <x v="0"/>
    <x v="0"/>
    <x v="0"/>
  </r>
  <r>
    <x v="14"/>
    <m/>
    <m/>
    <m/>
    <m/>
    <m/>
    <m/>
    <m/>
    <m/>
    <m/>
    <m/>
    <m/>
    <x v="16"/>
    <d v="2016-03-09T10:10:00"/>
    <s v="Patch Set 5: Code-Review+1"/>
    <m/>
    <m/>
    <s v="haipingx.yang@intel.com"/>
    <x v="3"/>
    <x v="4"/>
    <s v=""/>
    <x v="0"/>
    <s v=""/>
    <s v=""/>
    <s v=""/>
    <s v=""/>
    <s v=""/>
    <s v=""/>
    <s v=""/>
    <x v="0"/>
    <x v="0"/>
    <x v="0"/>
  </r>
  <r>
    <x v="14"/>
    <m/>
    <m/>
    <m/>
    <m/>
    <m/>
    <m/>
    <m/>
    <m/>
    <m/>
    <m/>
    <m/>
    <x v="14"/>
    <d v="2016-03-09T13:58:00"/>
    <s v="Patch Set 5: Validation-Android+1\n\nreceive smoke test"/>
    <m/>
    <m/>
    <s v="haipingx.yang@intel.com"/>
    <x v="3"/>
    <x v="5"/>
    <s v=""/>
    <x v="0"/>
    <s v=""/>
    <s v=""/>
    <s v=""/>
    <s v=""/>
    <s v=""/>
    <s v=""/>
    <s v=""/>
    <x v="0"/>
    <x v="1"/>
    <x v="0"/>
  </r>
  <r>
    <x v="14"/>
    <m/>
    <m/>
    <m/>
    <m/>
    <m/>
    <m/>
    <m/>
    <m/>
    <m/>
    <m/>
    <m/>
    <x v="18"/>
    <d v="2016-03-09T15:36:00"/>
    <s v="Patch Set 5: Code-Review+1"/>
    <m/>
    <m/>
    <s v="haipingx.yang@intel.com"/>
    <x v="3"/>
    <x v="1"/>
    <s v=""/>
    <x v="0"/>
    <s v=""/>
    <s v=""/>
    <s v=""/>
    <s v=""/>
    <s v=""/>
    <s v=""/>
    <s v=""/>
    <x v="0"/>
    <x v="0"/>
    <x v="0"/>
  </r>
  <r>
    <x v="14"/>
    <m/>
    <m/>
    <m/>
    <m/>
    <m/>
    <m/>
    <m/>
    <m/>
    <m/>
    <m/>
    <m/>
    <x v="13"/>
    <d v="2016-03-10T14:28:00"/>
    <s v="Patch Set 5: Approver+1"/>
    <m/>
    <m/>
    <s v="haipingx.yang@intel.com"/>
    <x v="3"/>
    <x v="4"/>
    <s v=""/>
    <x v="0"/>
    <s v=""/>
    <s v=""/>
    <s v=""/>
    <s v=""/>
    <s v=""/>
    <s v=""/>
    <s v=""/>
    <x v="0"/>
    <x v="0"/>
    <x v="0"/>
  </r>
  <r>
    <x v="14"/>
    <m/>
    <m/>
    <m/>
    <m/>
    <m/>
    <m/>
    <m/>
    <m/>
    <m/>
    <m/>
    <m/>
    <x v="9"/>
    <d v="2016-03-11T13:44:00"/>
    <s v="Patch Set 5:\n\nSet integrator to 0; re-add to PT test"/>
    <m/>
    <m/>
    <s v="haipingx.yang@intel.com"/>
    <x v="3"/>
    <x v="5"/>
    <s v=""/>
    <x v="0"/>
    <s v=""/>
    <s v=""/>
    <s v=""/>
    <s v=""/>
    <s v=""/>
    <s v=""/>
    <s v=""/>
    <x v="0"/>
    <x v="0"/>
    <x v="0"/>
  </r>
  <r>
    <x v="14"/>
    <m/>
    <m/>
    <m/>
    <m/>
    <m/>
    <m/>
    <m/>
    <m/>
    <m/>
    <m/>
    <m/>
    <x v="9"/>
    <d v="2016-03-11T13:48:00"/>
    <s v="Patch Set 5: Integrator+1\n\nIntegrator +1; patch will be add to PT; please no change now"/>
    <m/>
    <m/>
    <s v="haipingx.yang@intel.com"/>
    <x v="3"/>
    <x v="5"/>
    <s v=""/>
    <x v="0"/>
    <s v=""/>
    <s v=""/>
    <s v=""/>
    <s v=""/>
    <s v=""/>
    <s v=""/>
    <s v=""/>
    <x v="0"/>
    <x v="1"/>
    <x v="0"/>
  </r>
  <r>
    <x v="14"/>
    <m/>
    <m/>
    <m/>
    <m/>
    <m/>
    <m/>
    <m/>
    <m/>
    <m/>
    <m/>
    <m/>
    <x v="5"/>
    <d v="2016-03-11T15:52:00"/>
    <s v="Patch Set 5: Code-Review+1"/>
    <m/>
    <m/>
    <s v="haipingx.yang@intel.com"/>
    <x v="3"/>
    <x v="1"/>
    <s v=""/>
    <x v="0"/>
    <s v=""/>
    <s v=""/>
    <s v=""/>
    <s v=""/>
    <s v=""/>
    <s v=""/>
    <s v=""/>
    <x v="0"/>
    <x v="0"/>
    <x v="0"/>
  </r>
  <r>
    <x v="14"/>
    <m/>
    <m/>
    <m/>
    <m/>
    <m/>
    <m/>
    <m/>
    <m/>
    <m/>
    <m/>
    <m/>
    <x v="9"/>
    <d v="2016-03-11T16:54:00"/>
    <s v="Patch Set 5:\n\n1 CRITICAL issues maybe in this patch on the platform btns. Auto reported by kwscan@andr-val-srv0.bj.intel.com"/>
    <m/>
    <m/>
    <s v="haipingx.yang@intel.com"/>
    <x v="3"/>
    <x v="5"/>
    <s v=""/>
    <x v="0"/>
    <s v=""/>
    <s v=""/>
    <s v=""/>
    <s v=""/>
    <s v=""/>
    <s v=""/>
    <s v=""/>
    <x v="0"/>
    <x v="0"/>
    <x v="0"/>
  </r>
  <r>
    <x v="14"/>
    <m/>
    <m/>
    <m/>
    <m/>
    <m/>
    <m/>
    <m/>
    <m/>
    <m/>
    <m/>
    <m/>
    <x v="9"/>
    <d v="2016-03-11T19:14:00"/>
    <s v="Patch Set 5:\n\n1 CRITICAL issues maybe in this patch on the platform r2_sltmrdv34. Auto reported by kwscan@psi-build5.bj.intel.com"/>
    <m/>
    <m/>
    <s v="haipingx.yang@intel.com"/>
    <x v="3"/>
    <x v="5"/>
    <s v=""/>
    <x v="0"/>
    <s v=""/>
    <s v=""/>
    <s v=""/>
    <s v=""/>
    <s v=""/>
    <s v=""/>
    <s v=""/>
    <x v="0"/>
    <x v="0"/>
    <x v="0"/>
  </r>
  <r>
    <x v="14"/>
    <m/>
    <m/>
    <m/>
    <m/>
    <m/>
    <m/>
    <m/>
    <m/>
    <m/>
    <m/>
    <m/>
    <x v="9"/>
    <d v="2016-03-11T20:40:00"/>
    <s v="Patch Set 5:\n\n1 CRITICAL issues maybe in this patch on the platform r2_cht_ffd. Auto reported by kwscan@kw-srv2.bj.intel.com"/>
    <m/>
    <m/>
    <s v="haipingx.yang@intel.com"/>
    <x v="3"/>
    <x v="5"/>
    <s v=""/>
    <x v="0"/>
    <s v=""/>
    <s v=""/>
    <s v=""/>
    <s v=""/>
    <s v=""/>
    <s v=""/>
    <s v=""/>
    <x v="0"/>
    <x v="0"/>
    <x v="0"/>
  </r>
  <r>
    <x v="14"/>
    <m/>
    <m/>
    <m/>
    <m/>
    <m/>
    <m/>
    <m/>
    <m/>
    <m/>
    <m/>
    <m/>
    <x v="9"/>
    <d v="2016-03-11T21:52:00"/>
    <s v="Patch Set 5:\n\n1 CRITICAL issues maybe in this patch on the platform bxt_rvp. Auto reported by kwscan@psi-build5.bj.intel.com"/>
    <m/>
    <m/>
    <s v="haipingx.yang@intel.com"/>
    <x v="3"/>
    <x v="5"/>
    <s v=""/>
    <x v="0"/>
    <s v=""/>
    <s v=""/>
    <s v=""/>
    <s v=""/>
    <s v=""/>
    <s v=""/>
    <s v=""/>
    <x v="0"/>
    <x v="0"/>
    <x v="0"/>
  </r>
  <r>
    <x v="14"/>
    <m/>
    <m/>
    <m/>
    <m/>
    <m/>
    <m/>
    <m/>
    <m/>
    <m/>
    <m/>
    <m/>
    <x v="9"/>
    <d v="2016-03-12T00:31:00"/>
    <s v="Patch Set 5:\n\n1 CRITICAL issues maybe in this patch on the platform r2_cht_hr. Auto reported by kwscan@kw-srv2.bj.intel.com"/>
    <m/>
    <m/>
    <s v="haipingx.yang@intel.com"/>
    <x v="3"/>
    <x v="5"/>
    <s v=""/>
    <x v="0"/>
    <s v=""/>
    <s v=""/>
    <s v=""/>
    <s v=""/>
    <s v=""/>
    <s v=""/>
    <s v=""/>
    <x v="0"/>
    <x v="0"/>
    <x v="0"/>
  </r>
  <r>
    <x v="14"/>
    <m/>
    <m/>
    <m/>
    <m/>
    <m/>
    <m/>
    <m/>
    <m/>
    <m/>
    <m/>
    <m/>
    <x v="9"/>
    <d v="2016-03-12T07:09:00"/>
    <s v="Patch Set 5:\n\n1 CRITICAL issues maybe in this patch on the platform r2_sf3gr_sr_garnet. Auto reported by kwscan@andr-val-srv0.bj.intel.com"/>
    <m/>
    <m/>
    <s v="haipingx.yang@intel.com"/>
    <x v="3"/>
    <x v="5"/>
    <s v=""/>
    <x v="0"/>
    <s v=""/>
    <s v=""/>
    <s v=""/>
    <s v=""/>
    <s v=""/>
    <s v=""/>
    <s v=""/>
    <x v="0"/>
    <x v="0"/>
    <x v="0"/>
  </r>
  <r>
    <x v="14"/>
    <m/>
    <m/>
    <m/>
    <m/>
    <m/>
    <m/>
    <m/>
    <m/>
    <m/>
    <m/>
    <m/>
    <x v="9"/>
    <d v="2016-03-14T14:11:00"/>
    <s v="Patch Set 5: Integrator-1\n\nPIT test failed with KW regression 1504183004"/>
    <m/>
    <m/>
    <s v="haipingx.yang@intel.com"/>
    <x v="3"/>
    <x v="5"/>
    <s v=""/>
    <x v="0"/>
    <s v=""/>
    <s v=""/>
    <s v=""/>
    <s v=""/>
    <s v=""/>
    <s v=""/>
    <s v=""/>
    <x v="0"/>
    <x v="1"/>
    <x v="0"/>
  </r>
  <r>
    <x v="14"/>
    <m/>
    <m/>
    <m/>
    <m/>
    <m/>
    <m/>
    <m/>
    <m/>
    <m/>
    <m/>
    <m/>
    <x v="24"/>
    <d v="2016-03-14T15:35:00"/>
    <s v="Patch Set 6:\n\nPatchset Created: CI job has been scheduled."/>
    <m/>
    <m/>
    <s v="haipingx.yang@intel.com"/>
    <x v="3"/>
    <x v="0"/>
    <s v=""/>
    <x v="0"/>
    <s v=""/>
    <s v=""/>
    <s v=""/>
    <s v=""/>
    <s v=""/>
    <s v=""/>
    <s v=""/>
    <x v="0"/>
    <x v="0"/>
    <x v="0"/>
  </r>
  <r>
    <x v="14"/>
    <m/>
    <m/>
    <m/>
    <m/>
    <m/>
    <m/>
    <m/>
    <m/>
    <m/>
    <m/>
    <m/>
    <x v="24"/>
    <d v="2016-03-14T15:35:00"/>
    <s v="Uploaded patch set 6."/>
    <m/>
    <m/>
    <s v="haipingx.yang@intel.com"/>
    <x v="3"/>
    <x v="0"/>
    <s v=""/>
    <x v="0"/>
    <s v=""/>
    <s v=""/>
    <s v=""/>
    <s v=""/>
    <s v=""/>
    <s v=""/>
    <s v=""/>
    <x v="0"/>
    <x v="0"/>
    <x v="0"/>
  </r>
  <r>
    <x v="14"/>
    <m/>
    <m/>
    <m/>
    <m/>
    <m/>
    <m/>
    <m/>
    <m/>
    <m/>
    <m/>
    <m/>
    <x v="9"/>
    <d v="2016-03-14T20:34:00"/>
    <s v="Patch Set 6:\n\nPassed Klocwork code analyzing test. No CRITICAL issue in this patch. Auto reported by kwscan@andr-val-srv0.bj.intel.com"/>
    <m/>
    <m/>
    <s v="haipingx.yang@intel.com"/>
    <x v="3"/>
    <x v="5"/>
    <s v=""/>
    <x v="0"/>
    <s v=""/>
    <s v=""/>
    <s v=""/>
    <s v=""/>
    <s v=""/>
    <s v=""/>
    <s v=""/>
    <x v="0"/>
    <x v="0"/>
    <x v="0"/>
  </r>
  <r>
    <x v="14"/>
    <m/>
    <m/>
    <m/>
    <m/>
    <m/>
    <m/>
    <m/>
    <m/>
    <m/>
    <m/>
    <m/>
    <x v="24"/>
    <d v="2016-03-15T11:00:00"/>
    <s v="Patch Set 6: Code-Review+1"/>
    <m/>
    <m/>
    <s v="haipingx.yang@intel.com"/>
    <x v="3"/>
    <x v="0"/>
    <s v=""/>
    <x v="0"/>
    <s v=""/>
    <s v=""/>
    <s v=""/>
    <s v=""/>
    <s v=""/>
    <s v=""/>
    <s v=""/>
    <x v="0"/>
    <x v="0"/>
    <x v="0"/>
  </r>
  <r>
    <x v="14"/>
    <m/>
    <m/>
    <m/>
    <m/>
    <m/>
    <m/>
    <m/>
    <m/>
    <m/>
    <m/>
    <m/>
    <x v="2"/>
    <d v="2016-03-15T13:40:00"/>
    <s v="Patch Set 6: Code-Review+1"/>
    <m/>
    <m/>
    <s v="haipingx.yang@intel.com"/>
    <x v="3"/>
    <x v="1"/>
    <s v=""/>
    <x v="0"/>
    <s v=""/>
    <s v=""/>
    <s v=""/>
    <s v=""/>
    <s v=""/>
    <s v=""/>
    <s v=""/>
    <x v="0"/>
    <x v="0"/>
    <x v="0"/>
  </r>
  <r>
    <x v="14"/>
    <m/>
    <m/>
    <m/>
    <m/>
    <m/>
    <m/>
    <m/>
    <m/>
    <m/>
    <m/>
    <m/>
    <x v="13"/>
    <d v="2016-03-15T15:22:00"/>
    <s v="Patch Set 6: Code-Review+1"/>
    <m/>
    <m/>
    <s v="haipingx.yang@intel.com"/>
    <x v="3"/>
    <x v="4"/>
    <s v=""/>
    <x v="0"/>
    <s v=""/>
    <s v=""/>
    <s v=""/>
    <s v=""/>
    <s v=""/>
    <s v=""/>
    <s v=""/>
    <x v="0"/>
    <x v="0"/>
    <x v="0"/>
  </r>
  <r>
    <x v="14"/>
    <m/>
    <m/>
    <m/>
    <m/>
    <m/>
    <m/>
    <m/>
    <m/>
    <m/>
    <m/>
    <m/>
    <x v="16"/>
    <d v="2016-03-15T15:56:00"/>
    <s v="Patch Set 6: Code-Review+1"/>
    <m/>
    <m/>
    <s v="haipingx.yang@intel.com"/>
    <x v="3"/>
    <x v="4"/>
    <s v=""/>
    <x v="0"/>
    <s v=""/>
    <s v=""/>
    <s v=""/>
    <s v=""/>
    <s v=""/>
    <s v=""/>
    <s v=""/>
    <x v="0"/>
    <x v="0"/>
    <x v="0"/>
  </r>
  <r>
    <x v="14"/>
    <m/>
    <m/>
    <m/>
    <m/>
    <m/>
    <m/>
    <m/>
    <m/>
    <m/>
    <m/>
    <m/>
    <x v="5"/>
    <d v="2016-03-15T17:03:00"/>
    <s v="Patch Set 6: Code-Review+1"/>
    <m/>
    <m/>
    <s v="haipingx.yang@intel.com"/>
    <x v="3"/>
    <x v="1"/>
    <s v=""/>
    <x v="0"/>
    <s v=""/>
    <s v=""/>
    <s v=""/>
    <s v=""/>
    <s v=""/>
    <s v=""/>
    <s v=""/>
    <x v="0"/>
    <x v="0"/>
    <x v="0"/>
  </r>
  <r>
    <x v="14"/>
    <m/>
    <m/>
    <m/>
    <m/>
    <m/>
    <m/>
    <m/>
    <m/>
    <m/>
    <m/>
    <m/>
    <x v="25"/>
    <d v="2016-03-15T18:41:00"/>
    <s v="Patch Set 6: Code-Review+1"/>
    <m/>
    <m/>
    <s v="haipingx.yang@intel.com"/>
    <x v="3"/>
    <x v="4"/>
    <s v=""/>
    <x v="0"/>
    <s v=""/>
    <s v=""/>
    <s v=""/>
    <s v=""/>
    <s v=""/>
    <s v=""/>
    <s v=""/>
    <x v="0"/>
    <x v="0"/>
    <x v="0"/>
  </r>
  <r>
    <x v="14"/>
    <m/>
    <m/>
    <m/>
    <m/>
    <m/>
    <m/>
    <m/>
    <m/>
    <m/>
    <m/>
    <m/>
    <x v="3"/>
    <d v="2016-03-15T22:25:00"/>
    <s v="Patch Set 6: Code-Review+1"/>
    <m/>
    <m/>
    <s v="haipingx.yang@intel.com"/>
    <x v="3"/>
    <x v="2"/>
    <s v=""/>
    <x v="0"/>
    <s v=""/>
    <s v=""/>
    <s v=""/>
    <s v=""/>
    <s v=""/>
    <s v=""/>
    <s v=""/>
    <x v="0"/>
    <x v="0"/>
    <x v="0"/>
  </r>
  <r>
    <x v="14"/>
    <m/>
    <m/>
    <m/>
    <m/>
    <m/>
    <m/>
    <m/>
    <m/>
    <m/>
    <m/>
    <m/>
    <x v="14"/>
    <d v="2016-03-16T10:31:00"/>
    <s v="Patch Set 6: Validation-Android+1\n\nreceive smoke test"/>
    <m/>
    <m/>
    <s v="haipingx.yang@intel.com"/>
    <x v="3"/>
    <x v="5"/>
    <s v=""/>
    <x v="0"/>
    <s v=""/>
    <s v=""/>
    <s v=""/>
    <s v=""/>
    <s v=""/>
    <s v=""/>
    <s v=""/>
    <x v="0"/>
    <x v="1"/>
    <x v="0"/>
  </r>
  <r>
    <x v="14"/>
    <m/>
    <m/>
    <m/>
    <m/>
    <m/>
    <m/>
    <m/>
    <m/>
    <m/>
    <m/>
    <m/>
    <x v="13"/>
    <d v="2016-03-16T11:15:00"/>
    <s v="Patch Set 6: Approver+1"/>
    <m/>
    <m/>
    <s v="haipingx.yang@intel.com"/>
    <x v="3"/>
    <x v="4"/>
    <s v=""/>
    <x v="0"/>
    <s v=""/>
    <s v=""/>
    <s v=""/>
    <s v=""/>
    <s v=""/>
    <s v=""/>
    <s v=""/>
    <x v="0"/>
    <x v="0"/>
    <x v="0"/>
  </r>
  <r>
    <x v="14"/>
    <m/>
    <m/>
    <m/>
    <m/>
    <m/>
    <m/>
    <m/>
    <m/>
    <m/>
    <m/>
    <m/>
    <x v="9"/>
    <d v="2016-03-17T09:20:00"/>
    <s v="Patch Set 6: Integrator+1\n\nIntegrator +1; patch will be add to PT; please no change now"/>
    <m/>
    <m/>
    <s v="haipingx.yang@intel.com"/>
    <x v="3"/>
    <x v="5"/>
    <s v=""/>
    <x v="0"/>
    <s v=""/>
    <s v=""/>
    <s v=""/>
    <s v=""/>
    <s v=""/>
    <s v=""/>
    <s v=""/>
    <x v="0"/>
    <x v="1"/>
    <x v="0"/>
  </r>
  <r>
    <x v="14"/>
    <m/>
    <m/>
    <m/>
    <m/>
    <m/>
    <m/>
    <m/>
    <m/>
    <m/>
    <m/>
    <m/>
    <x v="9"/>
    <d v="2016-03-17T16:55:00"/>
    <s v="Patch Set 6: Code-Review+1\n\nPassed PIT; ready for merge"/>
    <m/>
    <m/>
    <s v="haipingx.yang@intel.com"/>
    <x v="3"/>
    <x v="5"/>
    <s v=""/>
    <x v="0"/>
    <s v=""/>
    <s v=""/>
    <s v=""/>
    <s v=""/>
    <s v=""/>
    <s v=""/>
    <s v=""/>
    <x v="0"/>
    <x v="0"/>
    <x v="0"/>
  </r>
  <r>
    <x v="14"/>
    <m/>
    <m/>
    <m/>
    <m/>
    <m/>
    <m/>
    <m/>
    <m/>
    <m/>
    <m/>
    <m/>
    <x v="9"/>
    <d v="2016-03-17T16:58:00"/>
    <s v="Patch Set 6: -Integrator"/>
    <m/>
    <m/>
    <s v="haipingx.yang@intel.com"/>
    <x v="3"/>
    <x v="5"/>
    <s v=""/>
    <x v="0"/>
    <s v=""/>
    <s v=""/>
    <s v=""/>
    <s v=""/>
    <s v=""/>
    <s v=""/>
    <s v=""/>
    <x v="0"/>
    <x v="1"/>
    <x v="0"/>
  </r>
  <r>
    <x v="14"/>
    <m/>
    <m/>
    <m/>
    <m/>
    <m/>
    <m/>
    <m/>
    <m/>
    <m/>
    <m/>
    <m/>
    <x v="9"/>
    <d v="2016-03-17T16:58:00"/>
    <s v="Patch Set 7: Patch Set 6 was rebased"/>
    <m/>
    <m/>
    <s v="haipingx.yang@intel.com"/>
    <x v="3"/>
    <x v="5"/>
    <s v=""/>
    <x v="0"/>
    <s v=""/>
    <s v=""/>
    <s v=""/>
    <s v=""/>
    <s v=""/>
    <s v=""/>
    <s v=""/>
    <x v="0"/>
    <x v="0"/>
    <x v="0"/>
  </r>
  <r>
    <x v="14"/>
    <m/>
    <m/>
    <m/>
    <m/>
    <m/>
    <m/>
    <m/>
    <m/>
    <m/>
    <m/>
    <m/>
    <x v="9"/>
    <d v="2016-03-17T16:58:00"/>
    <s v="Patch Set 7:\n\nPatchset Created: CI job has been scheduled."/>
    <m/>
    <m/>
    <s v="haipingx.yang@intel.com"/>
    <x v="3"/>
    <x v="5"/>
    <s v=""/>
    <x v="0"/>
    <s v=""/>
    <s v=""/>
    <s v=""/>
    <s v=""/>
    <s v=""/>
    <s v=""/>
    <s v=""/>
    <x v="0"/>
    <x v="0"/>
    <x v="0"/>
  </r>
  <r>
    <x v="14"/>
    <m/>
    <m/>
    <m/>
    <m/>
    <m/>
    <m/>
    <m/>
    <m/>
    <m/>
    <m/>
    <m/>
    <x v="9"/>
    <d v="2016-03-17T16:58:00"/>
    <s v="Patch Set 7: Integrator+1"/>
    <m/>
    <m/>
    <s v="haipingx.yang@intel.com"/>
    <x v="3"/>
    <x v="5"/>
    <s v=""/>
    <x v="0"/>
    <s v=""/>
    <s v=""/>
    <s v=""/>
    <s v=""/>
    <s v=""/>
    <s v=""/>
    <s v=""/>
    <x v="0"/>
    <x v="1"/>
    <x v="0"/>
  </r>
  <r>
    <x v="14"/>
    <m/>
    <m/>
    <m/>
    <m/>
    <m/>
    <m/>
    <m/>
    <m/>
    <m/>
    <m/>
    <m/>
    <x v="10"/>
    <d v="2016-03-25T18:14:00"/>
    <s v="Patch Set 8:\n\nThe patch has been successfully merged into r6_legacy with https://android.intel.com/486354"/>
    <m/>
    <m/>
    <s v="haipingx.yang@intel.com"/>
    <x v="3"/>
    <x v="5"/>
    <s v=""/>
    <x v="0"/>
    <s v=""/>
    <s v=""/>
    <s v=""/>
    <s v=""/>
    <s v=""/>
    <s v=""/>
    <s v=""/>
    <x v="0"/>
    <x v="0"/>
    <x v="0"/>
  </r>
  <r>
    <x v="14"/>
    <m/>
    <m/>
    <m/>
    <m/>
    <m/>
    <m/>
    <m/>
    <m/>
    <m/>
    <m/>
    <m/>
    <x v="10"/>
    <d v="2016-03-30T16:42:00"/>
    <s v="Patch Set 8:\n\nThe patch has been successfully merged into 1A master with https://android.intel.com/483489"/>
    <m/>
    <m/>
    <s v="haipingx.yang@intel.com"/>
    <x v="3"/>
    <x v="5"/>
    <s v=""/>
    <x v="0"/>
    <s v=""/>
    <s v=""/>
    <s v=""/>
    <s v=""/>
    <s v=""/>
    <s v=""/>
    <s v=""/>
    <x v="0"/>
    <x v="0"/>
    <x v="0"/>
  </r>
  <r>
    <x v="15"/>
    <n v="107469"/>
    <s v="vied-viedandr-camera3hal"/>
    <s v="platform/android/main"/>
    <s v="I519651b412c83f7e85ddd42de29bcd245e20f353"/>
    <s v="ukri.niemimuukko@intel.com"/>
    <s v="MERGED"/>
    <s v="c3:3a: process triggers at processTriggers()"/>
    <s v="c3:3a: process triggers at processTriggers()\n\nTrigger processing was handled at processResults; which\nrisks the overriding of the trigger\nif the current AFMode processTriggers() gets called\nfast consecutively for several requests.\n\nChange-Id: I519651b412c83f7e85ddd42de29bcd245e20f353\nTracked-On: #R517992\nSigned-off-by: Ukri Niemimuukko &lt;ukri.niemimuukko@intel.com&gt;\nSigned-off-by: Arnaud Mandy &lt;arnaud.mandy@intel.com&gt;\nReviewed-on: https://icggerrit.ir.intel.com/107469\nReviewed-by: Gang A Hu &lt;gang.a.hu@intel.com&gt;\nReviewed-by: Jukka O Kaartinen &lt;jukka.o.kaartinen@intel.com&gt;\nReviewed-by: Juha Alanen &lt;juha.alanen@intel.com&gt;\nReviewed-by: Kaisa Taipale &lt;kaisa.taipale@intel.com&gt;\nReviewed-by: Renwei Wu &lt;renwei.wu@intel.com&gt;\nReviewed-by: Miguel Verdu &lt;miguel.verdu@intel.com&gt;\nReviewed-by: Lassi I Vaatamoinen &lt;lassi.i.vaatamoinen@intel.com&gt;\nReviewed-by: Huitao Cao &lt;huitao.cao@intel.com&gt;\nApprover: Jukka O Kaartinen &lt;jukka.o.kaartinen@intel.com&gt;\nReviewed-by: WeiX Meng &lt;weix.meng@intel.com&gt;\nIntegrator: WeiX Meng &lt;weix.meng@intel.com&gt;\n"/>
    <d v="2016-03-14T19:54:00"/>
    <d v="2016-03-17T16:58:00"/>
    <s v="common"/>
    <x v="6"/>
    <d v="2016-03-14T19:54:00"/>
    <s v="Patch Set 1:\n\nPatchset Created: CI job has NOT been scheduled.\nDisabled for Draft patches"/>
    <m/>
    <s v="dongdong.zhang@intel.com;weix.meng@intel.com;wei.tao@intel.com;huitao.cao@intel.com;miguel.verdu@intel.com;renwei.wu@intel.com;kaisa.taipale@intel.com;juha.alanen@intel.com;jukka.o.kaartinen@intel.com;gang.a.hu@intel.com;lassi.i.vaatamoinen@intel.com;arnaud.mandy@intel.com;"/>
    <s v="ukri.niemimuukko@intel.com"/>
    <x v="0"/>
    <x v="0"/>
    <s v="16'ww12"/>
    <x v="0"/>
    <n v="0"/>
    <n v="0"/>
    <n v="0"/>
    <n v="0"/>
    <n v="2"/>
    <n v="16"/>
    <n v="1"/>
    <x v="0"/>
    <x v="0"/>
    <x v="0"/>
  </r>
  <r>
    <x v="15"/>
    <m/>
    <m/>
    <m/>
    <m/>
    <m/>
    <m/>
    <m/>
    <m/>
    <m/>
    <m/>
    <m/>
    <x v="6"/>
    <d v="2016-03-14T19:54:00"/>
    <s v="Uploaded patch set 1."/>
    <m/>
    <m/>
    <s v="ukri.niemimuukko@intel.com"/>
    <x v="0"/>
    <x v="0"/>
    <s v=""/>
    <x v="0"/>
    <s v=""/>
    <s v=""/>
    <s v=""/>
    <s v=""/>
    <s v=""/>
    <s v=""/>
    <s v=""/>
    <x v="0"/>
    <x v="0"/>
    <x v="0"/>
  </r>
  <r>
    <x v="15"/>
    <m/>
    <m/>
    <m/>
    <m/>
    <m/>
    <m/>
    <m/>
    <m/>
    <m/>
    <m/>
    <m/>
    <x v="1"/>
    <d v="2016-03-14T20:40:00"/>
    <s v="Uploaded patch set 2."/>
    <m/>
    <m/>
    <s v="ukri.niemimuukko@intel.com"/>
    <x v="0"/>
    <x v="1"/>
    <s v=""/>
    <x v="0"/>
    <s v=""/>
    <s v=""/>
    <s v=""/>
    <s v=""/>
    <s v=""/>
    <s v=""/>
    <s v=""/>
    <x v="0"/>
    <x v="0"/>
    <x v="0"/>
  </r>
  <r>
    <x v="15"/>
    <m/>
    <m/>
    <m/>
    <m/>
    <m/>
    <m/>
    <m/>
    <m/>
    <m/>
    <m/>
    <m/>
    <x v="1"/>
    <d v="2016-03-14T20:40:00"/>
    <s v="Patch Set 2:\n\nPatchset Created: CI job has been scheduled."/>
    <m/>
    <m/>
    <s v="ukri.niemimuukko@intel.com"/>
    <x v="0"/>
    <x v="1"/>
    <s v=""/>
    <x v="0"/>
    <s v=""/>
    <s v=""/>
    <s v=""/>
    <s v=""/>
    <s v=""/>
    <s v=""/>
    <s v=""/>
    <x v="0"/>
    <x v="0"/>
    <x v="0"/>
  </r>
  <r>
    <x v="15"/>
    <m/>
    <m/>
    <m/>
    <m/>
    <m/>
    <m/>
    <m/>
    <m/>
    <m/>
    <m/>
    <m/>
    <x v="12"/>
    <d v="2016-03-14T23:34:00"/>
    <s v="Patch Set 2:\n\n(2 comments)"/>
    <s v="line524 :&quot;same comment as for commit msg&quot; line7 :&quot;this might look weird to outside readers; as this notation in C++ would refer to the global root namespace. Not that it would matter here.&quot;"/>
    <m/>
    <s v="ukri.niemimuukko@intel.com"/>
    <x v="0"/>
    <x v="1"/>
    <s v=""/>
    <x v="0"/>
    <s v=""/>
    <s v=""/>
    <s v=""/>
    <s v=""/>
    <s v=""/>
    <s v=""/>
    <s v=""/>
    <x v="0"/>
    <x v="0"/>
    <x v="0"/>
  </r>
  <r>
    <x v="15"/>
    <m/>
    <m/>
    <m/>
    <m/>
    <m/>
    <m/>
    <m/>
    <m/>
    <m/>
    <m/>
    <m/>
    <x v="6"/>
    <d v="2016-03-15T14:28:00"/>
    <s v="Uploaded patch set 3: Patch Set 2 was rebased."/>
    <m/>
    <m/>
    <s v="ukri.niemimuukko@intel.com"/>
    <x v="0"/>
    <x v="0"/>
    <s v=""/>
    <x v="0"/>
    <s v=""/>
    <s v=""/>
    <s v=""/>
    <s v=""/>
    <s v=""/>
    <s v=""/>
    <s v=""/>
    <x v="0"/>
    <x v="0"/>
    <x v="0"/>
  </r>
  <r>
    <x v="15"/>
    <m/>
    <m/>
    <m/>
    <m/>
    <m/>
    <m/>
    <m/>
    <m/>
    <m/>
    <m/>
    <m/>
    <x v="6"/>
    <d v="2016-03-15T14:28:00"/>
    <s v="Patch Set 3:\n\nPatchset Created: CI job has been scheduled."/>
    <m/>
    <m/>
    <s v="ukri.niemimuukko@intel.com"/>
    <x v="0"/>
    <x v="0"/>
    <s v=""/>
    <x v="0"/>
    <s v=""/>
    <s v=""/>
    <s v=""/>
    <s v=""/>
    <s v=""/>
    <s v=""/>
    <s v=""/>
    <x v="0"/>
    <x v="0"/>
    <x v="0"/>
  </r>
  <r>
    <x v="15"/>
    <m/>
    <m/>
    <m/>
    <m/>
    <m/>
    <m/>
    <m/>
    <m/>
    <m/>
    <m/>
    <m/>
    <x v="1"/>
    <d v="2016-03-15T16:37:00"/>
    <s v="Patch Set 4:\n\nPatchset Created: CI job has been scheduled."/>
    <m/>
    <m/>
    <s v="ukri.niemimuukko@intel.com"/>
    <x v="0"/>
    <x v="1"/>
    <s v=""/>
    <x v="0"/>
    <s v=""/>
    <s v=""/>
    <s v=""/>
    <s v=""/>
    <s v=""/>
    <s v=""/>
    <s v=""/>
    <x v="0"/>
    <x v="0"/>
    <x v="0"/>
  </r>
  <r>
    <x v="15"/>
    <m/>
    <m/>
    <m/>
    <m/>
    <m/>
    <m/>
    <m/>
    <m/>
    <m/>
    <m/>
    <m/>
    <x v="1"/>
    <d v="2016-03-15T16:37:00"/>
    <s v="Uploaded patch set 4."/>
    <m/>
    <m/>
    <s v="ukri.niemimuukko@intel.com"/>
    <x v="0"/>
    <x v="1"/>
    <s v=""/>
    <x v="0"/>
    <s v=""/>
    <s v=""/>
    <s v=""/>
    <s v=""/>
    <s v=""/>
    <s v=""/>
    <s v=""/>
    <x v="0"/>
    <x v="0"/>
    <x v="0"/>
  </r>
  <r>
    <x v="15"/>
    <m/>
    <m/>
    <m/>
    <m/>
    <m/>
    <m/>
    <m/>
    <m/>
    <m/>
    <m/>
    <m/>
    <x v="6"/>
    <d v="2016-03-15T16:40:00"/>
    <s v="Patch Set 4: Code-Review+1"/>
    <m/>
    <m/>
    <s v="ukri.niemimuukko@intel.com"/>
    <x v="0"/>
    <x v="0"/>
    <s v=""/>
    <x v="0"/>
    <s v=""/>
    <s v=""/>
    <s v=""/>
    <s v=""/>
    <s v=""/>
    <s v=""/>
    <s v=""/>
    <x v="0"/>
    <x v="0"/>
    <x v="0"/>
  </r>
  <r>
    <x v="15"/>
    <m/>
    <m/>
    <m/>
    <m/>
    <m/>
    <m/>
    <m/>
    <m/>
    <m/>
    <m/>
    <m/>
    <x v="1"/>
    <d v="2016-03-15T16:50:00"/>
    <s v="Patch Set 4: Code-Review+1"/>
    <m/>
    <m/>
    <s v="ukri.niemimuukko@intel.com"/>
    <x v="0"/>
    <x v="1"/>
    <s v=""/>
    <x v="0"/>
    <s v=""/>
    <s v=""/>
    <s v=""/>
    <s v=""/>
    <s v=""/>
    <s v=""/>
    <s v=""/>
    <x v="0"/>
    <x v="0"/>
    <x v="0"/>
  </r>
  <r>
    <x v="15"/>
    <m/>
    <m/>
    <m/>
    <m/>
    <m/>
    <m/>
    <m/>
    <m/>
    <m/>
    <m/>
    <m/>
    <x v="13"/>
    <d v="2016-03-15T17:24:00"/>
    <s v="Patch Set 4: Code-Review+1"/>
    <m/>
    <m/>
    <s v="ukri.niemimuukko@intel.com"/>
    <x v="0"/>
    <x v="4"/>
    <s v=""/>
    <x v="0"/>
    <s v=""/>
    <s v=""/>
    <s v=""/>
    <s v=""/>
    <s v=""/>
    <s v=""/>
    <s v=""/>
    <x v="0"/>
    <x v="0"/>
    <x v="0"/>
  </r>
  <r>
    <x v="15"/>
    <m/>
    <m/>
    <m/>
    <m/>
    <m/>
    <m/>
    <m/>
    <m/>
    <m/>
    <m/>
    <m/>
    <x v="6"/>
    <d v="2016-03-15T18:54:00"/>
    <s v="Patch Set 5:\n\nPatchset Created: CI job has been scheduled."/>
    <m/>
    <m/>
    <s v="ukri.niemimuukko@intel.com"/>
    <x v="0"/>
    <x v="0"/>
    <s v=""/>
    <x v="0"/>
    <s v=""/>
    <s v=""/>
    <s v=""/>
    <s v=""/>
    <s v=""/>
    <s v=""/>
    <s v=""/>
    <x v="0"/>
    <x v="0"/>
    <x v="0"/>
  </r>
  <r>
    <x v="15"/>
    <m/>
    <m/>
    <m/>
    <m/>
    <m/>
    <m/>
    <m/>
    <m/>
    <m/>
    <m/>
    <m/>
    <x v="6"/>
    <d v="2016-03-15T18:54:00"/>
    <s v="Uploaded patch set 5: Patch Set 4 was rebased."/>
    <m/>
    <m/>
    <s v="ukri.niemimuukko@intel.com"/>
    <x v="0"/>
    <x v="0"/>
    <s v=""/>
    <x v="0"/>
    <s v=""/>
    <s v=""/>
    <s v=""/>
    <s v=""/>
    <s v=""/>
    <s v=""/>
    <s v=""/>
    <x v="0"/>
    <x v="0"/>
    <x v="0"/>
  </r>
  <r>
    <x v="15"/>
    <m/>
    <m/>
    <m/>
    <m/>
    <m/>
    <m/>
    <m/>
    <m/>
    <m/>
    <m/>
    <m/>
    <x v="2"/>
    <d v="2016-03-15T19:33:00"/>
    <s v="Patch Set 5: Code-Review+1"/>
    <m/>
    <m/>
    <s v="ukri.niemimuukko@intel.com"/>
    <x v="0"/>
    <x v="1"/>
    <s v=""/>
    <x v="0"/>
    <s v=""/>
    <s v=""/>
    <s v=""/>
    <s v=""/>
    <s v=""/>
    <s v=""/>
    <s v=""/>
    <x v="0"/>
    <x v="0"/>
    <x v="0"/>
  </r>
  <r>
    <x v="15"/>
    <m/>
    <m/>
    <m/>
    <m/>
    <m/>
    <m/>
    <m/>
    <m/>
    <m/>
    <m/>
    <m/>
    <x v="5"/>
    <d v="2016-03-15T19:41:00"/>
    <s v="Patch Set 5: Code-Review+1"/>
    <m/>
    <m/>
    <s v="ukri.niemimuukko@intel.com"/>
    <x v="0"/>
    <x v="1"/>
    <s v=""/>
    <x v="0"/>
    <s v=""/>
    <s v=""/>
    <s v=""/>
    <s v=""/>
    <s v=""/>
    <s v=""/>
    <s v=""/>
    <x v="0"/>
    <x v="0"/>
    <x v="0"/>
  </r>
  <r>
    <x v="15"/>
    <m/>
    <m/>
    <m/>
    <m/>
    <m/>
    <m/>
    <m/>
    <m/>
    <m/>
    <m/>
    <m/>
    <x v="11"/>
    <d v="2016-03-15T20:43:00"/>
    <s v="Patch Set 5: Code-Review+1"/>
    <m/>
    <m/>
    <s v="ukri.niemimuukko@intel.com"/>
    <x v="0"/>
    <x v="1"/>
    <s v=""/>
    <x v="0"/>
    <s v=""/>
    <s v=""/>
    <s v=""/>
    <s v=""/>
    <s v=""/>
    <s v=""/>
    <s v=""/>
    <x v="0"/>
    <x v="0"/>
    <x v="0"/>
  </r>
  <r>
    <x v="15"/>
    <m/>
    <m/>
    <m/>
    <m/>
    <m/>
    <m/>
    <m/>
    <m/>
    <m/>
    <m/>
    <m/>
    <x v="14"/>
    <d v="2016-03-15T20:45:00"/>
    <s v="Patch Set 5: Validation-Android+1\n\nreceive smoke test"/>
    <m/>
    <m/>
    <s v="ukri.niemimuukko@intel.com"/>
    <x v="0"/>
    <x v="5"/>
    <s v=""/>
    <x v="0"/>
    <s v=""/>
    <s v=""/>
    <s v=""/>
    <s v=""/>
    <s v=""/>
    <s v=""/>
    <s v=""/>
    <x v="0"/>
    <x v="1"/>
    <x v="0"/>
  </r>
  <r>
    <x v="15"/>
    <m/>
    <m/>
    <m/>
    <m/>
    <m/>
    <m/>
    <m/>
    <m/>
    <m/>
    <m/>
    <m/>
    <x v="3"/>
    <d v="2016-03-15T20:54:00"/>
    <s v="Patch Set 5: Code-Review+1"/>
    <m/>
    <m/>
    <s v="ukri.niemimuukko@intel.com"/>
    <x v="0"/>
    <x v="2"/>
    <s v=""/>
    <x v="0"/>
    <s v=""/>
    <s v=""/>
    <s v=""/>
    <s v=""/>
    <s v=""/>
    <s v=""/>
    <s v=""/>
    <x v="0"/>
    <x v="0"/>
    <x v="0"/>
  </r>
  <r>
    <x v="15"/>
    <m/>
    <m/>
    <m/>
    <m/>
    <m/>
    <m/>
    <m/>
    <m/>
    <m/>
    <m/>
    <m/>
    <x v="0"/>
    <d v="2016-03-15T22:30:00"/>
    <s v="Patch Set 5: Code-Review+1"/>
    <m/>
    <m/>
    <s v="ukri.niemimuukko@intel.com"/>
    <x v="0"/>
    <x v="1"/>
    <s v=""/>
    <x v="0"/>
    <s v=""/>
    <s v=""/>
    <s v=""/>
    <s v=""/>
    <s v=""/>
    <s v=""/>
    <s v=""/>
    <x v="0"/>
    <x v="0"/>
    <x v="0"/>
  </r>
  <r>
    <x v="15"/>
    <m/>
    <m/>
    <m/>
    <m/>
    <m/>
    <m/>
    <m/>
    <m/>
    <m/>
    <m/>
    <m/>
    <x v="1"/>
    <d v="2016-03-16T00:56:00"/>
    <s v="Uploaded patch set 6: Patch Set 5 was rebased."/>
    <m/>
    <m/>
    <s v="ukri.niemimuukko@intel.com"/>
    <x v="0"/>
    <x v="1"/>
    <s v=""/>
    <x v="0"/>
    <s v=""/>
    <s v=""/>
    <s v=""/>
    <s v=""/>
    <s v=""/>
    <s v=""/>
    <s v=""/>
    <x v="0"/>
    <x v="0"/>
    <x v="0"/>
  </r>
  <r>
    <x v="15"/>
    <m/>
    <m/>
    <m/>
    <m/>
    <m/>
    <m/>
    <m/>
    <m/>
    <m/>
    <m/>
    <m/>
    <x v="1"/>
    <d v="2016-03-16T00:56:00"/>
    <s v="Patch Set 6:\n\nPatchset Created: CI job has been scheduled."/>
    <m/>
    <m/>
    <s v="ukri.niemimuukko@intel.com"/>
    <x v="0"/>
    <x v="1"/>
    <s v=""/>
    <x v="0"/>
    <s v=""/>
    <s v=""/>
    <s v=""/>
    <s v=""/>
    <s v=""/>
    <s v=""/>
    <s v=""/>
    <x v="0"/>
    <x v="0"/>
    <x v="0"/>
  </r>
  <r>
    <x v="15"/>
    <m/>
    <m/>
    <m/>
    <m/>
    <m/>
    <m/>
    <m/>
    <m/>
    <m/>
    <m/>
    <m/>
    <x v="14"/>
    <d v="2016-03-16T15:01:00"/>
    <s v="Patch Set 6: Validation-Android+1\n\nreceive smoke test"/>
    <m/>
    <m/>
    <s v="ukri.niemimuukko@intel.com"/>
    <x v="0"/>
    <x v="5"/>
    <s v=""/>
    <x v="0"/>
    <s v=""/>
    <s v=""/>
    <s v=""/>
    <s v=""/>
    <s v=""/>
    <s v=""/>
    <s v=""/>
    <x v="0"/>
    <x v="1"/>
    <x v="0"/>
  </r>
  <r>
    <x v="15"/>
    <m/>
    <m/>
    <m/>
    <m/>
    <m/>
    <m/>
    <m/>
    <m/>
    <m/>
    <m/>
    <m/>
    <x v="12"/>
    <d v="2016-03-16T15:40:00"/>
    <s v="Patch Set 6: Code-Review+1"/>
    <m/>
    <m/>
    <s v="ukri.niemimuukko@intel.com"/>
    <x v="0"/>
    <x v="1"/>
    <s v=""/>
    <x v="0"/>
    <s v=""/>
    <s v=""/>
    <s v=""/>
    <s v=""/>
    <s v=""/>
    <s v=""/>
    <s v=""/>
    <x v="0"/>
    <x v="0"/>
    <x v="0"/>
  </r>
  <r>
    <x v="15"/>
    <m/>
    <m/>
    <m/>
    <m/>
    <m/>
    <m/>
    <m/>
    <m/>
    <m/>
    <m/>
    <m/>
    <x v="7"/>
    <d v="2016-03-16T17:09:00"/>
    <s v="Patch Set 6: Code-Review+1"/>
    <m/>
    <m/>
    <s v="ukri.niemimuukko@intel.com"/>
    <x v="0"/>
    <x v="4"/>
    <s v=""/>
    <x v="0"/>
    <s v=""/>
    <s v=""/>
    <s v=""/>
    <s v=""/>
    <s v=""/>
    <s v=""/>
    <s v=""/>
    <x v="0"/>
    <x v="0"/>
    <x v="0"/>
  </r>
  <r>
    <x v="15"/>
    <m/>
    <m/>
    <m/>
    <m/>
    <m/>
    <m/>
    <m/>
    <m/>
    <m/>
    <m/>
    <m/>
    <x v="2"/>
    <d v="2016-03-16T17:17:00"/>
    <s v="Patch Set 6: Approver+1"/>
    <m/>
    <m/>
    <s v="ukri.niemimuukko@intel.com"/>
    <x v="0"/>
    <x v="1"/>
    <s v=""/>
    <x v="0"/>
    <s v=""/>
    <s v=""/>
    <s v=""/>
    <s v=""/>
    <s v=""/>
    <s v=""/>
    <s v=""/>
    <x v="0"/>
    <x v="0"/>
    <x v="0"/>
  </r>
  <r>
    <x v="15"/>
    <m/>
    <m/>
    <m/>
    <m/>
    <m/>
    <m/>
    <m/>
    <m/>
    <m/>
    <m/>
    <m/>
    <x v="2"/>
    <d v="2016-03-16T17:17:00"/>
    <s v="Topic changed from March15Try3 to bxt_preint_HEAD"/>
    <m/>
    <m/>
    <s v="ukri.niemimuukko@intel.com"/>
    <x v="0"/>
    <x v="1"/>
    <s v=""/>
    <x v="0"/>
    <s v=""/>
    <s v=""/>
    <s v=""/>
    <s v=""/>
    <s v=""/>
    <s v=""/>
    <s v=""/>
    <x v="0"/>
    <x v="0"/>
    <x v="0"/>
  </r>
  <r>
    <x v="15"/>
    <m/>
    <m/>
    <m/>
    <m/>
    <m/>
    <m/>
    <m/>
    <m/>
    <m/>
    <m/>
    <m/>
    <x v="14"/>
    <d v="2016-03-16T21:01:00"/>
    <s v="Patch Set 6:\n\nreceive smoke test"/>
    <m/>
    <m/>
    <s v="ukri.niemimuukko@intel.com"/>
    <x v="0"/>
    <x v="5"/>
    <s v=""/>
    <x v="0"/>
    <s v=""/>
    <s v=""/>
    <s v=""/>
    <s v=""/>
    <s v=""/>
    <s v=""/>
    <s v=""/>
    <x v="0"/>
    <x v="0"/>
    <x v="0"/>
  </r>
  <r>
    <x v="15"/>
    <m/>
    <m/>
    <m/>
    <m/>
    <m/>
    <m/>
    <m/>
    <m/>
    <m/>
    <m/>
    <m/>
    <x v="2"/>
    <d v="2016-03-16T21:13:00"/>
    <s v="Topic changed from bxt_preint_HEAD to bxt_preint"/>
    <m/>
    <m/>
    <s v="ukri.niemimuukko@intel.com"/>
    <x v="0"/>
    <x v="1"/>
    <s v=""/>
    <x v="0"/>
    <s v=""/>
    <s v=""/>
    <s v=""/>
    <s v=""/>
    <s v=""/>
    <s v=""/>
    <s v=""/>
    <x v="0"/>
    <x v="0"/>
    <x v="0"/>
  </r>
  <r>
    <x v="15"/>
    <m/>
    <m/>
    <m/>
    <m/>
    <m/>
    <m/>
    <m/>
    <m/>
    <m/>
    <m/>
    <m/>
    <x v="9"/>
    <d v="2016-03-17T09:20:00"/>
    <s v="Patch Set 6: Integrator+1\n\nIntegrator +1; patch will be add to PT; please no change now"/>
    <m/>
    <m/>
    <s v="ukri.niemimuukko@intel.com"/>
    <x v="0"/>
    <x v="5"/>
    <s v=""/>
    <x v="0"/>
    <s v=""/>
    <s v=""/>
    <s v=""/>
    <s v=""/>
    <s v=""/>
    <s v=""/>
    <s v=""/>
    <x v="0"/>
    <x v="1"/>
    <x v="0"/>
  </r>
  <r>
    <x v="15"/>
    <m/>
    <m/>
    <m/>
    <m/>
    <m/>
    <m/>
    <m/>
    <m/>
    <m/>
    <m/>
    <m/>
    <x v="9"/>
    <d v="2016-03-17T16:55:00"/>
    <s v="Patch Set 6: Code-Review+1\n\nPassed PIT; ready for merge"/>
    <m/>
    <m/>
    <s v="ukri.niemimuukko@intel.com"/>
    <x v="0"/>
    <x v="5"/>
    <s v=""/>
    <x v="0"/>
    <s v=""/>
    <s v=""/>
    <s v=""/>
    <s v=""/>
    <s v=""/>
    <s v=""/>
    <s v=""/>
    <x v="0"/>
    <x v="0"/>
    <x v="0"/>
  </r>
  <r>
    <x v="15"/>
    <m/>
    <m/>
    <m/>
    <m/>
    <m/>
    <m/>
    <m/>
    <m/>
    <m/>
    <m/>
    <m/>
    <x v="9"/>
    <d v="2016-03-17T16:58:00"/>
    <s v="Patch Set 6: -Integrator"/>
    <m/>
    <m/>
    <s v="ukri.niemimuukko@intel.com"/>
    <x v="0"/>
    <x v="5"/>
    <s v=""/>
    <x v="0"/>
    <s v=""/>
    <s v=""/>
    <s v=""/>
    <s v=""/>
    <s v=""/>
    <s v=""/>
    <s v=""/>
    <x v="0"/>
    <x v="1"/>
    <x v="0"/>
  </r>
  <r>
    <x v="15"/>
    <m/>
    <m/>
    <m/>
    <m/>
    <m/>
    <m/>
    <m/>
    <m/>
    <m/>
    <m/>
    <m/>
    <x v="9"/>
    <d v="2016-03-17T16:58:00"/>
    <s v="Patch Set 7: Patch Set 6 was rebased"/>
    <m/>
    <m/>
    <s v="ukri.niemimuukko@intel.com"/>
    <x v="0"/>
    <x v="5"/>
    <s v=""/>
    <x v="0"/>
    <s v=""/>
    <s v=""/>
    <s v=""/>
    <s v=""/>
    <s v=""/>
    <s v=""/>
    <s v=""/>
    <x v="0"/>
    <x v="0"/>
    <x v="0"/>
  </r>
  <r>
    <x v="15"/>
    <m/>
    <m/>
    <m/>
    <m/>
    <m/>
    <m/>
    <m/>
    <m/>
    <m/>
    <m/>
    <m/>
    <x v="9"/>
    <d v="2016-03-17T16:58:00"/>
    <s v="Patch Set 7:\n\nPatchset Created: CI job has been scheduled."/>
    <m/>
    <m/>
    <s v="ukri.niemimuukko@intel.com"/>
    <x v="0"/>
    <x v="5"/>
    <s v=""/>
    <x v="0"/>
    <s v=""/>
    <s v=""/>
    <s v=""/>
    <s v=""/>
    <s v=""/>
    <s v=""/>
    <s v=""/>
    <x v="0"/>
    <x v="0"/>
    <x v="0"/>
  </r>
  <r>
    <x v="15"/>
    <m/>
    <m/>
    <m/>
    <m/>
    <m/>
    <m/>
    <m/>
    <m/>
    <m/>
    <m/>
    <m/>
    <x v="9"/>
    <d v="2016-03-17T16:58:00"/>
    <s v="Patch Set 7: Integrator+1"/>
    <m/>
    <m/>
    <s v="ukri.niemimuukko@intel.com"/>
    <x v="0"/>
    <x v="5"/>
    <s v=""/>
    <x v="0"/>
    <s v=""/>
    <s v=""/>
    <s v=""/>
    <s v=""/>
    <s v=""/>
    <s v=""/>
    <s v=""/>
    <x v="0"/>
    <x v="1"/>
    <x v="0"/>
  </r>
  <r>
    <x v="15"/>
    <m/>
    <m/>
    <m/>
    <m/>
    <m/>
    <m/>
    <m/>
    <m/>
    <m/>
    <m/>
    <m/>
    <x v="10"/>
    <d v="2016-03-25T18:15:00"/>
    <s v="Patch Set 8:\n\nThe patch has been successfully merged into r6_legacy with https://android.intel.com/486355"/>
    <m/>
    <m/>
    <s v="ukri.niemimuukko@intel.com"/>
    <x v="0"/>
    <x v="5"/>
    <s v=""/>
    <x v="0"/>
    <s v=""/>
    <s v=""/>
    <s v=""/>
    <s v=""/>
    <s v=""/>
    <s v=""/>
    <s v=""/>
    <x v="0"/>
    <x v="0"/>
    <x v="0"/>
  </r>
  <r>
    <x v="15"/>
    <m/>
    <m/>
    <m/>
    <m/>
    <m/>
    <m/>
    <m/>
    <m/>
    <m/>
    <m/>
    <m/>
    <x v="10"/>
    <d v="2016-03-30T16:42:00"/>
    <s v="Patch Set 8:\n\nThe patch has been successfully merged into 1A master with https://android.intel.com/483489"/>
    <m/>
    <m/>
    <s v="ukri.niemimuukko@intel.com"/>
    <x v="0"/>
    <x v="5"/>
    <s v=""/>
    <x v="0"/>
    <s v=""/>
    <s v=""/>
    <s v=""/>
    <s v=""/>
    <s v=""/>
    <s v=""/>
    <s v=""/>
    <x v="0"/>
    <x v="0"/>
    <x v="0"/>
  </r>
  <r>
    <x v="16"/>
    <n v="109897"/>
    <s v="vied-viedandr-camera3hal"/>
    <s v="platform/android/m/mr1/stable/master"/>
    <s v="Ibb4d9b0ec5bd18a17f38dc72c477980d096a2841"/>
    <s v="dongdong.zhang@intel.com"/>
    <s v="MERGED"/>
    <s v="c3:3a add support to load/save aiqd data"/>
    <s v="c3:3a add support to load/save aiqd data\n\nAiqd data contains various AIQ internal parameters like af calibration\nand focus range; collected during runtime and it will be stored in a\nhost file system. It should be passed to AIQ library by ia_aiq_init\nand read back by ia_aiq_get_aiqd_data. This adds two private\ninterfaces to load/save the aiqd data from/to aiq library. Also adds\none more param in initAIQ to enablei/disable for the Aiqd data save;\ndisabled by default.\n\nChange-Id: Ibb4d9b0ec5bd18a17f38dc72c477980d096a2841\nTracked-On: https://jira01.devtools.intel.com/browse/OAM-18757\nSigned-off-by: renwei wu &lt;renwei.wu@intel.com&gt;\nReviewed-On: https://android.intel.com/#/c/481050/\nReviewed-on: https://android.intel.com:443/481050\nReviewed-on: https://icggerrit.ir.intel.com/109897\nReviewed-by: Dongdong Zhang &lt;dongdong.zhang@intel.com&gt;\nApprover: Fan F Yang &lt;fan.f.yang@intel.com&gt;\nReviewed-by: Fan F Yang &lt;fan.f.yang@intel.com&gt;\nIntegrator: Fan F Yang &lt;fan.f.yang@intel.com&gt;\n"/>
    <d v="2016-03-24T13:51:00"/>
    <d v="2016-03-28T10:12:00"/>
    <s v="common"/>
    <x v="10"/>
    <d v="2016-03-24T13:51:00"/>
    <s v="Uploaded patch set 1."/>
    <m/>
    <s v="fan.f.yang@intel.com;"/>
    <s v="dongdong.zhang@intel.com"/>
    <x v="4"/>
    <x v="0"/>
    <s v="16'ww14"/>
    <x v="0"/>
    <n v="0"/>
    <n v="0"/>
    <n v="0"/>
    <n v="0"/>
    <n v="0"/>
    <n v="0"/>
    <n v="0"/>
    <x v="0"/>
    <x v="0"/>
    <x v="0"/>
  </r>
  <r>
    <x v="16"/>
    <m/>
    <m/>
    <m/>
    <m/>
    <m/>
    <m/>
    <m/>
    <m/>
    <m/>
    <m/>
    <m/>
    <x v="10"/>
    <d v="2016-03-24T13:51:00"/>
    <s v="Patch Set 1:\n\nPatchset Created: CI job has been scheduled."/>
    <m/>
    <m/>
    <s v="dongdong.zhang@intel.com"/>
    <x v="4"/>
    <x v="0"/>
    <s v=""/>
    <x v="0"/>
    <s v=""/>
    <s v=""/>
    <s v=""/>
    <s v=""/>
    <s v=""/>
    <s v=""/>
    <s v=""/>
    <x v="0"/>
    <x v="0"/>
    <x v="0"/>
  </r>
  <r>
    <x v="16"/>
    <m/>
    <m/>
    <m/>
    <m/>
    <m/>
    <m/>
    <m/>
    <m/>
    <m/>
    <m/>
    <m/>
    <x v="10"/>
    <d v="2016-03-24T14:16:00"/>
    <s v="Patch Set 1: Code-Review+1"/>
    <m/>
    <m/>
    <s v="dongdong.zhang@intel.com"/>
    <x v="4"/>
    <x v="0"/>
    <s v=""/>
    <x v="0"/>
    <s v=""/>
    <s v=""/>
    <s v=""/>
    <s v=""/>
    <s v=""/>
    <s v=""/>
    <s v=""/>
    <x v="0"/>
    <x v="0"/>
    <x v="0"/>
  </r>
  <r>
    <x v="16"/>
    <m/>
    <m/>
    <m/>
    <m/>
    <m/>
    <m/>
    <m/>
    <m/>
    <m/>
    <m/>
    <m/>
    <x v="26"/>
    <d v="2016-03-28T10:07:00"/>
    <s v="Patch Set 1: Approver+1 Code-Review+1 Integrator+1"/>
    <m/>
    <m/>
    <s v="dongdong.zhang@intel.com"/>
    <x v="4"/>
    <x v="5"/>
    <s v=""/>
    <x v="0"/>
    <s v=""/>
    <s v=""/>
    <s v=""/>
    <s v=""/>
    <s v=""/>
    <s v=""/>
    <s v=""/>
    <x v="0"/>
    <x v="0"/>
    <x v="0"/>
  </r>
  <r>
    <x v="17"/>
    <n v="109900"/>
    <s v="vied-viedandr-camera3hal"/>
    <s v="platform/android/m/mr1/stable/master"/>
    <s v="I105245fb6ae271e158e137147529b688b7debf92"/>
    <s v="dongdong.zhang@intel.com"/>
    <s v="MERGED"/>
    <s v="c3:cifpu: Improve performance when 3 camera streams"/>
    <s v="c3:cifpu: Improve performance when 3 camera streams\n\nBy using libyuv; decrease execution time when doing sw scaling\nin the 3 camera stream use case.\n\nChange-Id: I105245fb6ae271e158e137147529b688b7debf92\nTracked-On: https://jira01.devtools.intel.com/browse/OAM-23379\nSigned-off-by: Per Persson &lt;per.persson@intel.com&gt;\nReviewed-on: https://android.intel.com:443/480459\nReviewed-on: https://icggerrit.ir.intel.com/109900\nReviewed-by: Dongdong Zhang &lt;dongdong.zhang@intel.com&gt;\nApprover: Fan F Yang &lt;fan.f.yang@intel.com&gt;\nReviewed-by: Fan F Yang &lt;fan.f.yang@intel.com&gt;\nIntegrator: Fan F Yang &lt;fan.f.yang@intel.com&gt;\n"/>
    <d v="2016-03-24T13:51:00"/>
    <d v="2016-03-28T10:12:00"/>
    <s v="common"/>
    <x v="10"/>
    <d v="2016-03-24T13:51:00"/>
    <s v="Uploaded patch set 1."/>
    <m/>
    <s v="fan.f.yang@intel.com;"/>
    <s v="dongdong.zhang@intel.com"/>
    <x v="4"/>
    <x v="0"/>
    <s v="16'ww14"/>
    <x v="0"/>
    <n v="0"/>
    <n v="0"/>
    <n v="0"/>
    <n v="0"/>
    <n v="0"/>
    <n v="0"/>
    <n v="0"/>
    <x v="0"/>
    <x v="0"/>
    <x v="0"/>
  </r>
  <r>
    <x v="17"/>
    <m/>
    <m/>
    <m/>
    <m/>
    <m/>
    <m/>
    <m/>
    <m/>
    <m/>
    <m/>
    <m/>
    <x v="10"/>
    <d v="2016-03-24T13:51:00"/>
    <s v="Patch Set 1:\n\nPatchset Created: CI job has been scheduled."/>
    <m/>
    <m/>
    <s v="dongdong.zhang@intel.com"/>
    <x v="4"/>
    <x v="0"/>
    <s v=""/>
    <x v="0"/>
    <s v=""/>
    <s v=""/>
    <s v=""/>
    <s v=""/>
    <s v=""/>
    <s v=""/>
    <s v=""/>
    <x v="0"/>
    <x v="0"/>
    <x v="0"/>
  </r>
  <r>
    <x v="17"/>
    <m/>
    <m/>
    <m/>
    <m/>
    <m/>
    <m/>
    <m/>
    <m/>
    <m/>
    <m/>
    <m/>
    <x v="10"/>
    <d v="2016-03-24T14:16:00"/>
    <s v="Patch Set 1: Code-Review+1"/>
    <m/>
    <m/>
    <s v="dongdong.zhang@intel.com"/>
    <x v="4"/>
    <x v="0"/>
    <s v=""/>
    <x v="0"/>
    <s v=""/>
    <s v=""/>
    <s v=""/>
    <s v=""/>
    <s v=""/>
    <s v=""/>
    <s v=""/>
    <x v="0"/>
    <x v="0"/>
    <x v="0"/>
  </r>
  <r>
    <x v="17"/>
    <m/>
    <m/>
    <m/>
    <m/>
    <m/>
    <m/>
    <m/>
    <m/>
    <m/>
    <m/>
    <m/>
    <x v="26"/>
    <d v="2016-03-28T10:07:00"/>
    <s v="Patch Set 1: Approver+1 Code-Review+1 Integrator+1"/>
    <m/>
    <m/>
    <s v="dongdong.zhang@intel.com"/>
    <x v="4"/>
    <x v="5"/>
    <s v=""/>
    <x v="0"/>
    <s v=""/>
    <s v=""/>
    <s v=""/>
    <s v=""/>
    <s v=""/>
    <s v=""/>
    <s v=""/>
    <x v="0"/>
    <x v="0"/>
    <x v="0"/>
  </r>
  <r>
    <x v="18"/>
    <n v="105719"/>
    <s v="vied-viedandr-camera3hal"/>
    <s v="platform/android/main"/>
    <s v="I4a1ebc9285d0dc404401372f5e5351fadf5cd459"/>
    <s v="miguel.verdu@intel.com"/>
    <s v="MERGED"/>
    <s v="c3: add option to clear poll devices on flush."/>
    <s v="c3: add option to clear poll devices on flush.\n\nAdds a new option to flush() to allow the clearing of the\nvectors used by the poller thread.\n\nThose vectors store copies of the sp&lt;&gt; to the device nodes\nthat may keep the object alive further than it should.\n\nThe new option can be used when flushing on the stop sequence\nwhere we need to clear up all resources.\n\nChange-Id: I4a1ebc9285d0dc404401372f5e5351fadf5cd459\nTracked-On: #R502569\nSigned-off-by: Miguel Verdu &lt;miguel.verdu@intel.com&gt;\nReviewed-on: https://icggerrit.ir.intel.com/105719\nReviewed-by: John Mathew &lt;john.mathew@intel.com&gt;\nReviewed-by: Ukri Niemimuukko &lt;ukri.niemimuukko@intel.com&gt;\nReviewed-by: Juha Alanen &lt;juha.alanen@intel.com&gt;\nReviewed-by: Jarno Jakonen &lt;jarno.jakonen@intel.com&gt;\nReviewed-by: Jukka O Kaartinen &lt;jukka.o.kaartinen@intel.com&gt;\nReviewed-by: Jingzhi Yu &lt;jingzhi.yu@intel.com&gt;\nReviewed-by: Lassi I Vaatamoinen &lt;lassi.i.vaatamoinen@intel.com&gt;\nValidation-Android: Wei Tao &lt;wei.tao@intel.com&gt;\nApprover: Lassi I Vaatamoinen &lt;lassi.i.vaatamoinen@intel.com&gt;\nBuild: Dessert M BXT RVP (SC)\nBuild: Dessert M SOFIA (SC)\nBuild: Dessert M CHT FFD (SC)\nIntegrator: WeiX Meng &lt;weix.meng@intel.com&gt;\nReviewed-by: WeiX Meng &lt;weix.meng@intel.com&gt;\n"/>
    <d v="2016-03-04T21:39:00"/>
    <d v="2016-03-11T15:26:00"/>
    <s v="common"/>
    <x v="0"/>
    <d v="2016-03-04T21:39:00"/>
    <s v="Uploaded patch set 1."/>
    <m/>
    <s v="dongdong.zhang@intel.com;weix.meng@intel.com;lassi.i.vaatamoinen@intel.com;jingzhi.yu@intel.com;jarno.jakonen@intel.com;juha.alanen@intel.com;ukri.niemimuukko@intel.com;jukka.o.kaartinen@intel.com;renwei.wu@intel.com;hongjiang.a.zheng@intel.com;john.mathew@intel.com;weix.shen@intel.com;huanan.guo@intel.com;wei.tao@intel.com;"/>
    <s v="miguel.verdu@intel.com"/>
    <x v="0"/>
    <x v="0"/>
    <s v="16'ww11"/>
    <x v="0"/>
    <n v="1"/>
    <n v="0"/>
    <n v="1"/>
    <n v="0"/>
    <n v="3"/>
    <n v="21"/>
    <n v="1"/>
    <x v="0"/>
    <x v="0"/>
    <x v="0"/>
  </r>
  <r>
    <x v="18"/>
    <m/>
    <m/>
    <m/>
    <m/>
    <m/>
    <m/>
    <m/>
    <m/>
    <m/>
    <m/>
    <m/>
    <x v="0"/>
    <d v="2016-03-04T21:39:00"/>
    <s v="Patch Set 1:\n\nPatchset Created: CI job has been scheduled."/>
    <m/>
    <m/>
    <s v="miguel.verdu@intel.com"/>
    <x v="0"/>
    <x v="0"/>
    <s v=""/>
    <x v="0"/>
    <s v=""/>
    <s v=""/>
    <s v=""/>
    <s v=""/>
    <s v=""/>
    <s v=""/>
    <s v=""/>
    <x v="0"/>
    <x v="0"/>
    <x v="0"/>
  </r>
  <r>
    <x v="18"/>
    <m/>
    <m/>
    <m/>
    <m/>
    <m/>
    <m/>
    <m/>
    <m/>
    <m/>
    <m/>
    <m/>
    <x v="0"/>
    <d v="2016-03-07T17:06:00"/>
    <s v="Uploaded patch set 2: Patch Set 1 was rebased."/>
    <m/>
    <m/>
    <s v="miguel.verdu@intel.com"/>
    <x v="0"/>
    <x v="0"/>
    <s v=""/>
    <x v="0"/>
    <s v=""/>
    <s v=""/>
    <s v=""/>
    <s v=""/>
    <s v=""/>
    <s v=""/>
    <s v=""/>
    <x v="0"/>
    <x v="0"/>
    <x v="0"/>
  </r>
  <r>
    <x v="18"/>
    <m/>
    <m/>
    <m/>
    <m/>
    <m/>
    <m/>
    <m/>
    <m/>
    <m/>
    <m/>
    <m/>
    <x v="0"/>
    <d v="2016-03-07T17:06:00"/>
    <s v="Patch Set 2:\n\nPatchset Created: CI job has been scheduled."/>
    <m/>
    <m/>
    <s v="miguel.verdu@intel.com"/>
    <x v="0"/>
    <x v="0"/>
    <s v=""/>
    <x v="0"/>
    <s v=""/>
    <s v=""/>
    <s v=""/>
    <s v=""/>
    <s v=""/>
    <s v=""/>
    <s v=""/>
    <x v="0"/>
    <x v="0"/>
    <x v="0"/>
  </r>
  <r>
    <x v="18"/>
    <m/>
    <m/>
    <m/>
    <m/>
    <m/>
    <m/>
    <m/>
    <m/>
    <m/>
    <m/>
    <m/>
    <x v="14"/>
    <d v="2016-03-08T12:09:00"/>
    <s v="Patch Set 2:\n\nManual Trigger: CI job scheduled.\n\n - Reason: Retrigger CI; because the artifacts were removed before I got to analyzing the results"/>
    <m/>
    <m/>
    <s v="miguel.verdu@intel.com"/>
    <x v="0"/>
    <x v="5"/>
    <s v=""/>
    <x v="0"/>
    <s v=""/>
    <s v=""/>
    <s v=""/>
    <s v=""/>
    <s v=""/>
    <s v=""/>
    <s v=""/>
    <x v="0"/>
    <x v="0"/>
    <x v="0"/>
  </r>
  <r>
    <x v="18"/>
    <m/>
    <m/>
    <m/>
    <m/>
    <m/>
    <m/>
    <m/>
    <m/>
    <m/>
    <m/>
    <m/>
    <x v="27"/>
    <d v="2016-03-08T13:51:00"/>
    <s v="Patch Set 2:\n\nManual Trigger: CI job scheduled.\n\n - Reason: CI failed due to patch issue or related patch issue (SDK/image/driver/support patch missing)"/>
    <m/>
    <m/>
    <s v="miguel.verdu@intel.com"/>
    <x v="0"/>
    <x v="5"/>
    <s v=""/>
    <x v="0"/>
    <s v=""/>
    <s v=""/>
    <s v=""/>
    <s v=""/>
    <s v=""/>
    <s v=""/>
    <s v=""/>
    <x v="0"/>
    <x v="0"/>
    <x v="0"/>
  </r>
  <r>
    <x v="18"/>
    <m/>
    <m/>
    <m/>
    <m/>
    <m/>
    <m/>
    <m/>
    <m/>
    <m/>
    <m/>
    <m/>
    <x v="27"/>
    <d v="2016-03-08T14:29:00"/>
    <s v="Patch Set 2:\n\nManual Trigger: CI job scheduled.\n\n - Reason: Retrigger CI; because the artifacts were removed before I got to analyzing the results"/>
    <m/>
    <m/>
    <s v="miguel.verdu@intel.com"/>
    <x v="0"/>
    <x v="5"/>
    <s v=""/>
    <x v="0"/>
    <s v=""/>
    <s v=""/>
    <s v=""/>
    <s v=""/>
    <s v=""/>
    <s v=""/>
    <s v=""/>
    <x v="0"/>
    <x v="0"/>
    <x v="0"/>
  </r>
  <r>
    <x v="18"/>
    <m/>
    <m/>
    <m/>
    <m/>
    <m/>
    <m/>
    <m/>
    <m/>
    <m/>
    <m/>
    <m/>
    <x v="28"/>
    <d v="2016-03-08T15:34:00"/>
    <s v="Patch Set 2:\n\nManual Trigger: CI job scheduled.\n\n - Reason: Retrigger CI; but don't report issue now (will investigate and report later)"/>
    <m/>
    <m/>
    <s v="miguel.verdu@intel.com"/>
    <x v="0"/>
    <x v="5"/>
    <s v=""/>
    <x v="0"/>
    <s v=""/>
    <s v=""/>
    <s v=""/>
    <s v=""/>
    <s v=""/>
    <s v=""/>
    <s v=""/>
    <x v="0"/>
    <x v="0"/>
    <x v="0"/>
  </r>
  <r>
    <x v="18"/>
    <m/>
    <m/>
    <m/>
    <m/>
    <m/>
    <m/>
    <m/>
    <m/>
    <m/>
    <m/>
    <m/>
    <x v="14"/>
    <d v="2016-03-08T16:02:00"/>
    <s v="Patch Set 2: Validation-Android+1\n\nreceive smoke test"/>
    <m/>
    <m/>
    <s v="miguel.verdu@intel.com"/>
    <x v="0"/>
    <x v="5"/>
    <s v=""/>
    <x v="0"/>
    <s v=""/>
    <s v=""/>
    <s v=""/>
    <s v=""/>
    <s v=""/>
    <s v=""/>
    <s v=""/>
    <x v="0"/>
    <x v="1"/>
    <x v="0"/>
  </r>
  <r>
    <x v="18"/>
    <m/>
    <m/>
    <m/>
    <m/>
    <m/>
    <m/>
    <m/>
    <m/>
    <m/>
    <m/>
    <m/>
    <x v="8"/>
    <d v="2016-03-08T16:47:00"/>
    <s v="Patch Set 2: Code-Review+1"/>
    <m/>
    <m/>
    <s v="miguel.verdu@intel.com"/>
    <x v="0"/>
    <x v="1"/>
    <s v=""/>
    <x v="0"/>
    <s v=""/>
    <s v=""/>
    <s v=""/>
    <s v=""/>
    <s v=""/>
    <s v=""/>
    <s v=""/>
    <x v="0"/>
    <x v="0"/>
    <x v="0"/>
  </r>
  <r>
    <x v="18"/>
    <m/>
    <m/>
    <m/>
    <m/>
    <m/>
    <m/>
    <m/>
    <m/>
    <m/>
    <m/>
    <m/>
    <x v="8"/>
    <d v="2016-03-08T17:11:00"/>
    <s v="Uploaded patch set 3: Patch Set 2 was rebased."/>
    <m/>
    <m/>
    <s v="miguel.verdu@intel.com"/>
    <x v="0"/>
    <x v="1"/>
    <s v=""/>
    <x v="0"/>
    <s v=""/>
    <s v=""/>
    <s v=""/>
    <s v=""/>
    <s v=""/>
    <s v=""/>
    <s v=""/>
    <x v="0"/>
    <x v="0"/>
    <x v="0"/>
  </r>
  <r>
    <x v="18"/>
    <m/>
    <m/>
    <m/>
    <m/>
    <m/>
    <m/>
    <m/>
    <m/>
    <m/>
    <m/>
    <m/>
    <x v="8"/>
    <d v="2016-03-08T17:11:00"/>
    <s v="Patch Set 3:\n\nPatchset Created: CI job has been scheduled."/>
    <m/>
    <m/>
    <s v="miguel.verdu@intel.com"/>
    <x v="0"/>
    <x v="1"/>
    <s v=""/>
    <x v="0"/>
    <s v=""/>
    <s v=""/>
    <s v=""/>
    <s v=""/>
    <s v=""/>
    <s v=""/>
    <s v=""/>
    <x v="0"/>
    <x v="0"/>
    <x v="0"/>
  </r>
  <r>
    <x v="18"/>
    <m/>
    <m/>
    <m/>
    <m/>
    <m/>
    <m/>
    <m/>
    <m/>
    <m/>
    <m/>
    <m/>
    <x v="15"/>
    <d v="2016-03-08T17:14:00"/>
    <s v="Patch Set 2: Code-Review+1"/>
    <m/>
    <m/>
    <s v="miguel.verdu@intel.com"/>
    <x v="0"/>
    <x v="4"/>
    <s v=""/>
    <x v="0"/>
    <s v=""/>
    <s v=""/>
    <s v=""/>
    <s v=""/>
    <s v=""/>
    <s v=""/>
    <s v=""/>
    <x v="0"/>
    <x v="0"/>
    <x v="0"/>
  </r>
  <r>
    <x v="18"/>
    <m/>
    <m/>
    <m/>
    <m/>
    <m/>
    <m/>
    <m/>
    <m/>
    <m/>
    <m/>
    <m/>
    <x v="15"/>
    <d v="2016-03-08T17:15:00"/>
    <s v="Patch Set 3: Code-Review+1"/>
    <m/>
    <m/>
    <s v="miguel.verdu@intel.com"/>
    <x v="0"/>
    <x v="4"/>
    <s v=""/>
    <x v="0"/>
    <s v=""/>
    <s v=""/>
    <s v=""/>
    <s v=""/>
    <s v=""/>
    <s v=""/>
    <s v=""/>
    <x v="0"/>
    <x v="0"/>
    <x v="0"/>
  </r>
  <r>
    <x v="18"/>
    <m/>
    <m/>
    <m/>
    <m/>
    <m/>
    <m/>
    <m/>
    <m/>
    <m/>
    <m/>
    <m/>
    <x v="3"/>
    <d v="2016-03-08T17:17:00"/>
    <s v="Patch Set 3: Code-Review+1"/>
    <m/>
    <m/>
    <s v="miguel.verdu@intel.com"/>
    <x v="0"/>
    <x v="2"/>
    <s v=""/>
    <x v="0"/>
    <s v=""/>
    <s v=""/>
    <s v=""/>
    <s v=""/>
    <s v=""/>
    <s v=""/>
    <s v=""/>
    <x v="0"/>
    <x v="0"/>
    <x v="0"/>
  </r>
  <r>
    <x v="18"/>
    <m/>
    <m/>
    <m/>
    <m/>
    <m/>
    <m/>
    <m/>
    <m/>
    <m/>
    <m/>
    <m/>
    <x v="2"/>
    <d v="2016-03-08T17:27:00"/>
    <s v="Patch Set 3: Code-Review-1\n\n(1 comment)"/>
    <s v="line15 :&quot;typo&quot;"/>
    <m/>
    <s v="miguel.verdu@intel.com"/>
    <x v="0"/>
    <x v="1"/>
    <s v=""/>
    <x v="0"/>
    <s v=""/>
    <s v=""/>
    <s v=""/>
    <s v=""/>
    <s v=""/>
    <s v=""/>
    <s v=""/>
    <x v="1"/>
    <x v="0"/>
    <x v="0"/>
  </r>
  <r>
    <x v="18"/>
    <m/>
    <m/>
    <m/>
    <m/>
    <m/>
    <m/>
    <m/>
    <m/>
    <m/>
    <m/>
    <m/>
    <x v="8"/>
    <d v="2016-03-08T17:43:00"/>
    <s v="Uploaded patch set 4."/>
    <m/>
    <m/>
    <s v="miguel.verdu@intel.com"/>
    <x v="0"/>
    <x v="1"/>
    <s v=""/>
    <x v="0"/>
    <s v=""/>
    <s v=""/>
    <s v=""/>
    <s v=""/>
    <s v=""/>
    <s v=""/>
    <s v=""/>
    <x v="0"/>
    <x v="0"/>
    <x v="0"/>
  </r>
  <r>
    <x v="18"/>
    <m/>
    <m/>
    <m/>
    <m/>
    <m/>
    <m/>
    <m/>
    <m/>
    <m/>
    <m/>
    <m/>
    <x v="8"/>
    <d v="2016-03-08T17:43:00"/>
    <s v="Patch Set 4:\n\nPatchset Created: CI job has been scheduled."/>
    <m/>
    <m/>
    <s v="miguel.verdu@intel.com"/>
    <x v="0"/>
    <x v="1"/>
    <s v=""/>
    <x v="0"/>
    <s v=""/>
    <s v=""/>
    <s v=""/>
    <s v=""/>
    <s v=""/>
    <s v=""/>
    <s v=""/>
    <x v="0"/>
    <x v="0"/>
    <x v="0"/>
  </r>
  <r>
    <x v="18"/>
    <m/>
    <m/>
    <m/>
    <m/>
    <m/>
    <m/>
    <m/>
    <m/>
    <m/>
    <m/>
    <m/>
    <x v="8"/>
    <d v="2016-03-08T17:48:00"/>
    <s v="Patch Set 4: Code-Review+1"/>
    <m/>
    <m/>
    <s v="miguel.verdu@intel.com"/>
    <x v="0"/>
    <x v="1"/>
    <s v=""/>
    <x v="0"/>
    <s v=""/>
    <s v=""/>
    <s v=""/>
    <s v=""/>
    <s v=""/>
    <s v=""/>
    <s v=""/>
    <x v="0"/>
    <x v="0"/>
    <x v="0"/>
  </r>
  <r>
    <x v="18"/>
    <m/>
    <m/>
    <m/>
    <m/>
    <m/>
    <m/>
    <m/>
    <m/>
    <m/>
    <m/>
    <m/>
    <x v="8"/>
    <d v="2016-03-08T17:48:00"/>
    <s v="Patch Set 3:\n\n(1 comment)"/>
    <s v="line15 :&quot;Done&quot;"/>
    <m/>
    <s v="miguel.verdu@intel.com"/>
    <x v="0"/>
    <x v="1"/>
    <s v=""/>
    <x v="0"/>
    <s v=""/>
    <s v=""/>
    <s v=""/>
    <s v=""/>
    <s v=""/>
    <s v=""/>
    <s v=""/>
    <x v="0"/>
    <x v="0"/>
    <x v="0"/>
  </r>
  <r>
    <x v="18"/>
    <m/>
    <m/>
    <m/>
    <m/>
    <m/>
    <m/>
    <m/>
    <m/>
    <m/>
    <m/>
    <m/>
    <x v="6"/>
    <d v="2016-03-08T18:17:00"/>
    <s v="Patch Set 4: Code-Review+1"/>
    <m/>
    <m/>
    <s v="miguel.verdu@intel.com"/>
    <x v="0"/>
    <x v="1"/>
    <s v=""/>
    <x v="0"/>
    <s v=""/>
    <s v=""/>
    <s v=""/>
    <s v=""/>
    <s v=""/>
    <s v=""/>
    <s v=""/>
    <x v="0"/>
    <x v="0"/>
    <x v="0"/>
  </r>
  <r>
    <x v="18"/>
    <m/>
    <m/>
    <m/>
    <m/>
    <m/>
    <m/>
    <m/>
    <m/>
    <m/>
    <m/>
    <m/>
    <x v="5"/>
    <d v="2016-03-08T18:40:00"/>
    <s v="Patch Set 4: Code-Review+1"/>
    <m/>
    <m/>
    <s v="miguel.verdu@intel.com"/>
    <x v="0"/>
    <x v="1"/>
    <s v=""/>
    <x v="0"/>
    <s v=""/>
    <s v=""/>
    <s v=""/>
    <s v=""/>
    <s v=""/>
    <s v=""/>
    <s v=""/>
    <x v="0"/>
    <x v="0"/>
    <x v="0"/>
  </r>
  <r>
    <x v="18"/>
    <m/>
    <m/>
    <m/>
    <m/>
    <m/>
    <m/>
    <m/>
    <m/>
    <m/>
    <m/>
    <m/>
    <x v="8"/>
    <d v="2016-03-08T19:32:00"/>
    <s v="Uploaded patch set 5: Patch Set 4 was rebased."/>
    <m/>
    <m/>
    <s v="miguel.verdu@intel.com"/>
    <x v="0"/>
    <x v="1"/>
    <s v=""/>
    <x v="0"/>
    <s v=""/>
    <s v=""/>
    <s v=""/>
    <s v=""/>
    <s v=""/>
    <s v=""/>
    <s v=""/>
    <x v="0"/>
    <x v="0"/>
    <x v="0"/>
  </r>
  <r>
    <x v="18"/>
    <m/>
    <m/>
    <m/>
    <m/>
    <m/>
    <m/>
    <m/>
    <m/>
    <m/>
    <m/>
    <m/>
    <x v="8"/>
    <d v="2016-03-08T19:32:00"/>
    <s v="Patch Set 5:\n\nPatchset Created: CI job has been scheduled."/>
    <m/>
    <m/>
    <s v="miguel.verdu@intel.com"/>
    <x v="0"/>
    <x v="1"/>
    <s v=""/>
    <x v="0"/>
    <s v=""/>
    <s v=""/>
    <s v=""/>
    <s v=""/>
    <s v=""/>
    <s v=""/>
    <s v=""/>
    <x v="0"/>
    <x v="0"/>
    <x v="0"/>
  </r>
  <r>
    <x v="18"/>
    <m/>
    <m/>
    <m/>
    <m/>
    <m/>
    <m/>
    <m/>
    <m/>
    <m/>
    <m/>
    <m/>
    <x v="0"/>
    <d v="2016-03-08T19:52:00"/>
    <s v="Patch Set 5: Code-Review+1"/>
    <m/>
    <m/>
    <s v="miguel.verdu@intel.com"/>
    <x v="0"/>
    <x v="0"/>
    <s v=""/>
    <x v="0"/>
    <s v=""/>
    <s v=""/>
    <s v=""/>
    <s v=""/>
    <s v=""/>
    <s v=""/>
    <s v=""/>
    <x v="0"/>
    <x v="0"/>
    <x v="0"/>
  </r>
  <r>
    <x v="18"/>
    <m/>
    <m/>
    <m/>
    <m/>
    <m/>
    <m/>
    <m/>
    <m/>
    <m/>
    <m/>
    <m/>
    <x v="17"/>
    <d v="2016-03-08T21:03:00"/>
    <s v="Patch Set 5: Code-Review+1"/>
    <m/>
    <m/>
    <s v="miguel.verdu@intel.com"/>
    <x v="0"/>
    <x v="1"/>
    <s v=""/>
    <x v="0"/>
    <s v=""/>
    <s v=""/>
    <s v=""/>
    <s v=""/>
    <s v=""/>
    <s v=""/>
    <s v=""/>
    <x v="0"/>
    <x v="0"/>
    <x v="0"/>
  </r>
  <r>
    <x v="18"/>
    <m/>
    <m/>
    <m/>
    <m/>
    <m/>
    <m/>
    <m/>
    <m/>
    <m/>
    <m/>
    <m/>
    <x v="2"/>
    <d v="2016-03-08T21:57:00"/>
    <s v="Patch Set 5: Code-Review+1"/>
    <m/>
    <m/>
    <s v="miguel.verdu@intel.com"/>
    <x v="0"/>
    <x v="1"/>
    <s v=""/>
    <x v="0"/>
    <s v=""/>
    <s v=""/>
    <s v=""/>
    <s v=""/>
    <s v=""/>
    <s v=""/>
    <s v=""/>
    <x v="0"/>
    <x v="0"/>
    <x v="0"/>
  </r>
  <r>
    <x v="18"/>
    <m/>
    <m/>
    <m/>
    <m/>
    <m/>
    <m/>
    <m/>
    <m/>
    <m/>
    <m/>
    <m/>
    <x v="16"/>
    <d v="2016-03-09T10:50:00"/>
    <s v="Patch Set 5: Code-Review+1"/>
    <m/>
    <m/>
    <s v="miguel.verdu@intel.com"/>
    <x v="0"/>
    <x v="4"/>
    <s v=""/>
    <x v="0"/>
    <s v=""/>
    <s v=""/>
    <s v=""/>
    <s v=""/>
    <s v=""/>
    <s v=""/>
    <s v=""/>
    <x v="0"/>
    <x v="0"/>
    <x v="0"/>
  </r>
  <r>
    <x v="18"/>
    <m/>
    <m/>
    <m/>
    <m/>
    <m/>
    <m/>
    <m/>
    <m/>
    <m/>
    <m/>
    <m/>
    <x v="8"/>
    <d v="2016-03-09T15:09:00"/>
    <s v="Uploaded patch set 6: Patch Set 5 was rebased."/>
    <m/>
    <m/>
    <s v="miguel.verdu@intel.com"/>
    <x v="0"/>
    <x v="1"/>
    <s v=""/>
    <x v="0"/>
    <s v=""/>
    <s v=""/>
    <s v=""/>
    <s v=""/>
    <s v=""/>
    <s v=""/>
    <s v=""/>
    <x v="0"/>
    <x v="0"/>
    <x v="0"/>
  </r>
  <r>
    <x v="18"/>
    <m/>
    <m/>
    <m/>
    <m/>
    <m/>
    <m/>
    <m/>
    <m/>
    <m/>
    <m/>
    <m/>
    <x v="8"/>
    <d v="2016-03-09T15:09:00"/>
    <s v="Patch Set 6:\n\nPatchset Created: CI job has been scheduled."/>
    <m/>
    <m/>
    <s v="miguel.verdu@intel.com"/>
    <x v="0"/>
    <x v="1"/>
    <s v=""/>
    <x v="0"/>
    <s v=""/>
    <s v=""/>
    <s v=""/>
    <s v=""/>
    <s v=""/>
    <s v=""/>
    <s v=""/>
    <x v="0"/>
    <x v="0"/>
    <x v="0"/>
  </r>
  <r>
    <x v="18"/>
    <m/>
    <m/>
    <m/>
    <m/>
    <m/>
    <m/>
    <m/>
    <m/>
    <m/>
    <m/>
    <m/>
    <x v="8"/>
    <d v="2016-03-09T15:22:00"/>
    <s v="Uploaded patch set 7: Patch Set 6 was rebased."/>
    <m/>
    <m/>
    <s v="miguel.verdu@intel.com"/>
    <x v="0"/>
    <x v="1"/>
    <s v=""/>
    <x v="0"/>
    <s v=""/>
    <s v=""/>
    <s v=""/>
    <s v=""/>
    <s v=""/>
    <s v=""/>
    <s v=""/>
    <x v="0"/>
    <x v="0"/>
    <x v="0"/>
  </r>
  <r>
    <x v="18"/>
    <m/>
    <m/>
    <m/>
    <m/>
    <m/>
    <m/>
    <m/>
    <m/>
    <m/>
    <m/>
    <m/>
    <x v="8"/>
    <d v="2016-03-09T15:22:00"/>
    <s v="Patch Set 7:\n\nPatchset Created: CI job has been scheduled."/>
    <m/>
    <m/>
    <s v="miguel.verdu@intel.com"/>
    <x v="0"/>
    <x v="1"/>
    <s v=""/>
    <x v="0"/>
    <s v=""/>
    <s v=""/>
    <s v=""/>
    <s v=""/>
    <s v=""/>
    <s v=""/>
    <s v=""/>
    <x v="0"/>
    <x v="0"/>
    <x v="0"/>
  </r>
  <r>
    <x v="18"/>
    <m/>
    <m/>
    <m/>
    <m/>
    <m/>
    <m/>
    <m/>
    <m/>
    <m/>
    <m/>
    <m/>
    <x v="12"/>
    <d v="2016-03-09T15:56:00"/>
    <s v="Patch Set 7: Code-Review+1"/>
    <m/>
    <m/>
    <s v="miguel.verdu@intel.com"/>
    <x v="0"/>
    <x v="1"/>
    <s v=""/>
    <x v="0"/>
    <s v=""/>
    <s v=""/>
    <s v=""/>
    <s v=""/>
    <s v=""/>
    <s v=""/>
    <s v=""/>
    <x v="0"/>
    <x v="0"/>
    <x v="0"/>
  </r>
  <r>
    <x v="18"/>
    <m/>
    <m/>
    <m/>
    <m/>
    <m/>
    <m/>
    <m/>
    <m/>
    <m/>
    <m/>
    <m/>
    <x v="0"/>
    <d v="2016-03-09T19:51:00"/>
    <s v="Uploaded patch set 8: Patch Set 7 was rebased."/>
    <m/>
    <m/>
    <s v="miguel.verdu@intel.com"/>
    <x v="0"/>
    <x v="0"/>
    <s v=""/>
    <x v="0"/>
    <s v=""/>
    <s v=""/>
    <s v=""/>
    <s v=""/>
    <s v=""/>
    <s v=""/>
    <s v=""/>
    <x v="0"/>
    <x v="0"/>
    <x v="0"/>
  </r>
  <r>
    <x v="18"/>
    <m/>
    <m/>
    <m/>
    <m/>
    <m/>
    <m/>
    <m/>
    <m/>
    <m/>
    <m/>
    <m/>
    <x v="0"/>
    <d v="2016-03-09T19:51:00"/>
    <s v="Patch Set 8:\n\nPatchset Created: CI job has been scheduled."/>
    <m/>
    <m/>
    <s v="miguel.verdu@intel.com"/>
    <x v="0"/>
    <x v="0"/>
    <s v=""/>
    <x v="0"/>
    <s v=""/>
    <s v=""/>
    <s v=""/>
    <s v=""/>
    <s v=""/>
    <s v=""/>
    <s v=""/>
    <x v="0"/>
    <x v="0"/>
    <x v="0"/>
  </r>
  <r>
    <x v="18"/>
    <m/>
    <m/>
    <m/>
    <m/>
    <m/>
    <m/>
    <m/>
    <m/>
    <m/>
    <m/>
    <m/>
    <x v="0"/>
    <d v="2016-03-09T20:53:00"/>
    <s v="Uploaded patch set 9: Patch Set 8 was rebased."/>
    <m/>
    <m/>
    <s v="miguel.verdu@intel.com"/>
    <x v="0"/>
    <x v="0"/>
    <s v=""/>
    <x v="0"/>
    <s v=""/>
    <s v=""/>
    <s v=""/>
    <s v=""/>
    <s v=""/>
    <s v=""/>
    <s v=""/>
    <x v="0"/>
    <x v="0"/>
    <x v="0"/>
  </r>
  <r>
    <x v="18"/>
    <m/>
    <m/>
    <m/>
    <m/>
    <m/>
    <m/>
    <m/>
    <m/>
    <m/>
    <m/>
    <m/>
    <x v="0"/>
    <d v="2016-03-09T20:53:00"/>
    <s v="Patch Set 9:\n\nPatchset Created: CI job has been scheduled."/>
    <m/>
    <m/>
    <s v="miguel.verdu@intel.com"/>
    <x v="0"/>
    <x v="0"/>
    <s v=""/>
    <x v="0"/>
    <s v=""/>
    <s v=""/>
    <s v=""/>
    <s v=""/>
    <s v=""/>
    <s v=""/>
    <s v=""/>
    <x v="0"/>
    <x v="0"/>
    <x v="0"/>
  </r>
  <r>
    <x v="18"/>
    <m/>
    <m/>
    <m/>
    <m/>
    <m/>
    <m/>
    <m/>
    <m/>
    <m/>
    <m/>
    <m/>
    <x v="14"/>
    <d v="2016-03-09T20:59:00"/>
    <s v="Patch Set 9: Validation-Android+1\n\nreceive smoke test"/>
    <m/>
    <m/>
    <s v="miguel.verdu@intel.com"/>
    <x v="0"/>
    <x v="5"/>
    <s v=""/>
    <x v="0"/>
    <s v=""/>
    <s v=""/>
    <s v=""/>
    <s v=""/>
    <s v=""/>
    <s v=""/>
    <s v=""/>
    <x v="0"/>
    <x v="1"/>
    <x v="0"/>
  </r>
  <r>
    <x v="18"/>
    <m/>
    <m/>
    <m/>
    <m/>
    <m/>
    <m/>
    <m/>
    <m/>
    <m/>
    <m/>
    <m/>
    <x v="12"/>
    <d v="2016-03-09T21:02:00"/>
    <s v="Patch Set 9: Approver+1"/>
    <m/>
    <m/>
    <s v="miguel.verdu@intel.com"/>
    <x v="0"/>
    <x v="1"/>
    <s v=""/>
    <x v="0"/>
    <s v=""/>
    <s v=""/>
    <s v=""/>
    <s v=""/>
    <s v=""/>
    <s v=""/>
    <s v=""/>
    <x v="0"/>
    <x v="0"/>
    <x v="0"/>
  </r>
  <r>
    <x v="18"/>
    <m/>
    <m/>
    <m/>
    <m/>
    <m/>
    <m/>
    <m/>
    <m/>
    <m/>
    <m/>
    <m/>
    <x v="12"/>
    <d v="2016-03-09T21:12:00"/>
    <s v="Topic changed from up_gcss to bxt_preint"/>
    <m/>
    <m/>
    <s v="miguel.verdu@intel.com"/>
    <x v="0"/>
    <x v="1"/>
    <s v=""/>
    <x v="0"/>
    <s v=""/>
    <s v=""/>
    <s v=""/>
    <s v=""/>
    <s v=""/>
    <s v=""/>
    <s v=""/>
    <x v="0"/>
    <x v="0"/>
    <x v="0"/>
  </r>
  <r>
    <x v="18"/>
    <m/>
    <m/>
    <m/>
    <m/>
    <m/>
    <m/>
    <m/>
    <m/>
    <m/>
    <m/>
    <m/>
    <x v="14"/>
    <d v="2016-03-09T21:25:00"/>
    <s v="Patch Set 9:\n\nreceive smoke test"/>
    <m/>
    <m/>
    <s v="miguel.verdu@intel.com"/>
    <x v="0"/>
    <x v="5"/>
    <s v=""/>
    <x v="0"/>
    <s v=""/>
    <s v=""/>
    <s v=""/>
    <s v=""/>
    <s v=""/>
    <s v=""/>
    <s v=""/>
    <x v="0"/>
    <x v="0"/>
    <x v="0"/>
  </r>
  <r>
    <x v="18"/>
    <m/>
    <m/>
    <m/>
    <m/>
    <m/>
    <m/>
    <m/>
    <m/>
    <m/>
    <m/>
    <m/>
    <x v="9"/>
    <d v="2016-03-10T13:53:00"/>
    <s v="Patch Set 9: Integrator+1\n\nIntegrator +1; patch will be add to PT; please no change now"/>
    <m/>
    <m/>
    <s v="miguel.verdu@intel.com"/>
    <x v="0"/>
    <x v="5"/>
    <s v=""/>
    <x v="0"/>
    <s v=""/>
    <s v=""/>
    <s v=""/>
    <s v=""/>
    <s v=""/>
    <s v=""/>
    <s v=""/>
    <x v="0"/>
    <x v="1"/>
    <x v="0"/>
  </r>
  <r>
    <x v="18"/>
    <m/>
    <m/>
    <m/>
    <m/>
    <m/>
    <m/>
    <m/>
    <m/>
    <m/>
    <m/>
    <m/>
    <x v="9"/>
    <d v="2016-03-10T19:08:00"/>
    <s v="Patch Set 9:\n\nPassed Klocwork code analyzing test. No CRITICAL issue in this patch. Auto reported by kwscan@kw-srv2.bj.intel.com"/>
    <m/>
    <m/>
    <s v="miguel.verdu@intel.com"/>
    <x v="0"/>
    <x v="5"/>
    <s v=""/>
    <x v="0"/>
    <s v=""/>
    <s v=""/>
    <s v=""/>
    <s v=""/>
    <s v=""/>
    <s v=""/>
    <s v=""/>
    <x v="0"/>
    <x v="0"/>
    <x v="0"/>
  </r>
  <r>
    <x v="18"/>
    <m/>
    <m/>
    <m/>
    <m/>
    <m/>
    <m/>
    <m/>
    <m/>
    <m/>
    <m/>
    <m/>
    <x v="9"/>
    <d v="2016-03-10T21:03:00"/>
    <s v="Patch Set 9:\n\nPassed Klocwork code analyzing test. No CRITICAL issue in this patch. Auto reported by kwscan@psi-build5.bj.intel.com"/>
    <m/>
    <m/>
    <s v="miguel.verdu@intel.com"/>
    <x v="0"/>
    <x v="5"/>
    <s v=""/>
    <x v="0"/>
    <s v=""/>
    <s v=""/>
    <s v=""/>
    <s v=""/>
    <s v=""/>
    <s v=""/>
    <s v=""/>
    <x v="0"/>
    <x v="0"/>
    <x v="0"/>
  </r>
  <r>
    <x v="18"/>
    <m/>
    <m/>
    <m/>
    <m/>
    <m/>
    <m/>
    <m/>
    <m/>
    <m/>
    <m/>
    <m/>
    <x v="9"/>
    <d v="2016-03-10T22:23:00"/>
    <s v="Patch Set 9:\n\nPassed Klocwork code analyzing test. No CRITICAL issue in this patch. Auto reported by kwscan@andr-val-srv0.bj.intel.com"/>
    <m/>
    <m/>
    <s v="miguel.verdu@intel.com"/>
    <x v="0"/>
    <x v="5"/>
    <s v=""/>
    <x v="0"/>
    <s v=""/>
    <s v=""/>
    <s v=""/>
    <s v=""/>
    <s v=""/>
    <s v=""/>
    <s v=""/>
    <x v="0"/>
    <x v="0"/>
    <x v="0"/>
  </r>
  <r>
    <x v="18"/>
    <m/>
    <m/>
    <m/>
    <m/>
    <m/>
    <m/>
    <m/>
    <m/>
    <m/>
    <m/>
    <m/>
    <x v="9"/>
    <d v="2016-03-10T23:11:00"/>
    <s v="Patch Set 9:\n\nPassed Klocwork code analyzing test. No CRITICAL issue in this patch. Auto reported by kwscan@psi-build5.bj.intel.com"/>
    <m/>
    <m/>
    <s v="miguel.verdu@intel.com"/>
    <x v="0"/>
    <x v="5"/>
    <s v=""/>
    <x v="0"/>
    <s v=""/>
    <s v=""/>
    <s v=""/>
    <s v=""/>
    <s v=""/>
    <s v=""/>
    <s v=""/>
    <x v="0"/>
    <x v="0"/>
    <x v="0"/>
  </r>
  <r>
    <x v="18"/>
    <m/>
    <m/>
    <m/>
    <m/>
    <m/>
    <m/>
    <m/>
    <m/>
    <m/>
    <m/>
    <m/>
    <x v="9"/>
    <d v="2016-03-10T23:47:00"/>
    <s v="Patch Set 9:\n\nPassed Klocwork code analyzing test. No CRITICAL issue in this patch. Auto reported by kwscan@kw-srv2.bj.intel.com"/>
    <m/>
    <m/>
    <s v="miguel.verdu@intel.com"/>
    <x v="0"/>
    <x v="5"/>
    <s v=""/>
    <x v="0"/>
    <s v=""/>
    <s v=""/>
    <s v=""/>
    <s v=""/>
    <s v=""/>
    <s v=""/>
    <s v=""/>
    <x v="0"/>
    <x v="0"/>
    <x v="0"/>
  </r>
  <r>
    <x v="18"/>
    <m/>
    <m/>
    <m/>
    <m/>
    <m/>
    <m/>
    <m/>
    <m/>
    <m/>
    <m/>
    <m/>
    <x v="9"/>
    <d v="2016-03-11T01:29:00"/>
    <s v="Patch Set 9:\n\nPassed Klocwork code analyzing test. No CRITICAL issue in this patch. Auto reported by kwscan@andr-val-srv0.bj.intel.com"/>
    <m/>
    <m/>
    <s v="miguel.verdu@intel.com"/>
    <x v="0"/>
    <x v="5"/>
    <s v=""/>
    <x v="0"/>
    <s v=""/>
    <s v=""/>
    <s v=""/>
    <s v=""/>
    <s v=""/>
    <s v=""/>
    <s v=""/>
    <x v="0"/>
    <x v="0"/>
    <x v="0"/>
  </r>
  <r>
    <x v="18"/>
    <m/>
    <m/>
    <m/>
    <m/>
    <m/>
    <m/>
    <m/>
    <m/>
    <m/>
    <m/>
    <m/>
    <x v="9"/>
    <d v="2016-03-11T15:23:00"/>
    <s v="Patch Set 9: Code-Review+1\n\nPassed PIT; ready for merge"/>
    <m/>
    <m/>
    <s v="miguel.verdu@intel.com"/>
    <x v="0"/>
    <x v="5"/>
    <s v=""/>
    <x v="0"/>
    <s v=""/>
    <s v=""/>
    <s v=""/>
    <s v=""/>
    <s v=""/>
    <s v=""/>
    <s v=""/>
    <x v="0"/>
    <x v="0"/>
    <x v="0"/>
  </r>
  <r>
    <x v="18"/>
    <m/>
    <m/>
    <m/>
    <m/>
    <m/>
    <m/>
    <m/>
    <m/>
    <m/>
    <m/>
    <m/>
    <x v="10"/>
    <d v="2016-03-14T10:27:00"/>
    <s v="Patch Set 10:\n\nThe patch has been successfully merged into r6_legacy with https://android.intel.com/480637"/>
    <m/>
    <m/>
    <s v="miguel.verdu@intel.com"/>
    <x v="0"/>
    <x v="5"/>
    <s v=""/>
    <x v="0"/>
    <s v=""/>
    <s v=""/>
    <s v=""/>
    <s v=""/>
    <s v=""/>
    <s v=""/>
    <s v=""/>
    <x v="0"/>
    <x v="0"/>
    <x v="0"/>
  </r>
  <r>
    <x v="19"/>
    <n v="104966"/>
    <s v="vied-viedandr-camera3hal"/>
    <s v="platform/android/main"/>
    <s v="I3ef3b319af5907708f9d5e95dc03f2aa85153ec8"/>
    <s v="anttu.koski@intel.com"/>
    <s v="MERGED"/>
    <s v="c3:common: add perftraces to Gfx scaling and color conversion"/>
    <s v="c3:common: add perftraces to Gfx scaling and color conversion\n\nGraphics scaling and color conversion can take a significant amount of\ntime and also the time can vary a lot. Add performance trace to see\nhow graphics affects our performance.\n\nFix a trivial whitespace error in the file as well.\n\nChange-Id: I3ef3b319af5907708f9d5e95dc03f2aa85153ec8\nTracked-On: #R514725\nSigned-off-by: Anttu Koski &lt;anttu.koski@intel.com&gt;\nReviewed-on: https://icggerrit.ir.intel.com/104966\nValidation-Android: Wei Tao &lt;wei.tao@intel.com&gt;\nReviewed-by: Juha Alanen &lt;juha.alanen@intel.com&gt;\nReviewed-by: Ukri Niemimuukko &lt;ukri.niemimuukko@intel.com&gt;\nBuild: Dessert M BXT RVP (SC)\nReviewed-by: Jingzhi Yu &lt;jingzhi.yu@intel.com&gt;\nReviewed-by: Hongjiang A Zheng &lt;hongjiang.a.zheng@intel.com&gt;\nReviewed-by: Renwei Wu &lt;renwei.wu@intel.com&gt;\nApprover: Ukri Niemimuukko &lt;ukri.niemimuukko@intel.com&gt;\nIntegrator: WeiX Meng &lt;weix.meng@intel.com&gt;\nReviewed-by: Lassi I Vaatamoinen &lt;lassi.i.vaatamoinen@intel.com&gt;\nReviewed-by: Kalervo Kontola &lt;kalervo.kontola@intel.com&gt;\nReviewed-by: WeiX Meng &lt;weix.meng@intel.com&gt;\n"/>
    <d v="2016-03-01T19:54:00"/>
    <d v="2016-03-04T13:55:00"/>
    <s v="common"/>
    <x v="18"/>
    <d v="2016-03-01T19:54:00"/>
    <s v="Patch Set 1:\n\nPatchset Created: CI job has been scheduled."/>
    <m/>
    <s v="dongdong.zhang@intel.com;kalervo.kontola@intel.com;lassi.i.vaatamoinen@intel.com;weix.meng@intel.com;renwei.wu@intel.com;hongjiang.a.zheng@intel.com;jingzhi.yu@intel.com;juha.alanen@intel.com;ukri.niemimuukko@intel.com;"/>
    <s v="anttu.koski@intel.com"/>
    <x v="0"/>
    <x v="0"/>
    <s v="16'ww10"/>
    <x v="0"/>
    <n v="1"/>
    <n v="0"/>
    <n v="1"/>
    <n v="0"/>
    <n v="2"/>
    <n v="6"/>
    <n v="1"/>
    <x v="0"/>
    <x v="0"/>
    <x v="0"/>
  </r>
  <r>
    <x v="19"/>
    <m/>
    <m/>
    <m/>
    <m/>
    <m/>
    <m/>
    <m/>
    <m/>
    <m/>
    <m/>
    <m/>
    <x v="18"/>
    <d v="2016-03-01T19:54:00"/>
    <s v="Uploaded patch set 1."/>
    <m/>
    <m/>
    <s v="anttu.koski@intel.com"/>
    <x v="0"/>
    <x v="0"/>
    <s v=""/>
    <x v="0"/>
    <s v=""/>
    <s v=""/>
    <s v=""/>
    <s v=""/>
    <s v=""/>
    <s v=""/>
    <s v=""/>
    <x v="0"/>
    <x v="0"/>
    <x v="0"/>
  </r>
  <r>
    <x v="19"/>
    <m/>
    <m/>
    <m/>
    <m/>
    <m/>
    <m/>
    <m/>
    <m/>
    <m/>
    <m/>
    <m/>
    <x v="18"/>
    <d v="2016-03-01T20:03:00"/>
    <s v="Patch Set 1: Code-Review+1"/>
    <m/>
    <m/>
    <s v="anttu.koski@intel.com"/>
    <x v="0"/>
    <x v="0"/>
    <s v=""/>
    <x v="0"/>
    <s v=""/>
    <s v=""/>
    <s v=""/>
    <s v=""/>
    <s v=""/>
    <s v=""/>
    <s v=""/>
    <x v="0"/>
    <x v="0"/>
    <x v="0"/>
  </r>
  <r>
    <x v="19"/>
    <m/>
    <m/>
    <m/>
    <m/>
    <m/>
    <m/>
    <m/>
    <m/>
    <m/>
    <m/>
    <m/>
    <x v="14"/>
    <d v="2016-03-01T20:03:00"/>
    <s v="Patch Set 1: Validation-Android+1\n\nreceive smoke test"/>
    <m/>
    <m/>
    <s v="anttu.koski@intel.com"/>
    <x v="0"/>
    <x v="5"/>
    <s v=""/>
    <x v="0"/>
    <s v=""/>
    <s v=""/>
    <s v=""/>
    <s v=""/>
    <s v=""/>
    <s v=""/>
    <s v=""/>
    <x v="0"/>
    <x v="1"/>
    <x v="0"/>
  </r>
  <r>
    <x v="19"/>
    <m/>
    <m/>
    <m/>
    <m/>
    <m/>
    <m/>
    <m/>
    <m/>
    <m/>
    <m/>
    <m/>
    <x v="6"/>
    <d v="2016-03-01T20:04:00"/>
    <s v="Patch Set 1: Code-Review-1\n\n(3 comments)"/>
    <s v="line61 :&quot;begin what?&quot; line63 :&quot;puhlease fix the white space error&quot; line73 :&quot;done what?&quot;"/>
    <m/>
    <s v="anttu.koski@intel.com"/>
    <x v="0"/>
    <x v="1"/>
    <s v=""/>
    <x v="0"/>
    <s v=""/>
    <s v=""/>
    <s v=""/>
    <s v=""/>
    <s v=""/>
    <s v=""/>
    <s v=""/>
    <x v="1"/>
    <x v="0"/>
    <x v="0"/>
  </r>
  <r>
    <x v="19"/>
    <m/>
    <m/>
    <m/>
    <m/>
    <m/>
    <m/>
    <m/>
    <m/>
    <m/>
    <m/>
    <m/>
    <x v="18"/>
    <d v="2016-03-01T20:12:00"/>
    <s v="Patch Set 1:\n\n(2 comments)"/>
    <s v="line61 :&quot;The macro adds function name as prefix; so \&quot;downScalingAndColorConversion begin\&quot; (and \&quot;downScalingAndColorConversion done\&quot; later)&quot; line63 :&quot;Rog茅r&quot;"/>
    <m/>
    <s v="anttu.koski@intel.com"/>
    <x v="0"/>
    <x v="0"/>
    <s v=""/>
    <x v="0"/>
    <s v=""/>
    <s v=""/>
    <s v=""/>
    <s v=""/>
    <s v=""/>
    <s v=""/>
    <s v=""/>
    <x v="0"/>
    <x v="0"/>
    <x v="0"/>
  </r>
  <r>
    <x v="19"/>
    <m/>
    <m/>
    <m/>
    <m/>
    <m/>
    <m/>
    <m/>
    <m/>
    <m/>
    <m/>
    <m/>
    <x v="18"/>
    <d v="2016-03-01T20:13:00"/>
    <s v="Uploaded patch set 2."/>
    <m/>
    <m/>
    <s v="anttu.koski@intel.com"/>
    <x v="0"/>
    <x v="0"/>
    <s v=""/>
    <x v="0"/>
    <s v=""/>
    <s v=""/>
    <s v=""/>
    <s v=""/>
    <s v=""/>
    <s v=""/>
    <s v=""/>
    <x v="0"/>
    <x v="0"/>
    <x v="0"/>
  </r>
  <r>
    <x v="19"/>
    <m/>
    <m/>
    <m/>
    <m/>
    <m/>
    <m/>
    <m/>
    <m/>
    <m/>
    <m/>
    <m/>
    <x v="18"/>
    <d v="2016-03-01T20:13:00"/>
    <s v="Patch Set 2:\n\nPatchset Created: CI job has been scheduled."/>
    <m/>
    <m/>
    <s v="anttu.koski@intel.com"/>
    <x v="0"/>
    <x v="0"/>
    <s v=""/>
    <x v="0"/>
    <s v=""/>
    <s v=""/>
    <s v=""/>
    <s v=""/>
    <s v=""/>
    <s v=""/>
    <s v=""/>
    <x v="0"/>
    <x v="0"/>
    <x v="0"/>
  </r>
  <r>
    <x v="19"/>
    <m/>
    <m/>
    <m/>
    <m/>
    <m/>
    <m/>
    <m/>
    <m/>
    <m/>
    <m/>
    <m/>
    <x v="14"/>
    <d v="2016-03-01T20:14:00"/>
    <s v="Patch Set 2: Validation-Android+1\n\nreceive smoke test"/>
    <m/>
    <m/>
    <s v="anttu.koski@intel.com"/>
    <x v="0"/>
    <x v="5"/>
    <s v=""/>
    <x v="0"/>
    <s v=""/>
    <s v=""/>
    <s v=""/>
    <s v=""/>
    <s v=""/>
    <s v=""/>
    <s v=""/>
    <x v="0"/>
    <x v="1"/>
    <x v="0"/>
  </r>
  <r>
    <x v="19"/>
    <m/>
    <m/>
    <m/>
    <m/>
    <m/>
    <m/>
    <m/>
    <m/>
    <m/>
    <m/>
    <m/>
    <x v="5"/>
    <d v="2016-03-01T21:01:00"/>
    <s v="Patch Set 2: Code-Review+1"/>
    <m/>
    <m/>
    <s v="anttu.koski@intel.com"/>
    <x v="0"/>
    <x v="1"/>
    <s v=""/>
    <x v="0"/>
    <s v=""/>
    <s v=""/>
    <s v=""/>
    <s v=""/>
    <s v=""/>
    <s v=""/>
    <s v=""/>
    <x v="0"/>
    <x v="0"/>
    <x v="0"/>
  </r>
  <r>
    <x v="19"/>
    <m/>
    <m/>
    <m/>
    <m/>
    <m/>
    <m/>
    <m/>
    <m/>
    <m/>
    <m/>
    <m/>
    <x v="6"/>
    <d v="2016-03-01T21:14:00"/>
    <s v="Patch Set 2: Code-Review+1"/>
    <m/>
    <m/>
    <s v="anttu.koski@intel.com"/>
    <x v="0"/>
    <x v="1"/>
    <s v=""/>
    <x v="0"/>
    <s v=""/>
    <s v=""/>
    <s v=""/>
    <s v=""/>
    <s v=""/>
    <s v=""/>
    <s v=""/>
    <x v="0"/>
    <x v="0"/>
    <x v="0"/>
  </r>
  <r>
    <x v="19"/>
    <m/>
    <m/>
    <m/>
    <m/>
    <m/>
    <m/>
    <m/>
    <m/>
    <m/>
    <m/>
    <m/>
    <x v="16"/>
    <d v="2016-03-02T09:50:00"/>
    <s v="Patch Set 2: Code-Review+1"/>
    <m/>
    <m/>
    <s v="anttu.koski@intel.com"/>
    <x v="0"/>
    <x v="4"/>
    <s v=""/>
    <x v="0"/>
    <s v=""/>
    <s v=""/>
    <s v=""/>
    <s v=""/>
    <s v=""/>
    <s v=""/>
    <s v=""/>
    <x v="0"/>
    <x v="0"/>
    <x v="0"/>
  </r>
  <r>
    <x v="19"/>
    <m/>
    <m/>
    <m/>
    <m/>
    <m/>
    <m/>
    <m/>
    <m/>
    <m/>
    <m/>
    <m/>
    <x v="15"/>
    <d v="2016-03-02T09:52:00"/>
    <s v="Patch Set 2: Code-Review+1"/>
    <m/>
    <m/>
    <s v="anttu.koski@intel.com"/>
    <x v="0"/>
    <x v="4"/>
    <s v=""/>
    <x v="0"/>
    <s v=""/>
    <s v=""/>
    <s v=""/>
    <s v=""/>
    <s v=""/>
    <s v=""/>
    <s v=""/>
    <x v="0"/>
    <x v="0"/>
    <x v="0"/>
  </r>
  <r>
    <x v="19"/>
    <m/>
    <m/>
    <m/>
    <m/>
    <m/>
    <m/>
    <m/>
    <m/>
    <m/>
    <m/>
    <m/>
    <x v="3"/>
    <d v="2016-03-02T20:45:00"/>
    <s v="Patch Set 2: Code-Review+1"/>
    <m/>
    <m/>
    <s v="anttu.koski@intel.com"/>
    <x v="0"/>
    <x v="2"/>
    <s v=""/>
    <x v="0"/>
    <s v=""/>
    <s v=""/>
    <s v=""/>
    <s v=""/>
    <s v=""/>
    <s v=""/>
    <s v=""/>
    <x v="0"/>
    <x v="0"/>
    <x v="0"/>
  </r>
  <r>
    <x v="19"/>
    <m/>
    <m/>
    <m/>
    <m/>
    <m/>
    <m/>
    <m/>
    <m/>
    <m/>
    <m/>
    <m/>
    <x v="6"/>
    <d v="2016-03-02T20:50:00"/>
    <s v="Patch Set 2: Approver+1"/>
    <m/>
    <m/>
    <s v="anttu.koski@intel.com"/>
    <x v="0"/>
    <x v="1"/>
    <s v=""/>
    <x v="0"/>
    <s v=""/>
    <s v=""/>
    <s v=""/>
    <s v=""/>
    <s v=""/>
    <s v=""/>
    <s v=""/>
    <x v="0"/>
    <x v="0"/>
    <x v="0"/>
  </r>
  <r>
    <x v="19"/>
    <m/>
    <m/>
    <m/>
    <m/>
    <m/>
    <m/>
    <m/>
    <m/>
    <m/>
    <m/>
    <m/>
    <x v="9"/>
    <d v="2016-03-03T14:15:00"/>
    <s v="Patch Set 2: Integrator+1\n\nIntegrator +1; patch will be add to PT; please no change now"/>
    <m/>
    <m/>
    <s v="anttu.koski@intel.com"/>
    <x v="0"/>
    <x v="5"/>
    <s v=""/>
    <x v="0"/>
    <s v=""/>
    <s v=""/>
    <s v=""/>
    <s v=""/>
    <s v=""/>
    <s v=""/>
    <s v=""/>
    <x v="0"/>
    <x v="1"/>
    <x v="0"/>
  </r>
  <r>
    <x v="19"/>
    <m/>
    <m/>
    <m/>
    <m/>
    <m/>
    <m/>
    <m/>
    <m/>
    <m/>
    <m/>
    <m/>
    <x v="9"/>
    <d v="2016-03-03T20:32:00"/>
    <s v="Patch Set 2:\n\nPassed Klocwork code analyzing test. No CRITICAL issue in this patch. Auto reported by kwscan@andr-val-srv0.bj.intel.com"/>
    <m/>
    <m/>
    <s v="anttu.koski@intel.com"/>
    <x v="0"/>
    <x v="5"/>
    <s v=""/>
    <x v="0"/>
    <s v=""/>
    <s v=""/>
    <s v=""/>
    <s v=""/>
    <s v=""/>
    <s v=""/>
    <s v=""/>
    <x v="0"/>
    <x v="0"/>
    <x v="0"/>
  </r>
  <r>
    <x v="19"/>
    <m/>
    <m/>
    <m/>
    <m/>
    <m/>
    <m/>
    <m/>
    <m/>
    <m/>
    <m/>
    <m/>
    <x v="9"/>
    <d v="2016-03-03T21:28:00"/>
    <s v="Patch Set 2:\n\nPassed Klocwork code analyzing test. No CRITICAL issue in this patch. Auto reported by kwscan@andr-val-srv0.bj.intel.com"/>
    <m/>
    <m/>
    <s v="anttu.koski@intel.com"/>
    <x v="0"/>
    <x v="5"/>
    <s v=""/>
    <x v="0"/>
    <s v=""/>
    <s v=""/>
    <s v=""/>
    <s v=""/>
    <s v=""/>
    <s v=""/>
    <s v=""/>
    <x v="0"/>
    <x v="0"/>
    <x v="0"/>
  </r>
  <r>
    <x v="19"/>
    <m/>
    <m/>
    <m/>
    <m/>
    <m/>
    <m/>
    <m/>
    <m/>
    <m/>
    <m/>
    <m/>
    <x v="9"/>
    <d v="2016-03-03T21:29:00"/>
    <s v="Patch Set 2:\n\nPassed Klocwork code analyzing test. No CRITICAL issue in this patch. Auto reported by kwscan@kw-srv2.bj.intel.com"/>
    <m/>
    <m/>
    <s v="anttu.koski@intel.com"/>
    <x v="0"/>
    <x v="5"/>
    <s v=""/>
    <x v="0"/>
    <s v=""/>
    <s v=""/>
    <s v=""/>
    <s v=""/>
    <s v=""/>
    <s v=""/>
    <s v=""/>
    <x v="0"/>
    <x v="0"/>
    <x v="0"/>
  </r>
  <r>
    <x v="19"/>
    <m/>
    <m/>
    <m/>
    <m/>
    <m/>
    <m/>
    <m/>
    <m/>
    <m/>
    <m/>
    <m/>
    <x v="12"/>
    <d v="2016-03-03T21:52:00"/>
    <s v="Patch Set 2: Code-Review+1"/>
    <m/>
    <m/>
    <s v="anttu.koski@intel.com"/>
    <x v="0"/>
    <x v="1"/>
    <s v=""/>
    <x v="0"/>
    <s v=""/>
    <s v=""/>
    <s v=""/>
    <s v=""/>
    <s v=""/>
    <s v=""/>
    <s v=""/>
    <x v="0"/>
    <x v="0"/>
    <x v="0"/>
  </r>
  <r>
    <x v="19"/>
    <m/>
    <m/>
    <m/>
    <m/>
    <m/>
    <m/>
    <m/>
    <m/>
    <m/>
    <m/>
    <m/>
    <x v="9"/>
    <d v="2016-03-03T22:06:00"/>
    <s v="Patch Set 2:\n\nPassed Klocwork code analyzing test. No CRITICAL issue in this patch. Auto reported by kwscan@psi-build5.bj.intel.com"/>
    <m/>
    <m/>
    <s v="anttu.koski@intel.com"/>
    <x v="0"/>
    <x v="5"/>
    <s v=""/>
    <x v="0"/>
    <s v=""/>
    <s v=""/>
    <s v=""/>
    <s v=""/>
    <s v=""/>
    <s v=""/>
    <s v=""/>
    <x v="0"/>
    <x v="0"/>
    <x v="0"/>
  </r>
  <r>
    <x v="19"/>
    <m/>
    <m/>
    <m/>
    <m/>
    <m/>
    <m/>
    <m/>
    <m/>
    <m/>
    <m/>
    <m/>
    <x v="29"/>
    <d v="2016-03-03T23:05:00"/>
    <s v="Patch Set 2: Code-Review+1"/>
    <m/>
    <m/>
    <s v="anttu.koski@intel.com"/>
    <x v="0"/>
    <x v="1"/>
    <s v=""/>
    <x v="0"/>
    <s v=""/>
    <s v=""/>
    <s v=""/>
    <s v=""/>
    <s v=""/>
    <s v=""/>
    <s v=""/>
    <x v="0"/>
    <x v="0"/>
    <x v="0"/>
  </r>
  <r>
    <x v="19"/>
    <m/>
    <m/>
    <m/>
    <m/>
    <m/>
    <m/>
    <m/>
    <m/>
    <m/>
    <m/>
    <m/>
    <x v="9"/>
    <d v="2016-03-04T01:53:00"/>
    <s v="Patch Set 2:\n\nPassed Klocwork code analyzing test. No CRITICAL issue in this patch. Auto reported by kwscan@kw-srv2.bj.intel.com"/>
    <m/>
    <m/>
    <s v="anttu.koski@intel.com"/>
    <x v="0"/>
    <x v="5"/>
    <s v=""/>
    <x v="0"/>
    <s v=""/>
    <s v=""/>
    <s v=""/>
    <s v=""/>
    <s v=""/>
    <s v=""/>
    <s v=""/>
    <x v="0"/>
    <x v="0"/>
    <x v="0"/>
  </r>
  <r>
    <x v="19"/>
    <m/>
    <m/>
    <m/>
    <m/>
    <m/>
    <m/>
    <m/>
    <m/>
    <m/>
    <m/>
    <m/>
    <x v="9"/>
    <d v="2016-03-04T13:46:00"/>
    <s v="Patch Set 2: Code-Review+1\n\nPassed PIT; ready for merge"/>
    <m/>
    <m/>
    <s v="anttu.koski@intel.com"/>
    <x v="0"/>
    <x v="5"/>
    <s v=""/>
    <x v="0"/>
    <s v=""/>
    <s v=""/>
    <s v=""/>
    <s v=""/>
    <s v=""/>
    <s v=""/>
    <s v=""/>
    <x v="0"/>
    <x v="0"/>
    <x v="0"/>
  </r>
  <r>
    <x v="19"/>
    <m/>
    <m/>
    <m/>
    <m/>
    <m/>
    <m/>
    <m/>
    <m/>
    <m/>
    <m/>
    <m/>
    <x v="10"/>
    <d v="2016-03-04T17:58:00"/>
    <s v="Patch Set 3:\n\nThe patch has been successfully merged into r6_legacy with https://android.intel.com/477602"/>
    <m/>
    <m/>
    <s v="anttu.koski@intel.com"/>
    <x v="0"/>
    <x v="5"/>
    <s v=""/>
    <x v="0"/>
    <s v=""/>
    <s v=""/>
    <s v=""/>
    <s v=""/>
    <s v=""/>
    <s v=""/>
    <s v=""/>
    <x v="0"/>
    <x v="0"/>
    <x v="0"/>
  </r>
  <r>
    <x v="20"/>
    <n v="103462"/>
    <s v="vied-viedandr-camera3hal"/>
    <s v="platform/android/main"/>
    <s v="Icc93f1d6c16ec1a21ae9bcfac958658dc9c09a25"/>
    <s v="anttu.koski@intel.com"/>
    <s v="MERGED"/>
    <s v="c3:performancetraces: fix user build problem"/>
    <s v="c3:performancetraces: fix user build problem\n\nWithout R&amp;D flags function isStarted() wasn't defined.\n\nChange-Id: Icc93f1d6c16ec1a21ae9bcfac958658dc9c09a25\nTracked-On: #H1804235940\nSigned-off-by: Anttu Koski &lt;anttu.koski@intel.com&gt;\nReviewed-on: https://icggerrit.ir.intel.com/103462\nReviewed-by: Mikael Persson &lt;mikael.persson@intel.com&gt;\nValidation-Android: Wei Tao &lt;wei.tao@intel.com&gt;\nApprover: Jukka O Kaartinen &lt;jukka.o.kaartinen@intel.com&gt;\nReviewed-by: Jukka O Kaartinen &lt;jukka.o.kaartinen@intel.com&gt;\nBuild: Dessert M BXT RVP (SC)\nBuild: Dessert M CHT FFD (SC)\nIntegrator: WeiX Meng &lt;weix.meng@intel.com&gt;\nReviewed-by: WeiX Meng &lt;weix.meng@intel.com&gt;\n"/>
    <d v="2016-02-23T22:34:00"/>
    <d v="2016-02-26T15:02:00"/>
    <s v="common"/>
    <x v="18"/>
    <d v="2016-02-23T22:34:00"/>
    <s v="Patch Set 1:\n\nPatchset Created: CI job has been scheduled."/>
    <m/>
    <s v="wei.tao@intel.com;fan.f.yang@intel.com;weix.meng@intel.com;jukka.o.kaartinen@intel.com;mikael.persson@intel.com;"/>
    <s v="anttu.koski@intel.com"/>
    <x v="0"/>
    <x v="0"/>
    <s v="16'ww9"/>
    <x v="1"/>
    <n v="0"/>
    <n v="0"/>
    <n v="0"/>
    <n v="0"/>
    <n v="0"/>
    <n v="2"/>
    <n v="0"/>
    <x v="0"/>
    <x v="0"/>
    <x v="0"/>
  </r>
  <r>
    <x v="20"/>
    <m/>
    <m/>
    <m/>
    <m/>
    <m/>
    <m/>
    <m/>
    <m/>
    <m/>
    <m/>
    <m/>
    <x v="18"/>
    <d v="2016-02-23T22:34:00"/>
    <s v="Uploaded patch set 1."/>
    <m/>
    <m/>
    <s v="anttu.koski@intel.com"/>
    <x v="0"/>
    <x v="0"/>
    <s v=""/>
    <x v="1"/>
    <s v=""/>
    <s v=""/>
    <s v=""/>
    <s v=""/>
    <s v=""/>
    <s v=""/>
    <s v=""/>
    <x v="0"/>
    <x v="0"/>
    <x v="0"/>
  </r>
  <r>
    <x v="20"/>
    <m/>
    <m/>
    <m/>
    <m/>
    <m/>
    <m/>
    <m/>
    <m/>
    <m/>
    <m/>
    <m/>
    <x v="18"/>
    <d v="2016-02-23T22:35:00"/>
    <s v="Patch Set 1: Code-Review+1"/>
    <m/>
    <m/>
    <s v="anttu.koski@intel.com"/>
    <x v="0"/>
    <x v="0"/>
    <s v=""/>
    <x v="1"/>
    <s v=""/>
    <s v=""/>
    <s v=""/>
    <s v=""/>
    <s v=""/>
    <s v=""/>
    <s v=""/>
    <x v="0"/>
    <x v="0"/>
    <x v="0"/>
  </r>
  <r>
    <x v="20"/>
    <m/>
    <m/>
    <m/>
    <m/>
    <m/>
    <m/>
    <m/>
    <m/>
    <m/>
    <m/>
    <m/>
    <x v="30"/>
    <d v="2016-02-24T14:50:00"/>
    <s v="Patch Set 1: Code-Review+1"/>
    <m/>
    <m/>
    <s v="anttu.koski@intel.com"/>
    <x v="0"/>
    <x v="3"/>
    <s v=""/>
    <x v="1"/>
    <s v=""/>
    <s v=""/>
    <s v=""/>
    <s v=""/>
    <s v=""/>
    <s v=""/>
    <s v=""/>
    <x v="0"/>
    <x v="0"/>
    <x v="0"/>
  </r>
  <r>
    <x v="20"/>
    <m/>
    <m/>
    <m/>
    <m/>
    <m/>
    <m/>
    <m/>
    <m/>
    <m/>
    <m/>
    <m/>
    <x v="18"/>
    <d v="2016-02-24T15:30:00"/>
    <s v="Uploaded patch set 2: Commit message was updated."/>
    <m/>
    <m/>
    <s v="anttu.koski@intel.com"/>
    <x v="0"/>
    <x v="0"/>
    <s v=""/>
    <x v="1"/>
    <s v=""/>
    <s v=""/>
    <s v=""/>
    <s v=""/>
    <s v=""/>
    <s v=""/>
    <s v=""/>
    <x v="0"/>
    <x v="0"/>
    <x v="0"/>
  </r>
  <r>
    <x v="20"/>
    <m/>
    <m/>
    <m/>
    <m/>
    <m/>
    <m/>
    <m/>
    <m/>
    <m/>
    <m/>
    <m/>
    <x v="18"/>
    <d v="2016-02-24T15:30:00"/>
    <s v="Patch Set 2:\n\nPatchset Created: CI job has been scheduled."/>
    <m/>
    <m/>
    <s v="anttu.koski@intel.com"/>
    <x v="0"/>
    <x v="0"/>
    <s v=""/>
    <x v="1"/>
    <s v=""/>
    <s v=""/>
    <s v=""/>
    <s v=""/>
    <s v=""/>
    <s v=""/>
    <s v=""/>
    <x v="0"/>
    <x v="0"/>
    <x v="0"/>
  </r>
  <r>
    <x v="20"/>
    <m/>
    <m/>
    <m/>
    <m/>
    <m/>
    <m/>
    <m/>
    <m/>
    <m/>
    <m/>
    <m/>
    <x v="18"/>
    <d v="2016-02-24T15:31:00"/>
    <s v="Patch Set 2:\n\nRebased + updated bug &amp; commit message"/>
    <m/>
    <m/>
    <s v="anttu.koski@intel.com"/>
    <x v="0"/>
    <x v="0"/>
    <s v=""/>
    <x v="1"/>
    <s v=""/>
    <s v=""/>
    <s v=""/>
    <s v=""/>
    <s v=""/>
    <s v=""/>
    <s v=""/>
    <x v="0"/>
    <x v="0"/>
    <x v="0"/>
  </r>
  <r>
    <x v="20"/>
    <m/>
    <m/>
    <m/>
    <m/>
    <m/>
    <m/>
    <m/>
    <m/>
    <m/>
    <m/>
    <m/>
    <x v="14"/>
    <d v="2016-02-24T15:34:00"/>
    <s v="Patch Set 2: Validation-Android+1\n\nreceive smoke test"/>
    <m/>
    <m/>
    <s v="anttu.koski@intel.com"/>
    <x v="0"/>
    <x v="5"/>
    <s v=""/>
    <x v="1"/>
    <s v=""/>
    <s v=""/>
    <s v=""/>
    <s v=""/>
    <s v=""/>
    <s v=""/>
    <s v=""/>
    <x v="0"/>
    <x v="1"/>
    <x v="0"/>
  </r>
  <r>
    <x v="20"/>
    <m/>
    <m/>
    <m/>
    <m/>
    <m/>
    <m/>
    <m/>
    <m/>
    <m/>
    <m/>
    <m/>
    <x v="2"/>
    <d v="2016-02-24T15:37:00"/>
    <s v="Patch Set 2: Approver+1"/>
    <m/>
    <m/>
    <s v="anttu.koski@intel.com"/>
    <x v="0"/>
    <x v="1"/>
    <s v=""/>
    <x v="1"/>
    <s v=""/>
    <s v=""/>
    <s v=""/>
    <s v=""/>
    <s v=""/>
    <s v=""/>
    <s v=""/>
    <x v="0"/>
    <x v="0"/>
    <x v="0"/>
  </r>
  <r>
    <x v="20"/>
    <m/>
    <m/>
    <m/>
    <m/>
    <m/>
    <m/>
    <m/>
    <m/>
    <m/>
    <m/>
    <m/>
    <x v="2"/>
    <d v="2016-02-24T15:38:00"/>
    <s v="Patch Set 2: Code-Review+1"/>
    <m/>
    <m/>
    <s v="anttu.koski@intel.com"/>
    <x v="0"/>
    <x v="1"/>
    <s v=""/>
    <x v="1"/>
    <s v=""/>
    <s v=""/>
    <s v=""/>
    <s v=""/>
    <s v=""/>
    <s v=""/>
    <s v=""/>
    <x v="0"/>
    <x v="0"/>
    <x v="0"/>
  </r>
  <r>
    <x v="20"/>
    <m/>
    <m/>
    <m/>
    <m/>
    <m/>
    <m/>
    <m/>
    <m/>
    <m/>
    <m/>
    <m/>
    <x v="9"/>
    <d v="2016-02-25T14:19:00"/>
    <s v="Patch Set 2: Integrator+1\n\nIntegrator +1; patch will be add to PT; please no change now"/>
    <m/>
    <m/>
    <s v="anttu.koski@intel.com"/>
    <x v="0"/>
    <x v="5"/>
    <s v=""/>
    <x v="1"/>
    <s v=""/>
    <s v=""/>
    <s v=""/>
    <s v=""/>
    <s v=""/>
    <s v=""/>
    <s v=""/>
    <x v="0"/>
    <x v="1"/>
    <x v="0"/>
  </r>
  <r>
    <x v="20"/>
    <m/>
    <m/>
    <m/>
    <m/>
    <m/>
    <m/>
    <m/>
    <m/>
    <m/>
    <m/>
    <m/>
    <x v="9"/>
    <d v="2016-02-25T18:09:00"/>
    <s v="Patch Set 2:\n\nPassed Klocwork code analyzing test. No CRITICAL issue in this patch. Auto reported by kwscan@andr-val-srv0.bj.intel.com"/>
    <m/>
    <m/>
    <s v="anttu.koski@intel.com"/>
    <x v="0"/>
    <x v="5"/>
    <s v=""/>
    <x v="1"/>
    <s v=""/>
    <s v=""/>
    <s v=""/>
    <s v=""/>
    <s v=""/>
    <s v=""/>
    <s v=""/>
    <x v="0"/>
    <x v="0"/>
    <x v="0"/>
  </r>
  <r>
    <x v="20"/>
    <m/>
    <m/>
    <m/>
    <m/>
    <m/>
    <m/>
    <m/>
    <m/>
    <m/>
    <m/>
    <m/>
    <x v="9"/>
    <d v="2016-02-25T19:43:00"/>
    <s v="Patch Set 2:\n\nPassed Klocwork code analyzing test. No CRITICAL issue in this patch. Auto reported by kwscan@kw-srv2.bj.intel.com"/>
    <m/>
    <m/>
    <s v="anttu.koski@intel.com"/>
    <x v="0"/>
    <x v="5"/>
    <s v=""/>
    <x v="1"/>
    <s v=""/>
    <s v=""/>
    <s v=""/>
    <s v=""/>
    <s v=""/>
    <s v=""/>
    <s v=""/>
    <x v="0"/>
    <x v="0"/>
    <x v="0"/>
  </r>
  <r>
    <x v="20"/>
    <m/>
    <m/>
    <m/>
    <m/>
    <m/>
    <m/>
    <m/>
    <m/>
    <m/>
    <m/>
    <m/>
    <x v="9"/>
    <d v="2016-02-25T19:47:00"/>
    <s v="Patch Set 2:\n\nPassed Klocwork code analyzing test. No CRITICAL issue in this patch. Auto reported by kwscan@psi-build5.bj.intel.com"/>
    <m/>
    <m/>
    <s v="anttu.koski@intel.com"/>
    <x v="0"/>
    <x v="5"/>
    <s v=""/>
    <x v="1"/>
    <s v=""/>
    <s v=""/>
    <s v=""/>
    <s v=""/>
    <s v=""/>
    <s v=""/>
    <s v=""/>
    <x v="0"/>
    <x v="0"/>
    <x v="0"/>
  </r>
  <r>
    <x v="20"/>
    <m/>
    <m/>
    <m/>
    <m/>
    <m/>
    <m/>
    <m/>
    <m/>
    <m/>
    <m/>
    <m/>
    <x v="9"/>
    <d v="2016-02-25T20:07:00"/>
    <s v="Patch Set 2:\n\nPassed Klocwork code analyzing test. No CRITICAL issue in this patch. Auto reported by kwscan@andr-val-srv0.bj.intel.com"/>
    <m/>
    <m/>
    <s v="anttu.koski@intel.com"/>
    <x v="0"/>
    <x v="5"/>
    <s v=""/>
    <x v="1"/>
    <s v=""/>
    <s v=""/>
    <s v=""/>
    <s v=""/>
    <s v=""/>
    <s v=""/>
    <s v=""/>
    <x v="0"/>
    <x v="0"/>
    <x v="0"/>
  </r>
  <r>
    <x v="20"/>
    <m/>
    <m/>
    <m/>
    <m/>
    <m/>
    <m/>
    <m/>
    <m/>
    <m/>
    <m/>
    <m/>
    <x v="9"/>
    <d v="2016-02-25T21:33:00"/>
    <s v="Patch Set 2:\n\nPassed Klocwork code analyzing test. No CRITICAL issue in this patch. Auto reported by kwscan@psi-build5.bj.intel.com"/>
    <m/>
    <m/>
    <s v="anttu.koski@intel.com"/>
    <x v="0"/>
    <x v="5"/>
    <s v=""/>
    <x v="1"/>
    <s v=""/>
    <s v=""/>
    <s v=""/>
    <s v=""/>
    <s v=""/>
    <s v=""/>
    <s v=""/>
    <x v="0"/>
    <x v="0"/>
    <x v="0"/>
  </r>
  <r>
    <x v="20"/>
    <m/>
    <m/>
    <m/>
    <m/>
    <m/>
    <m/>
    <m/>
    <m/>
    <m/>
    <m/>
    <m/>
    <x v="9"/>
    <d v="2016-02-25T23:36:00"/>
    <s v="Patch Set 2:\n\nPassed Klocwork code analyzing test. No CRITICAL issue in this patch. Auto reported by kwscan@kw-srv2.bj.intel.com"/>
    <m/>
    <m/>
    <s v="anttu.koski@intel.com"/>
    <x v="0"/>
    <x v="5"/>
    <s v=""/>
    <x v="1"/>
    <s v=""/>
    <s v=""/>
    <s v=""/>
    <s v=""/>
    <s v=""/>
    <s v=""/>
    <s v=""/>
    <x v="0"/>
    <x v="0"/>
    <x v="0"/>
  </r>
  <r>
    <x v="20"/>
    <m/>
    <m/>
    <m/>
    <m/>
    <m/>
    <m/>
    <m/>
    <m/>
    <m/>
    <m/>
    <m/>
    <x v="9"/>
    <d v="2016-02-26T14:35:00"/>
    <s v="Patch Set 2: Code-Review+1\n\nPassed PIT; ready for merge"/>
    <m/>
    <m/>
    <s v="anttu.koski@intel.com"/>
    <x v="0"/>
    <x v="5"/>
    <s v=""/>
    <x v="1"/>
    <s v=""/>
    <s v=""/>
    <s v=""/>
    <s v=""/>
    <s v=""/>
    <s v=""/>
    <s v=""/>
    <x v="0"/>
    <x v="0"/>
    <x v="0"/>
  </r>
  <r>
    <x v="20"/>
    <m/>
    <m/>
    <m/>
    <m/>
    <m/>
    <m/>
    <m/>
    <m/>
    <m/>
    <m/>
    <m/>
    <x v="26"/>
    <d v="2016-02-29T18:42:00"/>
    <s v="Patch Set 3:\n\nThe patch has been merged onto 1A master with https://android.intel.com/475185"/>
    <m/>
    <m/>
    <s v="anttu.koski@intel.com"/>
    <x v="0"/>
    <x v="5"/>
    <s v=""/>
    <x v="1"/>
    <s v=""/>
    <s v=""/>
    <s v=""/>
    <s v=""/>
    <s v=""/>
    <s v=""/>
    <s v=""/>
    <x v="0"/>
    <x v="0"/>
    <x v="0"/>
  </r>
  <r>
    <x v="20"/>
    <m/>
    <m/>
    <m/>
    <m/>
    <m/>
    <m/>
    <m/>
    <m/>
    <m/>
    <m/>
    <m/>
    <x v="14"/>
    <d v="2016-03-03T16:13:00"/>
    <s v="Patch Set 3:\n\nThe patch has been successfully merged into 1A master with https://android.intel.com/475185"/>
    <m/>
    <m/>
    <s v="anttu.koski@intel.com"/>
    <x v="0"/>
    <x v="5"/>
    <s v=""/>
    <x v="1"/>
    <s v=""/>
    <s v=""/>
    <s v=""/>
    <s v=""/>
    <s v=""/>
    <s v=""/>
    <s v=""/>
    <x v="0"/>
    <x v="0"/>
    <x v="0"/>
  </r>
  <r>
    <x v="21"/>
    <n v="101615"/>
    <s v="vied-viedandr-camera3hal"/>
    <s v="platform/android/main"/>
    <s v="I2376cfdeef10489a11f08d81eba5177b9c44dd30"/>
    <s v="miguel.verdu@intel.com"/>
    <s v="MERGED"/>
    <s v="c3: hide all symbols in production builds"/>
    <s v="c3: hide all symbols in production builds\n\nThere is no need to make public all the symbols the\nHAL library exports. They are potential attack vectors.\n\nAlso it impacts the load time performace of the library.\nThe only symbol required by libhardware is the camera module\nHAL_MODULE_INFO_SYM.\n\nThis change impacts only the user builds.\n\nChange-Id: I2376cfdeef10489a11f08d81eba5177b9c44dd30\nTracked-On: #R513343\nSigned-off-by: Miguel Verdu &lt;miguel.verdu@intel.com&gt;\nReviewed-on: https://icggerrit.ir.intel.com/101615\nReviewed-by: Jarno Jakonen &lt;jarno.jakonen@intel.com&gt;\nBuild: Dessert M SOFIA (SC)\nReviewed-by: Arnaud Mandy &lt;arnaud.mandy@intel.com&gt;\nReviewed-by: Hongjiang A Zheng &lt;hongjiang.a.zheng@intel.com&gt;\nReviewed-by: Gang A Hu &lt;gang.a.hu@intel.com&gt;\nReviewed-by: Jukka O Kaartinen &lt;jukka.o.kaartinen@intel.com&gt;\nReviewed-by: Renwei Wu &lt;renwei.wu@intel.com&gt;\nValidation-Android: Wei Tao &lt;wei.tao@intel.com&gt;\nReviewed-by: Anttu Koski &lt;anttu.koski@intel.com&gt;\nApprover: Ukri Niemimuukko &lt;ukri.niemimuukko@intel.com&gt;\nReviewed-by: Ukri Niemimuukko &lt;ukri.niemimuukko@intel.com&gt;\nIntegrator: WeiX Meng &lt;weix.meng@intel.com&gt;\nReviewed-by: WeiX Meng &lt;weix.meng@intel.com&gt;\n"/>
    <d v="2016-02-15T16:49:00"/>
    <d v="2016-03-02T15:01:00"/>
    <s v="common"/>
    <x v="0"/>
    <d v="2016-02-15T16:49:00"/>
    <s v="Patch Set 1:\n\nPatchset Created: CI job has been scheduled."/>
    <m/>
    <s v="dongdong.zhang@intel.com;weix.meng@intel.com;ukri.niemimuukko@intel.com;anttu.koski@intel.com;renwei.wu@intel.com;jukka.o.kaartinen@intel.com;gang.a.hu@intel.com;hongjiang.a.zheng@intel.com;arnaud.mandy@intel.com;jarno.jakonen@intel.com;"/>
    <s v="miguel.verdu@intel.com"/>
    <x v="0"/>
    <x v="0"/>
    <s v="16'ww10"/>
    <x v="0"/>
    <n v="1"/>
    <n v="0"/>
    <n v="1"/>
    <n v="0"/>
    <n v="2"/>
    <n v="8"/>
    <n v="1"/>
    <x v="0"/>
    <x v="0"/>
    <x v="0"/>
  </r>
  <r>
    <x v="21"/>
    <m/>
    <m/>
    <m/>
    <m/>
    <m/>
    <m/>
    <m/>
    <m/>
    <m/>
    <m/>
    <m/>
    <x v="0"/>
    <d v="2016-02-15T16:49:00"/>
    <s v="Uploaded patch set 1."/>
    <m/>
    <m/>
    <s v="miguel.verdu@intel.com"/>
    <x v="0"/>
    <x v="0"/>
    <s v=""/>
    <x v="0"/>
    <s v=""/>
    <s v=""/>
    <s v=""/>
    <s v=""/>
    <s v=""/>
    <s v=""/>
    <s v=""/>
    <x v="0"/>
    <x v="0"/>
    <x v="0"/>
  </r>
  <r>
    <x v="21"/>
    <m/>
    <m/>
    <m/>
    <m/>
    <m/>
    <m/>
    <m/>
    <m/>
    <m/>
    <m/>
    <m/>
    <x v="17"/>
    <d v="2016-02-15T16:57:00"/>
    <s v="Patch Set 1: Code-Review-1\n\n(1 comment)\n\nquestion"/>
    <s v="line16 :&quot;See comment in code.&quot;"/>
    <m/>
    <s v="miguel.verdu@intel.com"/>
    <x v="0"/>
    <x v="1"/>
    <s v=""/>
    <x v="0"/>
    <s v=""/>
    <s v=""/>
    <s v=""/>
    <s v=""/>
    <s v=""/>
    <s v=""/>
    <s v=""/>
    <x v="1"/>
    <x v="0"/>
    <x v="0"/>
  </r>
  <r>
    <x v="21"/>
    <m/>
    <m/>
    <m/>
    <m/>
    <m/>
    <m/>
    <m/>
    <m/>
    <m/>
    <m/>
    <m/>
    <x v="17"/>
    <d v="2016-02-15T16:58:00"/>
    <s v="Patch Set 1:\n\n(2 comments)"/>
    <s v="line19 :&quot;Is this correct? I don't have access to that ticket.&quot; line215 :&quot;Is there any reason not to do this also on userdebug builds? Nobody tests user builds very often; so it would be safer to just hide the symbols there as well.&quot;"/>
    <m/>
    <s v="miguel.verdu@intel.com"/>
    <x v="0"/>
    <x v="1"/>
    <s v=""/>
    <x v="0"/>
    <s v=""/>
    <s v=""/>
    <s v=""/>
    <s v=""/>
    <s v=""/>
    <s v=""/>
    <s v=""/>
    <x v="0"/>
    <x v="0"/>
    <x v="0"/>
  </r>
  <r>
    <x v="21"/>
    <m/>
    <m/>
    <m/>
    <m/>
    <m/>
    <m/>
    <m/>
    <m/>
    <m/>
    <m/>
    <m/>
    <x v="0"/>
    <d v="2016-02-15T17:08:00"/>
    <s v="Patch Set 1:\n\n(2 comments)"/>
    <s v="line19 :&quot;typo&quot; line215 :&quot;Ukri was concerned about debugability&quot;"/>
    <m/>
    <s v="miguel.verdu@intel.com"/>
    <x v="0"/>
    <x v="0"/>
    <s v=""/>
    <x v="0"/>
    <s v=""/>
    <s v=""/>
    <s v=""/>
    <s v=""/>
    <s v=""/>
    <s v=""/>
    <s v=""/>
    <x v="0"/>
    <x v="0"/>
    <x v="0"/>
  </r>
  <r>
    <x v="21"/>
    <m/>
    <m/>
    <m/>
    <m/>
    <m/>
    <m/>
    <m/>
    <m/>
    <m/>
    <m/>
    <m/>
    <x v="0"/>
    <d v="2016-02-15T17:22:00"/>
    <s v="Patch Set 2:\n\nPatchset Created: CI job has been scheduled."/>
    <m/>
    <m/>
    <s v="miguel.verdu@intel.com"/>
    <x v="0"/>
    <x v="0"/>
    <s v=""/>
    <x v="0"/>
    <s v=""/>
    <s v=""/>
    <s v=""/>
    <s v=""/>
    <s v=""/>
    <s v=""/>
    <s v=""/>
    <x v="0"/>
    <x v="0"/>
    <x v="0"/>
  </r>
  <r>
    <x v="21"/>
    <m/>
    <m/>
    <m/>
    <m/>
    <m/>
    <m/>
    <m/>
    <m/>
    <m/>
    <m/>
    <m/>
    <x v="0"/>
    <d v="2016-02-15T17:22:00"/>
    <s v="Uploaded patch set 2: Commit message was updated."/>
    <m/>
    <m/>
    <s v="miguel.verdu@intel.com"/>
    <x v="0"/>
    <x v="0"/>
    <s v=""/>
    <x v="0"/>
    <s v=""/>
    <s v=""/>
    <s v=""/>
    <s v=""/>
    <s v=""/>
    <s v=""/>
    <s v=""/>
    <x v="0"/>
    <x v="0"/>
    <x v="0"/>
  </r>
  <r>
    <x v="21"/>
    <m/>
    <m/>
    <m/>
    <m/>
    <m/>
    <m/>
    <m/>
    <m/>
    <m/>
    <m/>
    <m/>
    <x v="17"/>
    <d v="2016-02-15T17:27:00"/>
    <s v="Patch Set 2: Code-Review+1"/>
    <m/>
    <m/>
    <s v="miguel.verdu@intel.com"/>
    <x v="0"/>
    <x v="1"/>
    <s v=""/>
    <x v="0"/>
    <s v=""/>
    <s v=""/>
    <s v=""/>
    <s v=""/>
    <s v=""/>
    <s v=""/>
    <s v=""/>
    <x v="0"/>
    <x v="0"/>
    <x v="0"/>
  </r>
  <r>
    <x v="21"/>
    <m/>
    <m/>
    <m/>
    <m/>
    <m/>
    <m/>
    <m/>
    <m/>
    <m/>
    <m/>
    <m/>
    <x v="0"/>
    <d v="2016-02-15T17:35:00"/>
    <s v="Patch Set 2: Code-Review+1"/>
    <m/>
    <m/>
    <s v="miguel.verdu@intel.com"/>
    <x v="0"/>
    <x v="0"/>
    <s v=""/>
    <x v="0"/>
    <s v=""/>
    <s v=""/>
    <s v=""/>
    <s v=""/>
    <s v=""/>
    <s v=""/>
    <s v=""/>
    <x v="0"/>
    <x v="0"/>
    <x v="0"/>
  </r>
  <r>
    <x v="21"/>
    <m/>
    <m/>
    <m/>
    <m/>
    <m/>
    <m/>
    <m/>
    <m/>
    <m/>
    <m/>
    <m/>
    <x v="1"/>
    <d v="2016-02-15T19:17:00"/>
    <s v="Patch Set 2: Code-Review+1"/>
    <m/>
    <m/>
    <s v="miguel.verdu@intel.com"/>
    <x v="0"/>
    <x v="1"/>
    <s v=""/>
    <x v="0"/>
    <s v=""/>
    <s v=""/>
    <s v=""/>
    <s v=""/>
    <s v=""/>
    <s v=""/>
    <s v=""/>
    <x v="0"/>
    <x v="0"/>
    <x v="0"/>
  </r>
  <r>
    <x v="21"/>
    <m/>
    <m/>
    <m/>
    <m/>
    <m/>
    <m/>
    <m/>
    <m/>
    <m/>
    <m/>
    <m/>
    <x v="15"/>
    <d v="2016-02-16T14:01:00"/>
    <s v="Patch Set 2: Code-Review+1"/>
    <m/>
    <m/>
    <s v="miguel.verdu@intel.com"/>
    <x v="0"/>
    <x v="4"/>
    <s v=""/>
    <x v="0"/>
    <s v=""/>
    <s v=""/>
    <s v=""/>
    <s v=""/>
    <s v=""/>
    <s v=""/>
    <s v=""/>
    <x v="0"/>
    <x v="0"/>
    <x v="0"/>
  </r>
  <r>
    <x v="21"/>
    <m/>
    <m/>
    <m/>
    <m/>
    <m/>
    <m/>
    <m/>
    <m/>
    <m/>
    <m/>
    <m/>
    <x v="13"/>
    <d v="2016-02-17T09:38:00"/>
    <s v="Patch Set 2: Code-Review+1"/>
    <m/>
    <m/>
    <s v="miguel.verdu@intel.com"/>
    <x v="0"/>
    <x v="4"/>
    <s v=""/>
    <x v="0"/>
    <s v=""/>
    <s v=""/>
    <s v=""/>
    <s v=""/>
    <s v=""/>
    <s v=""/>
    <s v=""/>
    <x v="0"/>
    <x v="0"/>
    <x v="0"/>
  </r>
  <r>
    <x v="21"/>
    <m/>
    <m/>
    <m/>
    <m/>
    <m/>
    <m/>
    <m/>
    <m/>
    <m/>
    <m/>
    <m/>
    <x v="2"/>
    <d v="2016-02-18T21:47:00"/>
    <s v="Patch Set 2: Code-Review+1"/>
    <m/>
    <m/>
    <s v="miguel.verdu@intel.com"/>
    <x v="0"/>
    <x v="1"/>
    <s v=""/>
    <x v="0"/>
    <s v=""/>
    <s v=""/>
    <s v=""/>
    <s v=""/>
    <s v=""/>
    <s v=""/>
    <s v=""/>
    <x v="0"/>
    <x v="0"/>
    <x v="0"/>
  </r>
  <r>
    <x v="21"/>
    <m/>
    <m/>
    <m/>
    <m/>
    <m/>
    <m/>
    <m/>
    <m/>
    <m/>
    <m/>
    <m/>
    <x v="3"/>
    <d v="2016-02-22T17:05:00"/>
    <s v="Patch Set 2: Code-Review+1"/>
    <m/>
    <m/>
    <s v="miguel.verdu@intel.com"/>
    <x v="0"/>
    <x v="2"/>
    <s v=""/>
    <x v="0"/>
    <s v=""/>
    <s v=""/>
    <s v=""/>
    <s v=""/>
    <s v=""/>
    <s v=""/>
    <s v=""/>
    <x v="0"/>
    <x v="0"/>
    <x v="0"/>
  </r>
  <r>
    <x v="21"/>
    <m/>
    <m/>
    <m/>
    <m/>
    <m/>
    <m/>
    <m/>
    <m/>
    <m/>
    <m/>
    <m/>
    <x v="14"/>
    <d v="2016-02-29T17:21:00"/>
    <s v="Patch Set 2: Validation-Android+1\n\nreceive smoke test"/>
    <m/>
    <m/>
    <s v="miguel.verdu@intel.com"/>
    <x v="0"/>
    <x v="5"/>
    <s v=""/>
    <x v="0"/>
    <s v=""/>
    <s v=""/>
    <s v=""/>
    <s v=""/>
    <s v=""/>
    <s v=""/>
    <s v=""/>
    <x v="0"/>
    <x v="1"/>
    <x v="0"/>
  </r>
  <r>
    <x v="21"/>
    <m/>
    <m/>
    <m/>
    <m/>
    <m/>
    <m/>
    <m/>
    <m/>
    <m/>
    <m/>
    <m/>
    <x v="18"/>
    <d v="2016-02-29T17:27:00"/>
    <s v="Patch Set 2: Code-Review+1"/>
    <m/>
    <m/>
    <s v="miguel.verdu@intel.com"/>
    <x v="0"/>
    <x v="1"/>
    <s v=""/>
    <x v="0"/>
    <s v=""/>
    <s v=""/>
    <s v=""/>
    <s v=""/>
    <s v=""/>
    <s v=""/>
    <s v=""/>
    <x v="0"/>
    <x v="0"/>
    <x v="0"/>
  </r>
  <r>
    <x v="21"/>
    <m/>
    <m/>
    <m/>
    <m/>
    <m/>
    <m/>
    <m/>
    <m/>
    <m/>
    <m/>
    <m/>
    <x v="6"/>
    <d v="2016-02-29T17:28:00"/>
    <s v="Patch Set 2: Approver+1"/>
    <m/>
    <m/>
    <s v="miguel.verdu@intel.com"/>
    <x v="0"/>
    <x v="1"/>
    <s v=""/>
    <x v="0"/>
    <s v=""/>
    <s v=""/>
    <s v=""/>
    <s v=""/>
    <s v=""/>
    <s v=""/>
    <s v=""/>
    <x v="0"/>
    <x v="0"/>
    <x v="0"/>
  </r>
  <r>
    <x v="21"/>
    <m/>
    <m/>
    <m/>
    <m/>
    <m/>
    <m/>
    <m/>
    <m/>
    <m/>
    <m/>
    <m/>
    <x v="6"/>
    <d v="2016-02-29T17:28:00"/>
    <s v="Patch Set 2: Code-Review+1"/>
    <m/>
    <m/>
    <s v="miguel.verdu@intel.com"/>
    <x v="0"/>
    <x v="1"/>
    <s v=""/>
    <x v="0"/>
    <s v=""/>
    <s v=""/>
    <s v=""/>
    <s v=""/>
    <s v=""/>
    <s v=""/>
    <s v=""/>
    <x v="0"/>
    <x v="0"/>
    <x v="0"/>
  </r>
  <r>
    <x v="21"/>
    <m/>
    <m/>
    <m/>
    <m/>
    <m/>
    <m/>
    <m/>
    <m/>
    <m/>
    <m/>
    <m/>
    <x v="9"/>
    <d v="2016-03-01T14:12:00"/>
    <s v="Patch Set 2: Integrator+1\n\nIntegrator +1; patch will be add to PT; please no change now"/>
    <m/>
    <m/>
    <s v="miguel.verdu@intel.com"/>
    <x v="0"/>
    <x v="5"/>
    <s v=""/>
    <x v="0"/>
    <s v=""/>
    <s v=""/>
    <s v=""/>
    <s v=""/>
    <s v=""/>
    <s v=""/>
    <s v=""/>
    <x v="0"/>
    <x v="1"/>
    <x v="0"/>
  </r>
  <r>
    <x v="21"/>
    <m/>
    <m/>
    <m/>
    <m/>
    <m/>
    <m/>
    <m/>
    <m/>
    <m/>
    <m/>
    <m/>
    <x v="9"/>
    <d v="2016-03-01T18:33:00"/>
    <s v="Patch Set 2:\n\nPassed Klocwork code analyzing test. No CRITICAL issue in this patch. Auto reported by kwscan@psi-build5.bj.intel.com"/>
    <m/>
    <m/>
    <s v="miguel.verdu@intel.com"/>
    <x v="0"/>
    <x v="5"/>
    <s v=""/>
    <x v="0"/>
    <s v=""/>
    <s v=""/>
    <s v=""/>
    <s v=""/>
    <s v=""/>
    <s v=""/>
    <s v=""/>
    <x v="0"/>
    <x v="0"/>
    <x v="0"/>
  </r>
  <r>
    <x v="21"/>
    <m/>
    <m/>
    <m/>
    <m/>
    <m/>
    <m/>
    <m/>
    <m/>
    <m/>
    <m/>
    <m/>
    <x v="9"/>
    <d v="2016-03-01T20:07:00"/>
    <s v="Patch Set 2:\n\nPassed Klocwork code analyzing test. No CRITICAL issue in this patch. Auto reported by kwscan@kw-srv2.bj.intel.com"/>
    <m/>
    <m/>
    <s v="miguel.verdu@intel.com"/>
    <x v="0"/>
    <x v="5"/>
    <s v=""/>
    <x v="0"/>
    <s v=""/>
    <s v=""/>
    <s v=""/>
    <s v=""/>
    <s v=""/>
    <s v=""/>
    <s v=""/>
    <x v="0"/>
    <x v="0"/>
    <x v="0"/>
  </r>
  <r>
    <x v="21"/>
    <m/>
    <m/>
    <m/>
    <m/>
    <m/>
    <m/>
    <m/>
    <m/>
    <m/>
    <m/>
    <m/>
    <x v="9"/>
    <d v="2016-03-01T20:10:00"/>
    <s v="Patch Set 2:\n\nPassed Klocwork code analyzing test. No CRITICAL issue in this patch. Auto reported by kwscan@andr-val-srv0.bj.intel.com"/>
    <m/>
    <m/>
    <s v="miguel.verdu@intel.com"/>
    <x v="0"/>
    <x v="5"/>
    <s v=""/>
    <x v="0"/>
    <s v=""/>
    <s v=""/>
    <s v=""/>
    <s v=""/>
    <s v=""/>
    <s v=""/>
    <s v=""/>
    <x v="0"/>
    <x v="0"/>
    <x v="0"/>
  </r>
  <r>
    <x v="21"/>
    <m/>
    <m/>
    <m/>
    <m/>
    <m/>
    <m/>
    <m/>
    <m/>
    <m/>
    <m/>
    <m/>
    <x v="9"/>
    <d v="2016-03-01T23:06:00"/>
    <s v="Patch Set 2:\n\nPassed Klocwork code analyzing test. No CRITICAL issue in this patch. Auto reported by kwscan@kw-srv2.bj.intel.com"/>
    <m/>
    <m/>
    <s v="miguel.verdu@intel.com"/>
    <x v="0"/>
    <x v="5"/>
    <s v=""/>
    <x v="0"/>
    <s v=""/>
    <s v=""/>
    <s v=""/>
    <s v=""/>
    <s v=""/>
    <s v=""/>
    <s v=""/>
    <x v="0"/>
    <x v="0"/>
    <x v="0"/>
  </r>
  <r>
    <x v="21"/>
    <m/>
    <m/>
    <m/>
    <m/>
    <m/>
    <m/>
    <m/>
    <m/>
    <m/>
    <m/>
    <m/>
    <x v="9"/>
    <d v="2016-03-02T10:24:00"/>
    <s v="Patch Set 2:\n\nPassed Klocwork code analyzing test. No CRITICAL issue in this patch. Auto reported by kwscan@andr-val-srv0.bj.intel.com"/>
    <m/>
    <m/>
    <s v="miguel.verdu@intel.com"/>
    <x v="0"/>
    <x v="5"/>
    <s v=""/>
    <x v="0"/>
    <s v=""/>
    <s v=""/>
    <s v=""/>
    <s v=""/>
    <s v=""/>
    <s v=""/>
    <s v=""/>
    <x v="0"/>
    <x v="0"/>
    <x v="0"/>
  </r>
  <r>
    <x v="21"/>
    <m/>
    <m/>
    <m/>
    <m/>
    <m/>
    <m/>
    <m/>
    <m/>
    <m/>
    <m/>
    <m/>
    <x v="9"/>
    <d v="2016-03-02T10:58:00"/>
    <s v="Patch Set 2:\n\nPassed Klocwork code analyzing test. No CRITICAL issue in this patch. Auto reported by kwscan@psi-build5.bj.intel.com"/>
    <m/>
    <m/>
    <s v="miguel.verdu@intel.com"/>
    <x v="0"/>
    <x v="5"/>
    <s v=""/>
    <x v="0"/>
    <s v=""/>
    <s v=""/>
    <s v=""/>
    <s v=""/>
    <s v=""/>
    <s v=""/>
    <s v=""/>
    <x v="0"/>
    <x v="0"/>
    <x v="0"/>
  </r>
  <r>
    <x v="21"/>
    <m/>
    <m/>
    <m/>
    <m/>
    <m/>
    <m/>
    <m/>
    <m/>
    <m/>
    <m/>
    <m/>
    <x v="9"/>
    <d v="2016-03-02T14:20:00"/>
    <s v="Patch Set 2: Code-Review+1\n\nPassed PIT; ready for merge"/>
    <m/>
    <m/>
    <s v="miguel.verdu@intel.com"/>
    <x v="0"/>
    <x v="5"/>
    <s v=""/>
    <x v="0"/>
    <s v=""/>
    <s v=""/>
    <s v=""/>
    <s v=""/>
    <s v=""/>
    <s v=""/>
    <s v=""/>
    <x v="0"/>
    <x v="0"/>
    <x v="0"/>
  </r>
  <r>
    <x v="21"/>
    <m/>
    <m/>
    <m/>
    <m/>
    <m/>
    <m/>
    <m/>
    <m/>
    <m/>
    <m/>
    <m/>
    <x v="10"/>
    <d v="2016-03-03T13:35:00"/>
    <s v="Patch Set 3:\n\nThe patch has been successfully merged into r6_legacy with https://android.intel.com/477057"/>
    <m/>
    <m/>
    <s v="miguel.verdu@intel.com"/>
    <x v="0"/>
    <x v="5"/>
    <s v=""/>
    <x v="0"/>
    <s v=""/>
    <s v=""/>
    <s v=""/>
    <s v=""/>
    <s v=""/>
    <s v=""/>
    <s v=""/>
    <x v="0"/>
    <x v="0"/>
    <x v="0"/>
  </r>
  <r>
    <x v="22"/>
    <n v="105367"/>
    <s v="vied-viedandr-camera3hal"/>
    <s v="platform/android/m/mr1/stable/master"/>
    <s v="Id5112e779e4d7653a9e97f72a73891b436a51df5"/>
    <s v="dongdong.zhang@intel.com"/>
    <s v="MERGED"/>
    <s v="ov8858: Add tuning file for r2_sltmrdV34"/>
    <s v="ov8858: Add tuning file for r2_sltmrdV34\n\nMake a copy of the ov8858 tuning file for LTE MRD6\nand product device r2_sltmrdV34.\n\nChange-Id: Id5112e779e4d7653a9e97f72a73891b436a51df5\nTracked-On: https://jira01.devtools.intel.com/browse/OAM-12371\nSigned-off-by: Mikael Persson &lt;mikael.persson@intel.com&gt;\nReviewed-on: https://icggerrit.ir.intel.com/89926\nBuild: Dessert M BXT RVP (SC)\nBuild: Dessert M COHO (SC)\nBuild: Dessert M SOFIA (SC)\nBuild: Dessert M CHT FFD (SC)\nReviewed-by: Renwei Wu &lt;renwei.wu@intel.com&gt;\nApprover: Renwei Wu &lt;renwei.wu@intel.com&gt;\nReviewed-on: https://android.intel.com:443/448860\nReviewed-on: https://icggerrit.ir.intel.com/105367\nReviewed-by: Dongdong Zhang &lt;dongdong.zhang@intel.com&gt;\nApprover: Fan F Yang &lt;fan.f.yang@intel.com&gt;\nReviewed-by: Fan F Yang &lt;fan.f.yang@intel.com&gt;\nIntegrator: Fan F Yang &lt;fan.f.yang@intel.com&gt;\n"/>
    <d v="2016-03-03T10:32:00"/>
    <d v="2016-03-03T11:51:00"/>
    <s v="common"/>
    <x v="10"/>
    <d v="2016-03-03T10:32:00"/>
    <s v="Uploaded patch set 1."/>
    <m/>
    <s v="fan.f.yang@intel.com;"/>
    <s v="dongdong.zhang@intel.com"/>
    <x v="4"/>
    <x v="0"/>
    <s v="16'ww10"/>
    <x v="0"/>
    <n v="0"/>
    <n v="0"/>
    <n v="0"/>
    <n v="0"/>
    <n v="0"/>
    <n v="0"/>
    <n v="0"/>
    <x v="0"/>
    <x v="0"/>
    <x v="0"/>
  </r>
  <r>
    <x v="22"/>
    <m/>
    <m/>
    <m/>
    <m/>
    <m/>
    <m/>
    <m/>
    <m/>
    <m/>
    <m/>
    <m/>
    <x v="10"/>
    <d v="2016-03-03T10:32:00"/>
    <s v="Patch Set 1:\n\nPatchset Created: CI job has been scheduled."/>
    <m/>
    <m/>
    <s v="dongdong.zhang@intel.com"/>
    <x v="4"/>
    <x v="0"/>
    <s v=""/>
    <x v="0"/>
    <s v=""/>
    <s v=""/>
    <s v=""/>
    <s v=""/>
    <s v=""/>
    <s v=""/>
    <s v=""/>
    <x v="0"/>
    <x v="0"/>
    <x v="0"/>
  </r>
  <r>
    <x v="22"/>
    <m/>
    <m/>
    <m/>
    <m/>
    <m/>
    <m/>
    <m/>
    <m/>
    <m/>
    <m/>
    <m/>
    <x v="10"/>
    <d v="2016-03-03T11:21:00"/>
    <s v="Patch Set 1: Code-Review+1"/>
    <m/>
    <m/>
    <s v="dongdong.zhang@intel.com"/>
    <x v="4"/>
    <x v="0"/>
    <s v=""/>
    <x v="0"/>
    <s v=""/>
    <s v=""/>
    <s v=""/>
    <s v=""/>
    <s v=""/>
    <s v=""/>
    <s v=""/>
    <x v="0"/>
    <x v="0"/>
    <x v="0"/>
  </r>
  <r>
    <x v="22"/>
    <m/>
    <m/>
    <m/>
    <m/>
    <m/>
    <m/>
    <m/>
    <m/>
    <m/>
    <m/>
    <m/>
    <x v="26"/>
    <d v="2016-03-03T11:51:00"/>
    <s v="Patch Set 1: Approver+1 Code-Review+1 Integrator+1\n\nPorting from SSG stable"/>
    <m/>
    <m/>
    <s v="dongdong.zhang@intel.com"/>
    <x v="4"/>
    <x v="5"/>
    <s v=""/>
    <x v="0"/>
    <s v=""/>
    <s v=""/>
    <s v=""/>
    <s v=""/>
    <s v=""/>
    <s v=""/>
    <s v=""/>
    <x v="0"/>
    <x v="0"/>
    <x v="0"/>
  </r>
  <r>
    <x v="23"/>
    <n v="104194"/>
    <s v="vied-viedandr-camera3hal"/>
    <s v="platform/android/main"/>
    <s v="I8447f1c2659ad919c7e274dab9e4895758a8f400"/>
    <s v="ukri.niemimuukko@intel.com"/>
    <s v="MERGED"/>
    <s v="c3:3a: add API to allow copying only updated LSC tables"/>
    <s v="c3:3a: add API to allow copying only updated LSC tables\n\nThe old deep-copy function for AiqResults was blindly copying\nthe SA LSC tables regardless of what kind of bogus values was\nin them. This adds an API to allow copying those only when the\nLSC is updated. By default; everything is still copied; so old\nusers of the function are not impacted by the change.\n\nChange-Id: I8447f1c2659ad919c7e274dab9e4895758a8f400\nTracked-On: #H1304154118\nSigned-off-by: Ukri Niemimuukko &lt;ukri.niemimuukko@intel.com&gt;\nReviewed-on: https://icggerrit.ir.intel.com/104194\nReviewed-by: Renwei Wu &lt;renwei.wu@intel.com&gt;\nReviewed-by: Hongjiang A Zheng &lt;hongjiang.a.zheng@intel.com&gt;\nReviewed-by: Arnaud Mandy &lt;arnaud.mandy@intel.com&gt;\nReviewed-by: Juha Alanen &lt;juha.alanen@intel.com&gt;\nReviewed-by: Jukka O Kaartinen &lt;jukka.o.kaartinen@intel.com&gt;\nReviewed-by: Miguel Verdu &lt;miguel.verdu@intel.com&gt;\nValidation-Android: Wei Tao &lt;wei.tao@intel.com&gt;\nApprover: Jukka O Kaartinen &lt;jukka.o.kaartinen@intel.com&gt;\nIntegrator: WeiX Meng &lt;weix.meng@intel.com&gt;\nReviewed-by: WeiX Meng &lt;weix.meng@intel.com&gt;\n"/>
    <d v="2016-02-26T15:36:00"/>
    <d v="2016-03-01T16:33:00"/>
    <s v="common"/>
    <x v="6"/>
    <d v="2016-02-26T15:36:00"/>
    <s v="Uploaded patch set 1."/>
    <m/>
    <s v="dongdong.zhang@intel.com;weix.meng@intel.com;miguel.verdu@intel.com;jukka.o.kaartinen@intel.com;juha.alanen@intel.com;arnaud.mandy@intel.com;hongjiang.a.zheng@intel.com;gang.a.hu@intel.com;renwei.wu@intel.com;"/>
    <s v="ukri.niemimuukko@intel.com"/>
    <x v="0"/>
    <x v="0"/>
    <s v="16'ww10"/>
    <x v="0"/>
    <n v="0"/>
    <n v="0"/>
    <n v="0"/>
    <n v="0"/>
    <n v="2"/>
    <n v="6"/>
    <n v="1"/>
    <x v="0"/>
    <x v="0"/>
    <x v="0"/>
  </r>
  <r>
    <x v="23"/>
    <m/>
    <m/>
    <m/>
    <m/>
    <m/>
    <m/>
    <m/>
    <m/>
    <m/>
    <m/>
    <m/>
    <x v="6"/>
    <d v="2016-02-26T15:36:00"/>
    <s v="Patch Set 1:\n\nPatchset Created: CI job has been scheduled."/>
    <m/>
    <m/>
    <s v="ukri.niemimuukko@intel.com"/>
    <x v="0"/>
    <x v="0"/>
    <s v=""/>
    <x v="0"/>
    <s v=""/>
    <s v=""/>
    <s v=""/>
    <s v=""/>
    <s v=""/>
    <s v=""/>
    <s v=""/>
    <x v="0"/>
    <x v="0"/>
    <x v="0"/>
  </r>
  <r>
    <x v="23"/>
    <m/>
    <m/>
    <m/>
    <m/>
    <m/>
    <m/>
    <m/>
    <m/>
    <m/>
    <m/>
    <m/>
    <x v="6"/>
    <d v="2016-02-26T15:37:00"/>
    <s v="Patch Set 1: Code-Review+1"/>
    <m/>
    <m/>
    <s v="ukri.niemimuukko@intel.com"/>
    <x v="0"/>
    <x v="0"/>
    <s v=""/>
    <x v="0"/>
    <s v=""/>
    <s v=""/>
    <s v=""/>
    <s v=""/>
    <s v=""/>
    <s v=""/>
    <s v=""/>
    <x v="0"/>
    <x v="0"/>
    <x v="0"/>
  </r>
  <r>
    <x v="23"/>
    <m/>
    <m/>
    <m/>
    <m/>
    <m/>
    <m/>
    <m/>
    <m/>
    <m/>
    <m/>
    <m/>
    <x v="6"/>
    <d v="2016-02-26T15:44:00"/>
    <s v="Uploaded patch set 2: Commit message was updated."/>
    <m/>
    <m/>
    <s v="ukri.niemimuukko@intel.com"/>
    <x v="0"/>
    <x v="0"/>
    <s v=""/>
    <x v="0"/>
    <s v=""/>
    <s v=""/>
    <s v=""/>
    <s v=""/>
    <s v=""/>
    <s v=""/>
    <s v=""/>
    <x v="0"/>
    <x v="0"/>
    <x v="0"/>
  </r>
  <r>
    <x v="23"/>
    <m/>
    <m/>
    <m/>
    <m/>
    <m/>
    <m/>
    <m/>
    <m/>
    <m/>
    <m/>
    <m/>
    <x v="3"/>
    <d v="2016-02-26T15:44:00"/>
    <s v="Patch Set 1: Code-Review+1"/>
    <m/>
    <m/>
    <s v="ukri.niemimuukko@intel.com"/>
    <x v="0"/>
    <x v="2"/>
    <s v=""/>
    <x v="0"/>
    <s v=""/>
    <s v=""/>
    <s v=""/>
    <s v=""/>
    <s v=""/>
    <s v=""/>
    <s v=""/>
    <x v="0"/>
    <x v="0"/>
    <x v="0"/>
  </r>
  <r>
    <x v="23"/>
    <m/>
    <m/>
    <m/>
    <m/>
    <m/>
    <m/>
    <m/>
    <m/>
    <m/>
    <m/>
    <m/>
    <x v="6"/>
    <d v="2016-02-26T15:44:00"/>
    <s v="Patch Set 2:\n\nPatchset Created: CI job has been scheduled."/>
    <m/>
    <m/>
    <s v="ukri.niemimuukko@intel.com"/>
    <x v="0"/>
    <x v="0"/>
    <s v=""/>
    <x v="0"/>
    <s v=""/>
    <s v=""/>
    <s v=""/>
    <s v=""/>
    <s v=""/>
    <s v=""/>
    <s v=""/>
    <x v="0"/>
    <x v="0"/>
    <x v="0"/>
  </r>
  <r>
    <x v="23"/>
    <m/>
    <m/>
    <m/>
    <m/>
    <m/>
    <m/>
    <m/>
    <m/>
    <m/>
    <m/>
    <m/>
    <x v="13"/>
    <d v="2016-02-26T15:45:00"/>
    <s v="Patch Set 1: Code-Review+1"/>
    <m/>
    <m/>
    <s v="ukri.niemimuukko@intel.com"/>
    <x v="0"/>
    <x v="4"/>
    <s v=""/>
    <x v="0"/>
    <s v=""/>
    <s v=""/>
    <s v=""/>
    <s v=""/>
    <s v=""/>
    <s v=""/>
    <s v=""/>
    <x v="0"/>
    <x v="0"/>
    <x v="0"/>
  </r>
  <r>
    <x v="23"/>
    <m/>
    <m/>
    <m/>
    <m/>
    <m/>
    <m/>
    <m/>
    <m/>
    <m/>
    <m/>
    <m/>
    <x v="15"/>
    <d v="2016-02-26T15:45:00"/>
    <s v="Patch Set 2: Code-Review+1"/>
    <m/>
    <m/>
    <s v="ukri.niemimuukko@intel.com"/>
    <x v="0"/>
    <x v="4"/>
    <s v=""/>
    <x v="0"/>
    <s v=""/>
    <s v=""/>
    <s v=""/>
    <s v=""/>
    <s v=""/>
    <s v=""/>
    <s v=""/>
    <x v="0"/>
    <x v="0"/>
    <x v="0"/>
  </r>
  <r>
    <x v="23"/>
    <m/>
    <m/>
    <m/>
    <m/>
    <m/>
    <m/>
    <m/>
    <m/>
    <m/>
    <m/>
    <m/>
    <x v="1"/>
    <d v="2016-02-26T16:08:00"/>
    <s v="Patch Set 2: Code-Review+1"/>
    <m/>
    <m/>
    <s v="ukri.niemimuukko@intel.com"/>
    <x v="0"/>
    <x v="1"/>
    <s v=""/>
    <x v="0"/>
    <s v=""/>
    <s v=""/>
    <s v=""/>
    <s v=""/>
    <s v=""/>
    <s v=""/>
    <s v=""/>
    <x v="0"/>
    <x v="0"/>
    <x v="0"/>
  </r>
  <r>
    <x v="23"/>
    <m/>
    <m/>
    <m/>
    <m/>
    <m/>
    <m/>
    <m/>
    <m/>
    <m/>
    <m/>
    <m/>
    <x v="5"/>
    <d v="2016-02-26T16:10:00"/>
    <s v="Patch Set 2: Code-Review+1"/>
    <m/>
    <m/>
    <s v="ukri.niemimuukko@intel.com"/>
    <x v="0"/>
    <x v="1"/>
    <s v=""/>
    <x v="0"/>
    <s v=""/>
    <s v=""/>
    <s v=""/>
    <s v=""/>
    <s v=""/>
    <s v=""/>
    <s v=""/>
    <x v="0"/>
    <x v="0"/>
    <x v="0"/>
  </r>
  <r>
    <x v="23"/>
    <m/>
    <m/>
    <m/>
    <m/>
    <m/>
    <m/>
    <m/>
    <m/>
    <m/>
    <m/>
    <m/>
    <x v="2"/>
    <d v="2016-02-26T16:10:00"/>
    <s v="Patch Set 2: Code-Review+1"/>
    <m/>
    <m/>
    <s v="ukri.niemimuukko@intel.com"/>
    <x v="0"/>
    <x v="1"/>
    <s v=""/>
    <x v="0"/>
    <s v=""/>
    <s v=""/>
    <s v=""/>
    <s v=""/>
    <s v=""/>
    <s v=""/>
    <s v=""/>
    <x v="0"/>
    <x v="0"/>
    <x v="0"/>
  </r>
  <r>
    <x v="23"/>
    <m/>
    <m/>
    <m/>
    <m/>
    <m/>
    <m/>
    <m/>
    <m/>
    <m/>
    <m/>
    <m/>
    <x v="0"/>
    <d v="2016-02-26T16:13:00"/>
    <s v="Patch Set 2: Code-Review+1"/>
    <m/>
    <m/>
    <s v="ukri.niemimuukko@intel.com"/>
    <x v="0"/>
    <x v="1"/>
    <s v=""/>
    <x v="0"/>
    <s v=""/>
    <s v=""/>
    <s v=""/>
    <s v=""/>
    <s v=""/>
    <s v=""/>
    <s v=""/>
    <x v="0"/>
    <x v="0"/>
    <x v="0"/>
  </r>
  <r>
    <x v="23"/>
    <m/>
    <m/>
    <m/>
    <m/>
    <m/>
    <m/>
    <m/>
    <m/>
    <m/>
    <m/>
    <m/>
    <x v="6"/>
    <d v="2016-02-26T20:48:00"/>
    <s v="Uploaded patch set 3: Patch Set 2 was rebased."/>
    <m/>
    <m/>
    <s v="ukri.niemimuukko@intel.com"/>
    <x v="0"/>
    <x v="0"/>
    <s v=""/>
    <x v="0"/>
    <s v=""/>
    <s v=""/>
    <s v=""/>
    <s v=""/>
    <s v=""/>
    <s v=""/>
    <s v=""/>
    <x v="0"/>
    <x v="0"/>
    <x v="0"/>
  </r>
  <r>
    <x v="23"/>
    <m/>
    <m/>
    <m/>
    <m/>
    <m/>
    <m/>
    <m/>
    <m/>
    <m/>
    <m/>
    <m/>
    <x v="6"/>
    <d v="2016-02-26T20:49:00"/>
    <s v="Patch Set 3:\n\nPatchset Created: CI job has been scheduled."/>
    <m/>
    <m/>
    <s v="ukri.niemimuukko@intel.com"/>
    <x v="0"/>
    <x v="0"/>
    <s v=""/>
    <x v="0"/>
    <s v=""/>
    <s v=""/>
    <s v=""/>
    <s v=""/>
    <s v=""/>
    <s v=""/>
    <s v=""/>
    <x v="0"/>
    <x v="0"/>
    <x v="0"/>
  </r>
  <r>
    <x v="23"/>
    <m/>
    <m/>
    <m/>
    <m/>
    <m/>
    <m/>
    <m/>
    <m/>
    <m/>
    <m/>
    <m/>
    <x v="14"/>
    <d v="2016-02-26T20:57:00"/>
    <s v="Patch Set 3: Validation-Android+1\n\nreceive smoke test"/>
    <m/>
    <m/>
    <s v="ukri.niemimuukko@intel.com"/>
    <x v="0"/>
    <x v="5"/>
    <s v=""/>
    <x v="0"/>
    <s v=""/>
    <s v=""/>
    <s v=""/>
    <s v=""/>
    <s v=""/>
    <s v=""/>
    <s v=""/>
    <x v="0"/>
    <x v="1"/>
    <x v="0"/>
  </r>
  <r>
    <x v="23"/>
    <m/>
    <m/>
    <m/>
    <m/>
    <m/>
    <m/>
    <m/>
    <m/>
    <m/>
    <m/>
    <m/>
    <x v="2"/>
    <d v="2016-02-26T21:00:00"/>
    <s v="Patch Set 3: Approver+1"/>
    <m/>
    <m/>
    <s v="ukri.niemimuukko@intel.com"/>
    <x v="0"/>
    <x v="1"/>
    <s v=""/>
    <x v="0"/>
    <s v=""/>
    <s v=""/>
    <s v=""/>
    <s v=""/>
    <s v=""/>
    <s v=""/>
    <s v=""/>
    <x v="0"/>
    <x v="0"/>
    <x v="0"/>
  </r>
  <r>
    <x v="23"/>
    <m/>
    <m/>
    <m/>
    <m/>
    <m/>
    <m/>
    <m/>
    <m/>
    <m/>
    <m/>
    <m/>
    <x v="2"/>
    <d v="2016-02-26T21:00:00"/>
    <s v="Topic changed from topic_feb26 to bxt_preint"/>
    <m/>
    <m/>
    <s v="ukri.niemimuukko@intel.com"/>
    <x v="0"/>
    <x v="1"/>
    <s v=""/>
    <x v="0"/>
    <s v=""/>
    <s v=""/>
    <s v=""/>
    <s v=""/>
    <s v=""/>
    <s v=""/>
    <s v=""/>
    <x v="0"/>
    <x v="0"/>
    <x v="0"/>
  </r>
  <r>
    <x v="23"/>
    <m/>
    <m/>
    <m/>
    <m/>
    <m/>
    <m/>
    <m/>
    <m/>
    <m/>
    <m/>
    <m/>
    <x v="9"/>
    <d v="2016-02-29T14:22:00"/>
    <s v="Patch Set 3: Integrator+1\n\nIntegrator +1; patch will be add to PT; please no change now"/>
    <m/>
    <m/>
    <s v="ukri.niemimuukko@intel.com"/>
    <x v="0"/>
    <x v="5"/>
    <s v=""/>
    <x v="0"/>
    <s v=""/>
    <s v=""/>
    <s v=""/>
    <s v=""/>
    <s v=""/>
    <s v=""/>
    <s v=""/>
    <x v="0"/>
    <x v="1"/>
    <x v="0"/>
  </r>
  <r>
    <x v="23"/>
    <m/>
    <m/>
    <m/>
    <m/>
    <m/>
    <m/>
    <m/>
    <m/>
    <m/>
    <m/>
    <m/>
    <x v="9"/>
    <d v="2016-02-29T17:30:00"/>
    <s v="Patch Set 3:\n\nPassed Klocwork code analyzing test. No CRITICAL issue in this patch. Auto reported by kwscan@andr-val-srv0.bj.intel.com"/>
    <m/>
    <m/>
    <s v="ukri.niemimuukko@intel.com"/>
    <x v="0"/>
    <x v="5"/>
    <s v=""/>
    <x v="0"/>
    <s v=""/>
    <s v=""/>
    <s v=""/>
    <s v=""/>
    <s v=""/>
    <s v=""/>
    <s v=""/>
    <x v="0"/>
    <x v="0"/>
    <x v="0"/>
  </r>
  <r>
    <x v="23"/>
    <m/>
    <m/>
    <m/>
    <m/>
    <m/>
    <m/>
    <m/>
    <m/>
    <m/>
    <m/>
    <m/>
    <x v="9"/>
    <d v="2016-02-29T18:41:00"/>
    <s v="Patch Set 3:\n\nPassed Klocwork code analyzing test. No CRITICAL issue in this patch. Auto reported by kwscan@kw-srv2.bj.intel.com"/>
    <m/>
    <m/>
    <s v="ukri.niemimuukko@intel.com"/>
    <x v="0"/>
    <x v="5"/>
    <s v=""/>
    <x v="0"/>
    <s v=""/>
    <s v=""/>
    <s v=""/>
    <s v=""/>
    <s v=""/>
    <s v=""/>
    <s v=""/>
    <x v="0"/>
    <x v="0"/>
    <x v="0"/>
  </r>
  <r>
    <x v="23"/>
    <m/>
    <m/>
    <m/>
    <m/>
    <m/>
    <m/>
    <m/>
    <m/>
    <m/>
    <m/>
    <m/>
    <x v="9"/>
    <d v="2016-02-29T20:04:00"/>
    <s v="Patch Set 3:\n\nPassed Klocwork code analyzing test. No CRITICAL issue in this patch. Auto reported by kwscan@andr-val-srv0.bj.intel.com"/>
    <m/>
    <m/>
    <s v="ukri.niemimuukko@intel.com"/>
    <x v="0"/>
    <x v="5"/>
    <s v=""/>
    <x v="0"/>
    <s v=""/>
    <s v=""/>
    <s v=""/>
    <s v=""/>
    <s v=""/>
    <s v=""/>
    <s v=""/>
    <x v="0"/>
    <x v="0"/>
    <x v="0"/>
  </r>
  <r>
    <x v="23"/>
    <m/>
    <m/>
    <m/>
    <m/>
    <m/>
    <m/>
    <m/>
    <m/>
    <m/>
    <m/>
    <m/>
    <x v="9"/>
    <d v="2016-02-29T20:36:00"/>
    <s v="Patch Set 3:\n\nPassed Klocwork code analyzing test. No CRITICAL issue in this patch. Auto reported by kwscan@psi-build5.bj.intel.com"/>
    <m/>
    <m/>
    <s v="ukri.niemimuukko@intel.com"/>
    <x v="0"/>
    <x v="5"/>
    <s v=""/>
    <x v="0"/>
    <s v=""/>
    <s v=""/>
    <s v=""/>
    <s v=""/>
    <s v=""/>
    <s v=""/>
    <s v=""/>
    <x v="0"/>
    <x v="0"/>
    <x v="0"/>
  </r>
  <r>
    <x v="23"/>
    <m/>
    <m/>
    <m/>
    <m/>
    <m/>
    <m/>
    <m/>
    <m/>
    <m/>
    <m/>
    <m/>
    <x v="9"/>
    <d v="2016-02-29T21:58:00"/>
    <s v="Patch Set 3:\n\nPassed Klocwork code analyzing test. No CRITICAL issue in this patch. Auto reported by kwscan@kw-srv2.bj.intel.com"/>
    <m/>
    <m/>
    <s v="ukri.niemimuukko@intel.com"/>
    <x v="0"/>
    <x v="5"/>
    <s v=""/>
    <x v="0"/>
    <s v=""/>
    <s v=""/>
    <s v=""/>
    <s v=""/>
    <s v=""/>
    <s v=""/>
    <s v=""/>
    <x v="0"/>
    <x v="0"/>
    <x v="0"/>
  </r>
  <r>
    <x v="23"/>
    <m/>
    <m/>
    <m/>
    <m/>
    <m/>
    <m/>
    <m/>
    <m/>
    <m/>
    <m/>
    <m/>
    <x v="9"/>
    <d v="2016-03-01T15:35:00"/>
    <s v="Patch Set 3: Code-Review+1\n\nPassed PIT; ready for merge"/>
    <m/>
    <m/>
    <s v="ukri.niemimuukko@intel.com"/>
    <x v="0"/>
    <x v="5"/>
    <s v=""/>
    <x v="0"/>
    <s v=""/>
    <s v=""/>
    <s v=""/>
    <s v=""/>
    <s v=""/>
    <s v=""/>
    <s v=""/>
    <x v="0"/>
    <x v="0"/>
    <x v="0"/>
  </r>
  <r>
    <x v="23"/>
    <m/>
    <m/>
    <m/>
    <m/>
    <m/>
    <m/>
    <m/>
    <m/>
    <m/>
    <m/>
    <m/>
    <x v="10"/>
    <d v="2016-03-01T20:08:00"/>
    <s v="Patch Set 4:\n\nThe patch has been merged into r6_legacy with https://android.intel.com/476180"/>
    <m/>
    <m/>
    <s v="ukri.niemimuukko@intel.com"/>
    <x v="0"/>
    <x v="5"/>
    <s v=""/>
    <x v="0"/>
    <s v=""/>
    <s v=""/>
    <s v=""/>
    <s v=""/>
    <s v=""/>
    <s v=""/>
    <s v=""/>
    <x v="0"/>
    <x v="0"/>
    <x v="0"/>
  </r>
  <r>
    <x v="24"/>
    <n v="103471"/>
    <s v="vied-viedandr-camera3hal"/>
    <s v="platform/android/main"/>
    <s v="I0fcb043894d93a592f2fcf0c3edcd796246d5c74"/>
    <s v="jukka.o.kaartinen@intel.com"/>
    <s v="MERGED"/>
    <s v="c3:af: Fix for CONTROL_MODE_OFF"/>
    <s v="c3:af: Fix for CONTROL_MODE_OFF\n\nAf was running in auto mode. It should be OFF.\n\nChange-Id: I0fcb043894d93a592f2fcf0c3edcd796246d5c74\nTracked-On: #H1604088002\nSigned-off-by: Jukka Kaartinen &lt;jukka.o.kaartinen@intel.com&gt;\nReviewed-on: https://icggerrit.ir.intel.com/103471\nReviewed-by: Renwei Wu &lt;renwei.wu@intel.com&gt;\nValidation-Android: Wei Tao &lt;wei.tao@intel.com&gt;\nReviewed-by: Ukri Niemimuukko &lt;ukri.niemimuukko@intel.com&gt;\nApprover: Ukri Niemimuukko &lt;ukri.niemimuukko@intel.com&gt;\nBuild: Dessert M BXT RVP (SC)\nReviewed-by: Arnaud Mandy &lt;arnaud.mandy@intel.com&gt;\nReviewed-by: Hongjiang A Zheng &lt;hongjiang.a.zheng@intel.com&gt;\nIntegrator: WeiX Meng &lt;weix.meng@intel.com&gt;\nReviewed-by: Lassi I Vaatamoinen &lt;lassi.i.vaatamoinen@intel.com&gt;\nReviewed-by: WeiX Meng &lt;weix.meng@intel.com&gt;\n"/>
    <d v="2016-02-23T23:18:00"/>
    <d v="2016-02-29T14:54:00"/>
    <s v="common"/>
    <x v="2"/>
    <d v="2016-02-23T23:18:00"/>
    <s v="Uploaded patch set 1."/>
    <m/>
    <s v="dongdong.zhang@intel.com;lassi.i.vaatamoinen@intel.com;weix.meng@intel.com;hongjiang.a.zheng@intel.com;renwei.wu@intel.com;juha.alanen@intel.com;ukri.niemimuukko@intel.com;arnaud.mandy@intel.com;wei.tao@intel.com;"/>
    <s v="jukka.o.kaartinen@intel.com"/>
    <x v="0"/>
    <x v="0"/>
    <s v="16'ww10"/>
    <x v="1"/>
    <n v="1"/>
    <n v="0"/>
    <n v="0"/>
    <n v="1"/>
    <n v="1"/>
    <n v="8"/>
    <n v="2"/>
    <x v="0"/>
    <x v="0"/>
    <x v="0"/>
  </r>
  <r>
    <x v="24"/>
    <m/>
    <m/>
    <m/>
    <m/>
    <m/>
    <m/>
    <m/>
    <m/>
    <m/>
    <m/>
    <m/>
    <x v="2"/>
    <d v="2016-02-23T23:18:00"/>
    <s v="Patch Set 1:\n\nPatchset Created: CI job has been scheduled."/>
    <m/>
    <m/>
    <s v="jukka.o.kaartinen@intel.com"/>
    <x v="0"/>
    <x v="0"/>
    <s v=""/>
    <x v="1"/>
    <s v=""/>
    <s v=""/>
    <s v=""/>
    <s v=""/>
    <s v=""/>
    <s v=""/>
    <s v=""/>
    <x v="0"/>
    <x v="0"/>
    <x v="0"/>
  </r>
  <r>
    <x v="24"/>
    <m/>
    <m/>
    <m/>
    <m/>
    <m/>
    <m/>
    <m/>
    <m/>
    <m/>
    <m/>
    <m/>
    <x v="2"/>
    <d v="2016-02-23T23:19:00"/>
    <s v="Patch Set 1: Code-Review+1"/>
    <m/>
    <m/>
    <s v="jukka.o.kaartinen@intel.com"/>
    <x v="0"/>
    <x v="0"/>
    <s v=""/>
    <x v="1"/>
    <s v=""/>
    <s v=""/>
    <s v=""/>
    <s v=""/>
    <s v=""/>
    <s v=""/>
    <s v=""/>
    <x v="0"/>
    <x v="0"/>
    <x v="0"/>
  </r>
  <r>
    <x v="24"/>
    <m/>
    <m/>
    <m/>
    <m/>
    <m/>
    <m/>
    <m/>
    <m/>
    <m/>
    <m/>
    <m/>
    <x v="2"/>
    <d v="2016-02-24T14:49:00"/>
    <s v="Uploaded patch set 2."/>
    <m/>
    <m/>
    <s v="jukka.o.kaartinen@intel.com"/>
    <x v="0"/>
    <x v="0"/>
    <s v=""/>
    <x v="1"/>
    <s v=""/>
    <s v=""/>
    <s v=""/>
    <s v=""/>
    <s v=""/>
    <s v=""/>
    <s v=""/>
    <x v="0"/>
    <x v="0"/>
    <x v="0"/>
  </r>
  <r>
    <x v="24"/>
    <m/>
    <m/>
    <m/>
    <m/>
    <m/>
    <m/>
    <m/>
    <m/>
    <m/>
    <m/>
    <m/>
    <x v="2"/>
    <d v="2016-02-24T14:49:00"/>
    <s v="Patch Set 2:\n\nPatchset Created: CI job has been scheduled."/>
    <m/>
    <m/>
    <s v="jukka.o.kaartinen@intel.com"/>
    <x v="0"/>
    <x v="0"/>
    <s v=""/>
    <x v="1"/>
    <s v=""/>
    <s v=""/>
    <s v=""/>
    <s v=""/>
    <s v=""/>
    <s v=""/>
    <s v=""/>
    <x v="0"/>
    <x v="0"/>
    <x v="0"/>
  </r>
  <r>
    <x v="24"/>
    <m/>
    <m/>
    <m/>
    <m/>
    <m/>
    <m/>
    <m/>
    <m/>
    <m/>
    <m/>
    <m/>
    <x v="2"/>
    <d v="2016-02-24T14:49:00"/>
    <s v="Patch Set 2: Code-Review+1"/>
    <m/>
    <m/>
    <s v="jukka.o.kaartinen@intel.com"/>
    <x v="0"/>
    <x v="0"/>
    <s v=""/>
    <x v="1"/>
    <s v=""/>
    <s v=""/>
    <s v=""/>
    <s v=""/>
    <s v=""/>
    <s v=""/>
    <s v=""/>
    <x v="0"/>
    <x v="0"/>
    <x v="0"/>
  </r>
  <r>
    <x v="24"/>
    <m/>
    <m/>
    <m/>
    <m/>
    <m/>
    <m/>
    <m/>
    <m/>
    <m/>
    <m/>
    <m/>
    <x v="14"/>
    <d v="2016-02-24T16:43:00"/>
    <s v="Patch Set 2: Validation-Android+1\n\nreceive smoke test"/>
    <m/>
    <m/>
    <s v="jukka.o.kaartinen@intel.com"/>
    <x v="0"/>
    <x v="5"/>
    <s v=""/>
    <x v="1"/>
    <s v=""/>
    <s v=""/>
    <s v=""/>
    <s v=""/>
    <s v=""/>
    <s v=""/>
    <s v=""/>
    <x v="0"/>
    <x v="1"/>
    <x v="0"/>
  </r>
  <r>
    <x v="24"/>
    <m/>
    <m/>
    <m/>
    <m/>
    <m/>
    <m/>
    <m/>
    <m/>
    <m/>
    <m/>
    <m/>
    <x v="14"/>
    <d v="2016-02-24T16:47:00"/>
    <s v="Patch Set 2:\n\nreceive smoke test"/>
    <m/>
    <m/>
    <s v="jukka.o.kaartinen@intel.com"/>
    <x v="0"/>
    <x v="5"/>
    <s v=""/>
    <x v="1"/>
    <s v=""/>
    <s v=""/>
    <s v=""/>
    <s v=""/>
    <s v=""/>
    <s v=""/>
    <s v=""/>
    <x v="0"/>
    <x v="0"/>
    <x v="0"/>
  </r>
  <r>
    <x v="24"/>
    <m/>
    <m/>
    <m/>
    <m/>
    <m/>
    <m/>
    <m/>
    <m/>
    <m/>
    <m/>
    <m/>
    <x v="1"/>
    <d v="2016-02-24T17:12:00"/>
    <s v="Patch Set 2: Code-Review+1"/>
    <m/>
    <m/>
    <s v="jukka.o.kaartinen@intel.com"/>
    <x v="0"/>
    <x v="1"/>
    <s v=""/>
    <x v="1"/>
    <s v=""/>
    <s v=""/>
    <s v=""/>
    <s v=""/>
    <s v=""/>
    <s v=""/>
    <s v=""/>
    <x v="0"/>
    <x v="0"/>
    <x v="0"/>
  </r>
  <r>
    <x v="24"/>
    <m/>
    <m/>
    <m/>
    <m/>
    <m/>
    <m/>
    <m/>
    <m/>
    <m/>
    <m/>
    <m/>
    <x v="6"/>
    <d v="2016-02-24T17:12:00"/>
    <s v="Patch Set 2: Code-Review+1\n\n(1 comment)"/>
    <s v="line1716 :&quot;thsi should really be carried over in the parameters; instead of each parsing function having to parse it again and again; but I suppose that is another refactoring patch in the todo-list.&quot;"/>
    <m/>
    <s v="jukka.o.kaartinen@intel.com"/>
    <x v="0"/>
    <x v="1"/>
    <s v=""/>
    <x v="1"/>
    <s v=""/>
    <s v=""/>
    <s v=""/>
    <s v=""/>
    <s v=""/>
    <s v=""/>
    <s v=""/>
    <x v="0"/>
    <x v="0"/>
    <x v="0"/>
  </r>
  <r>
    <x v="24"/>
    <m/>
    <m/>
    <m/>
    <m/>
    <m/>
    <m/>
    <m/>
    <m/>
    <m/>
    <m/>
    <m/>
    <x v="5"/>
    <d v="2016-02-24T17:15:00"/>
    <s v="Patch Set 2: Code-Review+1"/>
    <m/>
    <m/>
    <s v="jukka.o.kaartinen@intel.com"/>
    <x v="0"/>
    <x v="1"/>
    <s v=""/>
    <x v="1"/>
    <s v=""/>
    <s v=""/>
    <s v=""/>
    <s v=""/>
    <s v=""/>
    <s v=""/>
    <s v=""/>
    <x v="0"/>
    <x v="0"/>
    <x v="0"/>
  </r>
  <r>
    <x v="24"/>
    <m/>
    <m/>
    <m/>
    <m/>
    <m/>
    <m/>
    <m/>
    <m/>
    <m/>
    <m/>
    <m/>
    <x v="2"/>
    <d v="2016-02-24T20:57:00"/>
    <s v="Patch Set 2:\n\n(1 comment)"/>
    <s v="line1716 :&quot;You are right I don't like this but I don't want to do it in this patch. The whole thing would need refactoring.&quot;"/>
    <m/>
    <s v="jukka.o.kaartinen@intel.com"/>
    <x v="0"/>
    <x v="0"/>
    <s v=""/>
    <x v="1"/>
    <s v=""/>
    <s v=""/>
    <s v=""/>
    <s v=""/>
    <s v=""/>
    <s v=""/>
    <s v=""/>
    <x v="0"/>
    <x v="0"/>
    <x v="0"/>
  </r>
  <r>
    <x v="24"/>
    <m/>
    <m/>
    <m/>
    <m/>
    <m/>
    <m/>
    <m/>
    <m/>
    <m/>
    <m/>
    <m/>
    <x v="3"/>
    <d v="2016-02-24T22:10:00"/>
    <s v="Patch Set 2: Code-Review-1\n\n(1 comment)"/>
    <s v="line1720 :&quot;duplicate using&quot;"/>
    <m/>
    <s v="jukka.o.kaartinen@intel.com"/>
    <x v="0"/>
    <x v="2"/>
    <s v=""/>
    <x v="1"/>
    <s v=""/>
    <s v=""/>
    <s v=""/>
    <s v=""/>
    <s v=""/>
    <s v=""/>
    <s v=""/>
    <x v="1"/>
    <x v="0"/>
    <x v="0"/>
  </r>
  <r>
    <x v="24"/>
    <m/>
    <m/>
    <m/>
    <m/>
    <m/>
    <m/>
    <m/>
    <m/>
    <m/>
    <m/>
    <m/>
    <x v="2"/>
    <d v="2016-02-25T14:54:00"/>
    <s v="Uploaded patch set 3."/>
    <m/>
    <m/>
    <s v="jukka.o.kaartinen@intel.com"/>
    <x v="0"/>
    <x v="0"/>
    <s v=""/>
    <x v="1"/>
    <s v=""/>
    <s v=""/>
    <s v=""/>
    <s v=""/>
    <s v=""/>
    <s v=""/>
    <s v=""/>
    <x v="0"/>
    <x v="0"/>
    <x v="0"/>
  </r>
  <r>
    <x v="24"/>
    <m/>
    <m/>
    <m/>
    <m/>
    <m/>
    <m/>
    <m/>
    <m/>
    <m/>
    <m/>
    <m/>
    <x v="2"/>
    <d v="2016-02-25T14:54:00"/>
    <s v="Patch Set 3:\n\nPatchset Created: CI job has been scheduled."/>
    <m/>
    <m/>
    <s v="jukka.o.kaartinen@intel.com"/>
    <x v="0"/>
    <x v="0"/>
    <s v=""/>
    <x v="1"/>
    <s v=""/>
    <s v=""/>
    <s v=""/>
    <s v=""/>
    <s v=""/>
    <s v=""/>
    <s v=""/>
    <x v="0"/>
    <x v="0"/>
    <x v="0"/>
  </r>
  <r>
    <x v="24"/>
    <m/>
    <m/>
    <m/>
    <m/>
    <m/>
    <m/>
    <m/>
    <m/>
    <m/>
    <m/>
    <m/>
    <x v="2"/>
    <d v="2016-02-25T14:54:00"/>
    <s v="Patch Set 3: Code-Review+1"/>
    <m/>
    <m/>
    <s v="jukka.o.kaartinen@intel.com"/>
    <x v="0"/>
    <x v="0"/>
    <s v=""/>
    <x v="1"/>
    <s v=""/>
    <s v=""/>
    <s v=""/>
    <s v=""/>
    <s v=""/>
    <s v=""/>
    <s v=""/>
    <x v="0"/>
    <x v="0"/>
    <x v="0"/>
  </r>
  <r>
    <x v="24"/>
    <m/>
    <m/>
    <m/>
    <m/>
    <m/>
    <m/>
    <m/>
    <m/>
    <m/>
    <m/>
    <m/>
    <x v="3"/>
    <d v="2016-02-25T15:08:00"/>
    <s v="Patch Set 3: Code-Review+1"/>
    <m/>
    <m/>
    <s v="jukka.o.kaartinen@intel.com"/>
    <x v="0"/>
    <x v="2"/>
    <s v=""/>
    <x v="1"/>
    <s v=""/>
    <s v=""/>
    <s v=""/>
    <s v=""/>
    <s v=""/>
    <s v=""/>
    <s v=""/>
    <x v="0"/>
    <x v="0"/>
    <x v="0"/>
  </r>
  <r>
    <x v="24"/>
    <m/>
    <m/>
    <m/>
    <m/>
    <m/>
    <m/>
    <m/>
    <m/>
    <m/>
    <m/>
    <m/>
    <x v="2"/>
    <d v="2016-02-25T17:03:00"/>
    <s v="Uploaded patch set 4: Patch Set 3 was rebased."/>
    <m/>
    <m/>
    <s v="jukka.o.kaartinen@intel.com"/>
    <x v="0"/>
    <x v="0"/>
    <s v=""/>
    <x v="1"/>
    <s v=""/>
    <s v=""/>
    <s v=""/>
    <s v=""/>
    <s v=""/>
    <s v=""/>
    <s v=""/>
    <x v="0"/>
    <x v="0"/>
    <x v="0"/>
  </r>
  <r>
    <x v="24"/>
    <m/>
    <m/>
    <m/>
    <m/>
    <m/>
    <m/>
    <m/>
    <m/>
    <m/>
    <m/>
    <m/>
    <x v="2"/>
    <d v="2016-02-25T17:03:00"/>
    <s v="Patch Set 4:\n\nPatchset Created: CI job has been scheduled."/>
    <m/>
    <m/>
    <s v="jukka.o.kaartinen@intel.com"/>
    <x v="0"/>
    <x v="0"/>
    <s v=""/>
    <x v="1"/>
    <s v=""/>
    <s v=""/>
    <s v=""/>
    <s v=""/>
    <s v=""/>
    <s v=""/>
    <s v=""/>
    <x v="0"/>
    <x v="0"/>
    <x v="0"/>
  </r>
  <r>
    <x v="24"/>
    <m/>
    <m/>
    <m/>
    <m/>
    <m/>
    <m/>
    <m/>
    <m/>
    <m/>
    <m/>
    <m/>
    <x v="14"/>
    <d v="2016-02-25T17:12:00"/>
    <s v="Patch Set 4: Validation-Android+1\n\nreceive smoke test"/>
    <m/>
    <m/>
    <s v="jukka.o.kaartinen@intel.com"/>
    <x v="0"/>
    <x v="5"/>
    <s v=""/>
    <x v="1"/>
    <s v=""/>
    <s v=""/>
    <s v=""/>
    <s v=""/>
    <s v=""/>
    <s v=""/>
    <s v=""/>
    <x v="0"/>
    <x v="1"/>
    <x v="0"/>
  </r>
  <r>
    <x v="24"/>
    <m/>
    <m/>
    <m/>
    <m/>
    <m/>
    <m/>
    <m/>
    <m/>
    <m/>
    <m/>
    <m/>
    <x v="6"/>
    <d v="2016-02-25T17:14:00"/>
    <s v="Patch Set 4: Code-Review+1"/>
    <m/>
    <m/>
    <s v="jukka.o.kaartinen@intel.com"/>
    <x v="0"/>
    <x v="1"/>
    <s v=""/>
    <x v="1"/>
    <s v=""/>
    <s v=""/>
    <s v=""/>
    <s v=""/>
    <s v=""/>
    <s v=""/>
    <s v=""/>
    <x v="0"/>
    <x v="0"/>
    <x v="0"/>
  </r>
  <r>
    <x v="24"/>
    <m/>
    <m/>
    <m/>
    <m/>
    <m/>
    <m/>
    <m/>
    <m/>
    <m/>
    <m/>
    <m/>
    <x v="6"/>
    <d v="2016-02-25T17:15:00"/>
    <s v="Patch Set 4: Approver+1"/>
    <m/>
    <m/>
    <s v="jukka.o.kaartinen@intel.com"/>
    <x v="0"/>
    <x v="1"/>
    <s v=""/>
    <x v="1"/>
    <s v=""/>
    <s v=""/>
    <s v=""/>
    <s v=""/>
    <s v=""/>
    <s v=""/>
    <s v=""/>
    <x v="0"/>
    <x v="0"/>
    <x v="0"/>
  </r>
  <r>
    <x v="24"/>
    <m/>
    <m/>
    <m/>
    <m/>
    <m/>
    <m/>
    <m/>
    <m/>
    <m/>
    <m/>
    <m/>
    <x v="6"/>
    <d v="2016-02-25T17:16:00"/>
    <s v="Topic set to bxt_preint"/>
    <m/>
    <m/>
    <s v="jukka.o.kaartinen@intel.com"/>
    <x v="0"/>
    <x v="1"/>
    <s v=""/>
    <x v="1"/>
    <s v=""/>
    <s v=""/>
    <s v=""/>
    <s v=""/>
    <s v=""/>
    <s v=""/>
    <s v=""/>
    <x v="0"/>
    <x v="0"/>
    <x v="0"/>
  </r>
  <r>
    <x v="24"/>
    <m/>
    <m/>
    <m/>
    <m/>
    <m/>
    <m/>
    <m/>
    <m/>
    <m/>
    <m/>
    <m/>
    <x v="1"/>
    <d v="2016-02-25T20:57:00"/>
    <s v="Patch Set 4: Code-Review+1"/>
    <m/>
    <m/>
    <s v="jukka.o.kaartinen@intel.com"/>
    <x v="0"/>
    <x v="1"/>
    <s v=""/>
    <x v="1"/>
    <s v=""/>
    <s v=""/>
    <s v=""/>
    <s v=""/>
    <s v=""/>
    <s v=""/>
    <s v=""/>
    <x v="0"/>
    <x v="0"/>
    <x v="0"/>
  </r>
  <r>
    <x v="24"/>
    <m/>
    <m/>
    <m/>
    <m/>
    <m/>
    <m/>
    <m/>
    <m/>
    <m/>
    <m/>
    <m/>
    <x v="15"/>
    <d v="2016-02-26T13:43:00"/>
    <s v="Patch Set 4: Code-Review+1"/>
    <m/>
    <m/>
    <s v="jukka.o.kaartinen@intel.com"/>
    <x v="0"/>
    <x v="4"/>
    <s v=""/>
    <x v="1"/>
    <s v=""/>
    <s v=""/>
    <s v=""/>
    <s v=""/>
    <s v=""/>
    <s v=""/>
    <s v=""/>
    <x v="0"/>
    <x v="0"/>
    <x v="0"/>
  </r>
  <r>
    <x v="24"/>
    <m/>
    <m/>
    <m/>
    <m/>
    <m/>
    <m/>
    <m/>
    <m/>
    <m/>
    <m/>
    <m/>
    <x v="9"/>
    <d v="2016-02-26T14:12:00"/>
    <s v="Patch Set 4: Integrator+1\n\nIntegrator +1; patch will be add to PT; please no change now"/>
    <m/>
    <m/>
    <s v="jukka.o.kaartinen@intel.com"/>
    <x v="0"/>
    <x v="5"/>
    <s v=""/>
    <x v="1"/>
    <s v=""/>
    <s v=""/>
    <s v=""/>
    <s v=""/>
    <s v=""/>
    <s v=""/>
    <s v=""/>
    <x v="0"/>
    <x v="1"/>
    <x v="0"/>
  </r>
  <r>
    <x v="24"/>
    <m/>
    <m/>
    <m/>
    <m/>
    <m/>
    <m/>
    <m/>
    <m/>
    <m/>
    <m/>
    <m/>
    <x v="9"/>
    <d v="2016-02-26T16:46:00"/>
    <s v="Patch Set 4:\n\nPassed Klocwork code analyzing test. No CRITICAL issue in this patch. Auto reported by kwscan@psi-build5.bj.intel.com"/>
    <m/>
    <m/>
    <s v="jukka.o.kaartinen@intel.com"/>
    <x v="0"/>
    <x v="5"/>
    <s v=""/>
    <x v="1"/>
    <s v=""/>
    <s v=""/>
    <s v=""/>
    <s v=""/>
    <s v=""/>
    <s v=""/>
    <s v=""/>
    <x v="0"/>
    <x v="0"/>
    <x v="0"/>
  </r>
  <r>
    <x v="24"/>
    <m/>
    <m/>
    <m/>
    <m/>
    <m/>
    <m/>
    <m/>
    <m/>
    <m/>
    <m/>
    <m/>
    <x v="9"/>
    <d v="2016-02-26T16:47:00"/>
    <s v="Patch Set 4:\n\nPassed Klocwork code analyzing test. No CRITICAL issue in this patch. Auto reported by kwscan@andr-val-srv0.bj.intel.com"/>
    <m/>
    <m/>
    <s v="jukka.o.kaartinen@intel.com"/>
    <x v="0"/>
    <x v="5"/>
    <s v=""/>
    <x v="1"/>
    <s v=""/>
    <s v=""/>
    <s v=""/>
    <s v=""/>
    <s v=""/>
    <s v=""/>
    <s v=""/>
    <x v="0"/>
    <x v="0"/>
    <x v="0"/>
  </r>
  <r>
    <x v="24"/>
    <m/>
    <m/>
    <m/>
    <m/>
    <m/>
    <m/>
    <m/>
    <m/>
    <m/>
    <m/>
    <m/>
    <x v="9"/>
    <d v="2016-02-26T17:39:00"/>
    <s v="Patch Set 4:\n\nPassed Klocwork code analyzing test. No CRITICAL issue in this patch. Auto reported by kwscan@andr-val-srv0.bj.intel.com"/>
    <m/>
    <m/>
    <s v="jukka.o.kaartinen@intel.com"/>
    <x v="0"/>
    <x v="5"/>
    <s v=""/>
    <x v="1"/>
    <s v=""/>
    <s v=""/>
    <s v=""/>
    <s v=""/>
    <s v=""/>
    <s v=""/>
    <s v=""/>
    <x v="0"/>
    <x v="0"/>
    <x v="0"/>
  </r>
  <r>
    <x v="24"/>
    <m/>
    <m/>
    <m/>
    <m/>
    <m/>
    <m/>
    <m/>
    <m/>
    <m/>
    <m/>
    <m/>
    <x v="12"/>
    <d v="2016-02-26T17:47:00"/>
    <s v="Patch Set 4: Code-Review+1"/>
    <m/>
    <m/>
    <s v="jukka.o.kaartinen@intel.com"/>
    <x v="0"/>
    <x v="1"/>
    <s v=""/>
    <x v="1"/>
    <s v=""/>
    <s v=""/>
    <s v=""/>
    <s v=""/>
    <s v=""/>
    <s v=""/>
    <s v=""/>
    <x v="0"/>
    <x v="0"/>
    <x v="0"/>
  </r>
  <r>
    <x v="24"/>
    <m/>
    <m/>
    <m/>
    <m/>
    <m/>
    <m/>
    <m/>
    <m/>
    <m/>
    <m/>
    <m/>
    <x v="9"/>
    <d v="2016-02-26T18:37:00"/>
    <s v="Patch Set 4:\n\nPassed Klocwork code analyzing test. No CRITICAL issue in this patch. Auto reported by kwscan@kw-srv2.bj.intel.com"/>
    <m/>
    <m/>
    <s v="jukka.o.kaartinen@intel.com"/>
    <x v="0"/>
    <x v="5"/>
    <s v=""/>
    <x v="1"/>
    <s v=""/>
    <s v=""/>
    <s v=""/>
    <s v=""/>
    <s v=""/>
    <s v=""/>
    <s v=""/>
    <x v="0"/>
    <x v="0"/>
    <x v="0"/>
  </r>
  <r>
    <x v="24"/>
    <m/>
    <m/>
    <m/>
    <m/>
    <m/>
    <m/>
    <m/>
    <m/>
    <m/>
    <m/>
    <m/>
    <x v="9"/>
    <d v="2016-02-26T19:21:00"/>
    <s v="Patch Set 4:\n\nPassed Klocwork code analyzing test. No CRITICAL issue in this patch. Auto reported by kwscan@psi-build5.bj.intel.com"/>
    <m/>
    <m/>
    <s v="jukka.o.kaartinen@intel.com"/>
    <x v="0"/>
    <x v="5"/>
    <s v=""/>
    <x v="1"/>
    <s v=""/>
    <s v=""/>
    <s v=""/>
    <s v=""/>
    <s v=""/>
    <s v=""/>
    <s v=""/>
    <x v="0"/>
    <x v="0"/>
    <x v="0"/>
  </r>
  <r>
    <x v="24"/>
    <m/>
    <m/>
    <m/>
    <m/>
    <m/>
    <m/>
    <m/>
    <m/>
    <m/>
    <m/>
    <m/>
    <x v="9"/>
    <d v="2016-02-26T21:24:00"/>
    <s v="Patch Set 4:\n\nPassed Klocwork code analyzing test. No CRITICAL issue in this patch. Auto reported by kwscan@kw-srv2.bj.intel.com"/>
    <m/>
    <m/>
    <s v="jukka.o.kaartinen@intel.com"/>
    <x v="0"/>
    <x v="5"/>
    <s v=""/>
    <x v="1"/>
    <s v=""/>
    <s v=""/>
    <s v=""/>
    <s v=""/>
    <s v=""/>
    <s v=""/>
    <s v=""/>
    <x v="0"/>
    <x v="0"/>
    <x v="0"/>
  </r>
  <r>
    <x v="24"/>
    <m/>
    <m/>
    <m/>
    <m/>
    <m/>
    <m/>
    <m/>
    <m/>
    <m/>
    <m/>
    <m/>
    <x v="9"/>
    <d v="2016-02-29T14:52:00"/>
    <s v="Patch Set 4: Code-Review+1\n\nPassed PIT; ready for merge"/>
    <m/>
    <m/>
    <s v="jukka.o.kaartinen@intel.com"/>
    <x v="0"/>
    <x v="5"/>
    <s v=""/>
    <x v="1"/>
    <s v=""/>
    <s v=""/>
    <s v=""/>
    <s v=""/>
    <s v=""/>
    <s v=""/>
    <s v=""/>
    <x v="0"/>
    <x v="0"/>
    <x v="0"/>
  </r>
  <r>
    <x v="24"/>
    <m/>
    <m/>
    <m/>
    <m/>
    <m/>
    <m/>
    <m/>
    <m/>
    <m/>
    <m/>
    <m/>
    <x v="10"/>
    <d v="2016-02-29T20:49:00"/>
    <s v="Patch Set 5:\n\nThe patch has been merged onto r6_legacy with https://android.intel.com/475644"/>
    <m/>
    <m/>
    <s v="jukka.o.kaartinen@intel.com"/>
    <x v="0"/>
    <x v="5"/>
    <s v=""/>
    <x v="1"/>
    <s v=""/>
    <s v=""/>
    <s v=""/>
    <s v=""/>
    <s v=""/>
    <s v=""/>
    <s v=""/>
    <x v="0"/>
    <x v="0"/>
    <x v="0"/>
  </r>
  <r>
    <x v="25"/>
    <n v="98105"/>
    <s v="vied-viedandr-camera3hal"/>
    <s v="platform/android/main"/>
    <s v="I171dfd70c984ee91db97dd0b80a2209e99f36f16"/>
    <s v="kaisa.taipale@intel.com"/>
    <s v="MERGED"/>
    <s v="c3: jpeg: Fix EXIF value of max_aperture"/>
    <s v="c3: jpeg: Fix EXIF value of max_aperture\n\nThis patch changes the max aperture value from f-number to\nAPEX value. According to EXIF standard; the MaxApertureValue\nis an APEX value instead of pure f-number.\n\nChange-Id: I171dfd70c984ee91db97dd0b80a2209e99f36f16\nTracked-On: #H1504143012\nSigned-off-by: Kaisa Taipale &lt;kaisa.taipale@intel.com&gt;\nReviewed-on: https://icggerrit.ir.intel.com/98105\nReviewed-by: Jukka O Kaartinen &lt;jukka.o.kaartinen@intel.com&gt;\nReviewed-by: Huitao Cao &lt;huitao.cao@intel.com&gt;\nReviewed-by: Lassi I Vaatamoinen &lt;lassi.i.vaatamoinen@intel.com&gt;\nReviewed-by: Arnaud Mandy &lt;arnaud.mandy@intel.com&gt;\nReviewed-by: Juha Alanen &lt;juha.alanen@intel.com&gt;\nReviewed-by: Renwei Wu &lt;renwei.wu@intel.com&gt;\nApprover: John Mathew &lt;john.mathew@intel.com&gt;\nBuild: Dessert M BXT RVP (SC)\nBuild: Dessert M SOFIA (SC)\nIntegrator: WeiX Meng &lt;weix.meng@intel.com&gt;\nReviewed-by: WeiX Meng &lt;weix.meng@intel.com&gt;\n"/>
    <d v="2016-01-26T21:04:00"/>
    <d v="2016-02-19T17:43:00"/>
    <s v="common"/>
    <x v="11"/>
    <d v="2016-01-26T21:04:00"/>
    <s v="Uploaded patch set 1."/>
    <m/>
    <s v="fan.f.yang@intel.com;weix.meng@intel.com;john.mathew@intel.com;renwei.wu@intel.com;juha.alanen@intel.com;arnaud.mandy@intel.com;lassi.i.vaatamoinen@intel.com;huitao.cao@intel.com;jukka.o.kaartinen@intel.com;"/>
    <s v="kaisa.taipale@intel.com"/>
    <x v="0"/>
    <x v="0"/>
    <s v="16'ww8"/>
    <x v="1"/>
    <n v="0"/>
    <n v="0"/>
    <n v="0"/>
    <n v="0"/>
    <n v="1"/>
    <n v="9"/>
    <n v="1"/>
    <x v="0"/>
    <x v="0"/>
    <x v="0"/>
  </r>
  <r>
    <x v="25"/>
    <m/>
    <m/>
    <m/>
    <m/>
    <m/>
    <m/>
    <m/>
    <m/>
    <m/>
    <m/>
    <m/>
    <x v="11"/>
    <d v="2016-01-26T21:05:00"/>
    <s v="Patch Set 1:\n\nPatchset Created: CI job has been scheduled."/>
    <m/>
    <m/>
    <s v="kaisa.taipale@intel.com"/>
    <x v="0"/>
    <x v="0"/>
    <s v=""/>
    <x v="1"/>
    <s v=""/>
    <s v=""/>
    <s v=""/>
    <s v=""/>
    <s v=""/>
    <s v=""/>
    <s v=""/>
    <x v="0"/>
    <x v="0"/>
    <x v="0"/>
  </r>
  <r>
    <x v="25"/>
    <m/>
    <m/>
    <m/>
    <m/>
    <m/>
    <m/>
    <m/>
    <m/>
    <m/>
    <m/>
    <m/>
    <x v="11"/>
    <d v="2016-01-26T21:05:00"/>
    <s v="Patch Set 1: Code-Review+1"/>
    <m/>
    <m/>
    <s v="kaisa.taipale@intel.com"/>
    <x v="0"/>
    <x v="0"/>
    <s v=""/>
    <x v="1"/>
    <s v=""/>
    <s v=""/>
    <s v=""/>
    <s v=""/>
    <s v=""/>
    <s v=""/>
    <s v=""/>
    <x v="0"/>
    <x v="0"/>
    <x v="0"/>
  </r>
  <r>
    <x v="25"/>
    <m/>
    <m/>
    <m/>
    <m/>
    <m/>
    <m/>
    <m/>
    <m/>
    <m/>
    <m/>
    <m/>
    <x v="2"/>
    <d v="2016-01-27T14:44:00"/>
    <s v="Patch Set 1: Code-Review+1"/>
    <m/>
    <m/>
    <s v="kaisa.taipale@intel.com"/>
    <x v="0"/>
    <x v="1"/>
    <s v=""/>
    <x v="1"/>
    <s v=""/>
    <s v=""/>
    <s v=""/>
    <s v=""/>
    <s v=""/>
    <s v=""/>
    <s v=""/>
    <x v="0"/>
    <x v="0"/>
    <x v="0"/>
  </r>
  <r>
    <x v="25"/>
    <m/>
    <m/>
    <m/>
    <m/>
    <m/>
    <m/>
    <m/>
    <m/>
    <m/>
    <m/>
    <m/>
    <x v="7"/>
    <d v="2016-01-28T11:27:00"/>
    <s v="Patch Set 1: Code-Review+1"/>
    <m/>
    <m/>
    <s v="kaisa.taipale@intel.com"/>
    <x v="0"/>
    <x v="4"/>
    <s v=""/>
    <x v="1"/>
    <s v=""/>
    <s v=""/>
    <s v=""/>
    <s v=""/>
    <s v=""/>
    <s v=""/>
    <s v=""/>
    <x v="0"/>
    <x v="0"/>
    <x v="0"/>
  </r>
  <r>
    <x v="25"/>
    <m/>
    <m/>
    <m/>
    <m/>
    <m/>
    <m/>
    <m/>
    <m/>
    <m/>
    <m/>
    <m/>
    <x v="12"/>
    <d v="2016-01-28T20:00:00"/>
    <s v="Patch Set 1: Code-Review+1"/>
    <m/>
    <m/>
    <s v="kaisa.taipale@intel.com"/>
    <x v="0"/>
    <x v="1"/>
    <s v=""/>
    <x v="1"/>
    <s v=""/>
    <s v=""/>
    <s v=""/>
    <s v=""/>
    <s v=""/>
    <s v=""/>
    <s v=""/>
    <x v="0"/>
    <x v="0"/>
    <x v="0"/>
  </r>
  <r>
    <x v="25"/>
    <m/>
    <m/>
    <m/>
    <m/>
    <m/>
    <m/>
    <m/>
    <m/>
    <m/>
    <m/>
    <m/>
    <x v="11"/>
    <d v="2016-02-04T19:59:00"/>
    <s v="Uploaded patch set 2: Patch Set 1 was rebased."/>
    <m/>
    <m/>
    <s v="kaisa.taipale@intel.com"/>
    <x v="0"/>
    <x v="0"/>
    <s v=""/>
    <x v="1"/>
    <s v=""/>
    <s v=""/>
    <s v=""/>
    <s v=""/>
    <s v=""/>
    <s v=""/>
    <s v=""/>
    <x v="0"/>
    <x v="0"/>
    <x v="0"/>
  </r>
  <r>
    <x v="25"/>
    <m/>
    <m/>
    <m/>
    <m/>
    <m/>
    <m/>
    <m/>
    <m/>
    <m/>
    <m/>
    <m/>
    <x v="11"/>
    <d v="2016-02-04T19:59:00"/>
    <s v="Patch Set 2:\n\nPatchset Created: CI job has been scheduled."/>
    <m/>
    <m/>
    <s v="kaisa.taipale@intel.com"/>
    <x v="0"/>
    <x v="0"/>
    <s v=""/>
    <x v="1"/>
    <s v=""/>
    <s v=""/>
    <s v=""/>
    <s v=""/>
    <s v=""/>
    <s v=""/>
    <s v=""/>
    <x v="0"/>
    <x v="0"/>
    <x v="0"/>
  </r>
  <r>
    <x v="25"/>
    <m/>
    <m/>
    <m/>
    <m/>
    <m/>
    <m/>
    <m/>
    <m/>
    <m/>
    <m/>
    <m/>
    <x v="14"/>
    <d v="2016-02-04T20:01:00"/>
    <s v="Patch Set 2: Validation-Android+1\n\nreceive smoke test"/>
    <m/>
    <m/>
    <s v="kaisa.taipale@intel.com"/>
    <x v="0"/>
    <x v="5"/>
    <s v=""/>
    <x v="1"/>
    <s v=""/>
    <s v=""/>
    <s v=""/>
    <s v=""/>
    <s v=""/>
    <s v=""/>
    <s v=""/>
    <x v="0"/>
    <x v="1"/>
    <x v="0"/>
  </r>
  <r>
    <x v="25"/>
    <m/>
    <m/>
    <m/>
    <m/>
    <m/>
    <m/>
    <m/>
    <m/>
    <m/>
    <m/>
    <m/>
    <x v="11"/>
    <d v="2016-02-08T16:38:00"/>
    <s v="Patch Set 3:\n\nPatchset Created: CI job has been scheduled."/>
    <m/>
    <m/>
    <s v="kaisa.taipale@intel.com"/>
    <x v="0"/>
    <x v="0"/>
    <s v=""/>
    <x v="1"/>
    <s v=""/>
    <s v=""/>
    <s v=""/>
    <s v=""/>
    <s v=""/>
    <s v=""/>
    <s v=""/>
    <x v="0"/>
    <x v="0"/>
    <x v="0"/>
  </r>
  <r>
    <x v="25"/>
    <m/>
    <m/>
    <m/>
    <m/>
    <m/>
    <m/>
    <m/>
    <m/>
    <m/>
    <m/>
    <m/>
    <x v="11"/>
    <d v="2016-02-08T16:38:00"/>
    <s v="Uploaded patch set 3: Patch Set 2 was rebased."/>
    <m/>
    <m/>
    <s v="kaisa.taipale@intel.com"/>
    <x v="0"/>
    <x v="0"/>
    <s v=""/>
    <x v="1"/>
    <s v=""/>
    <s v=""/>
    <s v=""/>
    <s v=""/>
    <s v=""/>
    <s v=""/>
    <s v=""/>
    <x v="0"/>
    <x v="0"/>
    <x v="0"/>
  </r>
  <r>
    <x v="25"/>
    <m/>
    <m/>
    <m/>
    <m/>
    <m/>
    <m/>
    <m/>
    <m/>
    <m/>
    <m/>
    <m/>
    <x v="1"/>
    <d v="2016-02-08T22:23:00"/>
    <s v="Patch Set 3: Code-Review+1"/>
    <m/>
    <m/>
    <s v="kaisa.taipale@intel.com"/>
    <x v="0"/>
    <x v="1"/>
    <s v=""/>
    <x v="1"/>
    <s v=""/>
    <s v=""/>
    <s v=""/>
    <s v=""/>
    <s v=""/>
    <s v=""/>
    <s v=""/>
    <x v="0"/>
    <x v="0"/>
    <x v="0"/>
  </r>
  <r>
    <x v="25"/>
    <m/>
    <m/>
    <m/>
    <m/>
    <m/>
    <m/>
    <m/>
    <m/>
    <m/>
    <m/>
    <m/>
    <x v="14"/>
    <d v="2016-02-09T19:44:00"/>
    <s v="Patch Set 3: Validation-Android+1\n\nreceive smoke test"/>
    <m/>
    <m/>
    <s v="kaisa.taipale@intel.com"/>
    <x v="0"/>
    <x v="5"/>
    <s v=""/>
    <x v="1"/>
    <s v=""/>
    <s v=""/>
    <s v=""/>
    <s v=""/>
    <s v=""/>
    <s v=""/>
    <s v=""/>
    <x v="0"/>
    <x v="1"/>
    <x v="0"/>
  </r>
  <r>
    <x v="25"/>
    <m/>
    <m/>
    <m/>
    <m/>
    <m/>
    <m/>
    <m/>
    <m/>
    <m/>
    <m/>
    <m/>
    <x v="5"/>
    <d v="2016-02-15T20:35:00"/>
    <s v="Patch Set 3: Code-Review+1"/>
    <m/>
    <m/>
    <s v="kaisa.taipale@intel.com"/>
    <x v="0"/>
    <x v="1"/>
    <s v=""/>
    <x v="1"/>
    <s v=""/>
    <s v=""/>
    <s v=""/>
    <s v=""/>
    <s v=""/>
    <s v=""/>
    <s v=""/>
    <x v="0"/>
    <x v="0"/>
    <x v="0"/>
  </r>
  <r>
    <x v="25"/>
    <m/>
    <m/>
    <m/>
    <m/>
    <m/>
    <m/>
    <m/>
    <m/>
    <m/>
    <m/>
    <m/>
    <x v="3"/>
    <d v="2016-02-17T10:03:00"/>
    <s v="Patch Set 3: Code-Review+1"/>
    <m/>
    <m/>
    <s v="kaisa.taipale@intel.com"/>
    <x v="0"/>
    <x v="2"/>
    <s v=""/>
    <x v="1"/>
    <s v=""/>
    <s v=""/>
    <s v=""/>
    <s v=""/>
    <s v=""/>
    <s v=""/>
    <s v=""/>
    <x v="0"/>
    <x v="0"/>
    <x v="0"/>
  </r>
  <r>
    <x v="25"/>
    <m/>
    <m/>
    <m/>
    <m/>
    <m/>
    <m/>
    <m/>
    <m/>
    <m/>
    <m/>
    <m/>
    <x v="11"/>
    <d v="2016-02-17T18:52:00"/>
    <s v="Uploaded patch set 4: Patch Set 3 was rebased."/>
    <m/>
    <m/>
    <s v="kaisa.taipale@intel.com"/>
    <x v="0"/>
    <x v="0"/>
    <s v=""/>
    <x v="1"/>
    <s v=""/>
    <s v=""/>
    <s v=""/>
    <s v=""/>
    <s v=""/>
    <s v=""/>
    <s v=""/>
    <x v="0"/>
    <x v="0"/>
    <x v="0"/>
  </r>
  <r>
    <x v="25"/>
    <m/>
    <m/>
    <m/>
    <m/>
    <m/>
    <m/>
    <m/>
    <m/>
    <m/>
    <m/>
    <m/>
    <x v="11"/>
    <d v="2016-02-17T18:52:00"/>
    <s v="Patch Set 4:\n\nPatchset Created: CI job has been scheduled."/>
    <m/>
    <m/>
    <s v="kaisa.taipale@intel.com"/>
    <x v="0"/>
    <x v="0"/>
    <s v=""/>
    <x v="1"/>
    <s v=""/>
    <s v=""/>
    <s v=""/>
    <s v=""/>
    <s v=""/>
    <s v=""/>
    <s v=""/>
    <x v="0"/>
    <x v="0"/>
    <x v="0"/>
  </r>
  <r>
    <x v="25"/>
    <m/>
    <m/>
    <m/>
    <m/>
    <m/>
    <m/>
    <m/>
    <m/>
    <m/>
    <m/>
    <m/>
    <x v="14"/>
    <d v="2016-02-17T20:18:00"/>
    <s v="Patch Set 4: Validation-Android+1\n\nreceive smoke test"/>
    <m/>
    <m/>
    <s v="kaisa.taipale@intel.com"/>
    <x v="0"/>
    <x v="5"/>
    <s v=""/>
    <x v="1"/>
    <s v=""/>
    <s v=""/>
    <s v=""/>
    <s v=""/>
    <s v=""/>
    <s v=""/>
    <s v=""/>
    <x v="0"/>
    <x v="1"/>
    <x v="0"/>
  </r>
  <r>
    <x v="25"/>
    <m/>
    <m/>
    <m/>
    <m/>
    <m/>
    <m/>
    <m/>
    <m/>
    <m/>
    <m/>
    <m/>
    <x v="8"/>
    <d v="2016-02-17T20:20:00"/>
    <s v="Patch Set 4: Approver+1"/>
    <m/>
    <m/>
    <s v="kaisa.taipale@intel.com"/>
    <x v="0"/>
    <x v="1"/>
    <s v=""/>
    <x v="1"/>
    <s v=""/>
    <s v=""/>
    <s v=""/>
    <s v=""/>
    <s v=""/>
    <s v=""/>
    <s v=""/>
    <x v="0"/>
    <x v="0"/>
    <x v="0"/>
  </r>
  <r>
    <x v="25"/>
    <m/>
    <m/>
    <m/>
    <m/>
    <m/>
    <m/>
    <m/>
    <m/>
    <m/>
    <m/>
    <m/>
    <x v="8"/>
    <d v="2016-02-17T20:21:00"/>
    <s v="Topic changed from af to bxt_preint"/>
    <m/>
    <m/>
    <s v="kaisa.taipale@intel.com"/>
    <x v="0"/>
    <x v="1"/>
    <s v=""/>
    <x v="1"/>
    <s v=""/>
    <s v=""/>
    <s v=""/>
    <s v=""/>
    <s v=""/>
    <s v=""/>
    <s v=""/>
    <x v="0"/>
    <x v="0"/>
    <x v="0"/>
  </r>
  <r>
    <x v="25"/>
    <m/>
    <m/>
    <m/>
    <m/>
    <m/>
    <m/>
    <m/>
    <m/>
    <m/>
    <m/>
    <m/>
    <x v="8"/>
    <d v="2016-02-17T20:30:00"/>
    <s v="Uploaded patch set 5: Patch Set 4 was rebased."/>
    <m/>
    <m/>
    <s v="kaisa.taipale@intel.com"/>
    <x v="0"/>
    <x v="1"/>
    <s v=""/>
    <x v="1"/>
    <s v=""/>
    <s v=""/>
    <s v=""/>
    <s v=""/>
    <s v=""/>
    <s v=""/>
    <s v=""/>
    <x v="0"/>
    <x v="0"/>
    <x v="0"/>
  </r>
  <r>
    <x v="25"/>
    <m/>
    <m/>
    <m/>
    <m/>
    <m/>
    <m/>
    <m/>
    <m/>
    <m/>
    <m/>
    <m/>
    <x v="8"/>
    <d v="2016-02-17T20:30:00"/>
    <s v="Patch Set 5:\n\nPatchset Created: CI job has been scheduled."/>
    <m/>
    <m/>
    <s v="kaisa.taipale@intel.com"/>
    <x v="0"/>
    <x v="1"/>
    <s v=""/>
    <x v="1"/>
    <s v=""/>
    <s v=""/>
    <s v=""/>
    <s v=""/>
    <s v=""/>
    <s v=""/>
    <s v=""/>
    <x v="0"/>
    <x v="0"/>
    <x v="0"/>
  </r>
  <r>
    <x v="25"/>
    <m/>
    <m/>
    <m/>
    <m/>
    <m/>
    <m/>
    <m/>
    <m/>
    <m/>
    <m/>
    <m/>
    <x v="8"/>
    <d v="2016-02-17T20:32:00"/>
    <s v="Topic changed from 17.2_v3 to bxt_preint"/>
    <m/>
    <m/>
    <s v="kaisa.taipale@intel.com"/>
    <x v="0"/>
    <x v="1"/>
    <s v=""/>
    <x v="1"/>
    <s v=""/>
    <s v=""/>
    <s v=""/>
    <s v=""/>
    <s v=""/>
    <s v=""/>
    <s v=""/>
    <x v="0"/>
    <x v="0"/>
    <x v="0"/>
  </r>
  <r>
    <x v="25"/>
    <m/>
    <m/>
    <m/>
    <m/>
    <m/>
    <m/>
    <m/>
    <m/>
    <m/>
    <m/>
    <m/>
    <x v="9"/>
    <d v="2016-02-18T14:19:00"/>
    <s v="Patch Set 5: Integrator+1\n\nIntegrator +1; patch will be add to PT; please no change now"/>
    <m/>
    <m/>
    <s v="kaisa.taipale@intel.com"/>
    <x v="0"/>
    <x v="5"/>
    <s v=""/>
    <x v="1"/>
    <s v=""/>
    <s v=""/>
    <s v=""/>
    <s v=""/>
    <s v=""/>
    <s v=""/>
    <s v=""/>
    <x v="0"/>
    <x v="1"/>
    <x v="0"/>
  </r>
  <r>
    <x v="25"/>
    <m/>
    <m/>
    <m/>
    <m/>
    <m/>
    <m/>
    <m/>
    <m/>
    <m/>
    <m/>
    <m/>
    <x v="9"/>
    <d v="2016-02-18T20:12:00"/>
    <s v="Patch Set 5:\n\nPassed Klocwork code analyzing test. No CRITICAL issue in this patch. Auto reported by kwscan@kw-srv2.bj.intel.com"/>
    <m/>
    <m/>
    <s v="kaisa.taipale@intel.com"/>
    <x v="0"/>
    <x v="5"/>
    <s v=""/>
    <x v="1"/>
    <s v=""/>
    <s v=""/>
    <s v=""/>
    <s v=""/>
    <s v=""/>
    <s v=""/>
    <s v=""/>
    <x v="0"/>
    <x v="0"/>
    <x v="0"/>
  </r>
  <r>
    <x v="25"/>
    <m/>
    <m/>
    <m/>
    <m/>
    <m/>
    <m/>
    <m/>
    <m/>
    <m/>
    <m/>
    <m/>
    <x v="9"/>
    <d v="2016-02-18T20:36:00"/>
    <s v="Patch Set 5:\n\nPassed Klocwork code analyzing test. No CRITICAL issue in this patch. Auto reported by kwscan@psi-build5.bj.intel.com"/>
    <m/>
    <m/>
    <s v="kaisa.taipale@intel.com"/>
    <x v="0"/>
    <x v="5"/>
    <s v=""/>
    <x v="1"/>
    <s v=""/>
    <s v=""/>
    <s v=""/>
    <s v=""/>
    <s v=""/>
    <s v=""/>
    <s v=""/>
    <x v="0"/>
    <x v="0"/>
    <x v="0"/>
  </r>
  <r>
    <x v="25"/>
    <m/>
    <m/>
    <m/>
    <m/>
    <m/>
    <m/>
    <m/>
    <m/>
    <m/>
    <m/>
    <m/>
    <x v="9"/>
    <d v="2016-02-18T22:32:00"/>
    <s v="Patch Set 5:\n\nPassed Klocwork code analyzing test. No CRITICAL issue in this patch. Auto reported by kwscan@psi-build5.bj.intel.com"/>
    <m/>
    <m/>
    <s v="kaisa.taipale@intel.com"/>
    <x v="0"/>
    <x v="5"/>
    <s v=""/>
    <x v="1"/>
    <s v=""/>
    <s v=""/>
    <s v=""/>
    <s v=""/>
    <s v=""/>
    <s v=""/>
    <s v=""/>
    <x v="0"/>
    <x v="0"/>
    <x v="0"/>
  </r>
  <r>
    <x v="25"/>
    <m/>
    <m/>
    <m/>
    <m/>
    <m/>
    <m/>
    <m/>
    <m/>
    <m/>
    <m/>
    <m/>
    <x v="9"/>
    <d v="2016-02-19T00:33:00"/>
    <s v="Patch Set 5:\n\nPassed Klocwork code analyzing test. No CRITICAL issue in this patch. Auto reported by kwscan@kw-srv2.bj.intel.com"/>
    <m/>
    <m/>
    <s v="kaisa.taipale@intel.com"/>
    <x v="0"/>
    <x v="5"/>
    <s v=""/>
    <x v="1"/>
    <s v=""/>
    <s v=""/>
    <s v=""/>
    <s v=""/>
    <s v=""/>
    <s v=""/>
    <s v=""/>
    <x v="0"/>
    <x v="0"/>
    <x v="0"/>
  </r>
  <r>
    <x v="25"/>
    <m/>
    <m/>
    <m/>
    <m/>
    <m/>
    <m/>
    <m/>
    <m/>
    <m/>
    <m/>
    <m/>
    <x v="9"/>
    <d v="2016-02-19T13:59:00"/>
    <s v="Patch Set 5:\n\nPassed Klocwork code analyzing test. No CRITICAL issue in this patch. Auto reported by kwscan@andr-val-srv0.bj.intel.com"/>
    <m/>
    <m/>
    <s v="kaisa.taipale@intel.com"/>
    <x v="0"/>
    <x v="5"/>
    <s v=""/>
    <x v="1"/>
    <s v=""/>
    <s v=""/>
    <s v=""/>
    <s v=""/>
    <s v=""/>
    <s v=""/>
    <s v=""/>
    <x v="0"/>
    <x v="0"/>
    <x v="0"/>
  </r>
  <r>
    <x v="25"/>
    <m/>
    <m/>
    <m/>
    <m/>
    <m/>
    <m/>
    <m/>
    <m/>
    <m/>
    <m/>
    <m/>
    <x v="9"/>
    <d v="2016-02-19T14:41:00"/>
    <s v="Patch Set 5: Code-Review+1\n\nPassed PIT; ready for merge"/>
    <m/>
    <m/>
    <s v="kaisa.taipale@intel.com"/>
    <x v="0"/>
    <x v="5"/>
    <s v=""/>
    <x v="1"/>
    <s v=""/>
    <s v=""/>
    <s v=""/>
    <s v=""/>
    <s v=""/>
    <s v=""/>
    <s v=""/>
    <x v="0"/>
    <x v="0"/>
    <x v="0"/>
  </r>
  <r>
    <x v="25"/>
    <m/>
    <m/>
    <m/>
    <m/>
    <m/>
    <m/>
    <m/>
    <m/>
    <m/>
    <m/>
    <m/>
    <x v="26"/>
    <d v="2016-02-29T18:44:00"/>
    <s v="Patch Set 6:\n\nThe patch has been merged onto 1A master with https://android.intel.com/473775"/>
    <m/>
    <m/>
    <s v="kaisa.taipale@intel.com"/>
    <x v="0"/>
    <x v="5"/>
    <s v=""/>
    <x v="1"/>
    <s v=""/>
    <s v=""/>
    <s v=""/>
    <s v=""/>
    <s v=""/>
    <s v=""/>
    <s v=""/>
    <x v="0"/>
    <x v="0"/>
    <x v="0"/>
  </r>
  <r>
    <x v="26"/>
    <n v="96212"/>
    <s v="vied-viedandr-camera3hal"/>
    <s v="platform/android/main"/>
    <s v="I18397e727f17b23a2738a91f30b10d71f122eba5"/>
    <s v="anttu.koski@intel.com"/>
    <s v="MERGED"/>
    <s v="c3:performancetraces: Call start() before formattedTrace()"/>
    <s v="c3:performancetraces: Call start() before formattedTrace()\n\nCall start() function for PerformanceTraces before calling\nformattedTrace() for the first time. Otherwise the first\nprinted timestamp is not correct; because start() initializes\nthe timekeeping.\n\nChange-Id: I18397e727f17b23a2738a91f30b10d71f122eba5\nTracked-On: #R512930\nSigned-off-by: Anttu Koski &lt;anttu.koski@intel.com&gt;\nReviewed-on: https://icggerrit.ir.intel.com/96212\nReviewed-by: Jukka O Kaartinen &lt;jukka.o.kaartinen@intel.com&gt;\nReviewed-by: Juha Alanen &lt;juha.alanen@intel.com&gt;\nReviewed-by: Renwei Wu &lt;renwei.wu@intel.com&gt;\nReviewed-by: Hongjiang A Zheng &lt;hongjiang.a.zheng@intel.com&gt;\nValidation-Android: Wei Tao &lt;wei.tao@intel.com&gt;\nReviewed-by: Ukri Niemimuukko &lt;ukri.niemimuukko@intel.com&gt;\nApprover: Jukka O Kaartinen &lt;jukka.o.kaartinen@intel.com&gt;\nBuild: Dessert M SOFIA (SC)\nIntegrator: WeiX Meng &lt;weix.meng@intel.com&gt;\nReviewed-by: WeiX Meng &lt;weix.meng@intel.com&gt;\n"/>
    <d v="2016-01-18T21:26:00"/>
    <d v="2016-02-19T17:45:00"/>
    <s v="common"/>
    <x v="18"/>
    <d v="2016-01-18T21:26:00"/>
    <s v="Uploaded patch set 1."/>
    <m/>
    <s v="fan.f.yang@intel.com;weix.meng@intel.com;ukri.niemimuukko@intel.com;hongjiang.a.zheng@intel.com;renwei.wu@intel.com;juha.alanen@intel.com;jukka.o.kaartinen@intel.com;"/>
    <s v="anttu.koski@intel.com"/>
    <x v="0"/>
    <x v="0"/>
    <s v="16'ww8"/>
    <x v="1"/>
    <n v="0"/>
    <n v="0"/>
    <n v="0"/>
    <n v="0"/>
    <n v="1"/>
    <n v="5"/>
    <n v="1"/>
    <x v="0"/>
    <x v="0"/>
    <x v="0"/>
  </r>
  <r>
    <x v="26"/>
    <m/>
    <m/>
    <m/>
    <m/>
    <m/>
    <m/>
    <m/>
    <m/>
    <m/>
    <m/>
    <m/>
    <x v="18"/>
    <d v="2016-01-18T21:26:00"/>
    <s v="Patch Set 1:\n\nPatchset Created: CI job has been scheduled."/>
    <m/>
    <m/>
    <s v="anttu.koski@intel.com"/>
    <x v="0"/>
    <x v="0"/>
    <s v=""/>
    <x v="1"/>
    <s v=""/>
    <s v=""/>
    <s v=""/>
    <s v=""/>
    <s v=""/>
    <s v=""/>
    <s v=""/>
    <x v="0"/>
    <x v="0"/>
    <x v="0"/>
  </r>
  <r>
    <x v="26"/>
    <m/>
    <m/>
    <m/>
    <m/>
    <m/>
    <m/>
    <m/>
    <m/>
    <m/>
    <m/>
    <m/>
    <x v="18"/>
    <d v="2016-01-18T21:26:00"/>
    <s v="Patch Set 1: Code-Review+1"/>
    <m/>
    <m/>
    <s v="anttu.koski@intel.com"/>
    <x v="0"/>
    <x v="0"/>
    <s v=""/>
    <x v="1"/>
    <s v=""/>
    <s v=""/>
    <s v=""/>
    <s v=""/>
    <s v=""/>
    <s v=""/>
    <s v=""/>
    <x v="0"/>
    <x v="0"/>
    <x v="0"/>
  </r>
  <r>
    <x v="26"/>
    <m/>
    <m/>
    <m/>
    <m/>
    <m/>
    <m/>
    <m/>
    <m/>
    <m/>
    <m/>
    <m/>
    <x v="18"/>
    <d v="2016-01-27T19:34:00"/>
    <s v="Patch Set 2:\n\nPatchset Created: CI job has been scheduled."/>
    <m/>
    <m/>
    <s v="anttu.koski@intel.com"/>
    <x v="0"/>
    <x v="0"/>
    <s v=""/>
    <x v="1"/>
    <s v=""/>
    <s v=""/>
    <s v=""/>
    <s v=""/>
    <s v=""/>
    <s v=""/>
    <s v=""/>
    <x v="0"/>
    <x v="0"/>
    <x v="0"/>
  </r>
  <r>
    <x v="26"/>
    <m/>
    <m/>
    <m/>
    <m/>
    <m/>
    <m/>
    <m/>
    <m/>
    <m/>
    <m/>
    <m/>
    <x v="18"/>
    <d v="2016-01-27T19:34:00"/>
    <s v="Uploaded patch set 2: Patch Set 1 was rebased."/>
    <m/>
    <m/>
    <s v="anttu.koski@intel.com"/>
    <x v="0"/>
    <x v="0"/>
    <s v=""/>
    <x v="1"/>
    <s v=""/>
    <s v=""/>
    <s v=""/>
    <s v=""/>
    <s v=""/>
    <s v=""/>
    <s v=""/>
    <x v="0"/>
    <x v="0"/>
    <x v="0"/>
  </r>
  <r>
    <x v="26"/>
    <m/>
    <m/>
    <m/>
    <m/>
    <m/>
    <m/>
    <m/>
    <m/>
    <m/>
    <m/>
    <m/>
    <x v="14"/>
    <d v="2016-01-27T19:36:00"/>
    <s v="Patch Set 2: Validation-Android+1\n\nreceive smoke test"/>
    <m/>
    <m/>
    <s v="anttu.koski@intel.com"/>
    <x v="0"/>
    <x v="5"/>
    <s v=""/>
    <x v="1"/>
    <s v=""/>
    <s v=""/>
    <s v=""/>
    <s v=""/>
    <s v=""/>
    <s v=""/>
    <s v=""/>
    <x v="0"/>
    <x v="1"/>
    <x v="0"/>
  </r>
  <r>
    <x v="26"/>
    <m/>
    <m/>
    <m/>
    <m/>
    <m/>
    <m/>
    <m/>
    <m/>
    <m/>
    <m/>
    <m/>
    <x v="18"/>
    <d v="2016-02-11T16:01:00"/>
    <s v="Patch Set 3:\n\nPatchset Created: CI job has been scheduled."/>
    <m/>
    <m/>
    <s v="anttu.koski@intel.com"/>
    <x v="0"/>
    <x v="0"/>
    <s v=""/>
    <x v="1"/>
    <s v=""/>
    <s v=""/>
    <s v=""/>
    <s v=""/>
    <s v=""/>
    <s v=""/>
    <s v=""/>
    <x v="0"/>
    <x v="0"/>
    <x v="0"/>
  </r>
  <r>
    <x v="26"/>
    <m/>
    <m/>
    <m/>
    <m/>
    <m/>
    <m/>
    <m/>
    <m/>
    <m/>
    <m/>
    <m/>
    <x v="18"/>
    <d v="2016-02-11T16:01:00"/>
    <s v="Uploaded patch set 3: Patch Set 2 was rebased."/>
    <m/>
    <m/>
    <s v="anttu.koski@intel.com"/>
    <x v="0"/>
    <x v="0"/>
    <s v=""/>
    <x v="1"/>
    <s v=""/>
    <s v=""/>
    <s v=""/>
    <s v=""/>
    <s v=""/>
    <s v=""/>
    <s v=""/>
    <x v="0"/>
    <x v="0"/>
    <x v="0"/>
  </r>
  <r>
    <x v="26"/>
    <m/>
    <m/>
    <m/>
    <m/>
    <m/>
    <m/>
    <m/>
    <m/>
    <m/>
    <m/>
    <m/>
    <x v="14"/>
    <d v="2016-02-11T16:08:00"/>
    <s v="Patch Set 3: Validation-Android+1\n\nreceive smoke test"/>
    <m/>
    <m/>
    <s v="anttu.koski@intel.com"/>
    <x v="0"/>
    <x v="5"/>
    <s v=""/>
    <x v="1"/>
    <s v=""/>
    <s v=""/>
    <s v=""/>
    <s v=""/>
    <s v=""/>
    <s v=""/>
    <s v=""/>
    <x v="0"/>
    <x v="1"/>
    <x v="0"/>
  </r>
  <r>
    <x v="26"/>
    <m/>
    <m/>
    <m/>
    <m/>
    <m/>
    <m/>
    <m/>
    <m/>
    <m/>
    <m/>
    <m/>
    <x v="18"/>
    <d v="2016-02-11T22:22:00"/>
    <s v="Uploaded patch set 4: Commit message was updated."/>
    <m/>
    <m/>
    <s v="anttu.koski@intel.com"/>
    <x v="0"/>
    <x v="0"/>
    <s v=""/>
    <x v="1"/>
    <s v=""/>
    <s v=""/>
    <s v=""/>
    <s v=""/>
    <s v=""/>
    <s v=""/>
    <s v=""/>
    <x v="0"/>
    <x v="0"/>
    <x v="0"/>
  </r>
  <r>
    <x v="26"/>
    <m/>
    <m/>
    <m/>
    <m/>
    <m/>
    <m/>
    <m/>
    <m/>
    <m/>
    <m/>
    <m/>
    <x v="18"/>
    <d v="2016-02-11T22:22:00"/>
    <s v="Patch Set 4:\n\nPatchset Created: CI job has been scheduled."/>
    <m/>
    <m/>
    <s v="anttu.koski@intel.com"/>
    <x v="0"/>
    <x v="0"/>
    <s v=""/>
    <x v="1"/>
    <s v=""/>
    <s v=""/>
    <s v=""/>
    <s v=""/>
    <s v=""/>
    <s v=""/>
    <s v=""/>
    <x v="0"/>
    <x v="0"/>
    <x v="0"/>
  </r>
  <r>
    <x v="26"/>
    <m/>
    <m/>
    <m/>
    <m/>
    <m/>
    <m/>
    <m/>
    <m/>
    <m/>
    <m/>
    <m/>
    <x v="14"/>
    <d v="2016-02-11T22:26:00"/>
    <s v="Patch Set 4: Validation-Android+1\n\nreceive smoke test"/>
    <m/>
    <m/>
    <s v="anttu.koski@intel.com"/>
    <x v="0"/>
    <x v="5"/>
    <s v=""/>
    <x v="1"/>
    <s v=""/>
    <s v=""/>
    <s v=""/>
    <s v=""/>
    <s v=""/>
    <s v=""/>
    <s v=""/>
    <x v="0"/>
    <x v="1"/>
    <x v="0"/>
  </r>
  <r>
    <x v="26"/>
    <m/>
    <m/>
    <m/>
    <m/>
    <m/>
    <m/>
    <m/>
    <m/>
    <m/>
    <m/>
    <m/>
    <x v="18"/>
    <d v="2016-02-11T22:32:00"/>
    <s v="Patch Set 5:\n\nPatchset Created: CI job has been scheduled."/>
    <m/>
    <m/>
    <s v="anttu.koski@intel.com"/>
    <x v="0"/>
    <x v="0"/>
    <s v=""/>
    <x v="1"/>
    <s v=""/>
    <s v=""/>
    <s v=""/>
    <s v=""/>
    <s v=""/>
    <s v=""/>
    <s v=""/>
    <x v="0"/>
    <x v="0"/>
    <x v="0"/>
  </r>
  <r>
    <x v="26"/>
    <m/>
    <m/>
    <m/>
    <m/>
    <m/>
    <m/>
    <m/>
    <m/>
    <m/>
    <m/>
    <m/>
    <x v="18"/>
    <d v="2016-02-11T22:32:00"/>
    <s v="Uploaded patch set 5: Patch Set 4 was rebased."/>
    <m/>
    <m/>
    <s v="anttu.koski@intel.com"/>
    <x v="0"/>
    <x v="0"/>
    <s v=""/>
    <x v="1"/>
    <s v=""/>
    <s v=""/>
    <s v=""/>
    <s v=""/>
    <s v=""/>
    <s v=""/>
    <s v=""/>
    <x v="0"/>
    <x v="0"/>
    <x v="0"/>
  </r>
  <r>
    <x v="26"/>
    <m/>
    <m/>
    <m/>
    <m/>
    <m/>
    <m/>
    <m/>
    <m/>
    <m/>
    <m/>
    <m/>
    <x v="14"/>
    <d v="2016-02-11T22:33:00"/>
    <s v="Patch Set 5: Validation-Android+1\n\nreceive smoke test"/>
    <m/>
    <m/>
    <s v="anttu.koski@intel.com"/>
    <x v="0"/>
    <x v="5"/>
    <s v=""/>
    <x v="1"/>
    <s v=""/>
    <s v=""/>
    <s v=""/>
    <s v=""/>
    <s v=""/>
    <s v=""/>
    <s v=""/>
    <x v="0"/>
    <x v="1"/>
    <x v="0"/>
  </r>
  <r>
    <x v="26"/>
    <m/>
    <m/>
    <m/>
    <m/>
    <m/>
    <m/>
    <m/>
    <m/>
    <m/>
    <m/>
    <m/>
    <x v="2"/>
    <d v="2016-02-12T15:58:00"/>
    <s v="Patch Set 5: Code-Review+1"/>
    <m/>
    <m/>
    <s v="anttu.koski@intel.com"/>
    <x v="0"/>
    <x v="1"/>
    <s v=""/>
    <x v="1"/>
    <s v=""/>
    <s v=""/>
    <s v=""/>
    <s v=""/>
    <s v=""/>
    <s v=""/>
    <s v=""/>
    <x v="0"/>
    <x v="0"/>
    <x v="0"/>
  </r>
  <r>
    <x v="26"/>
    <m/>
    <m/>
    <m/>
    <m/>
    <m/>
    <m/>
    <m/>
    <m/>
    <m/>
    <m/>
    <m/>
    <x v="5"/>
    <d v="2016-02-12T16:47:00"/>
    <s v="Patch Set 5: Code-Review+1"/>
    <m/>
    <m/>
    <s v="anttu.koski@intel.com"/>
    <x v="0"/>
    <x v="1"/>
    <s v=""/>
    <x v="1"/>
    <s v=""/>
    <s v=""/>
    <s v=""/>
    <s v=""/>
    <s v=""/>
    <s v=""/>
    <s v=""/>
    <x v="0"/>
    <x v="0"/>
    <x v="0"/>
  </r>
  <r>
    <x v="26"/>
    <m/>
    <m/>
    <m/>
    <m/>
    <m/>
    <m/>
    <m/>
    <m/>
    <m/>
    <m/>
    <m/>
    <x v="3"/>
    <d v="2016-02-14T10:45:00"/>
    <s v="Patch Set 5: Code-Review+1"/>
    <m/>
    <m/>
    <s v="anttu.koski@intel.com"/>
    <x v="0"/>
    <x v="2"/>
    <s v=""/>
    <x v="1"/>
    <s v=""/>
    <s v=""/>
    <s v=""/>
    <s v=""/>
    <s v=""/>
    <s v=""/>
    <s v=""/>
    <x v="0"/>
    <x v="0"/>
    <x v="0"/>
  </r>
  <r>
    <x v="26"/>
    <m/>
    <m/>
    <m/>
    <m/>
    <m/>
    <m/>
    <m/>
    <m/>
    <m/>
    <m/>
    <m/>
    <x v="15"/>
    <d v="2016-02-15T10:01:00"/>
    <s v="Patch Set 5: Code-Review+1"/>
    <m/>
    <m/>
    <s v="anttu.koski@intel.com"/>
    <x v="0"/>
    <x v="4"/>
    <s v=""/>
    <x v="1"/>
    <s v=""/>
    <s v=""/>
    <s v=""/>
    <s v=""/>
    <s v=""/>
    <s v=""/>
    <s v=""/>
    <x v="0"/>
    <x v="0"/>
    <x v="0"/>
  </r>
  <r>
    <x v="26"/>
    <m/>
    <m/>
    <m/>
    <m/>
    <m/>
    <m/>
    <m/>
    <m/>
    <m/>
    <m/>
    <m/>
    <x v="18"/>
    <d v="2016-02-17T21:48:00"/>
    <s v="Patch Set 6:\n\nPatchset Created: CI job has been scheduled."/>
    <m/>
    <m/>
    <s v="anttu.koski@intel.com"/>
    <x v="0"/>
    <x v="0"/>
    <s v=""/>
    <x v="1"/>
    <s v=""/>
    <s v=""/>
    <s v=""/>
    <s v=""/>
    <s v=""/>
    <s v=""/>
    <s v=""/>
    <x v="0"/>
    <x v="0"/>
    <x v="0"/>
  </r>
  <r>
    <x v="26"/>
    <m/>
    <m/>
    <m/>
    <m/>
    <m/>
    <m/>
    <m/>
    <m/>
    <m/>
    <m/>
    <m/>
    <x v="18"/>
    <d v="2016-02-17T21:48:00"/>
    <s v="Uploaded patch set 6: Patch Set 5 was rebased."/>
    <m/>
    <m/>
    <s v="anttu.koski@intel.com"/>
    <x v="0"/>
    <x v="0"/>
    <s v=""/>
    <x v="1"/>
    <s v=""/>
    <s v=""/>
    <s v=""/>
    <s v=""/>
    <s v=""/>
    <s v=""/>
    <s v=""/>
    <x v="0"/>
    <x v="0"/>
    <x v="0"/>
  </r>
  <r>
    <x v="26"/>
    <m/>
    <m/>
    <m/>
    <m/>
    <m/>
    <m/>
    <m/>
    <m/>
    <m/>
    <m/>
    <m/>
    <x v="14"/>
    <d v="2016-02-17T21:49:00"/>
    <s v="Patch Set 6: Validation-Android+1\n\nreceive smoke test"/>
    <m/>
    <m/>
    <s v="anttu.koski@intel.com"/>
    <x v="0"/>
    <x v="5"/>
    <s v=""/>
    <x v="1"/>
    <s v=""/>
    <s v=""/>
    <s v=""/>
    <s v=""/>
    <s v=""/>
    <s v=""/>
    <s v=""/>
    <x v="0"/>
    <x v="1"/>
    <x v="0"/>
  </r>
  <r>
    <x v="26"/>
    <m/>
    <m/>
    <m/>
    <m/>
    <m/>
    <m/>
    <m/>
    <m/>
    <m/>
    <m/>
    <m/>
    <x v="6"/>
    <d v="2016-02-17T21:51:00"/>
    <s v="Patch Set 6: Code-Review+1"/>
    <m/>
    <m/>
    <s v="anttu.koski@intel.com"/>
    <x v="0"/>
    <x v="1"/>
    <s v=""/>
    <x v="1"/>
    <s v=""/>
    <s v=""/>
    <s v=""/>
    <s v=""/>
    <s v=""/>
    <s v=""/>
    <s v=""/>
    <x v="0"/>
    <x v="0"/>
    <x v="0"/>
  </r>
  <r>
    <x v="26"/>
    <m/>
    <m/>
    <m/>
    <m/>
    <m/>
    <m/>
    <m/>
    <m/>
    <m/>
    <m/>
    <m/>
    <x v="2"/>
    <d v="2016-02-17T22:05:00"/>
    <s v="Patch Set 6: Approver+1"/>
    <m/>
    <m/>
    <s v="anttu.koski@intel.com"/>
    <x v="0"/>
    <x v="1"/>
    <s v=""/>
    <x v="1"/>
    <s v=""/>
    <s v=""/>
    <s v=""/>
    <s v=""/>
    <s v=""/>
    <s v=""/>
    <s v=""/>
    <x v="0"/>
    <x v="0"/>
    <x v="0"/>
  </r>
  <r>
    <x v="26"/>
    <m/>
    <m/>
    <m/>
    <m/>
    <m/>
    <m/>
    <m/>
    <m/>
    <m/>
    <m/>
    <m/>
    <x v="2"/>
    <d v="2016-02-17T22:05:00"/>
    <s v="Topic changed from perftraces to bxt_preint"/>
    <m/>
    <m/>
    <s v="anttu.koski@intel.com"/>
    <x v="0"/>
    <x v="1"/>
    <s v=""/>
    <x v="1"/>
    <s v=""/>
    <s v=""/>
    <s v=""/>
    <s v=""/>
    <s v=""/>
    <s v=""/>
    <s v=""/>
    <x v="0"/>
    <x v="0"/>
    <x v="0"/>
  </r>
  <r>
    <x v="26"/>
    <m/>
    <m/>
    <m/>
    <m/>
    <m/>
    <m/>
    <m/>
    <m/>
    <m/>
    <m/>
    <m/>
    <x v="9"/>
    <d v="2016-02-18T14:19:00"/>
    <s v="Patch Set 6: Integrator+1\n\nIntegrator +1; patch will be add to PT; please no change now"/>
    <m/>
    <m/>
    <s v="anttu.koski@intel.com"/>
    <x v="0"/>
    <x v="5"/>
    <s v=""/>
    <x v="1"/>
    <s v=""/>
    <s v=""/>
    <s v=""/>
    <s v=""/>
    <s v=""/>
    <s v=""/>
    <s v=""/>
    <x v="0"/>
    <x v="1"/>
    <x v="0"/>
  </r>
  <r>
    <x v="26"/>
    <m/>
    <m/>
    <m/>
    <m/>
    <m/>
    <m/>
    <m/>
    <m/>
    <m/>
    <m/>
    <m/>
    <x v="9"/>
    <d v="2016-02-18T20:12:00"/>
    <s v="Patch Set 6:\n\nPassed Klocwork code analyzing test. No CRITICAL issue in this patch. Auto reported by kwscan@kw-srv2.bj.intel.com"/>
    <m/>
    <m/>
    <s v="anttu.koski@intel.com"/>
    <x v="0"/>
    <x v="5"/>
    <s v=""/>
    <x v="1"/>
    <s v=""/>
    <s v=""/>
    <s v=""/>
    <s v=""/>
    <s v=""/>
    <s v=""/>
    <s v=""/>
    <x v="0"/>
    <x v="0"/>
    <x v="0"/>
  </r>
  <r>
    <x v="26"/>
    <m/>
    <m/>
    <m/>
    <m/>
    <m/>
    <m/>
    <m/>
    <m/>
    <m/>
    <m/>
    <m/>
    <x v="9"/>
    <d v="2016-02-18T20:36:00"/>
    <s v="Patch Set 6:\n\nPassed Klocwork code analyzing test. No CRITICAL issue in this patch. Auto reported by kwscan@psi-build5.bj.intel.com"/>
    <m/>
    <m/>
    <s v="anttu.koski@intel.com"/>
    <x v="0"/>
    <x v="5"/>
    <s v=""/>
    <x v="1"/>
    <s v=""/>
    <s v=""/>
    <s v=""/>
    <s v=""/>
    <s v=""/>
    <s v=""/>
    <s v=""/>
    <x v="0"/>
    <x v="0"/>
    <x v="0"/>
  </r>
  <r>
    <x v="26"/>
    <m/>
    <m/>
    <m/>
    <m/>
    <m/>
    <m/>
    <m/>
    <m/>
    <m/>
    <m/>
    <m/>
    <x v="9"/>
    <d v="2016-02-18T22:32:00"/>
    <s v="Patch Set 6:\n\nPassed Klocwork code analyzing test. No CRITICAL issue in this patch. Auto reported by kwscan@psi-build5.bj.intel.com"/>
    <m/>
    <m/>
    <s v="anttu.koski@intel.com"/>
    <x v="0"/>
    <x v="5"/>
    <s v=""/>
    <x v="1"/>
    <s v=""/>
    <s v=""/>
    <s v=""/>
    <s v=""/>
    <s v=""/>
    <s v=""/>
    <s v=""/>
    <x v="0"/>
    <x v="0"/>
    <x v="0"/>
  </r>
  <r>
    <x v="26"/>
    <m/>
    <m/>
    <m/>
    <m/>
    <m/>
    <m/>
    <m/>
    <m/>
    <m/>
    <m/>
    <m/>
    <x v="9"/>
    <d v="2016-02-19T00:33:00"/>
    <s v="Patch Set 6:\n\nPassed Klocwork code analyzing test. No CRITICAL issue in this patch. Auto reported by kwscan@kw-srv2.bj.intel.com"/>
    <m/>
    <m/>
    <s v="anttu.koski@intel.com"/>
    <x v="0"/>
    <x v="5"/>
    <s v=""/>
    <x v="1"/>
    <s v=""/>
    <s v=""/>
    <s v=""/>
    <s v=""/>
    <s v=""/>
    <s v=""/>
    <s v=""/>
    <x v="0"/>
    <x v="0"/>
    <x v="0"/>
  </r>
  <r>
    <x v="26"/>
    <m/>
    <m/>
    <m/>
    <m/>
    <m/>
    <m/>
    <m/>
    <m/>
    <m/>
    <m/>
    <m/>
    <x v="9"/>
    <d v="2016-02-19T14:00:00"/>
    <s v="Patch Set 6:\n\nPassed Klocwork code analyzing test. No CRITICAL issue in this patch. Auto reported by kwscan@andr-val-srv0.bj.intel.com"/>
    <m/>
    <m/>
    <s v="anttu.koski@intel.com"/>
    <x v="0"/>
    <x v="5"/>
    <s v=""/>
    <x v="1"/>
    <s v=""/>
    <s v=""/>
    <s v=""/>
    <s v=""/>
    <s v=""/>
    <s v=""/>
    <s v=""/>
    <x v="0"/>
    <x v="0"/>
    <x v="0"/>
  </r>
  <r>
    <x v="26"/>
    <m/>
    <m/>
    <m/>
    <m/>
    <m/>
    <m/>
    <m/>
    <m/>
    <m/>
    <m/>
    <m/>
    <x v="9"/>
    <d v="2016-02-19T14:42:00"/>
    <s v="Patch Set 6: Code-Review+1\n\nPassed PIT; ready for merge"/>
    <m/>
    <m/>
    <s v="anttu.koski@intel.com"/>
    <x v="0"/>
    <x v="5"/>
    <s v=""/>
    <x v="1"/>
    <s v=""/>
    <s v=""/>
    <s v=""/>
    <s v=""/>
    <s v=""/>
    <s v=""/>
    <s v=""/>
    <x v="0"/>
    <x v="0"/>
    <x v="0"/>
  </r>
  <r>
    <x v="26"/>
    <m/>
    <m/>
    <m/>
    <m/>
    <m/>
    <m/>
    <m/>
    <m/>
    <m/>
    <m/>
    <m/>
    <x v="26"/>
    <d v="2016-02-29T18:44:00"/>
    <s v="Patch Set 7:\n\nThe patch has been merged onto 1A master with https://android.intel.com/473777"/>
    <m/>
    <m/>
    <s v="anttu.koski@intel.com"/>
    <x v="0"/>
    <x v="5"/>
    <s v=""/>
    <x v="1"/>
    <s v=""/>
    <s v=""/>
    <s v=""/>
    <s v=""/>
    <s v=""/>
    <s v=""/>
    <s v=""/>
    <x v="0"/>
    <x v="0"/>
    <x v="0"/>
  </r>
  <r>
    <x v="27"/>
    <n v="101218"/>
    <s v="vied-viedandr-camera3hal"/>
    <s v="platform/android/main"/>
    <s v="Ie25cf7a853d4c3ae3c40a4990b8d2b091418a084"/>
    <s v="anttu.koski@intel.com"/>
    <s v="MERGED"/>
    <s v="c3:ipu4: Start debug FPS on first call"/>
    <s v="c3:ipu4: Start debug FPS on first call\n\nStart debug FPS only on first call. Previously the FPS calculation\nwas started earlier; which resulted in first results to include also\ntime when the measured loop was not even running yet.\n\nChange-Id: Ie25cf7a853d4c3ae3c40a4990b8d2b091418a084\nTracked-On: #R512930\nSigned-off-by: Anttu Koski &lt;anttu.koski@intel.com&gt;\nReviewed-on: https://icggerrit.ir.intel.com/101218\nReviewed-by: Jukka O Kaartinen &lt;jukka.o.kaartinen@intel.com&gt;\nReviewed-by: Juha Alanen &lt;juha.alanen@intel.com&gt;\nValidation-Android: Wei Tao &lt;wei.tao@intel.com&gt;\nApprover: Jukka O Kaartinen &lt;jukka.o.kaartinen@intel.com&gt;\nBuild: Dessert M BXT RVP (SC)\nBuild: Dessert M SOFIA (SC)\nIntegrator: WeiX Meng &lt;weix.meng@intel.com&gt;\nReviewed-by: WeiX Meng &lt;weix.meng@intel.com&gt;\n"/>
    <d v="2016-02-11T20:21:00"/>
    <d v="2016-02-19T17:45:00"/>
    <s v="common"/>
    <x v="18"/>
    <d v="2016-02-11T20:21:00"/>
    <s v="Patch Set 1:\n\nPatchset Created: CI job has been scheduled."/>
    <m/>
    <s v="fan.f.yang@intel.com;weix.meng@intel.com;hongjiang.a.zheng@intel.com;juha.alanen@intel.com;jukka.o.kaartinen@intel.com;"/>
    <s v="anttu.koski@intel.com"/>
    <x v="0"/>
    <x v="0"/>
    <s v="16'ww8"/>
    <x v="1"/>
    <n v="1"/>
    <n v="1"/>
    <n v="0"/>
    <n v="0"/>
    <n v="2"/>
    <n v="4"/>
    <n v="0"/>
    <x v="0"/>
    <x v="0"/>
    <x v="0"/>
  </r>
  <r>
    <x v="27"/>
    <m/>
    <m/>
    <m/>
    <m/>
    <m/>
    <m/>
    <m/>
    <m/>
    <m/>
    <m/>
    <m/>
    <x v="18"/>
    <d v="2016-02-11T20:21:00"/>
    <s v="Uploaded patch set 1."/>
    <m/>
    <m/>
    <s v="anttu.koski@intel.com"/>
    <x v="0"/>
    <x v="0"/>
    <s v=""/>
    <x v="1"/>
    <s v=""/>
    <s v=""/>
    <s v=""/>
    <s v=""/>
    <s v=""/>
    <s v=""/>
    <s v=""/>
    <x v="0"/>
    <x v="0"/>
    <x v="0"/>
  </r>
  <r>
    <x v="27"/>
    <m/>
    <m/>
    <m/>
    <m/>
    <m/>
    <m/>
    <m/>
    <m/>
    <m/>
    <m/>
    <m/>
    <x v="18"/>
    <d v="2016-02-11T20:21:00"/>
    <s v="Patch Set 1: Code-Review+1"/>
    <m/>
    <m/>
    <s v="anttu.koski@intel.com"/>
    <x v="0"/>
    <x v="0"/>
    <s v=""/>
    <x v="1"/>
    <s v=""/>
    <s v=""/>
    <s v=""/>
    <s v=""/>
    <s v=""/>
    <s v=""/>
    <s v=""/>
    <x v="0"/>
    <x v="0"/>
    <x v="0"/>
  </r>
  <r>
    <x v="27"/>
    <m/>
    <m/>
    <m/>
    <m/>
    <m/>
    <m/>
    <m/>
    <m/>
    <m/>
    <m/>
    <m/>
    <x v="18"/>
    <d v="2016-02-11T20:23:00"/>
    <s v="Patch Set 1: Code-Review-1\n\nArgh; might not actually work. mCount can be 0 also when loop is re-started"/>
    <m/>
    <m/>
    <s v="anttu.koski@intel.com"/>
    <x v="0"/>
    <x v="0"/>
    <s v=""/>
    <x v="1"/>
    <s v=""/>
    <s v=""/>
    <s v=""/>
    <s v=""/>
    <s v=""/>
    <s v=""/>
    <s v=""/>
    <x v="1"/>
    <x v="0"/>
    <x v="0"/>
  </r>
  <r>
    <x v="27"/>
    <m/>
    <m/>
    <m/>
    <m/>
    <m/>
    <m/>
    <m/>
    <m/>
    <m/>
    <m/>
    <m/>
    <x v="18"/>
    <d v="2016-02-11T21:19:00"/>
    <s v="Patch Set 2:\n\nPatchset Created: CI job has been scheduled."/>
    <m/>
    <m/>
    <s v="anttu.koski@intel.com"/>
    <x v="0"/>
    <x v="0"/>
    <s v=""/>
    <x v="1"/>
    <s v=""/>
    <s v=""/>
    <s v=""/>
    <s v=""/>
    <s v=""/>
    <s v=""/>
    <s v=""/>
    <x v="0"/>
    <x v="0"/>
    <x v="0"/>
  </r>
  <r>
    <x v="27"/>
    <m/>
    <m/>
    <m/>
    <m/>
    <m/>
    <m/>
    <m/>
    <m/>
    <m/>
    <m/>
    <m/>
    <x v="18"/>
    <d v="2016-02-11T21:19:00"/>
    <s v="Uploaded patch set 2."/>
    <m/>
    <m/>
    <s v="anttu.koski@intel.com"/>
    <x v="0"/>
    <x v="0"/>
    <s v=""/>
    <x v="1"/>
    <s v=""/>
    <s v=""/>
    <s v=""/>
    <s v=""/>
    <s v=""/>
    <s v=""/>
    <s v=""/>
    <x v="0"/>
    <x v="0"/>
    <x v="0"/>
  </r>
  <r>
    <x v="27"/>
    <m/>
    <m/>
    <m/>
    <m/>
    <m/>
    <m/>
    <m/>
    <m/>
    <m/>
    <m/>
    <m/>
    <x v="18"/>
    <d v="2016-02-11T21:22:00"/>
    <s v="Patch Set 2: Code-Review+1"/>
    <m/>
    <m/>
    <s v="anttu.koski@intel.com"/>
    <x v="0"/>
    <x v="0"/>
    <s v=""/>
    <x v="1"/>
    <s v=""/>
    <s v=""/>
    <s v=""/>
    <s v=""/>
    <s v=""/>
    <s v=""/>
    <s v=""/>
    <x v="0"/>
    <x v="0"/>
    <x v="0"/>
  </r>
  <r>
    <x v="27"/>
    <m/>
    <m/>
    <m/>
    <m/>
    <m/>
    <m/>
    <m/>
    <m/>
    <m/>
    <m/>
    <m/>
    <x v="18"/>
    <d v="2016-02-11T22:22:00"/>
    <s v="Patch Set 3:\n\nPatchset Created: CI job has been scheduled."/>
    <m/>
    <m/>
    <s v="anttu.koski@intel.com"/>
    <x v="0"/>
    <x v="0"/>
    <s v=""/>
    <x v="1"/>
    <s v=""/>
    <s v=""/>
    <s v=""/>
    <s v=""/>
    <s v=""/>
    <s v=""/>
    <s v=""/>
    <x v="0"/>
    <x v="0"/>
    <x v="0"/>
  </r>
  <r>
    <x v="27"/>
    <m/>
    <m/>
    <m/>
    <m/>
    <m/>
    <m/>
    <m/>
    <m/>
    <m/>
    <m/>
    <m/>
    <x v="18"/>
    <d v="2016-02-11T22:22:00"/>
    <s v="Uploaded patch set 3."/>
    <m/>
    <m/>
    <s v="anttu.koski@intel.com"/>
    <x v="0"/>
    <x v="0"/>
    <s v=""/>
    <x v="1"/>
    <s v=""/>
    <s v=""/>
    <s v=""/>
    <s v=""/>
    <s v=""/>
    <s v=""/>
    <s v=""/>
    <x v="0"/>
    <x v="0"/>
    <x v="0"/>
  </r>
  <r>
    <x v="27"/>
    <m/>
    <m/>
    <m/>
    <m/>
    <m/>
    <m/>
    <m/>
    <m/>
    <m/>
    <m/>
    <m/>
    <x v="18"/>
    <d v="2016-02-11T22:23:00"/>
    <s v="Patch Set 3: Code-Review+1"/>
    <m/>
    <m/>
    <s v="anttu.koski@intel.com"/>
    <x v="0"/>
    <x v="0"/>
    <s v=""/>
    <x v="1"/>
    <s v=""/>
    <s v=""/>
    <s v=""/>
    <s v=""/>
    <s v=""/>
    <s v=""/>
    <s v=""/>
    <x v="0"/>
    <x v="0"/>
    <x v="0"/>
  </r>
  <r>
    <x v="27"/>
    <m/>
    <m/>
    <m/>
    <m/>
    <m/>
    <m/>
    <m/>
    <m/>
    <m/>
    <m/>
    <m/>
    <x v="14"/>
    <d v="2016-02-11T22:25:00"/>
    <s v="Patch Set 3: Validation-Android+1\n\nreceive smoke test"/>
    <m/>
    <m/>
    <s v="anttu.koski@intel.com"/>
    <x v="0"/>
    <x v="5"/>
    <s v=""/>
    <x v="1"/>
    <s v=""/>
    <s v=""/>
    <s v=""/>
    <s v=""/>
    <s v=""/>
    <s v=""/>
    <s v=""/>
    <x v="0"/>
    <x v="1"/>
    <x v="0"/>
  </r>
  <r>
    <x v="27"/>
    <m/>
    <m/>
    <m/>
    <m/>
    <m/>
    <m/>
    <m/>
    <m/>
    <m/>
    <m/>
    <m/>
    <x v="18"/>
    <d v="2016-02-11T22:32:00"/>
    <s v="Patch Set 4:\n\nPatchset Created: CI job has been scheduled."/>
    <m/>
    <m/>
    <s v="anttu.koski@intel.com"/>
    <x v="0"/>
    <x v="0"/>
    <s v=""/>
    <x v="1"/>
    <s v=""/>
    <s v=""/>
    <s v=""/>
    <s v=""/>
    <s v=""/>
    <s v=""/>
    <s v=""/>
    <x v="0"/>
    <x v="0"/>
    <x v="0"/>
  </r>
  <r>
    <x v="27"/>
    <m/>
    <m/>
    <m/>
    <m/>
    <m/>
    <m/>
    <m/>
    <m/>
    <m/>
    <m/>
    <m/>
    <x v="18"/>
    <d v="2016-02-11T22:32:00"/>
    <s v="Uploaded patch set 4: Patch Set 3 was rebased."/>
    <m/>
    <m/>
    <s v="anttu.koski@intel.com"/>
    <x v="0"/>
    <x v="0"/>
    <s v=""/>
    <x v="1"/>
    <s v=""/>
    <s v=""/>
    <s v=""/>
    <s v=""/>
    <s v=""/>
    <s v=""/>
    <s v=""/>
    <x v="0"/>
    <x v="0"/>
    <x v="0"/>
  </r>
  <r>
    <x v="27"/>
    <m/>
    <m/>
    <m/>
    <m/>
    <m/>
    <m/>
    <m/>
    <m/>
    <m/>
    <m/>
    <m/>
    <x v="14"/>
    <d v="2016-02-11T22:33:00"/>
    <s v="Patch Set 4: Validation-Android+1\n\nreceive smoke test"/>
    <m/>
    <m/>
    <s v="anttu.koski@intel.com"/>
    <x v="0"/>
    <x v="5"/>
    <s v=""/>
    <x v="1"/>
    <s v=""/>
    <s v=""/>
    <s v=""/>
    <s v=""/>
    <s v=""/>
    <s v=""/>
    <s v=""/>
    <x v="0"/>
    <x v="1"/>
    <x v="0"/>
  </r>
  <r>
    <x v="27"/>
    <m/>
    <m/>
    <m/>
    <m/>
    <m/>
    <m/>
    <m/>
    <m/>
    <m/>
    <m/>
    <m/>
    <x v="2"/>
    <d v="2016-02-12T15:50:00"/>
    <s v="Patch Set 4: Code-Review+1"/>
    <m/>
    <m/>
    <s v="anttu.koski@intel.com"/>
    <x v="0"/>
    <x v="1"/>
    <s v=""/>
    <x v="1"/>
    <s v=""/>
    <s v=""/>
    <s v=""/>
    <s v=""/>
    <s v=""/>
    <s v=""/>
    <s v=""/>
    <x v="0"/>
    <x v="0"/>
    <x v="0"/>
  </r>
  <r>
    <x v="27"/>
    <m/>
    <m/>
    <m/>
    <m/>
    <m/>
    <m/>
    <m/>
    <m/>
    <m/>
    <m/>
    <m/>
    <x v="5"/>
    <d v="2016-02-12T16:48:00"/>
    <s v="Patch Set 4: Code-Review+1"/>
    <m/>
    <m/>
    <s v="anttu.koski@intel.com"/>
    <x v="0"/>
    <x v="1"/>
    <s v=""/>
    <x v="1"/>
    <s v=""/>
    <s v=""/>
    <s v=""/>
    <s v=""/>
    <s v=""/>
    <s v=""/>
    <s v=""/>
    <x v="0"/>
    <x v="0"/>
    <x v="0"/>
  </r>
  <r>
    <x v="27"/>
    <m/>
    <m/>
    <m/>
    <m/>
    <m/>
    <m/>
    <m/>
    <m/>
    <m/>
    <m/>
    <m/>
    <x v="15"/>
    <d v="2016-02-15T10:08:00"/>
    <s v="Patch Set 4: Code-Review-1\n\n(1 comment)"/>
    <s v="line46 :&quot;how about \&quot;if(mActive &amp;&amp; !mStarted)\&quot;? Then the func \&quot;isStarted()\&quot; is unnecessary; and no need changes in VideoGDCTask.cpp.&quot;"/>
    <m/>
    <s v="anttu.koski@intel.com"/>
    <x v="0"/>
    <x v="4"/>
    <s v=""/>
    <x v="1"/>
    <s v=""/>
    <s v=""/>
    <s v=""/>
    <s v=""/>
    <s v=""/>
    <s v=""/>
    <s v=""/>
    <x v="1"/>
    <x v="0"/>
    <x v="0"/>
  </r>
  <r>
    <x v="27"/>
    <m/>
    <m/>
    <m/>
    <m/>
    <m/>
    <m/>
    <m/>
    <m/>
    <m/>
    <m/>
    <m/>
    <x v="18"/>
    <d v="2016-02-15T15:04:00"/>
    <s v="Patch Set 4:\n\n(1 comment)"/>
    <s v="line46 :&quot;And furthermore; even if changed to work like that; it would still require changes to PSLs; since start() shouldn't be probably called at all; but update() should call start() if it's not done yet. And in some cases we want to call start() in a different place than on update(). So I think this solution should work better.&quot;"/>
    <m/>
    <s v="anttu.koski@intel.com"/>
    <x v="0"/>
    <x v="0"/>
    <s v=""/>
    <x v="1"/>
    <s v=""/>
    <s v=""/>
    <s v=""/>
    <s v=""/>
    <s v=""/>
    <s v=""/>
    <s v=""/>
    <x v="0"/>
    <x v="0"/>
    <x v="0"/>
  </r>
  <r>
    <x v="27"/>
    <m/>
    <m/>
    <m/>
    <m/>
    <m/>
    <m/>
    <m/>
    <m/>
    <m/>
    <m/>
    <m/>
    <x v="18"/>
    <d v="2016-02-17T20:16:00"/>
    <s v="Patch Set 4:\n\n(1 comment)"/>
    <s v="line46 :&quot;Now this keeps the functionality that you can actually call start() multiple times. Though I don't know if that's needed anywhere.\n\nI just wanted to be sure that IPU2/CIF functionality doesn't change after this patch.&quot;"/>
    <m/>
    <s v="anttu.koski@intel.com"/>
    <x v="0"/>
    <x v="0"/>
    <s v=""/>
    <x v="1"/>
    <s v=""/>
    <s v=""/>
    <s v=""/>
    <s v=""/>
    <s v=""/>
    <s v=""/>
    <s v=""/>
    <x v="0"/>
    <x v="0"/>
    <x v="0"/>
  </r>
  <r>
    <x v="27"/>
    <m/>
    <m/>
    <m/>
    <m/>
    <m/>
    <m/>
    <m/>
    <m/>
    <m/>
    <m/>
    <m/>
    <x v="18"/>
    <d v="2016-02-17T21:48:00"/>
    <s v="Patch Set 5:\n\nPatchset Created: CI job has been scheduled."/>
    <m/>
    <m/>
    <s v="anttu.koski@intel.com"/>
    <x v="0"/>
    <x v="0"/>
    <s v=""/>
    <x v="1"/>
    <s v=""/>
    <s v=""/>
    <s v=""/>
    <s v=""/>
    <s v=""/>
    <s v=""/>
    <s v=""/>
    <x v="0"/>
    <x v="0"/>
    <x v="0"/>
  </r>
  <r>
    <x v="27"/>
    <m/>
    <m/>
    <m/>
    <m/>
    <m/>
    <m/>
    <m/>
    <m/>
    <m/>
    <m/>
    <m/>
    <x v="18"/>
    <d v="2016-02-17T21:48:00"/>
    <s v="Uploaded patch set 5: Patch Set 4 was rebased."/>
    <m/>
    <m/>
    <s v="anttu.koski@intel.com"/>
    <x v="0"/>
    <x v="0"/>
    <s v=""/>
    <x v="1"/>
    <s v=""/>
    <s v=""/>
    <s v=""/>
    <s v=""/>
    <s v=""/>
    <s v=""/>
    <s v=""/>
    <x v="0"/>
    <x v="0"/>
    <x v="0"/>
  </r>
  <r>
    <x v="27"/>
    <m/>
    <m/>
    <m/>
    <m/>
    <m/>
    <m/>
    <m/>
    <m/>
    <m/>
    <m/>
    <m/>
    <x v="14"/>
    <d v="2016-02-17T21:49:00"/>
    <s v="Patch Set 5: Validation-Android+1\n\nreceive smoke test"/>
    <m/>
    <m/>
    <s v="anttu.koski@intel.com"/>
    <x v="0"/>
    <x v="5"/>
    <s v=""/>
    <x v="1"/>
    <s v=""/>
    <s v=""/>
    <s v=""/>
    <s v=""/>
    <s v=""/>
    <s v=""/>
    <s v=""/>
    <x v="0"/>
    <x v="1"/>
    <x v="0"/>
  </r>
  <r>
    <x v="27"/>
    <m/>
    <m/>
    <m/>
    <m/>
    <m/>
    <m/>
    <m/>
    <m/>
    <m/>
    <m/>
    <m/>
    <x v="2"/>
    <d v="2016-02-17T22:05:00"/>
    <s v="Patch Set 5: Approver+1"/>
    <m/>
    <m/>
    <s v="anttu.koski@intel.com"/>
    <x v="0"/>
    <x v="1"/>
    <s v=""/>
    <x v="1"/>
    <s v=""/>
    <s v=""/>
    <s v=""/>
    <s v=""/>
    <s v=""/>
    <s v=""/>
    <s v=""/>
    <x v="0"/>
    <x v="0"/>
    <x v="0"/>
  </r>
  <r>
    <x v="27"/>
    <m/>
    <m/>
    <m/>
    <m/>
    <m/>
    <m/>
    <m/>
    <m/>
    <m/>
    <m/>
    <m/>
    <x v="2"/>
    <d v="2016-02-17T22:05:00"/>
    <s v="Topic changed from perftraces to bxt_preint_HEAD"/>
    <m/>
    <m/>
    <s v="anttu.koski@intel.com"/>
    <x v="0"/>
    <x v="1"/>
    <s v=""/>
    <x v="1"/>
    <s v=""/>
    <s v=""/>
    <s v=""/>
    <s v=""/>
    <s v=""/>
    <s v=""/>
    <s v=""/>
    <x v="0"/>
    <x v="0"/>
    <x v="0"/>
  </r>
  <r>
    <x v="27"/>
    <m/>
    <m/>
    <m/>
    <m/>
    <m/>
    <m/>
    <m/>
    <m/>
    <m/>
    <m/>
    <m/>
    <x v="9"/>
    <d v="2016-02-18T14:20:00"/>
    <s v="Patch Set 5: Integrator+1\n\nIntegrator +1; patch will be add to PT; please no change now"/>
    <m/>
    <m/>
    <s v="anttu.koski@intel.com"/>
    <x v="0"/>
    <x v="5"/>
    <s v=""/>
    <x v="1"/>
    <s v=""/>
    <s v=""/>
    <s v=""/>
    <s v=""/>
    <s v=""/>
    <s v=""/>
    <s v=""/>
    <x v="0"/>
    <x v="1"/>
    <x v="0"/>
  </r>
  <r>
    <x v="27"/>
    <m/>
    <m/>
    <m/>
    <m/>
    <m/>
    <m/>
    <m/>
    <m/>
    <m/>
    <m/>
    <m/>
    <x v="15"/>
    <d v="2016-02-18T18:21:00"/>
    <s v="Patch Set 5: -Code-Review"/>
    <m/>
    <m/>
    <s v="anttu.koski@intel.com"/>
    <x v="0"/>
    <x v="4"/>
    <s v=""/>
    <x v="1"/>
    <s v=""/>
    <s v=""/>
    <s v=""/>
    <s v=""/>
    <s v=""/>
    <s v=""/>
    <s v=""/>
    <x v="0"/>
    <x v="0"/>
    <x v="0"/>
  </r>
  <r>
    <x v="27"/>
    <m/>
    <m/>
    <m/>
    <m/>
    <m/>
    <m/>
    <m/>
    <m/>
    <m/>
    <m/>
    <m/>
    <x v="9"/>
    <d v="2016-02-18T20:12:00"/>
    <s v="Patch Set 5:\n\nPassed Klocwork code analyzing test. No CRITICAL issue in this patch. Auto reported by kwscan@kw-srv2.bj.intel.com"/>
    <m/>
    <m/>
    <s v="anttu.koski@intel.com"/>
    <x v="0"/>
    <x v="5"/>
    <s v=""/>
    <x v="1"/>
    <s v=""/>
    <s v=""/>
    <s v=""/>
    <s v=""/>
    <s v=""/>
    <s v=""/>
    <s v=""/>
    <x v="0"/>
    <x v="0"/>
    <x v="0"/>
  </r>
  <r>
    <x v="27"/>
    <m/>
    <m/>
    <m/>
    <m/>
    <m/>
    <m/>
    <m/>
    <m/>
    <m/>
    <m/>
    <m/>
    <x v="9"/>
    <d v="2016-02-18T20:37:00"/>
    <s v="Patch Set 5:\n\nPassed Klocwork code analyzing test. No CRITICAL issue in this patch. Auto reported by kwscan@psi-build5.bj.intel.com"/>
    <m/>
    <m/>
    <s v="anttu.koski@intel.com"/>
    <x v="0"/>
    <x v="5"/>
    <s v=""/>
    <x v="1"/>
    <s v=""/>
    <s v=""/>
    <s v=""/>
    <s v=""/>
    <s v=""/>
    <s v=""/>
    <s v=""/>
    <x v="0"/>
    <x v="0"/>
    <x v="0"/>
  </r>
  <r>
    <x v="27"/>
    <m/>
    <m/>
    <m/>
    <m/>
    <m/>
    <m/>
    <m/>
    <m/>
    <m/>
    <m/>
    <m/>
    <x v="9"/>
    <d v="2016-02-18T22:33:00"/>
    <s v="Patch Set 5:\n\nPassed Klocwork code analyzing test. No CRITICAL issue in this patch. Auto reported by kwscan@psi-build5.bj.intel.com"/>
    <m/>
    <m/>
    <s v="anttu.koski@intel.com"/>
    <x v="0"/>
    <x v="5"/>
    <s v=""/>
    <x v="1"/>
    <s v=""/>
    <s v=""/>
    <s v=""/>
    <s v=""/>
    <s v=""/>
    <s v=""/>
    <s v=""/>
    <x v="0"/>
    <x v="0"/>
    <x v="0"/>
  </r>
  <r>
    <x v="27"/>
    <m/>
    <m/>
    <m/>
    <m/>
    <m/>
    <m/>
    <m/>
    <m/>
    <m/>
    <m/>
    <m/>
    <x v="9"/>
    <d v="2016-02-19T00:33:00"/>
    <s v="Patch Set 5:\n\nPassed Klocwork code analyzing test. No CRITICAL issue in this patch. Auto reported by kwscan@kw-srv2.bj.intel.com"/>
    <m/>
    <m/>
    <s v="anttu.koski@intel.com"/>
    <x v="0"/>
    <x v="5"/>
    <s v=""/>
    <x v="1"/>
    <s v=""/>
    <s v=""/>
    <s v=""/>
    <s v=""/>
    <s v=""/>
    <s v=""/>
    <s v=""/>
    <x v="0"/>
    <x v="0"/>
    <x v="0"/>
  </r>
  <r>
    <x v="27"/>
    <m/>
    <m/>
    <m/>
    <m/>
    <m/>
    <m/>
    <m/>
    <m/>
    <m/>
    <m/>
    <m/>
    <x v="9"/>
    <d v="2016-02-19T14:00:00"/>
    <s v="Patch Set 5:\n\nPassed Klocwork code analyzing test. No CRITICAL issue in this patch. Auto reported by kwscan@andr-val-srv0.bj.intel.com"/>
    <m/>
    <m/>
    <s v="anttu.koski@intel.com"/>
    <x v="0"/>
    <x v="5"/>
    <s v=""/>
    <x v="1"/>
    <s v=""/>
    <s v=""/>
    <s v=""/>
    <s v=""/>
    <s v=""/>
    <s v=""/>
    <s v=""/>
    <x v="0"/>
    <x v="0"/>
    <x v="0"/>
  </r>
  <r>
    <x v="27"/>
    <m/>
    <m/>
    <m/>
    <m/>
    <m/>
    <m/>
    <m/>
    <m/>
    <m/>
    <m/>
    <m/>
    <x v="9"/>
    <d v="2016-02-19T14:42:00"/>
    <s v="Patch Set 5: Code-Review+1\n\nPassed PIT; ready for merge"/>
    <m/>
    <m/>
    <s v="anttu.koski@intel.com"/>
    <x v="0"/>
    <x v="5"/>
    <s v=""/>
    <x v="1"/>
    <s v=""/>
    <s v=""/>
    <s v=""/>
    <s v=""/>
    <s v=""/>
    <s v=""/>
    <s v=""/>
    <x v="0"/>
    <x v="0"/>
    <x v="0"/>
  </r>
  <r>
    <x v="27"/>
    <m/>
    <m/>
    <m/>
    <m/>
    <m/>
    <m/>
    <m/>
    <m/>
    <m/>
    <m/>
    <m/>
    <x v="26"/>
    <d v="2016-02-29T18:43:00"/>
    <s v="Patch Set 6:\n\nThe patch has been merged onto 1A master with https://android.intel.com/473778"/>
    <m/>
    <m/>
    <s v="anttu.koski@intel.com"/>
    <x v="0"/>
    <x v="5"/>
    <s v=""/>
    <x v="1"/>
    <s v=""/>
    <s v=""/>
    <s v=""/>
    <s v=""/>
    <s v=""/>
    <s v=""/>
    <s v=""/>
    <x v="0"/>
    <x v="0"/>
    <x v="0"/>
  </r>
  <r>
    <x v="28"/>
    <n v="102411"/>
    <s v="vied-viedandr-camera3hal"/>
    <s v="platform/android/main"/>
    <s v="I9e716255157436220f012440bcc7730c6ce5d559"/>
    <s v="ukri.niemimuukko@intel.com"/>
    <s v="MERGED"/>
    <s v="c3:aal: allow reducing warning prints"/>
    <s v="c3:aal: allow reducing warning prints\n\nThe Camera3Request findBuffer API is handy for figuring\nout if request carries buffers for a certain purpose; but\nit unnecessarily prints out warnings every time it does not\nfind the buffer. This adds a parameter to the API to allow\ncontrolling the warning printing.\n\nChange-Id: I9e716255157436220f012440bcc7730c6ce5d559\nTracked-On: #R512635\nSigned-off-by: Ukri Niemimuukko &lt;ukri.niemimuukko@intel.com&gt;\nReviewed-on: https://icggerrit.ir.intel.com/102411\nReviewed-by: Jukka O Kaartinen &lt;jukka.o.kaartinen@intel.com&gt;\nReviewed-by: Arnaud Mandy &lt;arnaud.mandy@intel.com&gt;\nReviewed-by: Hongjiang A Zheng &lt;hongjiang.a.zheng@intel.com&gt;\nReviewed-by: Renwei Wu &lt;renwei.wu@intel.com&gt;\nReviewed-by: Miguel Verdu &lt;miguel.verdu@intel.com&gt;\nBuild: Dessert M BXT RVP (SC)\nValidation-Android: Wei Tao &lt;wei.tao@intel.com&gt;\nApprover: Jukka O Kaartinen &lt;jukka.o.kaartinen@intel.com&gt;\nBuild: Dessert M CHT FFD (SC)\nReviewed-by: Juha Alanen &lt;juha.alanen@intel.com&gt;\nIntegrator: WeiX Meng &lt;weix.meng@intel.com&gt;\nReviewed-by: WeiX Meng &lt;weix.meng@intel.com&gt;\n"/>
    <d v="2016-02-18T19:26:00"/>
    <d v="2016-02-25T17:07:00"/>
    <s v="common"/>
    <x v="6"/>
    <d v="2016-02-18T19:26:00"/>
    <s v="Uploaded patch set 1."/>
    <m/>
    <s v="weix.meng@intel.com;juha.alanen@intel.com;wei.tao@intel.com;miguel.verdu@intel.com;renwei.wu@intel.com;hongjiang.a.zheng@intel.com;arnaud.mandy@intel.com;jukka.o.kaartinen@intel.com;"/>
    <s v="ukri.niemimuukko@intel.com"/>
    <x v="0"/>
    <x v="0"/>
    <s v="16'ww9"/>
    <x v="1"/>
    <n v="0"/>
    <n v="0"/>
    <n v="0"/>
    <n v="0"/>
    <n v="1"/>
    <n v="6"/>
    <n v="1"/>
    <x v="0"/>
    <x v="0"/>
    <x v="0"/>
  </r>
  <r>
    <x v="28"/>
    <m/>
    <m/>
    <m/>
    <m/>
    <m/>
    <m/>
    <m/>
    <m/>
    <m/>
    <m/>
    <m/>
    <x v="6"/>
    <d v="2016-02-18T19:26:00"/>
    <s v="Patch Set 1:\n\nPatchset Created: CI job has been scheduled."/>
    <m/>
    <m/>
    <s v="ukri.niemimuukko@intel.com"/>
    <x v="0"/>
    <x v="0"/>
    <s v=""/>
    <x v="1"/>
    <s v=""/>
    <s v=""/>
    <s v=""/>
    <s v=""/>
    <s v=""/>
    <s v=""/>
    <s v=""/>
    <x v="0"/>
    <x v="0"/>
    <x v="0"/>
  </r>
  <r>
    <x v="28"/>
    <m/>
    <m/>
    <m/>
    <m/>
    <m/>
    <m/>
    <m/>
    <m/>
    <m/>
    <m/>
    <m/>
    <x v="6"/>
    <d v="2016-02-18T19:44:00"/>
    <s v="Patch Set 2:\n\nPatchset Created: CI job has been scheduled."/>
    <m/>
    <m/>
    <s v="ukri.niemimuukko@intel.com"/>
    <x v="0"/>
    <x v="0"/>
    <s v=""/>
    <x v="1"/>
    <s v=""/>
    <s v=""/>
    <s v=""/>
    <s v=""/>
    <s v=""/>
    <s v=""/>
    <s v=""/>
    <x v="0"/>
    <x v="0"/>
    <x v="0"/>
  </r>
  <r>
    <x v="28"/>
    <m/>
    <m/>
    <m/>
    <m/>
    <m/>
    <m/>
    <m/>
    <m/>
    <m/>
    <m/>
    <m/>
    <x v="6"/>
    <d v="2016-02-18T19:44:00"/>
    <s v="Uploaded patch set 2: Patch Set 1 was rebased."/>
    <m/>
    <m/>
    <s v="ukri.niemimuukko@intel.com"/>
    <x v="0"/>
    <x v="0"/>
    <s v=""/>
    <x v="1"/>
    <s v=""/>
    <s v=""/>
    <s v=""/>
    <s v=""/>
    <s v=""/>
    <s v=""/>
    <s v=""/>
    <x v="0"/>
    <x v="0"/>
    <x v="0"/>
  </r>
  <r>
    <x v="28"/>
    <m/>
    <m/>
    <m/>
    <m/>
    <m/>
    <m/>
    <m/>
    <m/>
    <m/>
    <m/>
    <m/>
    <x v="6"/>
    <d v="2016-02-18T19:47:00"/>
    <s v="Patch Set 2: Code-Review+1"/>
    <m/>
    <m/>
    <s v="ukri.niemimuukko@intel.com"/>
    <x v="0"/>
    <x v="0"/>
    <s v=""/>
    <x v="1"/>
    <s v=""/>
    <s v=""/>
    <s v=""/>
    <s v=""/>
    <s v=""/>
    <s v=""/>
    <s v=""/>
    <x v="0"/>
    <x v="0"/>
    <x v="0"/>
  </r>
  <r>
    <x v="28"/>
    <m/>
    <m/>
    <m/>
    <m/>
    <m/>
    <m/>
    <m/>
    <m/>
    <m/>
    <m/>
    <m/>
    <x v="2"/>
    <d v="2016-02-18T20:23:00"/>
    <s v="Patch Set 2: Code-Review+1"/>
    <m/>
    <m/>
    <s v="ukri.niemimuukko@intel.com"/>
    <x v="0"/>
    <x v="1"/>
    <s v=""/>
    <x v="1"/>
    <s v=""/>
    <s v=""/>
    <s v=""/>
    <s v=""/>
    <s v=""/>
    <s v=""/>
    <s v=""/>
    <x v="0"/>
    <x v="0"/>
    <x v="0"/>
  </r>
  <r>
    <x v="28"/>
    <m/>
    <m/>
    <m/>
    <m/>
    <m/>
    <m/>
    <m/>
    <m/>
    <m/>
    <m/>
    <m/>
    <x v="1"/>
    <d v="2016-02-18T20:59:00"/>
    <s v="Patch Set 2: Code-Review+1"/>
    <m/>
    <m/>
    <s v="ukri.niemimuukko@intel.com"/>
    <x v="0"/>
    <x v="1"/>
    <s v=""/>
    <x v="1"/>
    <s v=""/>
    <s v=""/>
    <s v=""/>
    <s v=""/>
    <s v=""/>
    <s v=""/>
    <s v=""/>
    <x v="0"/>
    <x v="0"/>
    <x v="0"/>
  </r>
  <r>
    <x v="28"/>
    <m/>
    <m/>
    <m/>
    <m/>
    <m/>
    <m/>
    <m/>
    <m/>
    <m/>
    <m/>
    <m/>
    <x v="15"/>
    <d v="2016-02-19T19:32:00"/>
    <s v="Patch Set 2: Code-Review+1"/>
    <m/>
    <m/>
    <s v="ukri.niemimuukko@intel.com"/>
    <x v="0"/>
    <x v="4"/>
    <s v=""/>
    <x v="1"/>
    <s v=""/>
    <s v=""/>
    <s v=""/>
    <s v=""/>
    <s v=""/>
    <s v=""/>
    <s v=""/>
    <x v="0"/>
    <x v="0"/>
    <x v="0"/>
  </r>
  <r>
    <x v="28"/>
    <m/>
    <m/>
    <m/>
    <m/>
    <m/>
    <m/>
    <m/>
    <m/>
    <m/>
    <m/>
    <m/>
    <x v="3"/>
    <d v="2016-02-19T23:32:00"/>
    <s v="Patch Set 2: Code-Review+1"/>
    <m/>
    <m/>
    <s v="ukri.niemimuukko@intel.com"/>
    <x v="0"/>
    <x v="2"/>
    <s v=""/>
    <x v="1"/>
    <s v=""/>
    <s v=""/>
    <s v=""/>
    <s v=""/>
    <s v=""/>
    <s v=""/>
    <s v=""/>
    <x v="0"/>
    <x v="0"/>
    <x v="0"/>
  </r>
  <r>
    <x v="28"/>
    <m/>
    <m/>
    <m/>
    <m/>
    <m/>
    <m/>
    <m/>
    <m/>
    <m/>
    <m/>
    <m/>
    <x v="0"/>
    <d v="2016-02-22T14:51:00"/>
    <s v="Patch Set 2: Code-Review+1"/>
    <m/>
    <m/>
    <s v="ukri.niemimuukko@intel.com"/>
    <x v="0"/>
    <x v="1"/>
    <s v=""/>
    <x v="1"/>
    <s v=""/>
    <s v=""/>
    <s v=""/>
    <s v=""/>
    <s v=""/>
    <s v=""/>
    <s v=""/>
    <x v="0"/>
    <x v="0"/>
    <x v="0"/>
  </r>
  <r>
    <x v="28"/>
    <m/>
    <m/>
    <m/>
    <m/>
    <m/>
    <m/>
    <m/>
    <m/>
    <m/>
    <m/>
    <m/>
    <x v="6"/>
    <d v="2016-02-23T13:50:00"/>
    <s v="Uploaded patch set 3: Patch Set 2 was rebased."/>
    <m/>
    <m/>
    <s v="ukri.niemimuukko@intel.com"/>
    <x v="0"/>
    <x v="0"/>
    <s v=""/>
    <x v="1"/>
    <s v=""/>
    <s v=""/>
    <s v=""/>
    <s v=""/>
    <s v=""/>
    <s v=""/>
    <s v=""/>
    <x v="0"/>
    <x v="0"/>
    <x v="0"/>
  </r>
  <r>
    <x v="28"/>
    <m/>
    <m/>
    <m/>
    <m/>
    <m/>
    <m/>
    <m/>
    <m/>
    <m/>
    <m/>
    <m/>
    <x v="6"/>
    <d v="2016-02-23T13:50:00"/>
    <s v="Patch Set 3:\n\nPatchset Created: CI job has been scheduled."/>
    <m/>
    <m/>
    <s v="ukri.niemimuukko@intel.com"/>
    <x v="0"/>
    <x v="0"/>
    <s v=""/>
    <x v="1"/>
    <s v=""/>
    <s v=""/>
    <s v=""/>
    <s v=""/>
    <s v=""/>
    <s v=""/>
    <s v=""/>
    <x v="0"/>
    <x v="0"/>
    <x v="0"/>
  </r>
  <r>
    <x v="28"/>
    <m/>
    <m/>
    <m/>
    <m/>
    <m/>
    <m/>
    <m/>
    <m/>
    <m/>
    <m/>
    <m/>
    <x v="14"/>
    <d v="2016-02-23T15:38:00"/>
    <s v="Patch Set 3: Validation-Android+1\n\nreceive smoke test"/>
    <m/>
    <m/>
    <s v="ukri.niemimuukko@intel.com"/>
    <x v="0"/>
    <x v="5"/>
    <s v=""/>
    <x v="1"/>
    <s v=""/>
    <s v=""/>
    <s v=""/>
    <s v=""/>
    <s v=""/>
    <s v=""/>
    <s v=""/>
    <x v="0"/>
    <x v="1"/>
    <x v="0"/>
  </r>
  <r>
    <x v="28"/>
    <m/>
    <m/>
    <m/>
    <m/>
    <m/>
    <m/>
    <m/>
    <m/>
    <m/>
    <m/>
    <m/>
    <x v="14"/>
    <d v="2016-02-23T16:12:00"/>
    <s v="Patch Set 3:\n\nreceive smoke test"/>
    <m/>
    <m/>
    <s v="ukri.niemimuukko@intel.com"/>
    <x v="0"/>
    <x v="5"/>
    <s v=""/>
    <x v="1"/>
    <s v=""/>
    <s v=""/>
    <s v=""/>
    <s v=""/>
    <s v=""/>
    <s v=""/>
    <s v=""/>
    <x v="0"/>
    <x v="0"/>
    <x v="0"/>
  </r>
  <r>
    <x v="28"/>
    <m/>
    <m/>
    <m/>
    <m/>
    <m/>
    <m/>
    <m/>
    <m/>
    <m/>
    <m/>
    <m/>
    <x v="2"/>
    <d v="2016-02-23T16:14:00"/>
    <s v="Patch Set 3: Approver+1"/>
    <m/>
    <m/>
    <s v="ukri.niemimuukko@intel.com"/>
    <x v="0"/>
    <x v="1"/>
    <s v=""/>
    <x v="1"/>
    <s v=""/>
    <s v=""/>
    <s v=""/>
    <s v=""/>
    <s v=""/>
    <s v=""/>
    <s v=""/>
    <x v="0"/>
    <x v="0"/>
    <x v="0"/>
  </r>
  <r>
    <x v="28"/>
    <m/>
    <m/>
    <m/>
    <m/>
    <m/>
    <m/>
    <m/>
    <m/>
    <m/>
    <m/>
    <m/>
    <x v="2"/>
    <d v="2016-02-23T16:14:00"/>
    <s v="Topic changed from topic_feb23 to bxt_preint"/>
    <m/>
    <m/>
    <s v="ukri.niemimuukko@intel.com"/>
    <x v="0"/>
    <x v="1"/>
    <s v=""/>
    <x v="1"/>
    <s v=""/>
    <s v=""/>
    <s v=""/>
    <s v=""/>
    <s v=""/>
    <s v=""/>
    <s v=""/>
    <x v="0"/>
    <x v="0"/>
    <x v="0"/>
  </r>
  <r>
    <x v="28"/>
    <m/>
    <m/>
    <m/>
    <m/>
    <m/>
    <m/>
    <m/>
    <m/>
    <m/>
    <m/>
    <m/>
    <x v="5"/>
    <d v="2016-02-23T21:27:00"/>
    <s v="Patch Set 3: Code-Review+1"/>
    <m/>
    <m/>
    <s v="ukri.niemimuukko@intel.com"/>
    <x v="0"/>
    <x v="1"/>
    <s v=""/>
    <x v="1"/>
    <s v=""/>
    <s v=""/>
    <s v=""/>
    <s v=""/>
    <s v=""/>
    <s v=""/>
    <s v=""/>
    <x v="0"/>
    <x v="0"/>
    <x v="0"/>
  </r>
  <r>
    <x v="28"/>
    <m/>
    <m/>
    <m/>
    <m/>
    <m/>
    <m/>
    <m/>
    <m/>
    <m/>
    <m/>
    <m/>
    <x v="9"/>
    <d v="2016-02-24T14:16:00"/>
    <s v="Patch Set 3: Integrator+1\n\nIntegrator +1; patch will be add to PT; please no change now"/>
    <m/>
    <m/>
    <s v="ukri.niemimuukko@intel.com"/>
    <x v="0"/>
    <x v="5"/>
    <s v=""/>
    <x v="1"/>
    <s v=""/>
    <s v=""/>
    <s v=""/>
    <s v=""/>
    <s v=""/>
    <s v=""/>
    <s v=""/>
    <x v="0"/>
    <x v="1"/>
    <x v="0"/>
  </r>
  <r>
    <x v="28"/>
    <m/>
    <m/>
    <m/>
    <m/>
    <m/>
    <m/>
    <m/>
    <m/>
    <m/>
    <m/>
    <m/>
    <x v="9"/>
    <d v="2016-02-24T18:18:00"/>
    <s v="Patch Set 3:\n\nPassed Klocwork code analyzing test. No CRITICAL issue in this patch. Auto reported by kwscan@andr-val-srv0.bj.intel.com"/>
    <m/>
    <m/>
    <s v="ukri.niemimuukko@intel.com"/>
    <x v="0"/>
    <x v="5"/>
    <s v=""/>
    <x v="1"/>
    <s v=""/>
    <s v=""/>
    <s v=""/>
    <s v=""/>
    <s v=""/>
    <s v=""/>
    <s v=""/>
    <x v="0"/>
    <x v="0"/>
    <x v="0"/>
  </r>
  <r>
    <x v="28"/>
    <m/>
    <m/>
    <m/>
    <m/>
    <m/>
    <m/>
    <m/>
    <m/>
    <m/>
    <m/>
    <m/>
    <x v="9"/>
    <d v="2016-02-24T21:23:00"/>
    <s v="Patch Set 3:\n\nPassed Klocwork code analyzing test. No CRITICAL issue in this patch. Auto reported by kwscan@andr-val-srv0.bj.intel.com"/>
    <m/>
    <m/>
    <s v="ukri.niemimuukko@intel.com"/>
    <x v="0"/>
    <x v="5"/>
    <s v=""/>
    <x v="1"/>
    <s v=""/>
    <s v=""/>
    <s v=""/>
    <s v=""/>
    <s v=""/>
    <s v=""/>
    <s v=""/>
    <x v="0"/>
    <x v="0"/>
    <x v="0"/>
  </r>
  <r>
    <x v="28"/>
    <m/>
    <m/>
    <m/>
    <m/>
    <m/>
    <m/>
    <m/>
    <m/>
    <m/>
    <m/>
    <m/>
    <x v="9"/>
    <d v="2016-02-24T22:28:00"/>
    <s v="Patch Set 3:\n\nPassed Klocwork code analyzing test. No CRITICAL issue in this patch. Auto reported by kwscan@psi-build5.bj.intel.com"/>
    <m/>
    <m/>
    <s v="ukri.niemimuukko@intel.com"/>
    <x v="0"/>
    <x v="5"/>
    <s v=""/>
    <x v="1"/>
    <s v=""/>
    <s v=""/>
    <s v=""/>
    <s v=""/>
    <s v=""/>
    <s v=""/>
    <s v=""/>
    <x v="0"/>
    <x v="0"/>
    <x v="0"/>
  </r>
  <r>
    <x v="28"/>
    <m/>
    <m/>
    <m/>
    <m/>
    <m/>
    <m/>
    <m/>
    <m/>
    <m/>
    <m/>
    <m/>
    <x v="9"/>
    <d v="2016-02-25T12:45:00"/>
    <s v="Patch Set 3:\n\nPassed Klocwork code analyzing test. No CRITICAL issue in this patch. Auto reported by kwscan@kw-srv2.bj.intel.com"/>
    <m/>
    <m/>
    <s v="ukri.niemimuukko@intel.com"/>
    <x v="0"/>
    <x v="5"/>
    <s v=""/>
    <x v="1"/>
    <s v=""/>
    <s v=""/>
    <s v=""/>
    <s v=""/>
    <s v=""/>
    <s v=""/>
    <s v=""/>
    <x v="0"/>
    <x v="0"/>
    <x v="0"/>
  </r>
  <r>
    <x v="28"/>
    <m/>
    <m/>
    <m/>
    <m/>
    <m/>
    <m/>
    <m/>
    <m/>
    <m/>
    <m/>
    <m/>
    <x v="9"/>
    <d v="2016-02-25T16:51:00"/>
    <s v="Patch Set 3: Code-Review+1\n\nPassed PIT; ready for merge"/>
    <m/>
    <m/>
    <s v="ukri.niemimuukko@intel.com"/>
    <x v="0"/>
    <x v="5"/>
    <s v=""/>
    <x v="1"/>
    <s v=""/>
    <s v=""/>
    <s v=""/>
    <s v=""/>
    <s v=""/>
    <s v=""/>
    <s v=""/>
    <x v="0"/>
    <x v="0"/>
    <x v="0"/>
  </r>
  <r>
    <x v="29"/>
    <n v="102410"/>
    <s v="vied-viedandr-camera3hal"/>
    <s v="platform/android/main"/>
    <s v="I03bf994c188d0b6ef004b6cff21768c7e4698daa"/>
    <s v="ukri.niemimuukko@intel.com"/>
    <s v="MERGED"/>
    <s v="c3: open graphic allocation API usage flags to the user"/>
    <s v="c3: open graphic allocation API usage flags to the user\n\nThe graphic allocation API used partially hard-coded usage\nflags which included using HW_CAMERA_READ and HW_CAMERA_WRITE\nat the same time; which is the same as HW_CAMERA_ZSL. That flag\nhas a special meaning in IPU4; and should only be used during\nreprocessing.\n\nIn order to allow IPU4 to specify the usage flags it needs; the\nAPI is opened so that the old hard-coded values are made default\nvalues and the user can specify the usage flags at the time of\nallocation.\n\nThe next step would be to combine the \usage\ and \createUsage\\ninput parameters which are currently partially combined bitwise\nduring the creation of the graphic buffer object. This was\nnot done yet as it risks regressions.\n\nChange-Id: I03bf994c188d0b6ef004b6cff21768c7e4698daa\nTracked-On: #R512635\nSigned-off-by: Ukri Niemimuukko &lt;ukri.niemimuukko@intel.com&gt;\nReviewed-on: https://icggerrit.ir.intel.com/102410\nReviewed-by: Jukka O Kaartinen &lt;jukka.o.kaartinen@intel.com&gt;\nReviewed-by: Arnaud Mandy &lt;arnaud.mandy@intel.com&gt;\nReviewed-by: Hongjiang A Zheng &lt;hongjiang.a.zheng@intel.com&gt;\nReviewed-by: Renwei Wu &lt;renwei.wu@intel.com&gt;\nReviewed-by: Miguel Verdu &lt;miguel.verdu@intel.com&gt;\nReviewed-by: John Mathew &lt;john.mathew@intel.com&gt;\nReviewed-by: Jingzhi Yu &lt;jingzhi.yu@intel.com&gt;\nBuild: Dessert M BXT RVP (SC)\nValidation-Android: Wei Tao &lt;wei.tao@intel.com&gt;\nApprover: Jukka O Kaartinen &lt;jukka.o.kaartinen@intel.com&gt;\nBuild: Dessert M CHT FFD (SC)\nReviewed-by: Juha Alanen &lt;juha.alanen@intel.com&gt;\nIntegrator: WeiX Meng &lt;weix.meng@intel.com&gt;\nReviewed-by: WeiX Meng &lt;weix.meng@intel.com&gt;\n"/>
    <d v="2016-02-18T19:26:00"/>
    <d v="2016-02-25T17:06:00"/>
    <s v="common"/>
    <x v="6"/>
    <d v="2016-02-18T19:26:00"/>
    <s v="Uploaded patch set 1."/>
    <m/>
    <s v="weix.meng@intel.com;juha.alanen@intel.com;wei.tao@intel.com;jingzhi.yu@intel.com;john.mathew@intel.com;miguel.verdu@intel.com;renwei.wu@intel.com;hongjiang.a.zheng@intel.com;arnaud.mandy@intel.com;jukka.o.kaartinen@intel.com;"/>
    <s v="ukri.niemimuukko@intel.com"/>
    <x v="0"/>
    <x v="0"/>
    <s v="16'ww9"/>
    <x v="1"/>
    <n v="0"/>
    <n v="0"/>
    <n v="0"/>
    <n v="0"/>
    <n v="2"/>
    <n v="7"/>
    <n v="1"/>
    <x v="0"/>
    <x v="0"/>
    <x v="0"/>
  </r>
  <r>
    <x v="29"/>
    <m/>
    <m/>
    <m/>
    <m/>
    <m/>
    <m/>
    <m/>
    <m/>
    <m/>
    <m/>
    <m/>
    <x v="6"/>
    <d v="2016-02-18T19:26:00"/>
    <s v="Patch Set 1:\n\nPatchset Created: CI job has been scheduled."/>
    <m/>
    <m/>
    <s v="ukri.niemimuukko@intel.com"/>
    <x v="0"/>
    <x v="0"/>
    <s v=""/>
    <x v="1"/>
    <s v=""/>
    <s v=""/>
    <s v=""/>
    <s v=""/>
    <s v=""/>
    <s v=""/>
    <s v=""/>
    <x v="0"/>
    <x v="0"/>
    <x v="0"/>
  </r>
  <r>
    <x v="29"/>
    <m/>
    <m/>
    <m/>
    <m/>
    <m/>
    <m/>
    <m/>
    <m/>
    <m/>
    <m/>
    <m/>
    <x v="6"/>
    <d v="2016-02-18T19:44:00"/>
    <s v="Uploaded patch set 2: Patch Set 1 was rebased."/>
    <m/>
    <m/>
    <s v="ukri.niemimuukko@intel.com"/>
    <x v="0"/>
    <x v="0"/>
    <s v=""/>
    <x v="1"/>
    <s v=""/>
    <s v=""/>
    <s v=""/>
    <s v=""/>
    <s v=""/>
    <s v=""/>
    <s v=""/>
    <x v="0"/>
    <x v="0"/>
    <x v="0"/>
  </r>
  <r>
    <x v="29"/>
    <m/>
    <m/>
    <m/>
    <m/>
    <m/>
    <m/>
    <m/>
    <m/>
    <m/>
    <m/>
    <m/>
    <x v="6"/>
    <d v="2016-02-18T19:44:00"/>
    <s v="Patch Set 2:\n\nPatchset Created: CI job has been scheduled."/>
    <m/>
    <m/>
    <s v="ukri.niemimuukko@intel.com"/>
    <x v="0"/>
    <x v="0"/>
    <s v=""/>
    <x v="1"/>
    <s v=""/>
    <s v=""/>
    <s v=""/>
    <s v=""/>
    <s v=""/>
    <s v=""/>
    <s v=""/>
    <x v="0"/>
    <x v="0"/>
    <x v="0"/>
  </r>
  <r>
    <x v="29"/>
    <m/>
    <m/>
    <m/>
    <m/>
    <m/>
    <m/>
    <m/>
    <m/>
    <m/>
    <m/>
    <m/>
    <x v="6"/>
    <d v="2016-02-18T19:46:00"/>
    <s v="Patch Set 2: Code-Review+1"/>
    <m/>
    <m/>
    <s v="ukri.niemimuukko@intel.com"/>
    <x v="0"/>
    <x v="0"/>
    <s v=""/>
    <x v="1"/>
    <s v=""/>
    <s v=""/>
    <s v=""/>
    <s v=""/>
    <s v=""/>
    <s v=""/>
    <s v=""/>
    <x v="0"/>
    <x v="0"/>
    <x v="0"/>
  </r>
  <r>
    <x v="29"/>
    <m/>
    <m/>
    <m/>
    <m/>
    <m/>
    <m/>
    <m/>
    <m/>
    <m/>
    <m/>
    <m/>
    <x v="2"/>
    <d v="2016-02-18T20:22:00"/>
    <s v="Patch Set 2: Code-Review+1"/>
    <m/>
    <m/>
    <s v="ukri.niemimuukko@intel.com"/>
    <x v="0"/>
    <x v="1"/>
    <s v=""/>
    <x v="1"/>
    <s v=""/>
    <s v=""/>
    <s v=""/>
    <s v=""/>
    <s v=""/>
    <s v=""/>
    <s v=""/>
    <x v="0"/>
    <x v="0"/>
    <x v="0"/>
  </r>
  <r>
    <x v="29"/>
    <m/>
    <m/>
    <m/>
    <m/>
    <m/>
    <m/>
    <m/>
    <m/>
    <m/>
    <m/>
    <m/>
    <x v="1"/>
    <d v="2016-02-18T20:58:00"/>
    <s v="Patch Set 2: Code-Review+1"/>
    <m/>
    <m/>
    <s v="ukri.niemimuukko@intel.com"/>
    <x v="0"/>
    <x v="1"/>
    <s v=""/>
    <x v="1"/>
    <s v=""/>
    <s v=""/>
    <s v=""/>
    <s v=""/>
    <s v=""/>
    <s v=""/>
    <s v=""/>
    <x v="0"/>
    <x v="0"/>
    <x v="0"/>
  </r>
  <r>
    <x v="29"/>
    <m/>
    <m/>
    <m/>
    <m/>
    <m/>
    <m/>
    <m/>
    <m/>
    <m/>
    <m/>
    <m/>
    <x v="15"/>
    <d v="2016-02-19T19:30:00"/>
    <s v="Patch Set 2: Code-Review+1"/>
    <m/>
    <m/>
    <s v="ukri.niemimuukko@intel.com"/>
    <x v="0"/>
    <x v="4"/>
    <s v=""/>
    <x v="1"/>
    <s v=""/>
    <s v=""/>
    <s v=""/>
    <s v=""/>
    <s v=""/>
    <s v=""/>
    <s v=""/>
    <x v="0"/>
    <x v="0"/>
    <x v="0"/>
  </r>
  <r>
    <x v="29"/>
    <m/>
    <m/>
    <m/>
    <m/>
    <m/>
    <m/>
    <m/>
    <m/>
    <m/>
    <m/>
    <m/>
    <x v="3"/>
    <d v="2016-02-19T23:53:00"/>
    <s v="Patch Set 2: Code-Review+1"/>
    <m/>
    <m/>
    <s v="ukri.niemimuukko@intel.com"/>
    <x v="0"/>
    <x v="2"/>
    <s v=""/>
    <x v="1"/>
    <s v=""/>
    <s v=""/>
    <s v=""/>
    <s v=""/>
    <s v=""/>
    <s v=""/>
    <s v=""/>
    <x v="0"/>
    <x v="0"/>
    <x v="0"/>
  </r>
  <r>
    <x v="29"/>
    <m/>
    <m/>
    <m/>
    <m/>
    <m/>
    <m/>
    <m/>
    <m/>
    <m/>
    <m/>
    <m/>
    <x v="0"/>
    <d v="2016-02-22T14:50:00"/>
    <s v="Patch Set 2: Code-Review+1"/>
    <m/>
    <m/>
    <s v="ukri.niemimuukko@intel.com"/>
    <x v="0"/>
    <x v="1"/>
    <s v=""/>
    <x v="1"/>
    <s v=""/>
    <s v=""/>
    <s v=""/>
    <s v=""/>
    <s v=""/>
    <s v=""/>
    <s v=""/>
    <x v="0"/>
    <x v="0"/>
    <x v="0"/>
  </r>
  <r>
    <x v="29"/>
    <m/>
    <m/>
    <m/>
    <m/>
    <m/>
    <m/>
    <m/>
    <m/>
    <m/>
    <m/>
    <m/>
    <x v="8"/>
    <d v="2016-02-22T15:54:00"/>
    <s v="Patch Set 2: Code-Review+1"/>
    <m/>
    <m/>
    <s v="ukri.niemimuukko@intel.com"/>
    <x v="0"/>
    <x v="1"/>
    <s v=""/>
    <x v="1"/>
    <s v=""/>
    <s v=""/>
    <s v=""/>
    <s v=""/>
    <s v=""/>
    <s v=""/>
    <s v=""/>
    <x v="0"/>
    <x v="0"/>
    <x v="0"/>
  </r>
  <r>
    <x v="29"/>
    <m/>
    <m/>
    <m/>
    <m/>
    <m/>
    <m/>
    <m/>
    <m/>
    <m/>
    <m/>
    <m/>
    <x v="16"/>
    <d v="2016-02-23T10:33:00"/>
    <s v="Patch Set 2: Code-Review+1"/>
    <m/>
    <m/>
    <s v="ukri.niemimuukko@intel.com"/>
    <x v="0"/>
    <x v="4"/>
    <s v=""/>
    <x v="1"/>
    <s v=""/>
    <s v=""/>
    <s v=""/>
    <s v=""/>
    <s v=""/>
    <s v=""/>
    <s v=""/>
    <x v="0"/>
    <x v="0"/>
    <x v="0"/>
  </r>
  <r>
    <x v="29"/>
    <m/>
    <m/>
    <m/>
    <m/>
    <m/>
    <m/>
    <m/>
    <m/>
    <m/>
    <m/>
    <m/>
    <x v="6"/>
    <d v="2016-02-23T13:50:00"/>
    <s v="Uploaded patch set 3: Patch Set 2 was rebased."/>
    <m/>
    <m/>
    <s v="ukri.niemimuukko@intel.com"/>
    <x v="0"/>
    <x v="0"/>
    <s v=""/>
    <x v="1"/>
    <s v=""/>
    <s v=""/>
    <s v=""/>
    <s v=""/>
    <s v=""/>
    <s v=""/>
    <s v=""/>
    <x v="0"/>
    <x v="0"/>
    <x v="0"/>
  </r>
  <r>
    <x v="29"/>
    <m/>
    <m/>
    <m/>
    <m/>
    <m/>
    <m/>
    <m/>
    <m/>
    <m/>
    <m/>
    <m/>
    <x v="6"/>
    <d v="2016-02-23T13:50:00"/>
    <s v="Patch Set 3:\n\nPatchset Created: CI job has been scheduled."/>
    <m/>
    <m/>
    <s v="ukri.niemimuukko@intel.com"/>
    <x v="0"/>
    <x v="0"/>
    <s v=""/>
    <x v="1"/>
    <s v=""/>
    <s v=""/>
    <s v=""/>
    <s v=""/>
    <s v=""/>
    <s v=""/>
    <s v=""/>
    <x v="0"/>
    <x v="0"/>
    <x v="0"/>
  </r>
  <r>
    <x v="29"/>
    <m/>
    <m/>
    <m/>
    <m/>
    <m/>
    <m/>
    <m/>
    <m/>
    <m/>
    <m/>
    <m/>
    <x v="14"/>
    <d v="2016-02-23T15:38:00"/>
    <s v="Patch Set 3: Validation-Android+1\n\nreceive smoke test"/>
    <m/>
    <m/>
    <s v="ukri.niemimuukko@intel.com"/>
    <x v="0"/>
    <x v="5"/>
    <s v=""/>
    <x v="1"/>
    <s v=""/>
    <s v=""/>
    <s v=""/>
    <s v=""/>
    <s v=""/>
    <s v=""/>
    <s v=""/>
    <x v="0"/>
    <x v="1"/>
    <x v="0"/>
  </r>
  <r>
    <x v="29"/>
    <m/>
    <m/>
    <m/>
    <m/>
    <m/>
    <m/>
    <m/>
    <m/>
    <m/>
    <m/>
    <m/>
    <x v="14"/>
    <d v="2016-02-23T16:12:00"/>
    <s v="Patch Set 3:\n\nreceive smoke test"/>
    <m/>
    <m/>
    <s v="ukri.niemimuukko@intel.com"/>
    <x v="0"/>
    <x v="5"/>
    <s v=""/>
    <x v="1"/>
    <s v=""/>
    <s v=""/>
    <s v=""/>
    <s v=""/>
    <s v=""/>
    <s v=""/>
    <s v=""/>
    <x v="0"/>
    <x v="0"/>
    <x v="0"/>
  </r>
  <r>
    <x v="29"/>
    <m/>
    <m/>
    <m/>
    <m/>
    <m/>
    <m/>
    <m/>
    <m/>
    <m/>
    <m/>
    <m/>
    <x v="2"/>
    <d v="2016-02-23T16:14:00"/>
    <s v="Patch Set 3: Approver+1"/>
    <m/>
    <m/>
    <s v="ukri.niemimuukko@intel.com"/>
    <x v="0"/>
    <x v="1"/>
    <s v=""/>
    <x v="1"/>
    <s v=""/>
    <s v=""/>
    <s v=""/>
    <s v=""/>
    <s v=""/>
    <s v=""/>
    <s v=""/>
    <x v="0"/>
    <x v="0"/>
    <x v="0"/>
  </r>
  <r>
    <x v="29"/>
    <m/>
    <m/>
    <m/>
    <m/>
    <m/>
    <m/>
    <m/>
    <m/>
    <m/>
    <m/>
    <m/>
    <x v="2"/>
    <d v="2016-02-23T16:14:00"/>
    <s v="Topic changed from topic_feb23 to bxt_preint"/>
    <m/>
    <m/>
    <s v="ukri.niemimuukko@intel.com"/>
    <x v="0"/>
    <x v="1"/>
    <s v=""/>
    <x v="1"/>
    <s v=""/>
    <s v=""/>
    <s v=""/>
    <s v=""/>
    <s v=""/>
    <s v=""/>
    <s v=""/>
    <x v="0"/>
    <x v="0"/>
    <x v="0"/>
  </r>
  <r>
    <x v="29"/>
    <m/>
    <m/>
    <m/>
    <m/>
    <m/>
    <m/>
    <m/>
    <m/>
    <m/>
    <m/>
    <m/>
    <x v="5"/>
    <d v="2016-02-23T21:27:00"/>
    <s v="Patch Set 3: Code-Review+1"/>
    <m/>
    <m/>
    <s v="ukri.niemimuukko@intel.com"/>
    <x v="0"/>
    <x v="1"/>
    <s v=""/>
    <x v="1"/>
    <s v=""/>
    <s v=""/>
    <s v=""/>
    <s v=""/>
    <s v=""/>
    <s v=""/>
    <s v=""/>
    <x v="0"/>
    <x v="0"/>
    <x v="0"/>
  </r>
  <r>
    <x v="29"/>
    <m/>
    <m/>
    <m/>
    <m/>
    <m/>
    <m/>
    <m/>
    <m/>
    <m/>
    <m/>
    <m/>
    <x v="9"/>
    <d v="2016-02-24T14:16:00"/>
    <s v="Patch Set 3: Integrator+1\n\nIntegrator +1; patch will be add to PT; please no change now"/>
    <m/>
    <m/>
    <s v="ukri.niemimuukko@intel.com"/>
    <x v="0"/>
    <x v="5"/>
    <s v=""/>
    <x v="1"/>
    <s v=""/>
    <s v=""/>
    <s v=""/>
    <s v=""/>
    <s v=""/>
    <s v=""/>
    <s v=""/>
    <x v="0"/>
    <x v="1"/>
    <x v="0"/>
  </r>
  <r>
    <x v="29"/>
    <m/>
    <m/>
    <m/>
    <m/>
    <m/>
    <m/>
    <m/>
    <m/>
    <m/>
    <m/>
    <m/>
    <x v="9"/>
    <d v="2016-02-24T18:18:00"/>
    <s v="Patch Set 3:\n\nPassed Klocwork code analyzing test. No CRITICAL issue in this patch. Auto reported by kwscan@andr-val-srv0.bj.intel.com"/>
    <m/>
    <m/>
    <s v="ukri.niemimuukko@intel.com"/>
    <x v="0"/>
    <x v="5"/>
    <s v=""/>
    <x v="1"/>
    <s v=""/>
    <s v=""/>
    <s v=""/>
    <s v=""/>
    <s v=""/>
    <s v=""/>
    <s v=""/>
    <x v="0"/>
    <x v="0"/>
    <x v="0"/>
  </r>
  <r>
    <x v="29"/>
    <m/>
    <m/>
    <m/>
    <m/>
    <m/>
    <m/>
    <m/>
    <m/>
    <m/>
    <m/>
    <m/>
    <x v="9"/>
    <d v="2016-02-24T21:23:00"/>
    <s v="Patch Set 3:\n\nPassed Klocwork code analyzing test. No CRITICAL issue in this patch. Auto reported by kwscan@andr-val-srv0.bj.intel.com"/>
    <m/>
    <m/>
    <s v="ukri.niemimuukko@intel.com"/>
    <x v="0"/>
    <x v="5"/>
    <s v=""/>
    <x v="1"/>
    <s v=""/>
    <s v=""/>
    <s v=""/>
    <s v=""/>
    <s v=""/>
    <s v=""/>
    <s v=""/>
    <x v="0"/>
    <x v="0"/>
    <x v="0"/>
  </r>
  <r>
    <x v="29"/>
    <m/>
    <m/>
    <m/>
    <m/>
    <m/>
    <m/>
    <m/>
    <m/>
    <m/>
    <m/>
    <m/>
    <x v="9"/>
    <d v="2016-02-24T22:28:00"/>
    <s v="Patch Set 3:\n\nPassed Klocwork code analyzing test. No CRITICAL issue in this patch. Auto reported by kwscan@psi-build5.bj.intel.com"/>
    <m/>
    <m/>
    <s v="ukri.niemimuukko@intel.com"/>
    <x v="0"/>
    <x v="5"/>
    <s v=""/>
    <x v="1"/>
    <s v=""/>
    <s v=""/>
    <s v=""/>
    <s v=""/>
    <s v=""/>
    <s v=""/>
    <s v=""/>
    <x v="0"/>
    <x v="0"/>
    <x v="0"/>
  </r>
  <r>
    <x v="29"/>
    <m/>
    <m/>
    <m/>
    <m/>
    <m/>
    <m/>
    <m/>
    <m/>
    <m/>
    <m/>
    <m/>
    <x v="9"/>
    <d v="2016-02-25T12:45:00"/>
    <s v="Patch Set 3:\n\nPassed Klocwork code analyzing test. No CRITICAL issue in this patch. Auto reported by kwscan@kw-srv2.bj.intel.com"/>
    <m/>
    <m/>
    <s v="ukri.niemimuukko@intel.com"/>
    <x v="0"/>
    <x v="5"/>
    <s v=""/>
    <x v="1"/>
    <s v=""/>
    <s v=""/>
    <s v=""/>
    <s v=""/>
    <s v=""/>
    <s v=""/>
    <s v=""/>
    <x v="0"/>
    <x v="0"/>
    <x v="0"/>
  </r>
  <r>
    <x v="29"/>
    <m/>
    <m/>
    <m/>
    <m/>
    <m/>
    <m/>
    <m/>
    <m/>
    <m/>
    <m/>
    <m/>
    <x v="9"/>
    <d v="2016-02-25T16:50:00"/>
    <s v="Patch Set 3: Code-Review+1\n\nPassed PIT; ready for merge"/>
    <m/>
    <m/>
    <s v="ukri.niemimuukko@intel.com"/>
    <x v="0"/>
    <x v="5"/>
    <s v=""/>
    <x v="1"/>
    <s v=""/>
    <s v=""/>
    <s v=""/>
    <s v=""/>
    <s v=""/>
    <s v=""/>
    <s v=""/>
    <x v="0"/>
    <x v="0"/>
    <x v="0"/>
  </r>
  <r>
    <x v="30"/>
    <n v="102420"/>
    <s v="vied-viedandr-camera3hal"/>
    <s v="platform/android/main"/>
    <s v="Ic02e6455b6dbb0a9ebd1f04b81f75148e8769c53"/>
    <s v="ukri.niemimuukko@intel.com"/>
    <s v="MERGED"/>
    <s v="c3:common: add support for RAW16 to gfx format gen"/>
    <s v="c3:common: add support for RAW16 to gfx format gen\n\nRaw16 was missing from getNativeHandleStride.\n\nChange-Id: Ic02e6455b6dbb0a9ebd1f04b81f75148e8769c53\nTracked-On: #R512635\nSigned-off-by: Ukri Niemimuukko &lt;ukri.niemimuukko@intel.com&gt;\nReviewed-on: https://icggerrit.ir.intel.com/102420\nReviewed-by: Jukka O Kaartinen &lt;jukka.o.kaartinen@intel.com&gt;\nReviewed-by: Arnaud Mandy &lt;arnaud.mandy@intel.com&gt;\nReviewed-by: Renwei Wu &lt;renwei.wu@intel.com&gt;\nReviewed-by: Miguel Verdu &lt;miguel.verdu@intel.com&gt;\nReviewed-by: Gang A Hu &lt;gang.a.hu@intel.com&gt;\nReviewed-by: Jingzhi Yu &lt;jingzhi.yu@intel.com&gt;\nBuild: Dessert M BXT RVP (SC)\nValidation-Android: Wei Tao &lt;wei.tao@intel.com&gt;\nApprover: Jukka O Kaartinen &lt;jukka.o.kaartinen@intel.com&gt;\nBuild: Dessert M CHT FFD (SC)\nReviewed-by: Juha Alanen &lt;juha.alanen@intel.com&gt;\nIntegrator: WeiX Meng &lt;weix.meng@intel.com&gt;\nReviewed-by: WeiX Meng &lt;weix.meng@intel.com&gt;\n"/>
    <d v="2016-02-18T19:44:00"/>
    <d v="2016-02-25T17:06:00"/>
    <s v="common"/>
    <x v="6"/>
    <d v="2016-02-18T19:44:00"/>
    <s v="Uploaded patch set 1."/>
    <m/>
    <s v="weix.meng@intel.com;juha.alanen@intel.com;wei.tao@intel.com;jingzhi.yu@intel.com;gang.a.hu@intel.com;miguel.verdu@intel.com;renwei.wu@intel.com;arnaud.mandy@intel.com;jukka.o.kaartinen@intel.com;"/>
    <s v="ukri.niemimuukko@intel.com"/>
    <x v="0"/>
    <x v="0"/>
    <s v="16'ww9"/>
    <x v="1"/>
    <n v="0"/>
    <n v="0"/>
    <n v="0"/>
    <n v="0"/>
    <n v="2"/>
    <n v="6"/>
    <n v="1"/>
    <x v="0"/>
    <x v="0"/>
    <x v="0"/>
  </r>
  <r>
    <x v="30"/>
    <m/>
    <m/>
    <m/>
    <m/>
    <m/>
    <m/>
    <m/>
    <m/>
    <m/>
    <m/>
    <m/>
    <x v="6"/>
    <d v="2016-02-18T19:44:00"/>
    <s v="Patch Set 1:\n\nPatchset Created: CI job has been scheduled."/>
    <m/>
    <m/>
    <s v="ukri.niemimuukko@intel.com"/>
    <x v="0"/>
    <x v="0"/>
    <s v=""/>
    <x v="1"/>
    <s v=""/>
    <s v=""/>
    <s v=""/>
    <s v=""/>
    <s v=""/>
    <s v=""/>
    <s v=""/>
    <x v="0"/>
    <x v="0"/>
    <x v="0"/>
  </r>
  <r>
    <x v="30"/>
    <m/>
    <m/>
    <m/>
    <m/>
    <m/>
    <m/>
    <m/>
    <m/>
    <m/>
    <m/>
    <m/>
    <x v="6"/>
    <d v="2016-02-18T19:46:00"/>
    <s v="Patch Set 1: Code-Review+1"/>
    <m/>
    <m/>
    <s v="ukri.niemimuukko@intel.com"/>
    <x v="0"/>
    <x v="0"/>
    <s v=""/>
    <x v="1"/>
    <s v=""/>
    <s v=""/>
    <s v=""/>
    <s v=""/>
    <s v=""/>
    <s v=""/>
    <s v=""/>
    <x v="0"/>
    <x v="0"/>
    <x v="0"/>
  </r>
  <r>
    <x v="30"/>
    <m/>
    <m/>
    <m/>
    <m/>
    <m/>
    <m/>
    <m/>
    <m/>
    <m/>
    <m/>
    <m/>
    <x v="2"/>
    <d v="2016-02-18T20:18:00"/>
    <s v="Patch Set 1: Code-Review+1"/>
    <m/>
    <m/>
    <s v="ukri.niemimuukko@intel.com"/>
    <x v="0"/>
    <x v="1"/>
    <s v=""/>
    <x v="1"/>
    <s v=""/>
    <s v=""/>
    <s v=""/>
    <s v=""/>
    <s v=""/>
    <s v=""/>
    <s v=""/>
    <x v="0"/>
    <x v="0"/>
    <x v="0"/>
  </r>
  <r>
    <x v="30"/>
    <m/>
    <m/>
    <m/>
    <m/>
    <m/>
    <m/>
    <m/>
    <m/>
    <m/>
    <m/>
    <m/>
    <x v="1"/>
    <d v="2016-02-18T20:56:00"/>
    <s v="Patch Set 1: Code-Review+1"/>
    <m/>
    <m/>
    <s v="ukri.niemimuukko@intel.com"/>
    <x v="0"/>
    <x v="1"/>
    <s v=""/>
    <x v="1"/>
    <s v=""/>
    <s v=""/>
    <s v=""/>
    <s v=""/>
    <s v=""/>
    <s v=""/>
    <s v=""/>
    <x v="0"/>
    <x v="0"/>
    <x v="0"/>
  </r>
  <r>
    <x v="30"/>
    <m/>
    <m/>
    <m/>
    <m/>
    <m/>
    <m/>
    <m/>
    <m/>
    <m/>
    <m/>
    <m/>
    <x v="3"/>
    <d v="2016-02-19T23:24:00"/>
    <s v="Patch Set 1: Code-Review+1"/>
    <m/>
    <m/>
    <s v="ukri.niemimuukko@intel.com"/>
    <x v="0"/>
    <x v="2"/>
    <s v=""/>
    <x v="1"/>
    <s v=""/>
    <s v=""/>
    <s v=""/>
    <s v=""/>
    <s v=""/>
    <s v=""/>
    <s v=""/>
    <x v="0"/>
    <x v="0"/>
    <x v="0"/>
  </r>
  <r>
    <x v="30"/>
    <m/>
    <m/>
    <m/>
    <m/>
    <m/>
    <m/>
    <m/>
    <m/>
    <m/>
    <m/>
    <m/>
    <x v="0"/>
    <d v="2016-02-22T14:50:00"/>
    <s v="Patch Set 1: Code-Review+1"/>
    <m/>
    <m/>
    <s v="ukri.niemimuukko@intel.com"/>
    <x v="0"/>
    <x v="1"/>
    <s v=""/>
    <x v="1"/>
    <s v=""/>
    <s v=""/>
    <s v=""/>
    <s v=""/>
    <s v=""/>
    <s v=""/>
    <s v=""/>
    <x v="0"/>
    <x v="0"/>
    <x v="0"/>
  </r>
  <r>
    <x v="30"/>
    <m/>
    <m/>
    <m/>
    <m/>
    <m/>
    <m/>
    <m/>
    <m/>
    <m/>
    <m/>
    <m/>
    <x v="13"/>
    <d v="2016-02-22T17:38:00"/>
    <s v="Patch Set 1: Code-Review+1"/>
    <m/>
    <m/>
    <s v="ukri.niemimuukko@intel.com"/>
    <x v="0"/>
    <x v="4"/>
    <s v=""/>
    <x v="1"/>
    <s v=""/>
    <s v=""/>
    <s v=""/>
    <s v=""/>
    <s v=""/>
    <s v=""/>
    <s v=""/>
    <x v="0"/>
    <x v="0"/>
    <x v="0"/>
  </r>
  <r>
    <x v="30"/>
    <m/>
    <m/>
    <m/>
    <m/>
    <m/>
    <m/>
    <m/>
    <m/>
    <m/>
    <m/>
    <m/>
    <x v="16"/>
    <d v="2016-02-23T10:13:00"/>
    <s v="Patch Set 1: Code-Review+1"/>
    <m/>
    <m/>
    <s v="ukri.niemimuukko@intel.com"/>
    <x v="0"/>
    <x v="4"/>
    <s v=""/>
    <x v="1"/>
    <s v=""/>
    <s v=""/>
    <s v=""/>
    <s v=""/>
    <s v=""/>
    <s v=""/>
    <s v=""/>
    <x v="0"/>
    <x v="0"/>
    <x v="0"/>
  </r>
  <r>
    <x v="30"/>
    <m/>
    <m/>
    <m/>
    <m/>
    <m/>
    <m/>
    <m/>
    <m/>
    <m/>
    <m/>
    <m/>
    <x v="6"/>
    <d v="2016-02-23T13:50:00"/>
    <s v="Uploaded patch set 2: Patch Set 1 was rebased."/>
    <m/>
    <m/>
    <s v="ukri.niemimuukko@intel.com"/>
    <x v="0"/>
    <x v="0"/>
    <s v=""/>
    <x v="1"/>
    <s v=""/>
    <s v=""/>
    <s v=""/>
    <s v=""/>
    <s v=""/>
    <s v=""/>
    <s v=""/>
    <x v="0"/>
    <x v="0"/>
    <x v="0"/>
  </r>
  <r>
    <x v="30"/>
    <m/>
    <m/>
    <m/>
    <m/>
    <m/>
    <m/>
    <m/>
    <m/>
    <m/>
    <m/>
    <m/>
    <x v="6"/>
    <d v="2016-02-23T13:50:00"/>
    <s v="Patch Set 2:\n\nPatchset Created: CI job has been scheduled."/>
    <m/>
    <m/>
    <s v="ukri.niemimuukko@intel.com"/>
    <x v="0"/>
    <x v="0"/>
    <s v=""/>
    <x v="1"/>
    <s v=""/>
    <s v=""/>
    <s v=""/>
    <s v=""/>
    <s v=""/>
    <s v=""/>
    <s v=""/>
    <x v="0"/>
    <x v="0"/>
    <x v="0"/>
  </r>
  <r>
    <x v="30"/>
    <m/>
    <m/>
    <m/>
    <m/>
    <m/>
    <m/>
    <m/>
    <m/>
    <m/>
    <m/>
    <m/>
    <x v="14"/>
    <d v="2016-02-23T15:37:00"/>
    <s v="Patch Set 2: Validation-Android+1\n\nreceive smoke test"/>
    <m/>
    <m/>
    <s v="ukri.niemimuukko@intel.com"/>
    <x v="0"/>
    <x v="5"/>
    <s v=""/>
    <x v="1"/>
    <s v=""/>
    <s v=""/>
    <s v=""/>
    <s v=""/>
    <s v=""/>
    <s v=""/>
    <s v=""/>
    <x v="0"/>
    <x v="1"/>
    <x v="0"/>
  </r>
  <r>
    <x v="30"/>
    <m/>
    <m/>
    <m/>
    <m/>
    <m/>
    <m/>
    <m/>
    <m/>
    <m/>
    <m/>
    <m/>
    <x v="14"/>
    <d v="2016-02-23T16:11:00"/>
    <s v="Patch Set 2:\n\nreceive smoke test"/>
    <m/>
    <m/>
    <s v="ukri.niemimuukko@intel.com"/>
    <x v="0"/>
    <x v="5"/>
    <s v=""/>
    <x v="1"/>
    <s v=""/>
    <s v=""/>
    <s v=""/>
    <s v=""/>
    <s v=""/>
    <s v=""/>
    <s v=""/>
    <x v="0"/>
    <x v="0"/>
    <x v="0"/>
  </r>
  <r>
    <x v="30"/>
    <m/>
    <m/>
    <m/>
    <m/>
    <m/>
    <m/>
    <m/>
    <m/>
    <m/>
    <m/>
    <m/>
    <x v="2"/>
    <d v="2016-02-23T16:14:00"/>
    <s v="Patch Set 2: Approver+1"/>
    <m/>
    <m/>
    <s v="ukri.niemimuukko@intel.com"/>
    <x v="0"/>
    <x v="1"/>
    <s v=""/>
    <x v="1"/>
    <s v=""/>
    <s v=""/>
    <s v=""/>
    <s v=""/>
    <s v=""/>
    <s v=""/>
    <s v=""/>
    <x v="0"/>
    <x v="0"/>
    <x v="0"/>
  </r>
  <r>
    <x v="30"/>
    <m/>
    <m/>
    <m/>
    <m/>
    <m/>
    <m/>
    <m/>
    <m/>
    <m/>
    <m/>
    <m/>
    <x v="2"/>
    <d v="2016-02-23T16:14:00"/>
    <s v="Topic changed from topic_feb23 to bxt_preint"/>
    <m/>
    <m/>
    <s v="ukri.niemimuukko@intel.com"/>
    <x v="0"/>
    <x v="1"/>
    <s v=""/>
    <x v="1"/>
    <s v=""/>
    <s v=""/>
    <s v=""/>
    <s v=""/>
    <s v=""/>
    <s v=""/>
    <s v=""/>
    <x v="0"/>
    <x v="0"/>
    <x v="0"/>
  </r>
  <r>
    <x v="30"/>
    <m/>
    <m/>
    <m/>
    <m/>
    <m/>
    <m/>
    <m/>
    <m/>
    <m/>
    <m/>
    <m/>
    <x v="5"/>
    <d v="2016-02-23T21:25:00"/>
    <s v="Patch Set 2: Code-Review+1"/>
    <m/>
    <m/>
    <s v="ukri.niemimuukko@intel.com"/>
    <x v="0"/>
    <x v="1"/>
    <s v=""/>
    <x v="1"/>
    <s v=""/>
    <s v=""/>
    <s v=""/>
    <s v=""/>
    <s v=""/>
    <s v=""/>
    <s v=""/>
    <x v="0"/>
    <x v="0"/>
    <x v="0"/>
  </r>
  <r>
    <x v="30"/>
    <m/>
    <m/>
    <m/>
    <m/>
    <m/>
    <m/>
    <m/>
    <m/>
    <m/>
    <m/>
    <m/>
    <x v="9"/>
    <d v="2016-02-24T14:16:00"/>
    <s v="Patch Set 2: Integrator+1\n\nIntegrator +1; patch will be add to PT; please no change now"/>
    <m/>
    <m/>
    <s v="ukri.niemimuukko@intel.com"/>
    <x v="0"/>
    <x v="5"/>
    <s v=""/>
    <x v="1"/>
    <s v=""/>
    <s v=""/>
    <s v=""/>
    <s v=""/>
    <s v=""/>
    <s v=""/>
    <s v=""/>
    <x v="0"/>
    <x v="1"/>
    <x v="0"/>
  </r>
  <r>
    <x v="30"/>
    <m/>
    <m/>
    <m/>
    <m/>
    <m/>
    <m/>
    <m/>
    <m/>
    <m/>
    <m/>
    <m/>
    <x v="9"/>
    <d v="2016-02-24T18:18:00"/>
    <s v="Patch Set 2:\n\nPassed Klocwork code analyzing test. No CRITICAL issue in this patch. Auto reported by kwscan@andr-val-srv0.bj.intel.com"/>
    <m/>
    <m/>
    <s v="ukri.niemimuukko@intel.com"/>
    <x v="0"/>
    <x v="5"/>
    <s v=""/>
    <x v="1"/>
    <s v=""/>
    <s v=""/>
    <s v=""/>
    <s v=""/>
    <s v=""/>
    <s v=""/>
    <s v=""/>
    <x v="0"/>
    <x v="0"/>
    <x v="0"/>
  </r>
  <r>
    <x v="30"/>
    <m/>
    <m/>
    <m/>
    <m/>
    <m/>
    <m/>
    <m/>
    <m/>
    <m/>
    <m/>
    <m/>
    <x v="9"/>
    <d v="2016-02-24T21:23:00"/>
    <s v="Patch Set 2:\n\nPassed Klocwork code analyzing test. No CRITICAL issue in this patch. Auto reported by kwscan@andr-val-srv0.bj.intel.com"/>
    <m/>
    <m/>
    <s v="ukri.niemimuukko@intel.com"/>
    <x v="0"/>
    <x v="5"/>
    <s v=""/>
    <x v="1"/>
    <s v=""/>
    <s v=""/>
    <s v=""/>
    <s v=""/>
    <s v=""/>
    <s v=""/>
    <s v=""/>
    <x v="0"/>
    <x v="0"/>
    <x v="0"/>
  </r>
  <r>
    <x v="30"/>
    <m/>
    <m/>
    <m/>
    <m/>
    <m/>
    <m/>
    <m/>
    <m/>
    <m/>
    <m/>
    <m/>
    <x v="9"/>
    <d v="2016-02-24T22:28:00"/>
    <s v="Patch Set 2:\n\nPassed Klocwork code analyzing test. No CRITICAL issue in this patch. Auto reported by kwscan@psi-build5.bj.intel.com"/>
    <m/>
    <m/>
    <s v="ukri.niemimuukko@intel.com"/>
    <x v="0"/>
    <x v="5"/>
    <s v=""/>
    <x v="1"/>
    <s v=""/>
    <s v=""/>
    <s v=""/>
    <s v=""/>
    <s v=""/>
    <s v=""/>
    <s v=""/>
    <x v="0"/>
    <x v="0"/>
    <x v="0"/>
  </r>
  <r>
    <x v="30"/>
    <m/>
    <m/>
    <m/>
    <m/>
    <m/>
    <m/>
    <m/>
    <m/>
    <m/>
    <m/>
    <m/>
    <x v="9"/>
    <d v="2016-02-25T12:45:00"/>
    <s v="Patch Set 2:\n\nPassed Klocwork code analyzing test. No CRITICAL issue in this patch. Auto reported by kwscan@kw-srv2.bj.intel.com"/>
    <m/>
    <m/>
    <s v="ukri.niemimuukko@intel.com"/>
    <x v="0"/>
    <x v="5"/>
    <s v=""/>
    <x v="1"/>
    <s v=""/>
    <s v=""/>
    <s v=""/>
    <s v=""/>
    <s v=""/>
    <s v=""/>
    <s v=""/>
    <x v="0"/>
    <x v="0"/>
    <x v="0"/>
  </r>
  <r>
    <x v="30"/>
    <m/>
    <m/>
    <m/>
    <m/>
    <m/>
    <m/>
    <m/>
    <m/>
    <m/>
    <m/>
    <m/>
    <x v="9"/>
    <d v="2016-02-25T16:50:00"/>
    <s v="Patch Set 2: Code-Review+1\n\nPassed PIT; ready for merge"/>
    <m/>
    <m/>
    <s v="ukri.niemimuukko@intel.com"/>
    <x v="0"/>
    <x v="5"/>
    <s v=""/>
    <x v="1"/>
    <s v=""/>
    <s v=""/>
    <s v=""/>
    <s v=""/>
    <s v=""/>
    <s v=""/>
    <s v=""/>
    <x v="0"/>
    <x v="0"/>
    <x v="0"/>
  </r>
  <r>
    <x v="31"/>
    <n v="102409"/>
    <s v="vied-viedandr-camera3hal"/>
    <s v="platform/android/main"/>
    <s v="Ia09c4f8edaa66bb9e56f781df76cf8cf41a9e3dd"/>
    <s v="ukri.niemimuukko@intel.com"/>
    <s v="MERGED"/>
    <s v="c3:common: add API for reading the native handle allocation size"/>
    <s v="c3:common: add API for reading the native handle allocation size\n\nThe HAL has been trying to calculate allocation sizes via bounds\nand formats; which is prone to problems and doesn't take into\ncount any padding. This adds an API for reading the actual size\nand storing it to graphics buffers; if it is available. If the\nactual allocation size is not available; then the calculated\nvalue is stored as before.\n\nChange-Id: Ia09c4f8edaa66bb9e56f781df76cf8cf41a9e3dd\nTracked-On: #R512635\nSigned-off-by: Ukri Niemimuukko &lt;ukri.niemimuukko@intel.com&gt;\nReviewed-on: https://icggerrit.ir.intel.com/102409\nReviewed-by: Jukka O Kaartinen &lt;jukka.o.kaartinen@intel.com&gt;\nReviewed-by: Arnaud Mandy &lt;arnaud.mandy@intel.com&gt;\nReviewed-by: Hongjiang A Zheng &lt;hongjiang.a.zheng@intel.com&gt;\nReviewed-by: Vns Murthy Sristi &lt;vns.murthy.sristi@intel.com&gt;\nReviewed-by: Renwei Wu &lt;renwei.wu@intel.com&gt;\nReviewed-by: Miguel Verdu &lt;miguel.verdu@intel.com&gt;\nReviewed-by: Jingzhi Yu &lt;jingzhi.yu@intel.com&gt;\nBuild: Dessert M BXT RVP (SC)\nValidation-Android: Wei Tao &lt;wei.tao@intel.com&gt;\nApprover: Jukka O Kaartinen &lt;jukka.o.kaartinen@intel.com&gt;\nBuild: Dessert M CHT FFD (SC)\nReviewed-by: Juha Alanen &lt;juha.alanen@intel.com&gt;\nIntegrator: WeiX Meng &lt;weix.meng@intel.com&gt;\nReviewed-by: WeiX Meng &lt;weix.meng@intel.com&gt;\n"/>
    <d v="2016-02-18T19:26:00"/>
    <d v="2016-02-25T17:06:00"/>
    <s v="common"/>
    <x v="6"/>
    <d v="2016-02-18T19:26:00"/>
    <s v="Uploaded patch set 1."/>
    <m/>
    <s v="weix.meng@intel.com;juha.alanen@intel.com;wei.tao@intel.com;jingzhi.yu@intel.com;miguel.verdu@intel.com;renwei.wu@intel.com;vns.murthy.sristi@intel.com;hongjiang.a.zheng@intel.com;arnaud.mandy@intel.com;jukka.o.kaartinen@intel.com;"/>
    <s v="ukri.niemimuukko@intel.com"/>
    <x v="0"/>
    <x v="0"/>
    <s v="16'ww9"/>
    <x v="1"/>
    <n v="0"/>
    <n v="0"/>
    <n v="0"/>
    <n v="0"/>
    <n v="2"/>
    <n v="6"/>
    <n v="1"/>
    <x v="0"/>
    <x v="0"/>
    <x v="0"/>
  </r>
  <r>
    <x v="31"/>
    <m/>
    <m/>
    <m/>
    <m/>
    <m/>
    <m/>
    <m/>
    <m/>
    <m/>
    <m/>
    <m/>
    <x v="6"/>
    <d v="2016-02-18T19:26:00"/>
    <s v="Patch Set 1:\n\nPatchset Created: CI job has been scheduled."/>
    <m/>
    <m/>
    <s v="ukri.niemimuukko@intel.com"/>
    <x v="0"/>
    <x v="0"/>
    <s v=""/>
    <x v="1"/>
    <s v=""/>
    <s v=""/>
    <s v=""/>
    <s v=""/>
    <s v=""/>
    <s v=""/>
    <s v=""/>
    <x v="0"/>
    <x v="0"/>
    <x v="0"/>
  </r>
  <r>
    <x v="31"/>
    <m/>
    <m/>
    <m/>
    <m/>
    <m/>
    <m/>
    <m/>
    <m/>
    <m/>
    <m/>
    <m/>
    <x v="6"/>
    <d v="2016-02-18T19:37:00"/>
    <s v="Patch Set 1: Code-Review-1"/>
    <m/>
    <m/>
    <s v="ukri.niemimuukko@intel.com"/>
    <x v="0"/>
    <x v="0"/>
    <s v=""/>
    <x v="1"/>
    <s v=""/>
    <s v=""/>
    <s v=""/>
    <s v=""/>
    <s v=""/>
    <s v=""/>
    <s v=""/>
    <x v="1"/>
    <x v="0"/>
    <x v="0"/>
  </r>
  <r>
    <x v="31"/>
    <m/>
    <m/>
    <m/>
    <m/>
    <m/>
    <m/>
    <m/>
    <m/>
    <m/>
    <m/>
    <m/>
    <x v="6"/>
    <d v="2016-02-18T19:44:00"/>
    <s v="Uploaded patch set 2."/>
    <m/>
    <m/>
    <s v="ukri.niemimuukko@intel.com"/>
    <x v="0"/>
    <x v="0"/>
    <s v=""/>
    <x v="1"/>
    <s v=""/>
    <s v=""/>
    <s v=""/>
    <s v=""/>
    <s v=""/>
    <s v=""/>
    <s v=""/>
    <x v="0"/>
    <x v="0"/>
    <x v="0"/>
  </r>
  <r>
    <x v="31"/>
    <m/>
    <m/>
    <m/>
    <m/>
    <m/>
    <m/>
    <m/>
    <m/>
    <m/>
    <m/>
    <m/>
    <x v="6"/>
    <d v="2016-02-18T19:44:00"/>
    <s v="Patch Set 2:\n\nPatchset Created: CI job has been scheduled."/>
    <m/>
    <m/>
    <s v="ukri.niemimuukko@intel.com"/>
    <x v="0"/>
    <x v="0"/>
    <s v=""/>
    <x v="1"/>
    <s v=""/>
    <s v=""/>
    <s v=""/>
    <s v=""/>
    <s v=""/>
    <s v=""/>
    <s v=""/>
    <x v="0"/>
    <x v="0"/>
    <x v="0"/>
  </r>
  <r>
    <x v="31"/>
    <m/>
    <m/>
    <m/>
    <m/>
    <m/>
    <m/>
    <m/>
    <m/>
    <m/>
    <m/>
    <m/>
    <x v="6"/>
    <d v="2016-02-18T19:46:00"/>
    <s v="Patch Set 2: Code-Review+1"/>
    <m/>
    <m/>
    <s v="ukri.niemimuukko@intel.com"/>
    <x v="0"/>
    <x v="0"/>
    <s v=""/>
    <x v="1"/>
    <s v=""/>
    <s v=""/>
    <s v=""/>
    <s v=""/>
    <s v=""/>
    <s v=""/>
    <s v=""/>
    <x v="0"/>
    <x v="0"/>
    <x v="0"/>
  </r>
  <r>
    <x v="31"/>
    <m/>
    <m/>
    <m/>
    <m/>
    <m/>
    <m/>
    <m/>
    <m/>
    <m/>
    <m/>
    <m/>
    <x v="2"/>
    <d v="2016-02-18T20:17:00"/>
    <s v="Patch Set 2: Code-Review+1"/>
    <m/>
    <m/>
    <s v="ukri.niemimuukko@intel.com"/>
    <x v="0"/>
    <x v="1"/>
    <s v=""/>
    <x v="1"/>
    <s v=""/>
    <s v=""/>
    <s v=""/>
    <s v=""/>
    <s v=""/>
    <s v=""/>
    <s v=""/>
    <x v="0"/>
    <x v="0"/>
    <x v="0"/>
  </r>
  <r>
    <x v="31"/>
    <m/>
    <m/>
    <m/>
    <m/>
    <m/>
    <m/>
    <m/>
    <m/>
    <m/>
    <m/>
    <m/>
    <x v="1"/>
    <d v="2016-02-18T20:53:00"/>
    <s v="Patch Set 2: Code-Review+1"/>
    <m/>
    <m/>
    <s v="ukri.niemimuukko@intel.com"/>
    <x v="0"/>
    <x v="1"/>
    <s v=""/>
    <x v="1"/>
    <s v=""/>
    <s v=""/>
    <s v=""/>
    <s v=""/>
    <s v=""/>
    <s v=""/>
    <s v=""/>
    <x v="0"/>
    <x v="0"/>
    <x v="0"/>
  </r>
  <r>
    <x v="31"/>
    <m/>
    <m/>
    <m/>
    <m/>
    <m/>
    <m/>
    <m/>
    <m/>
    <m/>
    <m/>
    <m/>
    <x v="15"/>
    <d v="2016-02-19T19:26:00"/>
    <s v="Patch Set 2: Code-Review+1"/>
    <m/>
    <m/>
    <s v="ukri.niemimuukko@intel.com"/>
    <x v="0"/>
    <x v="4"/>
    <s v=""/>
    <x v="1"/>
    <s v=""/>
    <s v=""/>
    <s v=""/>
    <s v=""/>
    <s v=""/>
    <s v=""/>
    <s v=""/>
    <x v="0"/>
    <x v="0"/>
    <x v="0"/>
  </r>
  <r>
    <x v="31"/>
    <m/>
    <m/>
    <m/>
    <m/>
    <m/>
    <m/>
    <m/>
    <m/>
    <m/>
    <m/>
    <m/>
    <x v="31"/>
    <d v="2016-02-19T19:37:00"/>
    <s v="Patch Set 2: Code-Review+1"/>
    <m/>
    <m/>
    <s v="ukri.niemimuukko@intel.com"/>
    <x v="0"/>
    <x v="3"/>
    <s v=""/>
    <x v="1"/>
    <s v=""/>
    <s v=""/>
    <s v=""/>
    <s v=""/>
    <s v=""/>
    <s v=""/>
    <s v=""/>
    <x v="0"/>
    <x v="0"/>
    <x v="0"/>
  </r>
  <r>
    <x v="31"/>
    <m/>
    <m/>
    <m/>
    <m/>
    <m/>
    <m/>
    <m/>
    <m/>
    <m/>
    <m/>
    <m/>
    <x v="3"/>
    <d v="2016-02-19T23:22:00"/>
    <s v="Patch Set 2: Code-Review+1"/>
    <m/>
    <m/>
    <s v="ukri.niemimuukko@intel.com"/>
    <x v="0"/>
    <x v="2"/>
    <s v=""/>
    <x v="1"/>
    <s v=""/>
    <s v=""/>
    <s v=""/>
    <s v=""/>
    <s v=""/>
    <s v=""/>
    <s v=""/>
    <x v="0"/>
    <x v="0"/>
    <x v="0"/>
  </r>
  <r>
    <x v="31"/>
    <m/>
    <m/>
    <m/>
    <m/>
    <m/>
    <m/>
    <m/>
    <m/>
    <m/>
    <m/>
    <m/>
    <x v="0"/>
    <d v="2016-02-22T14:49:00"/>
    <s v="Patch Set 2: Code-Review+1"/>
    <m/>
    <m/>
    <s v="ukri.niemimuukko@intel.com"/>
    <x v="0"/>
    <x v="1"/>
    <s v=""/>
    <x v="1"/>
    <s v=""/>
    <s v=""/>
    <s v=""/>
    <s v=""/>
    <s v=""/>
    <s v=""/>
    <s v=""/>
    <x v="0"/>
    <x v="0"/>
    <x v="0"/>
  </r>
  <r>
    <x v="31"/>
    <m/>
    <m/>
    <m/>
    <m/>
    <m/>
    <m/>
    <m/>
    <m/>
    <m/>
    <m/>
    <m/>
    <x v="16"/>
    <d v="2016-02-23T10:10:00"/>
    <s v="Patch Set 2: Code-Review+1"/>
    <m/>
    <m/>
    <s v="ukri.niemimuukko@intel.com"/>
    <x v="0"/>
    <x v="4"/>
    <s v=""/>
    <x v="1"/>
    <s v=""/>
    <s v=""/>
    <s v=""/>
    <s v=""/>
    <s v=""/>
    <s v=""/>
    <s v=""/>
    <x v="0"/>
    <x v="0"/>
    <x v="0"/>
  </r>
  <r>
    <x v="31"/>
    <m/>
    <m/>
    <m/>
    <m/>
    <m/>
    <m/>
    <m/>
    <m/>
    <m/>
    <m/>
    <m/>
    <x v="6"/>
    <d v="2016-02-23T13:50:00"/>
    <s v="Uploaded patch set 3: Patch Set 2 was rebased."/>
    <m/>
    <m/>
    <s v="ukri.niemimuukko@intel.com"/>
    <x v="0"/>
    <x v="0"/>
    <s v=""/>
    <x v="1"/>
    <s v=""/>
    <s v=""/>
    <s v=""/>
    <s v=""/>
    <s v=""/>
    <s v=""/>
    <s v=""/>
    <x v="0"/>
    <x v="0"/>
    <x v="0"/>
  </r>
  <r>
    <x v="31"/>
    <m/>
    <m/>
    <m/>
    <m/>
    <m/>
    <m/>
    <m/>
    <m/>
    <m/>
    <m/>
    <m/>
    <x v="6"/>
    <d v="2016-02-23T13:50:00"/>
    <s v="Patch Set 3:\n\nPatchset Created: CI job has been scheduled."/>
    <m/>
    <m/>
    <s v="ukri.niemimuukko@intel.com"/>
    <x v="0"/>
    <x v="0"/>
    <s v=""/>
    <x v="1"/>
    <s v=""/>
    <s v=""/>
    <s v=""/>
    <s v=""/>
    <s v=""/>
    <s v=""/>
    <s v=""/>
    <x v="0"/>
    <x v="0"/>
    <x v="0"/>
  </r>
  <r>
    <x v="31"/>
    <m/>
    <m/>
    <m/>
    <m/>
    <m/>
    <m/>
    <m/>
    <m/>
    <m/>
    <m/>
    <m/>
    <x v="14"/>
    <d v="2016-02-23T15:37:00"/>
    <s v="Patch Set 3: Validation-Android+1\n\nreceive smoke test"/>
    <m/>
    <m/>
    <s v="ukri.niemimuukko@intel.com"/>
    <x v="0"/>
    <x v="5"/>
    <s v=""/>
    <x v="1"/>
    <s v=""/>
    <s v=""/>
    <s v=""/>
    <s v=""/>
    <s v=""/>
    <s v=""/>
    <s v=""/>
    <x v="0"/>
    <x v="1"/>
    <x v="0"/>
  </r>
  <r>
    <x v="31"/>
    <m/>
    <m/>
    <m/>
    <m/>
    <m/>
    <m/>
    <m/>
    <m/>
    <m/>
    <m/>
    <m/>
    <x v="14"/>
    <d v="2016-02-23T16:12:00"/>
    <s v="Patch Set 3:\n\nreceive smoke test"/>
    <m/>
    <m/>
    <s v="ukri.niemimuukko@intel.com"/>
    <x v="0"/>
    <x v="5"/>
    <s v=""/>
    <x v="1"/>
    <s v=""/>
    <s v=""/>
    <s v=""/>
    <s v=""/>
    <s v=""/>
    <s v=""/>
    <s v=""/>
    <x v="0"/>
    <x v="0"/>
    <x v="0"/>
  </r>
  <r>
    <x v="31"/>
    <m/>
    <m/>
    <m/>
    <m/>
    <m/>
    <m/>
    <m/>
    <m/>
    <m/>
    <m/>
    <m/>
    <x v="2"/>
    <d v="2016-02-23T16:14:00"/>
    <s v="Patch Set 3: Approver+1"/>
    <m/>
    <m/>
    <s v="ukri.niemimuukko@intel.com"/>
    <x v="0"/>
    <x v="1"/>
    <s v=""/>
    <x v="1"/>
    <s v=""/>
    <s v=""/>
    <s v=""/>
    <s v=""/>
    <s v=""/>
    <s v=""/>
    <s v=""/>
    <x v="0"/>
    <x v="0"/>
    <x v="0"/>
  </r>
  <r>
    <x v="31"/>
    <m/>
    <m/>
    <m/>
    <m/>
    <m/>
    <m/>
    <m/>
    <m/>
    <m/>
    <m/>
    <m/>
    <x v="2"/>
    <d v="2016-02-23T16:14:00"/>
    <s v="Topic changed from topic_feb23 to bxt_preint"/>
    <m/>
    <m/>
    <s v="ukri.niemimuukko@intel.com"/>
    <x v="0"/>
    <x v="1"/>
    <s v=""/>
    <x v="1"/>
    <s v=""/>
    <s v=""/>
    <s v=""/>
    <s v=""/>
    <s v=""/>
    <s v=""/>
    <s v=""/>
    <x v="0"/>
    <x v="0"/>
    <x v="0"/>
  </r>
  <r>
    <x v="31"/>
    <m/>
    <m/>
    <m/>
    <m/>
    <m/>
    <m/>
    <m/>
    <m/>
    <m/>
    <m/>
    <m/>
    <x v="5"/>
    <d v="2016-02-23T21:22:00"/>
    <s v="Patch Set 3: Code-Review+1"/>
    <m/>
    <m/>
    <s v="ukri.niemimuukko@intel.com"/>
    <x v="0"/>
    <x v="1"/>
    <s v=""/>
    <x v="1"/>
    <s v=""/>
    <s v=""/>
    <s v=""/>
    <s v=""/>
    <s v=""/>
    <s v=""/>
    <s v=""/>
    <x v="0"/>
    <x v="0"/>
    <x v="0"/>
  </r>
  <r>
    <x v="31"/>
    <m/>
    <m/>
    <m/>
    <m/>
    <m/>
    <m/>
    <m/>
    <m/>
    <m/>
    <m/>
    <m/>
    <x v="9"/>
    <d v="2016-02-24T14:16:00"/>
    <s v="Patch Set 3: Integrator+1\n\nIntegrator +1; patch will be add to PT; please no change now"/>
    <m/>
    <m/>
    <s v="ukri.niemimuukko@intel.com"/>
    <x v="0"/>
    <x v="5"/>
    <s v=""/>
    <x v="1"/>
    <s v=""/>
    <s v=""/>
    <s v=""/>
    <s v=""/>
    <s v=""/>
    <s v=""/>
    <s v=""/>
    <x v="0"/>
    <x v="1"/>
    <x v="0"/>
  </r>
  <r>
    <x v="31"/>
    <m/>
    <m/>
    <m/>
    <m/>
    <m/>
    <m/>
    <m/>
    <m/>
    <m/>
    <m/>
    <m/>
    <x v="9"/>
    <d v="2016-02-24T18:18:00"/>
    <s v="Patch Set 3:\n\nPassed Klocwork code analyzing test. No CRITICAL issue in this patch. Auto reported by kwscan@andr-val-srv0.bj.intel.com"/>
    <m/>
    <m/>
    <s v="ukri.niemimuukko@intel.com"/>
    <x v="0"/>
    <x v="5"/>
    <s v=""/>
    <x v="1"/>
    <s v=""/>
    <s v=""/>
    <s v=""/>
    <s v=""/>
    <s v=""/>
    <s v=""/>
    <s v=""/>
    <x v="0"/>
    <x v="0"/>
    <x v="0"/>
  </r>
  <r>
    <x v="31"/>
    <m/>
    <m/>
    <m/>
    <m/>
    <m/>
    <m/>
    <m/>
    <m/>
    <m/>
    <m/>
    <m/>
    <x v="9"/>
    <d v="2016-02-24T21:23:00"/>
    <s v="Patch Set 3:\n\nPassed Klocwork code analyzing test. No CRITICAL issue in this patch. Auto reported by kwscan@andr-val-srv0.bj.intel.com"/>
    <m/>
    <m/>
    <s v="ukri.niemimuukko@intel.com"/>
    <x v="0"/>
    <x v="5"/>
    <s v=""/>
    <x v="1"/>
    <s v=""/>
    <s v=""/>
    <s v=""/>
    <s v=""/>
    <s v=""/>
    <s v=""/>
    <s v=""/>
    <x v="0"/>
    <x v="0"/>
    <x v="0"/>
  </r>
  <r>
    <x v="31"/>
    <m/>
    <m/>
    <m/>
    <m/>
    <m/>
    <m/>
    <m/>
    <m/>
    <m/>
    <m/>
    <m/>
    <x v="9"/>
    <d v="2016-02-24T22:28:00"/>
    <s v="Patch Set 3:\n\nPassed Klocwork code analyzing test. No CRITICAL issue in this patch. Auto reported by kwscan@psi-build5.bj.intel.com"/>
    <m/>
    <m/>
    <s v="ukri.niemimuukko@intel.com"/>
    <x v="0"/>
    <x v="5"/>
    <s v=""/>
    <x v="1"/>
    <s v=""/>
    <s v=""/>
    <s v=""/>
    <s v=""/>
    <s v=""/>
    <s v=""/>
    <s v=""/>
    <x v="0"/>
    <x v="0"/>
    <x v="0"/>
  </r>
  <r>
    <x v="31"/>
    <m/>
    <m/>
    <m/>
    <m/>
    <m/>
    <m/>
    <m/>
    <m/>
    <m/>
    <m/>
    <m/>
    <x v="9"/>
    <d v="2016-02-25T12:45:00"/>
    <s v="Patch Set 3:\n\nPassed Klocwork code analyzing test. No CRITICAL issue in this patch. Auto reported by kwscan@kw-srv2.bj.intel.com"/>
    <m/>
    <m/>
    <s v="ukri.niemimuukko@intel.com"/>
    <x v="0"/>
    <x v="5"/>
    <s v=""/>
    <x v="1"/>
    <s v=""/>
    <s v=""/>
    <s v=""/>
    <s v=""/>
    <s v=""/>
    <s v=""/>
    <s v=""/>
    <x v="0"/>
    <x v="0"/>
    <x v="0"/>
  </r>
  <r>
    <x v="31"/>
    <m/>
    <m/>
    <m/>
    <m/>
    <m/>
    <m/>
    <m/>
    <m/>
    <m/>
    <m/>
    <m/>
    <x v="9"/>
    <d v="2016-02-25T16:50:00"/>
    <s v="Patch Set 3: Code-Review+1\n\nPassed PIT; ready for merge"/>
    <m/>
    <m/>
    <s v="ukri.niemimuukko@intel.com"/>
    <x v="0"/>
    <x v="5"/>
    <s v=""/>
    <x v="1"/>
    <s v=""/>
    <s v=""/>
    <s v=""/>
    <s v=""/>
    <s v=""/>
    <s v=""/>
    <s v=""/>
    <x v="0"/>
    <x v="0"/>
    <x v="0"/>
  </r>
  <r>
    <x v="32"/>
    <n v="102408"/>
    <s v="vied-viedandr-camera3hal"/>
    <s v="platform/android/main"/>
    <s v="I1592827f0f5a61ecefa92082575de0663230797e"/>
    <s v="ukri.niemimuukko@intel.com"/>
    <s v="MERGED"/>
    <s v="c3: set debug level at hal init time"/>
    <s v="c3: set debug level at hal init time\n\nThe debug level setting was accidentally removed.\n\nChange-Id: I1592827f0f5a61ecefa92082575de0663230797e\nTracked-On: #R512635\nSigned-off-by: Ukri Niemimuukko &lt;ukri.niemimuukko@intel.com&gt;\nReviewed-on: https://icggerrit.ir.intel.com/102408\nReviewed-by: Jukka O Kaartinen &lt;jukka.o.kaartinen@intel.com&gt;\nReviewed-by: Arnaud Mandy &lt;arnaud.mandy@intel.com&gt;\nReviewed-by: Hongjiang A Zheng &lt;hongjiang.a.zheng@intel.com&gt;\nReviewed-by: Renwei Wu &lt;renwei.wu@intel.com&gt;\nReviewed-by: Miguel Verdu &lt;miguel.verdu@intel.com&gt;\nReviewed-by: Jingzhi Yu &lt;jingzhi.yu@intel.com&gt;\nBuild: Dessert M BXT RVP (SC)\nValidation-Android: Wei Tao &lt;wei.tao@intel.com&gt;\nApprover: Jukka O Kaartinen &lt;jukka.o.kaartinen@intel.com&gt;\nBuild: Dessert M CHT FFD (SC)\nReviewed-by: Juha Alanen &lt;juha.alanen@intel.com&gt;\nIntegrator: WeiX Meng &lt;weix.meng@intel.com&gt;\nReviewed-by: WeiX Meng &lt;weix.meng@intel.com&gt;\n"/>
    <d v="2016-02-18T19:26:00"/>
    <d v="2016-02-25T17:06:00"/>
    <s v="common"/>
    <x v="6"/>
    <d v="2016-02-18T19:26:00"/>
    <s v="Uploaded patch set 1."/>
    <m/>
    <s v="weix.meng@intel.com;juha.alanen@intel.com;wei.tao@intel.com;jingzhi.yu@intel.com;miguel.verdu@intel.com;renwei.wu@intel.com;hongjiang.a.zheng@intel.com;arnaud.mandy@intel.com;jukka.o.kaartinen@intel.com;"/>
    <s v="ukri.niemimuukko@intel.com"/>
    <x v="0"/>
    <x v="0"/>
    <s v="16'ww9"/>
    <x v="1"/>
    <n v="0"/>
    <n v="0"/>
    <n v="0"/>
    <n v="0"/>
    <n v="2"/>
    <n v="6"/>
    <n v="1"/>
    <x v="0"/>
    <x v="0"/>
    <x v="0"/>
  </r>
  <r>
    <x v="32"/>
    <m/>
    <m/>
    <m/>
    <m/>
    <m/>
    <m/>
    <m/>
    <m/>
    <m/>
    <m/>
    <m/>
    <x v="6"/>
    <d v="2016-02-18T19:26:00"/>
    <s v="Patch Set 1:\n\nPatchset Created: CI job has been scheduled."/>
    <m/>
    <m/>
    <s v="ukri.niemimuukko@intel.com"/>
    <x v="0"/>
    <x v="0"/>
    <s v=""/>
    <x v="1"/>
    <s v=""/>
    <s v=""/>
    <s v=""/>
    <s v=""/>
    <s v=""/>
    <s v=""/>
    <s v=""/>
    <x v="0"/>
    <x v="0"/>
    <x v="0"/>
  </r>
  <r>
    <x v="32"/>
    <m/>
    <m/>
    <m/>
    <m/>
    <m/>
    <m/>
    <m/>
    <m/>
    <m/>
    <m/>
    <m/>
    <x v="6"/>
    <d v="2016-02-18T19:29:00"/>
    <s v="Patch Set 1: Code-Review+1"/>
    <m/>
    <m/>
    <s v="ukri.niemimuukko@intel.com"/>
    <x v="0"/>
    <x v="0"/>
    <s v=""/>
    <x v="1"/>
    <s v=""/>
    <s v=""/>
    <s v=""/>
    <s v=""/>
    <s v=""/>
    <s v=""/>
    <s v=""/>
    <x v="0"/>
    <x v="0"/>
    <x v="0"/>
  </r>
  <r>
    <x v="32"/>
    <m/>
    <m/>
    <m/>
    <m/>
    <m/>
    <m/>
    <m/>
    <m/>
    <m/>
    <m/>
    <m/>
    <x v="2"/>
    <d v="2016-02-18T20:15:00"/>
    <s v="Patch Set 1: Code-Review+1"/>
    <m/>
    <m/>
    <s v="ukri.niemimuukko@intel.com"/>
    <x v="0"/>
    <x v="1"/>
    <s v=""/>
    <x v="1"/>
    <s v=""/>
    <s v=""/>
    <s v=""/>
    <s v=""/>
    <s v=""/>
    <s v=""/>
    <s v=""/>
    <x v="0"/>
    <x v="0"/>
    <x v="0"/>
  </r>
  <r>
    <x v="32"/>
    <m/>
    <m/>
    <m/>
    <m/>
    <m/>
    <m/>
    <m/>
    <m/>
    <m/>
    <m/>
    <m/>
    <x v="1"/>
    <d v="2016-02-18T20:51:00"/>
    <s v="Patch Set 1: Code-Review+1"/>
    <m/>
    <m/>
    <s v="ukri.niemimuukko@intel.com"/>
    <x v="0"/>
    <x v="1"/>
    <s v=""/>
    <x v="1"/>
    <s v=""/>
    <s v=""/>
    <s v=""/>
    <s v=""/>
    <s v=""/>
    <s v=""/>
    <s v=""/>
    <x v="0"/>
    <x v="0"/>
    <x v="0"/>
  </r>
  <r>
    <x v="32"/>
    <m/>
    <m/>
    <m/>
    <m/>
    <m/>
    <m/>
    <m/>
    <m/>
    <m/>
    <m/>
    <m/>
    <x v="15"/>
    <d v="2016-02-19T19:23:00"/>
    <s v="Patch Set 1: Code-Review+1"/>
    <m/>
    <m/>
    <s v="ukri.niemimuukko@intel.com"/>
    <x v="0"/>
    <x v="4"/>
    <s v=""/>
    <x v="1"/>
    <s v=""/>
    <s v=""/>
    <s v=""/>
    <s v=""/>
    <s v=""/>
    <s v=""/>
    <s v=""/>
    <x v="0"/>
    <x v="0"/>
    <x v="0"/>
  </r>
  <r>
    <x v="32"/>
    <m/>
    <m/>
    <m/>
    <m/>
    <m/>
    <m/>
    <m/>
    <m/>
    <m/>
    <m/>
    <m/>
    <x v="3"/>
    <d v="2016-02-19T23:14:00"/>
    <s v="Patch Set 1: Code-Review+1"/>
    <m/>
    <m/>
    <s v="ukri.niemimuukko@intel.com"/>
    <x v="0"/>
    <x v="2"/>
    <s v=""/>
    <x v="1"/>
    <s v=""/>
    <s v=""/>
    <s v=""/>
    <s v=""/>
    <s v=""/>
    <s v=""/>
    <s v=""/>
    <x v="0"/>
    <x v="0"/>
    <x v="0"/>
  </r>
  <r>
    <x v="32"/>
    <m/>
    <m/>
    <m/>
    <m/>
    <m/>
    <m/>
    <m/>
    <m/>
    <m/>
    <m/>
    <m/>
    <x v="0"/>
    <d v="2016-02-22T14:47:00"/>
    <s v="Patch Set 1: Code-Review+1"/>
    <m/>
    <m/>
    <s v="ukri.niemimuukko@intel.com"/>
    <x v="0"/>
    <x v="1"/>
    <s v=""/>
    <x v="1"/>
    <s v=""/>
    <s v=""/>
    <s v=""/>
    <s v=""/>
    <s v=""/>
    <s v=""/>
    <s v=""/>
    <x v="0"/>
    <x v="0"/>
    <x v="0"/>
  </r>
  <r>
    <x v="32"/>
    <m/>
    <m/>
    <m/>
    <m/>
    <m/>
    <m/>
    <m/>
    <m/>
    <m/>
    <m/>
    <m/>
    <x v="16"/>
    <d v="2016-02-23T10:02:00"/>
    <s v="Patch Set 1: Code-Review+1"/>
    <m/>
    <m/>
    <s v="ukri.niemimuukko@intel.com"/>
    <x v="0"/>
    <x v="4"/>
    <s v=""/>
    <x v="1"/>
    <s v=""/>
    <s v=""/>
    <s v=""/>
    <s v=""/>
    <s v=""/>
    <s v=""/>
    <s v=""/>
    <x v="0"/>
    <x v="0"/>
    <x v="0"/>
  </r>
  <r>
    <x v="32"/>
    <m/>
    <m/>
    <m/>
    <m/>
    <m/>
    <m/>
    <m/>
    <m/>
    <m/>
    <m/>
    <m/>
    <x v="6"/>
    <d v="2016-02-23T13:50:00"/>
    <s v="Uploaded patch set 2: Patch Set 1 was rebased."/>
    <m/>
    <m/>
    <s v="ukri.niemimuukko@intel.com"/>
    <x v="0"/>
    <x v="0"/>
    <s v=""/>
    <x v="1"/>
    <s v=""/>
    <s v=""/>
    <s v=""/>
    <s v=""/>
    <s v=""/>
    <s v=""/>
    <s v=""/>
    <x v="0"/>
    <x v="0"/>
    <x v="0"/>
  </r>
  <r>
    <x v="32"/>
    <m/>
    <m/>
    <m/>
    <m/>
    <m/>
    <m/>
    <m/>
    <m/>
    <m/>
    <m/>
    <m/>
    <x v="6"/>
    <d v="2016-02-23T13:50:00"/>
    <s v="Patch Set 2:\n\nPatchset Created: CI job has been scheduled."/>
    <m/>
    <m/>
    <s v="ukri.niemimuukko@intel.com"/>
    <x v="0"/>
    <x v="0"/>
    <s v=""/>
    <x v="1"/>
    <s v=""/>
    <s v=""/>
    <s v=""/>
    <s v=""/>
    <s v=""/>
    <s v=""/>
    <s v=""/>
    <x v="0"/>
    <x v="0"/>
    <x v="0"/>
  </r>
  <r>
    <x v="32"/>
    <m/>
    <m/>
    <m/>
    <m/>
    <m/>
    <m/>
    <m/>
    <m/>
    <m/>
    <m/>
    <m/>
    <x v="14"/>
    <d v="2016-02-23T15:37:00"/>
    <s v="Patch Set 2: Validation-Android+1\n\nreceive smoke test"/>
    <m/>
    <m/>
    <s v="ukri.niemimuukko@intel.com"/>
    <x v="0"/>
    <x v="5"/>
    <s v=""/>
    <x v="1"/>
    <s v=""/>
    <s v=""/>
    <s v=""/>
    <s v=""/>
    <s v=""/>
    <s v=""/>
    <s v=""/>
    <x v="0"/>
    <x v="1"/>
    <x v="0"/>
  </r>
  <r>
    <x v="32"/>
    <m/>
    <m/>
    <m/>
    <m/>
    <m/>
    <m/>
    <m/>
    <m/>
    <m/>
    <m/>
    <m/>
    <x v="14"/>
    <d v="2016-02-23T16:12:00"/>
    <s v="Patch Set 2:\n\nreceive smoke test"/>
    <m/>
    <m/>
    <s v="ukri.niemimuukko@intel.com"/>
    <x v="0"/>
    <x v="5"/>
    <s v=""/>
    <x v="1"/>
    <s v=""/>
    <s v=""/>
    <s v=""/>
    <s v=""/>
    <s v=""/>
    <s v=""/>
    <s v=""/>
    <x v="0"/>
    <x v="0"/>
    <x v="0"/>
  </r>
  <r>
    <x v="32"/>
    <m/>
    <m/>
    <m/>
    <m/>
    <m/>
    <m/>
    <m/>
    <m/>
    <m/>
    <m/>
    <m/>
    <x v="2"/>
    <d v="2016-02-23T16:14:00"/>
    <s v="Patch Set 2: Approver+1"/>
    <m/>
    <m/>
    <s v="ukri.niemimuukko@intel.com"/>
    <x v="0"/>
    <x v="1"/>
    <s v=""/>
    <x v="1"/>
    <s v=""/>
    <s v=""/>
    <s v=""/>
    <s v=""/>
    <s v=""/>
    <s v=""/>
    <s v=""/>
    <x v="0"/>
    <x v="0"/>
    <x v="0"/>
  </r>
  <r>
    <x v="32"/>
    <m/>
    <m/>
    <m/>
    <m/>
    <m/>
    <m/>
    <m/>
    <m/>
    <m/>
    <m/>
    <m/>
    <x v="2"/>
    <d v="2016-02-23T16:14:00"/>
    <s v="Topic changed from topic_feb23 to bxt_preint"/>
    <m/>
    <m/>
    <s v="ukri.niemimuukko@intel.com"/>
    <x v="0"/>
    <x v="1"/>
    <s v=""/>
    <x v="1"/>
    <s v=""/>
    <s v=""/>
    <s v=""/>
    <s v=""/>
    <s v=""/>
    <s v=""/>
    <s v=""/>
    <x v="0"/>
    <x v="0"/>
    <x v="0"/>
  </r>
  <r>
    <x v="32"/>
    <m/>
    <m/>
    <m/>
    <m/>
    <m/>
    <m/>
    <m/>
    <m/>
    <m/>
    <m/>
    <m/>
    <x v="5"/>
    <d v="2016-02-23T21:18:00"/>
    <s v="Patch Set 2: Code-Review+1"/>
    <m/>
    <m/>
    <s v="ukri.niemimuukko@intel.com"/>
    <x v="0"/>
    <x v="1"/>
    <s v=""/>
    <x v="1"/>
    <s v=""/>
    <s v=""/>
    <s v=""/>
    <s v=""/>
    <s v=""/>
    <s v=""/>
    <s v=""/>
    <x v="0"/>
    <x v="0"/>
    <x v="0"/>
  </r>
  <r>
    <x v="32"/>
    <m/>
    <m/>
    <m/>
    <m/>
    <m/>
    <m/>
    <m/>
    <m/>
    <m/>
    <m/>
    <m/>
    <x v="9"/>
    <d v="2016-02-24T14:16:00"/>
    <s v="Patch Set 2: Integrator+1\n\nIntegrator +1; patch will be add to PT; please no change now"/>
    <m/>
    <m/>
    <s v="ukri.niemimuukko@intel.com"/>
    <x v="0"/>
    <x v="5"/>
    <s v=""/>
    <x v="1"/>
    <s v=""/>
    <s v=""/>
    <s v=""/>
    <s v=""/>
    <s v=""/>
    <s v=""/>
    <s v=""/>
    <x v="0"/>
    <x v="1"/>
    <x v="0"/>
  </r>
  <r>
    <x v="32"/>
    <m/>
    <m/>
    <m/>
    <m/>
    <m/>
    <m/>
    <m/>
    <m/>
    <m/>
    <m/>
    <m/>
    <x v="9"/>
    <d v="2016-02-24T18:18:00"/>
    <s v="Patch Set 2:\n\nPassed Klocwork code analyzing test. No CRITICAL issue in this patch. Auto reported by kwscan@andr-val-srv0.bj.intel.com"/>
    <m/>
    <m/>
    <s v="ukri.niemimuukko@intel.com"/>
    <x v="0"/>
    <x v="5"/>
    <s v=""/>
    <x v="1"/>
    <s v=""/>
    <s v=""/>
    <s v=""/>
    <s v=""/>
    <s v=""/>
    <s v=""/>
    <s v=""/>
    <x v="0"/>
    <x v="0"/>
    <x v="0"/>
  </r>
  <r>
    <x v="32"/>
    <m/>
    <m/>
    <m/>
    <m/>
    <m/>
    <m/>
    <m/>
    <m/>
    <m/>
    <m/>
    <m/>
    <x v="9"/>
    <d v="2016-02-24T21:22:00"/>
    <s v="Patch Set 2:\n\nPassed Klocwork code analyzing test. No CRITICAL issue in this patch. Auto reported by kwscan@andr-val-srv0.bj.intel.com"/>
    <m/>
    <m/>
    <s v="ukri.niemimuukko@intel.com"/>
    <x v="0"/>
    <x v="5"/>
    <s v=""/>
    <x v="1"/>
    <s v=""/>
    <s v=""/>
    <s v=""/>
    <s v=""/>
    <s v=""/>
    <s v=""/>
    <s v=""/>
    <x v="0"/>
    <x v="0"/>
    <x v="0"/>
  </r>
  <r>
    <x v="32"/>
    <m/>
    <m/>
    <m/>
    <m/>
    <m/>
    <m/>
    <m/>
    <m/>
    <m/>
    <m/>
    <m/>
    <x v="9"/>
    <d v="2016-02-24T22:28:00"/>
    <s v="Patch Set 2:\n\nPassed Klocwork code analyzing test. No CRITICAL issue in this patch. Auto reported by kwscan@psi-build5.bj.intel.com"/>
    <m/>
    <m/>
    <s v="ukri.niemimuukko@intel.com"/>
    <x v="0"/>
    <x v="5"/>
    <s v=""/>
    <x v="1"/>
    <s v=""/>
    <s v=""/>
    <s v=""/>
    <s v=""/>
    <s v=""/>
    <s v=""/>
    <s v=""/>
    <x v="0"/>
    <x v="0"/>
    <x v="0"/>
  </r>
  <r>
    <x v="32"/>
    <m/>
    <m/>
    <m/>
    <m/>
    <m/>
    <m/>
    <m/>
    <m/>
    <m/>
    <m/>
    <m/>
    <x v="9"/>
    <d v="2016-02-25T12:44:00"/>
    <s v="Patch Set 2:\n\nPassed Klocwork code analyzing test. No CRITICAL issue in this patch. Auto reported by kwscan@kw-srv2.bj.intel.com"/>
    <m/>
    <m/>
    <s v="ukri.niemimuukko@intel.com"/>
    <x v="0"/>
    <x v="5"/>
    <s v=""/>
    <x v="1"/>
    <s v=""/>
    <s v=""/>
    <s v=""/>
    <s v=""/>
    <s v=""/>
    <s v=""/>
    <s v=""/>
    <x v="0"/>
    <x v="0"/>
    <x v="0"/>
  </r>
  <r>
    <x v="32"/>
    <m/>
    <m/>
    <m/>
    <m/>
    <m/>
    <m/>
    <m/>
    <m/>
    <m/>
    <m/>
    <m/>
    <x v="9"/>
    <d v="2016-02-25T16:50:00"/>
    <s v="Patch Set 2: Code-Review+1\n\nPassed PIT; ready for merge"/>
    <m/>
    <m/>
    <s v="ukri.niemimuukko@intel.com"/>
    <x v="0"/>
    <x v="5"/>
    <s v=""/>
    <x v="1"/>
    <s v=""/>
    <s v=""/>
    <s v=""/>
    <s v=""/>
    <s v=""/>
    <s v=""/>
    <s v=""/>
    <x v="0"/>
    <x v="0"/>
    <x v="0"/>
  </r>
  <r>
    <x v="33"/>
    <n v="102407"/>
    <s v="vied-viedandr-camera3hal"/>
    <s v="platform/android/main"/>
    <s v="Ie6a46969caad7410a0cd20800a43ec7c95c9da89"/>
    <s v="ukri.niemimuukko@intel.com"/>
    <s v="MERGED"/>
    <s v="c3:aal: move request processing order decisions to PSL layer"/>
    <s v="c3:aal: move request processing order decisions to PSL layer\n\nThe CameraStream should not force the processing order of\nrequests in FIFO fashion; since the camera3 spec allows for\nreprocessing requests to be completed before normal capture\noutput requests.\n\nThis patch introduced a linear search for the request; which\nusually hits for the very first round of the for-loop; except\nwhen reprocessing is happening and those requests complete\nearly.\n\nChange-Id: Ie6a46969caad7410a0cd20800a43ec7c95c9da89\nTracked-On: #R512635\nSigned-off-by: Ukri Niemimuukko &lt;ukri.niemimuukko@intel.com&gt;\nReviewed-on: https://icggerrit.ir.intel.com/102407\nReviewed-by: Jukka O Kaartinen &lt;jukka.o.kaartinen@intel.com&gt;\nReviewed-by: Arnaud Mandy &lt;arnaud.mandy@intel.com&gt;\nReviewed-by: Hongjiang A Zheng &lt;hongjiang.a.zheng@intel.com&gt;\nReviewed-by: Renwei Wu &lt;renwei.wu@intel.com&gt;\nReviewed-by: Miguel Verdu &lt;miguel.verdu@intel.com&gt;\nBuild: Dessert M BXT RVP (SC)\nValidation-Android: Wei Tao &lt;wei.tao@intel.com&gt;\nApprover: Jukka O Kaartinen &lt;jukka.o.kaartinen@intel.com&gt;\nBuild: Dessert M CHT FFD (SC)\nReviewed-by: Juha Alanen &lt;juha.alanen@intel.com&gt;\nIntegrator: WeiX Meng &lt;weix.meng@intel.com&gt;\nReviewed-by: WeiX Meng &lt;weix.meng@intel.com&gt;\n"/>
    <d v="2016-02-18T19:26:00"/>
    <d v="2016-02-25T17:05:00"/>
    <s v="common"/>
    <x v="6"/>
    <d v="2016-02-18T19:26:00"/>
    <s v="Uploaded patch set 1."/>
    <m/>
    <s v="weix.meng@intel.com;juha.alanen@intel.com;wei.tao@intel.com;miguel.verdu@intel.com;renwei.wu@intel.com;hongjiang.a.zheng@intel.com;arnaud.mandy@intel.com;jukka.o.kaartinen@intel.com;"/>
    <s v="ukri.niemimuukko@intel.com"/>
    <x v="0"/>
    <x v="0"/>
    <s v="16'ww9"/>
    <x v="1"/>
    <n v="0"/>
    <n v="0"/>
    <n v="0"/>
    <n v="0"/>
    <n v="1"/>
    <n v="6"/>
    <n v="1"/>
    <x v="0"/>
    <x v="0"/>
    <x v="0"/>
  </r>
  <r>
    <x v="33"/>
    <m/>
    <m/>
    <m/>
    <m/>
    <m/>
    <m/>
    <m/>
    <m/>
    <m/>
    <m/>
    <m/>
    <x v="6"/>
    <d v="2016-02-18T19:26:00"/>
    <s v="Patch Set 1:\n\nPatchset Created: CI job has been scheduled."/>
    <m/>
    <m/>
    <s v="ukri.niemimuukko@intel.com"/>
    <x v="0"/>
    <x v="0"/>
    <s v=""/>
    <x v="1"/>
    <s v=""/>
    <s v=""/>
    <s v=""/>
    <s v=""/>
    <s v=""/>
    <s v=""/>
    <s v=""/>
    <x v="0"/>
    <x v="0"/>
    <x v="0"/>
  </r>
  <r>
    <x v="33"/>
    <m/>
    <m/>
    <m/>
    <m/>
    <m/>
    <m/>
    <m/>
    <m/>
    <m/>
    <m/>
    <m/>
    <x v="6"/>
    <d v="2016-02-18T19:29:00"/>
    <s v="Patch Set 1: Code-Review+1"/>
    <m/>
    <m/>
    <s v="ukri.niemimuukko@intel.com"/>
    <x v="0"/>
    <x v="0"/>
    <s v=""/>
    <x v="1"/>
    <s v=""/>
    <s v=""/>
    <s v=""/>
    <s v=""/>
    <s v=""/>
    <s v=""/>
    <s v=""/>
    <x v="0"/>
    <x v="0"/>
    <x v="0"/>
  </r>
  <r>
    <x v="33"/>
    <m/>
    <m/>
    <m/>
    <m/>
    <m/>
    <m/>
    <m/>
    <m/>
    <m/>
    <m/>
    <m/>
    <x v="2"/>
    <d v="2016-02-18T20:14:00"/>
    <s v="Patch Set 1: Code-Review+1"/>
    <m/>
    <m/>
    <s v="ukri.niemimuukko@intel.com"/>
    <x v="0"/>
    <x v="1"/>
    <s v=""/>
    <x v="1"/>
    <s v=""/>
    <s v=""/>
    <s v=""/>
    <s v=""/>
    <s v=""/>
    <s v=""/>
    <s v=""/>
    <x v="0"/>
    <x v="0"/>
    <x v="0"/>
  </r>
  <r>
    <x v="33"/>
    <m/>
    <m/>
    <m/>
    <m/>
    <m/>
    <m/>
    <m/>
    <m/>
    <m/>
    <m/>
    <m/>
    <x v="1"/>
    <d v="2016-02-18T20:51:00"/>
    <s v="Patch Set 1: Code-Review+1"/>
    <m/>
    <m/>
    <s v="ukri.niemimuukko@intel.com"/>
    <x v="0"/>
    <x v="1"/>
    <s v=""/>
    <x v="1"/>
    <s v=""/>
    <s v=""/>
    <s v=""/>
    <s v=""/>
    <s v=""/>
    <s v=""/>
    <s v=""/>
    <x v="0"/>
    <x v="0"/>
    <x v="0"/>
  </r>
  <r>
    <x v="33"/>
    <m/>
    <m/>
    <m/>
    <m/>
    <m/>
    <m/>
    <m/>
    <m/>
    <m/>
    <m/>
    <m/>
    <x v="15"/>
    <d v="2016-02-19T19:22:00"/>
    <s v="Patch Set 1: Code-Review+1"/>
    <m/>
    <m/>
    <s v="ukri.niemimuukko@intel.com"/>
    <x v="0"/>
    <x v="4"/>
    <s v=""/>
    <x v="1"/>
    <s v=""/>
    <s v=""/>
    <s v=""/>
    <s v=""/>
    <s v=""/>
    <s v=""/>
    <s v=""/>
    <x v="0"/>
    <x v="0"/>
    <x v="0"/>
  </r>
  <r>
    <x v="33"/>
    <m/>
    <m/>
    <m/>
    <m/>
    <m/>
    <m/>
    <m/>
    <m/>
    <m/>
    <m/>
    <m/>
    <x v="3"/>
    <d v="2016-02-19T22:59:00"/>
    <s v="Patch Set 1: Code-Review+1"/>
    <m/>
    <m/>
    <s v="ukri.niemimuukko@intel.com"/>
    <x v="0"/>
    <x v="2"/>
    <s v=""/>
    <x v="1"/>
    <s v=""/>
    <s v=""/>
    <s v=""/>
    <s v=""/>
    <s v=""/>
    <s v=""/>
    <s v=""/>
    <x v="0"/>
    <x v="0"/>
    <x v="0"/>
  </r>
  <r>
    <x v="33"/>
    <m/>
    <m/>
    <m/>
    <m/>
    <m/>
    <m/>
    <m/>
    <m/>
    <m/>
    <m/>
    <m/>
    <x v="0"/>
    <d v="2016-02-22T14:44:00"/>
    <s v="Patch Set 1: Code-Review+1"/>
    <m/>
    <m/>
    <s v="ukri.niemimuukko@intel.com"/>
    <x v="0"/>
    <x v="1"/>
    <s v=""/>
    <x v="1"/>
    <s v=""/>
    <s v=""/>
    <s v=""/>
    <s v=""/>
    <s v=""/>
    <s v=""/>
    <s v=""/>
    <x v="0"/>
    <x v="0"/>
    <x v="0"/>
  </r>
  <r>
    <x v="33"/>
    <m/>
    <m/>
    <m/>
    <m/>
    <m/>
    <m/>
    <m/>
    <m/>
    <m/>
    <m/>
    <m/>
    <x v="6"/>
    <d v="2016-02-23T13:50:00"/>
    <s v="Uploaded patch set 2: Patch Set 1 was rebased."/>
    <m/>
    <m/>
    <s v="ukri.niemimuukko@intel.com"/>
    <x v="0"/>
    <x v="0"/>
    <s v=""/>
    <x v="1"/>
    <s v=""/>
    <s v=""/>
    <s v=""/>
    <s v=""/>
    <s v=""/>
    <s v=""/>
    <s v=""/>
    <x v="0"/>
    <x v="0"/>
    <x v="0"/>
  </r>
  <r>
    <x v="33"/>
    <m/>
    <m/>
    <m/>
    <m/>
    <m/>
    <m/>
    <m/>
    <m/>
    <m/>
    <m/>
    <m/>
    <x v="6"/>
    <d v="2016-02-23T13:50:00"/>
    <s v="Patch Set 2:\n\nPatchset Created: CI job has been scheduled."/>
    <m/>
    <m/>
    <s v="ukri.niemimuukko@intel.com"/>
    <x v="0"/>
    <x v="0"/>
    <s v=""/>
    <x v="1"/>
    <s v=""/>
    <s v=""/>
    <s v=""/>
    <s v=""/>
    <s v=""/>
    <s v=""/>
    <s v=""/>
    <x v="0"/>
    <x v="0"/>
    <x v="0"/>
  </r>
  <r>
    <x v="33"/>
    <m/>
    <m/>
    <m/>
    <m/>
    <m/>
    <m/>
    <m/>
    <m/>
    <m/>
    <m/>
    <m/>
    <x v="14"/>
    <d v="2016-02-23T15:38:00"/>
    <s v="Patch Set 2: Validation-Android+1\n\nreceive smoke test"/>
    <m/>
    <m/>
    <s v="ukri.niemimuukko@intel.com"/>
    <x v="0"/>
    <x v="5"/>
    <s v=""/>
    <x v="1"/>
    <s v=""/>
    <s v=""/>
    <s v=""/>
    <s v=""/>
    <s v=""/>
    <s v=""/>
    <s v=""/>
    <x v="0"/>
    <x v="1"/>
    <x v="0"/>
  </r>
  <r>
    <x v="33"/>
    <m/>
    <m/>
    <m/>
    <m/>
    <m/>
    <m/>
    <m/>
    <m/>
    <m/>
    <m/>
    <m/>
    <x v="14"/>
    <d v="2016-02-23T16:13:00"/>
    <s v="Patch Set 2:\n\nreceive smoke test"/>
    <m/>
    <m/>
    <s v="ukri.niemimuukko@intel.com"/>
    <x v="0"/>
    <x v="5"/>
    <s v=""/>
    <x v="1"/>
    <s v=""/>
    <s v=""/>
    <s v=""/>
    <s v=""/>
    <s v=""/>
    <s v=""/>
    <s v=""/>
    <x v="0"/>
    <x v="0"/>
    <x v="0"/>
  </r>
  <r>
    <x v="33"/>
    <m/>
    <m/>
    <m/>
    <m/>
    <m/>
    <m/>
    <m/>
    <m/>
    <m/>
    <m/>
    <m/>
    <x v="2"/>
    <d v="2016-02-23T16:14:00"/>
    <s v="Patch Set 2: Approver+1"/>
    <m/>
    <m/>
    <s v="ukri.niemimuukko@intel.com"/>
    <x v="0"/>
    <x v="1"/>
    <s v=""/>
    <x v="1"/>
    <s v=""/>
    <s v=""/>
    <s v=""/>
    <s v=""/>
    <s v=""/>
    <s v=""/>
    <s v=""/>
    <x v="0"/>
    <x v="0"/>
    <x v="0"/>
  </r>
  <r>
    <x v="33"/>
    <m/>
    <m/>
    <m/>
    <m/>
    <m/>
    <m/>
    <m/>
    <m/>
    <m/>
    <m/>
    <m/>
    <x v="2"/>
    <d v="2016-02-23T16:14:00"/>
    <s v="Topic changed from topic_feb23 to bxt_preint"/>
    <m/>
    <m/>
    <s v="ukri.niemimuukko@intel.com"/>
    <x v="0"/>
    <x v="1"/>
    <s v=""/>
    <x v="1"/>
    <s v=""/>
    <s v=""/>
    <s v=""/>
    <s v=""/>
    <s v=""/>
    <s v=""/>
    <s v=""/>
    <x v="0"/>
    <x v="0"/>
    <x v="0"/>
  </r>
  <r>
    <x v="33"/>
    <m/>
    <m/>
    <m/>
    <m/>
    <m/>
    <m/>
    <m/>
    <m/>
    <m/>
    <m/>
    <m/>
    <x v="5"/>
    <d v="2016-02-23T21:20:00"/>
    <s v="Patch Set 2: Code-Review+1"/>
    <m/>
    <m/>
    <s v="ukri.niemimuukko@intel.com"/>
    <x v="0"/>
    <x v="1"/>
    <s v=""/>
    <x v="1"/>
    <s v=""/>
    <s v=""/>
    <s v=""/>
    <s v=""/>
    <s v=""/>
    <s v=""/>
    <s v=""/>
    <x v="0"/>
    <x v="0"/>
    <x v="0"/>
  </r>
  <r>
    <x v="33"/>
    <m/>
    <m/>
    <m/>
    <m/>
    <m/>
    <m/>
    <m/>
    <m/>
    <m/>
    <m/>
    <m/>
    <x v="9"/>
    <d v="2016-02-24T14:15:00"/>
    <s v="Patch Set 2: Integrator+1\n\nIntegrator +1; patch will be add to PT; please no change now"/>
    <m/>
    <m/>
    <s v="ukri.niemimuukko@intel.com"/>
    <x v="0"/>
    <x v="5"/>
    <s v=""/>
    <x v="1"/>
    <s v=""/>
    <s v=""/>
    <s v=""/>
    <s v=""/>
    <s v=""/>
    <s v=""/>
    <s v=""/>
    <x v="0"/>
    <x v="1"/>
    <x v="0"/>
  </r>
  <r>
    <x v="33"/>
    <m/>
    <m/>
    <m/>
    <m/>
    <m/>
    <m/>
    <m/>
    <m/>
    <m/>
    <m/>
    <m/>
    <x v="9"/>
    <d v="2016-02-24T18:17:00"/>
    <s v="Patch Set 2:\n\nPassed Klocwork code analyzing test. No CRITICAL issue in this patch. Auto reported by kwscan@andr-val-srv0.bj.intel.com"/>
    <m/>
    <m/>
    <s v="ukri.niemimuukko@intel.com"/>
    <x v="0"/>
    <x v="5"/>
    <s v=""/>
    <x v="1"/>
    <s v=""/>
    <s v=""/>
    <s v=""/>
    <s v=""/>
    <s v=""/>
    <s v=""/>
    <s v=""/>
    <x v="0"/>
    <x v="0"/>
    <x v="0"/>
  </r>
  <r>
    <x v="33"/>
    <m/>
    <m/>
    <m/>
    <m/>
    <m/>
    <m/>
    <m/>
    <m/>
    <m/>
    <m/>
    <m/>
    <x v="9"/>
    <d v="2016-02-24T21:22:00"/>
    <s v="Patch Set 2:\n\nPassed Klocwork code analyzing test. No CRITICAL issue in this patch. Auto reported by kwscan@andr-val-srv0.bj.intel.com"/>
    <m/>
    <m/>
    <s v="ukri.niemimuukko@intel.com"/>
    <x v="0"/>
    <x v="5"/>
    <s v=""/>
    <x v="1"/>
    <s v=""/>
    <s v=""/>
    <s v=""/>
    <s v=""/>
    <s v=""/>
    <s v=""/>
    <s v=""/>
    <x v="0"/>
    <x v="0"/>
    <x v="0"/>
  </r>
  <r>
    <x v="33"/>
    <m/>
    <m/>
    <m/>
    <m/>
    <m/>
    <m/>
    <m/>
    <m/>
    <m/>
    <m/>
    <m/>
    <x v="9"/>
    <d v="2016-02-24T22:28:00"/>
    <s v="Patch Set 2:\n\nPassed Klocwork code analyzing test. No CRITICAL issue in this patch. Auto reported by kwscan@psi-build5.bj.intel.com"/>
    <m/>
    <m/>
    <s v="ukri.niemimuukko@intel.com"/>
    <x v="0"/>
    <x v="5"/>
    <s v=""/>
    <x v="1"/>
    <s v=""/>
    <s v=""/>
    <s v=""/>
    <s v=""/>
    <s v=""/>
    <s v=""/>
    <s v=""/>
    <x v="0"/>
    <x v="0"/>
    <x v="0"/>
  </r>
  <r>
    <x v="33"/>
    <m/>
    <m/>
    <m/>
    <m/>
    <m/>
    <m/>
    <m/>
    <m/>
    <m/>
    <m/>
    <m/>
    <x v="9"/>
    <d v="2016-02-25T12:44:00"/>
    <s v="Patch Set 2:\n\nPassed Klocwork code analyzing test. No CRITICAL issue in this patch. Auto reported by kwscan@kw-srv2.bj.intel.com"/>
    <m/>
    <m/>
    <s v="ukri.niemimuukko@intel.com"/>
    <x v="0"/>
    <x v="5"/>
    <s v=""/>
    <x v="1"/>
    <s v=""/>
    <s v=""/>
    <s v=""/>
    <s v=""/>
    <s v=""/>
    <s v=""/>
    <s v=""/>
    <x v="0"/>
    <x v="0"/>
    <x v="0"/>
  </r>
  <r>
    <x v="33"/>
    <m/>
    <m/>
    <m/>
    <m/>
    <m/>
    <m/>
    <m/>
    <m/>
    <m/>
    <m/>
    <m/>
    <x v="9"/>
    <d v="2016-02-25T16:50:00"/>
    <s v="Patch Set 2: Code-Review+1\n\nPassed PIT; ready for merge"/>
    <m/>
    <m/>
    <s v="ukri.niemimuukko@intel.com"/>
    <x v="0"/>
    <x v="5"/>
    <s v=""/>
    <x v="1"/>
    <s v=""/>
    <s v=""/>
    <s v=""/>
    <s v=""/>
    <s v=""/>
    <s v=""/>
    <s v=""/>
    <x v="0"/>
    <x v="0"/>
    <x v="0"/>
  </r>
  <r>
    <x v="34"/>
    <n v="102406"/>
    <s v="vied-viedandr-camera3hal"/>
    <s v="platform/android/main"/>
    <s v="I7439adcad75f3d87c6cf939ac785f1d8c9170d1e"/>
    <s v="ukri.niemimuukko@intel.com"/>
    <s v="MERGED"/>
    <s v="c3:aal: minor cleanup of code"/>
    <s v="c3:aal: minor cleanup of code\n\nThis patch removes commented out code; adds curly braces and\nremoves an empty line.\n\nChange-Id: I7439adcad75f3d87c6cf939ac785f1d8c9170d1e\nTracked-On: #R512635\nSigned-off-by: Ukri Niemimuukko &lt;ukri.niemimuukko@intel.com&gt;\nReviewed-on: https://icggerrit.ir.intel.com/102406\nReviewed-by: Jukka O Kaartinen &lt;jukka.o.kaartinen@intel.com&gt;\nReviewed-by: Kaisa Taipale &lt;kaisa.taipale@intel.com&gt;\nReviewed-by: Arnaud Mandy &lt;arnaud.mandy@intel.com&gt;\nReviewed-by: Hongjiang A Zheng &lt;hongjiang.a.zheng@intel.com&gt;\nReviewed-by: Renwei Wu &lt;renwei.wu@intel.com&gt;\nReviewed-by: Miguel Verdu &lt;miguel.verdu@intel.com&gt;\nReviewed-by: Jingzhi Yu &lt;jingzhi.yu@intel.com&gt;\nBuild: Dessert M BXT RVP (SC)\nValidation-Android: Wei Tao &lt;wei.tao@intel.com&gt;\nApprover: Jukka O Kaartinen &lt;jukka.o.kaartinen@intel.com&gt;\nBuild: Dessert M CHT FFD (SC)\nReviewed-by: Juha Alanen &lt;juha.alanen@intel.com&gt;\nIntegrator: WeiX Meng &lt;weix.meng@intel.com&gt;\nReviewed-by: WeiX Meng &lt;weix.meng@intel.com&gt;\n"/>
    <d v="2016-02-18T19:26:00"/>
    <d v="2016-02-25T17:04:00"/>
    <s v="common"/>
    <x v="6"/>
    <d v="2016-02-18T19:26:00"/>
    <s v="Patch Set 1:\n\nPatchset Created: CI job has been scheduled."/>
    <m/>
    <s v="weix.meng@intel.com;juha.alanen@intel.com;wei.tao@intel.com;jingzhi.yu@intel.com;miguel.verdu@intel.com;renwei.wu@intel.com;hongjiang.a.zheng@intel.com;arnaud.mandy@intel.com;kaisa.taipale@intel.com;jukka.o.kaartinen@intel.com;"/>
    <s v="ukri.niemimuukko@intel.com"/>
    <x v="0"/>
    <x v="0"/>
    <s v="16'ww9"/>
    <x v="1"/>
    <n v="0"/>
    <n v="0"/>
    <n v="0"/>
    <n v="0"/>
    <n v="2"/>
    <n v="7"/>
    <n v="1"/>
    <x v="0"/>
    <x v="0"/>
    <x v="0"/>
  </r>
  <r>
    <x v="34"/>
    <m/>
    <m/>
    <m/>
    <m/>
    <m/>
    <m/>
    <m/>
    <m/>
    <m/>
    <m/>
    <m/>
    <x v="6"/>
    <d v="2016-02-18T19:26:00"/>
    <s v="Uploaded patch set 1."/>
    <m/>
    <m/>
    <s v="ukri.niemimuukko@intel.com"/>
    <x v="0"/>
    <x v="0"/>
    <s v=""/>
    <x v="1"/>
    <s v=""/>
    <s v=""/>
    <s v=""/>
    <s v=""/>
    <s v=""/>
    <s v=""/>
    <s v=""/>
    <x v="0"/>
    <x v="0"/>
    <x v="0"/>
  </r>
  <r>
    <x v="34"/>
    <m/>
    <m/>
    <m/>
    <m/>
    <m/>
    <m/>
    <m/>
    <m/>
    <m/>
    <m/>
    <m/>
    <x v="6"/>
    <d v="2016-02-18T19:28:00"/>
    <s v="Patch Set 1: Code-Review+1"/>
    <m/>
    <m/>
    <s v="ukri.niemimuukko@intel.com"/>
    <x v="0"/>
    <x v="0"/>
    <s v=""/>
    <x v="1"/>
    <s v=""/>
    <s v=""/>
    <s v=""/>
    <s v=""/>
    <s v=""/>
    <s v=""/>
    <s v=""/>
    <x v="0"/>
    <x v="0"/>
    <x v="0"/>
  </r>
  <r>
    <x v="34"/>
    <m/>
    <m/>
    <m/>
    <m/>
    <m/>
    <m/>
    <m/>
    <m/>
    <m/>
    <m/>
    <m/>
    <x v="2"/>
    <d v="2016-02-18T20:08:00"/>
    <s v="Patch Set 1: Code-Review+1"/>
    <m/>
    <m/>
    <s v="ukri.niemimuukko@intel.com"/>
    <x v="0"/>
    <x v="1"/>
    <s v=""/>
    <x v="1"/>
    <s v=""/>
    <s v=""/>
    <s v=""/>
    <s v=""/>
    <s v=""/>
    <s v=""/>
    <s v=""/>
    <x v="0"/>
    <x v="0"/>
    <x v="0"/>
  </r>
  <r>
    <x v="34"/>
    <m/>
    <m/>
    <m/>
    <m/>
    <m/>
    <m/>
    <m/>
    <m/>
    <m/>
    <m/>
    <m/>
    <x v="11"/>
    <d v="2016-02-18T20:37:00"/>
    <s v="Patch Set 1: Code-Review+1"/>
    <m/>
    <m/>
    <s v="ukri.niemimuukko@intel.com"/>
    <x v="0"/>
    <x v="1"/>
    <s v=""/>
    <x v="1"/>
    <s v=""/>
    <s v=""/>
    <s v=""/>
    <s v=""/>
    <s v=""/>
    <s v=""/>
    <s v=""/>
    <x v="0"/>
    <x v="0"/>
    <x v="0"/>
  </r>
  <r>
    <x v="34"/>
    <m/>
    <m/>
    <m/>
    <m/>
    <m/>
    <m/>
    <m/>
    <m/>
    <m/>
    <m/>
    <m/>
    <x v="1"/>
    <d v="2016-02-18T20:45:00"/>
    <s v="Patch Set 1: Code-Review+1"/>
    <m/>
    <m/>
    <s v="ukri.niemimuukko@intel.com"/>
    <x v="0"/>
    <x v="1"/>
    <s v=""/>
    <x v="1"/>
    <s v=""/>
    <s v=""/>
    <s v=""/>
    <s v=""/>
    <s v=""/>
    <s v=""/>
    <s v=""/>
    <x v="0"/>
    <x v="0"/>
    <x v="0"/>
  </r>
  <r>
    <x v="34"/>
    <m/>
    <m/>
    <m/>
    <m/>
    <m/>
    <m/>
    <m/>
    <m/>
    <m/>
    <m/>
    <m/>
    <x v="15"/>
    <d v="2016-02-19T19:16:00"/>
    <s v="Patch Set 1: Code-Review+1"/>
    <m/>
    <m/>
    <s v="ukri.niemimuukko@intel.com"/>
    <x v="0"/>
    <x v="4"/>
    <s v=""/>
    <x v="1"/>
    <s v=""/>
    <s v=""/>
    <s v=""/>
    <s v=""/>
    <s v=""/>
    <s v=""/>
    <s v=""/>
    <x v="0"/>
    <x v="0"/>
    <x v="0"/>
  </r>
  <r>
    <x v="34"/>
    <m/>
    <m/>
    <m/>
    <m/>
    <m/>
    <m/>
    <m/>
    <m/>
    <m/>
    <m/>
    <m/>
    <x v="3"/>
    <d v="2016-02-19T23:05:00"/>
    <s v="Patch Set 1: Code-Review+1"/>
    <m/>
    <m/>
    <s v="ukri.niemimuukko@intel.com"/>
    <x v="0"/>
    <x v="2"/>
    <s v=""/>
    <x v="1"/>
    <s v=""/>
    <s v=""/>
    <s v=""/>
    <s v=""/>
    <s v=""/>
    <s v=""/>
    <s v=""/>
    <x v="0"/>
    <x v="0"/>
    <x v="0"/>
  </r>
  <r>
    <x v="34"/>
    <m/>
    <m/>
    <m/>
    <m/>
    <m/>
    <m/>
    <m/>
    <m/>
    <m/>
    <m/>
    <m/>
    <x v="0"/>
    <d v="2016-02-22T14:45:00"/>
    <s v="Patch Set 1: Code-Review+1"/>
    <m/>
    <m/>
    <s v="ukri.niemimuukko@intel.com"/>
    <x v="0"/>
    <x v="1"/>
    <s v=""/>
    <x v="1"/>
    <s v=""/>
    <s v=""/>
    <s v=""/>
    <s v=""/>
    <s v=""/>
    <s v=""/>
    <s v=""/>
    <x v="0"/>
    <x v="0"/>
    <x v="0"/>
  </r>
  <r>
    <x v="34"/>
    <m/>
    <m/>
    <m/>
    <m/>
    <m/>
    <m/>
    <m/>
    <m/>
    <m/>
    <m/>
    <m/>
    <x v="16"/>
    <d v="2016-02-23T09:52:00"/>
    <s v="Patch Set 1: Code-Review+1"/>
    <m/>
    <m/>
    <s v="ukri.niemimuukko@intel.com"/>
    <x v="0"/>
    <x v="4"/>
    <s v=""/>
    <x v="1"/>
    <s v=""/>
    <s v=""/>
    <s v=""/>
    <s v=""/>
    <s v=""/>
    <s v=""/>
    <s v=""/>
    <x v="0"/>
    <x v="0"/>
    <x v="0"/>
  </r>
  <r>
    <x v="34"/>
    <m/>
    <m/>
    <m/>
    <m/>
    <m/>
    <m/>
    <m/>
    <m/>
    <m/>
    <m/>
    <m/>
    <x v="6"/>
    <d v="2016-02-23T13:50:00"/>
    <s v="Uploaded patch set 2: Patch Set 1 was rebased."/>
    <m/>
    <m/>
    <s v="ukri.niemimuukko@intel.com"/>
    <x v="0"/>
    <x v="0"/>
    <s v=""/>
    <x v="1"/>
    <s v=""/>
    <s v=""/>
    <s v=""/>
    <s v=""/>
    <s v=""/>
    <s v=""/>
    <s v=""/>
    <x v="0"/>
    <x v="0"/>
    <x v="0"/>
  </r>
  <r>
    <x v="34"/>
    <m/>
    <m/>
    <m/>
    <m/>
    <m/>
    <m/>
    <m/>
    <m/>
    <m/>
    <m/>
    <m/>
    <x v="6"/>
    <d v="2016-02-23T13:50:00"/>
    <s v="Patch Set 2:\n\nPatchset Created: CI job has been scheduled."/>
    <m/>
    <m/>
    <s v="ukri.niemimuukko@intel.com"/>
    <x v="0"/>
    <x v="0"/>
    <s v=""/>
    <x v="1"/>
    <s v=""/>
    <s v=""/>
    <s v=""/>
    <s v=""/>
    <s v=""/>
    <s v=""/>
    <s v=""/>
    <x v="0"/>
    <x v="0"/>
    <x v="0"/>
  </r>
  <r>
    <x v="34"/>
    <m/>
    <m/>
    <m/>
    <m/>
    <m/>
    <m/>
    <m/>
    <m/>
    <m/>
    <m/>
    <m/>
    <x v="14"/>
    <d v="2016-02-23T15:38:00"/>
    <s v="Patch Set 2: Validation-Android+1\n\nreceive smoke test"/>
    <m/>
    <m/>
    <s v="ukri.niemimuukko@intel.com"/>
    <x v="0"/>
    <x v="5"/>
    <s v=""/>
    <x v="1"/>
    <s v=""/>
    <s v=""/>
    <s v=""/>
    <s v=""/>
    <s v=""/>
    <s v=""/>
    <s v=""/>
    <x v="0"/>
    <x v="1"/>
    <x v="0"/>
  </r>
  <r>
    <x v="34"/>
    <m/>
    <m/>
    <m/>
    <m/>
    <m/>
    <m/>
    <m/>
    <m/>
    <m/>
    <m/>
    <m/>
    <x v="14"/>
    <d v="2016-02-23T16:13:00"/>
    <s v="Patch Set 2:\n\nreceive smoke test"/>
    <m/>
    <m/>
    <s v="ukri.niemimuukko@intel.com"/>
    <x v="0"/>
    <x v="5"/>
    <s v=""/>
    <x v="1"/>
    <s v=""/>
    <s v=""/>
    <s v=""/>
    <s v=""/>
    <s v=""/>
    <s v=""/>
    <s v=""/>
    <x v="0"/>
    <x v="0"/>
    <x v="0"/>
  </r>
  <r>
    <x v="34"/>
    <m/>
    <m/>
    <m/>
    <m/>
    <m/>
    <m/>
    <m/>
    <m/>
    <m/>
    <m/>
    <m/>
    <x v="2"/>
    <d v="2016-02-23T16:14:00"/>
    <s v="Patch Set 2: Approver+1"/>
    <m/>
    <m/>
    <s v="ukri.niemimuukko@intel.com"/>
    <x v="0"/>
    <x v="1"/>
    <s v=""/>
    <x v="1"/>
    <s v=""/>
    <s v=""/>
    <s v=""/>
    <s v=""/>
    <s v=""/>
    <s v=""/>
    <s v=""/>
    <x v="0"/>
    <x v="0"/>
    <x v="0"/>
  </r>
  <r>
    <x v="34"/>
    <m/>
    <m/>
    <m/>
    <m/>
    <m/>
    <m/>
    <m/>
    <m/>
    <m/>
    <m/>
    <m/>
    <x v="2"/>
    <d v="2016-02-23T16:15:00"/>
    <s v="Topic changed from topic_feb23 to bxt_preint"/>
    <m/>
    <m/>
    <s v="ukri.niemimuukko@intel.com"/>
    <x v="0"/>
    <x v="1"/>
    <s v=""/>
    <x v="1"/>
    <s v=""/>
    <s v=""/>
    <s v=""/>
    <s v=""/>
    <s v=""/>
    <s v=""/>
    <s v=""/>
    <x v="0"/>
    <x v="0"/>
    <x v="0"/>
  </r>
  <r>
    <x v="34"/>
    <m/>
    <m/>
    <m/>
    <m/>
    <m/>
    <m/>
    <m/>
    <m/>
    <m/>
    <m/>
    <m/>
    <x v="5"/>
    <d v="2016-02-23T21:19:00"/>
    <s v="Patch Set 2: Code-Review+1"/>
    <m/>
    <m/>
    <s v="ukri.niemimuukko@intel.com"/>
    <x v="0"/>
    <x v="1"/>
    <s v=""/>
    <x v="1"/>
    <s v=""/>
    <s v=""/>
    <s v=""/>
    <s v=""/>
    <s v=""/>
    <s v=""/>
    <s v=""/>
    <x v="0"/>
    <x v="0"/>
    <x v="0"/>
  </r>
  <r>
    <x v="34"/>
    <m/>
    <m/>
    <m/>
    <m/>
    <m/>
    <m/>
    <m/>
    <m/>
    <m/>
    <m/>
    <m/>
    <x v="9"/>
    <d v="2016-02-24T14:15:00"/>
    <s v="Patch Set 2: Integrator+1\n\nIntegrator +1; patch will be add to PT; please no change now"/>
    <m/>
    <m/>
    <s v="ukri.niemimuukko@intel.com"/>
    <x v="0"/>
    <x v="5"/>
    <s v=""/>
    <x v="1"/>
    <s v=""/>
    <s v=""/>
    <s v=""/>
    <s v=""/>
    <s v=""/>
    <s v=""/>
    <s v=""/>
    <x v="0"/>
    <x v="1"/>
    <x v="0"/>
  </r>
  <r>
    <x v="34"/>
    <m/>
    <m/>
    <m/>
    <m/>
    <m/>
    <m/>
    <m/>
    <m/>
    <m/>
    <m/>
    <m/>
    <x v="9"/>
    <d v="2016-02-24T18:17:00"/>
    <s v="Patch Set 2:\n\nPassed Klocwork code analyzing test. No CRITICAL issue in this patch. Auto reported by kwscan@andr-val-srv0.bj.intel.com"/>
    <m/>
    <m/>
    <s v="ukri.niemimuukko@intel.com"/>
    <x v="0"/>
    <x v="5"/>
    <s v=""/>
    <x v="1"/>
    <s v=""/>
    <s v=""/>
    <s v=""/>
    <s v=""/>
    <s v=""/>
    <s v=""/>
    <s v=""/>
    <x v="0"/>
    <x v="0"/>
    <x v="0"/>
  </r>
  <r>
    <x v="34"/>
    <m/>
    <m/>
    <m/>
    <m/>
    <m/>
    <m/>
    <m/>
    <m/>
    <m/>
    <m/>
    <m/>
    <x v="9"/>
    <d v="2016-02-24T21:22:00"/>
    <s v="Patch Set 2:\n\nPassed Klocwork code analyzing test. No CRITICAL issue in this patch. Auto reported by kwscan@andr-val-srv0.bj.intel.com"/>
    <m/>
    <m/>
    <s v="ukri.niemimuukko@intel.com"/>
    <x v="0"/>
    <x v="5"/>
    <s v=""/>
    <x v="1"/>
    <s v=""/>
    <s v=""/>
    <s v=""/>
    <s v=""/>
    <s v=""/>
    <s v=""/>
    <s v=""/>
    <x v="0"/>
    <x v="0"/>
    <x v="0"/>
  </r>
  <r>
    <x v="34"/>
    <m/>
    <m/>
    <m/>
    <m/>
    <m/>
    <m/>
    <m/>
    <m/>
    <m/>
    <m/>
    <m/>
    <x v="9"/>
    <d v="2016-02-24T22:28:00"/>
    <s v="Patch Set 2:\n\nPassed Klocwork code analyzing test. No CRITICAL issue in this patch. Auto reported by kwscan@psi-build5.bj.intel.com"/>
    <m/>
    <m/>
    <s v="ukri.niemimuukko@intel.com"/>
    <x v="0"/>
    <x v="5"/>
    <s v=""/>
    <x v="1"/>
    <s v=""/>
    <s v=""/>
    <s v=""/>
    <s v=""/>
    <s v=""/>
    <s v=""/>
    <s v=""/>
    <x v="0"/>
    <x v="0"/>
    <x v="0"/>
  </r>
  <r>
    <x v="34"/>
    <m/>
    <m/>
    <m/>
    <m/>
    <m/>
    <m/>
    <m/>
    <m/>
    <m/>
    <m/>
    <m/>
    <x v="9"/>
    <d v="2016-02-25T12:44:00"/>
    <s v="Patch Set 2:\n\nPassed Klocwork code analyzing test. No CRITICAL issue in this patch. Auto reported by kwscan@kw-srv2.bj.intel.com"/>
    <m/>
    <m/>
    <s v="ukri.niemimuukko@intel.com"/>
    <x v="0"/>
    <x v="5"/>
    <s v=""/>
    <x v="1"/>
    <s v=""/>
    <s v=""/>
    <s v=""/>
    <s v=""/>
    <s v=""/>
    <s v=""/>
    <s v=""/>
    <x v="0"/>
    <x v="0"/>
    <x v="0"/>
  </r>
  <r>
    <x v="34"/>
    <m/>
    <m/>
    <m/>
    <m/>
    <m/>
    <m/>
    <m/>
    <m/>
    <m/>
    <m/>
    <m/>
    <x v="9"/>
    <d v="2016-02-25T16:49:00"/>
    <s v="Patch Set 2: Code-Review+1\n\nPassed PIT; ready for merge"/>
    <m/>
    <m/>
    <s v="ukri.niemimuukko@intel.com"/>
    <x v="0"/>
    <x v="5"/>
    <s v=""/>
    <x v="1"/>
    <s v=""/>
    <s v=""/>
    <s v=""/>
    <s v=""/>
    <s v=""/>
    <s v=""/>
    <s v=""/>
    <x v="0"/>
    <x v="0"/>
    <x v="0"/>
  </r>
  <r>
    <x v="35"/>
    <n v="102405"/>
    <s v="vied-viedandr-camera3hal"/>
    <s v="platform/android/main"/>
    <s v="Ifd468b0cfdeca94450423b7afed54493fdcb44f4"/>
    <s v="ukri.niemimuukko@intel.com"/>
    <s v="MERGED"/>
    <s v="c3: fix metadata helper stack corruption"/>
    <s v="c3: fix metadata helper stack corruption\n\nMetadata helper has insufficient stack allocations for printing\nreprocessing request metadata; which may contain large arrays\nthat the HAL has produced for capture results earlier.\n\nChange-Id: Ifd468b0cfdeca94450423b7afed54493fdcb44f4\nTracked-On: #R512635\nSigned-off-by: Ukri Niemimuukko &lt;ukri.niemimuukko@intel.com&gt;\nReviewed-on: https://icggerrit.ir.intel.com/102405\nReviewed-by: Jukka O Kaartinen &lt;jukka.o.kaartinen@intel.com&gt;\nReviewed-by: Kaisa Taipale &lt;kaisa.taipale@intel.com&gt;\nReviewed-by: Arnaud Mandy &lt;arnaud.mandy@intel.com&gt;\nReviewed-by: Hongjiang A Zheng &lt;hongjiang.a.zheng@intel.com&gt;\nReviewed-by: Renwei Wu &lt;renwei.wu@intel.com&gt;\nReviewed-by: Miguel Verdu &lt;miguel.verdu@intel.com&gt;\nReviewed-by: Jingzhi Yu &lt;jingzhi.yu@intel.com&gt;\nBuild: Dessert M BXT RVP (SC)\nValidation-Android: Wei Tao &lt;wei.tao@intel.com&gt;\nBuild: Dessert M CHT FFD (SC)\nApprover: Jukka O Kaartinen &lt;jukka.o.kaartinen@intel.com&gt;\nReviewed-by: Juha Alanen &lt;juha.alanen@intel.com&gt;\nIntegrator: WeiX Meng &lt;weix.meng@intel.com&gt;\nReviewed-by: WeiX Meng &lt;weix.meng@intel.com&gt;\n"/>
    <d v="2016-02-18T19:26:00"/>
    <d v="2016-02-25T17:02:00"/>
    <s v="common"/>
    <x v="6"/>
    <d v="2016-02-18T19:26:00"/>
    <s v="Patch Set 1:\n\nPatchset Created: CI job has been scheduled."/>
    <m/>
    <s v="weix.meng@intel.com;juha.alanen@intel.com;wei.tao@intel.com;jingzhi.yu@intel.com;miguel.verdu@intel.com;renwei.wu@intel.com;hongjiang.a.zheng@intel.com;arnaud.mandy@intel.com;kaisa.taipale@intel.com;jukka.o.kaartinen@intel.com;"/>
    <s v="ukri.niemimuukko@intel.com"/>
    <x v="0"/>
    <x v="0"/>
    <s v="16'ww9"/>
    <x v="1"/>
    <n v="0"/>
    <n v="0"/>
    <n v="0"/>
    <n v="0"/>
    <n v="3"/>
    <n v="7"/>
    <n v="1"/>
    <x v="0"/>
    <x v="0"/>
    <x v="0"/>
  </r>
  <r>
    <x v="35"/>
    <m/>
    <m/>
    <m/>
    <m/>
    <m/>
    <m/>
    <m/>
    <m/>
    <m/>
    <m/>
    <m/>
    <x v="6"/>
    <d v="2016-02-18T19:26:00"/>
    <s v="Uploaded patch set 1."/>
    <m/>
    <m/>
    <s v="ukri.niemimuukko@intel.com"/>
    <x v="0"/>
    <x v="0"/>
    <s v=""/>
    <x v="1"/>
    <s v=""/>
    <s v=""/>
    <s v=""/>
    <s v=""/>
    <s v=""/>
    <s v=""/>
    <s v=""/>
    <x v="0"/>
    <x v="0"/>
    <x v="0"/>
  </r>
  <r>
    <x v="35"/>
    <m/>
    <m/>
    <m/>
    <m/>
    <m/>
    <m/>
    <m/>
    <m/>
    <m/>
    <m/>
    <m/>
    <x v="6"/>
    <d v="2016-02-18T19:28:00"/>
    <s v="Patch Set 1: Code-Review+1"/>
    <m/>
    <m/>
    <s v="ukri.niemimuukko@intel.com"/>
    <x v="0"/>
    <x v="0"/>
    <s v=""/>
    <x v="1"/>
    <s v=""/>
    <s v=""/>
    <s v=""/>
    <s v=""/>
    <s v=""/>
    <s v=""/>
    <s v=""/>
    <x v="0"/>
    <x v="0"/>
    <x v="0"/>
  </r>
  <r>
    <x v="35"/>
    <m/>
    <m/>
    <m/>
    <m/>
    <m/>
    <m/>
    <m/>
    <m/>
    <m/>
    <m/>
    <m/>
    <x v="2"/>
    <d v="2016-02-18T20:08:00"/>
    <s v="Patch Set 1: Code-Review+1"/>
    <m/>
    <m/>
    <s v="ukri.niemimuukko@intel.com"/>
    <x v="0"/>
    <x v="1"/>
    <s v=""/>
    <x v="1"/>
    <s v=""/>
    <s v=""/>
    <s v=""/>
    <s v=""/>
    <s v=""/>
    <s v=""/>
    <s v=""/>
    <x v="0"/>
    <x v="0"/>
    <x v="0"/>
  </r>
  <r>
    <x v="35"/>
    <m/>
    <m/>
    <m/>
    <m/>
    <m/>
    <m/>
    <m/>
    <m/>
    <m/>
    <m/>
    <m/>
    <x v="11"/>
    <d v="2016-02-18T20:36:00"/>
    <s v="Patch Set 1: Code-Review+1"/>
    <m/>
    <m/>
    <s v="ukri.niemimuukko@intel.com"/>
    <x v="0"/>
    <x v="1"/>
    <s v=""/>
    <x v="1"/>
    <s v=""/>
    <s v=""/>
    <s v=""/>
    <s v=""/>
    <s v=""/>
    <s v=""/>
    <s v=""/>
    <x v="0"/>
    <x v="0"/>
    <x v="0"/>
  </r>
  <r>
    <x v="35"/>
    <m/>
    <m/>
    <m/>
    <m/>
    <m/>
    <m/>
    <m/>
    <m/>
    <m/>
    <m/>
    <m/>
    <x v="1"/>
    <d v="2016-02-18T20:50:00"/>
    <s v="Patch Set 1: Code-Review+1"/>
    <m/>
    <m/>
    <s v="ukri.niemimuukko@intel.com"/>
    <x v="0"/>
    <x v="1"/>
    <s v=""/>
    <x v="1"/>
    <s v=""/>
    <s v=""/>
    <s v=""/>
    <s v=""/>
    <s v=""/>
    <s v=""/>
    <s v=""/>
    <x v="0"/>
    <x v="0"/>
    <x v="0"/>
  </r>
  <r>
    <x v="35"/>
    <m/>
    <m/>
    <m/>
    <m/>
    <m/>
    <m/>
    <m/>
    <m/>
    <m/>
    <m/>
    <m/>
    <x v="15"/>
    <d v="2016-02-19T19:10:00"/>
    <s v="Patch Set 1: Code-Review+1"/>
    <m/>
    <m/>
    <s v="ukri.niemimuukko@intel.com"/>
    <x v="0"/>
    <x v="4"/>
    <s v=""/>
    <x v="1"/>
    <s v=""/>
    <s v=""/>
    <s v=""/>
    <s v=""/>
    <s v=""/>
    <s v=""/>
    <s v=""/>
    <x v="0"/>
    <x v="0"/>
    <x v="0"/>
  </r>
  <r>
    <x v="35"/>
    <m/>
    <m/>
    <m/>
    <m/>
    <m/>
    <m/>
    <m/>
    <m/>
    <m/>
    <m/>
    <m/>
    <x v="3"/>
    <d v="2016-02-19T23:03:00"/>
    <s v="Patch Set 1: Code-Review+1"/>
    <m/>
    <m/>
    <s v="ukri.niemimuukko@intel.com"/>
    <x v="0"/>
    <x v="2"/>
    <s v=""/>
    <x v="1"/>
    <s v=""/>
    <s v=""/>
    <s v=""/>
    <s v=""/>
    <s v=""/>
    <s v=""/>
    <s v=""/>
    <x v="0"/>
    <x v="0"/>
    <x v="0"/>
  </r>
  <r>
    <x v="35"/>
    <m/>
    <m/>
    <m/>
    <m/>
    <m/>
    <m/>
    <m/>
    <m/>
    <m/>
    <m/>
    <m/>
    <x v="0"/>
    <d v="2016-02-22T14:45:00"/>
    <s v="Patch Set 1: Code-Review+1"/>
    <m/>
    <m/>
    <s v="ukri.niemimuukko@intel.com"/>
    <x v="0"/>
    <x v="1"/>
    <s v=""/>
    <x v="1"/>
    <s v=""/>
    <s v=""/>
    <s v=""/>
    <s v=""/>
    <s v=""/>
    <s v=""/>
    <s v=""/>
    <x v="0"/>
    <x v="0"/>
    <x v="0"/>
  </r>
  <r>
    <x v="35"/>
    <m/>
    <m/>
    <m/>
    <m/>
    <m/>
    <m/>
    <m/>
    <m/>
    <m/>
    <m/>
    <m/>
    <x v="16"/>
    <d v="2016-02-23T09:44:00"/>
    <s v="Patch Set 1: Code-Review+1"/>
    <m/>
    <m/>
    <s v="ukri.niemimuukko@intel.com"/>
    <x v="0"/>
    <x v="4"/>
    <s v=""/>
    <x v="1"/>
    <s v=""/>
    <s v=""/>
    <s v=""/>
    <s v=""/>
    <s v=""/>
    <s v=""/>
    <s v=""/>
    <x v="0"/>
    <x v="0"/>
    <x v="0"/>
  </r>
  <r>
    <x v="35"/>
    <m/>
    <m/>
    <m/>
    <m/>
    <m/>
    <m/>
    <m/>
    <m/>
    <m/>
    <m/>
    <m/>
    <x v="16"/>
    <d v="2016-02-23T09:56:00"/>
    <s v="Patch Set 1:\n\n(1 comment)"/>
    <s v="line224 :&quot;if the metadata value is longer than 2048; such as tonemap; the value can't be fully printed; use a loop to output the value is better&quot;"/>
    <m/>
    <s v="ukri.niemimuukko@intel.com"/>
    <x v="0"/>
    <x v="4"/>
    <s v=""/>
    <x v="1"/>
    <s v=""/>
    <s v=""/>
    <s v=""/>
    <s v=""/>
    <s v=""/>
    <s v=""/>
    <s v=""/>
    <x v="0"/>
    <x v="0"/>
    <x v="0"/>
  </r>
  <r>
    <x v="35"/>
    <m/>
    <m/>
    <m/>
    <m/>
    <m/>
    <m/>
    <m/>
    <m/>
    <m/>
    <m/>
    <m/>
    <x v="6"/>
    <d v="2016-02-23T13:50:00"/>
    <s v="Uploaded patch set 2: Patch Set 1 was rebased."/>
    <m/>
    <m/>
    <s v="ukri.niemimuukko@intel.com"/>
    <x v="0"/>
    <x v="0"/>
    <s v=""/>
    <x v="1"/>
    <s v=""/>
    <s v=""/>
    <s v=""/>
    <s v=""/>
    <s v=""/>
    <s v=""/>
    <s v=""/>
    <x v="0"/>
    <x v="0"/>
    <x v="0"/>
  </r>
  <r>
    <x v="35"/>
    <m/>
    <m/>
    <m/>
    <m/>
    <m/>
    <m/>
    <m/>
    <m/>
    <m/>
    <m/>
    <m/>
    <x v="6"/>
    <d v="2016-02-23T13:50:00"/>
    <s v="Patch Set 2:\n\nPatchset Created: CI job has been scheduled."/>
    <m/>
    <m/>
    <s v="ukri.niemimuukko@intel.com"/>
    <x v="0"/>
    <x v="0"/>
    <s v=""/>
    <x v="1"/>
    <s v=""/>
    <s v=""/>
    <s v=""/>
    <s v=""/>
    <s v=""/>
    <s v=""/>
    <s v=""/>
    <x v="0"/>
    <x v="0"/>
    <x v="0"/>
  </r>
  <r>
    <x v="35"/>
    <m/>
    <m/>
    <m/>
    <m/>
    <m/>
    <m/>
    <m/>
    <m/>
    <m/>
    <m/>
    <m/>
    <x v="14"/>
    <d v="2016-02-23T15:38:00"/>
    <s v="Patch Set 2: Validation-Android+1\n\nreceive smoke test"/>
    <m/>
    <m/>
    <s v="ukri.niemimuukko@intel.com"/>
    <x v="0"/>
    <x v="5"/>
    <s v=""/>
    <x v="1"/>
    <s v=""/>
    <s v=""/>
    <s v=""/>
    <s v=""/>
    <s v=""/>
    <s v=""/>
    <s v=""/>
    <x v="0"/>
    <x v="1"/>
    <x v="0"/>
  </r>
  <r>
    <x v="35"/>
    <m/>
    <m/>
    <m/>
    <m/>
    <m/>
    <m/>
    <m/>
    <m/>
    <m/>
    <m/>
    <m/>
    <x v="14"/>
    <d v="2016-02-23T16:13:00"/>
    <s v="Patch Set 2:\n\nreceive smoke test"/>
    <m/>
    <m/>
    <s v="ukri.niemimuukko@intel.com"/>
    <x v="0"/>
    <x v="5"/>
    <s v=""/>
    <x v="1"/>
    <s v=""/>
    <s v=""/>
    <s v=""/>
    <s v=""/>
    <s v=""/>
    <s v=""/>
    <s v=""/>
    <x v="0"/>
    <x v="0"/>
    <x v="0"/>
  </r>
  <r>
    <x v="35"/>
    <m/>
    <m/>
    <m/>
    <m/>
    <m/>
    <m/>
    <m/>
    <m/>
    <m/>
    <m/>
    <m/>
    <x v="2"/>
    <d v="2016-02-23T16:15:00"/>
    <s v="Patch Set 2: Approver+1"/>
    <m/>
    <m/>
    <s v="ukri.niemimuukko@intel.com"/>
    <x v="0"/>
    <x v="1"/>
    <s v=""/>
    <x v="1"/>
    <s v=""/>
    <s v=""/>
    <s v=""/>
    <s v=""/>
    <s v=""/>
    <s v=""/>
    <s v=""/>
    <x v="0"/>
    <x v="0"/>
    <x v="0"/>
  </r>
  <r>
    <x v="35"/>
    <m/>
    <m/>
    <m/>
    <m/>
    <m/>
    <m/>
    <m/>
    <m/>
    <m/>
    <m/>
    <m/>
    <x v="2"/>
    <d v="2016-02-23T16:15:00"/>
    <s v="Topic changed from topic_feb23 to bxt_preint"/>
    <m/>
    <m/>
    <s v="ukri.niemimuukko@intel.com"/>
    <x v="0"/>
    <x v="1"/>
    <s v=""/>
    <x v="1"/>
    <s v=""/>
    <s v=""/>
    <s v=""/>
    <s v=""/>
    <s v=""/>
    <s v=""/>
    <s v=""/>
    <x v="0"/>
    <x v="0"/>
    <x v="0"/>
  </r>
  <r>
    <x v="35"/>
    <m/>
    <m/>
    <m/>
    <m/>
    <m/>
    <m/>
    <m/>
    <m/>
    <m/>
    <m/>
    <m/>
    <x v="5"/>
    <d v="2016-02-23T21:18:00"/>
    <s v="Patch Set 2: Code-Review+1"/>
    <m/>
    <m/>
    <s v="ukri.niemimuukko@intel.com"/>
    <x v="0"/>
    <x v="1"/>
    <s v=""/>
    <x v="1"/>
    <s v=""/>
    <s v=""/>
    <s v=""/>
    <s v=""/>
    <s v=""/>
    <s v=""/>
    <s v=""/>
    <x v="0"/>
    <x v="0"/>
    <x v="0"/>
  </r>
  <r>
    <x v="35"/>
    <m/>
    <m/>
    <m/>
    <m/>
    <m/>
    <m/>
    <m/>
    <m/>
    <m/>
    <m/>
    <m/>
    <x v="9"/>
    <d v="2016-02-24T14:13:00"/>
    <s v="Patch Set 2: Integrator+1\n\nIntegrator +1; patch will be add to PT; please no change now"/>
    <m/>
    <m/>
    <s v="ukri.niemimuukko@intel.com"/>
    <x v="0"/>
    <x v="5"/>
    <s v=""/>
    <x v="1"/>
    <s v=""/>
    <s v=""/>
    <s v=""/>
    <s v=""/>
    <s v=""/>
    <s v=""/>
    <s v=""/>
    <x v="0"/>
    <x v="1"/>
    <x v="0"/>
  </r>
  <r>
    <x v="35"/>
    <m/>
    <m/>
    <m/>
    <m/>
    <m/>
    <m/>
    <m/>
    <m/>
    <m/>
    <m/>
    <m/>
    <x v="9"/>
    <d v="2016-02-24T18:16:00"/>
    <s v="Patch Set 2:\n\nPassed Klocwork code analyzing test. No CRITICAL issue in this patch. Auto reported by kwscan@andr-val-srv0.bj.intel.com"/>
    <m/>
    <m/>
    <s v="ukri.niemimuukko@intel.com"/>
    <x v="0"/>
    <x v="5"/>
    <s v=""/>
    <x v="1"/>
    <s v=""/>
    <s v=""/>
    <s v=""/>
    <s v=""/>
    <s v=""/>
    <s v=""/>
    <s v=""/>
    <x v="0"/>
    <x v="0"/>
    <x v="0"/>
  </r>
  <r>
    <x v="35"/>
    <m/>
    <m/>
    <m/>
    <m/>
    <m/>
    <m/>
    <m/>
    <m/>
    <m/>
    <m/>
    <m/>
    <x v="9"/>
    <d v="2016-02-24T21:21:00"/>
    <s v="Patch Set 2:\n\nPassed Klocwork code analyzing test. No CRITICAL issue in this patch. Auto reported by kwscan@andr-val-srv0.bj.intel.com"/>
    <m/>
    <m/>
    <s v="ukri.niemimuukko@intel.com"/>
    <x v="0"/>
    <x v="5"/>
    <s v=""/>
    <x v="1"/>
    <s v=""/>
    <s v=""/>
    <s v=""/>
    <s v=""/>
    <s v=""/>
    <s v=""/>
    <s v=""/>
    <x v="0"/>
    <x v="0"/>
    <x v="0"/>
  </r>
  <r>
    <x v="35"/>
    <m/>
    <m/>
    <m/>
    <m/>
    <m/>
    <m/>
    <m/>
    <m/>
    <m/>
    <m/>
    <m/>
    <x v="9"/>
    <d v="2016-02-24T22:27:00"/>
    <s v="Patch Set 2:\n\nPassed Klocwork code analyzing test. No CRITICAL issue in this patch. Auto reported by kwscan@psi-build5.bj.intel.com"/>
    <m/>
    <m/>
    <s v="ukri.niemimuukko@intel.com"/>
    <x v="0"/>
    <x v="5"/>
    <s v=""/>
    <x v="1"/>
    <s v=""/>
    <s v=""/>
    <s v=""/>
    <s v=""/>
    <s v=""/>
    <s v=""/>
    <s v=""/>
    <x v="0"/>
    <x v="0"/>
    <x v="0"/>
  </r>
  <r>
    <x v="35"/>
    <m/>
    <m/>
    <m/>
    <m/>
    <m/>
    <m/>
    <m/>
    <m/>
    <m/>
    <m/>
    <m/>
    <x v="9"/>
    <d v="2016-02-25T12:43:00"/>
    <s v="Patch Set 2:\n\nPassed Klocwork code analyzing test. No CRITICAL issue in this patch. Auto reported by kwscan@kw-srv2.bj.intel.com"/>
    <m/>
    <m/>
    <s v="ukri.niemimuukko@intel.com"/>
    <x v="0"/>
    <x v="5"/>
    <s v=""/>
    <x v="1"/>
    <s v=""/>
    <s v=""/>
    <s v=""/>
    <s v=""/>
    <s v=""/>
    <s v=""/>
    <s v=""/>
    <x v="0"/>
    <x v="0"/>
    <x v="0"/>
  </r>
  <r>
    <x v="35"/>
    <m/>
    <m/>
    <m/>
    <m/>
    <m/>
    <m/>
    <m/>
    <m/>
    <m/>
    <m/>
    <m/>
    <x v="9"/>
    <d v="2016-02-25T16:47:00"/>
    <s v="Patch Set 2: Code-Review+1\n\nPassed PIT; ready for merge"/>
    <m/>
    <m/>
    <s v="ukri.niemimuukko@intel.com"/>
    <x v="0"/>
    <x v="5"/>
    <s v=""/>
    <x v="1"/>
    <s v=""/>
    <s v=""/>
    <s v=""/>
    <s v=""/>
    <s v=""/>
    <s v=""/>
    <s v=""/>
    <x v="0"/>
    <x v="0"/>
    <x v="0"/>
  </r>
  <r>
    <x v="36"/>
    <n v="101171"/>
    <s v="vied-viedandr-camera3hal"/>
    <s v="platform/android/main"/>
    <s v="Ib81d01ad550bfc9d04ac286210128b155bfc0318"/>
    <s v="arnaud.mandy@intel.com"/>
    <s v="MERGED"/>
    <s v="c3:common: adding macro DELETE_AND_NULLIFY"/>
    <s v="c3:common: adding macro DELETE_AND_NULLIFY\n\nChange-Id: Ib81d01ad550bfc9d04ac286210128b155bfc0318\nTracked-On: #R512801\nSigned-off-by: Arnaud Mandy &lt;arnaud.mandy@intel.com&gt;\nReviewed-on: https://icggerrit.ir.intel.com/101171\nReviewed-by: Jarno Jakonen &lt;jarno.jakonen@intel.com&gt;\nReviewed-by: Juha Alanen &lt;juha.alanen@intel.com&gt;\nReviewed-by: Jukka O Kaartinen &lt;jukka.o.kaartinen@intel.com&gt;\nReviewed-by: Anttu Koski &lt;anttu.koski@intel.com&gt;\nValidation-Android: Wei Tao &lt;wei.tao@intel.com&gt;\nReviewed-by: Ukri Niemimuukko &lt;ukri.niemimuukko@intel.com&gt;\nBuild: Dessert M BXT RVP (SC)\nBuild: Dessert M CHT FFD (SC)\nBuild: Dessert M SOFIA (SC)\nReviewed-by: Mikael Persson &lt;mikael.persson@intel.com&gt;\nReviewed-by: Gang A Hu &lt;gang.a.hu@intel.com&gt;\nApprover: Jukka O Kaartinen &lt;jukka.o.kaartinen@intel.com&gt;\nIntegrator: SambathkumarX Chandrasekaran &lt;sambathkumarx.chandrasekaran@intel.com&gt;\nReviewed-by: Renwei Wu &lt;renwei.wu@intel.com&gt;\nReviewed-by: Hongjiang A Zheng &lt;hongjiang.a.zheng@intel.com&gt;\nIntegrator: WeiX Meng &lt;weix.meng@intel.com&gt;\nReviewed-by: WeiX Meng &lt;weix.meng@intel.com&gt;\n"/>
    <d v="2016-02-11T15:26:00"/>
    <d v="2016-02-17T15:41:00"/>
    <s v="common"/>
    <x v="1"/>
    <d v="2016-02-11T15:26:00"/>
    <s v="Patch Set 1:\n\nPatchset Created: CI job has been scheduled."/>
    <m/>
    <s v="hongjiang.a.zheng@intel.com;weix.meng@intel.com;renwei.wu@intel.com;gang.a.hu@intel.com;mikael.persson@intel.com;ukri.niemimuukko@intel.com;anttu.koski@intel.com;jukka.o.kaartinen@intel.com;juha.alanen@intel.com;jarno.jakonen@intel.com;"/>
    <s v="arnaud.mandy@intel.com"/>
    <x v="0"/>
    <x v="0"/>
    <s v="16'ww8"/>
    <x v="1"/>
    <n v="1"/>
    <n v="0"/>
    <n v="1"/>
    <n v="0"/>
    <n v="2"/>
    <n v="11"/>
    <n v="1"/>
    <x v="0"/>
    <x v="0"/>
    <x v="0"/>
  </r>
  <r>
    <x v="36"/>
    <m/>
    <m/>
    <m/>
    <m/>
    <m/>
    <m/>
    <m/>
    <m/>
    <m/>
    <m/>
    <m/>
    <x v="1"/>
    <d v="2016-02-11T15:26:00"/>
    <s v="Uploaded patch set 1."/>
    <m/>
    <m/>
    <s v="arnaud.mandy@intel.com"/>
    <x v="0"/>
    <x v="0"/>
    <s v=""/>
    <x v="1"/>
    <s v=""/>
    <s v=""/>
    <s v=""/>
    <s v=""/>
    <s v=""/>
    <s v=""/>
    <s v=""/>
    <x v="0"/>
    <x v="0"/>
    <x v="0"/>
  </r>
  <r>
    <x v="36"/>
    <m/>
    <m/>
    <m/>
    <m/>
    <m/>
    <m/>
    <m/>
    <m/>
    <m/>
    <m/>
    <m/>
    <x v="1"/>
    <d v="2016-02-11T15:33:00"/>
    <s v="Patch Set 1: Code-Review+1"/>
    <m/>
    <m/>
    <s v="arnaud.mandy@intel.com"/>
    <x v="0"/>
    <x v="0"/>
    <s v=""/>
    <x v="1"/>
    <s v=""/>
    <s v=""/>
    <s v=""/>
    <s v=""/>
    <s v=""/>
    <s v=""/>
    <s v=""/>
    <x v="0"/>
    <x v="0"/>
    <x v="0"/>
  </r>
  <r>
    <x v="36"/>
    <m/>
    <m/>
    <m/>
    <m/>
    <m/>
    <m/>
    <m/>
    <m/>
    <m/>
    <m/>
    <m/>
    <x v="17"/>
    <d v="2016-02-11T15:39:00"/>
    <s v="Patch Set 1: Code-Review-1\n\n(1 comment)\n\nDo you really need it? By my reckoning it saves 24 lines in ipu4; but on the other hand plain C++ is more readable in my view. Anyway it is fine for me either way."/>
    <s v="line129 :&quot;You need a do-while block like is done for DELETE_ARRAY_AND_NULLIFY below. Otherwise this would not work:\n\n if (foo)\n DELETE_AND_NULLIFY(bar);\n else\n doSomethingElse();&quot;"/>
    <m/>
    <s v="arnaud.mandy@intel.com"/>
    <x v="0"/>
    <x v="1"/>
    <s v=""/>
    <x v="1"/>
    <s v=""/>
    <s v=""/>
    <s v=""/>
    <s v=""/>
    <s v=""/>
    <s v=""/>
    <s v=""/>
    <x v="1"/>
    <x v="0"/>
    <x v="0"/>
  </r>
  <r>
    <x v="36"/>
    <m/>
    <m/>
    <m/>
    <m/>
    <m/>
    <m/>
    <m/>
    <m/>
    <m/>
    <m/>
    <m/>
    <x v="17"/>
    <d v="2016-02-11T15:43:00"/>
    <s v="Patch Set 1:\n\n(1 comment)"/>
    <s v="line129 :&quot;Also; I guess parenthesis around var in the delete is slightly safer.&quot;"/>
    <m/>
    <s v="arnaud.mandy@intel.com"/>
    <x v="0"/>
    <x v="1"/>
    <s v=""/>
    <x v="1"/>
    <s v=""/>
    <s v=""/>
    <s v=""/>
    <s v=""/>
    <s v=""/>
    <s v=""/>
    <s v=""/>
    <x v="0"/>
    <x v="0"/>
    <x v="0"/>
  </r>
  <r>
    <x v="36"/>
    <m/>
    <m/>
    <m/>
    <m/>
    <m/>
    <m/>
    <m/>
    <m/>
    <m/>
    <m/>
    <m/>
    <x v="1"/>
    <d v="2016-02-11T15:44:00"/>
    <s v="Patch Set 1:\n\n(1 comment)"/>
    <s v="line129 :&quot;true to both&quot;"/>
    <m/>
    <s v="arnaud.mandy@intel.com"/>
    <x v="0"/>
    <x v="0"/>
    <s v=""/>
    <x v="1"/>
    <s v=""/>
    <s v=""/>
    <s v=""/>
    <s v=""/>
    <s v=""/>
    <s v=""/>
    <s v=""/>
    <x v="0"/>
    <x v="0"/>
    <x v="0"/>
  </r>
  <r>
    <x v="36"/>
    <m/>
    <m/>
    <m/>
    <m/>
    <m/>
    <m/>
    <m/>
    <m/>
    <m/>
    <m/>
    <m/>
    <x v="1"/>
    <d v="2016-02-11T15:45:00"/>
    <s v="Patch Set 2:\n\nPatchset Created: CI job has been scheduled."/>
    <m/>
    <m/>
    <s v="arnaud.mandy@intel.com"/>
    <x v="0"/>
    <x v="0"/>
    <s v=""/>
    <x v="1"/>
    <s v=""/>
    <s v=""/>
    <s v=""/>
    <s v=""/>
    <s v=""/>
    <s v=""/>
    <s v=""/>
    <x v="0"/>
    <x v="0"/>
    <x v="0"/>
  </r>
  <r>
    <x v="36"/>
    <m/>
    <m/>
    <m/>
    <m/>
    <m/>
    <m/>
    <m/>
    <m/>
    <m/>
    <m/>
    <m/>
    <x v="1"/>
    <d v="2016-02-11T15:45:00"/>
    <s v="Uploaded patch set 2."/>
    <m/>
    <m/>
    <s v="arnaud.mandy@intel.com"/>
    <x v="0"/>
    <x v="0"/>
    <s v=""/>
    <x v="1"/>
    <s v=""/>
    <s v=""/>
    <s v=""/>
    <s v=""/>
    <s v=""/>
    <s v=""/>
    <s v=""/>
    <x v="0"/>
    <x v="0"/>
    <x v="0"/>
  </r>
  <r>
    <x v="36"/>
    <m/>
    <m/>
    <m/>
    <m/>
    <m/>
    <m/>
    <m/>
    <m/>
    <m/>
    <m/>
    <m/>
    <x v="1"/>
    <d v="2016-02-11T15:45:00"/>
    <s v="Patch Set 2: Code-Review+1"/>
    <m/>
    <m/>
    <s v="arnaud.mandy@intel.com"/>
    <x v="0"/>
    <x v="0"/>
    <s v=""/>
    <x v="1"/>
    <s v=""/>
    <s v=""/>
    <s v=""/>
    <s v=""/>
    <s v=""/>
    <s v=""/>
    <s v=""/>
    <x v="0"/>
    <x v="0"/>
    <x v="0"/>
  </r>
  <r>
    <x v="36"/>
    <m/>
    <m/>
    <m/>
    <m/>
    <m/>
    <m/>
    <m/>
    <m/>
    <m/>
    <m/>
    <m/>
    <x v="1"/>
    <d v="2016-02-11T15:46:00"/>
    <s v="Patch Set 3:\n\nPatchset Created: CI job has been scheduled."/>
    <m/>
    <m/>
    <s v="arnaud.mandy@intel.com"/>
    <x v="0"/>
    <x v="0"/>
    <s v=""/>
    <x v="1"/>
    <s v=""/>
    <s v=""/>
    <s v=""/>
    <s v=""/>
    <s v=""/>
    <s v=""/>
    <s v=""/>
    <x v="0"/>
    <x v="0"/>
    <x v="0"/>
  </r>
  <r>
    <x v="36"/>
    <m/>
    <m/>
    <m/>
    <m/>
    <m/>
    <m/>
    <m/>
    <m/>
    <m/>
    <m/>
    <m/>
    <x v="1"/>
    <d v="2016-02-11T15:46:00"/>
    <s v="Uploaded patch set 3."/>
    <m/>
    <m/>
    <s v="arnaud.mandy@intel.com"/>
    <x v="0"/>
    <x v="0"/>
    <s v=""/>
    <x v="1"/>
    <s v=""/>
    <s v=""/>
    <s v=""/>
    <s v=""/>
    <s v=""/>
    <s v=""/>
    <s v=""/>
    <x v="0"/>
    <x v="0"/>
    <x v="0"/>
  </r>
  <r>
    <x v="36"/>
    <m/>
    <m/>
    <m/>
    <m/>
    <m/>
    <m/>
    <m/>
    <m/>
    <m/>
    <m/>
    <m/>
    <x v="1"/>
    <d v="2016-02-11T15:46:00"/>
    <s v="Patch Set 3: Code-Review+1"/>
    <m/>
    <m/>
    <s v="arnaud.mandy@intel.com"/>
    <x v="0"/>
    <x v="0"/>
    <s v=""/>
    <x v="1"/>
    <s v=""/>
    <s v=""/>
    <s v=""/>
    <s v=""/>
    <s v=""/>
    <s v=""/>
    <s v=""/>
    <x v="0"/>
    <x v="0"/>
    <x v="0"/>
  </r>
  <r>
    <x v="36"/>
    <m/>
    <m/>
    <m/>
    <m/>
    <m/>
    <m/>
    <m/>
    <m/>
    <m/>
    <m/>
    <m/>
    <x v="17"/>
    <d v="2016-02-11T15:50:00"/>
    <s v="Patch Set 3:\n\n(1 comment)"/>
    <s v="line10 :&quot;R&quot;"/>
    <m/>
    <s v="arnaud.mandy@intel.com"/>
    <x v="0"/>
    <x v="1"/>
    <s v=""/>
    <x v="1"/>
    <s v=""/>
    <s v=""/>
    <s v=""/>
    <s v=""/>
    <s v=""/>
    <s v=""/>
    <s v=""/>
    <x v="0"/>
    <x v="0"/>
    <x v="0"/>
  </r>
  <r>
    <x v="36"/>
    <m/>
    <m/>
    <m/>
    <m/>
    <m/>
    <m/>
    <m/>
    <m/>
    <m/>
    <m/>
    <m/>
    <x v="1"/>
    <d v="2016-02-11T15:52:00"/>
    <s v="Uploaded patch set 4: Commit message was updated."/>
    <m/>
    <m/>
    <s v="arnaud.mandy@intel.com"/>
    <x v="0"/>
    <x v="0"/>
    <s v=""/>
    <x v="1"/>
    <s v=""/>
    <s v=""/>
    <s v=""/>
    <s v=""/>
    <s v=""/>
    <s v=""/>
    <s v=""/>
    <x v="0"/>
    <x v="0"/>
    <x v="0"/>
  </r>
  <r>
    <x v="36"/>
    <m/>
    <m/>
    <m/>
    <m/>
    <m/>
    <m/>
    <m/>
    <m/>
    <m/>
    <m/>
    <m/>
    <x v="1"/>
    <d v="2016-02-11T15:52:00"/>
    <s v="Patch Set 4:\n\nPatchset Created: CI job has been scheduled."/>
    <m/>
    <m/>
    <s v="arnaud.mandy@intel.com"/>
    <x v="0"/>
    <x v="0"/>
    <s v=""/>
    <x v="1"/>
    <s v=""/>
    <s v=""/>
    <s v=""/>
    <s v=""/>
    <s v=""/>
    <s v=""/>
    <s v=""/>
    <x v="0"/>
    <x v="0"/>
    <x v="0"/>
  </r>
  <r>
    <x v="36"/>
    <m/>
    <m/>
    <m/>
    <m/>
    <m/>
    <m/>
    <m/>
    <m/>
    <m/>
    <m/>
    <m/>
    <x v="17"/>
    <d v="2016-02-11T15:53:00"/>
    <s v="Patch Set 4: Code-Review+1"/>
    <m/>
    <m/>
    <s v="arnaud.mandy@intel.com"/>
    <x v="0"/>
    <x v="1"/>
    <s v=""/>
    <x v="1"/>
    <s v=""/>
    <s v=""/>
    <s v=""/>
    <s v=""/>
    <s v=""/>
    <s v=""/>
    <s v=""/>
    <x v="0"/>
    <x v="0"/>
    <x v="0"/>
  </r>
  <r>
    <x v="36"/>
    <m/>
    <m/>
    <m/>
    <m/>
    <m/>
    <m/>
    <m/>
    <m/>
    <m/>
    <m/>
    <m/>
    <x v="14"/>
    <d v="2016-02-11T15:54:00"/>
    <s v="Patch Set 4: Validation-Android+1\n\nreceive smoke test"/>
    <m/>
    <m/>
    <s v="arnaud.mandy@intel.com"/>
    <x v="0"/>
    <x v="5"/>
    <s v=""/>
    <x v="1"/>
    <s v=""/>
    <s v=""/>
    <s v=""/>
    <s v=""/>
    <s v=""/>
    <s v=""/>
    <s v=""/>
    <x v="0"/>
    <x v="1"/>
    <x v="0"/>
  </r>
  <r>
    <x v="36"/>
    <m/>
    <m/>
    <m/>
    <m/>
    <m/>
    <m/>
    <m/>
    <m/>
    <m/>
    <m/>
    <m/>
    <x v="5"/>
    <d v="2016-02-11T16:27:00"/>
    <s v="Patch Set 4: Code-Review+1"/>
    <m/>
    <m/>
    <s v="arnaud.mandy@intel.com"/>
    <x v="0"/>
    <x v="1"/>
    <s v=""/>
    <x v="1"/>
    <s v=""/>
    <s v=""/>
    <s v=""/>
    <s v=""/>
    <s v=""/>
    <s v=""/>
    <s v=""/>
    <x v="0"/>
    <x v="0"/>
    <x v="0"/>
  </r>
  <r>
    <x v="36"/>
    <m/>
    <m/>
    <m/>
    <m/>
    <m/>
    <m/>
    <m/>
    <m/>
    <m/>
    <m/>
    <m/>
    <x v="2"/>
    <d v="2016-02-11T16:37:00"/>
    <s v="Patch Set 4: Code-Review+1"/>
    <m/>
    <m/>
    <s v="arnaud.mandy@intel.com"/>
    <x v="0"/>
    <x v="1"/>
    <s v=""/>
    <x v="1"/>
    <s v=""/>
    <s v=""/>
    <s v=""/>
    <s v=""/>
    <s v=""/>
    <s v=""/>
    <s v=""/>
    <x v="0"/>
    <x v="0"/>
    <x v="0"/>
  </r>
  <r>
    <x v="36"/>
    <m/>
    <m/>
    <m/>
    <m/>
    <m/>
    <m/>
    <m/>
    <m/>
    <m/>
    <m/>
    <m/>
    <x v="18"/>
    <d v="2016-02-11T16:41:00"/>
    <s v="Patch Set 4: Code-Review+1"/>
    <m/>
    <m/>
    <s v="arnaud.mandy@intel.com"/>
    <x v="0"/>
    <x v="1"/>
    <s v=""/>
    <x v="1"/>
    <s v=""/>
    <s v=""/>
    <s v=""/>
    <s v=""/>
    <s v=""/>
    <s v=""/>
    <s v=""/>
    <x v="0"/>
    <x v="0"/>
    <x v="0"/>
  </r>
  <r>
    <x v="36"/>
    <m/>
    <m/>
    <m/>
    <m/>
    <m/>
    <m/>
    <m/>
    <m/>
    <m/>
    <m/>
    <m/>
    <x v="1"/>
    <d v="2016-02-11T18:55:00"/>
    <s v="Patch Set 5:\n\nPatchset Created: CI job has been scheduled."/>
    <m/>
    <m/>
    <s v="arnaud.mandy@intel.com"/>
    <x v="0"/>
    <x v="0"/>
    <s v=""/>
    <x v="1"/>
    <s v=""/>
    <s v=""/>
    <s v=""/>
    <s v=""/>
    <s v=""/>
    <s v=""/>
    <s v=""/>
    <x v="0"/>
    <x v="0"/>
    <x v="0"/>
  </r>
  <r>
    <x v="36"/>
    <m/>
    <m/>
    <m/>
    <m/>
    <m/>
    <m/>
    <m/>
    <m/>
    <m/>
    <m/>
    <m/>
    <x v="1"/>
    <d v="2016-02-11T18:55:00"/>
    <s v="Uploaded patch set 5: Patch Set 4 was rebased."/>
    <m/>
    <m/>
    <s v="arnaud.mandy@intel.com"/>
    <x v="0"/>
    <x v="0"/>
    <s v=""/>
    <x v="1"/>
    <s v=""/>
    <s v=""/>
    <s v=""/>
    <s v=""/>
    <s v=""/>
    <s v=""/>
    <s v=""/>
    <x v="0"/>
    <x v="0"/>
    <x v="0"/>
  </r>
  <r>
    <x v="36"/>
    <m/>
    <m/>
    <m/>
    <m/>
    <m/>
    <m/>
    <m/>
    <m/>
    <m/>
    <m/>
    <m/>
    <x v="14"/>
    <d v="2016-02-11T18:56:00"/>
    <s v="Patch Set 5: Validation-Android+1\n\nreceive smoke test"/>
    <m/>
    <m/>
    <s v="arnaud.mandy@intel.com"/>
    <x v="0"/>
    <x v="5"/>
    <s v=""/>
    <x v="1"/>
    <s v=""/>
    <s v=""/>
    <s v=""/>
    <s v=""/>
    <s v=""/>
    <s v=""/>
    <s v=""/>
    <x v="0"/>
    <x v="1"/>
    <x v="0"/>
  </r>
  <r>
    <x v="36"/>
    <m/>
    <m/>
    <m/>
    <m/>
    <m/>
    <m/>
    <m/>
    <m/>
    <m/>
    <m/>
    <m/>
    <x v="6"/>
    <d v="2016-02-11T18:58:00"/>
    <s v="Patch Set 5: Code-Review+1"/>
    <m/>
    <m/>
    <s v="arnaud.mandy@intel.com"/>
    <x v="0"/>
    <x v="1"/>
    <s v=""/>
    <x v="1"/>
    <s v=""/>
    <s v=""/>
    <s v=""/>
    <s v=""/>
    <s v=""/>
    <s v=""/>
    <s v=""/>
    <x v="0"/>
    <x v="0"/>
    <x v="0"/>
  </r>
  <r>
    <x v="36"/>
    <m/>
    <m/>
    <m/>
    <m/>
    <m/>
    <m/>
    <m/>
    <m/>
    <m/>
    <m/>
    <m/>
    <x v="30"/>
    <d v="2016-02-11T20:56:00"/>
    <s v="Patch Set 5: Code-Review+1"/>
    <m/>
    <m/>
    <s v="arnaud.mandy@intel.com"/>
    <x v="0"/>
    <x v="3"/>
    <s v=""/>
    <x v="1"/>
    <s v=""/>
    <s v=""/>
    <s v=""/>
    <s v=""/>
    <s v=""/>
    <s v=""/>
    <s v=""/>
    <x v="0"/>
    <x v="0"/>
    <x v="0"/>
  </r>
  <r>
    <x v="36"/>
    <m/>
    <m/>
    <m/>
    <m/>
    <m/>
    <m/>
    <m/>
    <m/>
    <m/>
    <m/>
    <m/>
    <x v="13"/>
    <d v="2016-02-11T21:26:00"/>
    <s v="Patch Set 5: Code-Review+1"/>
    <m/>
    <m/>
    <s v="arnaud.mandy@intel.com"/>
    <x v="0"/>
    <x v="4"/>
    <s v=""/>
    <x v="1"/>
    <s v=""/>
    <s v=""/>
    <s v=""/>
    <s v=""/>
    <s v=""/>
    <s v=""/>
    <s v=""/>
    <x v="0"/>
    <x v="0"/>
    <x v="0"/>
  </r>
  <r>
    <x v="36"/>
    <m/>
    <m/>
    <m/>
    <m/>
    <m/>
    <m/>
    <m/>
    <m/>
    <m/>
    <m/>
    <m/>
    <x v="2"/>
    <d v="2016-02-12T16:00:00"/>
    <s v="Patch Set 5: Approver+1"/>
    <m/>
    <m/>
    <s v="arnaud.mandy@intel.com"/>
    <x v="0"/>
    <x v="1"/>
    <s v=""/>
    <x v="1"/>
    <s v=""/>
    <s v=""/>
    <s v=""/>
    <s v=""/>
    <s v=""/>
    <s v=""/>
    <s v=""/>
    <x v="0"/>
    <x v="0"/>
    <x v="0"/>
  </r>
  <r>
    <x v="36"/>
    <m/>
    <m/>
    <m/>
    <m/>
    <m/>
    <m/>
    <m/>
    <m/>
    <m/>
    <m/>
    <m/>
    <x v="2"/>
    <d v="2016-02-12T16:00:00"/>
    <s v="Topic changed from Feb11v1 to bxt_preint_HEAD"/>
    <m/>
    <m/>
    <s v="arnaud.mandy@intel.com"/>
    <x v="0"/>
    <x v="1"/>
    <s v=""/>
    <x v="1"/>
    <s v=""/>
    <s v=""/>
    <s v=""/>
    <s v=""/>
    <s v=""/>
    <s v=""/>
    <s v=""/>
    <x v="0"/>
    <x v="0"/>
    <x v="0"/>
  </r>
  <r>
    <x v="36"/>
    <m/>
    <m/>
    <m/>
    <m/>
    <m/>
    <m/>
    <m/>
    <m/>
    <m/>
    <m/>
    <m/>
    <x v="2"/>
    <d v="2016-02-12T21:10:00"/>
    <s v="Topic changed from bxt_preint_HEAD to bxt_preint"/>
    <m/>
    <m/>
    <s v="arnaud.mandy@intel.com"/>
    <x v="0"/>
    <x v="1"/>
    <s v=""/>
    <x v="1"/>
    <s v=""/>
    <s v=""/>
    <s v=""/>
    <s v=""/>
    <s v=""/>
    <s v=""/>
    <s v=""/>
    <x v="0"/>
    <x v="0"/>
    <x v="0"/>
  </r>
  <r>
    <x v="36"/>
    <m/>
    <m/>
    <m/>
    <m/>
    <m/>
    <m/>
    <m/>
    <m/>
    <m/>
    <m/>
    <m/>
    <x v="32"/>
    <d v="2016-02-14T07:16:00"/>
    <s v="Patch Set 5: Integrator+1\n\nIntegrator +1; patch will be added to PIT; please no change now"/>
    <m/>
    <m/>
    <s v="arnaud.mandy@intel.com"/>
    <x v="0"/>
    <x v="6"/>
    <s v=""/>
    <x v="1"/>
    <s v=""/>
    <s v=""/>
    <s v=""/>
    <s v=""/>
    <s v=""/>
    <s v=""/>
    <s v=""/>
    <x v="0"/>
    <x v="1"/>
    <x v="0"/>
  </r>
  <r>
    <x v="36"/>
    <m/>
    <m/>
    <m/>
    <m/>
    <m/>
    <m/>
    <m/>
    <m/>
    <m/>
    <m/>
    <m/>
    <x v="3"/>
    <d v="2016-02-14T10:19:00"/>
    <s v="Patch Set 5: Code-Review+1"/>
    <m/>
    <m/>
    <s v="arnaud.mandy@intel.com"/>
    <x v="0"/>
    <x v="2"/>
    <s v=""/>
    <x v="1"/>
    <s v=""/>
    <s v=""/>
    <s v=""/>
    <s v=""/>
    <s v=""/>
    <s v=""/>
    <s v=""/>
    <x v="0"/>
    <x v="0"/>
    <x v="0"/>
  </r>
  <r>
    <x v="36"/>
    <m/>
    <m/>
    <m/>
    <m/>
    <m/>
    <m/>
    <m/>
    <m/>
    <m/>
    <m/>
    <m/>
    <x v="9"/>
    <d v="2016-02-14T14:22:00"/>
    <s v="Patch Set 5: Integrator+1\n\nIntegrator +1; patch will be add to PT; please no change now"/>
    <m/>
    <m/>
    <s v="arnaud.mandy@intel.com"/>
    <x v="0"/>
    <x v="5"/>
    <s v=""/>
    <x v="1"/>
    <s v=""/>
    <s v=""/>
    <s v=""/>
    <s v=""/>
    <s v=""/>
    <s v=""/>
    <s v=""/>
    <x v="0"/>
    <x v="1"/>
    <x v="0"/>
  </r>
  <r>
    <x v="36"/>
    <m/>
    <m/>
    <m/>
    <m/>
    <m/>
    <m/>
    <m/>
    <m/>
    <m/>
    <m/>
    <m/>
    <x v="9"/>
    <d v="2016-02-14T19:25:00"/>
    <s v="Patch Set 5:\n\nPassed Klocwork code analyzing test. No CRITICAL issue in this patch. Auto reported by kwscan@andr-val-srv0.bj.intel.com"/>
    <m/>
    <m/>
    <s v="arnaud.mandy@intel.com"/>
    <x v="0"/>
    <x v="5"/>
    <s v=""/>
    <x v="1"/>
    <s v=""/>
    <s v=""/>
    <s v=""/>
    <s v=""/>
    <s v=""/>
    <s v=""/>
    <s v=""/>
    <x v="0"/>
    <x v="0"/>
    <x v="0"/>
  </r>
  <r>
    <x v="36"/>
    <m/>
    <m/>
    <m/>
    <m/>
    <m/>
    <m/>
    <m/>
    <m/>
    <m/>
    <m/>
    <m/>
    <x v="9"/>
    <d v="2016-02-14T19:29:00"/>
    <s v="Patch Set 5:\n\nPassed Klocwork code analyzing test. No CRITICAL issue in this patch. Auto reported by kwscan@kw-srv2.bj.intel.com"/>
    <m/>
    <m/>
    <s v="arnaud.mandy@intel.com"/>
    <x v="0"/>
    <x v="5"/>
    <s v=""/>
    <x v="1"/>
    <s v=""/>
    <s v=""/>
    <s v=""/>
    <s v=""/>
    <s v=""/>
    <s v=""/>
    <s v=""/>
    <x v="0"/>
    <x v="0"/>
    <x v="0"/>
  </r>
  <r>
    <x v="36"/>
    <m/>
    <m/>
    <m/>
    <m/>
    <m/>
    <m/>
    <m/>
    <m/>
    <m/>
    <m/>
    <m/>
    <x v="9"/>
    <d v="2016-02-14T19:32:00"/>
    <s v="Patch Set 5:\n\nPassed Klocwork code analyzing test. No CRITICAL issue in this patch. Auto reported by kwscan@psi-build5.bj.intel.com"/>
    <m/>
    <m/>
    <s v="arnaud.mandy@intel.com"/>
    <x v="0"/>
    <x v="5"/>
    <s v=""/>
    <x v="1"/>
    <s v=""/>
    <s v=""/>
    <s v=""/>
    <s v=""/>
    <s v=""/>
    <s v=""/>
    <s v=""/>
    <x v="0"/>
    <x v="0"/>
    <x v="0"/>
  </r>
  <r>
    <x v="36"/>
    <m/>
    <m/>
    <m/>
    <m/>
    <m/>
    <m/>
    <m/>
    <m/>
    <m/>
    <m/>
    <m/>
    <x v="15"/>
    <d v="2016-02-15T10:09:00"/>
    <s v="Patch Set 5: Code-Review+1"/>
    <m/>
    <m/>
    <s v="arnaud.mandy@intel.com"/>
    <x v="0"/>
    <x v="4"/>
    <s v=""/>
    <x v="1"/>
    <s v=""/>
    <s v=""/>
    <s v=""/>
    <s v=""/>
    <s v=""/>
    <s v=""/>
    <s v=""/>
    <x v="0"/>
    <x v="0"/>
    <x v="0"/>
  </r>
  <r>
    <x v="36"/>
    <m/>
    <m/>
    <m/>
    <m/>
    <m/>
    <m/>
    <m/>
    <m/>
    <m/>
    <m/>
    <m/>
    <x v="9"/>
    <d v="2016-02-15T15:19:00"/>
    <s v="Patch Set 5: Integrator-1\n\nBXT PIT test failed with regression; so nogo this patch"/>
    <m/>
    <m/>
    <s v="arnaud.mandy@intel.com"/>
    <x v="0"/>
    <x v="5"/>
    <s v=""/>
    <x v="1"/>
    <s v=""/>
    <s v=""/>
    <s v=""/>
    <s v=""/>
    <s v=""/>
    <s v=""/>
    <s v=""/>
    <x v="0"/>
    <x v="1"/>
    <x v="0"/>
  </r>
  <r>
    <x v="36"/>
    <m/>
    <m/>
    <m/>
    <m/>
    <m/>
    <m/>
    <m/>
    <m/>
    <m/>
    <m/>
    <m/>
    <x v="9"/>
    <d v="2016-02-15T15:21:00"/>
    <s v="Patch Set 5: Integrator+1\n\nIntegrator +1; patch will be add to PT; please no change now"/>
    <m/>
    <m/>
    <s v="arnaud.mandy@intel.com"/>
    <x v="0"/>
    <x v="5"/>
    <s v=""/>
    <x v="1"/>
    <s v=""/>
    <s v=""/>
    <s v=""/>
    <s v=""/>
    <s v=""/>
    <s v=""/>
    <s v=""/>
    <x v="0"/>
    <x v="1"/>
    <x v="0"/>
  </r>
  <r>
    <x v="36"/>
    <m/>
    <m/>
    <m/>
    <m/>
    <m/>
    <m/>
    <m/>
    <m/>
    <m/>
    <m/>
    <m/>
    <x v="9"/>
    <d v="2016-02-15T21:05:00"/>
    <s v="Patch Set 5:\n\nPassed Klocwork code analyzing test. No CRITICAL issue in this patch. Auto reported by kwscan@psi-build5.bj.intel.com"/>
    <m/>
    <m/>
    <s v="arnaud.mandy@intel.com"/>
    <x v="0"/>
    <x v="5"/>
    <s v=""/>
    <x v="1"/>
    <s v=""/>
    <s v=""/>
    <s v=""/>
    <s v=""/>
    <s v=""/>
    <s v=""/>
    <s v=""/>
    <x v="0"/>
    <x v="0"/>
    <x v="0"/>
  </r>
  <r>
    <x v="36"/>
    <m/>
    <m/>
    <m/>
    <m/>
    <m/>
    <m/>
    <m/>
    <m/>
    <m/>
    <m/>
    <m/>
    <x v="9"/>
    <d v="2016-02-15T23:45:00"/>
    <s v="Patch Set 5:\n\nPassed Klocwork code analyzing test. No CRITICAL issue in this patch. Auto reported by kwscan@psi-build5.bj.intel.com"/>
    <m/>
    <m/>
    <s v="arnaud.mandy@intel.com"/>
    <x v="0"/>
    <x v="5"/>
    <s v=""/>
    <x v="1"/>
    <s v=""/>
    <s v=""/>
    <s v=""/>
    <s v=""/>
    <s v=""/>
    <s v=""/>
    <s v=""/>
    <x v="0"/>
    <x v="0"/>
    <x v="0"/>
  </r>
  <r>
    <x v="36"/>
    <m/>
    <m/>
    <m/>
    <m/>
    <m/>
    <m/>
    <m/>
    <m/>
    <m/>
    <m/>
    <m/>
    <x v="9"/>
    <d v="2016-02-16T09:47:00"/>
    <s v="Patch Set 5:\n\nPassed Klocwork code analyzing test. No CRITICAL issue in this patch. Auto reported by kwscan@andr-val-srv0.bj.intel.com"/>
    <m/>
    <m/>
    <s v="arnaud.mandy@intel.com"/>
    <x v="0"/>
    <x v="5"/>
    <s v=""/>
    <x v="1"/>
    <s v=""/>
    <s v=""/>
    <s v=""/>
    <s v=""/>
    <s v=""/>
    <s v=""/>
    <s v=""/>
    <x v="0"/>
    <x v="0"/>
    <x v="0"/>
  </r>
  <r>
    <x v="36"/>
    <m/>
    <m/>
    <m/>
    <m/>
    <m/>
    <m/>
    <m/>
    <m/>
    <m/>
    <m/>
    <m/>
    <x v="9"/>
    <d v="2016-02-16T10:55:00"/>
    <s v="Patch Set 5:\n\nPassed Klocwork code analyzing test. No CRITICAL issue in this patch. Auto reported by kwscan@andr-val-srv0.bj.intel.com"/>
    <m/>
    <m/>
    <s v="arnaud.mandy@intel.com"/>
    <x v="0"/>
    <x v="5"/>
    <s v=""/>
    <x v="1"/>
    <s v=""/>
    <s v=""/>
    <s v=""/>
    <s v=""/>
    <s v=""/>
    <s v=""/>
    <s v=""/>
    <x v="0"/>
    <x v="0"/>
    <x v="0"/>
  </r>
  <r>
    <x v="36"/>
    <m/>
    <m/>
    <m/>
    <m/>
    <m/>
    <m/>
    <m/>
    <m/>
    <m/>
    <m/>
    <m/>
    <x v="9"/>
    <d v="2016-02-16T12:37:00"/>
    <s v="Patch Set 5:\n\nPassed Klocwork code analyzing test. No CRITICAL issue in this patch. Auto reported by kwscan@psi-build5.bj.intel.com"/>
    <m/>
    <m/>
    <s v="arnaud.mandy@intel.com"/>
    <x v="0"/>
    <x v="5"/>
    <s v=""/>
    <x v="1"/>
    <s v=""/>
    <s v=""/>
    <s v=""/>
    <s v=""/>
    <s v=""/>
    <s v=""/>
    <s v=""/>
    <x v="0"/>
    <x v="0"/>
    <x v="0"/>
  </r>
  <r>
    <x v="36"/>
    <m/>
    <m/>
    <m/>
    <m/>
    <m/>
    <m/>
    <m/>
    <m/>
    <m/>
    <m/>
    <m/>
    <x v="9"/>
    <d v="2016-02-16T17:01:00"/>
    <s v="Patch Set 5:\n\nPassed Klocwork code analyzing test. No CRITICAL issue in this patch. Auto reported by kwscan@andr-val-srv0.bj.intel.com"/>
    <m/>
    <m/>
    <s v="arnaud.mandy@intel.com"/>
    <x v="0"/>
    <x v="5"/>
    <s v=""/>
    <x v="1"/>
    <s v=""/>
    <s v=""/>
    <s v=""/>
    <s v=""/>
    <s v=""/>
    <s v=""/>
    <s v=""/>
    <x v="0"/>
    <x v="0"/>
    <x v="0"/>
  </r>
  <r>
    <x v="36"/>
    <m/>
    <m/>
    <m/>
    <m/>
    <m/>
    <m/>
    <m/>
    <m/>
    <m/>
    <m/>
    <m/>
    <x v="9"/>
    <d v="2016-02-16T17:54:00"/>
    <s v="Patch Set 5: Integrator-1\n\nBXT PIT test failed with regression; so nogo this patch"/>
    <m/>
    <m/>
    <s v="arnaud.mandy@intel.com"/>
    <x v="0"/>
    <x v="5"/>
    <s v=""/>
    <x v="1"/>
    <s v=""/>
    <s v=""/>
    <s v=""/>
    <s v=""/>
    <s v=""/>
    <s v=""/>
    <s v=""/>
    <x v="0"/>
    <x v="1"/>
    <x v="0"/>
  </r>
  <r>
    <x v="36"/>
    <m/>
    <m/>
    <m/>
    <m/>
    <m/>
    <m/>
    <m/>
    <m/>
    <m/>
    <m/>
    <m/>
    <x v="9"/>
    <d v="2016-02-16T17:56:00"/>
    <s v="Patch Set 5: Integrator+1\n\nIntegrator +1; patch will be add to PT; please no change now"/>
    <m/>
    <m/>
    <s v="arnaud.mandy@intel.com"/>
    <x v="0"/>
    <x v="5"/>
    <s v=""/>
    <x v="1"/>
    <s v=""/>
    <s v=""/>
    <s v=""/>
    <s v=""/>
    <s v=""/>
    <s v=""/>
    <s v=""/>
    <x v="0"/>
    <x v="1"/>
    <x v="0"/>
  </r>
  <r>
    <x v="36"/>
    <m/>
    <m/>
    <m/>
    <m/>
    <m/>
    <m/>
    <m/>
    <m/>
    <m/>
    <m/>
    <m/>
    <x v="9"/>
    <d v="2016-02-16T18:42:00"/>
    <s v="Patch Set 5:\n\nPassed Klocwork code analyzing test. No CRITICAL issue in this patch. Auto reported by kwscan@psi-build5.bj.intel.com"/>
    <m/>
    <m/>
    <s v="arnaud.mandy@intel.com"/>
    <x v="0"/>
    <x v="5"/>
    <s v=""/>
    <x v="1"/>
    <s v=""/>
    <s v=""/>
    <s v=""/>
    <s v=""/>
    <s v=""/>
    <s v=""/>
    <s v=""/>
    <x v="0"/>
    <x v="0"/>
    <x v="0"/>
  </r>
  <r>
    <x v="36"/>
    <m/>
    <m/>
    <m/>
    <m/>
    <m/>
    <m/>
    <m/>
    <m/>
    <m/>
    <m/>
    <m/>
    <x v="9"/>
    <d v="2016-02-16T20:43:00"/>
    <s v="Patch Set 5:\n\nPassed Klocwork code analyzing test. No CRITICAL issue in this patch. Auto reported by kwscan@psi-build5.bj.intel.com"/>
    <m/>
    <m/>
    <s v="arnaud.mandy@intel.com"/>
    <x v="0"/>
    <x v="5"/>
    <s v=""/>
    <x v="1"/>
    <s v=""/>
    <s v=""/>
    <s v=""/>
    <s v=""/>
    <s v=""/>
    <s v=""/>
    <s v=""/>
    <x v="0"/>
    <x v="0"/>
    <x v="0"/>
  </r>
  <r>
    <x v="36"/>
    <m/>
    <m/>
    <m/>
    <m/>
    <m/>
    <m/>
    <m/>
    <m/>
    <m/>
    <m/>
    <m/>
    <x v="9"/>
    <d v="2016-02-16T20:50:00"/>
    <s v="Patch Set 5:\n\nPassed Klocwork code analyzing test. No CRITICAL issue in this patch. Auto reported by kwscan@andr-val-srv0.bj.intel.com"/>
    <m/>
    <m/>
    <s v="arnaud.mandy@intel.com"/>
    <x v="0"/>
    <x v="5"/>
    <s v=""/>
    <x v="1"/>
    <s v=""/>
    <s v=""/>
    <s v=""/>
    <s v=""/>
    <s v=""/>
    <s v=""/>
    <s v=""/>
    <x v="0"/>
    <x v="0"/>
    <x v="0"/>
  </r>
  <r>
    <x v="36"/>
    <m/>
    <m/>
    <m/>
    <m/>
    <m/>
    <m/>
    <m/>
    <m/>
    <m/>
    <m/>
    <m/>
    <x v="9"/>
    <d v="2016-02-16T23:45:00"/>
    <s v="Patch Set 5:\n\nPassed Klocwork code analyzing test. No CRITICAL issue in this patch. Auto reported by kwscan@psi-build5.bj.intel.com"/>
    <m/>
    <m/>
    <s v="arnaud.mandy@intel.com"/>
    <x v="0"/>
    <x v="5"/>
    <s v=""/>
    <x v="1"/>
    <s v=""/>
    <s v=""/>
    <s v=""/>
    <s v=""/>
    <s v=""/>
    <s v=""/>
    <s v=""/>
    <x v="0"/>
    <x v="0"/>
    <x v="0"/>
  </r>
  <r>
    <x v="36"/>
    <m/>
    <m/>
    <m/>
    <m/>
    <m/>
    <m/>
    <m/>
    <m/>
    <m/>
    <m/>
    <m/>
    <x v="9"/>
    <d v="2016-02-17T15:39:00"/>
    <s v="Patch Set 5: Code-Review+1\n\nPassed PIT; ready for merge"/>
    <m/>
    <m/>
    <s v="arnaud.mandy@intel.com"/>
    <x v="0"/>
    <x v="5"/>
    <s v=""/>
    <x v="1"/>
    <s v=""/>
    <s v=""/>
    <s v=""/>
    <s v=""/>
    <s v=""/>
    <s v=""/>
    <s v=""/>
    <x v="0"/>
    <x v="0"/>
    <x v="0"/>
  </r>
  <r>
    <x v="37"/>
    <n v="100129"/>
    <s v="vied-viedandr-camera3hal"/>
    <s v="platform/android/main"/>
    <s v="I90c12cb7add224904f8d5bae87415a1655bd89b4"/>
    <s v="juha.alanen@intel.com"/>
    <s v="MERGED"/>
    <s v="c3: handle MEDIA_BUS formats in the parser"/>
    <s v="c3: handle MEDIA_BUS formats in the parser\n\nV4L2_MBUS format definitions are now deprecated and any new\nformats will only be defined as MEDIA_BUS formats. The existing\nV4L2_MBUS definitions will not be removed.\n\nHandle MEDIA_BUS formats in the parser and change IPU4\ncamera_profiles to use them instead of V4L2_MBUS formats.\n\nChange-Id: I90c12cb7add224904f8d5bae87415a1655bd89b4\nTracked-On: #R506423\nSigned-off-by: Juha Alanen &lt;juha.alanen@intel.com&gt;\nReviewed-on: https://icggerrit.ir.intel.com/100129\nReviewed-by: Lassi I Vaatamoinen &lt;lassi.i.vaatamoinen@intel.com&gt;\nReviewed-by: Ukri Niemimuukko &lt;ukri.niemimuukko@intel.com&gt;\nReviewed-by: John Mathew &lt;john.mathew@intel.com&gt;\nReviewed-by: Arnaud Mandy &lt;arnaud.mandy@intel.com&gt;\nReviewed-by: Miguel Verdu &lt;miguel.verdu@intel.com&gt;\nApprover: Jukka O Kaartinen &lt;jukka.o.kaartinen@intel.com&gt;\nValidation-Android: Wei Tao &lt;wei.tao@intel.com&gt;\nBuild: Dessert M BXT RVP (SC)\nIntegrator: SambathkumarX Chandrasekaran &lt;sambathkumarx.chandrasekaran@intel.com&gt;\nBuild: Dessert M CHT FFD (SC)\nBuild: Dessert M SOFIA (SC)\nReviewed-by: Anttu Koski &lt;anttu.koski@intel.com&gt;\n"/>
    <d v="2016-02-04T22:39:00"/>
    <d v="2016-02-14T04:46:00"/>
    <s v="common"/>
    <x v="5"/>
    <d v="2016-02-04T22:39:00"/>
    <s v="Uploaded patch set 1."/>
    <m/>
    <s v="anttu.koski@intel.com;jukka.o.kaartinen@intel.com;miguel.verdu@intel.com;arnaud.mandy@intel.com;john.mathew@intel.com;ukri.niemimuukko@intel.com;lassi.i.vaatamoinen@intel.com;"/>
    <s v="juha.alanen@intel.com"/>
    <x v="0"/>
    <x v="0"/>
    <s v="16'ww8"/>
    <x v="1"/>
    <n v="1"/>
    <n v="0"/>
    <n v="1"/>
    <n v="0"/>
    <n v="0"/>
    <n v="12"/>
    <n v="0"/>
    <x v="0"/>
    <x v="0"/>
    <x v="0"/>
  </r>
  <r>
    <x v="37"/>
    <m/>
    <m/>
    <m/>
    <m/>
    <m/>
    <m/>
    <m/>
    <m/>
    <m/>
    <m/>
    <m/>
    <x v="5"/>
    <d v="2016-02-04T22:39:00"/>
    <s v="Patch Set 1:\n\nPatchset Created: CI job has been scheduled."/>
    <m/>
    <m/>
    <s v="juha.alanen@intel.com"/>
    <x v="0"/>
    <x v="0"/>
    <s v=""/>
    <x v="1"/>
    <s v=""/>
    <s v=""/>
    <s v=""/>
    <s v=""/>
    <s v=""/>
    <s v=""/>
    <s v=""/>
    <x v="0"/>
    <x v="0"/>
    <x v="0"/>
  </r>
  <r>
    <x v="37"/>
    <m/>
    <m/>
    <m/>
    <m/>
    <m/>
    <m/>
    <m/>
    <m/>
    <m/>
    <m/>
    <m/>
    <x v="5"/>
    <d v="2016-02-04T22:42:00"/>
    <s v="Patch Set 1: Code-Review+1"/>
    <m/>
    <m/>
    <s v="juha.alanen@intel.com"/>
    <x v="0"/>
    <x v="0"/>
    <s v=""/>
    <x v="1"/>
    <s v=""/>
    <s v=""/>
    <s v=""/>
    <s v=""/>
    <s v=""/>
    <s v=""/>
    <s v=""/>
    <x v="0"/>
    <x v="0"/>
    <x v="0"/>
  </r>
  <r>
    <x v="37"/>
    <m/>
    <m/>
    <m/>
    <m/>
    <m/>
    <m/>
    <m/>
    <m/>
    <m/>
    <m/>
    <m/>
    <x v="12"/>
    <d v="2016-02-05T18:58:00"/>
    <s v="Patch Set 1: Code-Review-1\n\nLooks like this depends on a kernel patch? Add Depends-On: field"/>
    <m/>
    <m/>
    <s v="juha.alanen@intel.com"/>
    <x v="0"/>
    <x v="1"/>
    <s v=""/>
    <x v="1"/>
    <s v=""/>
    <s v=""/>
    <s v=""/>
    <s v=""/>
    <s v=""/>
    <s v=""/>
    <s v=""/>
    <x v="1"/>
    <x v="0"/>
    <x v="0"/>
  </r>
  <r>
    <x v="37"/>
    <m/>
    <m/>
    <m/>
    <m/>
    <m/>
    <m/>
    <m/>
    <m/>
    <m/>
    <m/>
    <m/>
    <x v="12"/>
    <d v="2016-02-05T19:21:00"/>
    <s v="Patch Set 2:\n\nPatchset Created: CI job has been scheduled."/>
    <m/>
    <m/>
    <s v="juha.alanen@intel.com"/>
    <x v="0"/>
    <x v="1"/>
    <s v=""/>
    <x v="1"/>
    <s v=""/>
    <s v=""/>
    <s v=""/>
    <s v=""/>
    <s v=""/>
    <s v=""/>
    <s v=""/>
    <x v="0"/>
    <x v="0"/>
    <x v="0"/>
  </r>
  <r>
    <x v="37"/>
    <m/>
    <m/>
    <m/>
    <m/>
    <m/>
    <m/>
    <m/>
    <m/>
    <m/>
    <m/>
    <m/>
    <x v="12"/>
    <d v="2016-02-05T19:21:00"/>
    <s v="Uploaded patch set 2: Patch Set 1 was rebased."/>
    <m/>
    <m/>
    <s v="juha.alanen@intel.com"/>
    <x v="0"/>
    <x v="1"/>
    <s v=""/>
    <x v="1"/>
    <s v=""/>
    <s v=""/>
    <s v=""/>
    <s v=""/>
    <s v=""/>
    <s v=""/>
    <s v=""/>
    <x v="0"/>
    <x v="0"/>
    <x v="0"/>
  </r>
  <r>
    <x v="37"/>
    <m/>
    <m/>
    <m/>
    <m/>
    <m/>
    <m/>
    <m/>
    <m/>
    <m/>
    <m/>
    <m/>
    <x v="5"/>
    <d v="2016-02-05T19:33:00"/>
    <s v="Patch Set 2:\n\nIt depends on https://android.intel.com/#/c/459622/\nwhich is already merged."/>
    <m/>
    <m/>
    <s v="juha.alanen@intel.com"/>
    <x v="0"/>
    <x v="0"/>
    <s v=""/>
    <x v="1"/>
    <s v=""/>
    <s v=""/>
    <s v=""/>
    <s v=""/>
    <s v=""/>
    <s v=""/>
    <s v=""/>
    <x v="0"/>
    <x v="0"/>
    <x v="0"/>
  </r>
  <r>
    <x v="37"/>
    <m/>
    <m/>
    <m/>
    <m/>
    <m/>
    <m/>
    <m/>
    <m/>
    <m/>
    <m/>
    <m/>
    <x v="12"/>
    <d v="2016-02-05T20:51:00"/>
    <s v="Patch Set 2:\n\nWith this patch camera app did not start; startPreview() failed with:\n\n01-01 03:10:58.039 7889 8126 W CAMHAL_V4L2DevBase: xioctl: Request 0xc0585605 failed: Invalid argument\n01-01 03:10:58.039 7889 8126 E CAMHAL_V4L2Subdev: VIDIOC_SUBDEV_S_FMT failed: Invalid argument\n01-01 03:10:58.039 7889 8126 E CAMHAL_InputSystem: handleMessageConfigure: cannot set MediaCtl format (ret = -2147483648)\n01-01 03:10:58.039 7889 8126 E CAMHAL_InputSystem: error -2147483648 in handling message: 1\n\nSo I had something missing from my build; that this patch requires?\n\nI had https://android.intel.com/459622/ in my build. I guess this patch would not even build without it?\n\nHow about https://icggerrit.ir.intel.com/99858 ?"/>
    <m/>
    <m/>
    <s v="juha.alanen@intel.com"/>
    <x v="0"/>
    <x v="1"/>
    <s v=""/>
    <x v="1"/>
    <s v=""/>
    <s v=""/>
    <s v=""/>
    <s v=""/>
    <s v=""/>
    <s v=""/>
    <s v=""/>
    <x v="0"/>
    <x v="0"/>
    <x v="0"/>
  </r>
  <r>
    <x v="37"/>
    <m/>
    <m/>
    <m/>
    <m/>
    <m/>
    <m/>
    <m/>
    <m/>
    <m/>
    <m/>
    <m/>
    <x v="5"/>
    <d v="2016-02-10T18:59:00"/>
    <s v="Patch Set 3:\n\nPatchset Created: CI job has been scheduled."/>
    <m/>
    <m/>
    <s v="juha.alanen@intel.com"/>
    <x v="0"/>
    <x v="0"/>
    <s v=""/>
    <x v="1"/>
    <s v=""/>
    <s v=""/>
    <s v=""/>
    <s v=""/>
    <s v=""/>
    <s v=""/>
    <s v=""/>
    <x v="0"/>
    <x v="0"/>
    <x v="0"/>
  </r>
  <r>
    <x v="37"/>
    <m/>
    <m/>
    <m/>
    <m/>
    <m/>
    <m/>
    <m/>
    <m/>
    <m/>
    <m/>
    <m/>
    <x v="5"/>
    <d v="2016-02-10T18:59:00"/>
    <s v="Uploaded patch set 3: Patch Set 2 was rebased."/>
    <m/>
    <m/>
    <s v="juha.alanen@intel.com"/>
    <x v="0"/>
    <x v="0"/>
    <s v=""/>
    <x v="1"/>
    <s v=""/>
    <s v=""/>
    <s v=""/>
    <s v=""/>
    <s v=""/>
    <s v=""/>
    <s v=""/>
    <x v="0"/>
    <x v="0"/>
    <x v="0"/>
  </r>
  <r>
    <x v="37"/>
    <m/>
    <m/>
    <m/>
    <m/>
    <m/>
    <m/>
    <m/>
    <m/>
    <m/>
    <m/>
    <m/>
    <x v="12"/>
    <d v="2016-02-10T20:54:00"/>
    <s v="Patch Set 3: Code-Review+1\n\n+1; based on the statement that this has been under CTS tests and passing those"/>
    <m/>
    <m/>
    <s v="juha.alanen@intel.com"/>
    <x v="0"/>
    <x v="1"/>
    <s v=""/>
    <x v="1"/>
    <s v=""/>
    <s v=""/>
    <s v=""/>
    <s v=""/>
    <s v=""/>
    <s v=""/>
    <s v=""/>
    <x v="0"/>
    <x v="0"/>
    <x v="0"/>
  </r>
  <r>
    <x v="37"/>
    <m/>
    <m/>
    <m/>
    <m/>
    <m/>
    <m/>
    <m/>
    <m/>
    <m/>
    <m/>
    <m/>
    <x v="6"/>
    <d v="2016-02-10T20:54:00"/>
    <s v="Patch Set 3: Code-Review+1"/>
    <m/>
    <m/>
    <s v="juha.alanen@intel.com"/>
    <x v="0"/>
    <x v="1"/>
    <s v=""/>
    <x v="1"/>
    <s v=""/>
    <s v=""/>
    <s v=""/>
    <s v=""/>
    <s v=""/>
    <s v=""/>
    <s v=""/>
    <x v="0"/>
    <x v="0"/>
    <x v="0"/>
  </r>
  <r>
    <x v="37"/>
    <m/>
    <m/>
    <m/>
    <m/>
    <m/>
    <m/>
    <m/>
    <m/>
    <m/>
    <m/>
    <m/>
    <x v="8"/>
    <d v="2016-02-10T20:55:00"/>
    <s v="Patch Set 3: Code-Review+1"/>
    <m/>
    <m/>
    <s v="juha.alanen@intel.com"/>
    <x v="0"/>
    <x v="1"/>
    <s v=""/>
    <x v="1"/>
    <s v=""/>
    <s v=""/>
    <s v=""/>
    <s v=""/>
    <s v=""/>
    <s v=""/>
    <s v=""/>
    <x v="0"/>
    <x v="0"/>
    <x v="0"/>
  </r>
  <r>
    <x v="37"/>
    <m/>
    <m/>
    <m/>
    <m/>
    <m/>
    <m/>
    <m/>
    <m/>
    <m/>
    <m/>
    <m/>
    <x v="1"/>
    <d v="2016-02-10T20:57:00"/>
    <s v="Patch Set 3: Code-Review+1"/>
    <m/>
    <m/>
    <s v="juha.alanen@intel.com"/>
    <x v="0"/>
    <x v="1"/>
    <s v=""/>
    <x v="1"/>
    <s v=""/>
    <s v=""/>
    <s v=""/>
    <s v=""/>
    <s v=""/>
    <s v=""/>
    <s v=""/>
    <x v="0"/>
    <x v="0"/>
    <x v="0"/>
  </r>
  <r>
    <x v="37"/>
    <m/>
    <m/>
    <m/>
    <m/>
    <m/>
    <m/>
    <m/>
    <m/>
    <m/>
    <m/>
    <m/>
    <x v="0"/>
    <d v="2016-02-10T21:40:00"/>
    <s v="Patch Set 3: Code-Review+1"/>
    <m/>
    <m/>
    <s v="juha.alanen@intel.com"/>
    <x v="0"/>
    <x v="1"/>
    <s v=""/>
    <x v="1"/>
    <s v=""/>
    <s v=""/>
    <s v=""/>
    <s v=""/>
    <s v=""/>
    <s v=""/>
    <s v=""/>
    <x v="0"/>
    <x v="0"/>
    <x v="0"/>
  </r>
  <r>
    <x v="37"/>
    <m/>
    <m/>
    <m/>
    <m/>
    <m/>
    <m/>
    <m/>
    <m/>
    <m/>
    <m/>
    <m/>
    <x v="2"/>
    <d v="2016-02-10T22:25:00"/>
    <s v="Patch Set 3: Approver+1"/>
    <m/>
    <m/>
    <s v="juha.alanen@intel.com"/>
    <x v="0"/>
    <x v="1"/>
    <s v=""/>
    <x v="1"/>
    <s v=""/>
    <s v=""/>
    <s v=""/>
    <s v=""/>
    <s v=""/>
    <s v=""/>
    <s v=""/>
    <x v="0"/>
    <x v="0"/>
    <x v="0"/>
  </r>
  <r>
    <x v="37"/>
    <m/>
    <m/>
    <m/>
    <m/>
    <m/>
    <m/>
    <m/>
    <m/>
    <m/>
    <m/>
    <m/>
    <x v="5"/>
    <d v="2016-02-11T15:58:00"/>
    <s v="Patch Set 4:\n\nPatchset Created: CI job has been scheduled."/>
    <m/>
    <m/>
    <s v="juha.alanen@intel.com"/>
    <x v="0"/>
    <x v="0"/>
    <s v=""/>
    <x v="1"/>
    <s v=""/>
    <s v=""/>
    <s v=""/>
    <s v=""/>
    <s v=""/>
    <s v=""/>
    <s v=""/>
    <x v="0"/>
    <x v="0"/>
    <x v="0"/>
  </r>
  <r>
    <x v="37"/>
    <m/>
    <m/>
    <m/>
    <m/>
    <m/>
    <m/>
    <m/>
    <m/>
    <m/>
    <m/>
    <m/>
    <x v="5"/>
    <d v="2016-02-11T15:58:00"/>
    <s v="Uploaded patch set 4: Patch Set 3 was rebased."/>
    <m/>
    <m/>
    <s v="juha.alanen@intel.com"/>
    <x v="0"/>
    <x v="0"/>
    <s v=""/>
    <x v="1"/>
    <s v=""/>
    <s v=""/>
    <s v=""/>
    <s v=""/>
    <s v=""/>
    <s v=""/>
    <s v=""/>
    <x v="0"/>
    <x v="0"/>
    <x v="0"/>
  </r>
  <r>
    <x v="37"/>
    <m/>
    <m/>
    <m/>
    <m/>
    <m/>
    <m/>
    <m/>
    <m/>
    <m/>
    <m/>
    <m/>
    <x v="5"/>
    <d v="2016-02-11T15:59:00"/>
    <s v="Topic changed from gerrit to bxt_preint_HEAD"/>
    <m/>
    <m/>
    <s v="juha.alanen@intel.com"/>
    <x v="0"/>
    <x v="0"/>
    <s v=""/>
    <x v="1"/>
    <s v=""/>
    <s v=""/>
    <s v=""/>
    <s v=""/>
    <s v=""/>
    <s v=""/>
    <s v=""/>
    <x v="0"/>
    <x v="0"/>
    <x v="0"/>
  </r>
  <r>
    <x v="37"/>
    <m/>
    <m/>
    <m/>
    <m/>
    <m/>
    <m/>
    <m/>
    <m/>
    <m/>
    <m/>
    <m/>
    <x v="14"/>
    <d v="2016-02-11T16:01:00"/>
    <s v="Patch Set 4: Validation-Android+1\n\nreceive smoke test"/>
    <m/>
    <m/>
    <s v="juha.alanen@intel.com"/>
    <x v="0"/>
    <x v="5"/>
    <s v=""/>
    <x v="1"/>
    <s v=""/>
    <s v=""/>
    <s v=""/>
    <s v=""/>
    <s v=""/>
    <s v=""/>
    <s v=""/>
    <x v="0"/>
    <x v="1"/>
    <x v="0"/>
  </r>
  <r>
    <x v="37"/>
    <m/>
    <m/>
    <m/>
    <m/>
    <m/>
    <m/>
    <m/>
    <m/>
    <m/>
    <m/>
    <m/>
    <x v="32"/>
    <d v="2016-02-11T16:55:00"/>
    <s v="Patch Set 4: Integrator+1\n\nIntegrator +1; patch will be added to PIT; please no change now"/>
    <m/>
    <m/>
    <s v="juha.alanen@intel.com"/>
    <x v="0"/>
    <x v="6"/>
    <s v=""/>
    <x v="1"/>
    <s v=""/>
    <s v=""/>
    <s v=""/>
    <s v=""/>
    <s v=""/>
    <s v=""/>
    <s v=""/>
    <x v="0"/>
    <x v="1"/>
    <x v="0"/>
  </r>
  <r>
    <x v="37"/>
    <m/>
    <m/>
    <m/>
    <m/>
    <m/>
    <m/>
    <m/>
    <m/>
    <m/>
    <m/>
    <m/>
    <x v="18"/>
    <d v="2016-02-12T15:50:00"/>
    <s v="Patch Set 4: Code-Review+1"/>
    <m/>
    <m/>
    <s v="juha.alanen@intel.com"/>
    <x v="0"/>
    <x v="1"/>
    <s v=""/>
    <x v="1"/>
    <s v=""/>
    <s v=""/>
    <s v=""/>
    <s v=""/>
    <s v=""/>
    <s v=""/>
    <s v=""/>
    <x v="0"/>
    <x v="0"/>
    <x v="0"/>
  </r>
  <r>
    <x v="37"/>
    <m/>
    <m/>
    <m/>
    <m/>
    <m/>
    <m/>
    <m/>
    <m/>
    <m/>
    <m/>
    <m/>
    <x v="2"/>
    <d v="2016-02-12T16:00:00"/>
    <s v="Topic changed from bxt_preint_HEAD to bxt_preint"/>
    <m/>
    <m/>
    <s v="juha.alanen@intel.com"/>
    <x v="0"/>
    <x v="1"/>
    <s v=""/>
    <x v="1"/>
    <s v=""/>
    <s v=""/>
    <s v=""/>
    <s v=""/>
    <s v=""/>
    <s v=""/>
    <s v=""/>
    <x v="0"/>
    <x v="0"/>
    <x v="0"/>
  </r>
  <r>
    <x v="38"/>
    <n v="100087"/>
    <s v="vied-viedandr-camera3hal"/>
    <s v="platform/android/main"/>
    <s v="I04e78fe77a42e41a21a1d737f4ecc6854de25441"/>
    <s v="arnaud.mandy@intel.com"/>
    <s v="MERGED"/>
    <s v="c3:3a: providing information on ae convergence"/>
    <s v="c3:3a: providing information on ae convergence\n\nThis patch provides information on ae convergence:\n- how many requests it took to converge.\n- for how many requests it has been converged.\n\nNo other PSL is using the 3A AE state machine; therefore\nonly IPU4 PSL is updated.\n\nChange-Id: I04e78fe77a42e41a21a1d737f4ecc6854de25441\nTracked-On: #R510903\nSigned-off-by: Arnaud Mandy &lt;arnaud.mandy@intel.com&gt;\nReviewed-on: https://icggerrit.ir.intel.com/100087\nReviewed-by: Jarno Jakonen &lt;jarno.jakonen@intel.com&gt;\nReviewed-by: Jukka O Kaartinen &lt;jukka.o.kaartinen@intel.com&gt;\nReviewed-by: Juha Alanen &lt;juha.alanen@intel.com&gt;\nValidation-Android: Wei Tao &lt;wei.tao@intel.com&gt;\nBuild: Dessert M BXT RVP (SC)\nBuild: Dessert M CHT FFD (SC)\nReviewed-by: Lassi I Vaatamoinen &lt;lassi.i.vaatamoinen@intel.com&gt;\nApprover: Jukka O Kaartinen &lt;jukka.o.kaartinen@intel.com&gt;\nBuild: Dessert M SOFIA (SC)\nIntegrator: SambathkumarX Chandrasekaran &lt;sambathkumarx.chandrasekaran@intel.com&gt;\n"/>
    <d v="2016-02-04T18:48:00"/>
    <d v="2016-02-14T04:45:00"/>
    <s v="common"/>
    <x v="1"/>
    <d v="2016-02-04T18:48:00"/>
    <s v="Uploaded patch set 1."/>
    <m/>
    <s v="jarno.jakonen@intel.com;juha.alanen@intel.com;huitao.cao@intel.com;lassi.i.vaatamoinen@intel.com;ukri.niemimuukko@intel.com;jukka.o.kaartinen@intel.com;"/>
    <s v="arnaud.mandy@intel.com"/>
    <x v="0"/>
    <x v="0"/>
    <s v="16'ww8"/>
    <x v="1"/>
    <n v="4"/>
    <n v="0"/>
    <n v="4"/>
    <n v="0"/>
    <n v="1"/>
    <n v="22"/>
    <n v="0"/>
    <x v="0"/>
    <x v="0"/>
    <x v="0"/>
  </r>
  <r>
    <x v="38"/>
    <m/>
    <m/>
    <m/>
    <m/>
    <m/>
    <m/>
    <m/>
    <m/>
    <m/>
    <m/>
    <m/>
    <x v="1"/>
    <d v="2016-02-04T18:48:00"/>
    <s v="Patch Set 1:\n\nPatchset Created: CI job has been scheduled."/>
    <m/>
    <m/>
    <s v="arnaud.mandy@intel.com"/>
    <x v="0"/>
    <x v="0"/>
    <s v=""/>
    <x v="1"/>
    <s v=""/>
    <s v=""/>
    <s v=""/>
    <s v=""/>
    <s v=""/>
    <s v=""/>
    <s v=""/>
    <x v="0"/>
    <x v="0"/>
    <x v="0"/>
  </r>
  <r>
    <x v="38"/>
    <m/>
    <m/>
    <m/>
    <m/>
    <m/>
    <m/>
    <m/>
    <m/>
    <m/>
    <m/>
    <m/>
    <x v="1"/>
    <d v="2016-02-04T19:09:00"/>
    <s v="Patch Set 1: Code-Review+1"/>
    <m/>
    <m/>
    <s v="arnaud.mandy@intel.com"/>
    <x v="0"/>
    <x v="0"/>
    <s v=""/>
    <x v="1"/>
    <s v=""/>
    <s v=""/>
    <s v=""/>
    <s v=""/>
    <s v=""/>
    <s v=""/>
    <s v=""/>
    <x v="0"/>
    <x v="0"/>
    <x v="0"/>
  </r>
  <r>
    <x v="38"/>
    <m/>
    <m/>
    <m/>
    <m/>
    <m/>
    <m/>
    <m/>
    <m/>
    <m/>
    <m/>
    <m/>
    <x v="1"/>
    <d v="2016-02-04T21:19:00"/>
    <s v="Patch Set 1: Code-Review-1\n\nnew version on the way"/>
    <m/>
    <m/>
    <s v="arnaud.mandy@intel.com"/>
    <x v="0"/>
    <x v="0"/>
    <s v=""/>
    <x v="1"/>
    <s v=""/>
    <s v=""/>
    <s v=""/>
    <s v=""/>
    <s v=""/>
    <s v=""/>
    <s v=""/>
    <x v="1"/>
    <x v="0"/>
    <x v="0"/>
  </r>
  <r>
    <x v="38"/>
    <m/>
    <m/>
    <m/>
    <m/>
    <m/>
    <m/>
    <m/>
    <m/>
    <m/>
    <m/>
    <m/>
    <x v="1"/>
    <d v="2016-02-05T16:15:00"/>
    <s v="Patch Set 2:\n\nPatchset Created: CI job has been scheduled."/>
    <m/>
    <m/>
    <s v="arnaud.mandy@intel.com"/>
    <x v="0"/>
    <x v="0"/>
    <s v=""/>
    <x v="1"/>
    <s v=""/>
    <s v=""/>
    <s v=""/>
    <s v=""/>
    <s v=""/>
    <s v=""/>
    <s v=""/>
    <x v="0"/>
    <x v="0"/>
    <x v="0"/>
  </r>
  <r>
    <x v="38"/>
    <m/>
    <m/>
    <m/>
    <m/>
    <m/>
    <m/>
    <m/>
    <m/>
    <m/>
    <m/>
    <m/>
    <x v="1"/>
    <d v="2016-02-05T16:15:00"/>
    <s v="Uploaded patch set 2."/>
    <m/>
    <m/>
    <s v="arnaud.mandy@intel.com"/>
    <x v="0"/>
    <x v="0"/>
    <s v=""/>
    <x v="1"/>
    <s v=""/>
    <s v=""/>
    <s v=""/>
    <s v=""/>
    <s v=""/>
    <s v=""/>
    <s v=""/>
    <x v="0"/>
    <x v="0"/>
    <x v="0"/>
  </r>
  <r>
    <x v="38"/>
    <m/>
    <m/>
    <m/>
    <m/>
    <m/>
    <m/>
    <m/>
    <m/>
    <m/>
    <m/>
    <m/>
    <x v="1"/>
    <d v="2016-02-05T16:17:00"/>
    <s v="Patch Set 2: Code-Review+1"/>
    <m/>
    <m/>
    <s v="arnaud.mandy@intel.com"/>
    <x v="0"/>
    <x v="0"/>
    <s v=""/>
    <x v="1"/>
    <s v=""/>
    <s v=""/>
    <s v=""/>
    <s v=""/>
    <s v=""/>
    <s v=""/>
    <s v=""/>
    <x v="0"/>
    <x v="0"/>
    <x v="0"/>
  </r>
  <r>
    <x v="38"/>
    <m/>
    <m/>
    <m/>
    <m/>
    <m/>
    <m/>
    <m/>
    <m/>
    <m/>
    <m/>
    <m/>
    <x v="2"/>
    <d v="2016-02-05T16:59:00"/>
    <s v="Patch Set 2: Code-Review+1"/>
    <m/>
    <m/>
    <s v="arnaud.mandy@intel.com"/>
    <x v="0"/>
    <x v="1"/>
    <s v=""/>
    <x v="1"/>
    <s v=""/>
    <s v=""/>
    <s v=""/>
    <s v=""/>
    <s v=""/>
    <s v=""/>
    <s v=""/>
    <x v="0"/>
    <x v="0"/>
    <x v="0"/>
  </r>
  <r>
    <x v="38"/>
    <m/>
    <m/>
    <m/>
    <m/>
    <m/>
    <m/>
    <m/>
    <m/>
    <m/>
    <m/>
    <m/>
    <x v="6"/>
    <d v="2016-02-05T17:10:00"/>
    <s v="Patch Set 2: Code-Review+1"/>
    <m/>
    <m/>
    <s v="arnaud.mandy@intel.com"/>
    <x v="0"/>
    <x v="1"/>
    <s v=""/>
    <x v="1"/>
    <s v=""/>
    <s v=""/>
    <s v=""/>
    <s v=""/>
    <s v=""/>
    <s v=""/>
    <s v=""/>
    <x v="0"/>
    <x v="0"/>
    <x v="0"/>
  </r>
  <r>
    <x v="38"/>
    <m/>
    <m/>
    <m/>
    <m/>
    <m/>
    <m/>
    <m/>
    <m/>
    <m/>
    <m/>
    <m/>
    <x v="12"/>
    <d v="2016-02-05T19:41:00"/>
    <s v="Patch Set 2: Code-Review-1\n\n(1 comment)"/>
    <s v="line7 :&quot;3a&quot;"/>
    <m/>
    <s v="arnaud.mandy@intel.com"/>
    <x v="0"/>
    <x v="1"/>
    <s v=""/>
    <x v="1"/>
    <s v=""/>
    <s v=""/>
    <s v=""/>
    <s v=""/>
    <s v=""/>
    <s v=""/>
    <s v=""/>
    <x v="1"/>
    <x v="0"/>
    <x v="0"/>
  </r>
  <r>
    <x v="38"/>
    <m/>
    <m/>
    <m/>
    <m/>
    <m/>
    <m/>
    <m/>
    <m/>
    <m/>
    <m/>
    <m/>
    <x v="7"/>
    <d v="2016-02-05T23:40:00"/>
    <s v="Patch Set 2: Code-Review+1"/>
    <m/>
    <m/>
    <s v="arnaud.mandy@intel.com"/>
    <x v="0"/>
    <x v="4"/>
    <s v=""/>
    <x v="1"/>
    <s v=""/>
    <s v=""/>
    <s v=""/>
    <s v=""/>
    <s v=""/>
    <s v=""/>
    <s v=""/>
    <x v="0"/>
    <x v="0"/>
    <x v="0"/>
  </r>
  <r>
    <x v="38"/>
    <m/>
    <m/>
    <m/>
    <m/>
    <m/>
    <m/>
    <m/>
    <m/>
    <m/>
    <m/>
    <m/>
    <x v="5"/>
    <d v="2016-02-08T17:19:00"/>
    <s v="Patch Set 2: Code-Review+1"/>
    <m/>
    <m/>
    <s v="arnaud.mandy@intel.com"/>
    <x v="0"/>
    <x v="1"/>
    <s v=""/>
    <x v="1"/>
    <s v=""/>
    <s v=""/>
    <s v=""/>
    <s v=""/>
    <s v=""/>
    <s v=""/>
    <s v=""/>
    <x v="0"/>
    <x v="0"/>
    <x v="0"/>
  </r>
  <r>
    <x v="38"/>
    <m/>
    <m/>
    <m/>
    <m/>
    <m/>
    <m/>
    <m/>
    <m/>
    <m/>
    <m/>
    <m/>
    <x v="1"/>
    <d v="2016-02-09T22:14:00"/>
    <s v="Patch Set 3:\n\nPatchset Created: CI job has been scheduled."/>
    <m/>
    <m/>
    <s v="arnaud.mandy@intel.com"/>
    <x v="0"/>
    <x v="0"/>
    <s v=""/>
    <x v="1"/>
    <s v=""/>
    <s v=""/>
    <s v=""/>
    <s v=""/>
    <s v=""/>
    <s v=""/>
    <s v=""/>
    <x v="0"/>
    <x v="0"/>
    <x v="0"/>
  </r>
  <r>
    <x v="38"/>
    <m/>
    <m/>
    <m/>
    <m/>
    <m/>
    <m/>
    <m/>
    <m/>
    <m/>
    <m/>
    <m/>
    <x v="1"/>
    <d v="2016-02-09T22:14:00"/>
    <s v="Uploaded patch set 3."/>
    <m/>
    <m/>
    <s v="arnaud.mandy@intel.com"/>
    <x v="0"/>
    <x v="0"/>
    <s v=""/>
    <x v="1"/>
    <s v=""/>
    <s v=""/>
    <s v=""/>
    <s v=""/>
    <s v=""/>
    <s v=""/>
    <s v=""/>
    <x v="0"/>
    <x v="0"/>
    <x v="0"/>
  </r>
  <r>
    <x v="38"/>
    <m/>
    <m/>
    <m/>
    <m/>
    <m/>
    <m/>
    <m/>
    <m/>
    <m/>
    <m/>
    <m/>
    <x v="1"/>
    <d v="2016-02-09T22:15:00"/>
    <s v="Patch Set 3: Code-Review+1"/>
    <m/>
    <m/>
    <s v="arnaud.mandy@intel.com"/>
    <x v="0"/>
    <x v="0"/>
    <s v=""/>
    <x v="1"/>
    <s v=""/>
    <s v=""/>
    <s v=""/>
    <s v=""/>
    <s v=""/>
    <s v=""/>
    <s v=""/>
    <x v="0"/>
    <x v="0"/>
    <x v="0"/>
  </r>
  <r>
    <x v="38"/>
    <m/>
    <m/>
    <m/>
    <m/>
    <m/>
    <m/>
    <m/>
    <m/>
    <m/>
    <m/>
    <m/>
    <x v="5"/>
    <d v="2016-02-09T22:16:00"/>
    <s v="Patch Set 3: Code-Review+1"/>
    <m/>
    <m/>
    <s v="arnaud.mandy@intel.com"/>
    <x v="0"/>
    <x v="1"/>
    <s v=""/>
    <x v="1"/>
    <s v=""/>
    <s v=""/>
    <s v=""/>
    <s v=""/>
    <s v=""/>
    <s v=""/>
    <s v=""/>
    <x v="0"/>
    <x v="0"/>
    <x v="0"/>
  </r>
  <r>
    <x v="38"/>
    <m/>
    <m/>
    <m/>
    <m/>
    <m/>
    <m/>
    <m/>
    <m/>
    <m/>
    <m/>
    <m/>
    <x v="12"/>
    <d v="2016-02-09T22:16:00"/>
    <s v="Patch Set 3: Code-Review+1"/>
    <m/>
    <m/>
    <s v="arnaud.mandy@intel.com"/>
    <x v="0"/>
    <x v="1"/>
    <s v=""/>
    <x v="1"/>
    <s v=""/>
    <s v=""/>
    <s v=""/>
    <s v=""/>
    <s v=""/>
    <s v=""/>
    <s v=""/>
    <x v="0"/>
    <x v="0"/>
    <x v="0"/>
  </r>
  <r>
    <x v="38"/>
    <m/>
    <m/>
    <m/>
    <m/>
    <m/>
    <m/>
    <m/>
    <m/>
    <m/>
    <m/>
    <m/>
    <x v="2"/>
    <d v="2016-02-09T22:17:00"/>
    <s v="Patch Set 3: Code-Review+1"/>
    <m/>
    <m/>
    <s v="arnaud.mandy@intel.com"/>
    <x v="0"/>
    <x v="1"/>
    <s v=""/>
    <x v="1"/>
    <s v=""/>
    <s v=""/>
    <s v=""/>
    <s v=""/>
    <s v=""/>
    <s v=""/>
    <s v=""/>
    <x v="0"/>
    <x v="0"/>
    <x v="0"/>
  </r>
  <r>
    <x v="38"/>
    <m/>
    <m/>
    <m/>
    <m/>
    <m/>
    <m/>
    <m/>
    <m/>
    <m/>
    <m/>
    <m/>
    <x v="6"/>
    <d v="2016-02-09T22:19:00"/>
    <s v="Patch Set 3: Code-Review-1\n\n(1 comment)"/>
    <s v="line66 :&quot;remove the const from non-ref and non-pointer plain integer types; you didn't put it into the macro either. Those values are copied.&quot;"/>
    <m/>
    <s v="arnaud.mandy@intel.com"/>
    <x v="0"/>
    <x v="1"/>
    <s v=""/>
    <x v="1"/>
    <s v=""/>
    <s v=""/>
    <s v=""/>
    <s v=""/>
    <s v=""/>
    <s v=""/>
    <s v=""/>
    <x v="1"/>
    <x v="0"/>
    <x v="0"/>
  </r>
  <r>
    <x v="38"/>
    <m/>
    <m/>
    <m/>
    <m/>
    <m/>
    <m/>
    <m/>
    <m/>
    <m/>
    <m/>
    <m/>
    <x v="1"/>
    <d v="2016-02-09T22:24:00"/>
    <s v="Uploaded patch set 4."/>
    <m/>
    <m/>
    <s v="arnaud.mandy@intel.com"/>
    <x v="0"/>
    <x v="0"/>
    <s v=""/>
    <x v="1"/>
    <s v=""/>
    <s v=""/>
    <s v=""/>
    <s v=""/>
    <s v=""/>
    <s v=""/>
    <s v=""/>
    <x v="0"/>
    <x v="0"/>
    <x v="0"/>
  </r>
  <r>
    <x v="38"/>
    <m/>
    <m/>
    <m/>
    <m/>
    <m/>
    <m/>
    <m/>
    <m/>
    <m/>
    <m/>
    <m/>
    <x v="1"/>
    <d v="2016-02-09T22:24:00"/>
    <s v="Patch Set 4:\n\nPatchset Created: CI job has been scheduled."/>
    <m/>
    <m/>
    <s v="arnaud.mandy@intel.com"/>
    <x v="0"/>
    <x v="0"/>
    <s v=""/>
    <x v="1"/>
    <s v=""/>
    <s v=""/>
    <s v=""/>
    <s v=""/>
    <s v=""/>
    <s v=""/>
    <s v=""/>
    <x v="0"/>
    <x v="0"/>
    <x v="0"/>
  </r>
  <r>
    <x v="38"/>
    <m/>
    <m/>
    <m/>
    <m/>
    <m/>
    <m/>
    <m/>
    <m/>
    <m/>
    <m/>
    <m/>
    <x v="1"/>
    <d v="2016-02-09T22:25:00"/>
    <s v="Patch Set 4: Code-Review+1"/>
    <m/>
    <m/>
    <s v="arnaud.mandy@intel.com"/>
    <x v="0"/>
    <x v="0"/>
    <s v=""/>
    <x v="1"/>
    <s v=""/>
    <s v=""/>
    <s v=""/>
    <s v=""/>
    <s v=""/>
    <s v=""/>
    <s v=""/>
    <x v="0"/>
    <x v="0"/>
    <x v="0"/>
  </r>
  <r>
    <x v="38"/>
    <m/>
    <m/>
    <m/>
    <m/>
    <m/>
    <m/>
    <m/>
    <m/>
    <m/>
    <m/>
    <m/>
    <x v="6"/>
    <d v="2016-02-09T22:26:00"/>
    <s v="Patch Set 4: Code-Review+1"/>
    <m/>
    <m/>
    <s v="arnaud.mandy@intel.com"/>
    <x v="0"/>
    <x v="1"/>
    <s v=""/>
    <x v="1"/>
    <s v=""/>
    <s v=""/>
    <s v=""/>
    <s v=""/>
    <s v=""/>
    <s v=""/>
    <s v=""/>
    <x v="0"/>
    <x v="0"/>
    <x v="0"/>
  </r>
  <r>
    <x v="38"/>
    <m/>
    <m/>
    <m/>
    <m/>
    <m/>
    <m/>
    <m/>
    <m/>
    <m/>
    <m/>
    <m/>
    <x v="12"/>
    <d v="2016-02-09T22:26:00"/>
    <s v="Patch Set 4: Code-Review-1\n\n(1 comment)"/>
    <s v="line157 :&quot;you have it twice; now; actually&quot;"/>
    <m/>
    <s v="arnaud.mandy@intel.com"/>
    <x v="0"/>
    <x v="1"/>
    <s v=""/>
    <x v="1"/>
    <s v=""/>
    <s v=""/>
    <s v=""/>
    <s v=""/>
    <s v=""/>
    <s v=""/>
    <s v=""/>
    <x v="1"/>
    <x v="0"/>
    <x v="0"/>
  </r>
  <r>
    <x v="38"/>
    <m/>
    <m/>
    <m/>
    <m/>
    <m/>
    <m/>
    <m/>
    <m/>
    <m/>
    <m/>
    <m/>
    <x v="12"/>
    <d v="2016-02-09T22:28:00"/>
    <s v="Patch Set 4:\n\n(1 comment)"/>
    <s v="line157 :&quot;Just to be sure; use a proper enum const ANDROID_CONTROL_AE_STATE_INACTIVE (as initially)?&quot;"/>
    <m/>
    <s v="arnaud.mandy@intel.com"/>
    <x v="0"/>
    <x v="1"/>
    <s v=""/>
    <x v="1"/>
    <s v=""/>
    <s v=""/>
    <s v=""/>
    <s v=""/>
    <s v=""/>
    <s v=""/>
    <s v=""/>
    <x v="0"/>
    <x v="0"/>
    <x v="0"/>
  </r>
  <r>
    <x v="38"/>
    <m/>
    <m/>
    <m/>
    <m/>
    <m/>
    <m/>
    <m/>
    <m/>
    <m/>
    <m/>
    <m/>
    <x v="1"/>
    <d v="2016-02-09T22:36:00"/>
    <s v="Patch Set 5:\n\nPatchset Created: CI job has been scheduled."/>
    <m/>
    <m/>
    <s v="arnaud.mandy@intel.com"/>
    <x v="0"/>
    <x v="0"/>
    <s v=""/>
    <x v="1"/>
    <s v=""/>
    <s v=""/>
    <s v=""/>
    <s v=""/>
    <s v=""/>
    <s v=""/>
    <s v=""/>
    <x v="0"/>
    <x v="0"/>
    <x v="0"/>
  </r>
  <r>
    <x v="38"/>
    <m/>
    <m/>
    <m/>
    <m/>
    <m/>
    <m/>
    <m/>
    <m/>
    <m/>
    <m/>
    <m/>
    <x v="1"/>
    <d v="2016-02-09T22:36:00"/>
    <s v="Uploaded patch set 5."/>
    <m/>
    <m/>
    <s v="arnaud.mandy@intel.com"/>
    <x v="0"/>
    <x v="0"/>
    <s v=""/>
    <x v="1"/>
    <s v=""/>
    <s v=""/>
    <s v=""/>
    <s v=""/>
    <s v=""/>
    <s v=""/>
    <s v=""/>
    <x v="0"/>
    <x v="0"/>
    <x v="0"/>
  </r>
  <r>
    <x v="38"/>
    <m/>
    <m/>
    <m/>
    <m/>
    <m/>
    <m/>
    <m/>
    <m/>
    <m/>
    <m/>
    <m/>
    <x v="1"/>
    <d v="2016-02-09T22:37:00"/>
    <s v="Patch Set 5: Code-Review+1"/>
    <m/>
    <m/>
    <s v="arnaud.mandy@intel.com"/>
    <x v="0"/>
    <x v="0"/>
    <s v=""/>
    <x v="1"/>
    <s v=""/>
    <s v=""/>
    <s v=""/>
    <s v=""/>
    <s v=""/>
    <s v=""/>
    <s v=""/>
    <x v="0"/>
    <x v="0"/>
    <x v="0"/>
  </r>
  <r>
    <x v="38"/>
    <m/>
    <m/>
    <m/>
    <m/>
    <m/>
    <m/>
    <m/>
    <m/>
    <m/>
    <m/>
    <m/>
    <x v="6"/>
    <d v="2016-02-09T22:37:00"/>
    <s v="Patch Set 5: Code-Review+1"/>
    <m/>
    <m/>
    <s v="arnaud.mandy@intel.com"/>
    <x v="0"/>
    <x v="1"/>
    <s v=""/>
    <x v="1"/>
    <s v=""/>
    <s v=""/>
    <s v=""/>
    <s v=""/>
    <s v=""/>
    <s v=""/>
    <s v=""/>
    <x v="0"/>
    <x v="0"/>
    <x v="0"/>
  </r>
  <r>
    <x v="38"/>
    <m/>
    <m/>
    <m/>
    <m/>
    <m/>
    <m/>
    <m/>
    <m/>
    <m/>
    <m/>
    <m/>
    <x v="12"/>
    <d v="2016-02-09T22:38:00"/>
    <s v="Patch Set 5: Code-Review+1"/>
    <m/>
    <m/>
    <s v="arnaud.mandy@intel.com"/>
    <x v="0"/>
    <x v="1"/>
    <s v=""/>
    <x v="1"/>
    <s v=""/>
    <s v=""/>
    <s v=""/>
    <s v=""/>
    <s v=""/>
    <s v=""/>
    <s v=""/>
    <x v="0"/>
    <x v="0"/>
    <x v="0"/>
  </r>
  <r>
    <x v="38"/>
    <m/>
    <m/>
    <m/>
    <m/>
    <m/>
    <m/>
    <m/>
    <m/>
    <m/>
    <m/>
    <m/>
    <x v="5"/>
    <d v="2016-02-09T22:40:00"/>
    <s v="Patch Set 5: Code-Review+1"/>
    <m/>
    <m/>
    <s v="arnaud.mandy@intel.com"/>
    <x v="0"/>
    <x v="1"/>
    <s v=""/>
    <x v="1"/>
    <s v=""/>
    <s v=""/>
    <s v=""/>
    <s v=""/>
    <s v=""/>
    <s v=""/>
    <s v=""/>
    <x v="0"/>
    <x v="0"/>
    <x v="0"/>
  </r>
  <r>
    <x v="38"/>
    <m/>
    <m/>
    <m/>
    <m/>
    <m/>
    <m/>
    <m/>
    <m/>
    <m/>
    <m/>
    <m/>
    <x v="17"/>
    <d v="2016-02-10T16:57:00"/>
    <s v="Patch Set 5: Code-Review-1\n\n(4 comments)\n\nCosmetic."/>
    <s v="line337 :&quot;See comment on line 350.&quot; line342 :&quot;Not needed; as this is done anywayon line 350.&quot; line346 :&quot;remove space&quot; line350 :&quot;mLastAeConvergedFlag is set anyway; so you might as well move it outside the if-else block.&quot;"/>
    <m/>
    <s v="arnaud.mandy@intel.com"/>
    <x v="0"/>
    <x v="1"/>
    <s v=""/>
    <x v="1"/>
    <s v=""/>
    <s v=""/>
    <s v=""/>
    <s v=""/>
    <s v=""/>
    <s v=""/>
    <s v=""/>
    <x v="1"/>
    <x v="0"/>
    <x v="0"/>
  </r>
  <r>
    <x v="38"/>
    <m/>
    <m/>
    <m/>
    <m/>
    <m/>
    <m/>
    <m/>
    <m/>
    <m/>
    <m/>
    <m/>
    <x v="1"/>
    <d v="2016-02-10T17:22:00"/>
    <s v="Patch Set 6:\n\nPatchset Created: CI job has been scheduled."/>
    <m/>
    <m/>
    <s v="arnaud.mandy@intel.com"/>
    <x v="0"/>
    <x v="0"/>
    <s v=""/>
    <x v="1"/>
    <s v=""/>
    <s v=""/>
    <s v=""/>
    <s v=""/>
    <s v=""/>
    <s v=""/>
    <s v=""/>
    <x v="0"/>
    <x v="0"/>
    <x v="0"/>
  </r>
  <r>
    <x v="38"/>
    <m/>
    <m/>
    <m/>
    <m/>
    <m/>
    <m/>
    <m/>
    <m/>
    <m/>
    <m/>
    <m/>
    <x v="1"/>
    <d v="2016-02-10T17:22:00"/>
    <s v="Uploaded patch set 6."/>
    <m/>
    <m/>
    <s v="arnaud.mandy@intel.com"/>
    <x v="0"/>
    <x v="0"/>
    <s v=""/>
    <x v="1"/>
    <s v=""/>
    <s v=""/>
    <s v=""/>
    <s v=""/>
    <s v=""/>
    <s v=""/>
    <s v=""/>
    <x v="0"/>
    <x v="0"/>
    <x v="0"/>
  </r>
  <r>
    <x v="38"/>
    <m/>
    <m/>
    <m/>
    <m/>
    <m/>
    <m/>
    <m/>
    <m/>
    <m/>
    <m/>
    <m/>
    <x v="1"/>
    <d v="2016-02-10T17:22:00"/>
    <s v="Patch Set 6: Code-Review+1"/>
    <m/>
    <m/>
    <s v="arnaud.mandy@intel.com"/>
    <x v="0"/>
    <x v="0"/>
    <s v=""/>
    <x v="1"/>
    <s v=""/>
    <s v=""/>
    <s v=""/>
    <s v=""/>
    <s v=""/>
    <s v=""/>
    <s v=""/>
    <x v="0"/>
    <x v="0"/>
    <x v="0"/>
  </r>
  <r>
    <x v="38"/>
    <m/>
    <m/>
    <m/>
    <m/>
    <m/>
    <m/>
    <m/>
    <m/>
    <m/>
    <m/>
    <m/>
    <x v="17"/>
    <d v="2016-02-10T17:24:00"/>
    <s v="Patch Set 6: Code-Review+1"/>
    <m/>
    <m/>
    <s v="arnaud.mandy@intel.com"/>
    <x v="0"/>
    <x v="1"/>
    <s v=""/>
    <x v="1"/>
    <s v=""/>
    <s v=""/>
    <s v=""/>
    <s v=""/>
    <s v=""/>
    <s v=""/>
    <s v=""/>
    <x v="0"/>
    <x v="0"/>
    <x v="0"/>
  </r>
  <r>
    <x v="38"/>
    <m/>
    <m/>
    <m/>
    <m/>
    <m/>
    <m/>
    <m/>
    <m/>
    <m/>
    <m/>
    <m/>
    <x v="2"/>
    <d v="2016-02-10T19:33:00"/>
    <s v="Patch Set 6: Code-Review+1"/>
    <m/>
    <m/>
    <s v="arnaud.mandy@intel.com"/>
    <x v="0"/>
    <x v="1"/>
    <s v=""/>
    <x v="1"/>
    <s v=""/>
    <s v=""/>
    <s v=""/>
    <s v=""/>
    <s v=""/>
    <s v=""/>
    <s v=""/>
    <x v="0"/>
    <x v="0"/>
    <x v="0"/>
  </r>
  <r>
    <x v="38"/>
    <m/>
    <m/>
    <m/>
    <m/>
    <m/>
    <m/>
    <m/>
    <m/>
    <m/>
    <m/>
    <m/>
    <x v="5"/>
    <d v="2016-02-10T21:00:00"/>
    <s v="Patch Set 6: Code-Review+1"/>
    <m/>
    <m/>
    <s v="arnaud.mandy@intel.com"/>
    <x v="0"/>
    <x v="1"/>
    <s v=""/>
    <x v="1"/>
    <s v=""/>
    <s v=""/>
    <s v=""/>
    <s v=""/>
    <s v=""/>
    <s v=""/>
    <s v=""/>
    <x v="0"/>
    <x v="0"/>
    <x v="0"/>
  </r>
  <r>
    <x v="38"/>
    <m/>
    <m/>
    <m/>
    <m/>
    <m/>
    <m/>
    <m/>
    <m/>
    <m/>
    <m/>
    <m/>
    <x v="1"/>
    <d v="2016-02-11T03:35:00"/>
    <s v="Patch Set 7:\n\nPatchset Created: CI job has been scheduled."/>
    <m/>
    <m/>
    <s v="arnaud.mandy@intel.com"/>
    <x v="0"/>
    <x v="0"/>
    <s v=""/>
    <x v="1"/>
    <s v=""/>
    <s v=""/>
    <s v=""/>
    <s v=""/>
    <s v=""/>
    <s v=""/>
    <s v=""/>
    <x v="0"/>
    <x v="0"/>
    <x v="0"/>
  </r>
  <r>
    <x v="38"/>
    <m/>
    <m/>
    <m/>
    <m/>
    <m/>
    <m/>
    <m/>
    <m/>
    <m/>
    <m/>
    <m/>
    <x v="1"/>
    <d v="2016-02-11T03:35:00"/>
    <s v="Uploaded patch set 7: Patch Set 6 was rebased."/>
    <m/>
    <m/>
    <s v="arnaud.mandy@intel.com"/>
    <x v="0"/>
    <x v="0"/>
    <s v=""/>
    <x v="1"/>
    <s v=""/>
    <s v=""/>
    <s v=""/>
    <s v=""/>
    <s v=""/>
    <s v=""/>
    <s v=""/>
    <x v="0"/>
    <x v="0"/>
    <x v="0"/>
  </r>
  <r>
    <x v="38"/>
    <m/>
    <m/>
    <m/>
    <m/>
    <m/>
    <m/>
    <m/>
    <m/>
    <m/>
    <m/>
    <m/>
    <x v="14"/>
    <d v="2016-02-11T03:37:00"/>
    <s v="Patch Set 7: Validation-Android+1\n\nreceive smoke test"/>
    <m/>
    <m/>
    <s v="arnaud.mandy@intel.com"/>
    <x v="0"/>
    <x v="5"/>
    <s v=""/>
    <x v="1"/>
    <s v=""/>
    <s v=""/>
    <s v=""/>
    <s v=""/>
    <s v=""/>
    <s v=""/>
    <s v=""/>
    <x v="0"/>
    <x v="1"/>
    <x v="0"/>
  </r>
  <r>
    <x v="38"/>
    <m/>
    <m/>
    <m/>
    <m/>
    <m/>
    <m/>
    <m/>
    <m/>
    <m/>
    <m/>
    <m/>
    <x v="12"/>
    <d v="2016-02-11T14:21:00"/>
    <s v="Patch Set 7: Code-Review+1"/>
    <m/>
    <m/>
    <s v="arnaud.mandy@intel.com"/>
    <x v="0"/>
    <x v="1"/>
    <s v=""/>
    <x v="1"/>
    <s v=""/>
    <s v=""/>
    <s v=""/>
    <s v=""/>
    <s v=""/>
    <s v=""/>
    <s v=""/>
    <x v="0"/>
    <x v="0"/>
    <x v="0"/>
  </r>
  <r>
    <x v="38"/>
    <m/>
    <m/>
    <m/>
    <m/>
    <m/>
    <m/>
    <m/>
    <m/>
    <m/>
    <m/>
    <m/>
    <x v="2"/>
    <d v="2016-02-11T14:43:00"/>
    <s v="Patch Set 7: Approver+1"/>
    <m/>
    <m/>
    <s v="arnaud.mandy@intel.com"/>
    <x v="0"/>
    <x v="1"/>
    <s v=""/>
    <x v="1"/>
    <s v=""/>
    <s v=""/>
    <s v=""/>
    <s v=""/>
    <s v=""/>
    <s v=""/>
    <s v=""/>
    <x v="0"/>
    <x v="0"/>
    <x v="0"/>
  </r>
  <r>
    <x v="38"/>
    <m/>
    <m/>
    <m/>
    <m/>
    <m/>
    <m/>
    <m/>
    <m/>
    <m/>
    <m/>
    <m/>
    <x v="2"/>
    <d v="2016-02-11T14:44:00"/>
    <s v="Topic changed from Feb10v2 to bxt_preint_HEAD"/>
    <m/>
    <m/>
    <s v="arnaud.mandy@intel.com"/>
    <x v="0"/>
    <x v="1"/>
    <s v=""/>
    <x v="1"/>
    <s v=""/>
    <s v=""/>
    <s v=""/>
    <s v=""/>
    <s v=""/>
    <s v=""/>
    <s v=""/>
    <x v="0"/>
    <x v="0"/>
    <x v="0"/>
  </r>
  <r>
    <x v="38"/>
    <m/>
    <m/>
    <m/>
    <m/>
    <m/>
    <m/>
    <m/>
    <m/>
    <m/>
    <m/>
    <m/>
    <x v="5"/>
    <d v="2016-02-11T15:59:00"/>
    <s v="Topic changed from bxt_preint_HEAD to bxt_preint"/>
    <m/>
    <m/>
    <s v="arnaud.mandy@intel.com"/>
    <x v="0"/>
    <x v="1"/>
    <s v=""/>
    <x v="1"/>
    <s v=""/>
    <s v=""/>
    <s v=""/>
    <s v=""/>
    <s v=""/>
    <s v=""/>
    <s v=""/>
    <x v="0"/>
    <x v="0"/>
    <x v="0"/>
  </r>
  <r>
    <x v="38"/>
    <m/>
    <m/>
    <m/>
    <m/>
    <m/>
    <m/>
    <m/>
    <m/>
    <m/>
    <m/>
    <m/>
    <x v="32"/>
    <d v="2016-02-11T16:55:00"/>
    <s v="Patch Set 7: Integrator+1\n\nIntegrator +1; patch will be added to PIT; please no change now"/>
    <m/>
    <m/>
    <s v="arnaud.mandy@intel.com"/>
    <x v="0"/>
    <x v="6"/>
    <s v=""/>
    <x v="1"/>
    <s v=""/>
    <s v=""/>
    <s v=""/>
    <s v=""/>
    <s v=""/>
    <s v=""/>
    <s v=""/>
    <x v="0"/>
    <x v="1"/>
    <x v="0"/>
  </r>
  <r>
    <x v="39"/>
    <n v="99270"/>
    <s v="vied-viedandr-camera3hal"/>
    <s v="platform/android/main"/>
    <s v="I592d5b9f84e8548893913a65b0fb197b1a2d480b"/>
    <s v="ukri.niemimuukko@intel.com"/>
    <s v="MERGED"/>
    <s v="c3:3a: fix robustness test failures during caf modes"/>
    <s v="c3:3a: fix robustness test failures during caf modes\n\nThis patch has three AF state machine related fixes.\n\n1) The aiq trigger_new_search was always set to false during the\n trigger sequence. New logic forces aiq trigger_new_search to be\n true for the very first frame after incoming trigger setting;\n in hope of aiq to really start the scan then. No perceived change\n has been seen in the aiq operation; but at least the setting is\n now sent to aiq as intended in the API design.\n\n2) After the af convergence and then trigger reset; or timeout;\n the CAF mode was allowed to continue operation even if the\n focus had reached the locked state. New logic will keep the\n focus mode in manual; basically making the lens stationary;\n until a new trigger comes in. As documented in the AOSP AF\n state machine table.\n\n3) Aiq results were being processed and reported in the capture\n request results. This meant that every time the caf-mode\n dropped the aiq to manual mode; for the next frame it reported\n the focus to be passive focused; even though the state should\n have been one either FOCUSED_LOCKED or NOT_FOCUSED_LOCKED.\n This patch adds an if-block to stop processing the aiq results\n while CAF mode is in LOCKED state and aiq has been dropped to\n manual mode.\n\nChange-Id: I592d5b9f84e8548893913a65b0fb197b1a2d480b\nTracked-On: #R506550\nSigned-off-by: Ukri Niemimuukko &lt;ukri.niemimuukko@intel.com&gt;\nReviewed-on: https://icggerrit.ir.intel.com/99270\nReviewed-by: Jukka O Kaartinen &lt;jukka.o.kaartinen@intel.com&gt;\nReviewed-by: Gang A Hu &lt;gang.a.hu@intel.com&gt;\nReviewed-by: Arnaud Mandy &lt;arnaud.mandy@intel.com&gt;\nReviewed-by: Lassi I Vaatamoinen &lt;lassi.i.vaatamoinen@intel.com&gt;\nReviewed-by: Yanyan Li &lt;yanyan.li@intel.com&gt;\nBuild: Dessert M BXT RVP (SC)\nValidation-Android: Wei Tao &lt;wei.tao@intel.com&gt;\nApprover: Jukka O Kaartinen &lt;jukka.o.kaartinen@intel.com&gt;\nBuild: Dessert M CHT FFD (SC)\nBuild: Dessert M SOFIA (SC)\nValidation-Android: Dessert M CHT FFD (SC)\nIntegrator: WeiX Meng &lt;weix.meng@intel.com&gt;\nReviewed-by: WeiX Meng &lt;weix.meng@intel.com&gt;\n"/>
    <d v="2016-02-01T16:30:00"/>
    <d v="2016-02-06T12:57:00"/>
    <s v="common"/>
    <x v="6"/>
    <d v="2016-02-01T16:30:00"/>
    <s v="Patch Set 1:\n\nPatchset Created: CI job has been scheduled."/>
    <m/>
    <s v="weix.meng@intel.com;yanyan.li@intel.com;wei.tao@intel.com;lassi.i.vaatamoinen@intel.com;arnaud.mandy@intel.com;gang.a.hu@intel.com;jukka.o.kaartinen@intel.com;"/>
    <s v="ukri.niemimuukko@intel.com"/>
    <x v="0"/>
    <x v="0"/>
    <s v="16'ww6"/>
    <x v="1"/>
    <n v="1"/>
    <n v="0"/>
    <n v="0"/>
    <n v="1"/>
    <n v="1"/>
    <n v="13"/>
    <n v="3"/>
    <x v="0"/>
    <x v="0"/>
    <x v="0"/>
  </r>
  <r>
    <x v="39"/>
    <m/>
    <m/>
    <m/>
    <m/>
    <m/>
    <m/>
    <m/>
    <m/>
    <m/>
    <m/>
    <m/>
    <x v="6"/>
    <d v="2016-02-01T16:30:00"/>
    <s v="Uploaded patch set 1."/>
    <m/>
    <m/>
    <s v="ukri.niemimuukko@intel.com"/>
    <x v="0"/>
    <x v="0"/>
    <s v=""/>
    <x v="1"/>
    <s v=""/>
    <s v=""/>
    <s v=""/>
    <s v=""/>
    <s v=""/>
    <s v=""/>
    <s v=""/>
    <x v="0"/>
    <x v="0"/>
    <x v="0"/>
  </r>
  <r>
    <x v="39"/>
    <m/>
    <m/>
    <m/>
    <m/>
    <m/>
    <m/>
    <m/>
    <m/>
    <m/>
    <m/>
    <m/>
    <x v="14"/>
    <d v="2016-02-01T16:32:00"/>
    <s v="Patch Set 1: Validation-Android+1\n\nreceive smoke test"/>
    <m/>
    <m/>
    <s v="ukri.niemimuukko@intel.com"/>
    <x v="0"/>
    <x v="5"/>
    <s v=""/>
    <x v="1"/>
    <s v=""/>
    <s v=""/>
    <s v=""/>
    <s v=""/>
    <s v=""/>
    <s v=""/>
    <s v=""/>
    <x v="0"/>
    <x v="1"/>
    <x v="0"/>
  </r>
  <r>
    <x v="39"/>
    <m/>
    <m/>
    <m/>
    <m/>
    <m/>
    <m/>
    <m/>
    <m/>
    <m/>
    <m/>
    <m/>
    <x v="6"/>
    <d v="2016-02-01T16:36:00"/>
    <s v="Patch Set 1: Code-Review+1"/>
    <m/>
    <m/>
    <s v="ukri.niemimuukko@intel.com"/>
    <x v="0"/>
    <x v="0"/>
    <s v=""/>
    <x v="1"/>
    <s v=""/>
    <s v=""/>
    <s v=""/>
    <s v=""/>
    <s v=""/>
    <s v=""/>
    <s v=""/>
    <x v="0"/>
    <x v="0"/>
    <x v="0"/>
  </r>
  <r>
    <x v="39"/>
    <m/>
    <m/>
    <m/>
    <m/>
    <m/>
    <m/>
    <m/>
    <m/>
    <m/>
    <m/>
    <m/>
    <x v="2"/>
    <d v="2016-02-01T17:22:00"/>
    <s v="Patch Set 1: Code-Review+1"/>
    <m/>
    <m/>
    <s v="ukri.niemimuukko@intel.com"/>
    <x v="0"/>
    <x v="1"/>
    <s v=""/>
    <x v="1"/>
    <s v=""/>
    <s v=""/>
    <s v=""/>
    <s v=""/>
    <s v=""/>
    <s v=""/>
    <s v=""/>
    <x v="0"/>
    <x v="0"/>
    <x v="0"/>
  </r>
  <r>
    <x v="39"/>
    <m/>
    <m/>
    <m/>
    <m/>
    <m/>
    <m/>
    <m/>
    <m/>
    <m/>
    <m/>
    <m/>
    <x v="13"/>
    <d v="2016-02-01T17:29:00"/>
    <s v="Patch Set 1: Code-Review+1\n\n(1 comment)"/>
    <s v="line566 :&quot;Weird that default comes first in switch. And if there is a default; there is no necessary to handle the \&quot;case ia_aiq_af_status_idle\&quot;.\ncase ia_aiq_af_status_idle:\n//fall through\ndefault:&quot;"/>
    <m/>
    <s v="ukri.niemimuukko@intel.com"/>
    <x v="0"/>
    <x v="4"/>
    <s v=""/>
    <x v="1"/>
    <s v=""/>
    <s v=""/>
    <s v=""/>
    <s v=""/>
    <s v=""/>
    <s v=""/>
    <s v=""/>
    <x v="0"/>
    <x v="0"/>
    <x v="0"/>
  </r>
  <r>
    <x v="39"/>
    <m/>
    <m/>
    <m/>
    <m/>
    <m/>
    <m/>
    <m/>
    <m/>
    <m/>
    <m/>
    <m/>
    <x v="6"/>
    <d v="2016-02-01T18:27:00"/>
    <s v="Patch Set 1:\n\n(1 comment)"/>
    <s v="line566 :&quot;I suppose default is there to silence some warning only; or for future-proofing. Currently all the possible enumeration cases are covered so \&quot;default\&quot; never really hits.\n\nAbout the order; I don't really know why it has been written in that particular order.&quot;"/>
    <m/>
    <s v="ukri.niemimuukko@intel.com"/>
    <x v="0"/>
    <x v="0"/>
    <s v=""/>
    <x v="1"/>
    <s v=""/>
    <s v=""/>
    <s v=""/>
    <s v=""/>
    <s v=""/>
    <s v=""/>
    <s v=""/>
    <x v="0"/>
    <x v="0"/>
    <x v="0"/>
  </r>
  <r>
    <x v="39"/>
    <m/>
    <m/>
    <m/>
    <m/>
    <m/>
    <m/>
    <m/>
    <m/>
    <m/>
    <m/>
    <m/>
    <x v="1"/>
    <d v="2016-02-02T15:35:00"/>
    <s v="Patch Set 1: Code-Review+1"/>
    <m/>
    <m/>
    <s v="ukri.niemimuukko@intel.com"/>
    <x v="0"/>
    <x v="1"/>
    <s v=""/>
    <x v="1"/>
    <s v=""/>
    <s v=""/>
    <s v=""/>
    <s v=""/>
    <s v=""/>
    <s v=""/>
    <s v=""/>
    <x v="0"/>
    <x v="0"/>
    <x v="0"/>
  </r>
  <r>
    <x v="39"/>
    <m/>
    <m/>
    <m/>
    <m/>
    <m/>
    <m/>
    <m/>
    <m/>
    <m/>
    <m/>
    <m/>
    <x v="12"/>
    <d v="2016-02-02T19:02:00"/>
    <s v="Patch Set 1: Approver+1"/>
    <m/>
    <m/>
    <s v="ukri.niemimuukko@intel.com"/>
    <x v="0"/>
    <x v="1"/>
    <s v=""/>
    <x v="1"/>
    <s v=""/>
    <s v=""/>
    <s v=""/>
    <s v=""/>
    <s v=""/>
    <s v=""/>
    <s v=""/>
    <x v="0"/>
    <x v="0"/>
    <x v="0"/>
  </r>
  <r>
    <x v="39"/>
    <m/>
    <m/>
    <m/>
    <m/>
    <m/>
    <m/>
    <m/>
    <m/>
    <m/>
    <m/>
    <m/>
    <x v="12"/>
    <d v="2016-02-02T19:02:00"/>
    <s v="Patch Set 1: -Approver Code-Review+1"/>
    <m/>
    <m/>
    <s v="ukri.niemimuukko@intel.com"/>
    <x v="0"/>
    <x v="1"/>
    <s v=""/>
    <x v="1"/>
    <s v=""/>
    <s v=""/>
    <s v=""/>
    <s v=""/>
    <s v=""/>
    <s v=""/>
    <s v=""/>
    <x v="0"/>
    <x v="0"/>
    <x v="0"/>
  </r>
  <r>
    <x v="39"/>
    <m/>
    <m/>
    <m/>
    <m/>
    <m/>
    <m/>
    <m/>
    <m/>
    <m/>
    <m/>
    <m/>
    <x v="12"/>
    <d v="2016-02-03T20:21:00"/>
    <s v="Uploaded patch set 2: Patch Set 1 was rebased."/>
    <m/>
    <m/>
    <s v="ukri.niemimuukko@intel.com"/>
    <x v="0"/>
    <x v="1"/>
    <s v=""/>
    <x v="1"/>
    <s v=""/>
    <s v=""/>
    <s v=""/>
    <s v=""/>
    <s v=""/>
    <s v=""/>
    <s v=""/>
    <x v="0"/>
    <x v="0"/>
    <x v="0"/>
  </r>
  <r>
    <x v="39"/>
    <m/>
    <m/>
    <m/>
    <m/>
    <m/>
    <m/>
    <m/>
    <m/>
    <m/>
    <m/>
    <m/>
    <x v="12"/>
    <d v="2016-02-03T20:21:00"/>
    <s v="Patch Set 2:\n\nPatchset Created: CI job has been scheduled."/>
    <m/>
    <m/>
    <s v="ukri.niemimuukko@intel.com"/>
    <x v="0"/>
    <x v="1"/>
    <s v=""/>
    <x v="1"/>
    <s v=""/>
    <s v=""/>
    <s v=""/>
    <s v=""/>
    <s v=""/>
    <s v=""/>
    <s v=""/>
    <x v="0"/>
    <x v="0"/>
    <x v="0"/>
  </r>
  <r>
    <x v="39"/>
    <m/>
    <m/>
    <m/>
    <m/>
    <m/>
    <m/>
    <m/>
    <m/>
    <m/>
    <m/>
    <m/>
    <x v="14"/>
    <d v="2016-02-03T20:24:00"/>
    <s v="Patch Set 2: Validation-Android+1\n\nreceive smoke test"/>
    <m/>
    <m/>
    <s v="ukri.niemimuukko@intel.com"/>
    <x v="0"/>
    <x v="5"/>
    <s v=""/>
    <x v="1"/>
    <s v=""/>
    <s v=""/>
    <s v=""/>
    <s v=""/>
    <s v=""/>
    <s v=""/>
    <s v=""/>
    <x v="0"/>
    <x v="1"/>
    <x v="0"/>
  </r>
  <r>
    <x v="39"/>
    <m/>
    <m/>
    <m/>
    <m/>
    <m/>
    <m/>
    <m/>
    <m/>
    <m/>
    <m/>
    <m/>
    <x v="12"/>
    <d v="2016-02-03T20:35:00"/>
    <s v="Uploaded patch set 3: Patch Set 2 was rebased."/>
    <m/>
    <m/>
    <s v="ukri.niemimuukko@intel.com"/>
    <x v="0"/>
    <x v="1"/>
    <s v=""/>
    <x v="1"/>
    <s v=""/>
    <s v=""/>
    <s v=""/>
    <s v=""/>
    <s v=""/>
    <s v=""/>
    <s v=""/>
    <x v="0"/>
    <x v="0"/>
    <x v="0"/>
  </r>
  <r>
    <x v="39"/>
    <m/>
    <m/>
    <m/>
    <m/>
    <m/>
    <m/>
    <m/>
    <m/>
    <m/>
    <m/>
    <m/>
    <x v="12"/>
    <d v="2016-02-03T20:35:00"/>
    <s v="Patch Set 3:\n\nPatchset Created: CI job has been scheduled."/>
    <m/>
    <m/>
    <s v="ukri.niemimuukko@intel.com"/>
    <x v="0"/>
    <x v="1"/>
    <s v=""/>
    <x v="1"/>
    <s v=""/>
    <s v=""/>
    <s v=""/>
    <s v=""/>
    <s v=""/>
    <s v=""/>
    <s v=""/>
    <x v="0"/>
    <x v="0"/>
    <x v="0"/>
  </r>
  <r>
    <x v="39"/>
    <m/>
    <m/>
    <m/>
    <m/>
    <m/>
    <m/>
    <m/>
    <m/>
    <m/>
    <m/>
    <m/>
    <x v="14"/>
    <d v="2016-02-03T20:37:00"/>
    <s v="Patch Set 3:\n\nreceive smoke test"/>
    <m/>
    <m/>
    <s v="ukri.niemimuukko@intel.com"/>
    <x v="0"/>
    <x v="5"/>
    <s v=""/>
    <x v="1"/>
    <s v=""/>
    <s v=""/>
    <s v=""/>
    <s v=""/>
    <s v=""/>
    <s v=""/>
    <s v=""/>
    <x v="0"/>
    <x v="0"/>
    <x v="0"/>
  </r>
  <r>
    <x v="39"/>
    <m/>
    <m/>
    <m/>
    <m/>
    <m/>
    <m/>
    <m/>
    <m/>
    <m/>
    <m/>
    <m/>
    <x v="12"/>
    <d v="2016-02-03T21:48:00"/>
    <s v="Uploaded patch set 4: Patch Set 3 was rebased."/>
    <m/>
    <m/>
    <s v="ukri.niemimuukko@intel.com"/>
    <x v="0"/>
    <x v="1"/>
    <s v=""/>
    <x v="1"/>
    <s v=""/>
    <s v=""/>
    <s v=""/>
    <s v=""/>
    <s v=""/>
    <s v=""/>
    <s v=""/>
    <x v="0"/>
    <x v="0"/>
    <x v="0"/>
  </r>
  <r>
    <x v="39"/>
    <m/>
    <m/>
    <m/>
    <m/>
    <m/>
    <m/>
    <m/>
    <m/>
    <m/>
    <m/>
    <m/>
    <x v="12"/>
    <d v="2016-02-03T21:48:00"/>
    <s v="Patch Set 4:\n\nPatchset Created: CI job has been scheduled."/>
    <m/>
    <m/>
    <s v="ukri.niemimuukko@intel.com"/>
    <x v="0"/>
    <x v="1"/>
    <s v=""/>
    <x v="1"/>
    <s v=""/>
    <s v=""/>
    <s v=""/>
    <s v=""/>
    <s v=""/>
    <s v=""/>
    <s v=""/>
    <x v="0"/>
    <x v="0"/>
    <x v="0"/>
  </r>
  <r>
    <x v="39"/>
    <m/>
    <m/>
    <m/>
    <m/>
    <m/>
    <m/>
    <m/>
    <m/>
    <m/>
    <m/>
    <m/>
    <x v="14"/>
    <d v="2016-02-03T22:10:00"/>
    <s v="Patch Set 4: Validation-Android+1\n\nreceive smoke test"/>
    <m/>
    <m/>
    <s v="ukri.niemimuukko@intel.com"/>
    <x v="0"/>
    <x v="5"/>
    <s v=""/>
    <x v="1"/>
    <s v=""/>
    <s v=""/>
    <s v=""/>
    <s v=""/>
    <s v=""/>
    <s v=""/>
    <s v=""/>
    <x v="0"/>
    <x v="1"/>
    <x v="0"/>
  </r>
  <r>
    <x v="39"/>
    <m/>
    <m/>
    <m/>
    <m/>
    <m/>
    <m/>
    <m/>
    <m/>
    <m/>
    <m/>
    <m/>
    <x v="23"/>
    <d v="2016-02-03T23:47:00"/>
    <s v="Patch Set 4: Code-Review-1\n\n(2 comments)"/>
    <s v="line534 :&quot;confused about here; could you explain details about the state transition?&quot; line517 :&quot;why remove the check condition mLastActiveTriggerTime &gt; 0 a what issue it can fix?&quot;"/>
    <m/>
    <s v="ukri.niemimuukko@intel.com"/>
    <x v="0"/>
    <x v="2"/>
    <s v=""/>
    <x v="1"/>
    <s v=""/>
    <s v=""/>
    <s v=""/>
    <s v=""/>
    <s v=""/>
    <s v=""/>
    <s v=""/>
    <x v="1"/>
    <x v="0"/>
    <x v="0"/>
  </r>
  <r>
    <x v="39"/>
    <m/>
    <m/>
    <m/>
    <m/>
    <m/>
    <m/>
    <m/>
    <m/>
    <m/>
    <m/>
    <m/>
    <x v="12"/>
    <d v="2016-02-03T23:56:00"/>
    <s v="Patch Set 4:\n\n(2 comments)"/>
    <s v="line517 :&quot;In these states we should not transition; if we get a AF_TRIGGER. See the state transition table (see below comment)&quot; line534 :&quot;I think this refers to the state transition table in the doeumentation.\n\nSee the documentation in your source tree:\nsystem/media/camera/docs/docs.html\n\n(android.control.afState and table column \&quot;Transition Cause\&quot; for AF_MODE_CONTINUOUS_PICTURE)&quot;"/>
    <m/>
    <s v="ukri.niemimuukko@intel.com"/>
    <x v="0"/>
    <x v="1"/>
    <s v=""/>
    <x v="1"/>
    <s v=""/>
    <s v=""/>
    <s v=""/>
    <s v=""/>
    <s v=""/>
    <s v=""/>
    <s v=""/>
    <x v="0"/>
    <x v="0"/>
    <x v="0"/>
  </r>
  <r>
    <x v="39"/>
    <m/>
    <m/>
    <m/>
    <m/>
    <m/>
    <m/>
    <m/>
    <m/>
    <m/>
    <m/>
    <m/>
    <x v="6"/>
    <d v="2016-02-04T14:03:00"/>
    <s v="Patch Set 4:\n\n(1 comment)"/>
    <s v="line517 :&quot;system/media/camera/docs/docs.html#dynamic_android.control.afState\n\nIf we are in any of the locked states; the lens must not move until a new cancel trigger comes in. So we must stay in manual mode; even if the trigger is reset and mLastActiveTriggerTime is zero. The point is that we will not move the lens in LOCKED states; and the only way out of locked state is a trigger cancel or AF mode change.&quot;"/>
    <m/>
    <s v="ukri.niemimuukko@intel.com"/>
    <x v="0"/>
    <x v="0"/>
    <s v=""/>
    <x v="1"/>
    <s v=""/>
    <s v=""/>
    <s v=""/>
    <s v=""/>
    <s v=""/>
    <s v=""/>
    <s v=""/>
    <x v="0"/>
    <x v="0"/>
    <x v="0"/>
  </r>
  <r>
    <x v="39"/>
    <m/>
    <m/>
    <m/>
    <m/>
    <m/>
    <m/>
    <m/>
    <m/>
    <m/>
    <m/>
    <m/>
    <x v="23"/>
    <d v="2016-02-04T14:07:00"/>
    <s v="Patch Set 4: -Code-Review\n\n(1 comment)"/>
    <s v="line534 :&quot;Done&quot;"/>
    <m/>
    <s v="ukri.niemimuukko@intel.com"/>
    <x v="0"/>
    <x v="2"/>
    <s v=""/>
    <x v="1"/>
    <s v=""/>
    <s v=""/>
    <s v=""/>
    <s v=""/>
    <s v=""/>
    <s v=""/>
    <s v=""/>
    <x v="0"/>
    <x v="0"/>
    <x v="0"/>
  </r>
  <r>
    <x v="39"/>
    <m/>
    <m/>
    <m/>
    <m/>
    <m/>
    <m/>
    <m/>
    <m/>
    <m/>
    <m/>
    <m/>
    <x v="23"/>
    <d v="2016-02-04T15:24:00"/>
    <s v="Patch Set 4: Code-Review+1"/>
    <m/>
    <m/>
    <s v="ukri.niemimuukko@intel.com"/>
    <x v="0"/>
    <x v="2"/>
    <s v=""/>
    <x v="1"/>
    <s v=""/>
    <s v=""/>
    <s v=""/>
    <s v=""/>
    <s v=""/>
    <s v=""/>
    <s v=""/>
    <x v="0"/>
    <x v="0"/>
    <x v="0"/>
  </r>
  <r>
    <x v="39"/>
    <m/>
    <m/>
    <m/>
    <m/>
    <m/>
    <m/>
    <m/>
    <m/>
    <m/>
    <m/>
    <m/>
    <x v="6"/>
    <d v="2016-02-04T16:38:00"/>
    <s v="Uploaded patch set 5: Patch Set 4 was rebased."/>
    <m/>
    <m/>
    <s v="ukri.niemimuukko@intel.com"/>
    <x v="0"/>
    <x v="0"/>
    <s v=""/>
    <x v="1"/>
    <s v=""/>
    <s v=""/>
    <s v=""/>
    <s v=""/>
    <s v=""/>
    <s v=""/>
    <s v=""/>
    <x v="0"/>
    <x v="0"/>
    <x v="0"/>
  </r>
  <r>
    <x v="39"/>
    <m/>
    <m/>
    <m/>
    <m/>
    <m/>
    <m/>
    <m/>
    <m/>
    <m/>
    <m/>
    <m/>
    <x v="6"/>
    <d v="2016-02-04T16:38:00"/>
    <s v="Patch Set 5:\n\nPatchset Created: CI job has been scheduled."/>
    <m/>
    <m/>
    <s v="ukri.niemimuukko@intel.com"/>
    <x v="0"/>
    <x v="0"/>
    <s v=""/>
    <x v="1"/>
    <s v=""/>
    <s v=""/>
    <s v=""/>
    <s v=""/>
    <s v=""/>
    <s v=""/>
    <s v=""/>
    <x v="0"/>
    <x v="0"/>
    <x v="0"/>
  </r>
  <r>
    <x v="39"/>
    <m/>
    <m/>
    <m/>
    <m/>
    <m/>
    <m/>
    <m/>
    <m/>
    <m/>
    <m/>
    <m/>
    <x v="14"/>
    <d v="2016-02-04T17:42:00"/>
    <s v="Patch Set 5: Validation-Android+1\n\nreceive smoke test"/>
    <m/>
    <m/>
    <s v="ukri.niemimuukko@intel.com"/>
    <x v="0"/>
    <x v="5"/>
    <s v=""/>
    <x v="1"/>
    <s v=""/>
    <s v=""/>
    <s v=""/>
    <s v=""/>
    <s v=""/>
    <s v=""/>
    <s v=""/>
    <x v="0"/>
    <x v="1"/>
    <x v="0"/>
  </r>
  <r>
    <x v="39"/>
    <m/>
    <m/>
    <m/>
    <m/>
    <m/>
    <m/>
    <m/>
    <m/>
    <m/>
    <m/>
    <m/>
    <x v="2"/>
    <d v="2016-02-04T17:43:00"/>
    <s v="Patch Set 5: Approver+1"/>
    <m/>
    <m/>
    <s v="ukri.niemimuukko@intel.com"/>
    <x v="0"/>
    <x v="1"/>
    <s v=""/>
    <x v="1"/>
    <s v=""/>
    <s v=""/>
    <s v=""/>
    <s v=""/>
    <s v=""/>
    <s v=""/>
    <s v=""/>
    <x v="0"/>
    <x v="0"/>
    <x v="0"/>
  </r>
  <r>
    <x v="39"/>
    <m/>
    <m/>
    <m/>
    <m/>
    <m/>
    <m/>
    <m/>
    <m/>
    <m/>
    <m/>
    <m/>
    <x v="2"/>
    <d v="2016-02-04T17:44:00"/>
    <s v="Topic changed from topic_feb4 to bxt_preint"/>
    <m/>
    <m/>
    <s v="ukri.niemimuukko@intel.com"/>
    <x v="0"/>
    <x v="1"/>
    <s v=""/>
    <x v="1"/>
    <s v=""/>
    <s v=""/>
    <s v=""/>
    <s v=""/>
    <s v=""/>
    <s v=""/>
    <s v=""/>
    <x v="0"/>
    <x v="0"/>
    <x v="0"/>
  </r>
  <r>
    <x v="39"/>
    <m/>
    <m/>
    <m/>
    <m/>
    <m/>
    <m/>
    <m/>
    <m/>
    <m/>
    <m/>
    <m/>
    <x v="9"/>
    <d v="2016-02-05T14:08:00"/>
    <s v="Patch Set 5: Integrator+1\n\nIntegrator +1; patch will be add to PT; please no change now"/>
    <m/>
    <m/>
    <s v="ukri.niemimuukko@intel.com"/>
    <x v="0"/>
    <x v="5"/>
    <s v=""/>
    <x v="1"/>
    <s v=""/>
    <s v=""/>
    <s v=""/>
    <s v=""/>
    <s v=""/>
    <s v=""/>
    <s v=""/>
    <x v="0"/>
    <x v="1"/>
    <x v="0"/>
  </r>
  <r>
    <x v="39"/>
    <m/>
    <m/>
    <m/>
    <m/>
    <m/>
    <m/>
    <m/>
    <m/>
    <m/>
    <m/>
    <m/>
    <x v="9"/>
    <d v="2016-02-05T16:02:00"/>
    <s v="Patch Set 5:\n\nPassed Klocwork code analyzing test. No CRITICAL issue in this patch. Auto reported by kwscan@psi-build5.bj.intel.com"/>
    <m/>
    <m/>
    <s v="ukri.niemimuukko@intel.com"/>
    <x v="0"/>
    <x v="5"/>
    <s v=""/>
    <x v="1"/>
    <s v=""/>
    <s v=""/>
    <s v=""/>
    <s v=""/>
    <s v=""/>
    <s v=""/>
    <s v=""/>
    <x v="0"/>
    <x v="0"/>
    <x v="0"/>
  </r>
  <r>
    <x v="39"/>
    <m/>
    <m/>
    <m/>
    <m/>
    <m/>
    <m/>
    <m/>
    <m/>
    <m/>
    <m/>
    <m/>
    <x v="9"/>
    <d v="2016-02-05T17:47:00"/>
    <s v="Patch Set 5:\n\nPassed Klocwork code analyzing test. No CRITICAL issue in this patch. Auto reported by kwscan@kw-srv2.bj.intel.com"/>
    <m/>
    <m/>
    <s v="ukri.niemimuukko@intel.com"/>
    <x v="0"/>
    <x v="5"/>
    <s v=""/>
    <x v="1"/>
    <s v=""/>
    <s v=""/>
    <s v=""/>
    <s v=""/>
    <s v=""/>
    <s v=""/>
    <s v=""/>
    <x v="0"/>
    <x v="0"/>
    <x v="0"/>
  </r>
  <r>
    <x v="39"/>
    <m/>
    <m/>
    <m/>
    <m/>
    <m/>
    <m/>
    <m/>
    <m/>
    <m/>
    <m/>
    <m/>
    <x v="9"/>
    <d v="2016-02-06T11:39:00"/>
    <s v="Patch Set 5: Code-Review+1\n\nPassed PIT; ready for merge"/>
    <m/>
    <m/>
    <s v="ukri.niemimuukko@intel.com"/>
    <x v="0"/>
    <x v="5"/>
    <s v=""/>
    <x v="1"/>
    <s v=""/>
    <s v=""/>
    <s v=""/>
    <s v=""/>
    <s v=""/>
    <s v=""/>
    <s v=""/>
    <x v="0"/>
    <x v="0"/>
    <x v="0"/>
  </r>
  <r>
    <x v="40"/>
    <n v="99579"/>
    <s v="vied-viedandr-camera3hal"/>
    <s v="platform/android/main"/>
    <s v="I87ce7a3ee2e5c55a774c963a140ed558c189312f"/>
    <s v="john.mathew@intel.com"/>
    <s v="MERGED"/>
    <s v="c3:ipu4: Enable 4k capture for back camera"/>
    <s v="c3:ipu4: Enable 4k capture for back camera\n\nUse the non scaled output from Capture Unit and still pipe\nwhen 4k output resoultion is selected from GMS app.\n\nChange-Id: I87ce7a3ee2e5c55a774c963a140ed558c189312f\nTracked-On: #R509928\nSigned-off-by: John Mathew &lt;john.mathew@intel.com&gt;\nReviewed-on: https://icggerrit.ir.intel.com/99579\nReviewed-by: Jukka O Kaartinen &lt;jukka.o.kaartinen@intel.com&gt;\nBuild: Dessert M BXT RVP (SC)\nReviewed-by: Ukri Niemimuukko &lt;ukri.niemimuukko@intel.com&gt;\nApprover: Jukka O Kaartinen &lt;jukka.o.kaartinen@intel.com&gt;\nReviewed-by: Lassi I Vaatamoinen &lt;lassi.i.vaatamoinen@intel.com&gt;\nBuild: Dessert M CHT FFD (SC)\nBuild: Dessert M SOFIA (SC)\nValidation-Android: Wei Tao &lt;wei.tao@intel.com&gt;\nValidation-Android: Dessert M CHT FFD (SC)\nIntegrator: WeiX Meng &lt;weix.meng@intel.com&gt;\nReviewed-by: WeiX Meng &lt;weix.meng@intel.com&gt;\n"/>
    <d v="2016-02-02T22:21:00"/>
    <d v="2016-02-06T12:57:00"/>
    <s v="common"/>
    <x v="8"/>
    <d v="2016-02-02T22:21:00"/>
    <s v="Uploaded patch set 1."/>
    <m/>
    <s v="weix.meng@intel.com;lassi.i.vaatamoinen@intel.com;ukri.niemimuukko@intel.com;jukka.o.kaartinen@intel.com;"/>
    <s v="john.mathew@intel.com"/>
    <x v="0"/>
    <x v="0"/>
    <s v="16'ww6"/>
    <x v="1"/>
    <n v="0"/>
    <n v="0"/>
    <n v="0"/>
    <n v="0"/>
    <n v="0"/>
    <n v="7"/>
    <n v="0"/>
    <x v="0"/>
    <x v="0"/>
    <x v="0"/>
  </r>
  <r>
    <x v="40"/>
    <m/>
    <m/>
    <m/>
    <m/>
    <m/>
    <m/>
    <m/>
    <m/>
    <m/>
    <m/>
    <m/>
    <x v="8"/>
    <d v="2016-02-02T22:21:00"/>
    <s v="Patch Set 1:\n\nPatchset Created: CI job has been scheduled."/>
    <m/>
    <m/>
    <s v="john.mathew@intel.com"/>
    <x v="0"/>
    <x v="0"/>
    <s v=""/>
    <x v="1"/>
    <s v=""/>
    <s v=""/>
    <s v=""/>
    <s v=""/>
    <s v=""/>
    <s v=""/>
    <s v=""/>
    <x v="0"/>
    <x v="0"/>
    <x v="0"/>
  </r>
  <r>
    <x v="40"/>
    <m/>
    <m/>
    <m/>
    <m/>
    <m/>
    <m/>
    <m/>
    <m/>
    <m/>
    <m/>
    <m/>
    <x v="8"/>
    <d v="2016-02-02T22:21:00"/>
    <s v="Patch Set 1: Code-Review+1"/>
    <m/>
    <m/>
    <s v="john.mathew@intel.com"/>
    <x v="0"/>
    <x v="0"/>
    <s v=""/>
    <x v="1"/>
    <s v=""/>
    <s v=""/>
    <s v=""/>
    <s v=""/>
    <s v=""/>
    <s v=""/>
    <s v=""/>
    <x v="0"/>
    <x v="0"/>
    <x v="0"/>
  </r>
  <r>
    <x v="40"/>
    <m/>
    <m/>
    <m/>
    <m/>
    <m/>
    <m/>
    <m/>
    <m/>
    <m/>
    <m/>
    <m/>
    <x v="8"/>
    <d v="2016-02-02T22:25:00"/>
    <s v="Uploaded patch set 2."/>
    <m/>
    <m/>
    <s v="john.mathew@intel.com"/>
    <x v="0"/>
    <x v="0"/>
    <s v=""/>
    <x v="1"/>
    <s v=""/>
    <s v=""/>
    <s v=""/>
    <s v=""/>
    <s v=""/>
    <s v=""/>
    <s v=""/>
    <x v="0"/>
    <x v="0"/>
    <x v="0"/>
  </r>
  <r>
    <x v="40"/>
    <m/>
    <m/>
    <m/>
    <m/>
    <m/>
    <m/>
    <m/>
    <m/>
    <m/>
    <m/>
    <m/>
    <x v="8"/>
    <d v="2016-02-02T22:25:00"/>
    <s v="Patch Set 2:\n\nPatchset Created: CI job has been scheduled."/>
    <m/>
    <m/>
    <s v="john.mathew@intel.com"/>
    <x v="0"/>
    <x v="0"/>
    <s v=""/>
    <x v="1"/>
    <s v=""/>
    <s v=""/>
    <s v=""/>
    <s v=""/>
    <s v=""/>
    <s v=""/>
    <s v=""/>
    <x v="0"/>
    <x v="0"/>
    <x v="0"/>
  </r>
  <r>
    <x v="40"/>
    <m/>
    <m/>
    <m/>
    <m/>
    <m/>
    <m/>
    <m/>
    <m/>
    <m/>
    <m/>
    <m/>
    <x v="8"/>
    <d v="2016-02-02T22:25:00"/>
    <s v="Patch Set 2: Code-Review+1"/>
    <m/>
    <m/>
    <s v="john.mathew@intel.com"/>
    <x v="0"/>
    <x v="0"/>
    <s v=""/>
    <x v="1"/>
    <s v=""/>
    <s v=""/>
    <s v=""/>
    <s v=""/>
    <s v=""/>
    <s v=""/>
    <s v=""/>
    <x v="0"/>
    <x v="0"/>
    <x v="0"/>
  </r>
  <r>
    <x v="40"/>
    <m/>
    <m/>
    <m/>
    <m/>
    <m/>
    <m/>
    <m/>
    <m/>
    <m/>
    <m/>
    <m/>
    <x v="8"/>
    <d v="2016-02-03T21:52:00"/>
    <s v="Uploaded patch set 3."/>
    <m/>
    <m/>
    <s v="john.mathew@intel.com"/>
    <x v="0"/>
    <x v="0"/>
    <s v=""/>
    <x v="1"/>
    <s v=""/>
    <s v=""/>
    <s v=""/>
    <s v=""/>
    <s v=""/>
    <s v=""/>
    <s v=""/>
    <x v="0"/>
    <x v="0"/>
    <x v="0"/>
  </r>
  <r>
    <x v="40"/>
    <m/>
    <m/>
    <m/>
    <m/>
    <m/>
    <m/>
    <m/>
    <m/>
    <m/>
    <m/>
    <m/>
    <x v="8"/>
    <d v="2016-02-03T21:52:00"/>
    <s v="Patch Set 3:\n\nPatchset Created: CI job has been scheduled."/>
    <m/>
    <m/>
    <s v="john.mathew@intel.com"/>
    <x v="0"/>
    <x v="0"/>
    <s v=""/>
    <x v="1"/>
    <s v=""/>
    <s v=""/>
    <s v=""/>
    <s v=""/>
    <s v=""/>
    <s v=""/>
    <s v=""/>
    <x v="0"/>
    <x v="0"/>
    <x v="0"/>
  </r>
  <r>
    <x v="40"/>
    <m/>
    <m/>
    <m/>
    <m/>
    <m/>
    <m/>
    <m/>
    <m/>
    <m/>
    <m/>
    <m/>
    <x v="8"/>
    <d v="2016-02-03T21:52:00"/>
    <s v="Patch Set 3: Code-Review+1"/>
    <m/>
    <m/>
    <s v="john.mathew@intel.com"/>
    <x v="0"/>
    <x v="0"/>
    <s v=""/>
    <x v="1"/>
    <s v=""/>
    <s v=""/>
    <s v=""/>
    <s v=""/>
    <s v=""/>
    <s v=""/>
    <s v=""/>
    <x v="0"/>
    <x v="0"/>
    <x v="0"/>
  </r>
  <r>
    <x v="40"/>
    <m/>
    <m/>
    <m/>
    <m/>
    <m/>
    <m/>
    <m/>
    <m/>
    <m/>
    <m/>
    <m/>
    <x v="14"/>
    <d v="2016-02-03T23:05:00"/>
    <s v="Patch Set 3: Validation-Android+1\n\nreceive smoke test"/>
    <m/>
    <m/>
    <s v="john.mathew@intel.com"/>
    <x v="0"/>
    <x v="5"/>
    <s v=""/>
    <x v="1"/>
    <s v=""/>
    <s v=""/>
    <s v=""/>
    <s v=""/>
    <s v=""/>
    <s v=""/>
    <s v=""/>
    <x v="0"/>
    <x v="1"/>
    <x v="0"/>
  </r>
  <r>
    <x v="40"/>
    <m/>
    <m/>
    <m/>
    <m/>
    <m/>
    <m/>
    <m/>
    <m/>
    <m/>
    <m/>
    <m/>
    <x v="2"/>
    <d v="2016-02-03T23:11:00"/>
    <s v="Patch Set 3: Code-Review+1"/>
    <m/>
    <m/>
    <s v="john.mathew@intel.com"/>
    <x v="0"/>
    <x v="1"/>
    <s v=""/>
    <x v="1"/>
    <s v=""/>
    <s v=""/>
    <s v=""/>
    <s v=""/>
    <s v=""/>
    <s v=""/>
    <s v=""/>
    <x v="0"/>
    <x v="0"/>
    <x v="0"/>
  </r>
  <r>
    <x v="40"/>
    <m/>
    <m/>
    <m/>
    <m/>
    <m/>
    <m/>
    <m/>
    <m/>
    <m/>
    <m/>
    <m/>
    <x v="8"/>
    <d v="2016-02-04T14:18:00"/>
    <s v="Patch Set 4:\n\nPatchset Created: CI job has been scheduled."/>
    <m/>
    <m/>
    <s v="john.mathew@intel.com"/>
    <x v="0"/>
    <x v="0"/>
    <s v=""/>
    <x v="1"/>
    <s v=""/>
    <s v=""/>
    <s v=""/>
    <s v=""/>
    <s v=""/>
    <s v=""/>
    <s v=""/>
    <x v="0"/>
    <x v="0"/>
    <x v="0"/>
  </r>
  <r>
    <x v="40"/>
    <m/>
    <m/>
    <m/>
    <m/>
    <m/>
    <m/>
    <m/>
    <m/>
    <m/>
    <m/>
    <m/>
    <x v="8"/>
    <d v="2016-02-04T14:18:00"/>
    <s v="Uploaded patch set 4: Patch Set 3 was rebased."/>
    <m/>
    <m/>
    <s v="john.mathew@intel.com"/>
    <x v="0"/>
    <x v="0"/>
    <s v=""/>
    <x v="1"/>
    <s v=""/>
    <s v=""/>
    <s v=""/>
    <s v=""/>
    <s v=""/>
    <s v=""/>
    <s v=""/>
    <x v="0"/>
    <x v="0"/>
    <x v="0"/>
  </r>
  <r>
    <x v="40"/>
    <m/>
    <m/>
    <m/>
    <m/>
    <m/>
    <m/>
    <m/>
    <m/>
    <m/>
    <m/>
    <m/>
    <x v="14"/>
    <d v="2016-02-04T14:21:00"/>
    <s v="Patch Set 4: Validation-Android+1\n\nreceive smoke test"/>
    <m/>
    <m/>
    <s v="john.mathew@intel.com"/>
    <x v="0"/>
    <x v="5"/>
    <s v=""/>
    <x v="1"/>
    <s v=""/>
    <s v=""/>
    <s v=""/>
    <s v=""/>
    <s v=""/>
    <s v=""/>
    <s v=""/>
    <x v="0"/>
    <x v="1"/>
    <x v="0"/>
  </r>
  <r>
    <x v="40"/>
    <m/>
    <m/>
    <m/>
    <m/>
    <m/>
    <m/>
    <m/>
    <m/>
    <m/>
    <m/>
    <m/>
    <x v="8"/>
    <d v="2016-02-04T14:36:00"/>
    <s v="Patch Set 5:\n\nPatchset Created: CI job has been scheduled."/>
    <m/>
    <m/>
    <s v="john.mathew@intel.com"/>
    <x v="0"/>
    <x v="0"/>
    <s v=""/>
    <x v="1"/>
    <s v=""/>
    <s v=""/>
    <s v=""/>
    <s v=""/>
    <s v=""/>
    <s v=""/>
    <s v=""/>
    <x v="0"/>
    <x v="0"/>
    <x v="0"/>
  </r>
  <r>
    <x v="40"/>
    <m/>
    <m/>
    <m/>
    <m/>
    <m/>
    <m/>
    <m/>
    <m/>
    <m/>
    <m/>
    <m/>
    <x v="8"/>
    <d v="2016-02-04T14:36:00"/>
    <s v="Uploaded patch set 5."/>
    <m/>
    <m/>
    <s v="john.mathew@intel.com"/>
    <x v="0"/>
    <x v="0"/>
    <s v=""/>
    <x v="1"/>
    <s v=""/>
    <s v=""/>
    <s v=""/>
    <s v=""/>
    <s v=""/>
    <s v=""/>
    <s v=""/>
    <x v="0"/>
    <x v="0"/>
    <x v="0"/>
  </r>
  <r>
    <x v="40"/>
    <m/>
    <m/>
    <m/>
    <m/>
    <m/>
    <m/>
    <m/>
    <m/>
    <m/>
    <m/>
    <m/>
    <x v="8"/>
    <d v="2016-02-04T14:36:00"/>
    <s v="Patch Set 5: Code-Review+1"/>
    <m/>
    <m/>
    <s v="john.mathew@intel.com"/>
    <x v="0"/>
    <x v="0"/>
    <s v=""/>
    <x v="1"/>
    <s v=""/>
    <s v=""/>
    <s v=""/>
    <s v=""/>
    <s v=""/>
    <s v=""/>
    <s v=""/>
    <x v="0"/>
    <x v="0"/>
    <x v="0"/>
  </r>
  <r>
    <x v="40"/>
    <m/>
    <m/>
    <m/>
    <m/>
    <m/>
    <m/>
    <m/>
    <m/>
    <m/>
    <m/>
    <m/>
    <x v="8"/>
    <d v="2016-02-04T14:45:00"/>
    <s v="Uploaded patch set 6."/>
    <m/>
    <m/>
    <s v="john.mathew@intel.com"/>
    <x v="0"/>
    <x v="0"/>
    <s v=""/>
    <x v="1"/>
    <s v=""/>
    <s v=""/>
    <s v=""/>
    <s v=""/>
    <s v=""/>
    <s v=""/>
    <s v=""/>
    <x v="0"/>
    <x v="0"/>
    <x v="0"/>
  </r>
  <r>
    <x v="40"/>
    <m/>
    <m/>
    <m/>
    <m/>
    <m/>
    <m/>
    <m/>
    <m/>
    <m/>
    <m/>
    <m/>
    <x v="8"/>
    <d v="2016-02-04T14:45:00"/>
    <s v="Patch Set 6:\n\nPatchset Created: CI job has been scheduled."/>
    <m/>
    <m/>
    <s v="john.mathew@intel.com"/>
    <x v="0"/>
    <x v="0"/>
    <s v=""/>
    <x v="1"/>
    <s v=""/>
    <s v=""/>
    <s v=""/>
    <s v=""/>
    <s v=""/>
    <s v=""/>
    <s v=""/>
    <x v="0"/>
    <x v="0"/>
    <x v="0"/>
  </r>
  <r>
    <x v="40"/>
    <m/>
    <m/>
    <m/>
    <m/>
    <m/>
    <m/>
    <m/>
    <m/>
    <m/>
    <m/>
    <m/>
    <x v="8"/>
    <d v="2016-02-04T14:46:00"/>
    <s v="Patch Set 6: Code-Review+1"/>
    <m/>
    <m/>
    <s v="john.mathew@intel.com"/>
    <x v="0"/>
    <x v="0"/>
    <s v=""/>
    <x v="1"/>
    <s v=""/>
    <s v=""/>
    <s v=""/>
    <s v=""/>
    <s v=""/>
    <s v=""/>
    <s v=""/>
    <x v="0"/>
    <x v="0"/>
    <x v="0"/>
  </r>
  <r>
    <x v="40"/>
    <m/>
    <m/>
    <m/>
    <m/>
    <m/>
    <m/>
    <m/>
    <m/>
    <m/>
    <m/>
    <m/>
    <x v="2"/>
    <d v="2016-02-04T15:04:00"/>
    <s v="Patch Set 6: Code-Review+1"/>
    <m/>
    <m/>
    <s v="john.mathew@intel.com"/>
    <x v="0"/>
    <x v="1"/>
    <s v=""/>
    <x v="1"/>
    <s v=""/>
    <s v=""/>
    <s v=""/>
    <s v=""/>
    <s v=""/>
    <s v=""/>
    <s v=""/>
    <x v="0"/>
    <x v="0"/>
    <x v="0"/>
  </r>
  <r>
    <x v="40"/>
    <m/>
    <m/>
    <m/>
    <m/>
    <m/>
    <m/>
    <m/>
    <m/>
    <m/>
    <m/>
    <m/>
    <x v="6"/>
    <d v="2016-02-04T16:33:00"/>
    <s v="Patch Set 6: Code-Review+1"/>
    <m/>
    <m/>
    <s v="john.mathew@intel.com"/>
    <x v="0"/>
    <x v="1"/>
    <s v=""/>
    <x v="1"/>
    <s v=""/>
    <s v=""/>
    <s v=""/>
    <s v=""/>
    <s v=""/>
    <s v=""/>
    <s v=""/>
    <x v="0"/>
    <x v="0"/>
    <x v="0"/>
  </r>
  <r>
    <x v="40"/>
    <m/>
    <m/>
    <m/>
    <m/>
    <m/>
    <m/>
    <m/>
    <m/>
    <m/>
    <m/>
    <m/>
    <x v="2"/>
    <d v="2016-02-04T16:33:00"/>
    <s v="Patch Set 6: Approver+1"/>
    <m/>
    <m/>
    <s v="john.mathew@intel.com"/>
    <x v="0"/>
    <x v="1"/>
    <s v=""/>
    <x v="1"/>
    <s v=""/>
    <s v=""/>
    <s v=""/>
    <s v=""/>
    <s v=""/>
    <s v=""/>
    <s v=""/>
    <x v="0"/>
    <x v="0"/>
    <x v="0"/>
  </r>
  <r>
    <x v="40"/>
    <m/>
    <m/>
    <m/>
    <m/>
    <m/>
    <m/>
    <m/>
    <m/>
    <m/>
    <m/>
    <m/>
    <x v="2"/>
    <d v="2016-02-04T16:34:00"/>
    <s v="Topic changed from 4.2 to bxt_preint_HEAD"/>
    <m/>
    <m/>
    <s v="john.mathew@intel.com"/>
    <x v="0"/>
    <x v="1"/>
    <s v=""/>
    <x v="1"/>
    <s v=""/>
    <s v=""/>
    <s v=""/>
    <s v=""/>
    <s v=""/>
    <s v=""/>
    <s v=""/>
    <x v="0"/>
    <x v="0"/>
    <x v="0"/>
  </r>
  <r>
    <x v="40"/>
    <m/>
    <m/>
    <m/>
    <m/>
    <m/>
    <m/>
    <m/>
    <m/>
    <m/>
    <m/>
    <m/>
    <x v="12"/>
    <d v="2016-02-04T16:38:00"/>
    <s v="Patch Set 6: Code-Review+1"/>
    <m/>
    <m/>
    <s v="john.mathew@intel.com"/>
    <x v="0"/>
    <x v="1"/>
    <s v=""/>
    <x v="1"/>
    <s v=""/>
    <s v=""/>
    <s v=""/>
    <s v=""/>
    <s v=""/>
    <s v=""/>
    <s v=""/>
    <x v="0"/>
    <x v="0"/>
    <x v="0"/>
  </r>
  <r>
    <x v="40"/>
    <m/>
    <m/>
    <m/>
    <m/>
    <m/>
    <m/>
    <m/>
    <m/>
    <m/>
    <m/>
    <m/>
    <x v="2"/>
    <d v="2016-02-04T17:44:00"/>
    <s v="Topic changed from bxt_preint_HEAD to bxt_preint"/>
    <m/>
    <m/>
    <s v="john.mathew@intel.com"/>
    <x v="0"/>
    <x v="1"/>
    <s v=""/>
    <x v="1"/>
    <s v=""/>
    <s v=""/>
    <s v=""/>
    <s v=""/>
    <s v=""/>
    <s v=""/>
    <s v=""/>
    <x v="0"/>
    <x v="0"/>
    <x v="0"/>
  </r>
  <r>
    <x v="40"/>
    <m/>
    <m/>
    <m/>
    <m/>
    <m/>
    <m/>
    <m/>
    <m/>
    <m/>
    <m/>
    <m/>
    <x v="14"/>
    <d v="2016-02-04T17:49:00"/>
    <s v="Patch Set 6: Validation-Android+1\n\nreceive smoke test"/>
    <m/>
    <m/>
    <s v="john.mathew@intel.com"/>
    <x v="0"/>
    <x v="5"/>
    <s v=""/>
    <x v="1"/>
    <s v=""/>
    <s v=""/>
    <s v=""/>
    <s v=""/>
    <s v=""/>
    <s v=""/>
    <s v=""/>
    <x v="0"/>
    <x v="1"/>
    <x v="0"/>
  </r>
  <r>
    <x v="40"/>
    <m/>
    <m/>
    <m/>
    <m/>
    <m/>
    <m/>
    <m/>
    <m/>
    <m/>
    <m/>
    <m/>
    <x v="9"/>
    <d v="2016-02-05T14:07:00"/>
    <s v="Patch Set 6: Integrator+1\n\nIntegrator +1; patch will be add to PT; please no change now"/>
    <m/>
    <m/>
    <s v="john.mathew@intel.com"/>
    <x v="0"/>
    <x v="5"/>
    <s v=""/>
    <x v="1"/>
    <s v=""/>
    <s v=""/>
    <s v=""/>
    <s v=""/>
    <s v=""/>
    <s v=""/>
    <s v=""/>
    <x v="0"/>
    <x v="1"/>
    <x v="0"/>
  </r>
  <r>
    <x v="40"/>
    <m/>
    <m/>
    <m/>
    <m/>
    <m/>
    <m/>
    <m/>
    <m/>
    <m/>
    <m/>
    <m/>
    <x v="9"/>
    <d v="2016-02-05T16:02:00"/>
    <s v="Patch Set 6:\n\nPassed Klocwork code analyzing test. No CRITICAL issue in this patch. Auto reported by kwscan@psi-build5.bj.intel.com"/>
    <m/>
    <m/>
    <s v="john.mathew@intel.com"/>
    <x v="0"/>
    <x v="5"/>
    <s v=""/>
    <x v="1"/>
    <s v=""/>
    <s v=""/>
    <s v=""/>
    <s v=""/>
    <s v=""/>
    <s v=""/>
    <s v=""/>
    <x v="0"/>
    <x v="0"/>
    <x v="0"/>
  </r>
  <r>
    <x v="40"/>
    <m/>
    <m/>
    <m/>
    <m/>
    <m/>
    <m/>
    <m/>
    <m/>
    <m/>
    <m/>
    <m/>
    <x v="9"/>
    <d v="2016-02-05T17:47:00"/>
    <s v="Patch Set 6:\n\nPassed Klocwork code analyzing test. No CRITICAL issue in this patch. Auto reported by kwscan@kw-srv2.bj.intel.com"/>
    <m/>
    <m/>
    <s v="john.mathew@intel.com"/>
    <x v="0"/>
    <x v="5"/>
    <s v=""/>
    <x v="1"/>
    <s v=""/>
    <s v=""/>
    <s v=""/>
    <s v=""/>
    <s v=""/>
    <s v=""/>
    <s v=""/>
    <x v="0"/>
    <x v="0"/>
    <x v="0"/>
  </r>
  <r>
    <x v="40"/>
    <m/>
    <m/>
    <m/>
    <m/>
    <m/>
    <m/>
    <m/>
    <m/>
    <m/>
    <m/>
    <m/>
    <x v="9"/>
    <d v="2016-02-06T11:39:00"/>
    <s v="Patch Set 6: Code-Review+1\n\nPassed PIT; ready for merge"/>
    <m/>
    <m/>
    <s v="john.mathew@intel.com"/>
    <x v="0"/>
    <x v="5"/>
    <s v=""/>
    <x v="1"/>
    <s v=""/>
    <s v=""/>
    <s v=""/>
    <s v=""/>
    <s v=""/>
    <s v=""/>
    <s v=""/>
    <x v="0"/>
    <x v="0"/>
    <x v="0"/>
  </r>
  <r>
    <x v="41"/>
    <n v="99753"/>
    <s v="vied-viedandr-camera3hal"/>
    <s v="platform/android/main"/>
    <s v="I4c75a06a0aa00a4dfbfda08f7bea1ac759accf24"/>
    <s v="huitao.cao@intel.com"/>
    <s v="MERGED"/>
    <s v="c3: Check if the CPF mode is available before reinit 3A"/>
    <s v="c3: Check if the CPF mode is available before reinit 3A\n\nAdd an API in PlatformData to check if the CPF mode is available\nor not.\nIn PSL code; check it before trying to reinit the 3A. If the\nrequired CPF mode is not available (e.g. video mode is required;\nbut there is no CPF file named like 00ov8858.video.xxx.aiqb);\nthe CPF mode should fall back to default mode. Then reinit 3A\nwill not happen; to avoid the unnecessary latency.\n\nChange-Id: I4c75a06a0aa00a4dfbfda08f7bea1ac759accf24\nTracked-On: #H1604101821\nSigned-off-by: Cao Huitao &lt;huitao.cao@intel.com&gt;\nReviewed-on: https://icggerrit.ir.intel.com/99753\nReviewed-by: Jie J Zhang &lt;jie.j.zhang@intel.com&gt;\nReviewed-by: Miguel Verdu &lt;miguel.verdu@intel.com&gt;\nReviewed-by: Jukka O Kaartinen &lt;jukka.o.kaartinen@intel.com&gt;\nReviewed-by: Hongjiang A Zheng &lt;hongjiang.a.zheng@intel.com&gt;\nApprover: Jie J Zhang &lt;jie.j.zhang@intel.com&gt;\nBuild: Dessert M BXT RVP (SC)\nIntegrator: WeiX Meng &lt;weix.meng@intel.com&gt;\nBuild: Dessert M CHT FFD (SC)\nValidation-Android: Dessert M CHT FFD (SC)\nBuild: Dessert M SOFIA (SC)\nReviewed-by: Arnaud Mandy &lt;arnaud.mandy@intel.com&gt;\nReviewed-by: WeiX Meng &lt;weix.meng@intel.com&gt;\n"/>
    <d v="2016-02-03T15:32:00"/>
    <d v="2016-02-06T12:53:00"/>
    <s v="common"/>
    <x v="7"/>
    <d v="2016-02-03T15:32:00"/>
    <s v="Patch Set 1:\n\nPatchset Created: CI job has been scheduled."/>
    <m/>
    <s v="weix.meng@intel.com;hongjiang.a.zheng@intel.com;jukka.o.kaartinen@intel.com;jie.j.zhang@intel.com;arnaud.mandy@intel.com;miguel.verdu@intel.com;"/>
    <s v="huitao.cao@intel.com"/>
    <x v="3"/>
    <x v="0"/>
    <s v="16'ww6"/>
    <x v="1"/>
    <n v="0"/>
    <n v="0"/>
    <n v="0"/>
    <n v="0"/>
    <n v="3"/>
    <n v="5"/>
    <n v="0"/>
    <x v="0"/>
    <x v="0"/>
    <x v="0"/>
  </r>
  <r>
    <x v="41"/>
    <m/>
    <m/>
    <m/>
    <m/>
    <m/>
    <m/>
    <m/>
    <m/>
    <m/>
    <m/>
    <m/>
    <x v="7"/>
    <d v="2016-02-03T15:32:00"/>
    <s v="Uploaded patch set 1."/>
    <m/>
    <m/>
    <s v="huitao.cao@intel.com"/>
    <x v="3"/>
    <x v="0"/>
    <s v=""/>
    <x v="1"/>
    <s v=""/>
    <s v=""/>
    <s v=""/>
    <s v=""/>
    <s v=""/>
    <s v=""/>
    <s v=""/>
    <x v="0"/>
    <x v="0"/>
    <x v="0"/>
  </r>
  <r>
    <x v="41"/>
    <m/>
    <m/>
    <m/>
    <m/>
    <m/>
    <m/>
    <m/>
    <m/>
    <m/>
    <m/>
    <m/>
    <x v="0"/>
    <d v="2016-02-03T16:00:00"/>
    <s v="Patch Set 1: Code-Review+1\n\nPatch looks ok; but I would prefer if you would split it in IPU2 and common parts"/>
    <m/>
    <m/>
    <s v="huitao.cao@intel.com"/>
    <x v="3"/>
    <x v="1"/>
    <s v=""/>
    <x v="1"/>
    <s v=""/>
    <s v=""/>
    <s v=""/>
    <s v=""/>
    <s v=""/>
    <s v=""/>
    <s v=""/>
    <x v="0"/>
    <x v="0"/>
    <x v="0"/>
  </r>
  <r>
    <x v="41"/>
    <m/>
    <m/>
    <m/>
    <m/>
    <m/>
    <m/>
    <m/>
    <m/>
    <m/>
    <m/>
    <m/>
    <x v="7"/>
    <d v="2016-02-03T16:08:00"/>
    <s v="Patch Set 1: Code-Review+1"/>
    <m/>
    <m/>
    <s v="huitao.cao@intel.com"/>
    <x v="3"/>
    <x v="0"/>
    <s v=""/>
    <x v="1"/>
    <s v=""/>
    <s v=""/>
    <s v=""/>
    <s v=""/>
    <s v=""/>
    <s v=""/>
    <s v=""/>
    <x v="0"/>
    <x v="0"/>
    <x v="0"/>
  </r>
  <r>
    <x v="41"/>
    <m/>
    <m/>
    <m/>
    <m/>
    <m/>
    <m/>
    <m/>
    <m/>
    <m/>
    <m/>
    <m/>
    <x v="7"/>
    <d v="2016-02-03T16:15:00"/>
    <s v="Patch Set 2:\n\nPatchset Created: CI job has been scheduled."/>
    <m/>
    <m/>
    <s v="huitao.cao@intel.com"/>
    <x v="3"/>
    <x v="0"/>
    <s v=""/>
    <x v="1"/>
    <s v=""/>
    <s v=""/>
    <s v=""/>
    <s v=""/>
    <s v=""/>
    <s v=""/>
    <s v=""/>
    <x v="0"/>
    <x v="0"/>
    <x v="0"/>
  </r>
  <r>
    <x v="41"/>
    <m/>
    <m/>
    <m/>
    <m/>
    <m/>
    <m/>
    <m/>
    <m/>
    <m/>
    <m/>
    <m/>
    <x v="7"/>
    <d v="2016-02-03T16:15:00"/>
    <s v="Uploaded patch set 2."/>
    <m/>
    <m/>
    <s v="huitao.cao@intel.com"/>
    <x v="3"/>
    <x v="0"/>
    <s v=""/>
    <x v="1"/>
    <s v=""/>
    <s v=""/>
    <s v=""/>
    <s v=""/>
    <s v=""/>
    <s v=""/>
    <s v=""/>
    <x v="0"/>
    <x v="0"/>
    <x v="0"/>
  </r>
  <r>
    <x v="41"/>
    <m/>
    <m/>
    <m/>
    <m/>
    <m/>
    <m/>
    <m/>
    <m/>
    <m/>
    <m/>
    <m/>
    <x v="7"/>
    <d v="2016-02-03T16:24:00"/>
    <s v="Patch Set 2: Code-Review+1"/>
    <m/>
    <m/>
    <s v="huitao.cao@intel.com"/>
    <x v="3"/>
    <x v="0"/>
    <s v=""/>
    <x v="1"/>
    <s v=""/>
    <s v=""/>
    <s v=""/>
    <s v=""/>
    <s v=""/>
    <s v=""/>
    <s v=""/>
    <x v="0"/>
    <x v="0"/>
    <x v="0"/>
  </r>
  <r>
    <x v="41"/>
    <m/>
    <m/>
    <m/>
    <m/>
    <m/>
    <m/>
    <m/>
    <m/>
    <m/>
    <m/>
    <m/>
    <x v="1"/>
    <d v="2016-02-03T22:06:00"/>
    <s v="Patch Set 2: Code-Review+1\n\n(1 comment)\n\nsuggestion on code."/>
    <s v="line276 :&quot;return (index == NAME_NOT_FOUND a false : true)&quot;"/>
    <m/>
    <s v="huitao.cao@intel.com"/>
    <x v="3"/>
    <x v="1"/>
    <s v=""/>
    <x v="1"/>
    <s v=""/>
    <s v=""/>
    <s v=""/>
    <s v=""/>
    <s v=""/>
    <s v=""/>
    <s v=""/>
    <x v="0"/>
    <x v="0"/>
    <x v="0"/>
  </r>
  <r>
    <x v="41"/>
    <m/>
    <m/>
    <m/>
    <m/>
    <m/>
    <m/>
    <m/>
    <m/>
    <m/>
    <m/>
    <m/>
    <x v="7"/>
    <d v="2016-02-04T09:51:00"/>
    <s v="Patch Set 3:\n\nPatchset Created: CI job has been scheduled."/>
    <m/>
    <m/>
    <s v="huitao.cao@intel.com"/>
    <x v="3"/>
    <x v="0"/>
    <s v=""/>
    <x v="1"/>
    <s v=""/>
    <s v=""/>
    <s v=""/>
    <s v=""/>
    <s v=""/>
    <s v=""/>
    <s v=""/>
    <x v="0"/>
    <x v="0"/>
    <x v="0"/>
  </r>
  <r>
    <x v="41"/>
    <m/>
    <m/>
    <m/>
    <m/>
    <m/>
    <m/>
    <m/>
    <m/>
    <m/>
    <m/>
    <m/>
    <x v="7"/>
    <d v="2016-02-04T09:51:00"/>
    <s v="Uploaded patch set 3."/>
    <m/>
    <m/>
    <s v="huitao.cao@intel.com"/>
    <x v="3"/>
    <x v="0"/>
    <s v=""/>
    <x v="1"/>
    <s v=""/>
    <s v=""/>
    <s v=""/>
    <s v=""/>
    <s v=""/>
    <s v=""/>
    <s v=""/>
    <x v="0"/>
    <x v="0"/>
    <x v="0"/>
  </r>
  <r>
    <x v="41"/>
    <m/>
    <m/>
    <m/>
    <m/>
    <m/>
    <m/>
    <m/>
    <m/>
    <m/>
    <m/>
    <m/>
    <x v="7"/>
    <d v="2016-02-04T09:53:00"/>
    <s v="Patch Set 2:\n\n(1 comment)"/>
    <s v="line276 :&quot;Good idea. I'll update it. Thanks~&quot;"/>
    <m/>
    <s v="huitao.cao@intel.com"/>
    <x v="3"/>
    <x v="0"/>
    <s v=""/>
    <x v="1"/>
    <s v=""/>
    <s v=""/>
    <s v=""/>
    <s v=""/>
    <s v=""/>
    <s v=""/>
    <s v=""/>
    <x v="0"/>
    <x v="0"/>
    <x v="0"/>
  </r>
  <r>
    <x v="41"/>
    <m/>
    <m/>
    <m/>
    <m/>
    <m/>
    <m/>
    <m/>
    <m/>
    <m/>
    <m/>
    <m/>
    <x v="7"/>
    <d v="2016-02-04T09:53:00"/>
    <s v="Patch Set 3: Code-Review+1"/>
    <m/>
    <m/>
    <s v="huitao.cao@intel.com"/>
    <x v="3"/>
    <x v="0"/>
    <s v=""/>
    <x v="1"/>
    <s v=""/>
    <s v=""/>
    <s v=""/>
    <s v=""/>
    <s v=""/>
    <s v=""/>
    <s v=""/>
    <x v="0"/>
    <x v="0"/>
    <x v="0"/>
  </r>
  <r>
    <x v="41"/>
    <m/>
    <m/>
    <m/>
    <m/>
    <m/>
    <m/>
    <m/>
    <m/>
    <m/>
    <m/>
    <m/>
    <x v="33"/>
    <d v="2016-02-04T10:22:00"/>
    <s v="Patch Set 3: Code-Review+1"/>
    <m/>
    <m/>
    <s v="huitao.cao@intel.com"/>
    <x v="3"/>
    <x v="4"/>
    <s v=""/>
    <x v="1"/>
    <s v=""/>
    <s v=""/>
    <s v=""/>
    <s v=""/>
    <s v=""/>
    <s v=""/>
    <s v=""/>
    <x v="0"/>
    <x v="0"/>
    <x v="0"/>
  </r>
  <r>
    <x v="41"/>
    <m/>
    <m/>
    <m/>
    <m/>
    <m/>
    <m/>
    <m/>
    <m/>
    <m/>
    <m/>
    <m/>
    <x v="0"/>
    <d v="2016-02-04T15:03:00"/>
    <s v="Patch Set 3: Code-Review+1"/>
    <m/>
    <m/>
    <s v="huitao.cao@intel.com"/>
    <x v="3"/>
    <x v="1"/>
    <s v=""/>
    <x v="1"/>
    <s v=""/>
    <s v=""/>
    <s v=""/>
    <s v=""/>
    <s v=""/>
    <s v=""/>
    <s v=""/>
    <x v="0"/>
    <x v="0"/>
    <x v="0"/>
  </r>
  <r>
    <x v="41"/>
    <m/>
    <m/>
    <m/>
    <m/>
    <m/>
    <m/>
    <m/>
    <m/>
    <m/>
    <m/>
    <m/>
    <x v="2"/>
    <d v="2016-02-04T15:30:00"/>
    <s v="Patch Set 3: Code-Review+1"/>
    <m/>
    <m/>
    <s v="huitao.cao@intel.com"/>
    <x v="3"/>
    <x v="1"/>
    <s v=""/>
    <x v="1"/>
    <s v=""/>
    <s v=""/>
    <s v=""/>
    <s v=""/>
    <s v=""/>
    <s v=""/>
    <s v=""/>
    <x v="0"/>
    <x v="0"/>
    <x v="0"/>
  </r>
  <r>
    <x v="41"/>
    <m/>
    <m/>
    <m/>
    <m/>
    <m/>
    <m/>
    <m/>
    <m/>
    <m/>
    <m/>
    <m/>
    <x v="15"/>
    <d v="2016-02-04T16:49:00"/>
    <s v="Patch Set 3: Code-Review+1"/>
    <m/>
    <m/>
    <s v="huitao.cao@intel.com"/>
    <x v="3"/>
    <x v="4"/>
    <s v=""/>
    <x v="1"/>
    <s v=""/>
    <s v=""/>
    <s v=""/>
    <s v=""/>
    <s v=""/>
    <s v=""/>
    <s v=""/>
    <x v="0"/>
    <x v="0"/>
    <x v="0"/>
  </r>
  <r>
    <x v="41"/>
    <m/>
    <m/>
    <m/>
    <m/>
    <m/>
    <m/>
    <m/>
    <m/>
    <m/>
    <m/>
    <m/>
    <x v="33"/>
    <d v="2016-02-04T17:20:00"/>
    <s v="Patch Set 3: Approver+1"/>
    <m/>
    <m/>
    <s v="huitao.cao@intel.com"/>
    <x v="3"/>
    <x v="4"/>
    <s v=""/>
    <x v="1"/>
    <s v=""/>
    <s v=""/>
    <s v=""/>
    <s v=""/>
    <s v=""/>
    <s v=""/>
    <s v=""/>
    <x v="0"/>
    <x v="0"/>
    <x v="0"/>
  </r>
  <r>
    <x v="41"/>
    <m/>
    <m/>
    <m/>
    <m/>
    <m/>
    <m/>
    <m/>
    <m/>
    <m/>
    <m/>
    <m/>
    <x v="14"/>
    <d v="2016-02-04T17:22:00"/>
    <s v="Patch Set 3: Validation-Android+1\n\nreceive smoke test"/>
    <m/>
    <m/>
    <s v="huitao.cao@intel.com"/>
    <x v="3"/>
    <x v="5"/>
    <s v=""/>
    <x v="1"/>
    <s v=""/>
    <s v=""/>
    <s v=""/>
    <s v=""/>
    <s v=""/>
    <s v=""/>
    <s v=""/>
    <x v="0"/>
    <x v="1"/>
    <x v="0"/>
  </r>
  <r>
    <x v="41"/>
    <m/>
    <m/>
    <m/>
    <m/>
    <m/>
    <m/>
    <m/>
    <m/>
    <m/>
    <m/>
    <m/>
    <x v="7"/>
    <d v="2016-02-05T10:35:00"/>
    <s v="Patch Set 4: Published edit on patch set 3"/>
    <m/>
    <m/>
    <s v="huitao.cao@intel.com"/>
    <x v="3"/>
    <x v="0"/>
    <s v=""/>
    <x v="1"/>
    <s v=""/>
    <s v=""/>
    <s v=""/>
    <s v=""/>
    <s v=""/>
    <s v=""/>
    <s v=""/>
    <x v="0"/>
    <x v="0"/>
    <x v="0"/>
  </r>
  <r>
    <x v="41"/>
    <m/>
    <m/>
    <m/>
    <m/>
    <m/>
    <m/>
    <m/>
    <m/>
    <m/>
    <m/>
    <m/>
    <x v="7"/>
    <d v="2016-02-05T10:35:00"/>
    <s v="Patch Set 4:\n\nPatchset Created: CI job has been scheduled."/>
    <m/>
    <m/>
    <s v="huitao.cao@intel.com"/>
    <x v="3"/>
    <x v="0"/>
    <s v=""/>
    <x v="1"/>
    <s v=""/>
    <s v=""/>
    <s v=""/>
    <s v=""/>
    <s v=""/>
    <s v=""/>
    <s v=""/>
    <x v="0"/>
    <x v="0"/>
    <x v="0"/>
  </r>
  <r>
    <x v="41"/>
    <m/>
    <m/>
    <m/>
    <m/>
    <m/>
    <m/>
    <m/>
    <m/>
    <m/>
    <m/>
    <m/>
    <x v="9"/>
    <d v="2016-02-05T14:05:00"/>
    <s v="Patch Set 4: Integrator+1\n\nIntegrator +1; patch will be add to PT; please no change now"/>
    <m/>
    <m/>
    <s v="huitao.cao@intel.com"/>
    <x v="3"/>
    <x v="5"/>
    <s v=""/>
    <x v="1"/>
    <s v=""/>
    <s v=""/>
    <s v=""/>
    <s v=""/>
    <s v=""/>
    <s v=""/>
    <s v=""/>
    <x v="0"/>
    <x v="1"/>
    <x v="0"/>
  </r>
  <r>
    <x v="41"/>
    <m/>
    <m/>
    <m/>
    <m/>
    <m/>
    <m/>
    <m/>
    <m/>
    <m/>
    <m/>
    <m/>
    <x v="9"/>
    <d v="2016-02-05T16:01:00"/>
    <s v="Patch Set 4:\n\nPassed Klocwork code analyzing test. No CRITICAL issue in this patch. Auto reported by kwscan@psi-build5.bj.intel.com"/>
    <m/>
    <m/>
    <s v="huitao.cao@intel.com"/>
    <x v="3"/>
    <x v="5"/>
    <s v=""/>
    <x v="1"/>
    <s v=""/>
    <s v=""/>
    <s v=""/>
    <s v=""/>
    <s v=""/>
    <s v=""/>
    <s v=""/>
    <x v="0"/>
    <x v="0"/>
    <x v="0"/>
  </r>
  <r>
    <x v="41"/>
    <m/>
    <m/>
    <m/>
    <m/>
    <m/>
    <m/>
    <m/>
    <m/>
    <m/>
    <m/>
    <m/>
    <x v="9"/>
    <d v="2016-02-05T17:46:00"/>
    <s v="Patch Set 4:\n\nPassed Klocwork code analyzing test. No CRITICAL issue in this patch. Auto reported by kwscan@kw-srv2.bj.intel.com"/>
    <m/>
    <m/>
    <s v="huitao.cao@intel.com"/>
    <x v="3"/>
    <x v="5"/>
    <s v=""/>
    <x v="1"/>
    <s v=""/>
    <s v=""/>
    <s v=""/>
    <s v=""/>
    <s v=""/>
    <s v=""/>
    <s v=""/>
    <x v="0"/>
    <x v="0"/>
    <x v="0"/>
  </r>
  <r>
    <x v="41"/>
    <m/>
    <m/>
    <m/>
    <m/>
    <m/>
    <m/>
    <m/>
    <m/>
    <m/>
    <m/>
    <m/>
    <x v="1"/>
    <d v="2016-02-05T23:30:00"/>
    <s v="Patch Set 4: Code-Review+1"/>
    <m/>
    <m/>
    <s v="huitao.cao@intel.com"/>
    <x v="3"/>
    <x v="1"/>
    <s v=""/>
    <x v="1"/>
    <s v=""/>
    <s v=""/>
    <s v=""/>
    <s v=""/>
    <s v=""/>
    <s v=""/>
    <s v=""/>
    <x v="0"/>
    <x v="0"/>
    <x v="0"/>
  </r>
  <r>
    <x v="41"/>
    <m/>
    <m/>
    <m/>
    <m/>
    <m/>
    <m/>
    <m/>
    <m/>
    <m/>
    <m/>
    <m/>
    <x v="9"/>
    <d v="2016-02-06T11:38:00"/>
    <s v="Patch Set 4: Code-Review+1\n\nPassed PIT; ready for merge"/>
    <m/>
    <m/>
    <s v="huitao.cao@intel.com"/>
    <x v="3"/>
    <x v="5"/>
    <s v=""/>
    <x v="1"/>
    <s v=""/>
    <s v=""/>
    <s v=""/>
    <s v=""/>
    <s v=""/>
    <s v=""/>
    <s v=""/>
    <x v="0"/>
    <x v="0"/>
    <x v="0"/>
  </r>
  <r>
    <x v="42"/>
    <n v="95493"/>
    <s v="vied-viedandr-camera3hal"/>
    <s v="platform/android/main"/>
    <s v="I7df49e6df361d0856ed52728caa7f9e2974bbafc"/>
    <s v="ukri.niemimuukko@intel.com"/>
    <s v="MERGED"/>
    <s v="c3:3a: frame count based AF timeout"/>
    <s v="c3:3a: frame count based AF timeout\n\nSince AF works based on frame statistics; the timeout of\nAF sequence should be based on number of AF iterations; or\nframe counts. This adds a frame count based timeout and\nincreases the time based timeout to 4 seconds. The frame\ncount based timeout matches the old timeout of 2 seconds;\nwhen FPS is 30. A minimum timeout value is added for fast\nFPS operation; allowing for 2 second timeout anyways.\n\nNow that AF will not timeout categorically at 2 seconds; we\ncan see slower FPS devices such as bxt to reach AF conclusion\nduring ITS tests.\n\nChange-Id: I7df49e6df361d0856ed52728caa7f9e2974bbafc\nTracked-On: #R507345\nSigned-off-by: Ukri Niemimuukko &lt;ukri.niemimuukko@intel.com&gt;\nReviewed-on: https://icggerrit.ir.intel.com/95493\nReviewed-by: Lassi I Vaatamoinen &lt;lassi.i.vaatamoinen@intel.com&gt;\nReviewed-by: Renwei Wu &lt;renwei.wu@intel.com&gt;\nReviewed-by: Jingzhi Yu &lt;jingzhi.yu@intel.com&gt;\nReviewed-by: Huitao Cao &lt;huitao.cao@intel.com&gt;\nReviewed-by: Arnaud Mandy &lt;arnaud.mandy@intel.com&gt;\nValidation-Android: Wei Tao &lt;wei.tao@intel.com&gt;\nBuild: Dessert M BXT RVP (SC)\nReviewed-by: Gang A Hu &lt;gang.a.hu@intel.com&gt;\nReviewed-by: Jukka O Kaartinen &lt;jukka.o.kaartinen@intel.com&gt;\nApprover: Jukka O Kaartinen &lt;jukka.o.kaartinen@intel.com&gt;\nBuild: Dessert M SOFIA (SC)\nBuild: Dessert M CHT FFD (SC)\nValidation-Android: Dessert M CHT FFD (SC)\nReviewed-by: Miguel Verdu &lt;miguel.verdu@intel.com&gt;\nReviewed-by: Kaisa Taipale &lt;kaisa.taipale@intel.com&gt;\nIntegrator: WeiX Meng &lt;weix.meng@intel.com&gt;\nReviewed-by: WeiX Meng &lt;weix.meng@intel.com&gt;\n"/>
    <d v="2016-01-14T18:36:00"/>
    <d v="2016-02-04T15:25:00"/>
    <s v="common"/>
    <x v="6"/>
    <d v="2016-01-14T18:36:00"/>
    <s v="Uploaded patch set 1."/>
    <m/>
    <s v="weix.meng@intel.com;kaisa.taipale@intel.com;miguel.verdu@intel.com;jukka.o.kaartinen@intel.com;gang.a.hu@intel.com;arnaud.mandy@intel.com;huitao.cao@intel.com;jingzhi.yu@intel.com;renwei.wu@intel.com;lassi.i.vaatamoinen@intel.com;"/>
    <s v="ukri.niemimuukko@intel.com"/>
    <x v="0"/>
    <x v="0"/>
    <s v="16'ww6"/>
    <x v="1"/>
    <n v="2"/>
    <n v="1"/>
    <n v="1"/>
    <n v="0"/>
    <n v="4"/>
    <n v="9"/>
    <n v="1"/>
    <x v="0"/>
    <x v="0"/>
    <x v="0"/>
  </r>
  <r>
    <x v="42"/>
    <m/>
    <m/>
    <m/>
    <m/>
    <m/>
    <m/>
    <m/>
    <m/>
    <m/>
    <m/>
    <m/>
    <x v="6"/>
    <d v="2016-01-14T18:36:00"/>
    <s v="Patch Set 1:\n\nPatchset Created: CI job has been scheduled."/>
    <m/>
    <m/>
    <s v="ukri.niemimuukko@intel.com"/>
    <x v="0"/>
    <x v="0"/>
    <s v=""/>
    <x v="1"/>
    <s v=""/>
    <s v=""/>
    <s v=""/>
    <s v=""/>
    <s v=""/>
    <s v=""/>
    <s v=""/>
    <x v="0"/>
    <x v="0"/>
    <x v="0"/>
  </r>
  <r>
    <x v="42"/>
    <m/>
    <m/>
    <m/>
    <m/>
    <m/>
    <m/>
    <m/>
    <m/>
    <m/>
    <m/>
    <m/>
    <x v="6"/>
    <d v="2016-01-14T18:44:00"/>
    <s v="Patch Set 1: Code-Review+1"/>
    <m/>
    <m/>
    <s v="ukri.niemimuukko@intel.com"/>
    <x v="0"/>
    <x v="0"/>
    <s v=""/>
    <x v="1"/>
    <s v=""/>
    <s v=""/>
    <s v=""/>
    <s v=""/>
    <s v=""/>
    <s v=""/>
    <s v=""/>
    <x v="0"/>
    <x v="0"/>
    <x v="0"/>
  </r>
  <r>
    <x v="42"/>
    <m/>
    <m/>
    <m/>
    <m/>
    <m/>
    <m/>
    <m/>
    <m/>
    <m/>
    <m/>
    <m/>
    <x v="12"/>
    <d v="2016-01-14T20:01:00"/>
    <s v="Patch Set 1: Code-Review-1\n\n(2 comments)\n\nMain issue about minor extra brace usage. Plus possible Doxy over-exposure?"/>
    <s v="line299 :&quot;I'm OK of this comment going to Doxygen doc. This is a protected function; so not sure if necessary info in Doxy.&quot; line306 :&quot;could remove extra braces&quot;"/>
    <m/>
    <s v="ukri.niemimuukko@intel.com"/>
    <x v="0"/>
    <x v="1"/>
    <s v=""/>
    <x v="1"/>
    <s v=""/>
    <s v=""/>
    <s v=""/>
    <s v=""/>
    <s v=""/>
    <s v=""/>
    <s v=""/>
    <x v="1"/>
    <x v="0"/>
    <x v="0"/>
  </r>
  <r>
    <x v="42"/>
    <m/>
    <m/>
    <m/>
    <m/>
    <m/>
    <m/>
    <m/>
    <m/>
    <m/>
    <m/>
    <m/>
    <x v="6"/>
    <d v="2016-01-14T20:17:00"/>
    <s v="Patch Set 2:\n\nPatchset Created: CI job has been scheduled."/>
    <m/>
    <m/>
    <s v="ukri.niemimuukko@intel.com"/>
    <x v="0"/>
    <x v="0"/>
    <s v=""/>
    <x v="1"/>
    <s v=""/>
    <s v=""/>
    <s v=""/>
    <s v=""/>
    <s v=""/>
    <s v=""/>
    <s v=""/>
    <x v="0"/>
    <x v="0"/>
    <x v="0"/>
  </r>
  <r>
    <x v="42"/>
    <m/>
    <m/>
    <m/>
    <m/>
    <m/>
    <m/>
    <m/>
    <m/>
    <m/>
    <m/>
    <m/>
    <x v="6"/>
    <d v="2016-01-14T20:17:00"/>
    <s v="Uploaded patch set 2."/>
    <m/>
    <m/>
    <s v="ukri.niemimuukko@intel.com"/>
    <x v="0"/>
    <x v="0"/>
    <s v=""/>
    <x v="1"/>
    <s v=""/>
    <s v=""/>
    <s v=""/>
    <s v=""/>
    <s v=""/>
    <s v=""/>
    <s v=""/>
    <x v="0"/>
    <x v="0"/>
    <x v="0"/>
  </r>
  <r>
    <x v="42"/>
    <m/>
    <m/>
    <m/>
    <m/>
    <m/>
    <m/>
    <m/>
    <m/>
    <m/>
    <m/>
    <m/>
    <x v="6"/>
    <d v="2016-01-14T20:17:00"/>
    <s v="Patch Set 2: Code-Review+1"/>
    <m/>
    <m/>
    <s v="ukri.niemimuukko@intel.com"/>
    <x v="0"/>
    <x v="0"/>
    <s v=""/>
    <x v="1"/>
    <s v=""/>
    <s v=""/>
    <s v=""/>
    <s v=""/>
    <s v=""/>
    <s v=""/>
    <s v=""/>
    <x v="0"/>
    <x v="0"/>
    <x v="0"/>
  </r>
  <r>
    <x v="42"/>
    <m/>
    <m/>
    <m/>
    <m/>
    <m/>
    <m/>
    <m/>
    <m/>
    <m/>
    <m/>
    <m/>
    <x v="12"/>
    <d v="2016-01-14T21:05:00"/>
    <s v="Patch Set 2: Code-Review+1"/>
    <m/>
    <m/>
    <s v="ukri.niemimuukko@intel.com"/>
    <x v="0"/>
    <x v="1"/>
    <s v=""/>
    <x v="1"/>
    <s v=""/>
    <s v=""/>
    <s v=""/>
    <s v=""/>
    <s v=""/>
    <s v=""/>
    <s v=""/>
    <x v="0"/>
    <x v="0"/>
    <x v="0"/>
  </r>
  <r>
    <x v="42"/>
    <m/>
    <m/>
    <m/>
    <m/>
    <m/>
    <m/>
    <m/>
    <m/>
    <m/>
    <m/>
    <m/>
    <x v="3"/>
    <d v="2016-01-14T23:34:00"/>
    <s v="Patch Set 2: Code-Review+1"/>
    <m/>
    <m/>
    <s v="ukri.niemimuukko@intel.com"/>
    <x v="0"/>
    <x v="2"/>
    <s v=""/>
    <x v="1"/>
    <s v=""/>
    <s v=""/>
    <s v=""/>
    <s v=""/>
    <s v=""/>
    <s v=""/>
    <s v=""/>
    <x v="0"/>
    <x v="0"/>
    <x v="0"/>
  </r>
  <r>
    <x v="42"/>
    <m/>
    <m/>
    <m/>
    <m/>
    <m/>
    <m/>
    <m/>
    <m/>
    <m/>
    <m/>
    <m/>
    <x v="16"/>
    <d v="2016-01-15T10:44:00"/>
    <s v="Patch Set 2: Code-Review-1\n\n(1 comment)"/>
    <s v="line313 :&quot;if timeout don't happen; the mCurrentAfState is still ANDROID_CONTROL_AF_STATE_NOT_FOCUSED_LOCKED? I think this isn't what you want.&quot;"/>
    <m/>
    <s v="ukri.niemimuukko@intel.com"/>
    <x v="0"/>
    <x v="4"/>
    <s v=""/>
    <x v="1"/>
    <s v=""/>
    <s v=""/>
    <s v=""/>
    <s v=""/>
    <s v=""/>
    <s v=""/>
    <s v=""/>
    <x v="1"/>
    <x v="0"/>
    <x v="0"/>
  </r>
  <r>
    <x v="42"/>
    <m/>
    <m/>
    <m/>
    <m/>
    <m/>
    <m/>
    <m/>
    <m/>
    <m/>
    <m/>
    <m/>
    <x v="6"/>
    <d v="2016-01-15T14:03:00"/>
    <s v="Patch Set 2:\n\n(1 comment)"/>
    <s v="line313 :&quot;That part of the logic is not changed compared to previous. To make the if-statement slightly simpler here; I added another level of if-statement above when \&quot;anything else than FOCUSED_LOCKED\&quot;.\n\nThe old logic (left side) was like this: if the current af state is something else than FOCUSED_LOCKED and 2 seconds have passed since trigger; then state is set to NOT_FOCUSED_LOCKED.\n\nNew logic is this: if the current af state is something else than FOCUSED_LOCKED and 2-4 seconds have passed since trigger (exact time depending on FPS); then state is set to NOT_FOCUSED_LOCKED.\n\nIf timeout does not happen; it means the AF succeeded; the current af state is set to FOCUSED_LOCKED and the trigger is reset. First if-statement in this function returns false.&quot;"/>
    <m/>
    <s v="ukri.niemimuukko@intel.com"/>
    <x v="0"/>
    <x v="0"/>
    <s v=""/>
    <x v="1"/>
    <s v=""/>
    <s v=""/>
    <s v=""/>
    <s v=""/>
    <s v=""/>
    <s v=""/>
    <s v=""/>
    <x v="0"/>
    <x v="0"/>
    <x v="0"/>
  </r>
  <r>
    <x v="42"/>
    <m/>
    <m/>
    <m/>
    <m/>
    <m/>
    <m/>
    <m/>
    <m/>
    <m/>
    <m/>
    <m/>
    <x v="16"/>
    <d v="2016-01-15T14:14:00"/>
    <s v="Patch Set 2: Code-Review+1"/>
    <m/>
    <m/>
    <s v="ukri.niemimuukko@intel.com"/>
    <x v="0"/>
    <x v="4"/>
    <s v=""/>
    <x v="1"/>
    <s v=""/>
    <s v=""/>
    <s v=""/>
    <s v=""/>
    <s v=""/>
    <s v=""/>
    <s v=""/>
    <x v="0"/>
    <x v="0"/>
    <x v="0"/>
  </r>
  <r>
    <x v="42"/>
    <m/>
    <m/>
    <m/>
    <m/>
    <m/>
    <m/>
    <m/>
    <m/>
    <m/>
    <m/>
    <m/>
    <x v="7"/>
    <d v="2016-01-15T15:31:00"/>
    <s v="Patch Set 2: Code-Review+1"/>
    <m/>
    <m/>
    <s v="ukri.niemimuukko@intel.com"/>
    <x v="0"/>
    <x v="4"/>
    <s v=""/>
    <x v="1"/>
    <s v=""/>
    <s v=""/>
    <s v=""/>
    <s v=""/>
    <s v=""/>
    <s v=""/>
    <s v=""/>
    <x v="0"/>
    <x v="0"/>
    <x v="0"/>
  </r>
  <r>
    <x v="42"/>
    <m/>
    <m/>
    <m/>
    <m/>
    <m/>
    <m/>
    <m/>
    <m/>
    <m/>
    <m/>
    <m/>
    <x v="1"/>
    <d v="2016-01-20T19:09:00"/>
    <s v="Patch Set 2: Code-Review+1"/>
    <m/>
    <m/>
    <s v="ukri.niemimuukko@intel.com"/>
    <x v="0"/>
    <x v="1"/>
    <s v=""/>
    <x v="1"/>
    <s v=""/>
    <s v=""/>
    <s v=""/>
    <s v=""/>
    <s v=""/>
    <s v=""/>
    <s v=""/>
    <x v="0"/>
    <x v="0"/>
    <x v="0"/>
  </r>
  <r>
    <x v="42"/>
    <m/>
    <m/>
    <m/>
    <m/>
    <m/>
    <m/>
    <m/>
    <m/>
    <m/>
    <m/>
    <m/>
    <x v="6"/>
    <d v="2016-01-22T13:43:00"/>
    <s v="Patch Set 2:\n\nThis patch is pending proper smoke testing."/>
    <m/>
    <m/>
    <s v="ukri.niemimuukko@intel.com"/>
    <x v="0"/>
    <x v="0"/>
    <s v=""/>
    <x v="1"/>
    <s v=""/>
    <s v=""/>
    <s v=""/>
    <s v=""/>
    <s v=""/>
    <s v=""/>
    <s v=""/>
    <x v="0"/>
    <x v="0"/>
    <x v="0"/>
  </r>
  <r>
    <x v="42"/>
    <m/>
    <m/>
    <m/>
    <m/>
    <m/>
    <m/>
    <m/>
    <m/>
    <m/>
    <m/>
    <m/>
    <x v="6"/>
    <d v="2016-01-29T14:46:00"/>
    <s v="Patch Set 3:\n\nPatchset Created: CI job has been scheduled."/>
    <m/>
    <m/>
    <s v="ukri.niemimuukko@intel.com"/>
    <x v="0"/>
    <x v="0"/>
    <s v=""/>
    <x v="1"/>
    <s v=""/>
    <s v=""/>
    <s v=""/>
    <s v=""/>
    <s v=""/>
    <s v=""/>
    <s v=""/>
    <x v="0"/>
    <x v="0"/>
    <x v="0"/>
  </r>
  <r>
    <x v="42"/>
    <m/>
    <m/>
    <m/>
    <m/>
    <m/>
    <m/>
    <m/>
    <m/>
    <m/>
    <m/>
    <m/>
    <x v="6"/>
    <d v="2016-01-29T14:46:00"/>
    <s v="Uploaded patch set 3: Patch Set 2 was rebased."/>
    <m/>
    <m/>
    <s v="ukri.niemimuukko@intel.com"/>
    <x v="0"/>
    <x v="0"/>
    <s v=""/>
    <x v="1"/>
    <s v=""/>
    <s v=""/>
    <s v=""/>
    <s v=""/>
    <s v=""/>
    <s v=""/>
    <s v=""/>
    <x v="0"/>
    <x v="0"/>
    <x v="0"/>
  </r>
  <r>
    <x v="42"/>
    <m/>
    <m/>
    <m/>
    <m/>
    <m/>
    <m/>
    <m/>
    <m/>
    <m/>
    <m/>
    <m/>
    <x v="14"/>
    <d v="2016-01-29T14:56:00"/>
    <s v="Patch Set 3: Validation-Android+1\n\nreceive smoke test"/>
    <m/>
    <m/>
    <s v="ukri.niemimuukko@intel.com"/>
    <x v="0"/>
    <x v="5"/>
    <s v=""/>
    <x v="1"/>
    <s v=""/>
    <s v=""/>
    <s v=""/>
    <s v=""/>
    <s v=""/>
    <s v=""/>
    <s v=""/>
    <x v="0"/>
    <x v="1"/>
    <x v="0"/>
  </r>
  <r>
    <x v="42"/>
    <m/>
    <m/>
    <m/>
    <m/>
    <m/>
    <m/>
    <m/>
    <m/>
    <m/>
    <m/>
    <m/>
    <x v="13"/>
    <d v="2016-01-29T15:17:00"/>
    <s v="Patch Set 3: Code-Review+1"/>
    <m/>
    <m/>
    <s v="ukri.niemimuukko@intel.com"/>
    <x v="0"/>
    <x v="4"/>
    <s v=""/>
    <x v="1"/>
    <s v=""/>
    <s v=""/>
    <s v=""/>
    <s v=""/>
    <s v=""/>
    <s v=""/>
    <s v=""/>
    <x v="0"/>
    <x v="0"/>
    <x v="0"/>
  </r>
  <r>
    <x v="42"/>
    <m/>
    <m/>
    <m/>
    <m/>
    <m/>
    <m/>
    <m/>
    <m/>
    <m/>
    <m/>
    <m/>
    <x v="2"/>
    <d v="2016-01-29T15:34:00"/>
    <s v="Patch Set 3: Code-Review+1"/>
    <m/>
    <m/>
    <s v="ukri.niemimuukko@intel.com"/>
    <x v="0"/>
    <x v="1"/>
    <s v=""/>
    <x v="1"/>
    <s v=""/>
    <s v=""/>
    <s v=""/>
    <s v=""/>
    <s v=""/>
    <s v=""/>
    <s v=""/>
    <x v="0"/>
    <x v="0"/>
    <x v="0"/>
  </r>
  <r>
    <x v="42"/>
    <m/>
    <m/>
    <m/>
    <m/>
    <m/>
    <m/>
    <m/>
    <m/>
    <m/>
    <m/>
    <m/>
    <x v="2"/>
    <d v="2016-01-29T15:44:00"/>
    <s v="Patch Set 3: Approver+1"/>
    <m/>
    <m/>
    <s v="ukri.niemimuukko@intel.com"/>
    <x v="0"/>
    <x v="1"/>
    <s v=""/>
    <x v="1"/>
    <s v=""/>
    <s v=""/>
    <s v=""/>
    <s v=""/>
    <s v=""/>
    <s v=""/>
    <s v=""/>
    <x v="0"/>
    <x v="0"/>
    <x v="0"/>
  </r>
  <r>
    <x v="42"/>
    <m/>
    <m/>
    <m/>
    <m/>
    <m/>
    <m/>
    <m/>
    <m/>
    <m/>
    <m/>
    <m/>
    <x v="2"/>
    <d v="2016-01-29T15:44:00"/>
    <s v="Topic changed from topic_jan29 to bxt_preint_HEAD"/>
    <m/>
    <m/>
    <s v="ukri.niemimuukko@intel.com"/>
    <x v="0"/>
    <x v="1"/>
    <s v=""/>
    <x v="1"/>
    <s v=""/>
    <s v=""/>
    <s v=""/>
    <s v=""/>
    <s v=""/>
    <s v=""/>
    <s v=""/>
    <x v="0"/>
    <x v="0"/>
    <x v="0"/>
  </r>
  <r>
    <x v="42"/>
    <m/>
    <m/>
    <m/>
    <m/>
    <m/>
    <m/>
    <m/>
    <m/>
    <m/>
    <m/>
    <m/>
    <x v="2"/>
    <d v="2016-01-29T16:08:00"/>
    <s v="Topic changed from bxt_preint_HEAD to bxt_preint"/>
    <m/>
    <m/>
    <s v="ukri.niemimuukko@intel.com"/>
    <x v="0"/>
    <x v="1"/>
    <s v=""/>
    <x v="1"/>
    <s v=""/>
    <s v=""/>
    <s v=""/>
    <s v=""/>
    <s v=""/>
    <s v=""/>
    <s v=""/>
    <x v="0"/>
    <x v="0"/>
    <x v="0"/>
  </r>
  <r>
    <x v="42"/>
    <m/>
    <m/>
    <m/>
    <m/>
    <m/>
    <m/>
    <m/>
    <m/>
    <m/>
    <m/>
    <m/>
    <x v="9"/>
    <d v="2016-02-01T14:16:00"/>
    <s v="Patch Set 3: Integrator+1\n\nIntegrator +1; patch will be add to PT; please no change now"/>
    <m/>
    <m/>
    <s v="ukri.niemimuukko@intel.com"/>
    <x v="0"/>
    <x v="5"/>
    <s v=""/>
    <x v="1"/>
    <s v=""/>
    <s v=""/>
    <s v=""/>
    <s v=""/>
    <s v=""/>
    <s v=""/>
    <s v=""/>
    <x v="0"/>
    <x v="1"/>
    <x v="0"/>
  </r>
  <r>
    <x v="42"/>
    <m/>
    <m/>
    <m/>
    <m/>
    <m/>
    <m/>
    <m/>
    <m/>
    <m/>
    <m/>
    <m/>
    <x v="0"/>
    <d v="2016-02-01T14:47:00"/>
    <s v="Patch Set 3: Code-Review+1"/>
    <m/>
    <m/>
    <s v="ukri.niemimuukko@intel.com"/>
    <x v="0"/>
    <x v="1"/>
    <s v=""/>
    <x v="1"/>
    <s v=""/>
    <s v=""/>
    <s v=""/>
    <s v=""/>
    <s v=""/>
    <s v=""/>
    <s v=""/>
    <x v="0"/>
    <x v="0"/>
    <x v="0"/>
  </r>
  <r>
    <x v="42"/>
    <m/>
    <m/>
    <m/>
    <m/>
    <m/>
    <m/>
    <m/>
    <m/>
    <m/>
    <m/>
    <m/>
    <x v="11"/>
    <d v="2016-02-01T15:09:00"/>
    <s v="Patch Set 3: Code-Review+1"/>
    <m/>
    <m/>
    <s v="ukri.niemimuukko@intel.com"/>
    <x v="0"/>
    <x v="1"/>
    <s v=""/>
    <x v="1"/>
    <s v=""/>
    <s v=""/>
    <s v=""/>
    <s v=""/>
    <s v=""/>
    <s v=""/>
    <s v=""/>
    <x v="0"/>
    <x v="0"/>
    <x v="0"/>
  </r>
  <r>
    <x v="42"/>
    <m/>
    <m/>
    <m/>
    <m/>
    <m/>
    <m/>
    <m/>
    <m/>
    <m/>
    <m/>
    <m/>
    <x v="9"/>
    <d v="2016-02-01T19:21:00"/>
    <s v="Patch Set 3:\n\nPassed Klocwork code analyzing test. No CRITICAL issue in this patch. Auto reported by kwscan@andr-val-srv0.bj.intel.com"/>
    <m/>
    <m/>
    <s v="ukri.niemimuukko@intel.com"/>
    <x v="0"/>
    <x v="5"/>
    <s v=""/>
    <x v="1"/>
    <s v=""/>
    <s v=""/>
    <s v=""/>
    <s v=""/>
    <s v=""/>
    <s v=""/>
    <s v=""/>
    <x v="0"/>
    <x v="0"/>
    <x v="0"/>
  </r>
  <r>
    <x v="42"/>
    <m/>
    <m/>
    <m/>
    <m/>
    <m/>
    <m/>
    <m/>
    <m/>
    <m/>
    <m/>
    <m/>
    <x v="9"/>
    <d v="2016-02-01T19:49:00"/>
    <s v="Patch Set 3:\n\nPassed Klocwork code analyzing test. No CRITICAL issue in this patch. Auto reported by kwscan@psi-build5.bj.intel.com"/>
    <m/>
    <m/>
    <s v="ukri.niemimuukko@intel.com"/>
    <x v="0"/>
    <x v="5"/>
    <s v=""/>
    <x v="1"/>
    <s v=""/>
    <s v=""/>
    <s v=""/>
    <s v=""/>
    <s v=""/>
    <s v=""/>
    <s v=""/>
    <x v="0"/>
    <x v="0"/>
    <x v="0"/>
  </r>
  <r>
    <x v="42"/>
    <m/>
    <m/>
    <m/>
    <m/>
    <m/>
    <m/>
    <m/>
    <m/>
    <m/>
    <m/>
    <m/>
    <x v="9"/>
    <d v="2016-02-01T19:51:00"/>
    <s v="Patch Set 3:\n\nPassed Klocwork code analyzing test. No CRITICAL issue in this patch. Auto reported by kwscan@kw-srv2.bj.intel.com"/>
    <m/>
    <m/>
    <s v="ukri.niemimuukko@intel.com"/>
    <x v="0"/>
    <x v="5"/>
    <s v=""/>
    <x v="1"/>
    <s v=""/>
    <s v=""/>
    <s v=""/>
    <s v=""/>
    <s v=""/>
    <s v=""/>
    <s v=""/>
    <x v="0"/>
    <x v="0"/>
    <x v="0"/>
  </r>
  <r>
    <x v="42"/>
    <m/>
    <m/>
    <m/>
    <m/>
    <m/>
    <m/>
    <m/>
    <m/>
    <m/>
    <m/>
    <m/>
    <x v="9"/>
    <d v="2016-02-01T23:12:00"/>
    <s v="Patch Set 3:\n\nPassed Klocwork code analyzing test. No CRITICAL issue in this patch. Auto reported by kwscan@kw-srv2.bj.intel.com"/>
    <m/>
    <m/>
    <s v="ukri.niemimuukko@intel.com"/>
    <x v="0"/>
    <x v="5"/>
    <s v=""/>
    <x v="1"/>
    <s v=""/>
    <s v=""/>
    <s v=""/>
    <s v=""/>
    <s v=""/>
    <s v=""/>
    <s v=""/>
    <x v="0"/>
    <x v="0"/>
    <x v="0"/>
  </r>
  <r>
    <x v="42"/>
    <m/>
    <m/>
    <m/>
    <m/>
    <m/>
    <m/>
    <m/>
    <m/>
    <m/>
    <m/>
    <m/>
    <x v="9"/>
    <d v="2016-02-02T11:44:00"/>
    <s v="Patch Set 3:\n\nPassed Klocwork code analyzing test. No CRITICAL issue in this patch. Auto reported by kwscan@psi-build5.bj.intel.com"/>
    <m/>
    <m/>
    <s v="ukri.niemimuukko@intel.com"/>
    <x v="0"/>
    <x v="5"/>
    <s v=""/>
    <x v="1"/>
    <s v=""/>
    <s v=""/>
    <s v=""/>
    <s v=""/>
    <s v=""/>
    <s v=""/>
    <s v=""/>
    <x v="0"/>
    <x v="0"/>
    <x v="0"/>
  </r>
  <r>
    <x v="42"/>
    <m/>
    <m/>
    <m/>
    <m/>
    <m/>
    <m/>
    <m/>
    <m/>
    <m/>
    <m/>
    <m/>
    <x v="9"/>
    <d v="2016-02-02T17:30:00"/>
    <s v="Patch Set 3: Integrator-1\n\nPIT test failed with regression 1604094404"/>
    <m/>
    <m/>
    <s v="ukri.niemimuukko@intel.com"/>
    <x v="0"/>
    <x v="5"/>
    <s v=""/>
    <x v="1"/>
    <s v=""/>
    <s v=""/>
    <s v=""/>
    <s v=""/>
    <s v=""/>
    <s v=""/>
    <s v=""/>
    <x v="0"/>
    <x v="1"/>
    <x v="0"/>
  </r>
  <r>
    <x v="42"/>
    <m/>
    <m/>
    <m/>
    <m/>
    <m/>
    <m/>
    <m/>
    <m/>
    <m/>
    <m/>
    <m/>
    <x v="9"/>
    <d v="2016-02-02T18:33:00"/>
    <s v="Patch Set 3:\n\nPassed Klocwork code analyzing test. No CRITICAL issue in this patch. Auto reported by kwscan@andr-val-srv0.bj.intel.com"/>
    <m/>
    <m/>
    <s v="ukri.niemimuukko@intel.com"/>
    <x v="0"/>
    <x v="5"/>
    <s v=""/>
    <x v="1"/>
    <s v=""/>
    <s v=""/>
    <s v=""/>
    <s v=""/>
    <s v=""/>
    <s v=""/>
    <s v=""/>
    <x v="0"/>
    <x v="0"/>
    <x v="0"/>
  </r>
  <r>
    <x v="42"/>
    <m/>
    <m/>
    <m/>
    <m/>
    <m/>
    <m/>
    <m/>
    <m/>
    <m/>
    <m/>
    <m/>
    <x v="9"/>
    <d v="2016-02-02T20:12:00"/>
    <s v="Patch Set 3:\n\nPassed Klocwork code analyzing test. No CRITICAL issue in this patch. Auto reported by kwscan@kw-srv2.bj.intel.com"/>
    <m/>
    <m/>
    <s v="ukri.niemimuukko@intel.com"/>
    <x v="0"/>
    <x v="5"/>
    <s v=""/>
    <x v="1"/>
    <s v=""/>
    <s v=""/>
    <s v=""/>
    <s v=""/>
    <s v=""/>
    <s v=""/>
    <s v=""/>
    <x v="0"/>
    <x v="0"/>
    <x v="0"/>
  </r>
  <r>
    <x v="42"/>
    <m/>
    <m/>
    <m/>
    <m/>
    <m/>
    <m/>
    <m/>
    <m/>
    <m/>
    <m/>
    <m/>
    <x v="9"/>
    <d v="2016-02-03T08:45:00"/>
    <s v="Patch Set 3: -Integrator"/>
    <m/>
    <m/>
    <s v="ukri.niemimuukko@intel.com"/>
    <x v="0"/>
    <x v="5"/>
    <s v=""/>
    <x v="1"/>
    <s v=""/>
    <s v=""/>
    <s v=""/>
    <s v=""/>
    <s v=""/>
    <s v=""/>
    <s v=""/>
    <x v="0"/>
    <x v="1"/>
    <x v="0"/>
  </r>
  <r>
    <x v="42"/>
    <m/>
    <m/>
    <m/>
    <m/>
    <m/>
    <m/>
    <m/>
    <m/>
    <m/>
    <m/>
    <m/>
    <x v="9"/>
    <d v="2016-02-03T14:23:00"/>
    <s v="Patch Set 3: Integrator+1\n\nIntegrator +1; patch will be add to PT; please no change now"/>
    <m/>
    <m/>
    <s v="ukri.niemimuukko@intel.com"/>
    <x v="0"/>
    <x v="5"/>
    <s v=""/>
    <x v="1"/>
    <s v=""/>
    <s v=""/>
    <s v=""/>
    <s v=""/>
    <s v=""/>
    <s v=""/>
    <s v=""/>
    <x v="0"/>
    <x v="1"/>
    <x v="0"/>
  </r>
  <r>
    <x v="42"/>
    <m/>
    <m/>
    <m/>
    <m/>
    <m/>
    <m/>
    <m/>
    <m/>
    <m/>
    <m/>
    <m/>
    <x v="9"/>
    <d v="2016-02-03T18:49:00"/>
    <s v="Patch Set 3:\n\nPassed Klocwork code analyzing test. No CRITICAL issue in this patch. Auto reported by kwscan@andr-val-srv0.bj.intel.com"/>
    <m/>
    <m/>
    <s v="ukri.niemimuukko@intel.com"/>
    <x v="0"/>
    <x v="5"/>
    <s v=""/>
    <x v="1"/>
    <s v=""/>
    <s v=""/>
    <s v=""/>
    <s v=""/>
    <s v=""/>
    <s v=""/>
    <s v=""/>
    <x v="0"/>
    <x v="0"/>
    <x v="0"/>
  </r>
  <r>
    <x v="42"/>
    <m/>
    <m/>
    <m/>
    <m/>
    <m/>
    <m/>
    <m/>
    <m/>
    <m/>
    <m/>
    <m/>
    <x v="9"/>
    <d v="2016-02-03T22:58:00"/>
    <s v="Patch Set 3:\n\nPassed Klocwork code analyzing test. No CRITICAL issue in this patch. Auto reported by kwscan@kw-srv2.bj.intel.com"/>
    <m/>
    <m/>
    <s v="ukri.niemimuukko@intel.com"/>
    <x v="0"/>
    <x v="5"/>
    <s v=""/>
    <x v="1"/>
    <s v=""/>
    <s v=""/>
    <s v=""/>
    <s v=""/>
    <s v=""/>
    <s v=""/>
    <s v=""/>
    <x v="0"/>
    <x v="0"/>
    <x v="0"/>
  </r>
  <r>
    <x v="42"/>
    <m/>
    <m/>
    <m/>
    <m/>
    <m/>
    <m/>
    <m/>
    <m/>
    <m/>
    <m/>
    <m/>
    <x v="9"/>
    <d v="2016-02-04T15:14:00"/>
    <s v="Patch Set 3: Code-Review+1\n\nPassed PIT; ready for merge"/>
    <m/>
    <m/>
    <s v="ukri.niemimuukko@intel.com"/>
    <x v="0"/>
    <x v="5"/>
    <s v=""/>
    <x v="1"/>
    <s v=""/>
    <s v=""/>
    <s v=""/>
    <s v=""/>
    <s v=""/>
    <s v=""/>
    <s v=""/>
    <x v="0"/>
    <x v="0"/>
    <x v="0"/>
  </r>
  <r>
    <x v="42"/>
    <m/>
    <m/>
    <m/>
    <m/>
    <m/>
    <m/>
    <m/>
    <m/>
    <m/>
    <m/>
    <m/>
    <x v="9"/>
    <d v="2016-02-04T16:30:00"/>
    <s v="Patch Set 3:\n\nPassed Klocwork code analyzing test. No CRITICAL issue in this patch. Auto reported by kwscan@psi-build5.bj.intel.com"/>
    <m/>
    <m/>
    <s v="ukri.niemimuukko@intel.com"/>
    <x v="0"/>
    <x v="5"/>
    <s v=""/>
    <x v="1"/>
    <s v=""/>
    <s v=""/>
    <s v=""/>
    <s v=""/>
    <s v=""/>
    <s v=""/>
    <s v=""/>
    <x v="0"/>
    <x v="0"/>
    <x v="0"/>
  </r>
  <r>
    <x v="43"/>
    <n v="96189"/>
    <s v="vied-viedandr-camera3hal"/>
    <s v="platform/android/main"/>
    <s v="Icd15d2c777ddf29db0e324809f732067e52d1d23"/>
    <s v="ukri.niemimuukko@intel.com"/>
    <s v="MERGED"/>
    <s v="c3: fix stream type string conversion for bidirectional streams"/>
    <s v="c3: fix stream type string conversion for bidirectional streams\n\nSince AOSP is missing the conversion type; we need to use our own.\n\nChange-Id: Icd15d2c777ddf29db0e324809f732067e52d1d23\nTracked-On: #R506551\nSigned-off-by: Ukri Niemimuukko &lt;ukri.niemimuukko@intel.com&gt;\nReviewed-on: https://icggerrit.ir.intel.com/96189\nReviewed-by: Hongjiang A Zheng &lt;hongjiang.a.zheng@intel.com&gt;\nReviewed-by: Huitao Cao &lt;huitao.cao@intel.com&gt;\nValidation-Android: Wei Tao &lt;wei.tao@intel.com&gt;\nBuild: Dessert M BXT RVP (SC)\nReviewed-by: Gang A Hu &lt;gang.a.hu@intel.com&gt;\nReviewed-by: Jukka O Kaartinen &lt;jukka.o.kaartinen@intel.com&gt;\nApprover: Jukka O Kaartinen &lt;jukka.o.kaartinen@intel.com&gt;\nBuild: Dessert M SOFIA (SC)\nBuild: Dessert M CHT FFD (SC)\nValidation-Android: Dessert M CHT FFD (SC)\nReviewed-by: Miguel Verdu &lt;miguel.verdu@intel.com&gt;\nReviewed-by: Arnaud Mandy &lt;arnaud.mandy@intel.com&gt;\nIntegrator: WeiX Meng &lt;weix.meng@intel.com&gt;\nReviewed-by: WeiX Meng &lt;weix.meng@intel.com&gt;\n"/>
    <d v="2016-01-18T19:03:00"/>
    <d v="2016-02-04T15:24:00"/>
    <s v="common"/>
    <x v="6"/>
    <d v="2016-01-18T19:03:00"/>
    <s v="Uploaded patch set 1."/>
    <m/>
    <s v="arnaud.mandy@intel.com;weix.meng@intel.com;miguel.verdu@intel.com;jukka.o.kaartinen@intel.com;gang.a.hu@intel.com;huitao.cao@intel.com;hongjiang.a.zheng@intel.com;"/>
    <s v="ukri.niemimuukko@intel.com"/>
    <x v="0"/>
    <x v="0"/>
    <s v="16'ww6"/>
    <x v="1"/>
    <n v="0"/>
    <n v="0"/>
    <n v="0"/>
    <n v="0"/>
    <n v="4"/>
    <n v="5"/>
    <n v="0"/>
    <x v="0"/>
    <x v="0"/>
    <x v="0"/>
  </r>
  <r>
    <x v="43"/>
    <m/>
    <m/>
    <m/>
    <m/>
    <m/>
    <m/>
    <m/>
    <m/>
    <m/>
    <m/>
    <m/>
    <x v="6"/>
    <d v="2016-01-18T19:03:00"/>
    <s v="Patch Set 1:\n\nPatchset Created: CI job has NOT been scheduled.\nDisabled for Draft patches"/>
    <m/>
    <m/>
    <s v="ukri.niemimuukko@intel.com"/>
    <x v="0"/>
    <x v="0"/>
    <s v=""/>
    <x v="1"/>
    <s v=""/>
    <s v=""/>
    <s v=""/>
    <s v=""/>
    <s v=""/>
    <s v=""/>
    <s v=""/>
    <x v="0"/>
    <x v="0"/>
    <x v="0"/>
  </r>
  <r>
    <x v="43"/>
    <m/>
    <m/>
    <m/>
    <m/>
    <m/>
    <m/>
    <m/>
    <m/>
    <m/>
    <m/>
    <m/>
    <x v="6"/>
    <d v="2016-01-18T19:16:00"/>
    <s v="Uploaded patch set 2."/>
    <m/>
    <m/>
    <s v="ukri.niemimuukko@intel.com"/>
    <x v="0"/>
    <x v="0"/>
    <s v=""/>
    <x v="1"/>
    <s v=""/>
    <s v=""/>
    <s v=""/>
    <s v=""/>
    <s v=""/>
    <s v=""/>
    <s v=""/>
    <x v="0"/>
    <x v="0"/>
    <x v="0"/>
  </r>
  <r>
    <x v="43"/>
    <m/>
    <m/>
    <m/>
    <m/>
    <m/>
    <m/>
    <m/>
    <m/>
    <m/>
    <m/>
    <m/>
    <x v="6"/>
    <d v="2016-01-18T19:16:00"/>
    <s v="Patch Set 2:\n\nPatchset Created: CI job has NOT been scheduled.\nDisabled for Draft patches"/>
    <m/>
    <m/>
    <s v="ukri.niemimuukko@intel.com"/>
    <x v="0"/>
    <x v="0"/>
    <s v=""/>
    <x v="1"/>
    <s v=""/>
    <s v=""/>
    <s v=""/>
    <s v=""/>
    <s v=""/>
    <s v=""/>
    <s v=""/>
    <x v="0"/>
    <x v="0"/>
    <x v="0"/>
  </r>
  <r>
    <x v="43"/>
    <m/>
    <m/>
    <m/>
    <m/>
    <m/>
    <m/>
    <m/>
    <m/>
    <m/>
    <m/>
    <m/>
    <x v="6"/>
    <d v="2016-01-21T16:53:00"/>
    <s v="Uploaded patch set 3."/>
    <m/>
    <m/>
    <s v="ukri.niemimuukko@intel.com"/>
    <x v="0"/>
    <x v="0"/>
    <s v=""/>
    <x v="1"/>
    <s v=""/>
    <s v=""/>
    <s v=""/>
    <s v=""/>
    <s v=""/>
    <s v=""/>
    <s v=""/>
    <x v="0"/>
    <x v="0"/>
    <x v="0"/>
  </r>
  <r>
    <x v="43"/>
    <m/>
    <m/>
    <m/>
    <m/>
    <m/>
    <m/>
    <m/>
    <m/>
    <m/>
    <m/>
    <m/>
    <x v="6"/>
    <d v="2016-01-21T16:53:00"/>
    <s v="Patch Set 3:\n\nPatchset Created: CI job has been scheduled."/>
    <m/>
    <m/>
    <s v="ukri.niemimuukko@intel.com"/>
    <x v="0"/>
    <x v="0"/>
    <s v=""/>
    <x v="1"/>
    <s v=""/>
    <s v=""/>
    <s v=""/>
    <s v=""/>
    <s v=""/>
    <s v=""/>
    <s v=""/>
    <x v="0"/>
    <x v="0"/>
    <x v="0"/>
  </r>
  <r>
    <x v="43"/>
    <m/>
    <m/>
    <m/>
    <m/>
    <m/>
    <m/>
    <m/>
    <m/>
    <m/>
    <m/>
    <m/>
    <x v="6"/>
    <d v="2016-01-21T16:54:00"/>
    <s v="Patch Set 3: Code-Review+1"/>
    <m/>
    <m/>
    <s v="ukri.niemimuukko@intel.com"/>
    <x v="0"/>
    <x v="0"/>
    <s v=""/>
    <x v="1"/>
    <s v=""/>
    <s v=""/>
    <s v=""/>
    <s v=""/>
    <s v=""/>
    <s v=""/>
    <s v=""/>
    <x v="0"/>
    <x v="0"/>
    <x v="0"/>
  </r>
  <r>
    <x v="43"/>
    <m/>
    <m/>
    <m/>
    <m/>
    <m/>
    <m/>
    <m/>
    <m/>
    <m/>
    <m/>
    <m/>
    <x v="6"/>
    <d v="2016-01-21T18:09:00"/>
    <s v="Uploaded patch set 4."/>
    <m/>
    <m/>
    <s v="ukri.niemimuukko@intel.com"/>
    <x v="0"/>
    <x v="0"/>
    <s v=""/>
    <x v="1"/>
    <s v=""/>
    <s v=""/>
    <s v=""/>
    <s v=""/>
    <s v=""/>
    <s v=""/>
    <s v=""/>
    <x v="0"/>
    <x v="0"/>
    <x v="0"/>
  </r>
  <r>
    <x v="43"/>
    <m/>
    <m/>
    <m/>
    <m/>
    <m/>
    <m/>
    <m/>
    <m/>
    <m/>
    <m/>
    <m/>
    <x v="6"/>
    <d v="2016-01-21T18:09:00"/>
    <s v="Patch Set 4:\n\nPatchset Created: CI job has been scheduled."/>
    <m/>
    <m/>
    <s v="ukri.niemimuukko@intel.com"/>
    <x v="0"/>
    <x v="0"/>
    <s v=""/>
    <x v="1"/>
    <s v=""/>
    <s v=""/>
    <s v=""/>
    <s v=""/>
    <s v=""/>
    <s v=""/>
    <s v=""/>
    <x v="0"/>
    <x v="0"/>
    <x v="0"/>
  </r>
  <r>
    <x v="43"/>
    <m/>
    <m/>
    <m/>
    <m/>
    <m/>
    <m/>
    <m/>
    <m/>
    <m/>
    <m/>
    <m/>
    <x v="6"/>
    <d v="2016-01-21T18:16:00"/>
    <s v="Uploaded patch set 5: Patch Set 4 was rebased."/>
    <m/>
    <m/>
    <s v="ukri.niemimuukko@intel.com"/>
    <x v="0"/>
    <x v="0"/>
    <s v=""/>
    <x v="1"/>
    <s v=""/>
    <s v=""/>
    <s v=""/>
    <s v=""/>
    <s v=""/>
    <s v=""/>
    <s v=""/>
    <x v="0"/>
    <x v="0"/>
    <x v="0"/>
  </r>
  <r>
    <x v="43"/>
    <m/>
    <m/>
    <m/>
    <m/>
    <m/>
    <m/>
    <m/>
    <m/>
    <m/>
    <m/>
    <m/>
    <x v="6"/>
    <d v="2016-01-21T18:16:00"/>
    <s v="Patch Set 5:\n\nPatchset Created: CI job has been scheduled."/>
    <m/>
    <m/>
    <s v="ukri.niemimuukko@intel.com"/>
    <x v="0"/>
    <x v="0"/>
    <s v=""/>
    <x v="1"/>
    <s v=""/>
    <s v=""/>
    <s v=""/>
    <s v=""/>
    <s v=""/>
    <s v=""/>
    <s v=""/>
    <x v="0"/>
    <x v="0"/>
    <x v="0"/>
  </r>
  <r>
    <x v="43"/>
    <m/>
    <m/>
    <m/>
    <m/>
    <m/>
    <m/>
    <m/>
    <m/>
    <m/>
    <m/>
    <m/>
    <x v="15"/>
    <d v="2016-01-21T18:30:00"/>
    <s v="Patch Set 5: Code-Review+1"/>
    <m/>
    <m/>
    <s v="ukri.niemimuukko@intel.com"/>
    <x v="0"/>
    <x v="4"/>
    <s v=""/>
    <x v="1"/>
    <s v=""/>
    <s v=""/>
    <s v=""/>
    <s v=""/>
    <s v=""/>
    <s v=""/>
    <s v=""/>
    <x v="0"/>
    <x v="0"/>
    <x v="0"/>
  </r>
  <r>
    <x v="43"/>
    <m/>
    <m/>
    <m/>
    <m/>
    <m/>
    <m/>
    <m/>
    <m/>
    <m/>
    <m/>
    <m/>
    <x v="6"/>
    <d v="2016-01-21T18:47:00"/>
    <s v="Uploaded patch set 6."/>
    <m/>
    <m/>
    <s v="ukri.niemimuukko@intel.com"/>
    <x v="0"/>
    <x v="0"/>
    <s v=""/>
    <x v="1"/>
    <s v=""/>
    <s v=""/>
    <s v=""/>
    <s v=""/>
    <s v=""/>
    <s v=""/>
    <s v=""/>
    <x v="0"/>
    <x v="0"/>
    <x v="0"/>
  </r>
  <r>
    <x v="43"/>
    <m/>
    <m/>
    <m/>
    <m/>
    <m/>
    <m/>
    <m/>
    <m/>
    <m/>
    <m/>
    <m/>
    <x v="6"/>
    <d v="2016-01-21T18:47:00"/>
    <s v="Patch Set 6:\n\nPatchset Created: CI job has been scheduled."/>
    <m/>
    <m/>
    <s v="ukri.niemimuukko@intel.com"/>
    <x v="0"/>
    <x v="0"/>
    <s v=""/>
    <x v="1"/>
    <s v=""/>
    <s v=""/>
    <s v=""/>
    <s v=""/>
    <s v=""/>
    <s v=""/>
    <s v=""/>
    <x v="0"/>
    <x v="0"/>
    <x v="0"/>
  </r>
  <r>
    <x v="43"/>
    <m/>
    <m/>
    <m/>
    <m/>
    <m/>
    <m/>
    <m/>
    <m/>
    <m/>
    <m/>
    <m/>
    <x v="6"/>
    <d v="2016-01-21T18:49:00"/>
    <s v="Patch Set 6: Code-Review+1"/>
    <m/>
    <m/>
    <s v="ukri.niemimuukko@intel.com"/>
    <x v="0"/>
    <x v="0"/>
    <s v=""/>
    <x v="1"/>
    <s v=""/>
    <s v=""/>
    <s v=""/>
    <s v=""/>
    <s v=""/>
    <s v=""/>
    <s v=""/>
    <x v="0"/>
    <x v="0"/>
    <x v="0"/>
  </r>
  <r>
    <x v="43"/>
    <m/>
    <m/>
    <m/>
    <m/>
    <m/>
    <m/>
    <m/>
    <m/>
    <m/>
    <m/>
    <m/>
    <x v="15"/>
    <d v="2016-01-22T14:14:00"/>
    <s v="Patch Set 6: Code-Review+1"/>
    <m/>
    <m/>
    <s v="ukri.niemimuukko@intel.com"/>
    <x v="0"/>
    <x v="4"/>
    <s v=""/>
    <x v="1"/>
    <s v=""/>
    <s v=""/>
    <s v=""/>
    <s v=""/>
    <s v=""/>
    <s v=""/>
    <s v=""/>
    <x v="0"/>
    <x v="0"/>
    <x v="0"/>
  </r>
  <r>
    <x v="43"/>
    <m/>
    <m/>
    <m/>
    <m/>
    <m/>
    <m/>
    <m/>
    <m/>
    <m/>
    <m/>
    <m/>
    <x v="7"/>
    <d v="2016-01-22T14:28:00"/>
    <s v="Patch Set 6: Code-Review+1"/>
    <m/>
    <m/>
    <s v="ukri.niemimuukko@intel.com"/>
    <x v="0"/>
    <x v="4"/>
    <s v=""/>
    <x v="1"/>
    <s v=""/>
    <s v=""/>
    <s v=""/>
    <s v=""/>
    <s v=""/>
    <s v=""/>
    <s v=""/>
    <x v="0"/>
    <x v="0"/>
    <x v="0"/>
  </r>
  <r>
    <x v="43"/>
    <m/>
    <m/>
    <m/>
    <m/>
    <m/>
    <m/>
    <m/>
    <m/>
    <m/>
    <m/>
    <m/>
    <x v="6"/>
    <d v="2016-01-29T14:46:00"/>
    <s v="Patch Set 7:\n\nPatchset Created: CI job has been scheduled."/>
    <m/>
    <m/>
    <s v="ukri.niemimuukko@intel.com"/>
    <x v="0"/>
    <x v="0"/>
    <s v=""/>
    <x v="1"/>
    <s v=""/>
    <s v=""/>
    <s v=""/>
    <s v=""/>
    <s v=""/>
    <s v=""/>
    <s v=""/>
    <x v="0"/>
    <x v="0"/>
    <x v="0"/>
  </r>
  <r>
    <x v="43"/>
    <m/>
    <m/>
    <m/>
    <m/>
    <m/>
    <m/>
    <m/>
    <m/>
    <m/>
    <m/>
    <m/>
    <x v="6"/>
    <d v="2016-01-29T14:46:00"/>
    <s v="Uploaded patch set 7: Patch Set 6 was rebased."/>
    <m/>
    <m/>
    <s v="ukri.niemimuukko@intel.com"/>
    <x v="0"/>
    <x v="0"/>
    <s v=""/>
    <x v="1"/>
    <s v=""/>
    <s v=""/>
    <s v=""/>
    <s v=""/>
    <s v=""/>
    <s v=""/>
    <s v=""/>
    <x v="0"/>
    <x v="0"/>
    <x v="0"/>
  </r>
  <r>
    <x v="43"/>
    <m/>
    <m/>
    <m/>
    <m/>
    <m/>
    <m/>
    <m/>
    <m/>
    <m/>
    <m/>
    <m/>
    <x v="14"/>
    <d v="2016-01-29T14:56:00"/>
    <s v="Patch Set 7: Validation-Android+1\n\nreceive smoke test"/>
    <m/>
    <m/>
    <s v="ukri.niemimuukko@intel.com"/>
    <x v="0"/>
    <x v="5"/>
    <s v=""/>
    <x v="1"/>
    <s v=""/>
    <s v=""/>
    <s v=""/>
    <s v=""/>
    <s v=""/>
    <s v=""/>
    <s v=""/>
    <x v="0"/>
    <x v="1"/>
    <x v="0"/>
  </r>
  <r>
    <x v="43"/>
    <m/>
    <m/>
    <m/>
    <m/>
    <m/>
    <m/>
    <m/>
    <m/>
    <m/>
    <m/>
    <m/>
    <x v="13"/>
    <d v="2016-01-29T15:16:00"/>
    <s v="Patch Set 7: Code-Review+1"/>
    <m/>
    <m/>
    <s v="ukri.niemimuukko@intel.com"/>
    <x v="0"/>
    <x v="4"/>
    <s v=""/>
    <x v="1"/>
    <s v=""/>
    <s v=""/>
    <s v=""/>
    <s v=""/>
    <s v=""/>
    <s v=""/>
    <s v=""/>
    <x v="0"/>
    <x v="0"/>
    <x v="0"/>
  </r>
  <r>
    <x v="43"/>
    <m/>
    <m/>
    <m/>
    <m/>
    <m/>
    <m/>
    <m/>
    <m/>
    <m/>
    <m/>
    <m/>
    <x v="2"/>
    <d v="2016-01-29T15:31:00"/>
    <s v="Patch Set 7: Code-Review+1"/>
    <m/>
    <m/>
    <s v="ukri.niemimuukko@intel.com"/>
    <x v="0"/>
    <x v="1"/>
    <s v=""/>
    <x v="1"/>
    <s v=""/>
    <s v=""/>
    <s v=""/>
    <s v=""/>
    <s v=""/>
    <s v=""/>
    <s v=""/>
    <x v="0"/>
    <x v="0"/>
    <x v="0"/>
  </r>
  <r>
    <x v="43"/>
    <m/>
    <m/>
    <m/>
    <m/>
    <m/>
    <m/>
    <m/>
    <m/>
    <m/>
    <m/>
    <m/>
    <x v="2"/>
    <d v="2016-01-29T15:45:00"/>
    <s v="Patch Set 7: Approver+1"/>
    <m/>
    <m/>
    <s v="ukri.niemimuukko@intel.com"/>
    <x v="0"/>
    <x v="1"/>
    <s v=""/>
    <x v="1"/>
    <s v=""/>
    <s v=""/>
    <s v=""/>
    <s v=""/>
    <s v=""/>
    <s v=""/>
    <s v=""/>
    <x v="0"/>
    <x v="0"/>
    <x v="0"/>
  </r>
  <r>
    <x v="43"/>
    <m/>
    <m/>
    <m/>
    <m/>
    <m/>
    <m/>
    <m/>
    <m/>
    <m/>
    <m/>
    <m/>
    <x v="2"/>
    <d v="2016-01-29T15:45:00"/>
    <s v="Topic changed from topic_jan29 to bxt_preint"/>
    <m/>
    <m/>
    <s v="ukri.niemimuukko@intel.com"/>
    <x v="0"/>
    <x v="1"/>
    <s v=""/>
    <x v="1"/>
    <s v=""/>
    <s v=""/>
    <s v=""/>
    <s v=""/>
    <s v=""/>
    <s v=""/>
    <s v=""/>
    <x v="0"/>
    <x v="0"/>
    <x v="0"/>
  </r>
  <r>
    <x v="43"/>
    <m/>
    <m/>
    <m/>
    <m/>
    <m/>
    <m/>
    <m/>
    <m/>
    <m/>
    <m/>
    <m/>
    <x v="9"/>
    <d v="2016-02-01T14:16:00"/>
    <s v="Patch Set 7: Integrator+1\n\nIntegrator +1; patch will be add to PT; please no change now"/>
    <m/>
    <m/>
    <s v="ukri.niemimuukko@intel.com"/>
    <x v="0"/>
    <x v="5"/>
    <s v=""/>
    <x v="1"/>
    <s v=""/>
    <s v=""/>
    <s v=""/>
    <s v=""/>
    <s v=""/>
    <s v=""/>
    <s v=""/>
    <x v="0"/>
    <x v="1"/>
    <x v="0"/>
  </r>
  <r>
    <x v="43"/>
    <m/>
    <m/>
    <m/>
    <m/>
    <m/>
    <m/>
    <m/>
    <m/>
    <m/>
    <m/>
    <m/>
    <x v="0"/>
    <d v="2016-02-01T14:48:00"/>
    <s v="Patch Set 7: Code-Review+1"/>
    <m/>
    <m/>
    <s v="ukri.niemimuukko@intel.com"/>
    <x v="0"/>
    <x v="1"/>
    <s v=""/>
    <x v="1"/>
    <s v=""/>
    <s v=""/>
    <s v=""/>
    <s v=""/>
    <s v=""/>
    <s v=""/>
    <s v=""/>
    <x v="0"/>
    <x v="0"/>
    <x v="0"/>
  </r>
  <r>
    <x v="43"/>
    <m/>
    <m/>
    <m/>
    <m/>
    <m/>
    <m/>
    <m/>
    <m/>
    <m/>
    <m/>
    <m/>
    <x v="9"/>
    <d v="2016-02-01T19:21:00"/>
    <s v="Patch Set 7:\n\nPassed Klocwork code analyzing test. No CRITICAL issue in this patch. Auto reported by kwscan@andr-val-srv0.bj.intel.com"/>
    <m/>
    <m/>
    <s v="ukri.niemimuukko@intel.com"/>
    <x v="0"/>
    <x v="5"/>
    <s v=""/>
    <x v="1"/>
    <s v=""/>
    <s v=""/>
    <s v=""/>
    <s v=""/>
    <s v=""/>
    <s v=""/>
    <s v=""/>
    <x v="0"/>
    <x v="0"/>
    <x v="0"/>
  </r>
  <r>
    <x v="43"/>
    <m/>
    <m/>
    <m/>
    <m/>
    <m/>
    <m/>
    <m/>
    <m/>
    <m/>
    <m/>
    <m/>
    <x v="9"/>
    <d v="2016-02-01T19:49:00"/>
    <s v="Patch Set 7:\n\nPassed Klocwork code analyzing test. No CRITICAL issue in this patch. Auto reported by kwscan@psi-build5.bj.intel.com"/>
    <m/>
    <m/>
    <s v="ukri.niemimuukko@intel.com"/>
    <x v="0"/>
    <x v="5"/>
    <s v=""/>
    <x v="1"/>
    <s v=""/>
    <s v=""/>
    <s v=""/>
    <s v=""/>
    <s v=""/>
    <s v=""/>
    <s v=""/>
    <x v="0"/>
    <x v="0"/>
    <x v="0"/>
  </r>
  <r>
    <x v="43"/>
    <m/>
    <m/>
    <m/>
    <m/>
    <m/>
    <m/>
    <m/>
    <m/>
    <m/>
    <m/>
    <m/>
    <x v="9"/>
    <d v="2016-02-01T19:51:00"/>
    <s v="Patch Set 7:\n\nPassed Klocwork code analyzing test. No CRITICAL issue in this patch. Auto reported by kwscan@kw-srv2.bj.intel.com"/>
    <m/>
    <m/>
    <s v="ukri.niemimuukko@intel.com"/>
    <x v="0"/>
    <x v="5"/>
    <s v=""/>
    <x v="1"/>
    <s v=""/>
    <s v=""/>
    <s v=""/>
    <s v=""/>
    <s v=""/>
    <s v=""/>
    <s v=""/>
    <x v="0"/>
    <x v="0"/>
    <x v="0"/>
  </r>
  <r>
    <x v="43"/>
    <m/>
    <m/>
    <m/>
    <m/>
    <m/>
    <m/>
    <m/>
    <m/>
    <m/>
    <m/>
    <m/>
    <x v="9"/>
    <d v="2016-02-01T23:12:00"/>
    <s v="Patch Set 7:\n\nPassed Klocwork code analyzing test. No CRITICAL issue in this patch. Auto reported by kwscan@kw-srv2.bj.intel.com"/>
    <m/>
    <m/>
    <s v="ukri.niemimuukko@intel.com"/>
    <x v="0"/>
    <x v="5"/>
    <s v=""/>
    <x v="1"/>
    <s v=""/>
    <s v=""/>
    <s v=""/>
    <s v=""/>
    <s v=""/>
    <s v=""/>
    <s v=""/>
    <x v="0"/>
    <x v="0"/>
    <x v="0"/>
  </r>
  <r>
    <x v="43"/>
    <m/>
    <m/>
    <m/>
    <m/>
    <m/>
    <m/>
    <m/>
    <m/>
    <m/>
    <m/>
    <m/>
    <x v="9"/>
    <d v="2016-02-02T11:44:00"/>
    <s v="Patch Set 7:\n\nPassed Klocwork code analyzing test. No CRITICAL issue in this patch. Auto reported by kwscan@psi-build5.bj.intel.com"/>
    <m/>
    <m/>
    <s v="ukri.niemimuukko@intel.com"/>
    <x v="0"/>
    <x v="5"/>
    <s v=""/>
    <x v="1"/>
    <s v=""/>
    <s v=""/>
    <s v=""/>
    <s v=""/>
    <s v=""/>
    <s v=""/>
    <s v=""/>
    <x v="0"/>
    <x v="0"/>
    <x v="0"/>
  </r>
  <r>
    <x v="43"/>
    <m/>
    <m/>
    <m/>
    <m/>
    <m/>
    <m/>
    <m/>
    <m/>
    <m/>
    <m/>
    <m/>
    <x v="1"/>
    <d v="2016-02-02T15:38:00"/>
    <s v="Patch Set 7: Code-Review+1"/>
    <m/>
    <m/>
    <s v="ukri.niemimuukko@intel.com"/>
    <x v="0"/>
    <x v="1"/>
    <s v=""/>
    <x v="1"/>
    <s v=""/>
    <s v=""/>
    <s v=""/>
    <s v=""/>
    <s v=""/>
    <s v=""/>
    <s v=""/>
    <x v="0"/>
    <x v="0"/>
    <x v="0"/>
  </r>
  <r>
    <x v="43"/>
    <m/>
    <m/>
    <m/>
    <m/>
    <m/>
    <m/>
    <m/>
    <m/>
    <m/>
    <m/>
    <m/>
    <x v="9"/>
    <d v="2016-02-02T17:30:00"/>
    <s v="Patch Set 7: Integrator-1\n\nPIT test failed with regression 1604094404"/>
    <m/>
    <m/>
    <s v="ukri.niemimuukko@intel.com"/>
    <x v="0"/>
    <x v="5"/>
    <s v=""/>
    <x v="1"/>
    <s v=""/>
    <s v=""/>
    <s v=""/>
    <s v=""/>
    <s v=""/>
    <s v=""/>
    <s v=""/>
    <x v="0"/>
    <x v="1"/>
    <x v="0"/>
  </r>
  <r>
    <x v="43"/>
    <m/>
    <m/>
    <m/>
    <m/>
    <m/>
    <m/>
    <m/>
    <m/>
    <m/>
    <m/>
    <m/>
    <x v="9"/>
    <d v="2016-02-02T18:33:00"/>
    <s v="Patch Set 7:\n\nPassed Klocwork code analyzing test. No CRITICAL issue in this patch. Auto reported by kwscan@andr-val-srv0.bj.intel.com"/>
    <m/>
    <m/>
    <s v="ukri.niemimuukko@intel.com"/>
    <x v="0"/>
    <x v="5"/>
    <s v=""/>
    <x v="1"/>
    <s v=""/>
    <s v=""/>
    <s v=""/>
    <s v=""/>
    <s v=""/>
    <s v=""/>
    <s v=""/>
    <x v="0"/>
    <x v="0"/>
    <x v="0"/>
  </r>
  <r>
    <x v="43"/>
    <m/>
    <m/>
    <m/>
    <m/>
    <m/>
    <m/>
    <m/>
    <m/>
    <m/>
    <m/>
    <m/>
    <x v="9"/>
    <d v="2016-02-02T20:12:00"/>
    <s v="Patch Set 7:\n\nPassed Klocwork code analyzing test. No CRITICAL issue in this patch. Auto reported by kwscan@kw-srv2.bj.intel.com"/>
    <m/>
    <m/>
    <s v="ukri.niemimuukko@intel.com"/>
    <x v="0"/>
    <x v="5"/>
    <s v=""/>
    <x v="1"/>
    <s v=""/>
    <s v=""/>
    <s v=""/>
    <s v=""/>
    <s v=""/>
    <s v=""/>
    <s v=""/>
    <x v="0"/>
    <x v="0"/>
    <x v="0"/>
  </r>
  <r>
    <x v="43"/>
    <m/>
    <m/>
    <m/>
    <m/>
    <m/>
    <m/>
    <m/>
    <m/>
    <m/>
    <m/>
    <m/>
    <x v="9"/>
    <d v="2016-02-03T08:46:00"/>
    <s v="Patch Set 7: -Integrator"/>
    <m/>
    <m/>
    <s v="ukri.niemimuukko@intel.com"/>
    <x v="0"/>
    <x v="5"/>
    <s v=""/>
    <x v="1"/>
    <s v=""/>
    <s v=""/>
    <s v=""/>
    <s v=""/>
    <s v=""/>
    <s v=""/>
    <s v=""/>
    <x v="0"/>
    <x v="1"/>
    <x v="0"/>
  </r>
  <r>
    <x v="43"/>
    <m/>
    <m/>
    <m/>
    <m/>
    <m/>
    <m/>
    <m/>
    <m/>
    <m/>
    <m/>
    <m/>
    <x v="9"/>
    <d v="2016-02-03T14:22:00"/>
    <s v="Patch Set 7: Integrator+1\n\nIntegrator +1; patch will be add to PT; please no change now"/>
    <m/>
    <m/>
    <s v="ukri.niemimuukko@intel.com"/>
    <x v="0"/>
    <x v="5"/>
    <s v=""/>
    <x v="1"/>
    <s v=""/>
    <s v=""/>
    <s v=""/>
    <s v=""/>
    <s v=""/>
    <s v=""/>
    <s v=""/>
    <x v="0"/>
    <x v="1"/>
    <x v="0"/>
  </r>
  <r>
    <x v="43"/>
    <m/>
    <m/>
    <m/>
    <m/>
    <m/>
    <m/>
    <m/>
    <m/>
    <m/>
    <m/>
    <m/>
    <x v="9"/>
    <d v="2016-02-03T18:49:00"/>
    <s v="Patch Set 7:\n\nPassed Klocwork code analyzing test. No CRITICAL issue in this patch. Auto reported by kwscan@andr-val-srv0.bj.intel.com"/>
    <m/>
    <m/>
    <s v="ukri.niemimuukko@intel.com"/>
    <x v="0"/>
    <x v="5"/>
    <s v=""/>
    <x v="1"/>
    <s v=""/>
    <s v=""/>
    <s v=""/>
    <s v=""/>
    <s v=""/>
    <s v=""/>
    <s v=""/>
    <x v="0"/>
    <x v="0"/>
    <x v="0"/>
  </r>
  <r>
    <x v="43"/>
    <m/>
    <m/>
    <m/>
    <m/>
    <m/>
    <m/>
    <m/>
    <m/>
    <m/>
    <m/>
    <m/>
    <x v="9"/>
    <d v="2016-02-03T22:58:00"/>
    <s v="Patch Set 7:\n\nPassed Klocwork code analyzing test. No CRITICAL issue in this patch. Auto reported by kwscan@kw-srv2.bj.intel.com"/>
    <m/>
    <m/>
    <s v="ukri.niemimuukko@intel.com"/>
    <x v="0"/>
    <x v="5"/>
    <s v=""/>
    <x v="1"/>
    <s v=""/>
    <s v=""/>
    <s v=""/>
    <s v=""/>
    <s v=""/>
    <s v=""/>
    <s v=""/>
    <x v="0"/>
    <x v="0"/>
    <x v="0"/>
  </r>
  <r>
    <x v="43"/>
    <m/>
    <m/>
    <m/>
    <m/>
    <m/>
    <m/>
    <m/>
    <m/>
    <m/>
    <m/>
    <m/>
    <x v="9"/>
    <d v="2016-02-04T15:13:00"/>
    <s v="Patch Set 7: Code-Review+1\n\nPassed PIT; ready for merge"/>
    <m/>
    <m/>
    <s v="ukri.niemimuukko@intel.com"/>
    <x v="0"/>
    <x v="5"/>
    <s v=""/>
    <x v="1"/>
    <s v=""/>
    <s v=""/>
    <s v=""/>
    <s v=""/>
    <s v=""/>
    <s v=""/>
    <s v=""/>
    <x v="0"/>
    <x v="0"/>
    <x v="0"/>
  </r>
  <r>
    <x v="43"/>
    <m/>
    <m/>
    <m/>
    <m/>
    <m/>
    <m/>
    <m/>
    <m/>
    <m/>
    <m/>
    <m/>
    <x v="9"/>
    <d v="2016-02-04T16:30:00"/>
    <s v="Patch Set 7:\n\nPassed Klocwork code analyzing test. No CRITICAL issue in this patch. Auto reported by kwscan@psi-build5.bj.intel.com"/>
    <m/>
    <m/>
    <s v="ukri.niemimuukko@intel.com"/>
    <x v="0"/>
    <x v="5"/>
    <s v=""/>
    <x v="1"/>
    <s v=""/>
    <s v=""/>
    <s v=""/>
    <s v=""/>
    <s v=""/>
    <s v=""/>
    <s v=""/>
    <x v="0"/>
    <x v="0"/>
    <x v="0"/>
  </r>
  <r>
    <x v="44"/>
    <n v="97744"/>
    <s v="vied-viedandr-camera3hal"/>
    <s v="platform/android/main"/>
    <s v="I09d9ee916cb07ec9c067de977f0412589ce0b2cf"/>
    <s v="john.mathew@intel.com"/>
    <s v="MERGED"/>
    <s v="c3: Use dataSizeOverride as size for heap buffers"/>
    <s v="c3: Use dataSizeOverride as size for heap buffers\n\nIf specified use dataSizeOverride as size for heap\nallocated buffers instead of calculating the size.\n\nChange-Id: I09d9ee916cb07ec9c067de977f0412589ce0b2cf\nTracked-On: #R509621\nSigned-off-by: John Mathew &lt;john.mathew@intel.com&gt;\nReviewed-on: https://icggerrit.ir.intel.com/97744\nReviewed-by: Renwei Wu &lt;renwei.wu@intel.com&gt;\nReviewed-by: Juha Alanen &lt;juha.alanen@intel.com&gt;\nReviewed-by: Jukka O Kaartinen &lt;jukka.o.kaartinen@intel.com&gt;\nReviewed-by: Ukri Niemimuukko &lt;ukri.niemimuukko@intel.com&gt;\nReviewed-by: Arnaud Mandy &lt;arnaud.mandy@intel.com&gt;\nReviewed-by: Jingzhi Yu &lt;jingzhi.yu@intel.com&gt;\nReviewed-by: Gang A Hu &lt;gang.a.hu@intel.com&gt;\nReviewed-by: Hongjiang A Zheng &lt;hongjiang.a.zheng@intel.com&gt;\nReviewed-by: Huitao Cao &lt;huitao.cao@intel.com&gt;\nReviewed-by: Miguel Verdu &lt;miguel.verdu@intel.com&gt;\nValidation-Android: Wei Tao &lt;wei.tao@intel.com&gt;\nApprover: Jukka O Kaartinen &lt;jukka.o.kaartinen@intel.com&gt;\nBuild: Dessert M BXT RVP (SC)\nBuild: Dessert M SOFIA (SC)\nBuild: Dessert M CHT FFD (SC)\nValidation-Android: Dessert M CHT FFD (SC)\nIntegrator: WeiX Meng &lt;weix.meng@intel.com&gt;\nReviewed-by: WeiX Meng &lt;weix.meng@intel.com&gt;\n"/>
    <d v="2016-01-25T15:44:00"/>
    <d v="2016-02-02T17:33:00"/>
    <s v="common"/>
    <x v="8"/>
    <d v="2016-01-25T15:44:00"/>
    <s v="Patch Set 1:\n\nPatchset Created: CI job has been scheduled."/>
    <m/>
    <s v="weix.meng@intel.com;miguel.verdu@intel.com;huitao.cao@intel.com;hongjiang.a.zheng@intel.com;gang.a.hu@intel.com;jingzhi.yu@intel.com;arnaud.mandy@intel.com;ukri.niemimuukko@intel.com;jukka.o.kaartinen@intel.com;juha.alanen@intel.com;renwei.wu@intel.com;lassi.i.vaatamoinen@intel.com;"/>
    <s v="john.mathew@intel.com"/>
    <x v="0"/>
    <x v="0"/>
    <s v="16'ww6"/>
    <x v="1"/>
    <n v="1"/>
    <n v="0"/>
    <n v="0"/>
    <n v="1"/>
    <n v="4"/>
    <n v="11"/>
    <n v="2"/>
    <x v="0"/>
    <x v="0"/>
    <x v="0"/>
  </r>
  <r>
    <x v="44"/>
    <m/>
    <m/>
    <m/>
    <m/>
    <m/>
    <m/>
    <m/>
    <m/>
    <m/>
    <m/>
    <m/>
    <x v="8"/>
    <d v="2016-01-25T15:44:00"/>
    <s v="Uploaded patch set 1."/>
    <m/>
    <m/>
    <s v="john.mathew@intel.com"/>
    <x v="0"/>
    <x v="0"/>
    <s v=""/>
    <x v="1"/>
    <s v=""/>
    <s v=""/>
    <s v=""/>
    <s v=""/>
    <s v=""/>
    <s v=""/>
    <s v=""/>
    <x v="0"/>
    <x v="0"/>
    <x v="0"/>
  </r>
  <r>
    <x v="44"/>
    <m/>
    <m/>
    <m/>
    <m/>
    <m/>
    <m/>
    <m/>
    <m/>
    <m/>
    <m/>
    <m/>
    <x v="8"/>
    <d v="2016-01-25T15:44:00"/>
    <s v="Patch Set 1: Code-Review+1"/>
    <m/>
    <m/>
    <s v="john.mathew@intel.com"/>
    <x v="0"/>
    <x v="0"/>
    <s v=""/>
    <x v="1"/>
    <s v=""/>
    <s v=""/>
    <s v=""/>
    <s v=""/>
    <s v=""/>
    <s v=""/>
    <s v=""/>
    <x v="0"/>
    <x v="0"/>
    <x v="0"/>
  </r>
  <r>
    <x v="44"/>
    <m/>
    <m/>
    <m/>
    <m/>
    <m/>
    <m/>
    <m/>
    <m/>
    <m/>
    <m/>
    <m/>
    <x v="8"/>
    <d v="2016-01-25T15:58:00"/>
    <s v="Uploaded patch set 2: Patch Set 1 was rebased."/>
    <m/>
    <m/>
    <s v="john.mathew@intel.com"/>
    <x v="0"/>
    <x v="0"/>
    <s v=""/>
    <x v="1"/>
    <s v=""/>
    <s v=""/>
    <s v=""/>
    <s v=""/>
    <s v=""/>
    <s v=""/>
    <s v=""/>
    <x v="0"/>
    <x v="0"/>
    <x v="0"/>
  </r>
  <r>
    <x v="44"/>
    <m/>
    <m/>
    <m/>
    <m/>
    <m/>
    <m/>
    <m/>
    <m/>
    <m/>
    <m/>
    <m/>
    <x v="8"/>
    <d v="2016-01-25T15:58:00"/>
    <s v="Patch Set 2:\n\nPatchset Created: CI job has been scheduled."/>
    <m/>
    <m/>
    <s v="john.mathew@intel.com"/>
    <x v="0"/>
    <x v="0"/>
    <s v=""/>
    <x v="1"/>
    <s v=""/>
    <s v=""/>
    <s v=""/>
    <s v=""/>
    <s v=""/>
    <s v=""/>
    <s v=""/>
    <x v="0"/>
    <x v="0"/>
    <x v="0"/>
  </r>
  <r>
    <x v="44"/>
    <m/>
    <m/>
    <m/>
    <m/>
    <m/>
    <m/>
    <m/>
    <m/>
    <m/>
    <m/>
    <m/>
    <x v="14"/>
    <d v="2016-01-25T16:02:00"/>
    <s v="Patch Set 2: Validation-Android+1\n\nreceive smoke test"/>
    <m/>
    <m/>
    <s v="john.mathew@intel.com"/>
    <x v="0"/>
    <x v="5"/>
    <s v=""/>
    <x v="1"/>
    <s v=""/>
    <s v=""/>
    <s v=""/>
    <s v=""/>
    <s v=""/>
    <s v=""/>
    <s v=""/>
    <x v="0"/>
    <x v="1"/>
    <x v="0"/>
  </r>
  <r>
    <x v="44"/>
    <m/>
    <m/>
    <m/>
    <m/>
    <m/>
    <m/>
    <m/>
    <m/>
    <m/>
    <m/>
    <m/>
    <x v="12"/>
    <d v="2016-01-25T16:09:00"/>
    <s v="Patch Set 2: Code-Review+1"/>
    <m/>
    <m/>
    <s v="john.mathew@intel.com"/>
    <x v="0"/>
    <x v="1"/>
    <s v=""/>
    <x v="1"/>
    <s v=""/>
    <s v=""/>
    <s v=""/>
    <s v=""/>
    <s v=""/>
    <s v=""/>
    <s v=""/>
    <x v="0"/>
    <x v="0"/>
    <x v="0"/>
  </r>
  <r>
    <x v="44"/>
    <m/>
    <m/>
    <m/>
    <m/>
    <m/>
    <m/>
    <m/>
    <m/>
    <m/>
    <m/>
    <m/>
    <x v="3"/>
    <d v="2016-01-25T16:15:00"/>
    <s v="Patch Set 2: Code-Review-1\n\n(1 comment)"/>
    <s v="line120 :&quot;please update the para comment for CameraBuffer; the comment to param cameraId is missed also.&quot;"/>
    <m/>
    <s v="john.mathew@intel.com"/>
    <x v="0"/>
    <x v="2"/>
    <s v=""/>
    <x v="1"/>
    <s v=""/>
    <s v=""/>
    <s v=""/>
    <s v=""/>
    <s v=""/>
    <s v=""/>
    <s v=""/>
    <x v="1"/>
    <x v="0"/>
    <x v="0"/>
  </r>
  <r>
    <x v="44"/>
    <m/>
    <m/>
    <m/>
    <m/>
    <m/>
    <m/>
    <m/>
    <m/>
    <m/>
    <m/>
    <m/>
    <x v="8"/>
    <d v="2016-01-25T16:31:00"/>
    <s v="Patch Set 3:\n\nPatchset Created: CI job has been scheduled."/>
    <m/>
    <m/>
    <s v="john.mathew@intel.com"/>
    <x v="0"/>
    <x v="0"/>
    <s v=""/>
    <x v="1"/>
    <s v=""/>
    <s v=""/>
    <s v=""/>
    <s v=""/>
    <s v=""/>
    <s v=""/>
    <s v=""/>
    <x v="0"/>
    <x v="0"/>
    <x v="0"/>
  </r>
  <r>
    <x v="44"/>
    <m/>
    <m/>
    <m/>
    <m/>
    <m/>
    <m/>
    <m/>
    <m/>
    <m/>
    <m/>
    <m/>
    <x v="8"/>
    <d v="2016-01-25T16:31:00"/>
    <s v="Uploaded patch set 3."/>
    <m/>
    <m/>
    <s v="john.mathew@intel.com"/>
    <x v="0"/>
    <x v="0"/>
    <s v=""/>
    <x v="1"/>
    <s v=""/>
    <s v=""/>
    <s v=""/>
    <s v=""/>
    <s v=""/>
    <s v=""/>
    <s v=""/>
    <x v="0"/>
    <x v="0"/>
    <x v="0"/>
  </r>
  <r>
    <x v="44"/>
    <m/>
    <m/>
    <m/>
    <m/>
    <m/>
    <m/>
    <m/>
    <m/>
    <m/>
    <m/>
    <m/>
    <x v="8"/>
    <d v="2016-01-25T16:31:00"/>
    <s v="Patch Set 3: Code-Review+1"/>
    <m/>
    <m/>
    <s v="john.mathew@intel.com"/>
    <x v="0"/>
    <x v="0"/>
    <s v=""/>
    <x v="1"/>
    <s v=""/>
    <s v=""/>
    <s v=""/>
    <s v=""/>
    <s v=""/>
    <s v=""/>
    <s v=""/>
    <x v="0"/>
    <x v="0"/>
    <x v="0"/>
  </r>
  <r>
    <x v="44"/>
    <m/>
    <m/>
    <m/>
    <m/>
    <m/>
    <m/>
    <m/>
    <m/>
    <m/>
    <m/>
    <m/>
    <x v="8"/>
    <d v="2016-01-25T16:32:00"/>
    <s v="Patch Set 2:\n\n(1 comment)"/>
    <s v="line120 :&quot;Done&quot;"/>
    <m/>
    <s v="john.mathew@intel.com"/>
    <x v="0"/>
    <x v="0"/>
    <s v=""/>
    <x v="1"/>
    <s v=""/>
    <s v=""/>
    <s v=""/>
    <s v=""/>
    <s v=""/>
    <s v=""/>
    <s v=""/>
    <x v="0"/>
    <x v="0"/>
    <x v="0"/>
  </r>
  <r>
    <x v="44"/>
    <m/>
    <m/>
    <m/>
    <m/>
    <m/>
    <m/>
    <m/>
    <m/>
    <m/>
    <m/>
    <m/>
    <x v="3"/>
    <d v="2016-01-25T16:45:00"/>
    <s v="Patch Set 3: Code-Review+1"/>
    <m/>
    <m/>
    <s v="john.mathew@intel.com"/>
    <x v="0"/>
    <x v="2"/>
    <s v=""/>
    <x v="1"/>
    <s v=""/>
    <s v=""/>
    <s v=""/>
    <s v=""/>
    <s v=""/>
    <s v=""/>
    <s v=""/>
    <x v="0"/>
    <x v="0"/>
    <x v="0"/>
  </r>
  <r>
    <x v="44"/>
    <m/>
    <m/>
    <m/>
    <m/>
    <m/>
    <m/>
    <m/>
    <m/>
    <m/>
    <m/>
    <m/>
    <x v="5"/>
    <d v="2016-01-25T17:18:00"/>
    <s v="Patch Set 3: Code-Review+1"/>
    <m/>
    <m/>
    <s v="john.mathew@intel.com"/>
    <x v="0"/>
    <x v="1"/>
    <s v=""/>
    <x v="1"/>
    <s v=""/>
    <s v=""/>
    <s v=""/>
    <s v=""/>
    <s v=""/>
    <s v=""/>
    <s v=""/>
    <x v="0"/>
    <x v="0"/>
    <x v="0"/>
  </r>
  <r>
    <x v="44"/>
    <m/>
    <m/>
    <m/>
    <m/>
    <m/>
    <m/>
    <m/>
    <m/>
    <m/>
    <m/>
    <m/>
    <x v="8"/>
    <d v="2016-01-25T17:42:00"/>
    <s v="Patch Set 4:\n\nPatchset Created: CI job has been scheduled."/>
    <m/>
    <m/>
    <s v="john.mathew@intel.com"/>
    <x v="0"/>
    <x v="0"/>
    <s v=""/>
    <x v="1"/>
    <s v=""/>
    <s v=""/>
    <s v=""/>
    <s v=""/>
    <s v=""/>
    <s v=""/>
    <s v=""/>
    <x v="0"/>
    <x v="0"/>
    <x v="0"/>
  </r>
  <r>
    <x v="44"/>
    <m/>
    <m/>
    <m/>
    <m/>
    <m/>
    <m/>
    <m/>
    <m/>
    <m/>
    <m/>
    <m/>
    <x v="8"/>
    <d v="2016-01-25T17:42:00"/>
    <s v="Uploaded patch set 4: Patch Set 3 was rebased."/>
    <m/>
    <m/>
    <s v="john.mathew@intel.com"/>
    <x v="0"/>
    <x v="0"/>
    <s v=""/>
    <x v="1"/>
    <s v=""/>
    <s v=""/>
    <s v=""/>
    <s v=""/>
    <s v=""/>
    <s v=""/>
    <s v=""/>
    <x v="0"/>
    <x v="0"/>
    <x v="0"/>
  </r>
  <r>
    <x v="44"/>
    <m/>
    <m/>
    <m/>
    <m/>
    <m/>
    <m/>
    <m/>
    <m/>
    <m/>
    <m/>
    <m/>
    <x v="8"/>
    <d v="2016-01-25T17:47:00"/>
    <s v="Uploaded patch set 5: Patch Set 4 was rebased."/>
    <m/>
    <m/>
    <s v="john.mathew@intel.com"/>
    <x v="0"/>
    <x v="0"/>
    <s v=""/>
    <x v="1"/>
    <s v=""/>
    <s v=""/>
    <s v=""/>
    <s v=""/>
    <s v=""/>
    <s v=""/>
    <s v=""/>
    <x v="0"/>
    <x v="0"/>
    <x v="0"/>
  </r>
  <r>
    <x v="44"/>
    <m/>
    <m/>
    <m/>
    <m/>
    <m/>
    <m/>
    <m/>
    <m/>
    <m/>
    <m/>
    <m/>
    <x v="8"/>
    <d v="2016-01-25T17:47:00"/>
    <s v="Patch Set 5:\n\nPatchset Created: CI job has been scheduled."/>
    <m/>
    <m/>
    <s v="john.mathew@intel.com"/>
    <x v="0"/>
    <x v="0"/>
    <s v=""/>
    <x v="1"/>
    <s v=""/>
    <s v=""/>
    <s v=""/>
    <s v=""/>
    <s v=""/>
    <s v=""/>
    <s v=""/>
    <x v="0"/>
    <x v="0"/>
    <x v="0"/>
  </r>
  <r>
    <x v="44"/>
    <m/>
    <m/>
    <m/>
    <m/>
    <m/>
    <m/>
    <m/>
    <m/>
    <m/>
    <m/>
    <m/>
    <x v="8"/>
    <d v="2016-01-25T17:50:00"/>
    <s v="Patch Set 6:\n\nPatchset Created: CI job has been scheduled."/>
    <m/>
    <m/>
    <s v="john.mathew@intel.com"/>
    <x v="0"/>
    <x v="0"/>
    <s v=""/>
    <x v="1"/>
    <s v=""/>
    <s v=""/>
    <s v=""/>
    <s v=""/>
    <s v=""/>
    <s v=""/>
    <s v=""/>
    <x v="0"/>
    <x v="0"/>
    <x v="0"/>
  </r>
  <r>
    <x v="44"/>
    <m/>
    <m/>
    <m/>
    <m/>
    <m/>
    <m/>
    <m/>
    <m/>
    <m/>
    <m/>
    <m/>
    <x v="8"/>
    <d v="2016-01-25T17:50:00"/>
    <s v="Uploaded patch set 6: Patch Set 5 was rebased."/>
    <m/>
    <m/>
    <s v="john.mathew@intel.com"/>
    <x v="0"/>
    <x v="0"/>
    <s v=""/>
    <x v="1"/>
    <s v=""/>
    <s v=""/>
    <s v=""/>
    <s v=""/>
    <s v=""/>
    <s v=""/>
    <s v=""/>
    <x v="0"/>
    <x v="0"/>
    <x v="0"/>
  </r>
  <r>
    <x v="44"/>
    <m/>
    <m/>
    <m/>
    <m/>
    <m/>
    <m/>
    <m/>
    <m/>
    <m/>
    <m/>
    <m/>
    <x v="2"/>
    <d v="2016-01-25T20:07:00"/>
    <s v="Patch Set 6: Approver+1"/>
    <m/>
    <m/>
    <s v="john.mathew@intel.com"/>
    <x v="0"/>
    <x v="1"/>
    <s v=""/>
    <x v="1"/>
    <s v=""/>
    <s v=""/>
    <s v=""/>
    <s v=""/>
    <s v=""/>
    <s v=""/>
    <s v=""/>
    <x v="0"/>
    <x v="0"/>
    <x v="0"/>
  </r>
  <r>
    <x v="44"/>
    <m/>
    <m/>
    <m/>
    <m/>
    <m/>
    <m/>
    <m/>
    <m/>
    <m/>
    <m/>
    <m/>
    <x v="2"/>
    <d v="2016-01-25T20:07:00"/>
    <s v="Topic changed from 25.1 to bxt_preint_HEAD"/>
    <m/>
    <m/>
    <s v="john.mathew@intel.com"/>
    <x v="0"/>
    <x v="1"/>
    <s v=""/>
    <x v="1"/>
    <s v=""/>
    <s v=""/>
    <s v=""/>
    <s v=""/>
    <s v=""/>
    <s v=""/>
    <s v=""/>
    <x v="0"/>
    <x v="0"/>
    <x v="0"/>
  </r>
  <r>
    <x v="44"/>
    <m/>
    <m/>
    <m/>
    <m/>
    <m/>
    <m/>
    <m/>
    <m/>
    <m/>
    <m/>
    <m/>
    <x v="14"/>
    <d v="2016-01-25T20:11:00"/>
    <s v="Patch Set 6: Validation-Android+1\n\nreceive smoke test"/>
    <m/>
    <m/>
    <s v="john.mathew@intel.com"/>
    <x v="0"/>
    <x v="5"/>
    <s v=""/>
    <x v="1"/>
    <s v=""/>
    <s v=""/>
    <s v=""/>
    <s v=""/>
    <s v=""/>
    <s v=""/>
    <s v=""/>
    <x v="0"/>
    <x v="1"/>
    <x v="0"/>
  </r>
  <r>
    <x v="44"/>
    <m/>
    <m/>
    <m/>
    <m/>
    <m/>
    <m/>
    <m/>
    <m/>
    <m/>
    <m/>
    <m/>
    <x v="2"/>
    <d v="2016-01-25T20:13:00"/>
    <s v="Patch Set 6: -Approver Code-Review+1\n\nneeds review from ipu2"/>
    <m/>
    <m/>
    <s v="john.mathew@intel.com"/>
    <x v="0"/>
    <x v="1"/>
    <s v=""/>
    <x v="1"/>
    <s v=""/>
    <s v=""/>
    <s v=""/>
    <s v=""/>
    <s v=""/>
    <s v=""/>
    <s v=""/>
    <x v="0"/>
    <x v="0"/>
    <x v="0"/>
  </r>
  <r>
    <x v="44"/>
    <m/>
    <m/>
    <m/>
    <m/>
    <m/>
    <m/>
    <m/>
    <m/>
    <m/>
    <m/>
    <m/>
    <x v="2"/>
    <d v="2016-01-25T20:13:00"/>
    <s v="Topic changed from bxt_preint_HEAD to john"/>
    <m/>
    <m/>
    <s v="john.mathew@intel.com"/>
    <x v="0"/>
    <x v="1"/>
    <s v=""/>
    <x v="1"/>
    <s v=""/>
    <s v=""/>
    <s v=""/>
    <s v=""/>
    <s v=""/>
    <s v=""/>
    <s v=""/>
    <x v="0"/>
    <x v="0"/>
    <x v="0"/>
  </r>
  <r>
    <x v="44"/>
    <m/>
    <m/>
    <m/>
    <m/>
    <m/>
    <m/>
    <m/>
    <m/>
    <m/>
    <m/>
    <m/>
    <x v="6"/>
    <d v="2016-01-25T20:15:00"/>
    <s v="Patch Set 6: Code-Review+1"/>
    <m/>
    <m/>
    <s v="john.mathew@intel.com"/>
    <x v="0"/>
    <x v="1"/>
    <s v=""/>
    <x v="1"/>
    <s v=""/>
    <s v=""/>
    <s v=""/>
    <s v=""/>
    <s v=""/>
    <s v=""/>
    <s v=""/>
    <x v="0"/>
    <x v="0"/>
    <x v="0"/>
  </r>
  <r>
    <x v="44"/>
    <m/>
    <m/>
    <m/>
    <m/>
    <m/>
    <m/>
    <m/>
    <m/>
    <m/>
    <m/>
    <m/>
    <x v="1"/>
    <d v="2016-01-25T21:55:00"/>
    <s v="Patch Set 6: Code-Review+1"/>
    <m/>
    <m/>
    <s v="john.mathew@intel.com"/>
    <x v="0"/>
    <x v="1"/>
    <s v=""/>
    <x v="1"/>
    <s v=""/>
    <s v=""/>
    <s v=""/>
    <s v=""/>
    <s v=""/>
    <s v=""/>
    <s v=""/>
    <x v="0"/>
    <x v="0"/>
    <x v="0"/>
  </r>
  <r>
    <x v="44"/>
    <m/>
    <m/>
    <m/>
    <m/>
    <m/>
    <m/>
    <m/>
    <m/>
    <m/>
    <m/>
    <m/>
    <x v="16"/>
    <d v="2016-01-26T11:06:00"/>
    <s v="Patch Set 6: Code-Review+1"/>
    <m/>
    <m/>
    <s v="john.mathew@intel.com"/>
    <x v="0"/>
    <x v="4"/>
    <s v=""/>
    <x v="1"/>
    <s v=""/>
    <s v=""/>
    <s v=""/>
    <s v=""/>
    <s v=""/>
    <s v=""/>
    <s v=""/>
    <x v="0"/>
    <x v="0"/>
    <x v="0"/>
  </r>
  <r>
    <x v="44"/>
    <m/>
    <m/>
    <m/>
    <m/>
    <m/>
    <m/>
    <m/>
    <m/>
    <m/>
    <m/>
    <m/>
    <x v="13"/>
    <d v="2016-01-26T13:52:00"/>
    <s v="Patch Set 6: Code-Review+1"/>
    <m/>
    <m/>
    <s v="john.mathew@intel.com"/>
    <x v="0"/>
    <x v="4"/>
    <s v=""/>
    <x v="1"/>
    <s v=""/>
    <s v=""/>
    <s v=""/>
    <s v=""/>
    <s v=""/>
    <s v=""/>
    <s v=""/>
    <x v="0"/>
    <x v="0"/>
    <x v="0"/>
  </r>
  <r>
    <x v="44"/>
    <m/>
    <m/>
    <m/>
    <m/>
    <m/>
    <m/>
    <m/>
    <m/>
    <m/>
    <m/>
    <m/>
    <x v="15"/>
    <d v="2016-01-27T17:01:00"/>
    <s v="Patch Set 6: Code-Review+1"/>
    <m/>
    <m/>
    <s v="john.mathew@intel.com"/>
    <x v="0"/>
    <x v="4"/>
    <s v=""/>
    <x v="1"/>
    <s v=""/>
    <s v=""/>
    <s v=""/>
    <s v=""/>
    <s v=""/>
    <s v=""/>
    <s v=""/>
    <x v="0"/>
    <x v="0"/>
    <x v="0"/>
  </r>
  <r>
    <x v="44"/>
    <m/>
    <m/>
    <m/>
    <m/>
    <m/>
    <m/>
    <m/>
    <m/>
    <m/>
    <m/>
    <m/>
    <x v="8"/>
    <d v="2016-01-27T19:23:00"/>
    <s v="Uploaded patch set 7: Patch Set 6 was rebased."/>
    <m/>
    <m/>
    <s v="john.mathew@intel.com"/>
    <x v="0"/>
    <x v="0"/>
    <s v=""/>
    <x v="1"/>
    <s v=""/>
    <s v=""/>
    <s v=""/>
    <s v=""/>
    <s v=""/>
    <s v=""/>
    <s v=""/>
    <x v="0"/>
    <x v="0"/>
    <x v="0"/>
  </r>
  <r>
    <x v="44"/>
    <m/>
    <m/>
    <m/>
    <m/>
    <m/>
    <m/>
    <m/>
    <m/>
    <m/>
    <m/>
    <m/>
    <x v="8"/>
    <d v="2016-01-27T19:23:00"/>
    <s v="Patch Set 7:\n\nPatchset Created: CI job has been scheduled."/>
    <m/>
    <m/>
    <s v="john.mathew@intel.com"/>
    <x v="0"/>
    <x v="0"/>
    <s v=""/>
    <x v="1"/>
    <s v=""/>
    <s v=""/>
    <s v=""/>
    <s v=""/>
    <s v=""/>
    <s v=""/>
    <s v=""/>
    <x v="0"/>
    <x v="0"/>
    <x v="0"/>
  </r>
  <r>
    <x v="44"/>
    <m/>
    <m/>
    <m/>
    <m/>
    <m/>
    <m/>
    <m/>
    <m/>
    <m/>
    <m/>
    <m/>
    <x v="7"/>
    <d v="2016-01-28T11:24:00"/>
    <s v="Patch Set 7: Code-Review+1"/>
    <m/>
    <m/>
    <s v="john.mathew@intel.com"/>
    <x v="0"/>
    <x v="4"/>
    <s v=""/>
    <x v="1"/>
    <s v=""/>
    <s v=""/>
    <s v=""/>
    <s v=""/>
    <s v=""/>
    <s v=""/>
    <s v=""/>
    <x v="0"/>
    <x v="0"/>
    <x v="0"/>
  </r>
  <r>
    <x v="44"/>
    <m/>
    <m/>
    <m/>
    <m/>
    <m/>
    <m/>
    <m/>
    <m/>
    <m/>
    <m/>
    <m/>
    <x v="0"/>
    <d v="2016-01-29T14:52:00"/>
    <s v="Patch Set 7: Code-Review+1"/>
    <m/>
    <m/>
    <s v="john.mathew@intel.com"/>
    <x v="0"/>
    <x v="1"/>
    <s v=""/>
    <x v="1"/>
    <s v=""/>
    <s v=""/>
    <s v=""/>
    <s v=""/>
    <s v=""/>
    <s v=""/>
    <s v=""/>
    <x v="0"/>
    <x v="0"/>
    <x v="0"/>
  </r>
  <r>
    <x v="44"/>
    <m/>
    <m/>
    <m/>
    <m/>
    <m/>
    <m/>
    <m/>
    <m/>
    <m/>
    <m/>
    <m/>
    <x v="8"/>
    <d v="2016-01-29T15:16:00"/>
    <s v="Patch Set 8:\n\nPatchset Created: CI job has been scheduled."/>
    <m/>
    <m/>
    <s v="john.mathew@intel.com"/>
    <x v="0"/>
    <x v="0"/>
    <s v=""/>
    <x v="1"/>
    <s v=""/>
    <s v=""/>
    <s v=""/>
    <s v=""/>
    <s v=""/>
    <s v=""/>
    <s v=""/>
    <x v="0"/>
    <x v="0"/>
    <x v="0"/>
  </r>
  <r>
    <x v="44"/>
    <m/>
    <m/>
    <m/>
    <m/>
    <m/>
    <m/>
    <m/>
    <m/>
    <m/>
    <m/>
    <m/>
    <x v="8"/>
    <d v="2016-01-29T15:16:00"/>
    <s v="Uploaded patch set 8: Patch Set 7 was rebased."/>
    <m/>
    <m/>
    <s v="john.mathew@intel.com"/>
    <x v="0"/>
    <x v="0"/>
    <s v=""/>
    <x v="1"/>
    <s v=""/>
    <s v=""/>
    <s v=""/>
    <s v=""/>
    <s v=""/>
    <s v=""/>
    <s v=""/>
    <x v="0"/>
    <x v="0"/>
    <x v="0"/>
  </r>
  <r>
    <x v="44"/>
    <m/>
    <m/>
    <m/>
    <m/>
    <m/>
    <m/>
    <m/>
    <m/>
    <m/>
    <m/>
    <m/>
    <x v="14"/>
    <d v="2016-01-29T15:20:00"/>
    <s v="Patch Set 8: Validation-Android+1\n\nreceive smoke test"/>
    <m/>
    <m/>
    <s v="john.mathew@intel.com"/>
    <x v="0"/>
    <x v="5"/>
    <s v=""/>
    <x v="1"/>
    <s v=""/>
    <s v=""/>
    <s v=""/>
    <s v=""/>
    <s v=""/>
    <s v=""/>
    <s v=""/>
    <x v="0"/>
    <x v="1"/>
    <x v="0"/>
  </r>
  <r>
    <x v="44"/>
    <m/>
    <m/>
    <m/>
    <m/>
    <m/>
    <m/>
    <m/>
    <m/>
    <m/>
    <m/>
    <m/>
    <x v="8"/>
    <d v="2016-01-29T15:50:00"/>
    <s v="Patch Set 9:\n\nPatchset Created: CI job has been scheduled."/>
    <m/>
    <m/>
    <s v="john.mathew@intel.com"/>
    <x v="0"/>
    <x v="0"/>
    <s v=""/>
    <x v="1"/>
    <s v=""/>
    <s v=""/>
    <s v=""/>
    <s v=""/>
    <s v=""/>
    <s v=""/>
    <s v=""/>
    <x v="0"/>
    <x v="0"/>
    <x v="0"/>
  </r>
  <r>
    <x v="44"/>
    <m/>
    <m/>
    <m/>
    <m/>
    <m/>
    <m/>
    <m/>
    <m/>
    <m/>
    <m/>
    <m/>
    <x v="8"/>
    <d v="2016-01-29T15:50:00"/>
    <s v="Uploaded patch set 9: Patch Set 8 was rebased."/>
    <m/>
    <m/>
    <s v="john.mathew@intel.com"/>
    <x v="0"/>
    <x v="0"/>
    <s v=""/>
    <x v="1"/>
    <s v=""/>
    <s v=""/>
    <s v=""/>
    <s v=""/>
    <s v=""/>
    <s v=""/>
    <s v=""/>
    <x v="0"/>
    <x v="0"/>
    <x v="0"/>
  </r>
  <r>
    <x v="44"/>
    <m/>
    <m/>
    <m/>
    <m/>
    <m/>
    <m/>
    <m/>
    <m/>
    <m/>
    <m/>
    <m/>
    <x v="14"/>
    <d v="2016-01-29T15:52:00"/>
    <s v="Patch Set 9: Validation-Android+1\n\nreceive smoke test"/>
    <m/>
    <m/>
    <s v="john.mathew@intel.com"/>
    <x v="0"/>
    <x v="5"/>
    <s v=""/>
    <x v="1"/>
    <s v=""/>
    <s v=""/>
    <s v=""/>
    <s v=""/>
    <s v=""/>
    <s v=""/>
    <s v=""/>
    <x v="0"/>
    <x v="1"/>
    <x v="0"/>
  </r>
  <r>
    <x v="44"/>
    <m/>
    <m/>
    <m/>
    <m/>
    <m/>
    <m/>
    <m/>
    <m/>
    <m/>
    <m/>
    <m/>
    <x v="2"/>
    <d v="2016-01-29T16:08:00"/>
    <s v="Patch Set 9: Approver+1"/>
    <m/>
    <m/>
    <s v="john.mathew@intel.com"/>
    <x v="0"/>
    <x v="1"/>
    <s v=""/>
    <x v="1"/>
    <s v=""/>
    <s v=""/>
    <s v=""/>
    <s v=""/>
    <s v=""/>
    <s v=""/>
    <s v=""/>
    <x v="0"/>
    <x v="0"/>
    <x v="0"/>
  </r>
  <r>
    <x v="44"/>
    <m/>
    <m/>
    <m/>
    <m/>
    <m/>
    <m/>
    <m/>
    <m/>
    <m/>
    <m/>
    <m/>
    <x v="2"/>
    <d v="2016-01-29T16:08:00"/>
    <s v="Topic changed from 29.1_v2 to bxt_preint"/>
    <m/>
    <m/>
    <s v="john.mathew@intel.com"/>
    <x v="0"/>
    <x v="1"/>
    <s v=""/>
    <x v="1"/>
    <s v=""/>
    <s v=""/>
    <s v=""/>
    <s v=""/>
    <s v=""/>
    <s v=""/>
    <s v=""/>
    <x v="0"/>
    <x v="0"/>
    <x v="0"/>
  </r>
  <r>
    <x v="44"/>
    <m/>
    <m/>
    <m/>
    <m/>
    <m/>
    <m/>
    <m/>
    <m/>
    <m/>
    <m/>
    <m/>
    <x v="9"/>
    <d v="2016-02-01T14:17:00"/>
    <s v="Patch Set 9: Integrator+1\n\nIntegrator +1; patch will be add to PT; please no change now"/>
    <m/>
    <m/>
    <s v="john.mathew@intel.com"/>
    <x v="0"/>
    <x v="5"/>
    <s v=""/>
    <x v="1"/>
    <s v=""/>
    <s v=""/>
    <s v=""/>
    <s v=""/>
    <s v=""/>
    <s v=""/>
    <s v=""/>
    <x v="0"/>
    <x v="1"/>
    <x v="0"/>
  </r>
  <r>
    <x v="44"/>
    <m/>
    <m/>
    <m/>
    <m/>
    <m/>
    <m/>
    <m/>
    <m/>
    <m/>
    <m/>
    <m/>
    <x v="9"/>
    <d v="2016-02-01T19:22:00"/>
    <s v="Patch Set 9:\n\nPassed Klocwork code analyzing test. No CRITICAL issue in this patch. Auto reported by kwscan@andr-val-srv0.bj.intel.com"/>
    <m/>
    <m/>
    <s v="john.mathew@intel.com"/>
    <x v="0"/>
    <x v="5"/>
    <s v=""/>
    <x v="1"/>
    <s v=""/>
    <s v=""/>
    <s v=""/>
    <s v=""/>
    <s v=""/>
    <s v=""/>
    <s v=""/>
    <x v="0"/>
    <x v="0"/>
    <x v="0"/>
  </r>
  <r>
    <x v="44"/>
    <m/>
    <m/>
    <m/>
    <m/>
    <m/>
    <m/>
    <m/>
    <m/>
    <m/>
    <m/>
    <m/>
    <x v="9"/>
    <d v="2016-02-01T19:49:00"/>
    <s v="Patch Set 9:\n\nPassed Klocwork code analyzing test. No CRITICAL issue in this patch. Auto reported by kwscan@psi-build5.bj.intel.com"/>
    <m/>
    <m/>
    <s v="john.mathew@intel.com"/>
    <x v="0"/>
    <x v="5"/>
    <s v=""/>
    <x v="1"/>
    <s v=""/>
    <s v=""/>
    <s v=""/>
    <s v=""/>
    <s v=""/>
    <s v=""/>
    <s v=""/>
    <x v="0"/>
    <x v="0"/>
    <x v="0"/>
  </r>
  <r>
    <x v="44"/>
    <m/>
    <m/>
    <m/>
    <m/>
    <m/>
    <m/>
    <m/>
    <m/>
    <m/>
    <m/>
    <m/>
    <x v="9"/>
    <d v="2016-02-01T19:51:00"/>
    <s v="Patch Set 9:\n\nPassed Klocwork code analyzing test. No CRITICAL issue in this patch. Auto reported by kwscan@kw-srv2.bj.intel.com"/>
    <m/>
    <m/>
    <s v="john.mathew@intel.com"/>
    <x v="0"/>
    <x v="5"/>
    <s v=""/>
    <x v="1"/>
    <s v=""/>
    <s v=""/>
    <s v=""/>
    <s v=""/>
    <s v=""/>
    <s v=""/>
    <s v=""/>
    <x v="0"/>
    <x v="0"/>
    <x v="0"/>
  </r>
  <r>
    <x v="44"/>
    <m/>
    <m/>
    <m/>
    <m/>
    <m/>
    <m/>
    <m/>
    <m/>
    <m/>
    <m/>
    <m/>
    <x v="9"/>
    <d v="2016-02-01T23:13:00"/>
    <s v="Patch Set 9:\n\nPassed Klocwork code analyzing test. No CRITICAL issue in this patch. Auto reported by kwscan@kw-srv2.bj.intel.com"/>
    <m/>
    <m/>
    <s v="john.mathew@intel.com"/>
    <x v="0"/>
    <x v="5"/>
    <s v=""/>
    <x v="1"/>
    <s v=""/>
    <s v=""/>
    <s v=""/>
    <s v=""/>
    <s v=""/>
    <s v=""/>
    <s v=""/>
    <x v="0"/>
    <x v="0"/>
    <x v="0"/>
  </r>
  <r>
    <x v="44"/>
    <m/>
    <m/>
    <m/>
    <m/>
    <m/>
    <m/>
    <m/>
    <m/>
    <m/>
    <m/>
    <m/>
    <x v="9"/>
    <d v="2016-02-02T11:44:00"/>
    <s v="Patch Set 9:\n\nPassed Klocwork code analyzing test. No CRITICAL issue in this patch. Auto reported by kwscan@psi-build5.bj.intel.com"/>
    <m/>
    <m/>
    <s v="john.mathew@intel.com"/>
    <x v="0"/>
    <x v="5"/>
    <s v=""/>
    <x v="1"/>
    <s v=""/>
    <s v=""/>
    <s v=""/>
    <s v=""/>
    <s v=""/>
    <s v=""/>
    <s v=""/>
    <x v="0"/>
    <x v="0"/>
    <x v="0"/>
  </r>
  <r>
    <x v="44"/>
    <m/>
    <m/>
    <m/>
    <m/>
    <m/>
    <m/>
    <m/>
    <m/>
    <m/>
    <m/>
    <m/>
    <x v="9"/>
    <d v="2016-02-02T17:32:00"/>
    <s v="Patch Set 9: Code-Review+1\n\nPassed PIT; ready for merge"/>
    <m/>
    <m/>
    <s v="john.mathew@intel.com"/>
    <x v="0"/>
    <x v="5"/>
    <s v=""/>
    <x v="1"/>
    <s v=""/>
    <s v=""/>
    <s v=""/>
    <s v=""/>
    <s v=""/>
    <s v=""/>
    <s v=""/>
    <x v="0"/>
    <x v="0"/>
    <x v="0"/>
  </r>
  <r>
    <x v="44"/>
    <m/>
    <m/>
    <m/>
    <m/>
    <m/>
    <m/>
    <m/>
    <m/>
    <m/>
    <m/>
    <m/>
    <x v="9"/>
    <d v="2016-02-02T18:34:00"/>
    <s v="Patch Set 9:\n\nPassed Klocwork code analyzing test. No CRITICAL issue in this patch. Auto reported by kwscan@andr-val-srv0.bj.intel.com"/>
    <m/>
    <m/>
    <s v="john.mathew@intel.com"/>
    <x v="0"/>
    <x v="5"/>
    <s v=""/>
    <x v="1"/>
    <s v=""/>
    <s v=""/>
    <s v=""/>
    <s v=""/>
    <s v=""/>
    <s v=""/>
    <s v=""/>
    <x v="0"/>
    <x v="0"/>
    <x v="0"/>
  </r>
  <r>
    <x v="44"/>
    <m/>
    <m/>
    <m/>
    <m/>
    <m/>
    <m/>
    <m/>
    <m/>
    <m/>
    <m/>
    <m/>
    <x v="9"/>
    <d v="2016-02-02T20:13:00"/>
    <s v="Patch Set 9:\n\nPassed Klocwork code analyzing test. No CRITICAL issue in this patch. Auto reported by kwscan@kw-srv2.bj.intel.com"/>
    <m/>
    <m/>
    <s v="john.mathew@intel.com"/>
    <x v="0"/>
    <x v="5"/>
    <s v=""/>
    <x v="1"/>
    <s v=""/>
    <s v=""/>
    <s v=""/>
    <s v=""/>
    <s v=""/>
    <s v=""/>
    <s v=""/>
    <x v="0"/>
    <x v="0"/>
    <x v="0"/>
  </r>
  <r>
    <x v="45"/>
    <n v="98640"/>
    <s v="vied-viedandr-camera3hal"/>
    <s v="platform/android/main"/>
    <s v="I9823875c9067c08d70a08ab21a904b1f22952cec"/>
    <s v="jarno.jakonen@intel.com"/>
    <s v="MERGED"/>
    <s v="camera3hal: Fix LOCAL_REQUIRED_MODULES dependencies"/>
    <s v="camera3hal: Fix LOCAL_REQUIRED_MODULES dependencies\n\nIn ipu4/Android.mk; there are additional required modules; which got\noverwritten in main Android.mk and took no effect.\n\nIn particular; this fixes graph_descriptor.xml and graph_settings.xml\nexport for IPU4; but it also enabled such dependencies for any other\nPSLs in the future.\n\nChange-Id: I9823875c9067c08d70a08ab21a904b1f22952cec\nTracked-On: #H1604088108\nSigned-off-by: Jarno Jakonen &lt;jarno.jakonen@intel.com&gt;\nReviewed-on: https://icggerrit.ir.intel.com/98640\nReviewed-by: Jukka O Kaartinen &lt;jukka.o.kaartinen@intel.com&gt;\nReviewed-by: Lassi I Vaatamoinen &lt;lassi.i.vaatamoinen@intel.com&gt;\nReviewed-by: Miguel Verdu &lt;miguel.verdu@intel.com&gt;\nReviewed-by: Renwei Wu &lt;renwei.wu@intel.com&gt;\nValidation-Android: Wei Tao &lt;wei.tao@intel.com&gt;\nBuild: Dessert M BXT RVP (SC)\nBuild: Dessert M SOFIA (SC)\nReviewed-by: Gang A Hu &lt;gang.a.hu@intel.com&gt;\nBuild: Dessert M CHT FFD (SC)\nValidation-Android: Dessert M CHT FFD (SC)\nReviewed-by: Ukri Niemimuukko &lt;ukri.niemimuukko@intel.com&gt;\nApprover: Jukka O Kaartinen &lt;jukka.o.kaartinen@intel.com&gt;\nIntegrator: WeiX Meng &lt;weix.meng@intel.com&gt;\nReviewed-by: Arnaud Mandy &lt;arnaud.mandy@intel.com&gt;\nReviewed-by: WeiX Meng &lt;weix.meng@intel.com&gt;\n"/>
    <d v="2016-01-28T20:00:00"/>
    <d v="2016-02-02T17:32:00"/>
    <s v="common"/>
    <x v="17"/>
    <d v="2016-01-28T20:00:00"/>
    <s v="Uploaded patch set 1."/>
    <m/>
    <s v="arnaud.mandy@intel.com;weix.meng@intel.com;gang.a.hu@intel.com;renwei.wu@intel.com;lassi.i.vaatamoinen@intel.com;ukri.niemimuukko@intel.com;jukka.o.kaartinen@intel.com;miguel.verdu@intel.com;"/>
    <s v="jarno.jakonen@intel.com"/>
    <x v="0"/>
    <x v="0"/>
    <s v="16'ww6"/>
    <x v="1"/>
    <n v="1"/>
    <n v="0"/>
    <n v="1"/>
    <n v="0"/>
    <n v="1"/>
    <n v="11"/>
    <n v="1"/>
    <x v="0"/>
    <x v="0"/>
    <x v="0"/>
  </r>
  <r>
    <x v="45"/>
    <m/>
    <m/>
    <m/>
    <m/>
    <m/>
    <m/>
    <m/>
    <m/>
    <m/>
    <m/>
    <m/>
    <x v="17"/>
    <d v="2016-01-28T20:00:00"/>
    <s v="Patch Set 1:\n\nPatchset Created: CI job has been scheduled."/>
    <m/>
    <m/>
    <s v="jarno.jakonen@intel.com"/>
    <x v="0"/>
    <x v="0"/>
    <s v=""/>
    <x v="1"/>
    <s v=""/>
    <s v=""/>
    <s v=""/>
    <s v=""/>
    <s v=""/>
    <s v=""/>
    <s v=""/>
    <x v="0"/>
    <x v="0"/>
    <x v="0"/>
  </r>
  <r>
    <x v="45"/>
    <m/>
    <m/>
    <m/>
    <m/>
    <m/>
    <m/>
    <m/>
    <m/>
    <m/>
    <m/>
    <m/>
    <x v="0"/>
    <d v="2016-01-28T20:03:00"/>
    <s v="Patch Set 1: Code-Review+1"/>
    <m/>
    <m/>
    <s v="jarno.jakonen@intel.com"/>
    <x v="0"/>
    <x v="1"/>
    <s v=""/>
    <x v="1"/>
    <s v=""/>
    <s v=""/>
    <s v=""/>
    <s v=""/>
    <s v=""/>
    <s v=""/>
    <s v=""/>
    <x v="0"/>
    <x v="0"/>
    <x v="0"/>
  </r>
  <r>
    <x v="45"/>
    <m/>
    <m/>
    <m/>
    <m/>
    <m/>
    <m/>
    <m/>
    <m/>
    <m/>
    <m/>
    <m/>
    <x v="17"/>
    <d v="2016-01-28T20:05:00"/>
    <s v="Patch Set 1: Code-Review+1"/>
    <m/>
    <m/>
    <s v="jarno.jakonen@intel.com"/>
    <x v="0"/>
    <x v="0"/>
    <s v=""/>
    <x v="1"/>
    <s v=""/>
    <s v=""/>
    <s v=""/>
    <s v=""/>
    <s v=""/>
    <s v=""/>
    <s v=""/>
    <x v="0"/>
    <x v="0"/>
    <x v="0"/>
  </r>
  <r>
    <x v="45"/>
    <m/>
    <m/>
    <m/>
    <m/>
    <m/>
    <m/>
    <m/>
    <m/>
    <m/>
    <m/>
    <m/>
    <x v="2"/>
    <d v="2016-01-28T20:38:00"/>
    <s v="Patch Set 1: Code-Review+1"/>
    <m/>
    <m/>
    <s v="jarno.jakonen@intel.com"/>
    <x v="0"/>
    <x v="1"/>
    <s v=""/>
    <x v="1"/>
    <s v=""/>
    <s v=""/>
    <s v=""/>
    <s v=""/>
    <s v=""/>
    <s v=""/>
    <s v=""/>
    <x v="0"/>
    <x v="0"/>
    <x v="0"/>
  </r>
  <r>
    <x v="45"/>
    <m/>
    <m/>
    <m/>
    <m/>
    <m/>
    <m/>
    <m/>
    <m/>
    <m/>
    <m/>
    <m/>
    <x v="6"/>
    <d v="2016-01-28T20:59:00"/>
    <s v="Patch Set 1: Code-Review-1\n\nYou should use += in IPU4 makefile also."/>
    <m/>
    <m/>
    <s v="jarno.jakonen@intel.com"/>
    <x v="0"/>
    <x v="1"/>
    <s v=""/>
    <x v="1"/>
    <s v=""/>
    <s v=""/>
    <s v=""/>
    <s v=""/>
    <s v=""/>
    <s v=""/>
    <s v=""/>
    <x v="1"/>
    <x v="0"/>
    <x v="0"/>
  </r>
  <r>
    <x v="45"/>
    <m/>
    <m/>
    <m/>
    <m/>
    <m/>
    <m/>
    <m/>
    <m/>
    <m/>
    <m/>
    <m/>
    <x v="17"/>
    <d v="2016-01-28T21:33:00"/>
    <s v="Uploaded patch set 2."/>
    <m/>
    <m/>
    <s v="jarno.jakonen@intel.com"/>
    <x v="0"/>
    <x v="0"/>
    <s v=""/>
    <x v="1"/>
    <s v=""/>
    <s v=""/>
    <s v=""/>
    <s v=""/>
    <s v=""/>
    <s v=""/>
    <s v=""/>
    <x v="0"/>
    <x v="0"/>
    <x v="0"/>
  </r>
  <r>
    <x v="45"/>
    <m/>
    <m/>
    <m/>
    <m/>
    <m/>
    <m/>
    <m/>
    <m/>
    <m/>
    <m/>
    <m/>
    <x v="17"/>
    <d v="2016-01-28T21:33:00"/>
    <s v="Patch Set 2:\n\nPatchset Created: CI job has been scheduled."/>
    <m/>
    <m/>
    <s v="jarno.jakonen@intel.com"/>
    <x v="0"/>
    <x v="0"/>
    <s v=""/>
    <x v="1"/>
    <s v=""/>
    <s v=""/>
    <s v=""/>
    <s v=""/>
    <s v=""/>
    <s v=""/>
    <s v=""/>
    <x v="0"/>
    <x v="0"/>
    <x v="0"/>
  </r>
  <r>
    <x v="45"/>
    <m/>
    <m/>
    <m/>
    <m/>
    <m/>
    <m/>
    <m/>
    <m/>
    <m/>
    <m/>
    <m/>
    <x v="17"/>
    <d v="2016-01-28T21:34:00"/>
    <s v="Patch Set 2: Code-Review+1"/>
    <m/>
    <m/>
    <s v="jarno.jakonen@intel.com"/>
    <x v="0"/>
    <x v="0"/>
    <s v=""/>
    <x v="1"/>
    <s v=""/>
    <s v=""/>
    <s v=""/>
    <s v=""/>
    <s v=""/>
    <s v=""/>
    <s v=""/>
    <x v="0"/>
    <x v="0"/>
    <x v="0"/>
  </r>
  <r>
    <x v="45"/>
    <m/>
    <m/>
    <m/>
    <m/>
    <m/>
    <m/>
    <m/>
    <m/>
    <m/>
    <m/>
    <m/>
    <x v="2"/>
    <d v="2016-01-28T22:05:00"/>
    <s v="Patch Set 2: Code-Review+1"/>
    <m/>
    <m/>
    <s v="jarno.jakonen@intel.com"/>
    <x v="0"/>
    <x v="1"/>
    <s v=""/>
    <x v="1"/>
    <s v=""/>
    <s v=""/>
    <s v=""/>
    <s v=""/>
    <s v=""/>
    <s v=""/>
    <s v=""/>
    <x v="0"/>
    <x v="0"/>
    <x v="0"/>
  </r>
  <r>
    <x v="45"/>
    <m/>
    <m/>
    <m/>
    <m/>
    <m/>
    <m/>
    <m/>
    <m/>
    <m/>
    <m/>
    <m/>
    <x v="12"/>
    <d v="2016-01-28T22:30:00"/>
    <s v="Patch Set 2: Code-Review+1"/>
    <m/>
    <m/>
    <s v="jarno.jakonen@intel.com"/>
    <x v="0"/>
    <x v="1"/>
    <s v=""/>
    <x v="1"/>
    <s v=""/>
    <s v=""/>
    <s v=""/>
    <s v=""/>
    <s v=""/>
    <s v=""/>
    <s v=""/>
    <x v="0"/>
    <x v="0"/>
    <x v="0"/>
  </r>
  <r>
    <x v="45"/>
    <m/>
    <m/>
    <m/>
    <m/>
    <m/>
    <m/>
    <m/>
    <m/>
    <m/>
    <m/>
    <m/>
    <x v="0"/>
    <d v="2016-01-28T22:39:00"/>
    <s v="Patch Set 2: Code-Review+1"/>
    <m/>
    <m/>
    <s v="jarno.jakonen@intel.com"/>
    <x v="0"/>
    <x v="1"/>
    <s v=""/>
    <x v="1"/>
    <s v=""/>
    <s v=""/>
    <s v=""/>
    <s v=""/>
    <s v=""/>
    <s v=""/>
    <s v=""/>
    <x v="0"/>
    <x v="0"/>
    <x v="0"/>
  </r>
  <r>
    <x v="45"/>
    <m/>
    <m/>
    <m/>
    <m/>
    <m/>
    <m/>
    <m/>
    <m/>
    <m/>
    <m/>
    <m/>
    <x v="3"/>
    <d v="2016-01-28T22:41:00"/>
    <s v="Patch Set 2: Code-Review+1"/>
    <m/>
    <m/>
    <s v="jarno.jakonen@intel.com"/>
    <x v="0"/>
    <x v="2"/>
    <s v=""/>
    <x v="1"/>
    <s v=""/>
    <s v=""/>
    <s v=""/>
    <s v=""/>
    <s v=""/>
    <s v=""/>
    <s v=""/>
    <x v="0"/>
    <x v="0"/>
    <x v="0"/>
  </r>
  <r>
    <x v="45"/>
    <m/>
    <m/>
    <m/>
    <m/>
    <m/>
    <m/>
    <m/>
    <m/>
    <m/>
    <m/>
    <m/>
    <x v="17"/>
    <d v="2016-01-28T23:13:00"/>
    <s v="Uploaded patch set 3: Patch Set 2 was rebased."/>
    <m/>
    <m/>
    <s v="jarno.jakonen@intel.com"/>
    <x v="0"/>
    <x v="0"/>
    <s v=""/>
    <x v="1"/>
    <s v=""/>
    <s v=""/>
    <s v=""/>
    <s v=""/>
    <s v=""/>
    <s v=""/>
    <s v=""/>
    <x v="0"/>
    <x v="0"/>
    <x v="0"/>
  </r>
  <r>
    <x v="45"/>
    <m/>
    <m/>
    <m/>
    <m/>
    <m/>
    <m/>
    <m/>
    <m/>
    <m/>
    <m/>
    <m/>
    <x v="17"/>
    <d v="2016-01-28T23:13:00"/>
    <s v="Patch Set 3:\n\nPatchset Created: CI job has been scheduled."/>
    <m/>
    <m/>
    <s v="jarno.jakonen@intel.com"/>
    <x v="0"/>
    <x v="0"/>
    <s v=""/>
    <x v="1"/>
    <s v=""/>
    <s v=""/>
    <s v=""/>
    <s v=""/>
    <s v=""/>
    <s v=""/>
    <s v=""/>
    <x v="0"/>
    <x v="0"/>
    <x v="0"/>
  </r>
  <r>
    <x v="45"/>
    <m/>
    <m/>
    <m/>
    <m/>
    <m/>
    <m/>
    <m/>
    <m/>
    <m/>
    <m/>
    <m/>
    <x v="14"/>
    <d v="2016-01-28T23:17:00"/>
    <s v="Patch Set 3: Validation-Android+1\n\nreceive smoke test"/>
    <m/>
    <m/>
    <s v="jarno.jakonen@intel.com"/>
    <x v="0"/>
    <x v="5"/>
    <s v=""/>
    <x v="1"/>
    <s v=""/>
    <s v=""/>
    <s v=""/>
    <s v=""/>
    <s v=""/>
    <s v=""/>
    <s v=""/>
    <x v="0"/>
    <x v="1"/>
    <x v="0"/>
  </r>
  <r>
    <x v="45"/>
    <m/>
    <m/>
    <m/>
    <m/>
    <m/>
    <m/>
    <m/>
    <m/>
    <m/>
    <m/>
    <m/>
    <x v="13"/>
    <d v="2016-01-29T09:43:00"/>
    <s v="Patch Set 3: Code-Review+1"/>
    <m/>
    <m/>
    <s v="jarno.jakonen@intel.com"/>
    <x v="0"/>
    <x v="4"/>
    <s v=""/>
    <x v="1"/>
    <s v=""/>
    <s v=""/>
    <s v=""/>
    <s v=""/>
    <s v=""/>
    <s v=""/>
    <s v=""/>
    <x v="0"/>
    <x v="0"/>
    <x v="0"/>
  </r>
  <r>
    <x v="45"/>
    <m/>
    <m/>
    <m/>
    <m/>
    <m/>
    <m/>
    <m/>
    <m/>
    <m/>
    <m/>
    <m/>
    <x v="6"/>
    <d v="2016-01-29T14:22:00"/>
    <s v="Patch Set 3: Code-Review+1"/>
    <m/>
    <m/>
    <s v="jarno.jakonen@intel.com"/>
    <x v="0"/>
    <x v="1"/>
    <s v=""/>
    <x v="1"/>
    <s v=""/>
    <s v=""/>
    <s v=""/>
    <s v=""/>
    <s v=""/>
    <s v=""/>
    <s v=""/>
    <x v="0"/>
    <x v="0"/>
    <x v="0"/>
  </r>
  <r>
    <x v="45"/>
    <m/>
    <m/>
    <m/>
    <m/>
    <m/>
    <m/>
    <m/>
    <m/>
    <m/>
    <m/>
    <m/>
    <x v="2"/>
    <d v="2016-01-29T14:23:00"/>
    <s v="Patch Set 3: Approver+1"/>
    <m/>
    <m/>
    <s v="jarno.jakonen@intel.com"/>
    <x v="0"/>
    <x v="1"/>
    <s v=""/>
    <x v="1"/>
    <s v=""/>
    <s v=""/>
    <s v=""/>
    <s v=""/>
    <s v=""/>
    <s v=""/>
    <s v=""/>
    <x v="0"/>
    <x v="0"/>
    <x v="0"/>
  </r>
  <r>
    <x v="45"/>
    <m/>
    <m/>
    <m/>
    <m/>
    <m/>
    <m/>
    <m/>
    <m/>
    <m/>
    <m/>
    <m/>
    <x v="2"/>
    <d v="2016-01-29T14:23:00"/>
    <s v="Topic changed from fix_regression to bxt_preint_HEAD"/>
    <m/>
    <m/>
    <s v="jarno.jakonen@intel.com"/>
    <x v="0"/>
    <x v="1"/>
    <s v=""/>
    <x v="1"/>
    <s v=""/>
    <s v=""/>
    <s v=""/>
    <s v=""/>
    <s v=""/>
    <s v=""/>
    <s v=""/>
    <x v="0"/>
    <x v="0"/>
    <x v="0"/>
  </r>
  <r>
    <x v="45"/>
    <m/>
    <m/>
    <m/>
    <m/>
    <m/>
    <m/>
    <m/>
    <m/>
    <m/>
    <m/>
    <m/>
    <x v="2"/>
    <d v="2016-01-29T14:23:00"/>
    <s v="Topic changed from bxt_preint_HEAD to bxt_preint"/>
    <m/>
    <m/>
    <s v="jarno.jakonen@intel.com"/>
    <x v="0"/>
    <x v="1"/>
    <s v=""/>
    <x v="1"/>
    <s v=""/>
    <s v=""/>
    <s v=""/>
    <s v=""/>
    <s v=""/>
    <s v=""/>
    <s v=""/>
    <x v="0"/>
    <x v="0"/>
    <x v="0"/>
  </r>
  <r>
    <x v="45"/>
    <m/>
    <m/>
    <m/>
    <m/>
    <m/>
    <m/>
    <m/>
    <m/>
    <m/>
    <m/>
    <m/>
    <x v="9"/>
    <d v="2016-02-01T14:15:00"/>
    <s v="Patch Set 3: Integrator+1\n\nIntegrator +1; patch will be add to PT; please no change now"/>
    <m/>
    <m/>
    <s v="jarno.jakonen@intel.com"/>
    <x v="0"/>
    <x v="5"/>
    <s v=""/>
    <x v="1"/>
    <s v=""/>
    <s v=""/>
    <s v=""/>
    <s v=""/>
    <s v=""/>
    <s v=""/>
    <s v=""/>
    <x v="0"/>
    <x v="1"/>
    <x v="0"/>
  </r>
  <r>
    <x v="45"/>
    <m/>
    <m/>
    <m/>
    <m/>
    <m/>
    <m/>
    <m/>
    <m/>
    <m/>
    <m/>
    <m/>
    <x v="9"/>
    <d v="2016-02-01T19:21:00"/>
    <s v="Patch Set 3:\n\nPassed Klocwork code analyzing test. No CRITICAL issue in this patch. Auto reported by kwscan@andr-val-srv0.bj.intel.com"/>
    <m/>
    <m/>
    <s v="jarno.jakonen@intel.com"/>
    <x v="0"/>
    <x v="5"/>
    <s v=""/>
    <x v="1"/>
    <s v=""/>
    <s v=""/>
    <s v=""/>
    <s v=""/>
    <s v=""/>
    <s v=""/>
    <s v=""/>
    <x v="0"/>
    <x v="0"/>
    <x v="0"/>
  </r>
  <r>
    <x v="45"/>
    <m/>
    <m/>
    <m/>
    <m/>
    <m/>
    <m/>
    <m/>
    <m/>
    <m/>
    <m/>
    <m/>
    <x v="9"/>
    <d v="2016-02-01T19:49:00"/>
    <s v="Patch Set 3:\n\nPassed Klocwork code analyzing test. No CRITICAL issue in this patch. Auto reported by kwscan@psi-build5.bj.intel.com"/>
    <m/>
    <m/>
    <s v="jarno.jakonen@intel.com"/>
    <x v="0"/>
    <x v="5"/>
    <s v=""/>
    <x v="1"/>
    <s v=""/>
    <s v=""/>
    <s v=""/>
    <s v=""/>
    <s v=""/>
    <s v=""/>
    <s v=""/>
    <x v="0"/>
    <x v="0"/>
    <x v="0"/>
  </r>
  <r>
    <x v="45"/>
    <m/>
    <m/>
    <m/>
    <m/>
    <m/>
    <m/>
    <m/>
    <m/>
    <m/>
    <m/>
    <m/>
    <x v="9"/>
    <d v="2016-02-01T19:50:00"/>
    <s v="Patch Set 3:\n\nPassed Klocwork code analyzing test. No CRITICAL issue in this patch. Auto reported by kwscan@kw-srv2.bj.intel.com"/>
    <m/>
    <m/>
    <s v="jarno.jakonen@intel.com"/>
    <x v="0"/>
    <x v="5"/>
    <s v=""/>
    <x v="1"/>
    <s v=""/>
    <s v=""/>
    <s v=""/>
    <s v=""/>
    <s v=""/>
    <s v=""/>
    <s v=""/>
    <x v="0"/>
    <x v="0"/>
    <x v="0"/>
  </r>
  <r>
    <x v="45"/>
    <m/>
    <m/>
    <m/>
    <m/>
    <m/>
    <m/>
    <m/>
    <m/>
    <m/>
    <m/>
    <m/>
    <x v="9"/>
    <d v="2016-02-01T23:12:00"/>
    <s v="Patch Set 3:\n\nPassed Klocwork code analyzing test. No CRITICAL issue in this patch. Auto reported by kwscan@kw-srv2.bj.intel.com"/>
    <m/>
    <m/>
    <s v="jarno.jakonen@intel.com"/>
    <x v="0"/>
    <x v="5"/>
    <s v=""/>
    <x v="1"/>
    <s v=""/>
    <s v=""/>
    <s v=""/>
    <s v=""/>
    <s v=""/>
    <s v=""/>
    <s v=""/>
    <x v="0"/>
    <x v="0"/>
    <x v="0"/>
  </r>
  <r>
    <x v="45"/>
    <m/>
    <m/>
    <m/>
    <m/>
    <m/>
    <m/>
    <m/>
    <m/>
    <m/>
    <m/>
    <m/>
    <x v="9"/>
    <d v="2016-02-02T11:44:00"/>
    <s v="Patch Set 3:\n\nPassed Klocwork code analyzing test. No CRITICAL issue in this patch. Auto reported by kwscan@psi-build5.bj.intel.com"/>
    <m/>
    <m/>
    <s v="jarno.jakonen@intel.com"/>
    <x v="0"/>
    <x v="5"/>
    <s v=""/>
    <x v="1"/>
    <s v=""/>
    <s v=""/>
    <s v=""/>
    <s v=""/>
    <s v=""/>
    <s v=""/>
    <s v=""/>
    <x v="0"/>
    <x v="0"/>
    <x v="0"/>
  </r>
  <r>
    <x v="45"/>
    <m/>
    <m/>
    <m/>
    <m/>
    <m/>
    <m/>
    <m/>
    <m/>
    <m/>
    <m/>
    <m/>
    <x v="1"/>
    <d v="2016-02-02T15:39:00"/>
    <s v="Patch Set 3: Code-Review+1"/>
    <m/>
    <m/>
    <s v="jarno.jakonen@intel.com"/>
    <x v="0"/>
    <x v="1"/>
    <s v=""/>
    <x v="1"/>
    <s v=""/>
    <s v=""/>
    <s v=""/>
    <s v=""/>
    <s v=""/>
    <s v=""/>
    <s v=""/>
    <x v="0"/>
    <x v="0"/>
    <x v="0"/>
  </r>
  <r>
    <x v="45"/>
    <m/>
    <m/>
    <m/>
    <m/>
    <m/>
    <m/>
    <m/>
    <m/>
    <m/>
    <m/>
    <m/>
    <x v="9"/>
    <d v="2016-02-02T17:30:00"/>
    <s v="Patch Set 3: Code-Review+1\n\nPassed PIT; ready for merge"/>
    <m/>
    <m/>
    <s v="jarno.jakonen@intel.com"/>
    <x v="0"/>
    <x v="5"/>
    <s v=""/>
    <x v="1"/>
    <s v=""/>
    <s v=""/>
    <s v=""/>
    <s v=""/>
    <s v=""/>
    <s v=""/>
    <s v=""/>
    <x v="0"/>
    <x v="0"/>
    <x v="0"/>
  </r>
  <r>
    <x v="45"/>
    <m/>
    <m/>
    <m/>
    <m/>
    <m/>
    <m/>
    <m/>
    <m/>
    <m/>
    <m/>
    <m/>
    <x v="9"/>
    <d v="2016-02-02T18:32:00"/>
    <s v="Patch Set 3:\n\nPassed Klocwork code analyzing test. No CRITICAL issue in this patch. Auto reported by kwscan@andr-val-srv0.bj.intel.com"/>
    <m/>
    <m/>
    <s v="jarno.jakonen@intel.com"/>
    <x v="0"/>
    <x v="5"/>
    <s v=""/>
    <x v="1"/>
    <s v=""/>
    <s v=""/>
    <s v=""/>
    <s v=""/>
    <s v=""/>
    <s v=""/>
    <s v=""/>
    <x v="0"/>
    <x v="0"/>
    <x v="0"/>
  </r>
  <r>
    <x v="45"/>
    <m/>
    <m/>
    <m/>
    <m/>
    <m/>
    <m/>
    <m/>
    <m/>
    <m/>
    <m/>
    <m/>
    <x v="9"/>
    <d v="2016-02-02T20:10:00"/>
    <s v="Patch Set 3:\n\nPassed Klocwork code analyzing test. No CRITICAL issue in this patch. Auto reported by kwscan@kw-srv2.bj.intel.com"/>
    <m/>
    <m/>
    <s v="jarno.jakonen@intel.com"/>
    <x v="0"/>
    <x v="5"/>
    <s v=""/>
    <x v="1"/>
    <s v=""/>
    <s v=""/>
    <s v=""/>
    <s v=""/>
    <s v=""/>
    <s v=""/>
    <s v=""/>
    <x v="0"/>
    <x v="0"/>
    <x v="0"/>
  </r>
  <r>
    <x v="46"/>
    <n v="98031"/>
    <s v="vied-viedandr-camera3hal"/>
    <s v="platform/android/main"/>
    <s v="I4eafba98d570c204c3523083b906102fbaca2d04"/>
    <s v="miguel.verdu@intel.com"/>
    <s v="MERGED"/>
    <s v="c3: Fix log level 1"/>
    <s v="c3: Fix log level 1\n\nCurrently enabling log level 1 produces traces for each\nframe iteration.\nThis patch downgrades some traces to LOG2.\n\nChange-Id: I4eafba98d570c204c3523083b906102fbaca2d04\nTracked-On: #H1804225303\nSigned-off-by: Miguel Verdu &lt;miguel.verdu@intel.com&gt;\nReviewed-on: https://icggerrit.ir.intel.com/98031\nReviewed-by: Renwei Wu &lt;renwei.wu@intel.com&gt;\nReviewed-by: Arnaud Mandy &lt;arnaud.mandy@intel.com&gt;\nReviewed-by: Jarno Jakonen &lt;jarno.jakonen@intel.com&gt;\nApprover: John Mathew &lt;john.mathew@intel.com&gt;\nReviewed-by: Huitao Cao &lt;huitao.cao@intel.com&gt;\nReviewed-by: Lassi I Vaatamoinen &lt;lassi.i.vaatamoinen@intel.com&gt;\nValidation-Android: Wei Tao &lt;wei.tao@intel.com&gt;\nBuild: Dessert M BXT RVP (SC)\nBuild: Dessert M SOFIA (SC)\nBuild: Dessert M CHT FFD (SC)\nIntegrator: WeiX Meng &lt;weix.meng@intel.com&gt;\nReviewed-by: WeiX Meng &lt;weix.meng@intel.com&gt;\n"/>
    <d v="2016-01-26T15:50:00"/>
    <d v="2016-02-02T17:32:00"/>
    <s v="common"/>
    <x v="0"/>
    <d v="2016-01-26T15:50:00"/>
    <s v="Uploaded patch set 1."/>
    <m/>
    <s v="weix.meng@intel.com;huitao.cao@intel.com;arnaud.mandy@intel.com;ukri.niemimuukko@intel.com;jukka.o.kaartinen@intel.com;renwei.wu@intel.com;jarno.jakonen@intel.com;lassi.i.vaatamoinen@intel.com;john.mathew@intel.com;"/>
    <s v="miguel.verdu@intel.com"/>
    <x v="0"/>
    <x v="0"/>
    <s v="16'ww6"/>
    <x v="1"/>
    <n v="0"/>
    <n v="0"/>
    <n v="0"/>
    <n v="0"/>
    <n v="1"/>
    <n v="14"/>
    <n v="2"/>
    <x v="0"/>
    <x v="0"/>
    <x v="0"/>
  </r>
  <r>
    <x v="46"/>
    <m/>
    <m/>
    <m/>
    <m/>
    <m/>
    <m/>
    <m/>
    <m/>
    <m/>
    <m/>
    <m/>
    <x v="0"/>
    <d v="2016-01-26T15:50:00"/>
    <s v="Patch Set 1:\n\nPatchset Created: CI job has been scheduled."/>
    <m/>
    <m/>
    <s v="miguel.verdu@intel.com"/>
    <x v="0"/>
    <x v="0"/>
    <s v=""/>
    <x v="1"/>
    <s v=""/>
    <s v=""/>
    <s v=""/>
    <s v=""/>
    <s v=""/>
    <s v=""/>
    <s v=""/>
    <x v="0"/>
    <x v="0"/>
    <x v="0"/>
  </r>
  <r>
    <x v="46"/>
    <m/>
    <m/>
    <m/>
    <m/>
    <m/>
    <m/>
    <m/>
    <m/>
    <m/>
    <m/>
    <m/>
    <x v="0"/>
    <d v="2016-01-26T15:50:00"/>
    <s v="Patch Set 1: Code-Review+1"/>
    <m/>
    <m/>
    <s v="miguel.verdu@intel.com"/>
    <x v="0"/>
    <x v="0"/>
    <s v=""/>
    <x v="1"/>
    <s v=""/>
    <s v=""/>
    <s v=""/>
    <s v=""/>
    <s v=""/>
    <s v=""/>
    <s v=""/>
    <x v="0"/>
    <x v="0"/>
    <x v="0"/>
  </r>
  <r>
    <x v="46"/>
    <m/>
    <m/>
    <m/>
    <m/>
    <m/>
    <m/>
    <m/>
    <m/>
    <m/>
    <m/>
    <m/>
    <x v="8"/>
    <d v="2016-01-26T15:54:00"/>
    <s v="Patch Set 1: Code-Review+1"/>
    <m/>
    <m/>
    <s v="miguel.verdu@intel.com"/>
    <x v="0"/>
    <x v="1"/>
    <s v=""/>
    <x v="1"/>
    <s v=""/>
    <s v=""/>
    <s v=""/>
    <s v=""/>
    <s v=""/>
    <s v=""/>
    <s v=""/>
    <x v="0"/>
    <x v="0"/>
    <x v="0"/>
  </r>
  <r>
    <x v="46"/>
    <m/>
    <m/>
    <m/>
    <m/>
    <m/>
    <m/>
    <m/>
    <m/>
    <m/>
    <m/>
    <m/>
    <x v="12"/>
    <d v="2016-01-26T16:00:00"/>
    <s v="Patch Set 1: Code-Review+1"/>
    <m/>
    <m/>
    <s v="miguel.verdu@intel.com"/>
    <x v="0"/>
    <x v="1"/>
    <s v=""/>
    <x v="1"/>
    <s v=""/>
    <s v=""/>
    <s v=""/>
    <s v=""/>
    <s v=""/>
    <s v=""/>
    <s v=""/>
    <x v="0"/>
    <x v="0"/>
    <x v="0"/>
  </r>
  <r>
    <x v="46"/>
    <m/>
    <m/>
    <m/>
    <m/>
    <m/>
    <m/>
    <m/>
    <m/>
    <m/>
    <m/>
    <m/>
    <x v="17"/>
    <d v="2016-01-26T16:26:00"/>
    <s v="Patch Set 1: Code-Review+1"/>
    <m/>
    <m/>
    <s v="miguel.verdu@intel.com"/>
    <x v="0"/>
    <x v="1"/>
    <s v=""/>
    <x v="1"/>
    <s v=""/>
    <s v=""/>
    <s v=""/>
    <s v=""/>
    <s v=""/>
    <s v=""/>
    <s v=""/>
    <x v="0"/>
    <x v="0"/>
    <x v="0"/>
  </r>
  <r>
    <x v="46"/>
    <m/>
    <m/>
    <m/>
    <m/>
    <m/>
    <m/>
    <m/>
    <m/>
    <m/>
    <m/>
    <m/>
    <x v="3"/>
    <d v="2016-01-26T16:29:00"/>
    <s v="Patch Set 1: Code-Review+1"/>
    <m/>
    <m/>
    <s v="miguel.verdu@intel.com"/>
    <x v="0"/>
    <x v="2"/>
    <s v=""/>
    <x v="1"/>
    <s v=""/>
    <s v=""/>
    <s v=""/>
    <s v=""/>
    <s v=""/>
    <s v=""/>
    <s v=""/>
    <x v="0"/>
    <x v="0"/>
    <x v="0"/>
  </r>
  <r>
    <x v="46"/>
    <m/>
    <m/>
    <m/>
    <m/>
    <m/>
    <m/>
    <m/>
    <m/>
    <m/>
    <m/>
    <m/>
    <x v="2"/>
    <d v="2016-01-26T16:36:00"/>
    <s v="Patch Set 1: Code-Review+1"/>
    <m/>
    <m/>
    <s v="miguel.verdu@intel.com"/>
    <x v="0"/>
    <x v="1"/>
    <s v=""/>
    <x v="1"/>
    <s v=""/>
    <s v=""/>
    <s v=""/>
    <s v=""/>
    <s v=""/>
    <s v=""/>
    <s v=""/>
    <x v="0"/>
    <x v="0"/>
    <x v="0"/>
  </r>
  <r>
    <x v="46"/>
    <m/>
    <m/>
    <m/>
    <m/>
    <m/>
    <m/>
    <m/>
    <m/>
    <m/>
    <m/>
    <m/>
    <x v="6"/>
    <d v="2016-01-26T19:02:00"/>
    <s v="Patch Set 1: Code-Review+1"/>
    <m/>
    <m/>
    <s v="miguel.verdu@intel.com"/>
    <x v="0"/>
    <x v="1"/>
    <s v=""/>
    <x v="1"/>
    <s v=""/>
    <s v=""/>
    <s v=""/>
    <s v=""/>
    <s v=""/>
    <s v=""/>
    <s v=""/>
    <x v="0"/>
    <x v="0"/>
    <x v="0"/>
  </r>
  <r>
    <x v="46"/>
    <m/>
    <m/>
    <m/>
    <m/>
    <m/>
    <m/>
    <m/>
    <m/>
    <m/>
    <m/>
    <m/>
    <x v="0"/>
    <d v="2016-01-27T19:23:00"/>
    <s v="Uploaded patch set 2."/>
    <m/>
    <m/>
    <s v="miguel.verdu@intel.com"/>
    <x v="0"/>
    <x v="0"/>
    <s v=""/>
    <x v="1"/>
    <s v=""/>
    <s v=""/>
    <s v=""/>
    <s v=""/>
    <s v=""/>
    <s v=""/>
    <s v=""/>
    <x v="0"/>
    <x v="0"/>
    <x v="0"/>
  </r>
  <r>
    <x v="46"/>
    <m/>
    <m/>
    <m/>
    <m/>
    <m/>
    <m/>
    <m/>
    <m/>
    <m/>
    <m/>
    <m/>
    <x v="0"/>
    <d v="2016-01-27T19:24:00"/>
    <s v="Patch Set 2:\n\nPatchset Created: CI job has been scheduled."/>
    <m/>
    <m/>
    <s v="miguel.verdu@intel.com"/>
    <x v="0"/>
    <x v="0"/>
    <s v=""/>
    <x v="1"/>
    <s v=""/>
    <s v=""/>
    <s v=""/>
    <s v=""/>
    <s v=""/>
    <s v=""/>
    <s v=""/>
    <x v="0"/>
    <x v="0"/>
    <x v="0"/>
  </r>
  <r>
    <x v="46"/>
    <m/>
    <m/>
    <m/>
    <m/>
    <m/>
    <m/>
    <m/>
    <m/>
    <m/>
    <m/>
    <m/>
    <x v="3"/>
    <d v="2016-01-27T19:25:00"/>
    <s v="Patch Set 2: Code-Review+1"/>
    <m/>
    <m/>
    <s v="miguel.verdu@intel.com"/>
    <x v="0"/>
    <x v="2"/>
    <s v=""/>
    <x v="1"/>
    <s v=""/>
    <s v=""/>
    <s v=""/>
    <s v=""/>
    <s v=""/>
    <s v=""/>
    <s v=""/>
    <x v="0"/>
    <x v="0"/>
    <x v="0"/>
  </r>
  <r>
    <x v="46"/>
    <m/>
    <m/>
    <m/>
    <m/>
    <m/>
    <m/>
    <m/>
    <m/>
    <m/>
    <m/>
    <m/>
    <x v="0"/>
    <d v="2016-01-27T19:35:00"/>
    <s v="Patch Set 3:\n\nPatchset Created: CI job has been scheduled."/>
    <m/>
    <m/>
    <s v="miguel.verdu@intel.com"/>
    <x v="0"/>
    <x v="0"/>
    <s v=""/>
    <x v="1"/>
    <s v=""/>
    <s v=""/>
    <s v=""/>
    <s v=""/>
    <s v=""/>
    <s v=""/>
    <s v=""/>
    <x v="0"/>
    <x v="0"/>
    <x v="0"/>
  </r>
  <r>
    <x v="46"/>
    <m/>
    <m/>
    <m/>
    <m/>
    <m/>
    <m/>
    <m/>
    <m/>
    <m/>
    <m/>
    <m/>
    <x v="0"/>
    <d v="2016-01-27T19:35:00"/>
    <s v="Uploaded patch set 3: Patch Set 2 was rebased."/>
    <m/>
    <m/>
    <s v="miguel.verdu@intel.com"/>
    <x v="0"/>
    <x v="0"/>
    <s v=""/>
    <x v="1"/>
    <s v=""/>
    <s v=""/>
    <s v=""/>
    <s v=""/>
    <s v=""/>
    <s v=""/>
    <s v=""/>
    <x v="0"/>
    <x v="0"/>
    <x v="0"/>
  </r>
  <r>
    <x v="46"/>
    <m/>
    <m/>
    <m/>
    <m/>
    <m/>
    <m/>
    <m/>
    <m/>
    <m/>
    <m/>
    <m/>
    <x v="0"/>
    <d v="2016-01-27T19:42:00"/>
    <s v="Patch Set 3: Code-Review+1"/>
    <m/>
    <m/>
    <s v="miguel.verdu@intel.com"/>
    <x v="0"/>
    <x v="0"/>
    <s v=""/>
    <x v="1"/>
    <s v=""/>
    <s v=""/>
    <s v=""/>
    <s v=""/>
    <s v=""/>
    <s v=""/>
    <s v=""/>
    <x v="0"/>
    <x v="0"/>
    <x v="0"/>
  </r>
  <r>
    <x v="46"/>
    <m/>
    <m/>
    <m/>
    <m/>
    <m/>
    <m/>
    <m/>
    <m/>
    <m/>
    <m/>
    <m/>
    <x v="1"/>
    <d v="2016-01-27T19:44:00"/>
    <s v="Patch Set 3: Code-Review+1"/>
    <m/>
    <m/>
    <s v="miguel.verdu@intel.com"/>
    <x v="0"/>
    <x v="1"/>
    <s v=""/>
    <x v="1"/>
    <s v=""/>
    <s v=""/>
    <s v=""/>
    <s v=""/>
    <s v=""/>
    <s v=""/>
    <s v=""/>
    <x v="0"/>
    <x v="0"/>
    <x v="0"/>
  </r>
  <r>
    <x v="46"/>
    <m/>
    <m/>
    <m/>
    <m/>
    <m/>
    <m/>
    <m/>
    <m/>
    <m/>
    <m/>
    <m/>
    <x v="17"/>
    <d v="2016-01-27T19:48:00"/>
    <s v="Patch Set 3: Code-Review+1"/>
    <m/>
    <m/>
    <s v="miguel.verdu@intel.com"/>
    <x v="0"/>
    <x v="1"/>
    <s v=""/>
    <x v="1"/>
    <s v=""/>
    <s v=""/>
    <s v=""/>
    <s v=""/>
    <s v=""/>
    <s v=""/>
    <s v=""/>
    <x v="0"/>
    <x v="0"/>
    <x v="0"/>
  </r>
  <r>
    <x v="46"/>
    <m/>
    <m/>
    <m/>
    <m/>
    <m/>
    <m/>
    <m/>
    <m/>
    <m/>
    <m/>
    <m/>
    <x v="8"/>
    <d v="2016-01-27T21:11:00"/>
    <s v="Patch Set 3: Approver+1"/>
    <m/>
    <m/>
    <s v="miguel.verdu@intel.com"/>
    <x v="0"/>
    <x v="1"/>
    <s v=""/>
    <x v="1"/>
    <s v=""/>
    <s v=""/>
    <s v=""/>
    <s v=""/>
    <s v=""/>
    <s v=""/>
    <s v=""/>
    <x v="0"/>
    <x v="0"/>
    <x v="0"/>
  </r>
  <r>
    <x v="46"/>
    <m/>
    <m/>
    <m/>
    <m/>
    <m/>
    <m/>
    <m/>
    <m/>
    <m/>
    <m/>
    <m/>
    <x v="8"/>
    <d v="2016-01-27T21:11:00"/>
    <s v="Topic changed from up_gcss to bxt_preint_HEAD"/>
    <m/>
    <m/>
    <s v="miguel.verdu@intel.com"/>
    <x v="0"/>
    <x v="1"/>
    <s v=""/>
    <x v="1"/>
    <s v=""/>
    <s v=""/>
    <s v=""/>
    <s v=""/>
    <s v=""/>
    <s v=""/>
    <s v=""/>
    <x v="0"/>
    <x v="0"/>
    <x v="0"/>
  </r>
  <r>
    <x v="46"/>
    <m/>
    <m/>
    <m/>
    <m/>
    <m/>
    <m/>
    <m/>
    <m/>
    <m/>
    <m/>
    <m/>
    <x v="7"/>
    <d v="2016-01-28T11:21:00"/>
    <s v="Patch Set 3: Code-Review+1"/>
    <m/>
    <m/>
    <s v="miguel.verdu@intel.com"/>
    <x v="0"/>
    <x v="4"/>
    <s v=""/>
    <x v="1"/>
    <s v=""/>
    <s v=""/>
    <s v=""/>
    <s v=""/>
    <s v=""/>
    <s v=""/>
    <s v=""/>
    <x v="0"/>
    <x v="0"/>
    <x v="0"/>
  </r>
  <r>
    <x v="46"/>
    <m/>
    <m/>
    <m/>
    <m/>
    <m/>
    <m/>
    <m/>
    <m/>
    <m/>
    <m/>
    <m/>
    <x v="9"/>
    <d v="2016-01-28T14:18:00"/>
    <s v="Patch Set 3: Integrator+1\n\nIntegrator +1; patch will be add to PT; please no change now"/>
    <m/>
    <m/>
    <s v="miguel.verdu@intel.com"/>
    <x v="0"/>
    <x v="5"/>
    <s v=""/>
    <x v="1"/>
    <s v=""/>
    <s v=""/>
    <s v=""/>
    <s v=""/>
    <s v=""/>
    <s v=""/>
    <s v=""/>
    <x v="0"/>
    <x v="1"/>
    <x v="0"/>
  </r>
  <r>
    <x v="46"/>
    <m/>
    <m/>
    <m/>
    <m/>
    <m/>
    <m/>
    <m/>
    <m/>
    <m/>
    <m/>
    <m/>
    <x v="9"/>
    <d v="2016-01-28T18:38:00"/>
    <s v="Patch Set 3:\n\nPassed Klocwork code analyzing test. No CRITICAL issue in this patch. Auto reported by kwscan@andr-val-srv0.bj.intel.com"/>
    <m/>
    <m/>
    <s v="miguel.verdu@intel.com"/>
    <x v="0"/>
    <x v="5"/>
    <s v=""/>
    <x v="1"/>
    <s v=""/>
    <s v=""/>
    <s v=""/>
    <s v=""/>
    <s v=""/>
    <s v=""/>
    <s v=""/>
    <x v="0"/>
    <x v="0"/>
    <x v="0"/>
  </r>
  <r>
    <x v="46"/>
    <m/>
    <m/>
    <m/>
    <m/>
    <m/>
    <m/>
    <m/>
    <m/>
    <m/>
    <m/>
    <m/>
    <x v="9"/>
    <d v="2016-01-28T18:44:00"/>
    <s v="Patch Set 3:\n\nPassed Klocwork code analyzing test. No CRITICAL issue in this patch. Auto reported by kwscan@psi-build5.bj.intel.com"/>
    <m/>
    <m/>
    <s v="miguel.verdu@intel.com"/>
    <x v="0"/>
    <x v="5"/>
    <s v=""/>
    <x v="1"/>
    <s v=""/>
    <s v=""/>
    <s v=""/>
    <s v=""/>
    <s v=""/>
    <s v=""/>
    <s v=""/>
    <x v="0"/>
    <x v="0"/>
    <x v="0"/>
  </r>
  <r>
    <x v="46"/>
    <m/>
    <m/>
    <m/>
    <m/>
    <m/>
    <m/>
    <m/>
    <m/>
    <m/>
    <m/>
    <m/>
    <x v="9"/>
    <d v="2016-01-28T18:50:00"/>
    <s v="Patch Set 3: Integrator-1\n\nsofia build error with this patch:make: [out/target/product/r2_sltmrdV34/obj/SHARED_LIBRARIES/camera.sofia_lte_intermediates/cifpu/FaceEngineThread.o] Error 1\nIn file included from vendor/intel/camera/camera3hal/cifpu/CIFRequestHandlerBase.h:23:0;\n from vendor/intel/camera/camera3hal/cifpu/CIFRawRequestHandler.h:24;\n from vendor/intel/camera/camera3hal/cifpu/CIFRawRequestHandler.cpp:27:\nvendor/intel/camera/camera3hal/cifpu/CIFCaptureUnit.h:234:43: error: expected class-name before ';' token\n public IBufferOwner;\n ^\nmake: [out/target/product/r2_sltmrdV34/obj/SHARED_LIBRARIES/camera.sofia_lte_intermediates/cifpu/CIFRawRequestHandler.o] Error 1"/>
    <m/>
    <m/>
    <s v="miguel.verdu@intel.com"/>
    <x v="0"/>
    <x v="5"/>
    <s v=""/>
    <x v="1"/>
    <s v=""/>
    <s v=""/>
    <s v=""/>
    <s v=""/>
    <s v=""/>
    <s v=""/>
    <s v=""/>
    <x v="0"/>
    <x v="1"/>
    <x v="0"/>
  </r>
  <r>
    <x v="46"/>
    <m/>
    <m/>
    <m/>
    <m/>
    <m/>
    <m/>
    <m/>
    <m/>
    <m/>
    <m/>
    <m/>
    <x v="9"/>
    <d v="2016-01-28T20:06:00"/>
    <s v="Patch Set 3:\n\nPassed Klocwork code analyzing test. No CRITICAL issue in this patch. Auto reported by kwscan@andr-val-srv0.bj.intel.com"/>
    <m/>
    <m/>
    <s v="miguel.verdu@intel.com"/>
    <x v="0"/>
    <x v="5"/>
    <s v=""/>
    <x v="1"/>
    <s v=""/>
    <s v=""/>
    <s v=""/>
    <s v=""/>
    <s v=""/>
    <s v=""/>
    <s v=""/>
    <x v="0"/>
    <x v="0"/>
    <x v="0"/>
  </r>
  <r>
    <x v="46"/>
    <m/>
    <m/>
    <m/>
    <m/>
    <m/>
    <m/>
    <m/>
    <m/>
    <m/>
    <m/>
    <m/>
    <x v="9"/>
    <d v="2016-01-28T20:53:00"/>
    <s v="Patch Set 3:\n\nPassed Klocwork code analyzing test. No CRITICAL issue in this patch. Auto reported by kwscan@kw-srv2.bj.intel.com"/>
    <m/>
    <m/>
    <s v="miguel.verdu@intel.com"/>
    <x v="0"/>
    <x v="5"/>
    <s v=""/>
    <x v="1"/>
    <s v=""/>
    <s v=""/>
    <s v=""/>
    <s v=""/>
    <s v=""/>
    <s v=""/>
    <s v=""/>
    <x v="0"/>
    <x v="0"/>
    <x v="0"/>
  </r>
  <r>
    <x v="46"/>
    <m/>
    <m/>
    <m/>
    <m/>
    <m/>
    <m/>
    <m/>
    <m/>
    <m/>
    <m/>
    <m/>
    <x v="12"/>
    <d v="2016-01-28T21:03:00"/>
    <s v="Patch Set 3: Code-Review+1\n\nBuild error mentioned above is not caused by this patch."/>
    <m/>
    <m/>
    <s v="miguel.verdu@intel.com"/>
    <x v="0"/>
    <x v="1"/>
    <s v=""/>
    <x v="1"/>
    <s v=""/>
    <s v=""/>
    <s v=""/>
    <s v=""/>
    <s v=""/>
    <s v=""/>
    <s v=""/>
    <x v="0"/>
    <x v="0"/>
    <x v="0"/>
  </r>
  <r>
    <x v="46"/>
    <m/>
    <m/>
    <m/>
    <m/>
    <m/>
    <m/>
    <m/>
    <m/>
    <m/>
    <m/>
    <m/>
    <x v="9"/>
    <d v="2016-01-28T22:59:00"/>
    <s v="Patch Set 3:\n\nPassed Klocwork code analyzing test. No CRITICAL issue in this patch. Auto reported by kwscan@kw-srv2.bj.intel.com"/>
    <m/>
    <m/>
    <s v="miguel.verdu@intel.com"/>
    <x v="0"/>
    <x v="5"/>
    <s v=""/>
    <x v="1"/>
    <s v=""/>
    <s v=""/>
    <s v=""/>
    <s v=""/>
    <s v=""/>
    <s v=""/>
    <s v=""/>
    <x v="0"/>
    <x v="0"/>
    <x v="0"/>
  </r>
  <r>
    <x v="46"/>
    <m/>
    <m/>
    <m/>
    <m/>
    <m/>
    <m/>
    <m/>
    <m/>
    <m/>
    <m/>
    <m/>
    <x v="17"/>
    <d v="2016-01-28T23:13:00"/>
    <s v="Uploaded patch set 4: Patch Set 3 was rebased."/>
    <m/>
    <m/>
    <s v="miguel.verdu@intel.com"/>
    <x v="0"/>
    <x v="1"/>
    <s v=""/>
    <x v="1"/>
    <s v=""/>
    <s v=""/>
    <s v=""/>
    <s v=""/>
    <s v=""/>
    <s v=""/>
    <s v=""/>
    <x v="0"/>
    <x v="0"/>
    <x v="0"/>
  </r>
  <r>
    <x v="46"/>
    <m/>
    <m/>
    <m/>
    <m/>
    <m/>
    <m/>
    <m/>
    <m/>
    <m/>
    <m/>
    <m/>
    <x v="17"/>
    <d v="2016-01-28T23:13:00"/>
    <s v="Patch Set 4:\n\nPatchset Created: CI job has been scheduled."/>
    <m/>
    <m/>
    <s v="miguel.verdu@intel.com"/>
    <x v="0"/>
    <x v="1"/>
    <s v=""/>
    <x v="1"/>
    <s v=""/>
    <s v=""/>
    <s v=""/>
    <s v=""/>
    <s v=""/>
    <s v=""/>
    <s v=""/>
    <x v="0"/>
    <x v="0"/>
    <x v="0"/>
  </r>
  <r>
    <x v="46"/>
    <m/>
    <m/>
    <m/>
    <m/>
    <m/>
    <m/>
    <m/>
    <m/>
    <m/>
    <m/>
    <m/>
    <x v="17"/>
    <d v="2016-01-28T23:13:00"/>
    <s v="Topic changed from fix_regression to bxt_preint_HEAD"/>
    <m/>
    <m/>
    <s v="miguel.verdu@intel.com"/>
    <x v="0"/>
    <x v="1"/>
    <s v=""/>
    <x v="1"/>
    <s v=""/>
    <s v=""/>
    <s v=""/>
    <s v=""/>
    <s v=""/>
    <s v=""/>
    <s v=""/>
    <x v="0"/>
    <x v="0"/>
    <x v="0"/>
  </r>
  <r>
    <x v="46"/>
    <m/>
    <m/>
    <m/>
    <m/>
    <m/>
    <m/>
    <m/>
    <m/>
    <m/>
    <m/>
    <m/>
    <x v="14"/>
    <d v="2016-01-28T23:17:00"/>
    <s v="Patch Set 4: Validation-Android+1\n\nreceive smoke test"/>
    <m/>
    <m/>
    <s v="miguel.verdu@intel.com"/>
    <x v="0"/>
    <x v="5"/>
    <s v=""/>
    <x v="1"/>
    <s v=""/>
    <s v=""/>
    <s v=""/>
    <s v=""/>
    <s v=""/>
    <s v=""/>
    <s v=""/>
    <x v="0"/>
    <x v="1"/>
    <x v="0"/>
  </r>
  <r>
    <x v="46"/>
    <m/>
    <m/>
    <m/>
    <m/>
    <m/>
    <m/>
    <m/>
    <m/>
    <m/>
    <m/>
    <m/>
    <x v="2"/>
    <d v="2016-01-29T14:23:00"/>
    <s v="Topic changed from bxt_preint_HEAD to bxt_preint"/>
    <m/>
    <m/>
    <s v="miguel.verdu@intel.com"/>
    <x v="0"/>
    <x v="1"/>
    <s v=""/>
    <x v="1"/>
    <s v=""/>
    <s v=""/>
    <s v=""/>
    <s v=""/>
    <s v=""/>
    <s v=""/>
    <s v=""/>
    <x v="0"/>
    <x v="0"/>
    <x v="0"/>
  </r>
  <r>
    <x v="46"/>
    <m/>
    <m/>
    <m/>
    <m/>
    <m/>
    <m/>
    <m/>
    <m/>
    <m/>
    <m/>
    <m/>
    <x v="9"/>
    <d v="2016-01-29T14:36:00"/>
    <s v="Patch Set 4:\n\nBXT PIT test failed with regression; so nogo this patch"/>
    <m/>
    <m/>
    <s v="miguel.verdu@intel.com"/>
    <x v="0"/>
    <x v="5"/>
    <s v=""/>
    <x v="1"/>
    <s v=""/>
    <s v=""/>
    <s v=""/>
    <s v=""/>
    <s v=""/>
    <s v=""/>
    <s v=""/>
    <x v="0"/>
    <x v="0"/>
    <x v="0"/>
  </r>
  <r>
    <x v="46"/>
    <m/>
    <m/>
    <m/>
    <m/>
    <m/>
    <m/>
    <m/>
    <m/>
    <m/>
    <m/>
    <m/>
    <x v="9"/>
    <d v="2016-02-01T13:57:00"/>
    <s v="Patch Set 4: -Integrator"/>
    <m/>
    <m/>
    <s v="miguel.verdu@intel.com"/>
    <x v="0"/>
    <x v="5"/>
    <s v=""/>
    <x v="1"/>
    <s v=""/>
    <s v=""/>
    <s v=""/>
    <s v=""/>
    <s v=""/>
    <s v=""/>
    <s v=""/>
    <x v="0"/>
    <x v="1"/>
    <x v="0"/>
  </r>
  <r>
    <x v="46"/>
    <m/>
    <m/>
    <m/>
    <m/>
    <m/>
    <m/>
    <m/>
    <m/>
    <m/>
    <m/>
    <m/>
    <x v="9"/>
    <d v="2016-02-01T14:15:00"/>
    <s v="Patch Set 4: Integrator+1\n\nIntegrator +1; patch will be add to PT; please no change now"/>
    <m/>
    <m/>
    <s v="miguel.verdu@intel.com"/>
    <x v="0"/>
    <x v="5"/>
    <s v=""/>
    <x v="1"/>
    <s v=""/>
    <s v=""/>
    <s v=""/>
    <s v=""/>
    <s v=""/>
    <s v=""/>
    <s v=""/>
    <x v="0"/>
    <x v="1"/>
    <x v="0"/>
  </r>
  <r>
    <x v="46"/>
    <m/>
    <m/>
    <m/>
    <m/>
    <m/>
    <m/>
    <m/>
    <m/>
    <m/>
    <m/>
    <m/>
    <x v="9"/>
    <d v="2016-02-01T19:21:00"/>
    <s v="Patch Set 4:\n\nPassed Klocwork code analyzing test. No CRITICAL issue in this patch. Auto reported by kwscan@andr-val-srv0.bj.intel.com"/>
    <m/>
    <m/>
    <s v="miguel.verdu@intel.com"/>
    <x v="0"/>
    <x v="5"/>
    <s v=""/>
    <x v="1"/>
    <s v=""/>
    <s v=""/>
    <s v=""/>
    <s v=""/>
    <s v=""/>
    <s v=""/>
    <s v=""/>
    <x v="0"/>
    <x v="0"/>
    <x v="0"/>
  </r>
  <r>
    <x v="46"/>
    <m/>
    <m/>
    <m/>
    <m/>
    <m/>
    <m/>
    <m/>
    <m/>
    <m/>
    <m/>
    <m/>
    <x v="9"/>
    <d v="2016-02-01T19:48:00"/>
    <s v="Patch Set 4:\n\nPassed Klocwork code analyzing test. No CRITICAL issue in this patch. Auto reported by kwscan@psi-build5.bj.intel.com"/>
    <m/>
    <m/>
    <s v="miguel.verdu@intel.com"/>
    <x v="0"/>
    <x v="5"/>
    <s v=""/>
    <x v="1"/>
    <s v=""/>
    <s v=""/>
    <s v=""/>
    <s v=""/>
    <s v=""/>
    <s v=""/>
    <s v=""/>
    <x v="0"/>
    <x v="0"/>
    <x v="0"/>
  </r>
  <r>
    <x v="46"/>
    <m/>
    <m/>
    <m/>
    <m/>
    <m/>
    <m/>
    <m/>
    <m/>
    <m/>
    <m/>
    <m/>
    <x v="9"/>
    <d v="2016-02-01T19:50:00"/>
    <s v="Patch Set 4:\n\nPassed Klocwork code analyzing test. No CRITICAL issue in this patch. Auto reported by kwscan@kw-srv2.bj.intel.com"/>
    <m/>
    <m/>
    <s v="miguel.verdu@intel.com"/>
    <x v="0"/>
    <x v="5"/>
    <s v=""/>
    <x v="1"/>
    <s v=""/>
    <s v=""/>
    <s v=""/>
    <s v=""/>
    <s v=""/>
    <s v=""/>
    <s v=""/>
    <x v="0"/>
    <x v="0"/>
    <x v="0"/>
  </r>
  <r>
    <x v="46"/>
    <m/>
    <m/>
    <m/>
    <m/>
    <m/>
    <m/>
    <m/>
    <m/>
    <m/>
    <m/>
    <m/>
    <x v="9"/>
    <d v="2016-02-01T23:12:00"/>
    <s v="Patch Set 4:\n\nPassed Klocwork code analyzing test. No CRITICAL issue in this patch. Auto reported by kwscan@kw-srv2.bj.intel.com"/>
    <m/>
    <m/>
    <s v="miguel.verdu@intel.com"/>
    <x v="0"/>
    <x v="5"/>
    <s v=""/>
    <x v="1"/>
    <s v=""/>
    <s v=""/>
    <s v=""/>
    <s v=""/>
    <s v=""/>
    <s v=""/>
    <s v=""/>
    <x v="0"/>
    <x v="0"/>
    <x v="0"/>
  </r>
  <r>
    <x v="46"/>
    <m/>
    <m/>
    <m/>
    <m/>
    <m/>
    <m/>
    <m/>
    <m/>
    <m/>
    <m/>
    <m/>
    <x v="9"/>
    <d v="2016-02-02T11:43:00"/>
    <s v="Patch Set 4:\n\nPassed Klocwork code analyzing test. No CRITICAL issue in this patch. Auto reported by kwscan@psi-build5.bj.intel.com"/>
    <m/>
    <m/>
    <s v="miguel.verdu@intel.com"/>
    <x v="0"/>
    <x v="5"/>
    <s v=""/>
    <x v="1"/>
    <s v=""/>
    <s v=""/>
    <s v=""/>
    <s v=""/>
    <s v=""/>
    <s v=""/>
    <s v=""/>
    <x v="0"/>
    <x v="0"/>
    <x v="0"/>
  </r>
  <r>
    <x v="46"/>
    <m/>
    <m/>
    <m/>
    <m/>
    <m/>
    <m/>
    <m/>
    <m/>
    <m/>
    <m/>
    <m/>
    <x v="9"/>
    <d v="2016-02-02T17:29:00"/>
    <s v="Patch Set 4: Code-Review+1\n\nPassed PIT; ready for merge"/>
    <m/>
    <m/>
    <s v="miguel.verdu@intel.com"/>
    <x v="0"/>
    <x v="5"/>
    <s v=""/>
    <x v="1"/>
    <s v=""/>
    <s v=""/>
    <s v=""/>
    <s v=""/>
    <s v=""/>
    <s v=""/>
    <s v=""/>
    <x v="0"/>
    <x v="0"/>
    <x v="0"/>
  </r>
  <r>
    <x v="46"/>
    <m/>
    <m/>
    <m/>
    <m/>
    <m/>
    <m/>
    <m/>
    <m/>
    <m/>
    <m/>
    <m/>
    <x v="9"/>
    <d v="2016-02-02T18:31:00"/>
    <s v="Patch Set 4:\n\nPassed Klocwork code analyzing test. No CRITICAL issue in this patch. Auto reported by kwscan@andr-val-srv0.bj.intel.com"/>
    <m/>
    <m/>
    <s v="miguel.verdu@intel.com"/>
    <x v="0"/>
    <x v="5"/>
    <s v=""/>
    <x v="1"/>
    <s v=""/>
    <s v=""/>
    <s v=""/>
    <s v=""/>
    <s v=""/>
    <s v=""/>
    <s v=""/>
    <x v="0"/>
    <x v="0"/>
    <x v="0"/>
  </r>
  <r>
    <x v="46"/>
    <m/>
    <m/>
    <m/>
    <m/>
    <m/>
    <m/>
    <m/>
    <m/>
    <m/>
    <m/>
    <m/>
    <x v="9"/>
    <d v="2016-02-02T20:10:00"/>
    <s v="Patch Set 4:\n\nPassed Klocwork code analyzing test. No CRITICAL issue in this patch. Auto reported by kwscan@kw-srv2.bj.intel.com"/>
    <m/>
    <m/>
    <s v="miguel.verdu@intel.com"/>
    <x v="0"/>
    <x v="5"/>
    <s v=""/>
    <x v="1"/>
    <s v=""/>
    <s v=""/>
    <s v=""/>
    <s v=""/>
    <s v=""/>
    <s v=""/>
    <s v=""/>
    <x v="0"/>
    <x v="0"/>
    <x v="0"/>
  </r>
  <r>
    <x v="47"/>
    <n v="95501"/>
    <s v="vied-viedandr-camera3hal"/>
    <s v="platform/android/main"/>
    <s v="If0be507c099421f27270352453feca2db172f53c"/>
    <s v="kaisa.taipale@intel.com"/>
    <s v="MERGED"/>
    <s v="c3:3a: add new function mapUiImageEnhancement2Aiq"/>
    <s v="c3:3a: add new function mapUiImageEnhancement2Aiq\n\nThis patch changes the function mapUiBrightness2Aiq into\na more universal function that converts all of the image\nenhancement values from the range coming from UI [-10;10]\nto the one ia_aiq expects [-128;127].\n\nChange-Id: If0be507c099421f27270352453feca2db172f53c\nTracked-On: #R507350\nSigned-off-by: Kaisa Taipale &lt;kaisa.taipale@intel.com&gt;\nReviewed-on: https://icggerrit.ir.intel.com/95501\nReviewed-by: Jukka O Kaartinen &lt;jukka.o.kaartinen@intel.com&gt;\nReviewed-by: Hongjiang A Zheng &lt;hongjiang.a.zheng@intel.com&gt;\nReviewed-by: Lassi I Vaatamoinen &lt;lassi.i.vaatamoinen@intel.com&gt;\nValidation-Android: Wei Tao &lt;wei.tao@intel.com&gt;\nApprover: Jukka O Kaartinen &lt;jukka.o.kaartinen@intel.com&gt;\nBuild: Dessert M BXT RVP (SC)\nBuild: Dessert M SOFIA (SC)\nIntegrator: WeiX Meng &lt;weix.meng@intel.com&gt;\nReviewed-by: WeiX Meng &lt;weix.meng@intel.com&gt;\n"/>
    <d v="2016-01-14T19:34:00"/>
    <d v="2016-01-27T18:40:00"/>
    <s v="common"/>
    <x v="11"/>
    <d v="2016-01-14T19:34:00"/>
    <s v="Uploaded patch set 1."/>
    <m/>
    <s v="hongjiang.a.zheng@intel.com;jukka.o.kaartinen@intel.com;weix.meng@intel.com;lassi.i.vaatamoinen@intel.com;"/>
    <s v="kaisa.taipale@intel.com"/>
    <x v="0"/>
    <x v="0"/>
    <s v="16'ww5"/>
    <x v="2"/>
    <n v="1"/>
    <n v="0"/>
    <n v="1"/>
    <n v="0"/>
    <n v="1"/>
    <n v="5"/>
    <n v="0"/>
    <x v="0"/>
    <x v="0"/>
    <x v="0"/>
  </r>
  <r>
    <x v="47"/>
    <m/>
    <m/>
    <m/>
    <m/>
    <m/>
    <m/>
    <m/>
    <m/>
    <m/>
    <m/>
    <m/>
    <x v="11"/>
    <d v="2016-01-14T19:34:00"/>
    <s v="Patch Set 1:\n\nPatchset Created: CI job has been scheduled."/>
    <m/>
    <m/>
    <s v="kaisa.taipale@intel.com"/>
    <x v="0"/>
    <x v="0"/>
    <s v=""/>
    <x v="2"/>
    <s v=""/>
    <s v=""/>
    <s v=""/>
    <s v=""/>
    <s v=""/>
    <s v=""/>
    <s v=""/>
    <x v="0"/>
    <x v="0"/>
    <x v="0"/>
  </r>
  <r>
    <x v="47"/>
    <m/>
    <m/>
    <m/>
    <m/>
    <m/>
    <m/>
    <m/>
    <m/>
    <m/>
    <m/>
    <m/>
    <x v="11"/>
    <d v="2016-01-14T20:52:00"/>
    <s v="Patch Set 1: Code-Review+1"/>
    <m/>
    <m/>
    <s v="kaisa.taipale@intel.com"/>
    <x v="0"/>
    <x v="0"/>
    <s v=""/>
    <x v="2"/>
    <s v=""/>
    <s v=""/>
    <s v=""/>
    <s v=""/>
    <s v=""/>
    <s v=""/>
    <s v=""/>
    <x v="0"/>
    <x v="0"/>
    <x v="0"/>
  </r>
  <r>
    <x v="47"/>
    <m/>
    <m/>
    <m/>
    <m/>
    <m/>
    <m/>
    <m/>
    <m/>
    <m/>
    <m/>
    <m/>
    <x v="11"/>
    <d v="2016-01-20T21:45:00"/>
    <s v="Uploaded patch set 2: Patch Set 1 was rebased."/>
    <m/>
    <m/>
    <s v="kaisa.taipale@intel.com"/>
    <x v="0"/>
    <x v="0"/>
    <s v=""/>
    <x v="2"/>
    <s v=""/>
    <s v=""/>
    <s v=""/>
    <s v=""/>
    <s v=""/>
    <s v=""/>
    <s v=""/>
    <x v="0"/>
    <x v="0"/>
    <x v="0"/>
  </r>
  <r>
    <x v="47"/>
    <m/>
    <m/>
    <m/>
    <m/>
    <m/>
    <m/>
    <m/>
    <m/>
    <m/>
    <m/>
    <m/>
    <x v="11"/>
    <d v="2016-01-20T21:45:00"/>
    <s v="Patch Set 2:\n\nPatchset Created: CI job has been scheduled."/>
    <m/>
    <m/>
    <s v="kaisa.taipale@intel.com"/>
    <x v="0"/>
    <x v="0"/>
    <s v=""/>
    <x v="2"/>
    <s v=""/>
    <s v=""/>
    <s v=""/>
    <s v=""/>
    <s v=""/>
    <s v=""/>
    <s v=""/>
    <x v="0"/>
    <x v="0"/>
    <x v="0"/>
  </r>
  <r>
    <x v="47"/>
    <m/>
    <m/>
    <m/>
    <m/>
    <m/>
    <m/>
    <m/>
    <m/>
    <m/>
    <m/>
    <m/>
    <x v="11"/>
    <d v="2016-01-20T21:49:00"/>
    <s v="Uploaded patch set 3."/>
    <m/>
    <m/>
    <s v="kaisa.taipale@intel.com"/>
    <x v="0"/>
    <x v="0"/>
    <s v=""/>
    <x v="2"/>
    <s v=""/>
    <s v=""/>
    <s v=""/>
    <s v=""/>
    <s v=""/>
    <s v=""/>
    <s v=""/>
    <x v="0"/>
    <x v="0"/>
    <x v="0"/>
  </r>
  <r>
    <x v="47"/>
    <m/>
    <m/>
    <m/>
    <m/>
    <m/>
    <m/>
    <m/>
    <m/>
    <m/>
    <m/>
    <m/>
    <x v="11"/>
    <d v="2016-01-20T21:49:00"/>
    <s v="Patch Set 3:\n\nPatchset Created: CI job has been scheduled."/>
    <m/>
    <m/>
    <s v="kaisa.taipale@intel.com"/>
    <x v="0"/>
    <x v="0"/>
    <s v=""/>
    <x v="2"/>
    <s v=""/>
    <s v=""/>
    <s v=""/>
    <s v=""/>
    <s v=""/>
    <s v=""/>
    <s v=""/>
    <x v="0"/>
    <x v="0"/>
    <x v="0"/>
  </r>
  <r>
    <x v="47"/>
    <m/>
    <m/>
    <m/>
    <m/>
    <m/>
    <m/>
    <m/>
    <m/>
    <m/>
    <m/>
    <m/>
    <x v="12"/>
    <d v="2016-01-20T22:33:00"/>
    <s v="Patch Set 3: Code-Review-1\n\n(1 comment)"/>
    <s v="line38 :&quot;need to have the respective ipu4/ControlUnit.cpp changes in this patch as well; to make this build atomically&quot;"/>
    <m/>
    <s v="kaisa.taipale@intel.com"/>
    <x v="0"/>
    <x v="1"/>
    <s v=""/>
    <x v="2"/>
    <s v=""/>
    <s v=""/>
    <s v=""/>
    <s v=""/>
    <s v=""/>
    <s v=""/>
    <s v=""/>
    <x v="1"/>
    <x v="0"/>
    <x v="0"/>
  </r>
  <r>
    <x v="47"/>
    <m/>
    <m/>
    <m/>
    <m/>
    <m/>
    <m/>
    <m/>
    <m/>
    <m/>
    <m/>
    <m/>
    <x v="9"/>
    <d v="2016-01-21T14:52:00"/>
    <s v="Patch Set 3:\n\nPassed Klocwork code analyzing test. No CRITICAL issue in this patch. Auto reported by kwscan@psi-build5.bj.intel.com"/>
    <m/>
    <m/>
    <s v="kaisa.taipale@intel.com"/>
    <x v="0"/>
    <x v="5"/>
    <s v=""/>
    <x v="2"/>
    <s v=""/>
    <s v=""/>
    <s v=""/>
    <s v=""/>
    <s v=""/>
    <s v=""/>
    <s v=""/>
    <x v="0"/>
    <x v="0"/>
    <x v="0"/>
  </r>
  <r>
    <x v="47"/>
    <m/>
    <m/>
    <m/>
    <m/>
    <m/>
    <m/>
    <m/>
    <m/>
    <m/>
    <m/>
    <m/>
    <x v="11"/>
    <d v="2016-01-21T15:32:00"/>
    <s v="Uploaded patch set 4."/>
    <m/>
    <m/>
    <s v="kaisa.taipale@intel.com"/>
    <x v="0"/>
    <x v="0"/>
    <s v=""/>
    <x v="2"/>
    <s v=""/>
    <s v=""/>
    <s v=""/>
    <s v=""/>
    <s v=""/>
    <s v=""/>
    <s v=""/>
    <x v="0"/>
    <x v="0"/>
    <x v="0"/>
  </r>
  <r>
    <x v="47"/>
    <m/>
    <m/>
    <m/>
    <m/>
    <m/>
    <m/>
    <m/>
    <m/>
    <m/>
    <m/>
    <m/>
    <x v="11"/>
    <d v="2016-01-21T15:32:00"/>
    <s v="Patch Set 4:\n\nPatchset Created: CI job has been scheduled."/>
    <m/>
    <m/>
    <s v="kaisa.taipale@intel.com"/>
    <x v="0"/>
    <x v="0"/>
    <s v=""/>
    <x v="2"/>
    <s v=""/>
    <s v=""/>
    <s v=""/>
    <s v=""/>
    <s v=""/>
    <s v=""/>
    <s v=""/>
    <x v="0"/>
    <x v="0"/>
    <x v="0"/>
  </r>
  <r>
    <x v="47"/>
    <m/>
    <m/>
    <m/>
    <m/>
    <m/>
    <m/>
    <m/>
    <m/>
    <m/>
    <m/>
    <m/>
    <x v="11"/>
    <d v="2016-01-21T16:28:00"/>
    <s v="Uploaded patch set 5: Patch Set 4 was rebased."/>
    <m/>
    <m/>
    <s v="kaisa.taipale@intel.com"/>
    <x v="0"/>
    <x v="0"/>
    <s v=""/>
    <x v="2"/>
    <s v=""/>
    <s v=""/>
    <s v=""/>
    <s v=""/>
    <s v=""/>
    <s v=""/>
    <s v=""/>
    <x v="0"/>
    <x v="0"/>
    <x v="0"/>
  </r>
  <r>
    <x v="47"/>
    <m/>
    <m/>
    <m/>
    <m/>
    <m/>
    <m/>
    <m/>
    <m/>
    <m/>
    <m/>
    <m/>
    <x v="11"/>
    <d v="2016-01-21T16:28:00"/>
    <s v="Patch Set 5:\n\nPatchset Created: CI job has been scheduled."/>
    <m/>
    <m/>
    <s v="kaisa.taipale@intel.com"/>
    <x v="0"/>
    <x v="0"/>
    <s v=""/>
    <x v="2"/>
    <s v=""/>
    <s v=""/>
    <s v=""/>
    <s v=""/>
    <s v=""/>
    <s v=""/>
    <s v=""/>
    <x v="0"/>
    <x v="0"/>
    <x v="0"/>
  </r>
  <r>
    <x v="47"/>
    <m/>
    <m/>
    <m/>
    <m/>
    <m/>
    <m/>
    <m/>
    <m/>
    <m/>
    <m/>
    <m/>
    <x v="11"/>
    <d v="2016-01-21T21:20:00"/>
    <s v="Patch Set 5: Code-Review+1"/>
    <m/>
    <m/>
    <s v="kaisa.taipale@intel.com"/>
    <x v="0"/>
    <x v="0"/>
    <s v=""/>
    <x v="2"/>
    <s v=""/>
    <s v=""/>
    <s v=""/>
    <s v=""/>
    <s v=""/>
    <s v=""/>
    <s v=""/>
    <x v="0"/>
    <x v="0"/>
    <x v="0"/>
  </r>
  <r>
    <x v="47"/>
    <m/>
    <m/>
    <m/>
    <m/>
    <m/>
    <m/>
    <m/>
    <m/>
    <m/>
    <m/>
    <m/>
    <x v="2"/>
    <d v="2016-01-21T21:33:00"/>
    <s v="Patch Set 5: Code-Review+1"/>
    <m/>
    <m/>
    <s v="kaisa.taipale@intel.com"/>
    <x v="0"/>
    <x v="1"/>
    <s v=""/>
    <x v="2"/>
    <s v=""/>
    <s v=""/>
    <s v=""/>
    <s v=""/>
    <s v=""/>
    <s v=""/>
    <s v=""/>
    <x v="0"/>
    <x v="0"/>
    <x v="0"/>
  </r>
  <r>
    <x v="47"/>
    <m/>
    <m/>
    <m/>
    <m/>
    <m/>
    <m/>
    <m/>
    <m/>
    <m/>
    <m/>
    <m/>
    <x v="11"/>
    <d v="2016-01-21T21:54:00"/>
    <s v="Uploaded patch set 6: Commit message was updated."/>
    <m/>
    <m/>
    <s v="kaisa.taipale@intel.com"/>
    <x v="0"/>
    <x v="0"/>
    <s v=""/>
    <x v="2"/>
    <s v=""/>
    <s v=""/>
    <s v=""/>
    <s v=""/>
    <s v=""/>
    <s v=""/>
    <s v=""/>
    <x v="0"/>
    <x v="0"/>
    <x v="0"/>
  </r>
  <r>
    <x v="47"/>
    <m/>
    <m/>
    <m/>
    <m/>
    <m/>
    <m/>
    <m/>
    <m/>
    <m/>
    <m/>
    <m/>
    <x v="11"/>
    <d v="2016-01-21T21:54:00"/>
    <s v="Patch Set 6:\n\nPatchset Created: CI job has been scheduled."/>
    <m/>
    <m/>
    <s v="kaisa.taipale@intel.com"/>
    <x v="0"/>
    <x v="0"/>
    <s v=""/>
    <x v="2"/>
    <s v=""/>
    <s v=""/>
    <s v=""/>
    <s v=""/>
    <s v=""/>
    <s v=""/>
    <s v=""/>
    <x v="0"/>
    <x v="0"/>
    <x v="0"/>
  </r>
  <r>
    <x v="47"/>
    <m/>
    <m/>
    <m/>
    <m/>
    <m/>
    <m/>
    <m/>
    <m/>
    <m/>
    <m/>
    <m/>
    <x v="11"/>
    <d v="2016-01-21T21:58:00"/>
    <s v="Uploaded patch set 7: Commit message was updated."/>
    <m/>
    <m/>
    <s v="kaisa.taipale@intel.com"/>
    <x v="0"/>
    <x v="0"/>
    <s v=""/>
    <x v="2"/>
    <s v=""/>
    <s v=""/>
    <s v=""/>
    <s v=""/>
    <s v=""/>
    <s v=""/>
    <s v=""/>
    <x v="0"/>
    <x v="0"/>
    <x v="0"/>
  </r>
  <r>
    <x v="47"/>
    <m/>
    <m/>
    <m/>
    <m/>
    <m/>
    <m/>
    <m/>
    <m/>
    <m/>
    <m/>
    <m/>
    <x v="11"/>
    <d v="2016-01-21T21:58:00"/>
    <s v="Patch Set 7:\n\nPatchset Created: CI job has been scheduled."/>
    <m/>
    <m/>
    <s v="kaisa.taipale@intel.com"/>
    <x v="0"/>
    <x v="0"/>
    <s v=""/>
    <x v="2"/>
    <s v=""/>
    <s v=""/>
    <s v=""/>
    <s v=""/>
    <s v=""/>
    <s v=""/>
    <s v=""/>
    <x v="0"/>
    <x v="0"/>
    <x v="0"/>
  </r>
  <r>
    <x v="47"/>
    <m/>
    <m/>
    <m/>
    <m/>
    <m/>
    <m/>
    <m/>
    <m/>
    <m/>
    <m/>
    <m/>
    <x v="11"/>
    <d v="2016-01-25T15:27:00"/>
    <s v="Uploaded patch set 8: Patch Set 7 was rebased."/>
    <m/>
    <m/>
    <s v="kaisa.taipale@intel.com"/>
    <x v="0"/>
    <x v="0"/>
    <s v=""/>
    <x v="2"/>
    <s v=""/>
    <s v=""/>
    <s v=""/>
    <s v=""/>
    <s v=""/>
    <s v=""/>
    <s v=""/>
    <x v="0"/>
    <x v="0"/>
    <x v="0"/>
  </r>
  <r>
    <x v="47"/>
    <m/>
    <m/>
    <m/>
    <m/>
    <m/>
    <m/>
    <m/>
    <m/>
    <m/>
    <m/>
    <m/>
    <x v="11"/>
    <d v="2016-01-25T15:27:00"/>
    <s v="Patch Set 8:\n\nPatchset Created: CI job has been scheduled."/>
    <m/>
    <m/>
    <s v="kaisa.taipale@intel.com"/>
    <x v="0"/>
    <x v="0"/>
    <s v=""/>
    <x v="2"/>
    <s v=""/>
    <s v=""/>
    <s v=""/>
    <s v=""/>
    <s v=""/>
    <s v=""/>
    <s v=""/>
    <x v="0"/>
    <x v="0"/>
    <x v="0"/>
  </r>
  <r>
    <x v="47"/>
    <m/>
    <m/>
    <m/>
    <m/>
    <m/>
    <m/>
    <m/>
    <m/>
    <m/>
    <m/>
    <m/>
    <x v="15"/>
    <d v="2016-01-25T15:43:00"/>
    <s v="Patch Set 8: Code-Review+1"/>
    <m/>
    <m/>
    <s v="kaisa.taipale@intel.com"/>
    <x v="0"/>
    <x v="4"/>
    <s v=""/>
    <x v="2"/>
    <s v=""/>
    <s v=""/>
    <s v=""/>
    <s v=""/>
    <s v=""/>
    <s v=""/>
    <s v=""/>
    <x v="0"/>
    <x v="0"/>
    <x v="0"/>
  </r>
  <r>
    <x v="47"/>
    <m/>
    <m/>
    <m/>
    <m/>
    <m/>
    <m/>
    <m/>
    <m/>
    <m/>
    <m/>
    <m/>
    <x v="12"/>
    <d v="2016-01-25T15:56:00"/>
    <s v="Patch Set 8: Code-Review+1"/>
    <m/>
    <m/>
    <s v="kaisa.taipale@intel.com"/>
    <x v="0"/>
    <x v="1"/>
    <s v=""/>
    <x v="2"/>
    <s v=""/>
    <s v=""/>
    <s v=""/>
    <s v=""/>
    <s v=""/>
    <s v=""/>
    <s v=""/>
    <x v="0"/>
    <x v="0"/>
    <x v="0"/>
  </r>
  <r>
    <x v="47"/>
    <m/>
    <m/>
    <m/>
    <m/>
    <m/>
    <m/>
    <m/>
    <m/>
    <m/>
    <m/>
    <m/>
    <x v="14"/>
    <d v="2016-01-25T16:37:00"/>
    <s v="Patch Set 8: Validation-Android+1\n\nreceive smoke test"/>
    <m/>
    <m/>
    <s v="kaisa.taipale@intel.com"/>
    <x v="0"/>
    <x v="5"/>
    <s v=""/>
    <x v="2"/>
    <s v=""/>
    <s v=""/>
    <s v=""/>
    <s v=""/>
    <s v=""/>
    <s v=""/>
    <s v=""/>
    <x v="0"/>
    <x v="1"/>
    <x v="0"/>
  </r>
  <r>
    <x v="47"/>
    <m/>
    <m/>
    <m/>
    <m/>
    <m/>
    <m/>
    <m/>
    <m/>
    <m/>
    <m/>
    <m/>
    <x v="11"/>
    <d v="2016-01-25T20:45:00"/>
    <s v="Uploaded patch set 9: Patch Set 8 was rebased."/>
    <m/>
    <m/>
    <s v="kaisa.taipale@intel.com"/>
    <x v="0"/>
    <x v="0"/>
    <s v=""/>
    <x v="2"/>
    <s v=""/>
    <s v=""/>
    <s v=""/>
    <s v=""/>
    <s v=""/>
    <s v=""/>
    <s v=""/>
    <x v="0"/>
    <x v="0"/>
    <x v="0"/>
  </r>
  <r>
    <x v="47"/>
    <m/>
    <m/>
    <m/>
    <m/>
    <m/>
    <m/>
    <m/>
    <m/>
    <m/>
    <m/>
    <m/>
    <x v="11"/>
    <d v="2016-01-25T20:45:00"/>
    <s v="Patch Set 9:\n\nPatchset Created: CI job has been scheduled."/>
    <m/>
    <m/>
    <s v="kaisa.taipale@intel.com"/>
    <x v="0"/>
    <x v="0"/>
    <s v=""/>
    <x v="2"/>
    <s v=""/>
    <s v=""/>
    <s v=""/>
    <s v=""/>
    <s v=""/>
    <s v=""/>
    <s v=""/>
    <x v="0"/>
    <x v="0"/>
    <x v="0"/>
  </r>
  <r>
    <x v="47"/>
    <m/>
    <m/>
    <m/>
    <m/>
    <m/>
    <m/>
    <m/>
    <m/>
    <m/>
    <m/>
    <m/>
    <x v="14"/>
    <d v="2016-01-25T20:51:00"/>
    <s v="Patch Set 9: Validation-Android+1\n\nreceive smoke test"/>
    <m/>
    <m/>
    <s v="kaisa.taipale@intel.com"/>
    <x v="0"/>
    <x v="5"/>
    <s v=""/>
    <x v="2"/>
    <s v=""/>
    <s v=""/>
    <s v=""/>
    <s v=""/>
    <s v=""/>
    <s v=""/>
    <s v=""/>
    <x v="0"/>
    <x v="1"/>
    <x v="0"/>
  </r>
  <r>
    <x v="47"/>
    <m/>
    <m/>
    <m/>
    <m/>
    <m/>
    <m/>
    <m/>
    <m/>
    <m/>
    <m/>
    <m/>
    <x v="2"/>
    <d v="2016-01-25T20:53:00"/>
    <s v="Patch Set 9: Approver+1"/>
    <m/>
    <m/>
    <s v="kaisa.taipale@intel.com"/>
    <x v="0"/>
    <x v="1"/>
    <s v=""/>
    <x v="2"/>
    <s v=""/>
    <s v=""/>
    <s v=""/>
    <s v=""/>
    <s v=""/>
    <s v=""/>
    <s v=""/>
    <x v="0"/>
    <x v="0"/>
    <x v="0"/>
  </r>
  <r>
    <x v="47"/>
    <m/>
    <m/>
    <m/>
    <m/>
    <m/>
    <m/>
    <m/>
    <m/>
    <m/>
    <m/>
    <m/>
    <x v="2"/>
    <d v="2016-01-25T20:53:00"/>
    <s v="Topic changed from enh to bxt_preint"/>
    <m/>
    <m/>
    <s v="kaisa.taipale@intel.com"/>
    <x v="0"/>
    <x v="1"/>
    <s v=""/>
    <x v="2"/>
    <s v=""/>
    <s v=""/>
    <s v=""/>
    <s v=""/>
    <s v=""/>
    <s v=""/>
    <s v=""/>
    <x v="0"/>
    <x v="0"/>
    <x v="0"/>
  </r>
  <r>
    <x v="47"/>
    <m/>
    <m/>
    <m/>
    <m/>
    <m/>
    <m/>
    <m/>
    <m/>
    <m/>
    <m/>
    <m/>
    <x v="9"/>
    <d v="2016-01-26T14:29:00"/>
    <s v="Patch Set 9: Integrator+1\n\nIntegrator +1; patch will be add to PT; please no change now"/>
    <m/>
    <m/>
    <s v="kaisa.taipale@intel.com"/>
    <x v="0"/>
    <x v="5"/>
    <s v=""/>
    <x v="2"/>
    <s v=""/>
    <s v=""/>
    <s v=""/>
    <s v=""/>
    <s v=""/>
    <s v=""/>
    <s v=""/>
    <x v="0"/>
    <x v="1"/>
    <x v="0"/>
  </r>
  <r>
    <x v="47"/>
    <m/>
    <m/>
    <m/>
    <m/>
    <m/>
    <m/>
    <m/>
    <m/>
    <m/>
    <m/>
    <m/>
    <x v="9"/>
    <d v="2016-01-26T18:20:00"/>
    <s v="Patch Set 9:\n\nPassed Klocwork code analyzing test. No CRITICAL issue in this patch. Auto reported by kwscan@psi-build5.bj.intel.com"/>
    <m/>
    <m/>
    <s v="kaisa.taipale@intel.com"/>
    <x v="0"/>
    <x v="5"/>
    <s v=""/>
    <x v="2"/>
    <s v=""/>
    <s v=""/>
    <s v=""/>
    <s v=""/>
    <s v=""/>
    <s v=""/>
    <s v=""/>
    <x v="0"/>
    <x v="0"/>
    <x v="0"/>
  </r>
  <r>
    <x v="47"/>
    <m/>
    <m/>
    <m/>
    <m/>
    <m/>
    <m/>
    <m/>
    <m/>
    <m/>
    <m/>
    <m/>
    <x v="9"/>
    <d v="2016-01-26T19:22:00"/>
    <s v="Patch Set 9:\n\nPassed Klocwork code analyzing test. No CRITICAL issue in this patch. Auto reported by kwscan@kw-srv2.bj.intel.com"/>
    <m/>
    <m/>
    <s v="kaisa.taipale@intel.com"/>
    <x v="0"/>
    <x v="5"/>
    <s v=""/>
    <x v="2"/>
    <s v=""/>
    <s v=""/>
    <s v=""/>
    <s v=""/>
    <s v=""/>
    <s v=""/>
    <s v=""/>
    <x v="0"/>
    <x v="0"/>
    <x v="0"/>
  </r>
  <r>
    <x v="47"/>
    <m/>
    <m/>
    <m/>
    <m/>
    <m/>
    <m/>
    <m/>
    <m/>
    <m/>
    <m/>
    <m/>
    <x v="9"/>
    <d v="2016-01-26T20:18:00"/>
    <s v="Patch Set 9:\n\nPassed Klocwork code analyzing test. No CRITICAL issue in this patch. Auto reported by kwscan@andr-val-srv0.bj.intel.com"/>
    <m/>
    <m/>
    <s v="kaisa.taipale@intel.com"/>
    <x v="0"/>
    <x v="5"/>
    <s v=""/>
    <x v="2"/>
    <s v=""/>
    <s v=""/>
    <s v=""/>
    <s v=""/>
    <s v=""/>
    <s v=""/>
    <s v=""/>
    <x v="0"/>
    <x v="0"/>
    <x v="0"/>
  </r>
  <r>
    <x v="47"/>
    <m/>
    <m/>
    <m/>
    <m/>
    <m/>
    <m/>
    <m/>
    <m/>
    <m/>
    <m/>
    <m/>
    <x v="9"/>
    <d v="2016-01-27T01:44:00"/>
    <s v="Patch Set 9:\n\nPassed Klocwork code analyzing test. No CRITICAL issue in this patch. Auto reported by kwscan@andr-val-srv0.bj.intel.com"/>
    <m/>
    <m/>
    <s v="kaisa.taipale@intel.com"/>
    <x v="0"/>
    <x v="5"/>
    <s v=""/>
    <x v="2"/>
    <s v=""/>
    <s v=""/>
    <s v=""/>
    <s v=""/>
    <s v=""/>
    <s v=""/>
    <s v=""/>
    <x v="0"/>
    <x v="0"/>
    <x v="0"/>
  </r>
  <r>
    <x v="47"/>
    <m/>
    <m/>
    <m/>
    <m/>
    <m/>
    <m/>
    <m/>
    <m/>
    <m/>
    <m/>
    <m/>
    <x v="9"/>
    <d v="2016-01-27T18:28:00"/>
    <s v="Patch Set 9: Code-Review+1\n\nPassed PIT; ready for merge"/>
    <m/>
    <m/>
    <s v="kaisa.taipale@intel.com"/>
    <x v="0"/>
    <x v="5"/>
    <s v=""/>
    <x v="2"/>
    <s v=""/>
    <s v=""/>
    <s v=""/>
    <s v=""/>
    <s v=""/>
    <s v=""/>
    <s v=""/>
    <x v="0"/>
    <x v="0"/>
    <x v="0"/>
  </r>
  <r>
    <x v="47"/>
    <m/>
    <m/>
    <m/>
    <m/>
    <m/>
    <m/>
    <m/>
    <m/>
    <m/>
    <m/>
    <m/>
    <x v="9"/>
    <d v="2016-01-27T18:32:00"/>
    <s v="Patch Set 9:\n\nPassed PIT; ready for merge"/>
    <m/>
    <m/>
    <s v="kaisa.taipale@intel.com"/>
    <x v="0"/>
    <x v="5"/>
    <s v=""/>
    <x v="2"/>
    <s v=""/>
    <s v=""/>
    <s v=""/>
    <s v=""/>
    <s v=""/>
    <s v=""/>
    <s v=""/>
    <x v="0"/>
    <x v="0"/>
    <x v="0"/>
  </r>
  <r>
    <x v="48"/>
    <n v="92111"/>
    <s v="vied-viedandr-camera3hal"/>
    <s v="platform/android/main"/>
    <s v="I70aa600453ba1c37d5c64e3d0e4341f93a25ca06"/>
    <s v="renwei.wu@intel.com"/>
    <s v="MERGED"/>
    <s v="c3:v4l2dev: add support to read CROP region from driver"/>
    <s v="c3:v4l2dev: add support to read CROP region from driver\n\nBecause HAL need read the real CROP region and return it to the\nframework. This patch adds an interface in common code to read\ncrop region from driver.\n\nChange-Id: I70aa600453ba1c37d5c64e3d0e4341f93a25ca06\nTracked-On:#H1504130457\nSigned-off-by: renwei wu &lt;renwei.wu@intel.com&gt;\nReviewed-on: https://icggerrit.ir.intel.com/92111\nReviewed-by: Yanyan Li &lt;yanyan.li@intel.com&gt;\nReviewed-by: Yao Cheng &lt;yao.cheng@intel.com&gt;\nReviewed-by: Jingzhi Yu &lt;jingzhi.yu@intel.com&gt;\nReviewed-by: Xuezhen Zhu &lt;xuezhen.zhu@intel.com&gt;\nReviewed-by: Kun Jiang &lt;kun.jiang@intel.com&gt;\nValidation-Android: Wei Tao &lt;wei.tao@intel.com&gt;\nApprover: Xuezhen Zhu &lt;xuezhen.zhu@intel.com&gt;\nIntegrator: WeiX Meng &lt;weix.meng@intel.com&gt;\nBuild: Dessert M BXT RVP (SC)\nBuild: Dessert M SOFIA (SC)\nBuild: Dessert M CHT FFD (SC)\nReviewed-by: WeiX Meng &lt;weix.meng@intel.com&gt;\n"/>
    <d v="2015-12-25T15:15:00"/>
    <d v="2016-01-22T15:12:00"/>
    <s v="common"/>
    <x v="3"/>
    <d v="2015-12-25T15:15:00"/>
    <s v="Uploaded patch set 1."/>
    <m/>
    <s v="kun.jiang@intel.com;leifu.zhao@intel.com;yao.cheng@intel.com;jingzhi.yu@intel.com;jukka.o.kaartinen@intel.com;ukri.niemimuukko@intel.com;yanyan.li@intel.com;weix.meng@intel.com;fan79.zhang@intel.com;huitao.cao@intel.com;arnaud.mandy@intel.com;xuezhen.zhu@intel.com;lassi.i.vaatamoinen@intel.com;"/>
    <s v="renwei.wu@intel.com"/>
    <x v="2"/>
    <x v="0"/>
    <s v="16'ww4"/>
    <x v="2"/>
    <n v="5"/>
    <n v="1"/>
    <n v="2"/>
    <n v="2"/>
    <n v="4"/>
    <n v="12"/>
    <n v="16"/>
    <x v="0"/>
    <x v="0"/>
    <x v="0"/>
  </r>
  <r>
    <x v="48"/>
    <m/>
    <m/>
    <m/>
    <m/>
    <m/>
    <m/>
    <m/>
    <m/>
    <m/>
    <m/>
    <m/>
    <x v="3"/>
    <d v="2015-12-25T15:15:00"/>
    <s v="Patch Set 1:\n\nPatchset Created: CI job has been scheduled."/>
    <m/>
    <m/>
    <s v="renwei.wu@intel.com"/>
    <x v="2"/>
    <x v="0"/>
    <s v=""/>
    <x v="2"/>
    <s v=""/>
    <s v=""/>
    <s v=""/>
    <s v=""/>
    <s v=""/>
    <s v=""/>
    <s v=""/>
    <x v="0"/>
    <x v="0"/>
    <x v="0"/>
  </r>
  <r>
    <x v="48"/>
    <m/>
    <m/>
    <m/>
    <m/>
    <m/>
    <m/>
    <m/>
    <m/>
    <m/>
    <m/>
    <m/>
    <x v="3"/>
    <d v="2015-12-27T19:26:00"/>
    <s v="Uploaded patch set 2: Patch Set 1 was rebased."/>
    <m/>
    <m/>
    <s v="renwei.wu@intel.com"/>
    <x v="2"/>
    <x v="0"/>
    <s v=""/>
    <x v="2"/>
    <s v=""/>
    <s v=""/>
    <s v=""/>
    <s v=""/>
    <s v=""/>
    <s v=""/>
    <s v=""/>
    <x v="0"/>
    <x v="0"/>
    <x v="0"/>
  </r>
  <r>
    <x v="48"/>
    <m/>
    <m/>
    <m/>
    <m/>
    <m/>
    <m/>
    <m/>
    <m/>
    <m/>
    <m/>
    <m/>
    <x v="3"/>
    <d v="2015-12-27T19:26:00"/>
    <s v="Patch Set 2:\n\nPatchset Created: CI job has been scheduled."/>
    <m/>
    <m/>
    <s v="renwei.wu@intel.com"/>
    <x v="2"/>
    <x v="0"/>
    <s v=""/>
    <x v="2"/>
    <s v=""/>
    <s v=""/>
    <s v=""/>
    <s v=""/>
    <s v=""/>
    <s v=""/>
    <s v=""/>
    <x v="0"/>
    <x v="0"/>
    <x v="0"/>
  </r>
  <r>
    <x v="48"/>
    <m/>
    <m/>
    <m/>
    <m/>
    <m/>
    <m/>
    <m/>
    <m/>
    <m/>
    <m/>
    <m/>
    <x v="3"/>
    <d v="2015-12-27T19:28:00"/>
    <s v="Uploaded patch set 3."/>
    <m/>
    <m/>
    <s v="renwei.wu@intel.com"/>
    <x v="2"/>
    <x v="0"/>
    <s v=""/>
    <x v="2"/>
    <s v=""/>
    <s v=""/>
    <s v=""/>
    <s v=""/>
    <s v=""/>
    <s v=""/>
    <s v=""/>
    <x v="0"/>
    <x v="0"/>
    <x v="0"/>
  </r>
  <r>
    <x v="48"/>
    <m/>
    <m/>
    <m/>
    <m/>
    <m/>
    <m/>
    <m/>
    <m/>
    <m/>
    <m/>
    <m/>
    <x v="3"/>
    <d v="2015-12-27T19:28:00"/>
    <s v="Patch Set 3:\n\nPatchset Created: CI job has been scheduled."/>
    <m/>
    <m/>
    <s v="renwei.wu@intel.com"/>
    <x v="2"/>
    <x v="0"/>
    <s v=""/>
    <x v="2"/>
    <s v=""/>
    <s v=""/>
    <s v=""/>
    <s v=""/>
    <s v=""/>
    <s v=""/>
    <s v=""/>
    <x v="0"/>
    <x v="0"/>
    <x v="0"/>
  </r>
  <r>
    <x v="48"/>
    <m/>
    <m/>
    <m/>
    <m/>
    <m/>
    <m/>
    <m/>
    <m/>
    <m/>
    <m/>
    <m/>
    <x v="3"/>
    <d v="2015-12-28T18:07:00"/>
    <s v="Uploaded patch set 4: Commit message was updated."/>
    <m/>
    <m/>
    <s v="renwei.wu@intel.com"/>
    <x v="2"/>
    <x v="0"/>
    <s v=""/>
    <x v="2"/>
    <s v=""/>
    <s v=""/>
    <s v=""/>
    <s v=""/>
    <s v=""/>
    <s v=""/>
    <s v=""/>
    <x v="0"/>
    <x v="0"/>
    <x v="0"/>
  </r>
  <r>
    <x v="48"/>
    <m/>
    <m/>
    <m/>
    <m/>
    <m/>
    <m/>
    <m/>
    <m/>
    <m/>
    <m/>
    <m/>
    <x v="3"/>
    <d v="2015-12-28T18:07:00"/>
    <s v="Patch Set 4:\n\nPatchset Created: CI job has been scheduled."/>
    <m/>
    <m/>
    <s v="renwei.wu@intel.com"/>
    <x v="2"/>
    <x v="0"/>
    <s v=""/>
    <x v="2"/>
    <s v=""/>
    <s v=""/>
    <s v=""/>
    <s v=""/>
    <s v=""/>
    <s v=""/>
    <s v=""/>
    <x v="0"/>
    <x v="0"/>
    <x v="0"/>
  </r>
  <r>
    <x v="48"/>
    <m/>
    <m/>
    <m/>
    <m/>
    <m/>
    <m/>
    <m/>
    <m/>
    <m/>
    <m/>
    <m/>
    <x v="3"/>
    <d v="2015-12-28T18:08:00"/>
    <s v="Topic set to read_crop_region"/>
    <m/>
    <m/>
    <s v="renwei.wu@intel.com"/>
    <x v="2"/>
    <x v="0"/>
    <s v=""/>
    <x v="2"/>
    <s v=""/>
    <s v=""/>
    <s v=""/>
    <s v=""/>
    <s v=""/>
    <s v=""/>
    <s v=""/>
    <x v="0"/>
    <x v="0"/>
    <x v="0"/>
  </r>
  <r>
    <x v="48"/>
    <m/>
    <m/>
    <m/>
    <m/>
    <m/>
    <m/>
    <m/>
    <m/>
    <m/>
    <m/>
    <m/>
    <x v="3"/>
    <d v="2015-12-28T20:10:00"/>
    <s v="Uploaded patch set 5."/>
    <m/>
    <m/>
    <s v="renwei.wu@intel.com"/>
    <x v="2"/>
    <x v="0"/>
    <s v=""/>
    <x v="2"/>
    <s v=""/>
    <s v=""/>
    <s v=""/>
    <s v=""/>
    <s v=""/>
    <s v=""/>
    <s v=""/>
    <x v="0"/>
    <x v="0"/>
    <x v="0"/>
  </r>
  <r>
    <x v="48"/>
    <m/>
    <m/>
    <m/>
    <m/>
    <m/>
    <m/>
    <m/>
    <m/>
    <m/>
    <m/>
    <m/>
    <x v="3"/>
    <d v="2015-12-28T20:11:00"/>
    <s v="Patch Set 5:\n\nPatchset Created: CI job has been scheduled."/>
    <m/>
    <m/>
    <s v="renwei.wu@intel.com"/>
    <x v="2"/>
    <x v="0"/>
    <s v=""/>
    <x v="2"/>
    <s v=""/>
    <s v=""/>
    <s v=""/>
    <s v=""/>
    <s v=""/>
    <s v=""/>
    <s v=""/>
    <x v="0"/>
    <x v="0"/>
    <x v="0"/>
  </r>
  <r>
    <x v="48"/>
    <m/>
    <m/>
    <m/>
    <m/>
    <m/>
    <m/>
    <m/>
    <m/>
    <m/>
    <m/>
    <m/>
    <x v="12"/>
    <d v="2015-12-28T20:37:00"/>
    <s v="Patch Set 5: Code-Review-1\n\n(8 comments)"/>
    <s v="line544 :&quot;'return status'&quot; line625 :&quot;Copy-paste from somewhere? Does not look accurate for this API method?&quot; line628 :&quot;'\\param[out] crop pointer to ...'&quot; line647 :&quot;extra spaces&quot; line523 :&quot;Should give a meaningful initial value&quot; line524 :&quot;could remove 'struct'&quot; line539 :&quot;to previous line; } else {&quot; line541 :&quot;not necessarily needed now; since return right after&quot;"/>
    <m/>
    <s v="renwei.wu@intel.com"/>
    <x v="2"/>
    <x v="1"/>
    <s v=""/>
    <x v="2"/>
    <s v=""/>
    <s v=""/>
    <s v=""/>
    <s v=""/>
    <s v=""/>
    <s v=""/>
    <s v=""/>
    <x v="1"/>
    <x v="0"/>
    <x v="0"/>
  </r>
  <r>
    <x v="48"/>
    <m/>
    <m/>
    <m/>
    <m/>
    <m/>
    <m/>
    <m/>
    <m/>
    <m/>
    <m/>
    <m/>
    <x v="3"/>
    <d v="2015-12-28T20:47:00"/>
    <s v="Uploaded patch set 6."/>
    <m/>
    <m/>
    <s v="renwei.wu@intel.com"/>
    <x v="2"/>
    <x v="0"/>
    <s v=""/>
    <x v="2"/>
    <s v=""/>
    <s v=""/>
    <s v=""/>
    <s v=""/>
    <s v=""/>
    <s v=""/>
    <s v=""/>
    <x v="0"/>
    <x v="0"/>
    <x v="0"/>
  </r>
  <r>
    <x v="48"/>
    <m/>
    <m/>
    <m/>
    <m/>
    <m/>
    <m/>
    <m/>
    <m/>
    <m/>
    <m/>
    <m/>
    <x v="3"/>
    <d v="2015-12-28T20:47:00"/>
    <s v="Patch Set 6:\n\nPatchset Created: CI job has been scheduled."/>
    <m/>
    <m/>
    <s v="renwei.wu@intel.com"/>
    <x v="2"/>
    <x v="0"/>
    <s v=""/>
    <x v="2"/>
    <s v=""/>
    <s v=""/>
    <s v=""/>
    <s v=""/>
    <s v=""/>
    <s v=""/>
    <s v=""/>
    <x v="0"/>
    <x v="0"/>
    <x v="0"/>
  </r>
  <r>
    <x v="48"/>
    <m/>
    <m/>
    <m/>
    <m/>
    <m/>
    <m/>
    <m/>
    <m/>
    <m/>
    <m/>
    <m/>
    <x v="12"/>
    <d v="2015-12-28T21:00:00"/>
    <s v="Patch Set 6:\n\n(1 comment)"/>
    <s v="line624 :&quot;this is not good for Doxygen (there are multiple entries like this around; though)&quot;"/>
    <m/>
    <s v="renwei.wu@intel.com"/>
    <x v="2"/>
    <x v="1"/>
    <s v=""/>
    <x v="2"/>
    <s v=""/>
    <s v=""/>
    <s v=""/>
    <s v=""/>
    <s v=""/>
    <s v=""/>
    <s v=""/>
    <x v="0"/>
    <x v="0"/>
    <x v="0"/>
  </r>
  <r>
    <x v="48"/>
    <m/>
    <m/>
    <m/>
    <m/>
    <m/>
    <m/>
    <m/>
    <m/>
    <m/>
    <m/>
    <m/>
    <x v="3"/>
    <d v="2015-12-28T21:10:00"/>
    <s v="Uploaded patch set 7."/>
    <m/>
    <m/>
    <s v="renwei.wu@intel.com"/>
    <x v="2"/>
    <x v="0"/>
    <s v=""/>
    <x v="2"/>
    <s v=""/>
    <s v=""/>
    <s v=""/>
    <s v=""/>
    <s v=""/>
    <s v=""/>
    <s v=""/>
    <x v="0"/>
    <x v="0"/>
    <x v="0"/>
  </r>
  <r>
    <x v="48"/>
    <m/>
    <m/>
    <m/>
    <m/>
    <m/>
    <m/>
    <m/>
    <m/>
    <m/>
    <m/>
    <m/>
    <x v="3"/>
    <d v="2015-12-28T21:10:00"/>
    <s v="Patch Set 7:\n\nPatchset Created: CI job has been scheduled."/>
    <m/>
    <m/>
    <s v="renwei.wu@intel.com"/>
    <x v="2"/>
    <x v="0"/>
    <s v=""/>
    <x v="2"/>
    <s v=""/>
    <s v=""/>
    <s v=""/>
    <s v=""/>
    <s v=""/>
    <s v=""/>
    <s v=""/>
    <x v="0"/>
    <x v="0"/>
    <x v="0"/>
  </r>
  <r>
    <x v="48"/>
    <m/>
    <m/>
    <m/>
    <m/>
    <m/>
    <m/>
    <m/>
    <m/>
    <m/>
    <m/>
    <m/>
    <x v="12"/>
    <d v="2015-12-28T21:22:00"/>
    <s v="Patch Set 6: Code-Review+1"/>
    <m/>
    <m/>
    <s v="renwei.wu@intel.com"/>
    <x v="2"/>
    <x v="1"/>
    <s v=""/>
    <x v="2"/>
    <s v=""/>
    <s v=""/>
    <s v=""/>
    <s v=""/>
    <s v=""/>
    <s v=""/>
    <s v=""/>
    <x v="0"/>
    <x v="0"/>
    <x v="0"/>
  </r>
  <r>
    <x v="48"/>
    <m/>
    <m/>
    <m/>
    <m/>
    <m/>
    <m/>
    <m/>
    <m/>
    <m/>
    <m/>
    <m/>
    <x v="22"/>
    <d v="2015-12-28T21:23:00"/>
    <s v="Patch Set 7: Code-Review+1"/>
    <m/>
    <m/>
    <s v="renwei.wu@intel.com"/>
    <x v="2"/>
    <x v="2"/>
    <s v=""/>
    <x v="2"/>
    <s v=""/>
    <s v=""/>
    <s v=""/>
    <s v=""/>
    <s v=""/>
    <s v=""/>
    <s v=""/>
    <x v="0"/>
    <x v="0"/>
    <x v="0"/>
  </r>
  <r>
    <x v="48"/>
    <m/>
    <m/>
    <m/>
    <m/>
    <m/>
    <m/>
    <m/>
    <m/>
    <m/>
    <m/>
    <m/>
    <x v="12"/>
    <d v="2015-12-28T21:47:00"/>
    <s v="Patch Set 7: Code-Review+1"/>
    <m/>
    <m/>
    <s v="renwei.wu@intel.com"/>
    <x v="2"/>
    <x v="1"/>
    <s v=""/>
    <x v="2"/>
    <s v=""/>
    <s v=""/>
    <s v=""/>
    <s v=""/>
    <s v=""/>
    <s v=""/>
    <s v=""/>
    <x v="0"/>
    <x v="0"/>
    <x v="0"/>
  </r>
  <r>
    <x v="48"/>
    <m/>
    <m/>
    <m/>
    <m/>
    <m/>
    <m/>
    <m/>
    <m/>
    <m/>
    <m/>
    <m/>
    <x v="12"/>
    <d v="2015-12-28T21:48:00"/>
    <s v="Patch Set 7:\n\n(1 comment)"/>
    <s v="line628 :&quot;slight typo here; unknowN&quot;"/>
    <m/>
    <s v="renwei.wu@intel.com"/>
    <x v="2"/>
    <x v="1"/>
    <s v=""/>
    <x v="2"/>
    <s v=""/>
    <s v=""/>
    <s v=""/>
    <s v=""/>
    <s v=""/>
    <s v=""/>
    <s v=""/>
    <x v="0"/>
    <x v="0"/>
    <x v="0"/>
  </r>
  <r>
    <x v="48"/>
    <m/>
    <m/>
    <m/>
    <m/>
    <m/>
    <m/>
    <m/>
    <m/>
    <m/>
    <m/>
    <m/>
    <x v="3"/>
    <d v="2015-12-28T23:09:00"/>
    <s v="Uploaded patch set 8."/>
    <m/>
    <m/>
    <s v="renwei.wu@intel.com"/>
    <x v="2"/>
    <x v="0"/>
    <s v=""/>
    <x v="2"/>
    <s v=""/>
    <s v=""/>
    <s v=""/>
    <s v=""/>
    <s v=""/>
    <s v=""/>
    <s v=""/>
    <x v="0"/>
    <x v="0"/>
    <x v="0"/>
  </r>
  <r>
    <x v="48"/>
    <m/>
    <m/>
    <m/>
    <m/>
    <m/>
    <m/>
    <m/>
    <m/>
    <m/>
    <m/>
    <m/>
    <x v="3"/>
    <d v="2015-12-28T23:10:00"/>
    <s v="Patch Set 8:\n\nPatchset Created: CI job has been scheduled."/>
    <m/>
    <m/>
    <s v="renwei.wu@intel.com"/>
    <x v="2"/>
    <x v="0"/>
    <s v=""/>
    <x v="2"/>
    <s v=""/>
    <s v=""/>
    <s v=""/>
    <s v=""/>
    <s v=""/>
    <s v=""/>
    <s v=""/>
    <x v="0"/>
    <x v="0"/>
    <x v="0"/>
  </r>
  <r>
    <x v="48"/>
    <m/>
    <m/>
    <m/>
    <m/>
    <m/>
    <m/>
    <m/>
    <m/>
    <m/>
    <m/>
    <m/>
    <x v="12"/>
    <d v="2015-12-28T23:15:00"/>
    <s v="Patch Set 8: Code-Review+1"/>
    <m/>
    <m/>
    <s v="renwei.wu@intel.com"/>
    <x v="2"/>
    <x v="1"/>
    <s v=""/>
    <x v="2"/>
    <s v=""/>
    <s v=""/>
    <s v=""/>
    <s v=""/>
    <s v=""/>
    <s v=""/>
    <s v=""/>
    <x v="0"/>
    <x v="0"/>
    <x v="0"/>
  </r>
  <r>
    <x v="48"/>
    <m/>
    <m/>
    <m/>
    <m/>
    <m/>
    <m/>
    <m/>
    <m/>
    <m/>
    <m/>
    <m/>
    <x v="1"/>
    <d v="2015-12-29T16:03:00"/>
    <s v="Patch Set 8: Code-Review-1\n\n(1 comment)"/>
    <s v="line811 :&quot;please use the macro meteringRectangle()\n\nin common/cameraWindow.cpp\n\ncheck how we did it in ipu4/ControlUnit.cpp&quot;"/>
    <m/>
    <s v="renwei.wu@intel.com"/>
    <x v="2"/>
    <x v="1"/>
    <s v=""/>
    <x v="2"/>
    <s v=""/>
    <s v=""/>
    <s v=""/>
    <s v=""/>
    <s v=""/>
    <s v=""/>
    <s v=""/>
    <x v="1"/>
    <x v="0"/>
    <x v="0"/>
  </r>
  <r>
    <x v="48"/>
    <m/>
    <m/>
    <m/>
    <m/>
    <m/>
    <m/>
    <m/>
    <m/>
    <m/>
    <m/>
    <m/>
    <x v="3"/>
    <d v="2015-12-29T16:51:00"/>
    <s v="Uploaded patch set 9."/>
    <m/>
    <m/>
    <s v="renwei.wu@intel.com"/>
    <x v="2"/>
    <x v="0"/>
    <s v=""/>
    <x v="2"/>
    <s v=""/>
    <s v=""/>
    <s v=""/>
    <s v=""/>
    <s v=""/>
    <s v=""/>
    <s v=""/>
    <x v="0"/>
    <x v="0"/>
    <x v="0"/>
  </r>
  <r>
    <x v="48"/>
    <m/>
    <m/>
    <m/>
    <m/>
    <m/>
    <m/>
    <m/>
    <m/>
    <m/>
    <m/>
    <m/>
    <x v="3"/>
    <d v="2015-12-29T16:51:00"/>
    <s v="Patch Set 9:\n\nPatchset Created: CI job has been scheduled."/>
    <m/>
    <m/>
    <s v="renwei.wu@intel.com"/>
    <x v="2"/>
    <x v="0"/>
    <s v=""/>
    <x v="2"/>
    <s v=""/>
    <s v=""/>
    <s v=""/>
    <s v=""/>
    <s v=""/>
    <s v=""/>
    <s v=""/>
    <x v="0"/>
    <x v="0"/>
    <x v="0"/>
  </r>
  <r>
    <x v="48"/>
    <m/>
    <m/>
    <m/>
    <m/>
    <m/>
    <m/>
    <m/>
    <m/>
    <m/>
    <m/>
    <m/>
    <x v="7"/>
    <d v="2015-12-29T17:07:00"/>
    <s v="Patch Set 8: Code-Review+1"/>
    <m/>
    <m/>
    <s v="renwei.wu@intel.com"/>
    <x v="2"/>
    <x v="4"/>
    <s v=""/>
    <x v="2"/>
    <s v=""/>
    <s v=""/>
    <s v=""/>
    <s v=""/>
    <s v=""/>
    <s v=""/>
    <s v=""/>
    <x v="0"/>
    <x v="0"/>
    <x v="0"/>
  </r>
  <r>
    <x v="48"/>
    <m/>
    <m/>
    <m/>
    <m/>
    <m/>
    <m/>
    <m/>
    <m/>
    <m/>
    <m/>
    <m/>
    <x v="12"/>
    <d v="2015-12-29T17:14:00"/>
    <s v="Patch Set 9: Code-Review+1"/>
    <m/>
    <m/>
    <s v="renwei.wu@intel.com"/>
    <x v="2"/>
    <x v="1"/>
    <s v=""/>
    <x v="2"/>
    <s v=""/>
    <s v=""/>
    <s v=""/>
    <s v=""/>
    <s v=""/>
    <s v=""/>
    <s v=""/>
    <x v="0"/>
    <x v="0"/>
    <x v="0"/>
  </r>
  <r>
    <x v="48"/>
    <m/>
    <m/>
    <m/>
    <m/>
    <m/>
    <m/>
    <m/>
    <m/>
    <m/>
    <m/>
    <m/>
    <x v="34"/>
    <d v="2015-12-29T17:29:00"/>
    <s v="Patch Set 9: Code-Review+1"/>
    <m/>
    <m/>
    <s v="renwei.wu@intel.com"/>
    <x v="2"/>
    <x v="3"/>
    <s v=""/>
    <x v="2"/>
    <s v=""/>
    <s v=""/>
    <s v=""/>
    <s v=""/>
    <s v=""/>
    <s v=""/>
    <s v=""/>
    <x v="0"/>
    <x v="0"/>
    <x v="0"/>
  </r>
  <r>
    <x v="48"/>
    <m/>
    <m/>
    <m/>
    <m/>
    <m/>
    <m/>
    <m/>
    <m/>
    <m/>
    <m/>
    <m/>
    <x v="14"/>
    <d v="2015-12-30T13:45:00"/>
    <s v="Patch Set 9: Validation-Android+1\n\nreceive smoke test"/>
    <m/>
    <m/>
    <s v="renwei.wu@intel.com"/>
    <x v="2"/>
    <x v="5"/>
    <s v=""/>
    <x v="2"/>
    <s v=""/>
    <s v=""/>
    <s v=""/>
    <s v=""/>
    <s v=""/>
    <s v=""/>
    <s v=""/>
    <x v="0"/>
    <x v="1"/>
    <x v="0"/>
  </r>
  <r>
    <x v="48"/>
    <m/>
    <m/>
    <m/>
    <m/>
    <m/>
    <m/>
    <m/>
    <m/>
    <m/>
    <m/>
    <m/>
    <x v="3"/>
    <d v="2015-12-30T13:47:00"/>
    <s v="Patch Set 9: Code-Review+1"/>
    <m/>
    <m/>
    <s v="renwei.wu@intel.com"/>
    <x v="2"/>
    <x v="0"/>
    <s v=""/>
    <x v="2"/>
    <s v=""/>
    <s v=""/>
    <s v=""/>
    <s v=""/>
    <s v=""/>
    <s v=""/>
    <s v=""/>
    <x v="0"/>
    <x v="0"/>
    <x v="0"/>
  </r>
  <r>
    <x v="48"/>
    <m/>
    <m/>
    <m/>
    <m/>
    <m/>
    <m/>
    <m/>
    <m/>
    <m/>
    <m/>
    <m/>
    <x v="22"/>
    <d v="2015-12-30T13:48:00"/>
    <s v="Patch Set 9: Approver+1"/>
    <m/>
    <m/>
    <s v="renwei.wu@intel.com"/>
    <x v="2"/>
    <x v="2"/>
    <s v=""/>
    <x v="2"/>
    <s v=""/>
    <s v=""/>
    <s v=""/>
    <s v=""/>
    <s v=""/>
    <s v=""/>
    <s v=""/>
    <x v="0"/>
    <x v="0"/>
    <x v="0"/>
  </r>
  <r>
    <x v="48"/>
    <m/>
    <m/>
    <m/>
    <m/>
    <m/>
    <m/>
    <m/>
    <m/>
    <m/>
    <m/>
    <m/>
    <x v="9"/>
    <d v="2015-12-30T14:06:00"/>
    <s v="Patch Set 9: Integrator+1\n\nIntegrator +1; patch will be add to PT; please no change now"/>
    <m/>
    <m/>
    <s v="renwei.wu@intel.com"/>
    <x v="2"/>
    <x v="5"/>
    <s v=""/>
    <x v="2"/>
    <s v=""/>
    <s v=""/>
    <s v=""/>
    <s v=""/>
    <s v=""/>
    <s v=""/>
    <s v=""/>
    <x v="0"/>
    <x v="1"/>
    <x v="0"/>
  </r>
  <r>
    <x v="48"/>
    <m/>
    <m/>
    <m/>
    <m/>
    <m/>
    <m/>
    <m/>
    <m/>
    <m/>
    <m/>
    <m/>
    <x v="9"/>
    <d v="2015-12-30T17:51:00"/>
    <s v="Patch Set 9:\n\nPassed Klocwork code analyzing test. No CRITICAL issue in this patch. Auto reported by kwscan@andr-val-srv0.bj.intel.com"/>
    <m/>
    <m/>
    <s v="renwei.wu@intel.com"/>
    <x v="2"/>
    <x v="5"/>
    <s v=""/>
    <x v="2"/>
    <s v=""/>
    <s v=""/>
    <s v=""/>
    <s v=""/>
    <s v=""/>
    <s v=""/>
    <s v=""/>
    <x v="0"/>
    <x v="0"/>
    <x v="0"/>
  </r>
  <r>
    <x v="48"/>
    <m/>
    <m/>
    <m/>
    <m/>
    <m/>
    <m/>
    <m/>
    <m/>
    <m/>
    <m/>
    <m/>
    <x v="9"/>
    <d v="2015-12-30T19:04:00"/>
    <s v="Patch Set 9:\n\nPassed Klocwork code analyzing test. No CRITICAL issue in this patch. Auto reported by kwscan@psi-build5.bj.intel.com"/>
    <m/>
    <m/>
    <s v="renwei.wu@intel.com"/>
    <x v="2"/>
    <x v="5"/>
    <s v=""/>
    <x v="2"/>
    <s v=""/>
    <s v=""/>
    <s v=""/>
    <s v=""/>
    <s v=""/>
    <s v=""/>
    <s v=""/>
    <x v="0"/>
    <x v="0"/>
    <x v="0"/>
  </r>
  <r>
    <x v="48"/>
    <m/>
    <m/>
    <m/>
    <m/>
    <m/>
    <m/>
    <m/>
    <m/>
    <m/>
    <m/>
    <m/>
    <x v="9"/>
    <d v="2015-12-30T20:04:00"/>
    <s v="Patch Set 9:\n\nPassed Klocwork code analyzing test. No CRITICAL issue in this patch. Auto reported by kwscan@kw-srv2.bj.intel.com"/>
    <m/>
    <m/>
    <s v="renwei.wu@intel.com"/>
    <x v="2"/>
    <x v="5"/>
    <s v=""/>
    <x v="2"/>
    <s v=""/>
    <s v=""/>
    <s v=""/>
    <s v=""/>
    <s v=""/>
    <s v=""/>
    <s v=""/>
    <x v="0"/>
    <x v="0"/>
    <x v="0"/>
  </r>
  <r>
    <x v="48"/>
    <m/>
    <m/>
    <m/>
    <m/>
    <m/>
    <m/>
    <m/>
    <m/>
    <m/>
    <m/>
    <m/>
    <x v="9"/>
    <d v="2015-12-30T21:00:00"/>
    <s v="Patch Set 9:\n\nPassed Klocwork code analyzing test. No CRITICAL issue in this patch. Auto reported by kwscan@psi-build5.bj.intel.com"/>
    <m/>
    <m/>
    <s v="renwei.wu@intel.com"/>
    <x v="2"/>
    <x v="5"/>
    <s v=""/>
    <x v="2"/>
    <s v=""/>
    <s v=""/>
    <s v=""/>
    <s v=""/>
    <s v=""/>
    <s v=""/>
    <s v=""/>
    <x v="0"/>
    <x v="0"/>
    <x v="0"/>
  </r>
  <r>
    <x v="48"/>
    <m/>
    <m/>
    <m/>
    <m/>
    <m/>
    <m/>
    <m/>
    <m/>
    <m/>
    <m/>
    <m/>
    <x v="9"/>
    <d v="2015-12-30T22:40:00"/>
    <s v="Patch Set 9:\n\nPassed Klocwork code analyzing test. No CRITICAL issue in this patch. Auto reported by kwscan@kw-srv2.bj.intel.com"/>
    <m/>
    <m/>
    <s v="renwei.wu@intel.com"/>
    <x v="2"/>
    <x v="5"/>
    <s v=""/>
    <x v="2"/>
    <s v=""/>
    <s v=""/>
    <s v=""/>
    <s v=""/>
    <s v=""/>
    <s v=""/>
    <s v=""/>
    <x v="0"/>
    <x v="0"/>
    <x v="0"/>
  </r>
  <r>
    <x v="48"/>
    <m/>
    <m/>
    <m/>
    <m/>
    <m/>
    <m/>
    <m/>
    <m/>
    <m/>
    <m/>
    <m/>
    <x v="9"/>
    <d v="2015-12-31T14:32:00"/>
    <s v="Patch Set 9: Integrator-1\n\nPIT test failed with regression 1504132580"/>
    <m/>
    <m/>
    <s v="renwei.wu@intel.com"/>
    <x v="2"/>
    <x v="5"/>
    <s v=""/>
    <x v="2"/>
    <s v=""/>
    <s v=""/>
    <s v=""/>
    <s v=""/>
    <s v=""/>
    <s v=""/>
    <s v=""/>
    <x v="0"/>
    <x v="1"/>
    <x v="0"/>
  </r>
  <r>
    <x v="48"/>
    <m/>
    <m/>
    <m/>
    <m/>
    <m/>
    <m/>
    <m/>
    <m/>
    <m/>
    <m/>
    <m/>
    <x v="3"/>
    <d v="2016-01-03T20:15:00"/>
    <s v="Uploaded patch set 10."/>
    <m/>
    <m/>
    <s v="renwei.wu@intel.com"/>
    <x v="2"/>
    <x v="0"/>
    <s v=""/>
    <x v="2"/>
    <s v=""/>
    <s v=""/>
    <s v=""/>
    <s v=""/>
    <s v=""/>
    <s v=""/>
    <s v=""/>
    <x v="0"/>
    <x v="0"/>
    <x v="0"/>
  </r>
  <r>
    <x v="48"/>
    <m/>
    <m/>
    <m/>
    <m/>
    <m/>
    <m/>
    <m/>
    <m/>
    <m/>
    <m/>
    <m/>
    <x v="3"/>
    <d v="2016-01-03T20:15:00"/>
    <s v="Patch Set 10:\n\nPatchset Created: CI job has been scheduled."/>
    <m/>
    <m/>
    <s v="renwei.wu@intel.com"/>
    <x v="2"/>
    <x v="0"/>
    <s v=""/>
    <x v="2"/>
    <s v=""/>
    <s v=""/>
    <s v=""/>
    <s v=""/>
    <s v=""/>
    <s v=""/>
    <s v=""/>
    <x v="0"/>
    <x v="0"/>
    <x v="0"/>
  </r>
  <r>
    <x v="48"/>
    <m/>
    <m/>
    <m/>
    <m/>
    <m/>
    <m/>
    <m/>
    <m/>
    <m/>
    <m/>
    <m/>
    <x v="3"/>
    <d v="2016-01-04T13:08:00"/>
    <s v="Uploaded patch set 11."/>
    <m/>
    <m/>
    <s v="renwei.wu@intel.com"/>
    <x v="2"/>
    <x v="0"/>
    <s v=""/>
    <x v="2"/>
    <s v=""/>
    <s v=""/>
    <s v=""/>
    <s v=""/>
    <s v=""/>
    <s v=""/>
    <s v=""/>
    <x v="0"/>
    <x v="0"/>
    <x v="0"/>
  </r>
  <r>
    <x v="48"/>
    <m/>
    <m/>
    <m/>
    <m/>
    <m/>
    <m/>
    <m/>
    <m/>
    <m/>
    <m/>
    <m/>
    <x v="3"/>
    <d v="2016-01-04T13:08:00"/>
    <s v="Patch Set 11:\n\nPatchset Created: CI job has been scheduled."/>
    <m/>
    <m/>
    <s v="renwei.wu@intel.com"/>
    <x v="2"/>
    <x v="0"/>
    <s v=""/>
    <x v="2"/>
    <s v=""/>
    <s v=""/>
    <s v=""/>
    <s v=""/>
    <s v=""/>
    <s v=""/>
    <s v=""/>
    <x v="0"/>
    <x v="0"/>
    <x v="0"/>
  </r>
  <r>
    <x v="48"/>
    <m/>
    <m/>
    <m/>
    <m/>
    <m/>
    <m/>
    <m/>
    <m/>
    <m/>
    <m/>
    <m/>
    <x v="3"/>
    <d v="2016-01-04T13:24:00"/>
    <s v="Patch Set 11:\n\nonly CIF part is updated in patchset 10&amp;11"/>
    <m/>
    <m/>
    <s v="renwei.wu@intel.com"/>
    <x v="2"/>
    <x v="0"/>
    <s v=""/>
    <x v="2"/>
    <s v=""/>
    <s v=""/>
    <s v=""/>
    <s v=""/>
    <s v=""/>
    <s v=""/>
    <s v=""/>
    <x v="0"/>
    <x v="0"/>
    <x v="0"/>
  </r>
  <r>
    <x v="48"/>
    <m/>
    <m/>
    <m/>
    <m/>
    <m/>
    <m/>
    <m/>
    <m/>
    <m/>
    <m/>
    <m/>
    <x v="3"/>
    <d v="2016-01-04T13:24:00"/>
    <s v="Patch Set 11: Code-Review+1"/>
    <m/>
    <m/>
    <s v="renwei.wu@intel.com"/>
    <x v="2"/>
    <x v="0"/>
    <s v=""/>
    <x v="2"/>
    <s v=""/>
    <s v=""/>
    <s v=""/>
    <s v=""/>
    <s v=""/>
    <s v=""/>
    <s v=""/>
    <x v="0"/>
    <x v="0"/>
    <x v="0"/>
  </r>
  <r>
    <x v="48"/>
    <m/>
    <m/>
    <m/>
    <m/>
    <m/>
    <m/>
    <m/>
    <m/>
    <m/>
    <m/>
    <m/>
    <x v="22"/>
    <d v="2016-01-04T13:58:00"/>
    <s v="Patch Set 11: Approver+1 Code-Review+1"/>
    <m/>
    <m/>
    <s v="renwei.wu@intel.com"/>
    <x v="2"/>
    <x v="2"/>
    <s v=""/>
    <x v="2"/>
    <s v=""/>
    <s v=""/>
    <s v=""/>
    <s v=""/>
    <s v=""/>
    <s v=""/>
    <s v=""/>
    <x v="0"/>
    <x v="0"/>
    <x v="0"/>
  </r>
  <r>
    <x v="48"/>
    <m/>
    <m/>
    <m/>
    <m/>
    <m/>
    <m/>
    <m/>
    <m/>
    <m/>
    <m/>
    <m/>
    <x v="22"/>
    <d v="2016-01-04T13:59:00"/>
    <s v="Patch Set 11: -Approver"/>
    <m/>
    <m/>
    <s v="renwei.wu@intel.com"/>
    <x v="2"/>
    <x v="2"/>
    <s v=""/>
    <x v="2"/>
    <s v=""/>
    <s v=""/>
    <s v=""/>
    <s v=""/>
    <s v=""/>
    <s v=""/>
    <s v=""/>
    <x v="0"/>
    <x v="0"/>
    <x v="0"/>
  </r>
  <r>
    <x v="48"/>
    <m/>
    <m/>
    <m/>
    <m/>
    <m/>
    <m/>
    <m/>
    <m/>
    <m/>
    <m/>
    <m/>
    <x v="23"/>
    <d v="2016-01-04T13:59:00"/>
    <s v="Patch Set 11: Code-Review+1"/>
    <m/>
    <m/>
    <s v="renwei.wu@intel.com"/>
    <x v="2"/>
    <x v="2"/>
    <s v=""/>
    <x v="2"/>
    <s v=""/>
    <s v=""/>
    <s v=""/>
    <s v=""/>
    <s v=""/>
    <s v=""/>
    <s v=""/>
    <x v="0"/>
    <x v="0"/>
    <x v="0"/>
  </r>
  <r>
    <x v="48"/>
    <m/>
    <m/>
    <m/>
    <m/>
    <m/>
    <m/>
    <m/>
    <m/>
    <m/>
    <m/>
    <m/>
    <x v="14"/>
    <d v="2016-01-04T14:00:00"/>
    <s v="Patch Set 11: Validation-Android+1\n\nreceive smoke test"/>
    <m/>
    <m/>
    <s v="renwei.wu@intel.com"/>
    <x v="2"/>
    <x v="5"/>
    <s v=""/>
    <x v="2"/>
    <s v=""/>
    <s v=""/>
    <s v=""/>
    <s v=""/>
    <s v=""/>
    <s v=""/>
    <s v=""/>
    <x v="0"/>
    <x v="1"/>
    <x v="0"/>
  </r>
  <r>
    <x v="48"/>
    <m/>
    <m/>
    <m/>
    <m/>
    <m/>
    <m/>
    <m/>
    <m/>
    <m/>
    <m/>
    <m/>
    <x v="22"/>
    <d v="2016-01-04T14:00:00"/>
    <s v="Patch Set 11: Approver+1"/>
    <m/>
    <m/>
    <s v="renwei.wu@intel.com"/>
    <x v="2"/>
    <x v="2"/>
    <s v=""/>
    <x v="2"/>
    <s v=""/>
    <s v=""/>
    <s v=""/>
    <s v=""/>
    <s v=""/>
    <s v=""/>
    <s v=""/>
    <x v="0"/>
    <x v="0"/>
    <x v="0"/>
  </r>
  <r>
    <x v="48"/>
    <m/>
    <m/>
    <m/>
    <m/>
    <m/>
    <m/>
    <m/>
    <m/>
    <m/>
    <m/>
    <m/>
    <x v="6"/>
    <d v="2016-01-04T14:48:00"/>
    <s v="Patch Set 11: Code-Review+1\n\nOnly reviewed the v4l2dev part; which seems to be fine."/>
    <m/>
    <m/>
    <s v="renwei.wu@intel.com"/>
    <x v="2"/>
    <x v="1"/>
    <s v=""/>
    <x v="2"/>
    <s v=""/>
    <s v=""/>
    <s v=""/>
    <s v=""/>
    <s v=""/>
    <s v=""/>
    <s v=""/>
    <x v="0"/>
    <x v="0"/>
    <x v="0"/>
  </r>
  <r>
    <x v="48"/>
    <m/>
    <m/>
    <m/>
    <m/>
    <m/>
    <m/>
    <m/>
    <m/>
    <m/>
    <m/>
    <m/>
    <x v="9"/>
    <d v="2016-01-04T14:55:00"/>
    <s v="Patch Set 11: Integrator+1\n\nIntegrator +1; patch will be add to PT; please no change now"/>
    <m/>
    <m/>
    <s v="renwei.wu@intel.com"/>
    <x v="2"/>
    <x v="5"/>
    <s v=""/>
    <x v="2"/>
    <s v=""/>
    <s v=""/>
    <s v=""/>
    <s v=""/>
    <s v=""/>
    <s v=""/>
    <s v=""/>
    <x v="0"/>
    <x v="1"/>
    <x v="0"/>
  </r>
  <r>
    <x v="48"/>
    <m/>
    <m/>
    <m/>
    <m/>
    <m/>
    <m/>
    <m/>
    <m/>
    <m/>
    <m/>
    <m/>
    <x v="12"/>
    <d v="2016-01-04T17:10:00"/>
    <s v="Patch Set 11: Code-Review+1"/>
    <m/>
    <m/>
    <s v="renwei.wu@intel.com"/>
    <x v="2"/>
    <x v="1"/>
    <s v=""/>
    <x v="2"/>
    <s v=""/>
    <s v=""/>
    <s v=""/>
    <s v=""/>
    <s v=""/>
    <s v=""/>
    <s v=""/>
    <x v="0"/>
    <x v="0"/>
    <x v="0"/>
  </r>
  <r>
    <x v="48"/>
    <m/>
    <m/>
    <m/>
    <m/>
    <m/>
    <m/>
    <m/>
    <m/>
    <m/>
    <m/>
    <m/>
    <x v="9"/>
    <d v="2016-01-04T19:18:00"/>
    <s v="Patch Set 11:\n\nPassed Klocwork code analyzing test. No CRITICAL issue in this patch. Auto reported by kwscan@andr-val-srv0.bj.intel.com"/>
    <m/>
    <m/>
    <s v="renwei.wu@intel.com"/>
    <x v="2"/>
    <x v="5"/>
    <s v=""/>
    <x v="2"/>
    <s v=""/>
    <s v=""/>
    <s v=""/>
    <s v=""/>
    <s v=""/>
    <s v=""/>
    <s v=""/>
    <x v="0"/>
    <x v="0"/>
    <x v="0"/>
  </r>
  <r>
    <x v="48"/>
    <m/>
    <m/>
    <m/>
    <m/>
    <m/>
    <m/>
    <m/>
    <m/>
    <m/>
    <m/>
    <m/>
    <x v="9"/>
    <d v="2016-01-04T19:31:00"/>
    <s v="Patch Set 11:\n\nPassed Klocwork code analyzing test. No CRITICAL issue in this patch. Auto reported by kwscan@psi-build5.bj.intel.com"/>
    <m/>
    <m/>
    <s v="renwei.wu@intel.com"/>
    <x v="2"/>
    <x v="5"/>
    <s v=""/>
    <x v="2"/>
    <s v=""/>
    <s v=""/>
    <s v=""/>
    <s v=""/>
    <s v=""/>
    <s v=""/>
    <s v=""/>
    <x v="0"/>
    <x v="0"/>
    <x v="0"/>
  </r>
  <r>
    <x v="48"/>
    <m/>
    <m/>
    <m/>
    <m/>
    <m/>
    <m/>
    <m/>
    <m/>
    <m/>
    <m/>
    <m/>
    <x v="9"/>
    <d v="2016-01-04T22:26:00"/>
    <s v="Patch Set 11:\n\nPassed Klocwork code analyzing test. No CRITICAL issue in this patch. Auto reported by kwscan@kw-srv2.bj.intel.com"/>
    <m/>
    <m/>
    <s v="renwei.wu@intel.com"/>
    <x v="2"/>
    <x v="5"/>
    <s v=""/>
    <x v="2"/>
    <s v=""/>
    <s v=""/>
    <s v=""/>
    <s v=""/>
    <s v=""/>
    <s v=""/>
    <s v=""/>
    <x v="0"/>
    <x v="0"/>
    <x v="0"/>
  </r>
  <r>
    <x v="48"/>
    <m/>
    <m/>
    <m/>
    <m/>
    <m/>
    <m/>
    <m/>
    <m/>
    <m/>
    <m/>
    <m/>
    <x v="9"/>
    <d v="2016-01-05T01:02:00"/>
    <s v="Patch Set 11:\n\nPassed Klocwork code analyzing test. No CRITICAL issue in this patch. Auto reported by kwscan@kw-srv2.bj.intel.com"/>
    <m/>
    <m/>
    <s v="renwei.wu@intel.com"/>
    <x v="2"/>
    <x v="5"/>
    <s v=""/>
    <x v="2"/>
    <s v=""/>
    <s v=""/>
    <s v=""/>
    <s v=""/>
    <s v=""/>
    <s v=""/>
    <s v=""/>
    <x v="0"/>
    <x v="0"/>
    <x v="0"/>
  </r>
  <r>
    <x v="48"/>
    <m/>
    <m/>
    <m/>
    <m/>
    <m/>
    <m/>
    <m/>
    <m/>
    <m/>
    <m/>
    <m/>
    <x v="9"/>
    <d v="2016-01-05T11:14:00"/>
    <s v="Patch Set 11: Integrator-1\n\nPIT test failed with regression"/>
    <m/>
    <m/>
    <s v="renwei.wu@intel.com"/>
    <x v="2"/>
    <x v="5"/>
    <s v=""/>
    <x v="2"/>
    <s v=""/>
    <s v=""/>
    <s v=""/>
    <s v=""/>
    <s v=""/>
    <s v=""/>
    <s v=""/>
    <x v="0"/>
    <x v="1"/>
    <x v="0"/>
  </r>
  <r>
    <x v="48"/>
    <m/>
    <m/>
    <m/>
    <m/>
    <m/>
    <m/>
    <m/>
    <m/>
    <m/>
    <m/>
    <m/>
    <x v="9"/>
    <d v="2016-01-05T11:39:00"/>
    <s v="Patch Set 11:\n\nPassed Klocwork code analyzing test. No CRITICAL issue in this patch. Auto reported by kwscan@psi-build5.bj.intel.com"/>
    <m/>
    <m/>
    <s v="renwei.wu@intel.com"/>
    <x v="2"/>
    <x v="5"/>
    <s v=""/>
    <x v="2"/>
    <s v=""/>
    <s v=""/>
    <s v=""/>
    <s v=""/>
    <s v=""/>
    <s v=""/>
    <s v=""/>
    <x v="0"/>
    <x v="0"/>
    <x v="0"/>
  </r>
  <r>
    <x v="48"/>
    <m/>
    <m/>
    <m/>
    <m/>
    <m/>
    <m/>
    <m/>
    <m/>
    <m/>
    <m/>
    <m/>
    <x v="2"/>
    <d v="2016-01-07T23:04:00"/>
    <s v="Patch Set 11: Code-Review+1"/>
    <m/>
    <m/>
    <s v="renwei.wu@intel.com"/>
    <x v="2"/>
    <x v="1"/>
    <s v=""/>
    <x v="2"/>
    <s v=""/>
    <s v=""/>
    <s v=""/>
    <s v=""/>
    <s v=""/>
    <s v=""/>
    <s v=""/>
    <x v="0"/>
    <x v="0"/>
    <x v="0"/>
  </r>
  <r>
    <x v="48"/>
    <m/>
    <m/>
    <m/>
    <m/>
    <m/>
    <m/>
    <m/>
    <m/>
    <m/>
    <m/>
    <m/>
    <x v="1"/>
    <d v="2016-01-08T17:03:00"/>
    <s v="Patch Set 11: Code-Review+1"/>
    <m/>
    <m/>
    <s v="renwei.wu@intel.com"/>
    <x v="2"/>
    <x v="1"/>
    <s v=""/>
    <x v="2"/>
    <s v=""/>
    <s v=""/>
    <s v=""/>
    <s v=""/>
    <s v=""/>
    <s v=""/>
    <s v=""/>
    <x v="0"/>
    <x v="0"/>
    <x v="0"/>
  </r>
  <r>
    <x v="48"/>
    <m/>
    <m/>
    <m/>
    <m/>
    <m/>
    <m/>
    <m/>
    <m/>
    <m/>
    <m/>
    <m/>
    <x v="3"/>
    <d v="2016-01-11T10:11:00"/>
    <s v="Uploaded patch set 12."/>
    <m/>
    <m/>
    <s v="renwei.wu@intel.com"/>
    <x v="2"/>
    <x v="0"/>
    <s v=""/>
    <x v="2"/>
    <s v=""/>
    <s v=""/>
    <s v=""/>
    <s v=""/>
    <s v=""/>
    <s v=""/>
    <s v=""/>
    <x v="0"/>
    <x v="0"/>
    <x v="0"/>
  </r>
  <r>
    <x v="48"/>
    <m/>
    <m/>
    <m/>
    <m/>
    <m/>
    <m/>
    <m/>
    <m/>
    <m/>
    <m/>
    <m/>
    <x v="3"/>
    <d v="2016-01-11T10:11:00"/>
    <s v="Patch Set 12:\n\nPatchset Created: CI job has been scheduled."/>
    <m/>
    <m/>
    <s v="renwei.wu@intel.com"/>
    <x v="2"/>
    <x v="0"/>
    <s v=""/>
    <x v="2"/>
    <s v=""/>
    <s v=""/>
    <s v=""/>
    <s v=""/>
    <s v=""/>
    <s v=""/>
    <s v=""/>
    <x v="0"/>
    <x v="0"/>
    <x v="0"/>
  </r>
  <r>
    <x v="48"/>
    <m/>
    <m/>
    <m/>
    <m/>
    <m/>
    <m/>
    <m/>
    <m/>
    <m/>
    <m/>
    <m/>
    <x v="23"/>
    <d v="2016-01-11T13:20:00"/>
    <s v="Patch Set 12: Code-Review+1\n\n(2 comments)"/>
    <s v="line814 :&quot;Here we use cropWindow as result AeRegions; instead if the reportedAeRegion; what difference between them?&quot; line827 :&quot;Here we use cropWindow as result AfRegions; instead if the reportedAfRegion; what difference between them?&quot;"/>
    <m/>
    <s v="renwei.wu@intel.com"/>
    <x v="2"/>
    <x v="2"/>
    <s v=""/>
    <x v="2"/>
    <s v=""/>
    <s v=""/>
    <s v=""/>
    <s v=""/>
    <s v=""/>
    <s v=""/>
    <s v=""/>
    <x v="0"/>
    <x v="0"/>
    <x v="0"/>
  </r>
  <r>
    <x v="48"/>
    <m/>
    <m/>
    <m/>
    <m/>
    <m/>
    <m/>
    <m/>
    <m/>
    <m/>
    <m/>
    <m/>
    <x v="3"/>
    <d v="2016-01-11T16:17:00"/>
    <s v="Patch Set 12: Code-Review-1"/>
    <m/>
    <m/>
    <s v="renwei.wu@intel.com"/>
    <x v="2"/>
    <x v="0"/>
    <s v=""/>
    <x v="2"/>
    <s v=""/>
    <s v=""/>
    <s v=""/>
    <s v=""/>
    <s v=""/>
    <s v=""/>
    <s v=""/>
    <x v="1"/>
    <x v="0"/>
    <x v="0"/>
  </r>
  <r>
    <x v="48"/>
    <m/>
    <m/>
    <m/>
    <m/>
    <m/>
    <m/>
    <m/>
    <m/>
    <m/>
    <m/>
    <m/>
    <x v="3"/>
    <d v="2016-01-11T22:13:00"/>
    <s v="Uploaded patch set 13."/>
    <m/>
    <m/>
    <s v="renwei.wu@intel.com"/>
    <x v="2"/>
    <x v="0"/>
    <s v=""/>
    <x v="2"/>
    <s v=""/>
    <s v=""/>
    <s v=""/>
    <s v=""/>
    <s v=""/>
    <s v=""/>
    <s v=""/>
    <x v="0"/>
    <x v="0"/>
    <x v="0"/>
  </r>
  <r>
    <x v="48"/>
    <m/>
    <m/>
    <m/>
    <m/>
    <m/>
    <m/>
    <m/>
    <m/>
    <m/>
    <m/>
    <m/>
    <x v="3"/>
    <d v="2016-01-11T22:13:00"/>
    <s v="Patch Set 13:\n\nPatchset Created: CI job has been scheduled."/>
    <m/>
    <m/>
    <s v="renwei.wu@intel.com"/>
    <x v="2"/>
    <x v="0"/>
    <s v=""/>
    <x v="2"/>
    <s v=""/>
    <s v=""/>
    <s v=""/>
    <s v=""/>
    <s v=""/>
    <s v=""/>
    <s v=""/>
    <x v="0"/>
    <x v="0"/>
    <x v="0"/>
  </r>
  <r>
    <x v="48"/>
    <m/>
    <m/>
    <m/>
    <m/>
    <m/>
    <m/>
    <m/>
    <m/>
    <m/>
    <m/>
    <m/>
    <x v="3"/>
    <d v="2016-01-11T22:15:00"/>
    <s v="Patch Set 13: Code-Review+1\n\nmove CIF part to another path; this patch only add one interface"/>
    <m/>
    <m/>
    <s v="renwei.wu@intel.com"/>
    <x v="2"/>
    <x v="0"/>
    <s v=""/>
    <x v="2"/>
    <s v=""/>
    <s v=""/>
    <s v=""/>
    <s v=""/>
    <s v=""/>
    <s v=""/>
    <s v=""/>
    <x v="0"/>
    <x v="0"/>
    <x v="0"/>
  </r>
  <r>
    <x v="48"/>
    <m/>
    <m/>
    <m/>
    <m/>
    <m/>
    <m/>
    <m/>
    <m/>
    <m/>
    <m/>
    <m/>
    <x v="3"/>
    <d v="2016-01-11T22:35:00"/>
    <s v="Uploaded patch set 14: Patch Set 13 was rebased."/>
    <m/>
    <m/>
    <s v="renwei.wu@intel.com"/>
    <x v="2"/>
    <x v="0"/>
    <s v=""/>
    <x v="2"/>
    <s v=""/>
    <s v=""/>
    <s v=""/>
    <s v=""/>
    <s v=""/>
    <s v=""/>
    <s v=""/>
    <x v="0"/>
    <x v="0"/>
    <x v="0"/>
  </r>
  <r>
    <x v="48"/>
    <m/>
    <m/>
    <m/>
    <m/>
    <m/>
    <m/>
    <m/>
    <m/>
    <m/>
    <m/>
    <m/>
    <x v="3"/>
    <d v="2016-01-11T22:35:00"/>
    <s v="Patch Set 14:\n\nPatchset Created: CI job has been scheduled."/>
    <m/>
    <m/>
    <s v="renwei.wu@intel.com"/>
    <x v="2"/>
    <x v="0"/>
    <s v=""/>
    <x v="2"/>
    <s v=""/>
    <s v=""/>
    <s v=""/>
    <s v=""/>
    <s v=""/>
    <s v=""/>
    <s v=""/>
    <x v="0"/>
    <x v="0"/>
    <x v="0"/>
  </r>
  <r>
    <x v="48"/>
    <m/>
    <m/>
    <m/>
    <m/>
    <m/>
    <m/>
    <m/>
    <m/>
    <m/>
    <m/>
    <m/>
    <x v="23"/>
    <d v="2016-01-14T15:43:00"/>
    <s v="Patch Set 14: Code-Review-1\n\n(1 comment)"/>
    <s v="line9 :&quot;the code is ok for me; Just in comments do it need add c3:common or c3:v4l2dev.\nand \nreturn it to framework&quot;"/>
    <m/>
    <s v="renwei.wu@intel.com"/>
    <x v="2"/>
    <x v="2"/>
    <s v=""/>
    <x v="2"/>
    <s v=""/>
    <s v=""/>
    <s v=""/>
    <s v=""/>
    <s v=""/>
    <s v=""/>
    <s v=""/>
    <x v="1"/>
    <x v="0"/>
    <x v="0"/>
  </r>
  <r>
    <x v="48"/>
    <m/>
    <m/>
    <m/>
    <m/>
    <m/>
    <m/>
    <m/>
    <m/>
    <m/>
    <m/>
    <m/>
    <x v="16"/>
    <d v="2016-01-15T11:03:00"/>
    <s v="Patch Set 14: Code-Review-1\n\n(1 comment)"/>
    <s v="line10 :&quot;a-&gt;an&quot;"/>
    <m/>
    <s v="renwei.wu@intel.com"/>
    <x v="2"/>
    <x v="4"/>
    <s v=""/>
    <x v="2"/>
    <s v=""/>
    <s v=""/>
    <s v=""/>
    <s v=""/>
    <s v=""/>
    <s v=""/>
    <s v=""/>
    <x v="1"/>
    <x v="0"/>
    <x v="0"/>
  </r>
  <r>
    <x v="48"/>
    <m/>
    <m/>
    <m/>
    <m/>
    <m/>
    <m/>
    <m/>
    <m/>
    <m/>
    <m/>
    <m/>
    <x v="3"/>
    <d v="2016-01-19T20:01:00"/>
    <s v="Uploaded patch set 15."/>
    <m/>
    <m/>
    <s v="renwei.wu@intel.com"/>
    <x v="2"/>
    <x v="0"/>
    <s v=""/>
    <x v="2"/>
    <s v=""/>
    <s v=""/>
    <s v=""/>
    <s v=""/>
    <s v=""/>
    <s v=""/>
    <s v=""/>
    <x v="0"/>
    <x v="0"/>
    <x v="0"/>
  </r>
  <r>
    <x v="48"/>
    <m/>
    <m/>
    <m/>
    <m/>
    <m/>
    <m/>
    <m/>
    <m/>
    <m/>
    <m/>
    <m/>
    <x v="3"/>
    <d v="2016-01-19T20:01:00"/>
    <s v="Patch Set 15:\n\nPatchset Created: CI job has been scheduled."/>
    <m/>
    <m/>
    <s v="renwei.wu@intel.com"/>
    <x v="2"/>
    <x v="0"/>
    <s v=""/>
    <x v="2"/>
    <s v=""/>
    <s v=""/>
    <s v=""/>
    <s v=""/>
    <s v=""/>
    <s v=""/>
    <s v=""/>
    <x v="0"/>
    <x v="0"/>
    <x v="0"/>
  </r>
  <r>
    <x v="48"/>
    <m/>
    <m/>
    <m/>
    <m/>
    <m/>
    <m/>
    <m/>
    <m/>
    <m/>
    <m/>
    <m/>
    <x v="3"/>
    <d v="2016-01-19T20:17:00"/>
    <s v="Uploaded patch set 16: Commit message was updated."/>
    <m/>
    <m/>
    <s v="renwei.wu@intel.com"/>
    <x v="2"/>
    <x v="0"/>
    <s v=""/>
    <x v="2"/>
    <s v=""/>
    <s v=""/>
    <s v=""/>
    <s v=""/>
    <s v=""/>
    <s v=""/>
    <s v=""/>
    <x v="0"/>
    <x v="0"/>
    <x v="0"/>
  </r>
  <r>
    <x v="48"/>
    <m/>
    <m/>
    <m/>
    <m/>
    <m/>
    <m/>
    <m/>
    <m/>
    <m/>
    <m/>
    <m/>
    <x v="3"/>
    <d v="2016-01-19T20:17:00"/>
    <s v="Patch Set 16:\n\nPatchset Created: CI job has been scheduled."/>
    <m/>
    <m/>
    <s v="renwei.wu@intel.com"/>
    <x v="2"/>
    <x v="0"/>
    <s v=""/>
    <x v="2"/>
    <s v=""/>
    <s v=""/>
    <s v=""/>
    <s v=""/>
    <s v=""/>
    <s v=""/>
    <s v=""/>
    <x v="0"/>
    <x v="0"/>
    <x v="0"/>
  </r>
  <r>
    <x v="48"/>
    <m/>
    <m/>
    <m/>
    <m/>
    <m/>
    <m/>
    <m/>
    <m/>
    <m/>
    <m/>
    <m/>
    <x v="3"/>
    <d v="2016-01-19T20:18:00"/>
    <s v="Patch Set 16: Code-Review+1"/>
    <m/>
    <m/>
    <s v="renwei.wu@intel.com"/>
    <x v="2"/>
    <x v="0"/>
    <s v=""/>
    <x v="2"/>
    <s v=""/>
    <s v=""/>
    <s v=""/>
    <s v=""/>
    <s v=""/>
    <s v=""/>
    <s v=""/>
    <x v="0"/>
    <x v="0"/>
    <x v="0"/>
  </r>
  <r>
    <x v="48"/>
    <m/>
    <m/>
    <m/>
    <m/>
    <m/>
    <m/>
    <m/>
    <m/>
    <m/>
    <m/>
    <m/>
    <x v="3"/>
    <d v="2016-01-19T20:47:00"/>
    <s v="Uploaded patch set 17: Commit message was updated."/>
    <m/>
    <m/>
    <s v="renwei.wu@intel.com"/>
    <x v="2"/>
    <x v="0"/>
    <s v=""/>
    <x v="2"/>
    <s v=""/>
    <s v=""/>
    <s v=""/>
    <s v=""/>
    <s v=""/>
    <s v=""/>
    <s v=""/>
    <x v="0"/>
    <x v="0"/>
    <x v="0"/>
  </r>
  <r>
    <x v="48"/>
    <m/>
    <m/>
    <m/>
    <m/>
    <m/>
    <m/>
    <m/>
    <m/>
    <m/>
    <m/>
    <m/>
    <x v="3"/>
    <d v="2016-01-19T20:47:00"/>
    <s v="Patch Set 17:\n\nPatchset Created: CI job has been scheduled."/>
    <m/>
    <m/>
    <s v="renwei.wu@intel.com"/>
    <x v="2"/>
    <x v="0"/>
    <s v=""/>
    <x v="2"/>
    <s v=""/>
    <s v=""/>
    <s v=""/>
    <s v=""/>
    <s v=""/>
    <s v=""/>
    <s v=""/>
    <x v="0"/>
    <x v="0"/>
    <x v="0"/>
  </r>
  <r>
    <x v="48"/>
    <m/>
    <m/>
    <m/>
    <m/>
    <m/>
    <m/>
    <m/>
    <m/>
    <m/>
    <m/>
    <m/>
    <x v="35"/>
    <d v="2016-01-20T08:57:00"/>
    <s v="Patch Set 17: Code-Review-1\n\n(2 comments)"/>
    <s v="line638 :&quot;I think we should return BAD_VALUE here.\nBAD_VALUE = -EINVAL (-22)&quot; line241 :&quot;declaring as const function will look better :)\nvirtual status_t getCropRectangle(struct v4l2_rect crop) const&quot;"/>
    <m/>
    <s v="renwei.wu@intel.com"/>
    <x v="2"/>
    <x v="2"/>
    <s v=""/>
    <x v="2"/>
    <s v=""/>
    <s v=""/>
    <s v=""/>
    <s v=""/>
    <s v=""/>
    <s v=""/>
    <s v=""/>
    <x v="1"/>
    <x v="0"/>
    <x v="0"/>
  </r>
  <r>
    <x v="48"/>
    <m/>
    <m/>
    <m/>
    <m/>
    <m/>
    <m/>
    <m/>
    <m/>
    <m/>
    <m/>
    <m/>
    <x v="36"/>
    <d v="2016-01-20T10:36:00"/>
    <s v="Patch Set 17: Code-Review+1"/>
    <m/>
    <m/>
    <s v="renwei.wu@intel.com"/>
    <x v="2"/>
    <x v="2"/>
    <s v=""/>
    <x v="2"/>
    <s v=""/>
    <s v=""/>
    <s v=""/>
    <s v=""/>
    <s v=""/>
    <s v=""/>
    <s v=""/>
    <x v="0"/>
    <x v="0"/>
    <x v="0"/>
  </r>
  <r>
    <x v="48"/>
    <m/>
    <m/>
    <m/>
    <m/>
    <m/>
    <m/>
    <m/>
    <m/>
    <m/>
    <m/>
    <m/>
    <x v="3"/>
    <d v="2016-01-21T11:44:00"/>
    <s v="Uploaded patch set 18."/>
    <m/>
    <m/>
    <s v="renwei.wu@intel.com"/>
    <x v="2"/>
    <x v="0"/>
    <s v=""/>
    <x v="2"/>
    <s v=""/>
    <s v=""/>
    <s v=""/>
    <s v=""/>
    <s v=""/>
    <s v=""/>
    <s v=""/>
    <x v="0"/>
    <x v="0"/>
    <x v="0"/>
  </r>
  <r>
    <x v="48"/>
    <m/>
    <m/>
    <m/>
    <m/>
    <m/>
    <m/>
    <m/>
    <m/>
    <m/>
    <m/>
    <m/>
    <x v="3"/>
    <d v="2016-01-21T11:44:00"/>
    <s v="Patch Set 18:\n\nPatchset Created: CI job has been scheduled."/>
    <m/>
    <m/>
    <s v="renwei.wu@intel.com"/>
    <x v="2"/>
    <x v="0"/>
    <s v=""/>
    <x v="2"/>
    <s v=""/>
    <s v=""/>
    <s v=""/>
    <s v=""/>
    <s v=""/>
    <s v=""/>
    <s v=""/>
    <x v="0"/>
    <x v="0"/>
    <x v="0"/>
  </r>
  <r>
    <x v="48"/>
    <m/>
    <m/>
    <m/>
    <m/>
    <m/>
    <m/>
    <m/>
    <m/>
    <m/>
    <m/>
    <m/>
    <x v="3"/>
    <d v="2016-01-21T11:46:00"/>
    <s v="Patch Set 18: Code-Review+1"/>
    <m/>
    <m/>
    <s v="renwei.wu@intel.com"/>
    <x v="2"/>
    <x v="0"/>
    <s v=""/>
    <x v="2"/>
    <s v=""/>
    <s v=""/>
    <s v=""/>
    <s v=""/>
    <s v=""/>
    <s v=""/>
    <s v=""/>
    <x v="0"/>
    <x v="0"/>
    <x v="0"/>
  </r>
  <r>
    <x v="48"/>
    <m/>
    <m/>
    <m/>
    <m/>
    <m/>
    <m/>
    <m/>
    <m/>
    <m/>
    <m/>
    <m/>
    <x v="35"/>
    <d v="2016-01-21T11:55:00"/>
    <s v="Patch Set 18: Code-Review+1"/>
    <m/>
    <m/>
    <s v="renwei.wu@intel.com"/>
    <x v="2"/>
    <x v="2"/>
    <s v=""/>
    <x v="2"/>
    <s v=""/>
    <s v=""/>
    <s v=""/>
    <s v=""/>
    <s v=""/>
    <s v=""/>
    <s v=""/>
    <x v="0"/>
    <x v="0"/>
    <x v="0"/>
  </r>
  <r>
    <x v="48"/>
    <m/>
    <m/>
    <m/>
    <m/>
    <m/>
    <m/>
    <m/>
    <m/>
    <m/>
    <m/>
    <m/>
    <x v="16"/>
    <d v="2016-01-21T12:09:00"/>
    <s v="Patch Set 18: Code-Review+1"/>
    <m/>
    <m/>
    <s v="renwei.wu@intel.com"/>
    <x v="2"/>
    <x v="4"/>
    <s v=""/>
    <x v="2"/>
    <s v=""/>
    <s v=""/>
    <s v=""/>
    <s v=""/>
    <s v=""/>
    <s v=""/>
    <s v=""/>
    <x v="0"/>
    <x v="0"/>
    <x v="0"/>
  </r>
  <r>
    <x v="48"/>
    <m/>
    <m/>
    <m/>
    <m/>
    <m/>
    <m/>
    <m/>
    <m/>
    <m/>
    <m/>
    <m/>
    <x v="3"/>
    <d v="2016-01-21T12:47:00"/>
    <s v="Uploaded patch set 19."/>
    <m/>
    <m/>
    <s v="renwei.wu@intel.com"/>
    <x v="2"/>
    <x v="0"/>
    <s v=""/>
    <x v="2"/>
    <s v=""/>
    <s v=""/>
    <s v=""/>
    <s v=""/>
    <s v=""/>
    <s v=""/>
    <s v=""/>
    <x v="0"/>
    <x v="0"/>
    <x v="0"/>
  </r>
  <r>
    <x v="48"/>
    <m/>
    <m/>
    <m/>
    <m/>
    <m/>
    <m/>
    <m/>
    <m/>
    <m/>
    <m/>
    <m/>
    <x v="3"/>
    <d v="2016-01-21T12:47:00"/>
    <s v="Patch Set 19:\n\nPatchset Created: CI job has been scheduled."/>
    <m/>
    <m/>
    <s v="renwei.wu@intel.com"/>
    <x v="2"/>
    <x v="0"/>
    <s v=""/>
    <x v="2"/>
    <s v=""/>
    <s v=""/>
    <s v=""/>
    <s v=""/>
    <s v=""/>
    <s v=""/>
    <s v=""/>
    <x v="0"/>
    <x v="0"/>
    <x v="0"/>
  </r>
  <r>
    <x v="48"/>
    <m/>
    <m/>
    <m/>
    <m/>
    <m/>
    <m/>
    <m/>
    <m/>
    <m/>
    <m/>
    <m/>
    <x v="3"/>
    <d v="2016-01-21T13:56:00"/>
    <s v="Uploaded patch set 20."/>
    <m/>
    <m/>
    <s v="renwei.wu@intel.com"/>
    <x v="2"/>
    <x v="0"/>
    <s v=""/>
    <x v="2"/>
    <s v=""/>
    <s v=""/>
    <s v=""/>
    <s v=""/>
    <s v=""/>
    <s v=""/>
    <s v=""/>
    <x v="0"/>
    <x v="0"/>
    <x v="0"/>
  </r>
  <r>
    <x v="48"/>
    <m/>
    <m/>
    <m/>
    <m/>
    <m/>
    <m/>
    <m/>
    <m/>
    <m/>
    <m/>
    <m/>
    <x v="3"/>
    <d v="2016-01-21T13:56:00"/>
    <s v="Patch Set 20:\n\nPatchset Created: CI job has been scheduled."/>
    <m/>
    <m/>
    <s v="renwei.wu@intel.com"/>
    <x v="2"/>
    <x v="0"/>
    <s v=""/>
    <x v="2"/>
    <s v=""/>
    <s v=""/>
    <s v=""/>
    <s v=""/>
    <s v=""/>
    <s v=""/>
    <s v=""/>
    <x v="0"/>
    <x v="0"/>
    <x v="0"/>
  </r>
  <r>
    <x v="48"/>
    <m/>
    <m/>
    <m/>
    <m/>
    <m/>
    <m/>
    <m/>
    <m/>
    <m/>
    <m/>
    <m/>
    <x v="23"/>
    <d v="2016-01-21T13:58:00"/>
    <s v="Patch Set 20: Code-Review+1"/>
    <m/>
    <m/>
    <s v="renwei.wu@intel.com"/>
    <x v="2"/>
    <x v="2"/>
    <s v=""/>
    <x v="2"/>
    <s v=""/>
    <s v=""/>
    <s v=""/>
    <s v=""/>
    <s v=""/>
    <s v=""/>
    <s v=""/>
    <x v="0"/>
    <x v="0"/>
    <x v="0"/>
  </r>
  <r>
    <x v="48"/>
    <m/>
    <m/>
    <m/>
    <m/>
    <m/>
    <m/>
    <m/>
    <m/>
    <m/>
    <m/>
    <m/>
    <x v="35"/>
    <d v="2016-01-21T13:59:00"/>
    <s v="Patch Set 20: Code-Review+1"/>
    <m/>
    <m/>
    <s v="renwei.wu@intel.com"/>
    <x v="2"/>
    <x v="2"/>
    <s v=""/>
    <x v="2"/>
    <s v=""/>
    <s v=""/>
    <s v=""/>
    <s v=""/>
    <s v=""/>
    <s v=""/>
    <s v=""/>
    <x v="0"/>
    <x v="0"/>
    <x v="0"/>
  </r>
  <r>
    <x v="48"/>
    <m/>
    <m/>
    <m/>
    <m/>
    <m/>
    <m/>
    <m/>
    <m/>
    <m/>
    <m/>
    <m/>
    <x v="16"/>
    <d v="2016-01-21T14:00:00"/>
    <s v="Patch Set 20: Code-Review+1"/>
    <m/>
    <m/>
    <s v="renwei.wu@intel.com"/>
    <x v="2"/>
    <x v="4"/>
    <s v=""/>
    <x v="2"/>
    <s v=""/>
    <s v=""/>
    <s v=""/>
    <s v=""/>
    <s v=""/>
    <s v=""/>
    <s v=""/>
    <x v="0"/>
    <x v="0"/>
    <x v="0"/>
  </r>
  <r>
    <x v="48"/>
    <m/>
    <m/>
    <m/>
    <m/>
    <m/>
    <m/>
    <m/>
    <m/>
    <m/>
    <m/>
    <m/>
    <x v="22"/>
    <d v="2016-01-21T14:01:00"/>
    <s v="Patch Set 20: Code-Review+1"/>
    <m/>
    <m/>
    <s v="renwei.wu@intel.com"/>
    <x v="2"/>
    <x v="2"/>
    <s v=""/>
    <x v="2"/>
    <s v=""/>
    <s v=""/>
    <s v=""/>
    <s v=""/>
    <s v=""/>
    <s v=""/>
    <s v=""/>
    <x v="0"/>
    <x v="0"/>
    <x v="0"/>
  </r>
  <r>
    <x v="48"/>
    <m/>
    <m/>
    <m/>
    <m/>
    <m/>
    <m/>
    <m/>
    <m/>
    <m/>
    <m/>
    <m/>
    <x v="37"/>
    <d v="2016-01-21T14:10:00"/>
    <s v="Patch Set 20: Code-Review+1"/>
    <m/>
    <m/>
    <s v="renwei.wu@intel.com"/>
    <x v="2"/>
    <x v="2"/>
    <s v=""/>
    <x v="2"/>
    <s v=""/>
    <s v=""/>
    <s v=""/>
    <s v=""/>
    <s v=""/>
    <s v=""/>
    <s v=""/>
    <x v="0"/>
    <x v="0"/>
    <x v="0"/>
  </r>
  <r>
    <x v="48"/>
    <m/>
    <m/>
    <m/>
    <m/>
    <m/>
    <m/>
    <m/>
    <m/>
    <m/>
    <m/>
    <m/>
    <x v="14"/>
    <d v="2016-01-21T14:11:00"/>
    <s v="Patch Set 20: Validation-Android+1\n\nreceive smoke test"/>
    <m/>
    <m/>
    <s v="renwei.wu@intel.com"/>
    <x v="2"/>
    <x v="5"/>
    <s v=""/>
    <x v="2"/>
    <s v=""/>
    <s v=""/>
    <s v=""/>
    <s v=""/>
    <s v=""/>
    <s v=""/>
    <s v=""/>
    <x v="0"/>
    <x v="1"/>
    <x v="0"/>
  </r>
  <r>
    <x v="48"/>
    <m/>
    <m/>
    <m/>
    <m/>
    <m/>
    <m/>
    <m/>
    <m/>
    <m/>
    <m/>
    <m/>
    <x v="22"/>
    <d v="2016-01-21T14:12:00"/>
    <s v="Patch Set 20: Approver+1"/>
    <m/>
    <m/>
    <s v="renwei.wu@intel.com"/>
    <x v="2"/>
    <x v="2"/>
    <s v=""/>
    <x v="2"/>
    <s v=""/>
    <s v=""/>
    <s v=""/>
    <s v=""/>
    <s v=""/>
    <s v=""/>
    <s v=""/>
    <x v="0"/>
    <x v="0"/>
    <x v="0"/>
  </r>
  <r>
    <x v="48"/>
    <m/>
    <m/>
    <m/>
    <m/>
    <m/>
    <m/>
    <m/>
    <m/>
    <m/>
    <m/>
    <m/>
    <x v="9"/>
    <d v="2016-01-21T14:19:00"/>
    <s v="Patch Set 20: Integrator+1\n\nadd to PIT"/>
    <m/>
    <m/>
    <s v="renwei.wu@intel.com"/>
    <x v="2"/>
    <x v="5"/>
    <s v=""/>
    <x v="2"/>
    <s v=""/>
    <s v=""/>
    <s v=""/>
    <s v=""/>
    <s v=""/>
    <s v=""/>
    <s v=""/>
    <x v="0"/>
    <x v="1"/>
    <x v="0"/>
  </r>
  <r>
    <x v="48"/>
    <m/>
    <m/>
    <m/>
    <m/>
    <m/>
    <m/>
    <m/>
    <m/>
    <m/>
    <m/>
    <m/>
    <x v="9"/>
    <d v="2016-01-21T17:28:00"/>
    <s v="Patch Set 20:\n\nPassed Klocwork code analyzing test. No CRITICAL issue in this patch. Auto reported by kwscan@andr-val-srv0.bj.intel.com"/>
    <m/>
    <m/>
    <s v="renwei.wu@intel.com"/>
    <x v="2"/>
    <x v="5"/>
    <s v=""/>
    <x v="2"/>
    <s v=""/>
    <s v=""/>
    <s v=""/>
    <s v=""/>
    <s v=""/>
    <s v=""/>
    <s v=""/>
    <x v="0"/>
    <x v="0"/>
    <x v="0"/>
  </r>
  <r>
    <x v="48"/>
    <m/>
    <m/>
    <m/>
    <m/>
    <m/>
    <m/>
    <m/>
    <m/>
    <m/>
    <m/>
    <m/>
    <x v="9"/>
    <d v="2016-01-21T18:54:00"/>
    <s v="Patch Set 20:\n\nPassed Klocwork code analyzing test. No CRITICAL issue in this patch. Auto reported by kwscan@psi-build5.bj.intel.com"/>
    <m/>
    <m/>
    <s v="renwei.wu@intel.com"/>
    <x v="2"/>
    <x v="5"/>
    <s v=""/>
    <x v="2"/>
    <s v=""/>
    <s v=""/>
    <s v=""/>
    <s v=""/>
    <s v=""/>
    <s v=""/>
    <s v=""/>
    <x v="0"/>
    <x v="0"/>
    <x v="0"/>
  </r>
  <r>
    <x v="48"/>
    <m/>
    <m/>
    <m/>
    <m/>
    <m/>
    <m/>
    <m/>
    <m/>
    <m/>
    <m/>
    <m/>
    <x v="9"/>
    <d v="2016-01-21T19:20:00"/>
    <s v="Patch Set 20:\n\nPassed Klocwork code analyzing test. No CRITICAL issue in this patch. Auto reported by kwscan@andr-val-srv0.bj.intel.com"/>
    <m/>
    <m/>
    <s v="renwei.wu@intel.com"/>
    <x v="2"/>
    <x v="5"/>
    <s v=""/>
    <x v="2"/>
    <s v=""/>
    <s v=""/>
    <s v=""/>
    <s v=""/>
    <s v=""/>
    <s v=""/>
    <s v=""/>
    <x v="0"/>
    <x v="0"/>
    <x v="0"/>
  </r>
  <r>
    <x v="48"/>
    <m/>
    <m/>
    <m/>
    <m/>
    <m/>
    <m/>
    <m/>
    <m/>
    <m/>
    <m/>
    <m/>
    <x v="9"/>
    <d v="2016-01-22T03:24:00"/>
    <s v="Patch Set 20:\n\nPassed Klocwork code analyzing test. No CRITICAL issue in this patch. Auto reported by kwscan@kw-srv2.bj.intel.com"/>
    <m/>
    <m/>
    <s v="renwei.wu@intel.com"/>
    <x v="2"/>
    <x v="5"/>
    <s v=""/>
    <x v="2"/>
    <s v=""/>
    <s v=""/>
    <s v=""/>
    <s v=""/>
    <s v=""/>
    <s v=""/>
    <s v=""/>
    <x v="0"/>
    <x v="0"/>
    <x v="0"/>
  </r>
  <r>
    <x v="48"/>
    <m/>
    <m/>
    <m/>
    <m/>
    <m/>
    <m/>
    <m/>
    <m/>
    <m/>
    <m/>
    <m/>
    <x v="9"/>
    <d v="2016-01-22T05:47:00"/>
    <s v="Patch Set 20:\n\nPassed Klocwork code analyzing test. No CRITICAL issue in this patch. Auto reported by kwscan@kw-srv2.bj.intel.com"/>
    <m/>
    <m/>
    <s v="renwei.wu@intel.com"/>
    <x v="2"/>
    <x v="5"/>
    <s v=""/>
    <x v="2"/>
    <s v=""/>
    <s v=""/>
    <s v=""/>
    <s v=""/>
    <s v=""/>
    <s v=""/>
    <s v=""/>
    <x v="0"/>
    <x v="0"/>
    <x v="0"/>
  </r>
  <r>
    <x v="48"/>
    <m/>
    <m/>
    <m/>
    <m/>
    <m/>
    <m/>
    <m/>
    <m/>
    <m/>
    <m/>
    <m/>
    <x v="9"/>
    <d v="2016-01-22T14:17:00"/>
    <s v="Patch Set 20: Code-Review+1\n\nPassed PIT; ready for merge"/>
    <m/>
    <m/>
    <s v="renwei.wu@intel.com"/>
    <x v="2"/>
    <x v="5"/>
    <s v=""/>
    <x v="2"/>
    <s v=""/>
    <s v=""/>
    <s v=""/>
    <s v=""/>
    <s v=""/>
    <s v=""/>
    <s v=""/>
    <x v="0"/>
    <x v="0"/>
    <x v="0"/>
  </r>
  <r>
    <x v="49"/>
    <n v="88208"/>
    <s v="vied-viedandr-camera3hal"/>
    <s v="platform/android/main"/>
    <s v="I4629e713d2b4cb44382355ae36e1e5ac601f1bde"/>
    <s v="per.persson@intel.com"/>
    <s v="MERGED"/>
    <s v="c3:3a: Update Scene modes"/>
    <s v="c3:3a: Update Scene modes\n\nImprove scene mode handling to better align with aiq.\n\n- Add awb manual_cct_range when scene mode is FIREWORKS.\n- Update afmode handling by adding missing scene modes.\n- Update aemode handling by adding scene mode overrides\n in getFlashModeFromSettings.\n\nChange-Id: I4629e713d2b4cb44382355ae36e1e5ac601f1bde\nTracked-On: https://jira01.devtools.intel.com/browse/OAM-10631\nSigned-off-by: Per Persson &lt;per.persson@intel.com&gt;\nReviewed-on: https://icggerrit.ir.intel.com/88208\nBuild: Dessert M BXT RVP (SC)\nBuild: Dessert M SOFIA (SC)\nBuild: Dessert M CHT FFD (SC)\nReviewed-by: Mikael Persson &lt;mikael.persson@intel.com&gt;\nReviewed-by: Renwei Wu &lt;renwei.wu@intel.com&gt;\nApprover: Renwei Wu &lt;renwei.wu@intel.com&gt;\nValidation-Android: Dessert M CHT FFD (SC)\nIntegrator: WeiX Meng &lt;weix.meng@intel.com&gt;\nReviewed-by: Arnaud Mandy &lt;arnaud.mandy@intel.com&gt;\nReviewed-by: Lassi I Vaatamoinen &lt;lassi.i.vaatamoinen@intel.com&gt;\nReviewed-by: WeiX Meng &lt;weix.meng@intel.com&gt;\n"/>
    <d v="2015-12-04T21:37:00"/>
    <d v="2016-01-21T16:41:00"/>
    <s v="common"/>
    <x v="4"/>
    <d v="2015-12-04T21:37:00"/>
    <s v="Uploaded patch set 1."/>
    <m/>
    <s v="weix.meng@intel.com;renwei.wu@intel.com;mikael.persson@intel.com;huitao.cao@intel.com;arnaud.mandy@intel.com;lassi.i.vaatamoinen@intel.com;"/>
    <s v="per.persson@intel.com"/>
    <x v="1"/>
    <x v="0"/>
    <s v="16'ww4"/>
    <x v="2"/>
    <n v="2"/>
    <n v="1"/>
    <n v="1"/>
    <n v="0"/>
    <n v="2"/>
    <n v="6"/>
    <n v="2"/>
    <x v="0"/>
    <x v="0"/>
    <x v="0"/>
  </r>
  <r>
    <x v="49"/>
    <m/>
    <m/>
    <m/>
    <m/>
    <m/>
    <m/>
    <m/>
    <m/>
    <m/>
    <m/>
    <m/>
    <x v="4"/>
    <d v="2015-12-04T21:37:00"/>
    <s v="Patch Set 1:\n\nPatchset Created: CI job has been scheduled."/>
    <m/>
    <m/>
    <s v="per.persson@intel.com"/>
    <x v="1"/>
    <x v="0"/>
    <s v=""/>
    <x v="2"/>
    <s v=""/>
    <s v=""/>
    <s v=""/>
    <s v=""/>
    <s v=""/>
    <s v=""/>
    <s v=""/>
    <x v="0"/>
    <x v="0"/>
    <x v="0"/>
  </r>
  <r>
    <x v="49"/>
    <m/>
    <m/>
    <m/>
    <m/>
    <m/>
    <m/>
    <m/>
    <m/>
    <m/>
    <m/>
    <m/>
    <x v="4"/>
    <d v="2015-12-04T22:26:00"/>
    <s v="Uploaded patch set 2: Commit message was updated."/>
    <m/>
    <m/>
    <s v="per.persson@intel.com"/>
    <x v="1"/>
    <x v="0"/>
    <s v=""/>
    <x v="2"/>
    <s v=""/>
    <s v=""/>
    <s v=""/>
    <s v=""/>
    <s v=""/>
    <s v=""/>
    <s v=""/>
    <x v="0"/>
    <x v="0"/>
    <x v="0"/>
  </r>
  <r>
    <x v="49"/>
    <m/>
    <m/>
    <m/>
    <m/>
    <m/>
    <m/>
    <m/>
    <m/>
    <m/>
    <m/>
    <m/>
    <x v="4"/>
    <d v="2015-12-04T22:26:00"/>
    <s v="Patch Set 2:\n\nPatchset Created: CI job has been scheduled."/>
    <m/>
    <m/>
    <s v="per.persson@intel.com"/>
    <x v="1"/>
    <x v="0"/>
    <s v=""/>
    <x v="2"/>
    <s v=""/>
    <s v=""/>
    <s v=""/>
    <s v=""/>
    <s v=""/>
    <s v=""/>
    <s v=""/>
    <x v="0"/>
    <x v="0"/>
    <x v="0"/>
  </r>
  <r>
    <x v="49"/>
    <m/>
    <m/>
    <m/>
    <m/>
    <m/>
    <m/>
    <m/>
    <m/>
    <m/>
    <m/>
    <m/>
    <x v="4"/>
    <d v="2015-12-07T22:29:00"/>
    <s v="Uploaded patch set 3."/>
    <m/>
    <m/>
    <s v="per.persson@intel.com"/>
    <x v="1"/>
    <x v="0"/>
    <s v=""/>
    <x v="2"/>
    <s v=""/>
    <s v=""/>
    <s v=""/>
    <s v=""/>
    <s v=""/>
    <s v=""/>
    <s v=""/>
    <x v="0"/>
    <x v="0"/>
    <x v="0"/>
  </r>
  <r>
    <x v="49"/>
    <m/>
    <m/>
    <m/>
    <m/>
    <m/>
    <m/>
    <m/>
    <m/>
    <m/>
    <m/>
    <m/>
    <x v="4"/>
    <d v="2015-12-07T22:29:00"/>
    <s v="Patch Set 3:\n\nPatchset Created: CI job has been scheduled."/>
    <m/>
    <m/>
    <s v="per.persson@intel.com"/>
    <x v="1"/>
    <x v="0"/>
    <s v=""/>
    <x v="2"/>
    <s v=""/>
    <s v=""/>
    <s v=""/>
    <s v=""/>
    <s v=""/>
    <s v=""/>
    <s v=""/>
    <x v="0"/>
    <x v="0"/>
    <x v="0"/>
  </r>
  <r>
    <x v="49"/>
    <m/>
    <m/>
    <m/>
    <m/>
    <m/>
    <m/>
    <m/>
    <m/>
    <m/>
    <m/>
    <m/>
    <x v="12"/>
    <d v="2015-12-11T21:48:00"/>
    <s v="Patch Set 3: Code-Review-1\n\n(2 comments)\n\nmight not be entrirely safe; please double-check"/>
    <s v="line1076 :&quot;will this work; as 'cctRange' goes out of scope on the next line; and we have a pointer for it?&quot; line7 :&quot;no space needed&quot;"/>
    <m/>
    <s v="per.persson@intel.com"/>
    <x v="1"/>
    <x v="1"/>
    <s v=""/>
    <x v="2"/>
    <s v=""/>
    <s v=""/>
    <s v=""/>
    <s v=""/>
    <s v=""/>
    <s v=""/>
    <s v=""/>
    <x v="1"/>
    <x v="0"/>
    <x v="0"/>
  </r>
  <r>
    <x v="49"/>
    <m/>
    <m/>
    <m/>
    <m/>
    <m/>
    <m/>
    <m/>
    <m/>
    <m/>
    <m/>
    <m/>
    <x v="12"/>
    <d v="2015-12-11T21:48:00"/>
    <s v="Patch Set 3:\n\n(1 comment)"/>
    <s v="line1072 :&quot;space missing&quot;"/>
    <m/>
    <s v="per.persson@intel.com"/>
    <x v="1"/>
    <x v="1"/>
    <s v=""/>
    <x v="2"/>
    <s v=""/>
    <s v=""/>
    <s v=""/>
    <s v=""/>
    <s v=""/>
    <s v=""/>
    <s v=""/>
    <x v="0"/>
    <x v="0"/>
    <x v="0"/>
  </r>
  <r>
    <x v="49"/>
    <m/>
    <m/>
    <m/>
    <m/>
    <m/>
    <m/>
    <m/>
    <m/>
    <m/>
    <m/>
    <m/>
    <x v="4"/>
    <d v="2015-12-11T23:01:00"/>
    <s v="Uploaded patch set 4."/>
    <m/>
    <m/>
    <s v="per.persson@intel.com"/>
    <x v="1"/>
    <x v="0"/>
    <s v=""/>
    <x v="2"/>
    <s v=""/>
    <s v=""/>
    <s v=""/>
    <s v=""/>
    <s v=""/>
    <s v=""/>
    <s v=""/>
    <x v="0"/>
    <x v="0"/>
    <x v="0"/>
  </r>
  <r>
    <x v="49"/>
    <m/>
    <m/>
    <m/>
    <m/>
    <m/>
    <m/>
    <m/>
    <m/>
    <m/>
    <m/>
    <m/>
    <x v="4"/>
    <d v="2015-12-11T23:01:00"/>
    <s v="Patch Set 4:\n\nPatchset Created: CI job has been scheduled."/>
    <m/>
    <m/>
    <s v="per.persson@intel.com"/>
    <x v="1"/>
    <x v="0"/>
    <s v=""/>
    <x v="2"/>
    <s v=""/>
    <s v=""/>
    <s v=""/>
    <s v=""/>
    <s v=""/>
    <s v=""/>
    <s v=""/>
    <x v="0"/>
    <x v="0"/>
    <x v="0"/>
  </r>
  <r>
    <x v="49"/>
    <m/>
    <m/>
    <m/>
    <m/>
    <m/>
    <m/>
    <m/>
    <m/>
    <m/>
    <m/>
    <m/>
    <x v="1"/>
    <d v="2015-12-15T15:15:00"/>
    <s v="Patch Set 4: Code-Review+1"/>
    <m/>
    <m/>
    <s v="per.persson@intel.com"/>
    <x v="1"/>
    <x v="1"/>
    <s v=""/>
    <x v="2"/>
    <s v=""/>
    <s v=""/>
    <s v=""/>
    <s v=""/>
    <s v=""/>
    <s v=""/>
    <s v=""/>
    <x v="0"/>
    <x v="0"/>
    <x v="0"/>
  </r>
  <r>
    <x v="49"/>
    <m/>
    <m/>
    <m/>
    <m/>
    <m/>
    <m/>
    <m/>
    <m/>
    <m/>
    <m/>
    <m/>
    <x v="4"/>
    <d v="2015-12-15T15:18:00"/>
    <s v="Patch Set 4: Code-Review+1"/>
    <m/>
    <m/>
    <s v="per.persson@intel.com"/>
    <x v="1"/>
    <x v="0"/>
    <s v=""/>
    <x v="2"/>
    <s v=""/>
    <s v=""/>
    <s v=""/>
    <s v=""/>
    <s v=""/>
    <s v=""/>
    <s v=""/>
    <x v="0"/>
    <x v="0"/>
    <x v="0"/>
  </r>
  <r>
    <x v="49"/>
    <m/>
    <m/>
    <m/>
    <m/>
    <m/>
    <m/>
    <m/>
    <m/>
    <m/>
    <m/>
    <m/>
    <x v="12"/>
    <d v="2015-12-17T22:03:00"/>
    <s v="Patch Set 4: Code-Review+1"/>
    <m/>
    <m/>
    <s v="per.persson@intel.com"/>
    <x v="1"/>
    <x v="1"/>
    <s v=""/>
    <x v="2"/>
    <s v=""/>
    <s v=""/>
    <s v=""/>
    <s v=""/>
    <s v=""/>
    <s v=""/>
    <s v=""/>
    <x v="0"/>
    <x v="0"/>
    <x v="0"/>
  </r>
  <r>
    <x v="49"/>
    <m/>
    <m/>
    <m/>
    <m/>
    <m/>
    <m/>
    <m/>
    <m/>
    <m/>
    <m/>
    <m/>
    <x v="4"/>
    <d v="2016-01-12T21:17:00"/>
    <s v="Patch Set 5:\n\nPatchset Created: CI job has been scheduled."/>
    <m/>
    <m/>
    <s v="per.persson@intel.com"/>
    <x v="1"/>
    <x v="0"/>
    <s v=""/>
    <x v="2"/>
    <s v=""/>
    <s v=""/>
    <s v=""/>
    <s v=""/>
    <s v=""/>
    <s v=""/>
    <s v=""/>
    <x v="0"/>
    <x v="0"/>
    <x v="0"/>
  </r>
  <r>
    <x v="49"/>
    <m/>
    <m/>
    <m/>
    <m/>
    <m/>
    <m/>
    <m/>
    <m/>
    <m/>
    <m/>
    <m/>
    <x v="4"/>
    <d v="2016-01-12T21:17:00"/>
    <s v="Uploaded patch set 5."/>
    <m/>
    <m/>
    <s v="per.persson@intel.com"/>
    <x v="1"/>
    <x v="0"/>
    <s v=""/>
    <x v="2"/>
    <s v=""/>
    <s v=""/>
    <s v=""/>
    <s v=""/>
    <s v=""/>
    <s v=""/>
    <s v=""/>
    <x v="0"/>
    <x v="0"/>
    <x v="0"/>
  </r>
  <r>
    <x v="49"/>
    <m/>
    <m/>
    <m/>
    <m/>
    <m/>
    <m/>
    <m/>
    <m/>
    <m/>
    <m/>
    <m/>
    <x v="4"/>
    <d v="2016-01-12T23:28:00"/>
    <s v="Patch Set 5: Code-Review+1"/>
    <m/>
    <m/>
    <s v="per.persson@intel.com"/>
    <x v="1"/>
    <x v="0"/>
    <s v=""/>
    <x v="2"/>
    <s v=""/>
    <s v=""/>
    <s v=""/>
    <s v=""/>
    <s v=""/>
    <s v=""/>
    <s v=""/>
    <x v="0"/>
    <x v="0"/>
    <x v="0"/>
  </r>
  <r>
    <x v="49"/>
    <m/>
    <m/>
    <m/>
    <m/>
    <m/>
    <m/>
    <m/>
    <m/>
    <m/>
    <m/>
    <m/>
    <x v="4"/>
    <d v="2016-01-13T15:35:00"/>
    <s v="Patch Set 5: Validation-Android+1"/>
    <m/>
    <m/>
    <s v="per.persson@intel.com"/>
    <x v="1"/>
    <x v="0"/>
    <s v=""/>
    <x v="2"/>
    <s v=""/>
    <s v=""/>
    <s v=""/>
    <s v=""/>
    <s v=""/>
    <s v=""/>
    <s v=""/>
    <x v="0"/>
    <x v="1"/>
    <x v="0"/>
  </r>
  <r>
    <x v="49"/>
    <m/>
    <m/>
    <m/>
    <m/>
    <m/>
    <m/>
    <m/>
    <m/>
    <m/>
    <m/>
    <m/>
    <x v="4"/>
    <d v="2016-01-14T21:28:00"/>
    <s v="Patch Set 5:\n\nManual Trigger: CI job scheduled.\n\n - Reason: CI failed due to patch issue or related patch issue (SDK/image/driver/support patch missing)"/>
    <m/>
    <m/>
    <s v="per.persson@intel.com"/>
    <x v="1"/>
    <x v="0"/>
    <s v=""/>
    <x v="2"/>
    <s v=""/>
    <s v=""/>
    <s v=""/>
    <s v=""/>
    <s v=""/>
    <s v=""/>
    <s v=""/>
    <x v="0"/>
    <x v="0"/>
    <x v="0"/>
  </r>
  <r>
    <x v="49"/>
    <m/>
    <m/>
    <m/>
    <m/>
    <m/>
    <m/>
    <m/>
    <m/>
    <m/>
    <m/>
    <m/>
    <x v="7"/>
    <d v="2016-01-15T15:05:00"/>
    <s v="Patch Set 5: Code-Review-1\n\n(2 comments)"/>
    <s v="line747 :&quot;Why remove this mode?&quot; line1103 :&quot;Shall we set awbCfg-&gt;manual_cct_range to NULL for else case?\nNow if the sceneMode is set to FIREWORKS once; the manual_cct_range will keep {5500; 5500} even if the sceneMode is set to other modes.&quot;"/>
    <m/>
    <s v="per.persson@intel.com"/>
    <x v="1"/>
    <x v="4"/>
    <s v=""/>
    <x v="2"/>
    <s v=""/>
    <s v=""/>
    <s v=""/>
    <s v=""/>
    <s v=""/>
    <s v=""/>
    <s v=""/>
    <x v="1"/>
    <x v="0"/>
    <x v="0"/>
  </r>
  <r>
    <x v="49"/>
    <m/>
    <m/>
    <m/>
    <m/>
    <m/>
    <m/>
    <m/>
    <m/>
    <m/>
    <m/>
    <m/>
    <x v="4"/>
    <d v="2016-01-15T15:52:00"/>
    <s v="Patch Set 5: -Code-Review -Validation-Android\n\n(2 comments)"/>
    <s v="line747 :&quot;Ok; we can keep it here. It will be removed in camera3_profiles; since there is no handling for it in aiq.&quot; line1103 :&quot;Done&quot;"/>
    <m/>
    <s v="per.persson@intel.com"/>
    <x v="1"/>
    <x v="0"/>
    <s v=""/>
    <x v="2"/>
    <s v=""/>
    <s v=""/>
    <s v=""/>
    <s v=""/>
    <s v=""/>
    <s v=""/>
    <s v=""/>
    <x v="0"/>
    <x v="0"/>
    <x v="0"/>
  </r>
  <r>
    <x v="49"/>
    <m/>
    <m/>
    <m/>
    <m/>
    <m/>
    <m/>
    <m/>
    <m/>
    <m/>
    <m/>
    <m/>
    <x v="4"/>
    <d v="2016-01-15T15:53:00"/>
    <s v="Patch Set 6:\n\nPatchset Created: CI job has been scheduled."/>
    <m/>
    <m/>
    <s v="per.persson@intel.com"/>
    <x v="1"/>
    <x v="0"/>
    <s v=""/>
    <x v="2"/>
    <s v=""/>
    <s v=""/>
    <s v=""/>
    <s v=""/>
    <s v=""/>
    <s v=""/>
    <s v=""/>
    <x v="0"/>
    <x v="0"/>
    <x v="0"/>
  </r>
  <r>
    <x v="49"/>
    <m/>
    <m/>
    <m/>
    <m/>
    <m/>
    <m/>
    <m/>
    <m/>
    <m/>
    <m/>
    <m/>
    <x v="4"/>
    <d v="2016-01-15T15:53:00"/>
    <s v="Uploaded patch set 6."/>
    <m/>
    <m/>
    <s v="per.persson@intel.com"/>
    <x v="1"/>
    <x v="0"/>
    <s v=""/>
    <x v="2"/>
    <s v=""/>
    <s v=""/>
    <s v=""/>
    <s v=""/>
    <s v=""/>
    <s v=""/>
    <s v=""/>
    <x v="0"/>
    <x v="0"/>
    <x v="0"/>
  </r>
  <r>
    <x v="49"/>
    <m/>
    <m/>
    <m/>
    <m/>
    <m/>
    <m/>
    <m/>
    <m/>
    <m/>
    <m/>
    <m/>
    <x v="4"/>
    <d v="2016-01-15T17:00:00"/>
    <s v="Patch Set 6: Code-Review+1 Validation-Android+1"/>
    <m/>
    <m/>
    <s v="per.persson@intel.com"/>
    <x v="1"/>
    <x v="0"/>
    <s v=""/>
    <x v="2"/>
    <s v=""/>
    <s v=""/>
    <s v=""/>
    <s v=""/>
    <s v=""/>
    <s v=""/>
    <s v=""/>
    <x v="0"/>
    <x v="0"/>
    <x v="0"/>
  </r>
  <r>
    <x v="49"/>
    <m/>
    <m/>
    <m/>
    <m/>
    <m/>
    <m/>
    <m/>
    <m/>
    <m/>
    <m/>
    <m/>
    <x v="7"/>
    <d v="2016-01-18T13:46:00"/>
    <s v="Patch Set 6: Code-Review+1"/>
    <m/>
    <m/>
    <s v="per.persson@intel.com"/>
    <x v="1"/>
    <x v="4"/>
    <s v=""/>
    <x v="2"/>
    <s v=""/>
    <s v=""/>
    <s v=""/>
    <s v=""/>
    <s v=""/>
    <s v=""/>
    <s v=""/>
    <x v="0"/>
    <x v="0"/>
    <x v="0"/>
  </r>
  <r>
    <x v="49"/>
    <m/>
    <m/>
    <m/>
    <m/>
    <m/>
    <m/>
    <m/>
    <m/>
    <m/>
    <m/>
    <m/>
    <x v="4"/>
    <d v="2016-01-19T19:21:00"/>
    <s v="Uploaded patch set 7."/>
    <m/>
    <m/>
    <s v="per.persson@intel.com"/>
    <x v="1"/>
    <x v="0"/>
    <s v=""/>
    <x v="2"/>
    <s v=""/>
    <s v=""/>
    <s v=""/>
    <s v=""/>
    <s v=""/>
    <s v=""/>
    <s v=""/>
    <x v="0"/>
    <x v="0"/>
    <x v="0"/>
  </r>
  <r>
    <x v="49"/>
    <m/>
    <m/>
    <m/>
    <m/>
    <m/>
    <m/>
    <m/>
    <m/>
    <m/>
    <m/>
    <m/>
    <x v="4"/>
    <d v="2016-01-19T19:21:00"/>
    <s v="Patch Set 7:\n\nPatchset Created: CI job has been scheduled."/>
    <m/>
    <m/>
    <s v="per.persson@intel.com"/>
    <x v="1"/>
    <x v="0"/>
    <s v=""/>
    <x v="2"/>
    <s v=""/>
    <s v=""/>
    <s v=""/>
    <s v=""/>
    <s v=""/>
    <s v=""/>
    <s v=""/>
    <x v="0"/>
    <x v="0"/>
    <x v="0"/>
  </r>
  <r>
    <x v="49"/>
    <m/>
    <m/>
    <m/>
    <m/>
    <m/>
    <m/>
    <m/>
    <m/>
    <m/>
    <m/>
    <m/>
    <x v="4"/>
    <d v="2016-01-19T19:22:00"/>
    <s v="Patch Set 7: Code-Review+1 Validation-Android+1\n\nRebased"/>
    <m/>
    <m/>
    <s v="per.persson@intel.com"/>
    <x v="1"/>
    <x v="0"/>
    <s v=""/>
    <x v="2"/>
    <s v=""/>
    <s v=""/>
    <s v=""/>
    <s v=""/>
    <s v=""/>
    <s v=""/>
    <s v=""/>
    <x v="0"/>
    <x v="0"/>
    <x v="0"/>
  </r>
  <r>
    <x v="49"/>
    <m/>
    <m/>
    <m/>
    <m/>
    <m/>
    <m/>
    <m/>
    <m/>
    <m/>
    <m/>
    <m/>
    <x v="30"/>
    <d v="2016-01-19T20:49:00"/>
    <s v="Patch Set 7: Code-Review+1"/>
    <m/>
    <m/>
    <s v="per.persson@intel.com"/>
    <x v="1"/>
    <x v="3"/>
    <s v=""/>
    <x v="2"/>
    <s v=""/>
    <s v=""/>
    <s v=""/>
    <s v=""/>
    <s v=""/>
    <s v=""/>
    <s v=""/>
    <x v="0"/>
    <x v="0"/>
    <x v="0"/>
  </r>
  <r>
    <x v="49"/>
    <m/>
    <m/>
    <m/>
    <m/>
    <m/>
    <m/>
    <m/>
    <m/>
    <m/>
    <m/>
    <m/>
    <x v="3"/>
    <d v="2016-01-19T23:33:00"/>
    <s v="Patch Set 7: Code-Review+1"/>
    <m/>
    <m/>
    <s v="per.persson@intel.com"/>
    <x v="1"/>
    <x v="2"/>
    <s v=""/>
    <x v="2"/>
    <s v=""/>
    <s v=""/>
    <s v=""/>
    <s v=""/>
    <s v=""/>
    <s v=""/>
    <s v=""/>
    <x v="0"/>
    <x v="0"/>
    <x v="0"/>
  </r>
  <r>
    <x v="49"/>
    <m/>
    <m/>
    <m/>
    <m/>
    <m/>
    <m/>
    <m/>
    <m/>
    <m/>
    <m/>
    <m/>
    <x v="3"/>
    <d v="2016-01-19T23:34:00"/>
    <s v="Patch Set 7: Approver+1\n\nAs the patch is just rebased and you all have review+1; I will approve this patch."/>
    <m/>
    <m/>
    <s v="per.persson@intel.com"/>
    <x v="1"/>
    <x v="2"/>
    <s v=""/>
    <x v="2"/>
    <s v=""/>
    <s v=""/>
    <s v=""/>
    <s v=""/>
    <s v=""/>
    <s v=""/>
    <s v=""/>
    <x v="0"/>
    <x v="0"/>
    <x v="0"/>
  </r>
  <r>
    <x v="49"/>
    <m/>
    <m/>
    <m/>
    <m/>
    <m/>
    <m/>
    <m/>
    <m/>
    <m/>
    <m/>
    <m/>
    <x v="9"/>
    <d v="2016-01-20T14:19:00"/>
    <s v="Patch Set 7: Integrator+1\n\nIntegrator +1; patch will be add to PT; please no change now"/>
    <m/>
    <m/>
    <s v="per.persson@intel.com"/>
    <x v="1"/>
    <x v="5"/>
    <s v=""/>
    <x v="2"/>
    <s v=""/>
    <s v=""/>
    <s v=""/>
    <s v=""/>
    <s v=""/>
    <s v=""/>
    <s v=""/>
    <x v="0"/>
    <x v="1"/>
    <x v="0"/>
  </r>
  <r>
    <x v="49"/>
    <m/>
    <m/>
    <m/>
    <m/>
    <m/>
    <m/>
    <m/>
    <m/>
    <m/>
    <m/>
    <m/>
    <x v="1"/>
    <d v="2016-01-20T17:07:00"/>
    <s v="Patch Set 7: Code-Review+1"/>
    <m/>
    <m/>
    <s v="per.persson@intel.com"/>
    <x v="1"/>
    <x v="1"/>
    <s v=""/>
    <x v="2"/>
    <s v=""/>
    <s v=""/>
    <s v=""/>
    <s v=""/>
    <s v=""/>
    <s v=""/>
    <s v=""/>
    <x v="0"/>
    <x v="0"/>
    <x v="0"/>
  </r>
  <r>
    <x v="49"/>
    <m/>
    <m/>
    <m/>
    <m/>
    <m/>
    <m/>
    <m/>
    <m/>
    <m/>
    <m/>
    <m/>
    <x v="9"/>
    <d v="2016-01-20T18:33:00"/>
    <s v="Patch Set 7:\n\nPassed Klocwork code analyzing test. No CRITICAL issue in this patch. Auto reported by kwscan@andr-val-srv0.bj.intel.com"/>
    <m/>
    <m/>
    <s v="per.persson@intel.com"/>
    <x v="1"/>
    <x v="5"/>
    <s v=""/>
    <x v="2"/>
    <s v=""/>
    <s v=""/>
    <s v=""/>
    <s v=""/>
    <s v=""/>
    <s v=""/>
    <s v=""/>
    <x v="0"/>
    <x v="0"/>
    <x v="0"/>
  </r>
  <r>
    <x v="49"/>
    <m/>
    <m/>
    <m/>
    <m/>
    <m/>
    <m/>
    <m/>
    <m/>
    <m/>
    <m/>
    <m/>
    <x v="9"/>
    <d v="2016-01-20T18:36:00"/>
    <s v="Patch Set 7:\n\nPassed Klocwork code analyzing test. No CRITICAL issue in this patch. Auto reported by kwscan@kw-srv2.bj.intel.com"/>
    <m/>
    <m/>
    <s v="per.persson@intel.com"/>
    <x v="1"/>
    <x v="5"/>
    <s v=""/>
    <x v="2"/>
    <s v=""/>
    <s v=""/>
    <s v=""/>
    <s v=""/>
    <s v=""/>
    <s v=""/>
    <s v=""/>
    <x v="0"/>
    <x v="0"/>
    <x v="0"/>
  </r>
  <r>
    <x v="49"/>
    <m/>
    <m/>
    <m/>
    <m/>
    <m/>
    <m/>
    <m/>
    <m/>
    <m/>
    <m/>
    <m/>
    <x v="9"/>
    <d v="2016-01-20T20:33:00"/>
    <s v="Patch Set 7:\n\nPassed Klocwork code analyzing test. No CRITICAL issue in this patch. Auto reported by kwscan@kw-srv2.bj.intel.com"/>
    <m/>
    <m/>
    <s v="per.persson@intel.com"/>
    <x v="1"/>
    <x v="5"/>
    <s v=""/>
    <x v="2"/>
    <s v=""/>
    <s v=""/>
    <s v=""/>
    <s v=""/>
    <s v=""/>
    <s v=""/>
    <s v=""/>
    <x v="0"/>
    <x v="0"/>
    <x v="0"/>
  </r>
  <r>
    <x v="49"/>
    <m/>
    <m/>
    <m/>
    <m/>
    <m/>
    <m/>
    <m/>
    <m/>
    <m/>
    <m/>
    <m/>
    <x v="9"/>
    <d v="2016-01-20T21:43:00"/>
    <s v="Patch Set 7:\n\nPassed Klocwork code analyzing test. No CRITICAL issue in this patch. Auto reported by kwscan@andr-val-srv0.bj.intel.com"/>
    <m/>
    <m/>
    <s v="per.persson@intel.com"/>
    <x v="1"/>
    <x v="5"/>
    <s v=""/>
    <x v="2"/>
    <s v=""/>
    <s v=""/>
    <s v=""/>
    <s v=""/>
    <s v=""/>
    <s v=""/>
    <s v=""/>
    <x v="0"/>
    <x v="0"/>
    <x v="0"/>
  </r>
  <r>
    <x v="49"/>
    <m/>
    <m/>
    <m/>
    <m/>
    <m/>
    <m/>
    <m/>
    <m/>
    <m/>
    <m/>
    <m/>
    <x v="12"/>
    <d v="2016-01-20T22:53:00"/>
    <s v="Patch Set 7: Code-Review+1"/>
    <m/>
    <m/>
    <s v="per.persson@intel.com"/>
    <x v="1"/>
    <x v="1"/>
    <s v=""/>
    <x v="2"/>
    <s v=""/>
    <s v=""/>
    <s v=""/>
    <s v=""/>
    <s v=""/>
    <s v=""/>
    <s v=""/>
    <x v="0"/>
    <x v="0"/>
    <x v="0"/>
  </r>
  <r>
    <x v="49"/>
    <m/>
    <m/>
    <m/>
    <m/>
    <m/>
    <m/>
    <m/>
    <m/>
    <m/>
    <m/>
    <m/>
    <x v="9"/>
    <d v="2016-01-21T10:03:00"/>
    <s v="Patch Set 7:\n\nPassed Klocwork code analyzing test. No CRITICAL issue in this patch. Auto reported by kwscan@psi-build5.bj.intel.com"/>
    <m/>
    <m/>
    <s v="per.persson@intel.com"/>
    <x v="1"/>
    <x v="5"/>
    <s v=""/>
    <x v="2"/>
    <s v=""/>
    <s v=""/>
    <s v=""/>
    <s v=""/>
    <s v=""/>
    <s v=""/>
    <s v=""/>
    <x v="0"/>
    <x v="0"/>
    <x v="0"/>
  </r>
  <r>
    <x v="49"/>
    <m/>
    <m/>
    <m/>
    <m/>
    <m/>
    <m/>
    <m/>
    <m/>
    <m/>
    <m/>
    <m/>
    <x v="9"/>
    <d v="2016-01-21T13:14:00"/>
    <s v="Patch Set 7:\n\nPassed Klocwork code analyzing test. No CRITICAL issue in this patch. Auto reported by kwscan@psi-build5.bj.intel.com"/>
    <m/>
    <m/>
    <s v="per.persson@intel.com"/>
    <x v="1"/>
    <x v="5"/>
    <s v=""/>
    <x v="2"/>
    <s v=""/>
    <s v=""/>
    <s v=""/>
    <s v=""/>
    <s v=""/>
    <s v=""/>
    <s v=""/>
    <x v="0"/>
    <x v="0"/>
    <x v="0"/>
  </r>
  <r>
    <x v="49"/>
    <m/>
    <m/>
    <m/>
    <m/>
    <m/>
    <m/>
    <m/>
    <m/>
    <m/>
    <m/>
    <m/>
    <x v="9"/>
    <d v="2016-01-21T14:21:00"/>
    <s v="Patch Set 7: Code-Review+1\n\nPassed PIT; ready for merge"/>
    <m/>
    <m/>
    <s v="per.persson@intel.com"/>
    <x v="1"/>
    <x v="5"/>
    <s v=""/>
    <x v="2"/>
    <s v=""/>
    <s v=""/>
    <s v=""/>
    <s v=""/>
    <s v=""/>
    <s v=""/>
    <s v=""/>
    <x v="0"/>
    <x v="0"/>
    <x v="0"/>
  </r>
  <r>
    <x v="49"/>
    <m/>
    <m/>
    <m/>
    <m/>
    <m/>
    <m/>
    <m/>
    <m/>
    <m/>
    <m/>
    <m/>
    <x v="9"/>
    <d v="2016-01-21T17:26:00"/>
    <s v="Patch Set 7:\n\nPassed Klocwork code analyzing test. No CRITICAL issue in this patch. Auto reported by kwscan@andr-val-srv0.bj.intel.com"/>
    <m/>
    <m/>
    <s v="per.persson@intel.com"/>
    <x v="1"/>
    <x v="5"/>
    <s v=""/>
    <x v="2"/>
    <s v=""/>
    <s v=""/>
    <s v=""/>
    <s v=""/>
    <s v=""/>
    <s v=""/>
    <s v=""/>
    <x v="0"/>
    <x v="0"/>
    <x v="0"/>
  </r>
  <r>
    <x v="49"/>
    <m/>
    <m/>
    <m/>
    <m/>
    <m/>
    <m/>
    <m/>
    <m/>
    <m/>
    <m/>
    <m/>
    <x v="9"/>
    <d v="2016-01-21T18:53:00"/>
    <s v="Patch Set 7:\n\nPassed Klocwork code analyzing test. No CRITICAL issue in this patch. Auto reported by kwscan@psi-build5.bj.intel.com"/>
    <m/>
    <m/>
    <s v="per.persson@intel.com"/>
    <x v="1"/>
    <x v="5"/>
    <s v=""/>
    <x v="2"/>
    <s v=""/>
    <s v=""/>
    <s v=""/>
    <s v=""/>
    <s v=""/>
    <s v=""/>
    <s v=""/>
    <x v="0"/>
    <x v="0"/>
    <x v="0"/>
  </r>
  <r>
    <x v="50"/>
    <n v="90027"/>
    <s v="vied-viedandr-camera3hal"/>
    <s v="platform/android/main"/>
    <s v="I2502c3077b02c0f657c3ffb6b9da73fb4ee0a7c2"/>
    <s v="dong.yang@intel.com"/>
    <s v="MERGED"/>
    <s v="c3: Support scene override for ae mode"/>
    <s v="c3: Support scene override for ae mode\n\nChange-Id: I2502c3077b02c0f657c3ffb6b9da73fb4ee0a7c2\nTracked-On: https://jira01.devtools.intel.com/browse/OAM-10977\nSigned-off-by: Yang; Dong &lt;dong.yang@intel.com&gt;\nReviewed-on: https://icggerrit.ir.intel.com/90027\nReviewed-by: Jingzhi Yu &lt;jingzhi.yu@intel.com&gt;\nValidation-Android: Wei Tao &lt;wei.tao@intel.com&gt;\nBuild: Dessert M BXT RVP (SC)\nReviewed-by: Lassi I Vaatamoinen &lt;lassi.i.vaatamoinen@intel.com&gt;\nBuild: Dessert M CHT FFD (SC)\nBuild: Dessert M SOFIA (SC)\nValidation-Android: Dessert M CHT FFD (SC)\nApprover: Renwei Wu &lt;renwei.wu@intel.com&gt;\nReviewed-by: Renwei Wu &lt;renwei.wu@intel.com&gt;\nReviewed-by: Arnaud Mandy &lt;arnaud.mandy@intel.com&gt;\nIntegrator: WeiX Meng &lt;weix.meng@intel.com&gt;\nReviewed-by: WeiX Meng &lt;weix.meng@intel.com&gt;\n"/>
    <d v="2015-12-15T14:59:00"/>
    <d v="2016-01-19T18:38:00"/>
    <s v="common"/>
    <x v="38"/>
    <d v="2015-12-15T14:59:00"/>
    <s v="Uploaded patch set 1."/>
    <m/>
    <s v="weix.meng@intel.com;renwei.wu@intel.com;jingzhi.yu@intel.com;linx.na@intel.com;arnaud.mandy@intel.com;lassi.i.vaatamoinen@intel.com;per.persson@intel.com;"/>
    <s v="dong.yang@intel.com"/>
    <x v="1"/>
    <x v="0"/>
    <s v="16'ww4"/>
    <x v="2"/>
    <n v="2"/>
    <n v="1"/>
    <n v="1"/>
    <n v="0"/>
    <n v="3"/>
    <n v="6"/>
    <n v="1"/>
    <x v="0"/>
    <x v="0"/>
    <x v="0"/>
  </r>
  <r>
    <x v="50"/>
    <m/>
    <m/>
    <m/>
    <m/>
    <m/>
    <m/>
    <m/>
    <m/>
    <m/>
    <m/>
    <m/>
    <x v="38"/>
    <d v="2015-12-15T14:59:00"/>
    <s v="Patch Set 1:\n\nPatchset Created: CI job has been scheduled."/>
    <m/>
    <m/>
    <s v="dong.yang@intel.com"/>
    <x v="1"/>
    <x v="0"/>
    <s v=""/>
    <x v="2"/>
    <s v=""/>
    <s v=""/>
    <s v=""/>
    <s v=""/>
    <s v=""/>
    <s v=""/>
    <s v=""/>
    <x v="0"/>
    <x v="0"/>
    <x v="0"/>
  </r>
  <r>
    <x v="50"/>
    <m/>
    <m/>
    <m/>
    <m/>
    <m/>
    <m/>
    <m/>
    <m/>
    <m/>
    <m/>
    <m/>
    <x v="38"/>
    <d v="2015-12-15T15:37:00"/>
    <s v="Patch Set 1: Code-Review+1"/>
    <m/>
    <m/>
    <s v="dong.yang@intel.com"/>
    <x v="1"/>
    <x v="0"/>
    <s v=""/>
    <x v="2"/>
    <s v=""/>
    <s v=""/>
    <s v=""/>
    <s v=""/>
    <s v=""/>
    <s v=""/>
    <s v=""/>
    <x v="0"/>
    <x v="0"/>
    <x v="0"/>
  </r>
  <r>
    <x v="50"/>
    <m/>
    <m/>
    <m/>
    <m/>
    <m/>
    <m/>
    <m/>
    <m/>
    <m/>
    <m/>
    <m/>
    <x v="4"/>
    <d v="2015-12-16T18:01:00"/>
    <s v="Patch Set 1:\n\nThis is already covered in https://icggerrit.ir.intel.com/88208 and https://icggerrit.ir.intel.com/89483; where af and awb is also handled."/>
    <m/>
    <m/>
    <s v="dong.yang@intel.com"/>
    <x v="1"/>
    <x v="3"/>
    <s v=""/>
    <x v="2"/>
    <s v=""/>
    <s v=""/>
    <s v=""/>
    <s v=""/>
    <s v=""/>
    <s v=""/>
    <s v=""/>
    <x v="0"/>
    <x v="0"/>
    <x v="0"/>
  </r>
  <r>
    <x v="50"/>
    <m/>
    <m/>
    <m/>
    <m/>
    <m/>
    <m/>
    <m/>
    <m/>
    <m/>
    <m/>
    <m/>
    <x v="12"/>
    <d v="2015-12-21T18:29:00"/>
    <s v="Patch Set 1:\n\n(1 comment)"/>
    <s v="line1977 :&quot;minor style issue: no curly braces with single line if-bodies. (Although; not strictly obeyed..)&quot;"/>
    <m/>
    <s v="dong.yang@intel.com"/>
    <x v="1"/>
    <x v="1"/>
    <s v=""/>
    <x v="2"/>
    <s v=""/>
    <s v=""/>
    <s v=""/>
    <s v=""/>
    <s v=""/>
    <s v=""/>
    <s v=""/>
    <x v="0"/>
    <x v="0"/>
    <x v="0"/>
  </r>
  <r>
    <x v="50"/>
    <m/>
    <m/>
    <m/>
    <m/>
    <m/>
    <m/>
    <m/>
    <m/>
    <m/>
    <m/>
    <m/>
    <x v="1"/>
    <d v="2015-12-21T21:05:00"/>
    <s v="Patch Set 1: Code-Review+1\n\nlooks ok. Not 100% s煤re"/>
    <m/>
    <m/>
    <s v="dong.yang@intel.com"/>
    <x v="1"/>
    <x v="1"/>
    <s v=""/>
    <x v="2"/>
    <s v=""/>
    <s v=""/>
    <s v=""/>
    <s v=""/>
    <s v=""/>
    <s v=""/>
    <s v=""/>
    <x v="0"/>
    <x v="0"/>
    <x v="0"/>
  </r>
  <r>
    <x v="50"/>
    <m/>
    <m/>
    <m/>
    <m/>
    <m/>
    <m/>
    <m/>
    <m/>
    <m/>
    <m/>
    <m/>
    <x v="38"/>
    <d v="2015-12-22T15:30:00"/>
    <s v="Patch Set 2: Published edit on patch set 1"/>
    <m/>
    <m/>
    <s v="dong.yang@intel.com"/>
    <x v="1"/>
    <x v="0"/>
    <s v=""/>
    <x v="2"/>
    <s v=""/>
    <s v=""/>
    <s v=""/>
    <s v=""/>
    <s v=""/>
    <s v=""/>
    <s v=""/>
    <x v="0"/>
    <x v="0"/>
    <x v="0"/>
  </r>
  <r>
    <x v="50"/>
    <m/>
    <m/>
    <m/>
    <m/>
    <m/>
    <m/>
    <m/>
    <m/>
    <m/>
    <m/>
    <m/>
    <x v="38"/>
    <d v="2015-12-22T15:30:00"/>
    <s v="Patch Set 2:\n\nPatchset Created: CI job has been scheduled."/>
    <m/>
    <m/>
    <s v="dong.yang@intel.com"/>
    <x v="1"/>
    <x v="0"/>
    <s v=""/>
    <x v="2"/>
    <s v=""/>
    <s v=""/>
    <s v=""/>
    <s v=""/>
    <s v=""/>
    <s v=""/>
    <s v=""/>
    <x v="0"/>
    <x v="0"/>
    <x v="0"/>
  </r>
  <r>
    <x v="50"/>
    <m/>
    <m/>
    <m/>
    <m/>
    <m/>
    <m/>
    <m/>
    <m/>
    <m/>
    <m/>
    <m/>
    <x v="12"/>
    <d v="2015-12-30T22:55:00"/>
    <s v="Patch Set 2: Code-Review-1\n\n(1 comment)"/>
    <s v="line1975 :&quot;remove the braces here as well. Neither branch should have them&quot;"/>
    <m/>
    <s v="dong.yang@intel.com"/>
    <x v="1"/>
    <x v="1"/>
    <s v=""/>
    <x v="2"/>
    <s v=""/>
    <s v=""/>
    <s v=""/>
    <s v=""/>
    <s v=""/>
    <s v=""/>
    <s v=""/>
    <x v="1"/>
    <x v="0"/>
    <x v="0"/>
  </r>
  <r>
    <x v="50"/>
    <m/>
    <m/>
    <m/>
    <m/>
    <m/>
    <m/>
    <m/>
    <m/>
    <m/>
    <m/>
    <m/>
    <x v="38"/>
    <d v="2015-12-31T08:16:00"/>
    <s v="Patch Set 3: Published edit on patch set 2"/>
    <m/>
    <m/>
    <s v="dong.yang@intel.com"/>
    <x v="1"/>
    <x v="0"/>
    <s v=""/>
    <x v="2"/>
    <s v=""/>
    <s v=""/>
    <s v=""/>
    <s v=""/>
    <s v=""/>
    <s v=""/>
    <s v=""/>
    <x v="0"/>
    <x v="0"/>
    <x v="0"/>
  </r>
  <r>
    <x v="50"/>
    <m/>
    <m/>
    <m/>
    <m/>
    <m/>
    <m/>
    <m/>
    <m/>
    <m/>
    <m/>
    <m/>
    <x v="38"/>
    <d v="2015-12-31T08:16:00"/>
    <s v="Patch Set 3:\n\nPatchset Created: CI job has been scheduled."/>
    <m/>
    <m/>
    <s v="dong.yang@intel.com"/>
    <x v="1"/>
    <x v="0"/>
    <s v=""/>
    <x v="2"/>
    <s v=""/>
    <s v=""/>
    <s v=""/>
    <s v=""/>
    <s v=""/>
    <s v=""/>
    <s v=""/>
    <x v="0"/>
    <x v="0"/>
    <x v="0"/>
  </r>
  <r>
    <x v="50"/>
    <m/>
    <m/>
    <m/>
    <m/>
    <m/>
    <m/>
    <m/>
    <m/>
    <m/>
    <m/>
    <m/>
    <x v="38"/>
    <d v="2015-12-31T08:18:00"/>
    <s v="Patch Set 4: Published edit on patch set 3"/>
    <m/>
    <m/>
    <s v="dong.yang@intel.com"/>
    <x v="1"/>
    <x v="0"/>
    <s v=""/>
    <x v="2"/>
    <s v=""/>
    <s v=""/>
    <s v=""/>
    <s v=""/>
    <s v=""/>
    <s v=""/>
    <s v=""/>
    <x v="0"/>
    <x v="0"/>
    <x v="0"/>
  </r>
  <r>
    <x v="50"/>
    <m/>
    <m/>
    <m/>
    <m/>
    <m/>
    <m/>
    <m/>
    <m/>
    <m/>
    <m/>
    <m/>
    <x v="38"/>
    <d v="2015-12-31T08:18:00"/>
    <s v="Patch Set 4:\n\nPatchset Created: CI job has been scheduled."/>
    <m/>
    <m/>
    <s v="dong.yang@intel.com"/>
    <x v="1"/>
    <x v="0"/>
    <s v=""/>
    <x v="2"/>
    <s v=""/>
    <s v=""/>
    <s v=""/>
    <s v=""/>
    <s v=""/>
    <s v=""/>
    <s v=""/>
    <x v="0"/>
    <x v="0"/>
    <x v="0"/>
  </r>
  <r>
    <x v="50"/>
    <m/>
    <m/>
    <m/>
    <m/>
    <m/>
    <m/>
    <m/>
    <m/>
    <m/>
    <m/>
    <m/>
    <x v="12"/>
    <d v="2015-12-31T20:37:00"/>
    <s v="Patch Set 4: Code-Review+1"/>
    <m/>
    <m/>
    <s v="dong.yang@intel.com"/>
    <x v="1"/>
    <x v="1"/>
    <s v=""/>
    <x v="2"/>
    <s v=""/>
    <s v=""/>
    <s v=""/>
    <s v=""/>
    <s v=""/>
    <s v=""/>
    <s v=""/>
    <x v="0"/>
    <x v="0"/>
    <x v="0"/>
  </r>
  <r>
    <x v="50"/>
    <m/>
    <m/>
    <m/>
    <m/>
    <m/>
    <m/>
    <m/>
    <m/>
    <m/>
    <m/>
    <m/>
    <x v="38"/>
    <d v="2016-01-06T13:24:00"/>
    <s v="Patch Set 4: Code-Review+1"/>
    <m/>
    <m/>
    <s v="dong.yang@intel.com"/>
    <x v="1"/>
    <x v="0"/>
    <s v=""/>
    <x v="2"/>
    <s v=""/>
    <s v=""/>
    <s v=""/>
    <s v=""/>
    <s v=""/>
    <s v=""/>
    <s v=""/>
    <x v="0"/>
    <x v="0"/>
    <x v="0"/>
  </r>
  <r>
    <x v="50"/>
    <m/>
    <m/>
    <m/>
    <m/>
    <m/>
    <m/>
    <m/>
    <m/>
    <m/>
    <m/>
    <m/>
    <x v="14"/>
    <d v="2016-01-07T09:54:00"/>
    <s v="Patch Set 4: Validation-Android+1\n\nreceive smoke test"/>
    <m/>
    <m/>
    <s v="dong.yang@intel.com"/>
    <x v="1"/>
    <x v="5"/>
    <s v=""/>
    <x v="2"/>
    <s v=""/>
    <s v=""/>
    <s v=""/>
    <s v=""/>
    <s v=""/>
    <s v=""/>
    <s v=""/>
    <x v="0"/>
    <x v="1"/>
    <x v="0"/>
  </r>
  <r>
    <x v="50"/>
    <m/>
    <m/>
    <m/>
    <m/>
    <m/>
    <m/>
    <m/>
    <m/>
    <m/>
    <m/>
    <m/>
    <x v="39"/>
    <d v="2016-01-07T09:55:00"/>
    <s v="Patch Set 4: Code-Review+1 Validation-Android+1\n\nsmoke test pass"/>
    <m/>
    <m/>
    <s v="dong.yang@intel.com"/>
    <x v="1"/>
    <x v="3"/>
    <s v=""/>
    <x v="2"/>
    <s v=""/>
    <s v=""/>
    <s v=""/>
    <s v=""/>
    <s v=""/>
    <s v=""/>
    <s v=""/>
    <x v="0"/>
    <x v="0"/>
    <x v="0"/>
  </r>
  <r>
    <x v="50"/>
    <m/>
    <m/>
    <m/>
    <m/>
    <m/>
    <m/>
    <m/>
    <m/>
    <m/>
    <m/>
    <m/>
    <x v="16"/>
    <d v="2016-01-07T15:08:00"/>
    <s v="Patch Set 4: Code-Review-1\n\n(1 comment)"/>
    <s v="line1418 :&quot;why not declare aeSetting in this \&quot;if statement\&quot;; it won't be used outside even it isn't be initialized&quot;"/>
    <m/>
    <s v="dong.yang@intel.com"/>
    <x v="1"/>
    <x v="4"/>
    <s v=""/>
    <x v="2"/>
    <s v=""/>
    <s v=""/>
    <s v=""/>
    <s v=""/>
    <s v=""/>
    <s v=""/>
    <s v=""/>
    <x v="1"/>
    <x v="0"/>
    <x v="0"/>
  </r>
  <r>
    <x v="50"/>
    <m/>
    <m/>
    <m/>
    <m/>
    <m/>
    <m/>
    <m/>
    <m/>
    <m/>
    <m/>
    <m/>
    <x v="16"/>
    <d v="2016-01-07T15:36:00"/>
    <s v="Patch Set 4:\n\n(2 comments)"/>
    <s v="line1973 :&quot;getSceneModeOverride will update the sceneMode&quot; line1973 :&quot;why get the scene mode override value for ANDROID_CONTROL_SCENE_MODE_DISABLED? why not get the current scene mode?&quot;"/>
    <m/>
    <s v="dong.yang@intel.com"/>
    <x v="1"/>
    <x v="4"/>
    <s v=""/>
    <x v="2"/>
    <s v=""/>
    <s v=""/>
    <s v=""/>
    <s v=""/>
    <s v=""/>
    <s v=""/>
    <s v=""/>
    <x v="0"/>
    <x v="0"/>
    <x v="0"/>
  </r>
  <r>
    <x v="50"/>
    <m/>
    <m/>
    <m/>
    <m/>
    <m/>
    <m/>
    <m/>
    <m/>
    <m/>
    <m/>
    <m/>
    <x v="38"/>
    <d v="2016-01-07T15:43:00"/>
    <s v="Patch Set 4:\n\n(1 comment)"/>
    <s v="line1418 :&quot;I will upload a new patch for this modification.\nThanks.&quot;"/>
    <m/>
    <s v="dong.yang@intel.com"/>
    <x v="1"/>
    <x v="0"/>
    <s v=""/>
    <x v="2"/>
    <s v=""/>
    <s v=""/>
    <s v=""/>
    <s v=""/>
    <s v=""/>
    <s v=""/>
    <s v=""/>
    <x v="0"/>
    <x v="0"/>
    <x v="0"/>
  </r>
  <r>
    <x v="50"/>
    <m/>
    <m/>
    <m/>
    <m/>
    <m/>
    <m/>
    <m/>
    <m/>
    <m/>
    <m/>
    <m/>
    <x v="38"/>
    <d v="2016-01-07T16:01:00"/>
    <s v="Uploaded patch set 5."/>
    <m/>
    <m/>
    <s v="dong.yang@intel.com"/>
    <x v="1"/>
    <x v="0"/>
    <s v=""/>
    <x v="2"/>
    <s v=""/>
    <s v=""/>
    <s v=""/>
    <s v=""/>
    <s v=""/>
    <s v=""/>
    <s v=""/>
    <x v="0"/>
    <x v="0"/>
    <x v="0"/>
  </r>
  <r>
    <x v="50"/>
    <m/>
    <m/>
    <m/>
    <m/>
    <m/>
    <m/>
    <m/>
    <m/>
    <m/>
    <m/>
    <m/>
    <x v="38"/>
    <d v="2016-01-07T16:01:00"/>
    <s v="Patch Set 5:\n\nPatchset Created: CI job has been scheduled."/>
    <m/>
    <m/>
    <s v="dong.yang@intel.com"/>
    <x v="1"/>
    <x v="0"/>
    <s v=""/>
    <x v="2"/>
    <s v=""/>
    <s v=""/>
    <s v=""/>
    <s v=""/>
    <s v=""/>
    <s v=""/>
    <s v=""/>
    <x v="0"/>
    <x v="0"/>
    <x v="0"/>
  </r>
  <r>
    <x v="50"/>
    <m/>
    <m/>
    <m/>
    <m/>
    <m/>
    <m/>
    <m/>
    <m/>
    <m/>
    <m/>
    <m/>
    <x v="38"/>
    <d v="2016-01-07T16:03:00"/>
    <s v="Patch Set 5: Code-Review+1"/>
    <m/>
    <m/>
    <s v="dong.yang@intel.com"/>
    <x v="1"/>
    <x v="0"/>
    <s v=""/>
    <x v="2"/>
    <s v=""/>
    <s v=""/>
    <s v=""/>
    <s v=""/>
    <s v=""/>
    <s v=""/>
    <s v=""/>
    <x v="0"/>
    <x v="0"/>
    <x v="0"/>
  </r>
  <r>
    <x v="50"/>
    <m/>
    <m/>
    <m/>
    <m/>
    <m/>
    <m/>
    <m/>
    <m/>
    <m/>
    <m/>
    <m/>
    <x v="16"/>
    <d v="2016-01-07T16:12:00"/>
    <s v="Patch Set 5: Code-Review+1"/>
    <m/>
    <m/>
    <s v="dong.yang@intel.com"/>
    <x v="1"/>
    <x v="4"/>
    <s v=""/>
    <x v="2"/>
    <s v=""/>
    <s v=""/>
    <s v=""/>
    <s v=""/>
    <s v=""/>
    <s v=""/>
    <s v=""/>
    <x v="0"/>
    <x v="0"/>
    <x v="0"/>
  </r>
  <r>
    <x v="50"/>
    <m/>
    <m/>
    <m/>
    <m/>
    <m/>
    <m/>
    <m/>
    <m/>
    <m/>
    <m/>
    <m/>
    <x v="14"/>
    <d v="2016-01-07T16:14:00"/>
    <s v="Patch Set 5: Validation-Android+1\n\nreceive smoke test"/>
    <m/>
    <m/>
    <s v="dong.yang@intel.com"/>
    <x v="1"/>
    <x v="5"/>
    <s v=""/>
    <x v="2"/>
    <s v=""/>
    <s v=""/>
    <s v=""/>
    <s v=""/>
    <s v=""/>
    <s v=""/>
    <s v=""/>
    <x v="0"/>
    <x v="1"/>
    <x v="0"/>
  </r>
  <r>
    <x v="50"/>
    <m/>
    <m/>
    <m/>
    <m/>
    <m/>
    <m/>
    <m/>
    <m/>
    <m/>
    <m/>
    <m/>
    <x v="12"/>
    <d v="2016-01-07T19:09:00"/>
    <s v="Patch Set 5: Code-Review+1"/>
    <m/>
    <m/>
    <s v="dong.yang@intel.com"/>
    <x v="1"/>
    <x v="1"/>
    <s v=""/>
    <x v="2"/>
    <s v=""/>
    <s v=""/>
    <s v=""/>
    <s v=""/>
    <s v=""/>
    <s v=""/>
    <s v=""/>
    <x v="0"/>
    <x v="0"/>
    <x v="0"/>
  </r>
  <r>
    <x v="50"/>
    <m/>
    <m/>
    <m/>
    <m/>
    <m/>
    <m/>
    <m/>
    <m/>
    <m/>
    <m/>
    <m/>
    <x v="3"/>
    <d v="2016-01-08T09:41:00"/>
    <s v="Patch Set 5: Approver+1 Code-Review+1"/>
    <m/>
    <m/>
    <s v="dong.yang@intel.com"/>
    <x v="1"/>
    <x v="2"/>
    <s v=""/>
    <x v="2"/>
    <s v=""/>
    <s v=""/>
    <s v=""/>
    <s v=""/>
    <s v=""/>
    <s v=""/>
    <s v=""/>
    <x v="0"/>
    <x v="0"/>
    <x v="0"/>
  </r>
  <r>
    <x v="50"/>
    <m/>
    <m/>
    <m/>
    <m/>
    <m/>
    <m/>
    <m/>
    <m/>
    <m/>
    <m/>
    <m/>
    <x v="9"/>
    <d v="2016-01-08T14:11:00"/>
    <s v="Patch Set 5: Integrator+1\n\nIntegrator +1; patch will be add to PT; please no change now"/>
    <m/>
    <m/>
    <s v="dong.yang@intel.com"/>
    <x v="1"/>
    <x v="5"/>
    <s v=""/>
    <x v="2"/>
    <s v=""/>
    <s v=""/>
    <s v=""/>
    <s v=""/>
    <s v=""/>
    <s v=""/>
    <s v=""/>
    <x v="0"/>
    <x v="1"/>
    <x v="0"/>
  </r>
  <r>
    <x v="50"/>
    <m/>
    <m/>
    <m/>
    <m/>
    <m/>
    <m/>
    <m/>
    <m/>
    <m/>
    <m/>
    <m/>
    <x v="9"/>
    <d v="2016-01-08T16:42:00"/>
    <s v="Patch Set 5:\n\nPassed Klocwork code analyzing test. No CRITICAL issue in this patch. Auto reported by kwscan@andr-val-srv0.bj.intel.com"/>
    <m/>
    <m/>
    <s v="dong.yang@intel.com"/>
    <x v="1"/>
    <x v="5"/>
    <s v=""/>
    <x v="2"/>
    <s v=""/>
    <s v=""/>
    <s v=""/>
    <s v=""/>
    <s v=""/>
    <s v=""/>
    <s v=""/>
    <x v="0"/>
    <x v="0"/>
    <x v="0"/>
  </r>
  <r>
    <x v="50"/>
    <m/>
    <m/>
    <m/>
    <m/>
    <m/>
    <m/>
    <m/>
    <m/>
    <m/>
    <m/>
    <m/>
    <x v="1"/>
    <d v="2016-01-08T17:03:00"/>
    <s v="Patch Set 5: Code-Review+1"/>
    <m/>
    <m/>
    <s v="dong.yang@intel.com"/>
    <x v="1"/>
    <x v="1"/>
    <s v=""/>
    <x v="2"/>
    <s v=""/>
    <s v=""/>
    <s v=""/>
    <s v=""/>
    <s v=""/>
    <s v=""/>
    <s v=""/>
    <x v="0"/>
    <x v="0"/>
    <x v="0"/>
  </r>
  <r>
    <x v="50"/>
    <m/>
    <m/>
    <m/>
    <m/>
    <m/>
    <m/>
    <m/>
    <m/>
    <m/>
    <m/>
    <m/>
    <x v="9"/>
    <d v="2016-01-08T18:37:00"/>
    <s v="Patch Set 5:\n\nPassed Klocwork code analyzing test. No CRITICAL issue in this patch. Auto reported by kwscan@kw-srv2.bj.intel.com"/>
    <m/>
    <m/>
    <s v="dong.yang@intel.com"/>
    <x v="1"/>
    <x v="5"/>
    <s v=""/>
    <x v="2"/>
    <s v=""/>
    <s v=""/>
    <s v=""/>
    <s v=""/>
    <s v=""/>
    <s v=""/>
    <s v=""/>
    <x v="0"/>
    <x v="0"/>
    <x v="0"/>
  </r>
  <r>
    <x v="50"/>
    <m/>
    <m/>
    <m/>
    <m/>
    <m/>
    <m/>
    <m/>
    <m/>
    <m/>
    <m/>
    <m/>
    <x v="9"/>
    <d v="2016-01-08T20:42:00"/>
    <s v="Patch Set 5:\n\nPassed Klocwork code analyzing test. No CRITICAL issue in this patch. Auto reported by kwscan@psi-build5.bj.intel.com"/>
    <m/>
    <m/>
    <s v="dong.yang@intel.com"/>
    <x v="1"/>
    <x v="5"/>
    <s v=""/>
    <x v="2"/>
    <s v=""/>
    <s v=""/>
    <s v=""/>
    <s v=""/>
    <s v=""/>
    <s v=""/>
    <s v=""/>
    <x v="0"/>
    <x v="0"/>
    <x v="0"/>
  </r>
  <r>
    <x v="50"/>
    <m/>
    <m/>
    <m/>
    <m/>
    <m/>
    <m/>
    <m/>
    <m/>
    <m/>
    <m/>
    <m/>
    <x v="9"/>
    <d v="2016-01-08T21:29:00"/>
    <s v="Patch Set 5:\n\nPassed Klocwork code analyzing test. No CRITICAL issue in this patch. Auto reported by kwscan@kw-srv2.bj.intel.com"/>
    <m/>
    <m/>
    <s v="dong.yang@intel.com"/>
    <x v="1"/>
    <x v="5"/>
    <s v=""/>
    <x v="2"/>
    <s v=""/>
    <s v=""/>
    <s v=""/>
    <s v=""/>
    <s v=""/>
    <s v=""/>
    <s v=""/>
    <x v="0"/>
    <x v="0"/>
    <x v="0"/>
  </r>
  <r>
    <x v="50"/>
    <m/>
    <m/>
    <m/>
    <m/>
    <m/>
    <m/>
    <m/>
    <m/>
    <m/>
    <m/>
    <m/>
    <x v="9"/>
    <d v="2016-01-11T15:40:00"/>
    <s v="Patch Set 5: Integrator-1\n\nPIT test failed with regression 1504138554 on CHT T3"/>
    <m/>
    <m/>
    <s v="dong.yang@intel.com"/>
    <x v="1"/>
    <x v="5"/>
    <s v=""/>
    <x v="2"/>
    <s v=""/>
    <s v=""/>
    <s v=""/>
    <s v=""/>
    <s v=""/>
    <s v=""/>
    <s v=""/>
    <x v="0"/>
    <x v="1"/>
    <x v="0"/>
  </r>
  <r>
    <x v="50"/>
    <m/>
    <m/>
    <m/>
    <m/>
    <m/>
    <m/>
    <m/>
    <m/>
    <m/>
    <m/>
    <m/>
    <x v="9"/>
    <d v="2016-01-11T21:47:00"/>
    <s v="Patch Set 5:\n\nPassed Klocwork code analyzing test. No CRITICAL issue in this patch. Auto reported by kwscan@kw-srv2.bj.intel.com"/>
    <m/>
    <m/>
    <s v="dong.yang@intel.com"/>
    <x v="1"/>
    <x v="5"/>
    <s v=""/>
    <x v="2"/>
    <s v=""/>
    <s v=""/>
    <s v=""/>
    <s v=""/>
    <s v=""/>
    <s v=""/>
    <s v=""/>
    <x v="0"/>
    <x v="0"/>
    <x v="0"/>
  </r>
  <r>
    <x v="50"/>
    <m/>
    <m/>
    <m/>
    <m/>
    <m/>
    <m/>
    <m/>
    <m/>
    <m/>
    <m/>
    <m/>
    <x v="9"/>
    <d v="2016-01-12T00:50:00"/>
    <s v="Patch Set 5:\n\nPassed Klocwork code analyzing test. No CRITICAL issue in this patch. Auto reported by kwscan@kw-srv2.bj.intel.com"/>
    <m/>
    <m/>
    <s v="dong.yang@intel.com"/>
    <x v="1"/>
    <x v="5"/>
    <s v=""/>
    <x v="2"/>
    <s v=""/>
    <s v=""/>
    <s v=""/>
    <s v=""/>
    <s v=""/>
    <s v=""/>
    <s v=""/>
    <x v="0"/>
    <x v="0"/>
    <x v="0"/>
  </r>
  <r>
    <x v="50"/>
    <m/>
    <m/>
    <m/>
    <m/>
    <m/>
    <m/>
    <m/>
    <m/>
    <m/>
    <m/>
    <m/>
    <x v="9"/>
    <d v="2016-01-12T12:16:00"/>
    <s v="Patch Set 5:\n\nPassed Klocwork code analyzing test. No CRITICAL issue in this patch. Auto reported by kwscan@psi-build5.bj.intel.com"/>
    <m/>
    <m/>
    <s v="dong.yang@intel.com"/>
    <x v="1"/>
    <x v="5"/>
    <s v=""/>
    <x v="2"/>
    <s v=""/>
    <s v=""/>
    <s v=""/>
    <s v=""/>
    <s v=""/>
    <s v=""/>
    <s v=""/>
    <x v="0"/>
    <x v="0"/>
    <x v="0"/>
  </r>
  <r>
    <x v="50"/>
    <m/>
    <m/>
    <m/>
    <m/>
    <m/>
    <m/>
    <m/>
    <m/>
    <m/>
    <m/>
    <m/>
    <x v="9"/>
    <d v="2016-01-15T16:44:00"/>
    <s v="Patch Set 5: -Integrator\n\nwill be add to PIt again"/>
    <m/>
    <m/>
    <s v="dong.yang@intel.com"/>
    <x v="1"/>
    <x v="5"/>
    <s v=""/>
    <x v="2"/>
    <s v=""/>
    <s v=""/>
    <s v=""/>
    <s v=""/>
    <s v=""/>
    <s v=""/>
    <s v=""/>
    <x v="0"/>
    <x v="1"/>
    <x v="0"/>
  </r>
  <r>
    <x v="50"/>
    <m/>
    <m/>
    <m/>
    <m/>
    <m/>
    <m/>
    <m/>
    <m/>
    <m/>
    <m/>
    <m/>
    <x v="9"/>
    <d v="2016-01-18T14:23:00"/>
    <s v="Patch Set 5: Integrator+1\n\nIntegrator +1; patch will be add to PT; please no change now"/>
    <m/>
    <m/>
    <s v="dong.yang@intel.com"/>
    <x v="1"/>
    <x v="5"/>
    <s v=""/>
    <x v="2"/>
    <s v=""/>
    <s v=""/>
    <s v=""/>
    <s v=""/>
    <s v=""/>
    <s v=""/>
    <s v=""/>
    <x v="0"/>
    <x v="1"/>
    <x v="0"/>
  </r>
  <r>
    <x v="50"/>
    <m/>
    <m/>
    <m/>
    <m/>
    <m/>
    <m/>
    <m/>
    <m/>
    <m/>
    <m/>
    <m/>
    <x v="9"/>
    <d v="2016-01-18T15:44:00"/>
    <s v="Patch Set 5:\n\nIntegrator +1; patch will be add to PT; please no change now"/>
    <m/>
    <m/>
    <s v="dong.yang@intel.com"/>
    <x v="1"/>
    <x v="5"/>
    <s v=""/>
    <x v="2"/>
    <s v=""/>
    <s v=""/>
    <s v=""/>
    <s v=""/>
    <s v=""/>
    <s v=""/>
    <s v=""/>
    <x v="0"/>
    <x v="1"/>
    <x v="0"/>
  </r>
  <r>
    <x v="50"/>
    <m/>
    <m/>
    <m/>
    <m/>
    <m/>
    <m/>
    <m/>
    <m/>
    <m/>
    <m/>
    <m/>
    <x v="9"/>
    <d v="2016-01-18T19:07:00"/>
    <s v="Patch Set 5:\n\nPassed Klocwork code analyzing test. No CRITICAL issue in this patch. Auto reported by kwscan@andr-val-srv0.bj.intel.com"/>
    <m/>
    <m/>
    <s v="dong.yang@intel.com"/>
    <x v="1"/>
    <x v="5"/>
    <s v=""/>
    <x v="2"/>
    <s v=""/>
    <s v=""/>
    <s v=""/>
    <s v=""/>
    <s v=""/>
    <s v=""/>
    <s v=""/>
    <x v="0"/>
    <x v="0"/>
    <x v="0"/>
  </r>
  <r>
    <x v="50"/>
    <m/>
    <m/>
    <m/>
    <m/>
    <m/>
    <m/>
    <m/>
    <m/>
    <m/>
    <m/>
    <m/>
    <x v="9"/>
    <d v="2016-01-18T20:34:00"/>
    <s v="Patch Set 5:\n\nPassed Klocwork code analyzing test. No CRITICAL issue in this patch. Auto reported by kwscan@andr-val-srv0.bj.intel.com"/>
    <m/>
    <m/>
    <s v="dong.yang@intel.com"/>
    <x v="1"/>
    <x v="5"/>
    <s v=""/>
    <x v="2"/>
    <s v=""/>
    <s v=""/>
    <s v=""/>
    <s v=""/>
    <s v=""/>
    <s v=""/>
    <s v=""/>
    <x v="0"/>
    <x v="0"/>
    <x v="0"/>
  </r>
  <r>
    <x v="50"/>
    <m/>
    <m/>
    <m/>
    <m/>
    <m/>
    <m/>
    <m/>
    <m/>
    <m/>
    <m/>
    <m/>
    <x v="9"/>
    <d v="2016-01-18T21:01:00"/>
    <s v="Patch Set 5:\n\nPassed Klocwork code analyzing test. No CRITICAL issue in this patch. Auto reported by kwscan@kw-srv2.bj.intel.com"/>
    <m/>
    <m/>
    <s v="dong.yang@intel.com"/>
    <x v="1"/>
    <x v="5"/>
    <s v=""/>
    <x v="2"/>
    <s v=""/>
    <s v=""/>
    <s v=""/>
    <s v=""/>
    <s v=""/>
    <s v=""/>
    <s v=""/>
    <x v="0"/>
    <x v="0"/>
    <x v="0"/>
  </r>
  <r>
    <x v="50"/>
    <m/>
    <m/>
    <m/>
    <m/>
    <m/>
    <m/>
    <m/>
    <m/>
    <m/>
    <m/>
    <m/>
    <x v="9"/>
    <d v="2016-01-18T22:50:00"/>
    <s v="Patch Set 5:\n\nPassed Klocwork code analyzing test. No CRITICAL issue in this patch. Auto reported by kwscan@kw-srv2.bj.intel.com"/>
    <m/>
    <m/>
    <s v="dong.yang@intel.com"/>
    <x v="1"/>
    <x v="5"/>
    <s v=""/>
    <x v="2"/>
    <s v=""/>
    <s v=""/>
    <s v=""/>
    <s v=""/>
    <s v=""/>
    <s v=""/>
    <s v=""/>
    <x v="0"/>
    <x v="0"/>
    <x v="0"/>
  </r>
  <r>
    <x v="50"/>
    <m/>
    <m/>
    <m/>
    <m/>
    <m/>
    <m/>
    <m/>
    <m/>
    <m/>
    <m/>
    <m/>
    <x v="9"/>
    <d v="2016-01-19T11:38:00"/>
    <s v="Patch Set 5:\n\nPassed Klocwork code analyzing test. No CRITICAL issue in this patch. Auto reported by kwscan@psi-build5.bj.intel.com"/>
    <m/>
    <m/>
    <s v="dong.yang@intel.com"/>
    <x v="1"/>
    <x v="5"/>
    <s v=""/>
    <x v="2"/>
    <s v=""/>
    <s v=""/>
    <s v=""/>
    <s v=""/>
    <s v=""/>
    <s v=""/>
    <s v=""/>
    <x v="0"/>
    <x v="0"/>
    <x v="0"/>
  </r>
  <r>
    <x v="50"/>
    <m/>
    <m/>
    <m/>
    <m/>
    <m/>
    <m/>
    <m/>
    <m/>
    <m/>
    <m/>
    <m/>
    <x v="9"/>
    <d v="2016-01-19T15:46:00"/>
    <s v="Patch Set 5:\n\nPassed Klocwork code analyzing test. No CRITICAL issue in this patch. Auto reported by kwscan@psi-build5.bj.intel.com"/>
    <m/>
    <m/>
    <s v="dong.yang@intel.com"/>
    <x v="1"/>
    <x v="5"/>
    <s v=""/>
    <x v="2"/>
    <s v=""/>
    <s v=""/>
    <s v=""/>
    <s v=""/>
    <s v=""/>
    <s v=""/>
    <s v=""/>
    <x v="0"/>
    <x v="0"/>
    <x v="0"/>
  </r>
  <r>
    <x v="50"/>
    <m/>
    <m/>
    <m/>
    <m/>
    <m/>
    <m/>
    <m/>
    <m/>
    <m/>
    <m/>
    <m/>
    <x v="9"/>
    <d v="2016-01-19T18:34:00"/>
    <s v="Patch Set 5: Code-Review+1\n\nPassed PIT; ready for merge"/>
    <m/>
    <m/>
    <s v="dong.yang@intel.com"/>
    <x v="1"/>
    <x v="5"/>
    <s v=""/>
    <x v="2"/>
    <s v=""/>
    <s v=""/>
    <s v=""/>
    <s v=""/>
    <s v=""/>
    <s v=""/>
    <s v=""/>
    <x v="0"/>
    <x v="0"/>
    <x v="0"/>
  </r>
  <r>
    <x v="51"/>
    <n v="93300"/>
    <s v="vied-viedandr-camera3hal"/>
    <s v="platform/android/main"/>
    <s v="Id93f9250b767702b3edbf84d5d2f57c4c5da9b52"/>
    <s v="john.mathew@intel.com"/>
    <s v="MERGED"/>
    <s v="c3: Parse MEDIA_BUS_FMT_YUYV12_1X24"/>
    <s v="c3: Parse MEDIA_BUS_FMT_YUYV12_1X24\n\nChange-Id: Id93f9250b767702b3edbf84d5d2f57c4c5da9b52\nTracked-On: #R495266\nSigned-off-by: John Mathew &lt;john.mathew@intel.com&gt;\nReviewed-on: https://icggerrit.ir.intel.com/93300\nReviewed-by: Wei W Sun &lt;wei.w.sun@intel.com&gt;\nReviewed-by: Lassi I Vaatamoinen &lt;lassi.i.vaatamoinen@intel.com&gt;\nReviewed-by: Jukka O Kaartinen &lt;jukka.o.kaartinen@intel.com&gt;\nValidation-Android: Wei Tao &lt;wei.tao@intel.com&gt;\nBuild: Dessert M BXT RVP (SC)\nApprover: Jukka O Kaartinen &lt;jukka.o.kaartinen@intel.com&gt;\nBuild: Dessert M CHT FFD (SC)\nValidation-Android: Dessert M CHT FFD (SC)\nIntegrator: WeiX Meng &lt;weix.meng@intel.com&gt;\nReviewed-by: WeiX Meng &lt;weix.meng@intel.com&gt;\n"/>
    <d v="2016-01-04T23:17:00"/>
    <d v="2016-01-19T18:37:00"/>
    <s v="common"/>
    <x v="8"/>
    <d v="2016-01-04T23:17:00"/>
    <s v="Uploaded patch set 1."/>
    <m/>
    <s v="weix.meng@intel.com;jukka.o.kaartinen@intel.com;lassi.i.vaatamoinen@intel.com;wei.w.sun@intel.com;"/>
    <s v="john.mathew@intel.com"/>
    <x v="0"/>
    <x v="0"/>
    <s v="16'ww4"/>
    <x v="2"/>
    <n v="0"/>
    <n v="0"/>
    <n v="0"/>
    <n v="0"/>
    <n v="1"/>
    <n v="4"/>
    <n v="0"/>
    <x v="0"/>
    <x v="0"/>
    <x v="0"/>
  </r>
  <r>
    <x v="51"/>
    <m/>
    <m/>
    <m/>
    <m/>
    <m/>
    <m/>
    <m/>
    <m/>
    <m/>
    <m/>
    <m/>
    <x v="8"/>
    <d v="2016-01-04T23:17:00"/>
    <s v="Patch Set 1:\n\nPatchset Created: CI job has been scheduled."/>
    <m/>
    <m/>
    <s v="john.mathew@intel.com"/>
    <x v="0"/>
    <x v="0"/>
    <s v=""/>
    <x v="2"/>
    <s v=""/>
    <s v=""/>
    <s v=""/>
    <s v=""/>
    <s v=""/>
    <s v=""/>
    <s v=""/>
    <x v="0"/>
    <x v="0"/>
    <x v="0"/>
  </r>
  <r>
    <x v="51"/>
    <m/>
    <m/>
    <m/>
    <m/>
    <m/>
    <m/>
    <m/>
    <m/>
    <m/>
    <m/>
    <m/>
    <x v="8"/>
    <d v="2016-01-04T23:26:00"/>
    <s v="Uploaded patch set 2: Patch Set 1 was rebased."/>
    <m/>
    <m/>
    <s v="john.mathew@intel.com"/>
    <x v="0"/>
    <x v="0"/>
    <s v=""/>
    <x v="2"/>
    <s v=""/>
    <s v=""/>
    <s v=""/>
    <s v=""/>
    <s v=""/>
    <s v=""/>
    <s v=""/>
    <x v="0"/>
    <x v="0"/>
    <x v="0"/>
  </r>
  <r>
    <x v="51"/>
    <m/>
    <m/>
    <m/>
    <m/>
    <m/>
    <m/>
    <m/>
    <m/>
    <m/>
    <m/>
    <m/>
    <x v="8"/>
    <d v="2016-01-04T23:26:00"/>
    <s v="Patch Set 2:\n\nPatchset Created: CI job has been scheduled."/>
    <m/>
    <m/>
    <s v="john.mathew@intel.com"/>
    <x v="0"/>
    <x v="0"/>
    <s v=""/>
    <x v="2"/>
    <s v=""/>
    <s v=""/>
    <s v=""/>
    <s v=""/>
    <s v=""/>
    <s v=""/>
    <s v=""/>
    <x v="0"/>
    <x v="0"/>
    <x v="0"/>
  </r>
  <r>
    <x v="51"/>
    <m/>
    <m/>
    <m/>
    <m/>
    <m/>
    <m/>
    <m/>
    <m/>
    <m/>
    <m/>
    <m/>
    <x v="8"/>
    <d v="2016-01-05T16:21:00"/>
    <s v="Patch Set 3:\n\nPatchset Created: CI job has been scheduled."/>
    <m/>
    <m/>
    <s v="john.mathew@intel.com"/>
    <x v="0"/>
    <x v="0"/>
    <s v=""/>
    <x v="2"/>
    <s v=""/>
    <s v=""/>
    <s v=""/>
    <s v=""/>
    <s v=""/>
    <s v=""/>
    <s v=""/>
    <x v="0"/>
    <x v="0"/>
    <x v="0"/>
  </r>
  <r>
    <x v="51"/>
    <m/>
    <m/>
    <m/>
    <m/>
    <m/>
    <m/>
    <m/>
    <m/>
    <m/>
    <m/>
    <m/>
    <x v="8"/>
    <d v="2016-01-05T16:21:00"/>
    <s v="Uploaded patch set 3: Patch Set 2 was rebased."/>
    <m/>
    <m/>
    <s v="john.mathew@intel.com"/>
    <x v="0"/>
    <x v="0"/>
    <s v=""/>
    <x v="2"/>
    <s v=""/>
    <s v=""/>
    <s v=""/>
    <s v=""/>
    <s v=""/>
    <s v=""/>
    <s v=""/>
    <x v="0"/>
    <x v="0"/>
    <x v="0"/>
  </r>
  <r>
    <x v="51"/>
    <m/>
    <m/>
    <m/>
    <m/>
    <m/>
    <m/>
    <m/>
    <m/>
    <m/>
    <m/>
    <m/>
    <x v="8"/>
    <d v="2016-01-05T16:41:00"/>
    <s v="Patch Set 3: Code-Review+1"/>
    <m/>
    <m/>
    <s v="john.mathew@intel.com"/>
    <x v="0"/>
    <x v="0"/>
    <s v=""/>
    <x v="2"/>
    <s v=""/>
    <s v=""/>
    <s v=""/>
    <s v=""/>
    <s v=""/>
    <s v=""/>
    <s v=""/>
    <x v="0"/>
    <x v="0"/>
    <x v="0"/>
  </r>
  <r>
    <x v="51"/>
    <m/>
    <m/>
    <m/>
    <m/>
    <m/>
    <m/>
    <m/>
    <m/>
    <m/>
    <m/>
    <m/>
    <x v="8"/>
    <d v="2016-01-05T17:30:00"/>
    <s v="Uploaded patch set 4: Patch Set 3 was rebased."/>
    <m/>
    <m/>
    <s v="john.mathew@intel.com"/>
    <x v="0"/>
    <x v="0"/>
    <s v=""/>
    <x v="2"/>
    <s v=""/>
    <s v=""/>
    <s v=""/>
    <s v=""/>
    <s v=""/>
    <s v=""/>
    <s v=""/>
    <x v="0"/>
    <x v="0"/>
    <x v="0"/>
  </r>
  <r>
    <x v="51"/>
    <m/>
    <m/>
    <m/>
    <m/>
    <m/>
    <m/>
    <m/>
    <m/>
    <m/>
    <m/>
    <m/>
    <x v="8"/>
    <d v="2016-01-05T17:30:00"/>
    <s v="Patch Set 4:\n\nPatchset Created: CI job has been scheduled."/>
    <m/>
    <m/>
    <s v="john.mathew@intel.com"/>
    <x v="0"/>
    <x v="0"/>
    <s v=""/>
    <x v="2"/>
    <s v=""/>
    <s v=""/>
    <s v=""/>
    <s v=""/>
    <s v=""/>
    <s v=""/>
    <s v=""/>
    <x v="0"/>
    <x v="0"/>
    <x v="0"/>
  </r>
  <r>
    <x v="51"/>
    <m/>
    <m/>
    <m/>
    <m/>
    <m/>
    <m/>
    <m/>
    <m/>
    <m/>
    <m/>
    <m/>
    <x v="8"/>
    <d v="2016-01-05T17:57:00"/>
    <s v="Uploaded patch set 5: Patch Set 4 was rebased."/>
    <m/>
    <m/>
    <s v="john.mathew@intel.com"/>
    <x v="0"/>
    <x v="0"/>
    <s v=""/>
    <x v="2"/>
    <s v=""/>
    <s v=""/>
    <s v=""/>
    <s v=""/>
    <s v=""/>
    <s v=""/>
    <s v=""/>
    <x v="0"/>
    <x v="0"/>
    <x v="0"/>
  </r>
  <r>
    <x v="51"/>
    <m/>
    <m/>
    <m/>
    <m/>
    <m/>
    <m/>
    <m/>
    <m/>
    <m/>
    <m/>
    <m/>
    <x v="8"/>
    <d v="2016-01-05T17:57:00"/>
    <s v="Patch Set 5:\n\nPatchset Created: CI job has been scheduled."/>
    <m/>
    <m/>
    <s v="john.mathew@intel.com"/>
    <x v="0"/>
    <x v="0"/>
    <s v=""/>
    <x v="2"/>
    <s v=""/>
    <s v=""/>
    <s v=""/>
    <s v=""/>
    <s v=""/>
    <s v=""/>
    <s v=""/>
    <x v="0"/>
    <x v="0"/>
    <x v="0"/>
  </r>
  <r>
    <x v="51"/>
    <m/>
    <m/>
    <m/>
    <m/>
    <m/>
    <m/>
    <m/>
    <m/>
    <m/>
    <m/>
    <m/>
    <x v="8"/>
    <d v="2016-01-05T19:59:00"/>
    <s v="Uploaded patch set 6: Patch Set 5 was rebased."/>
    <m/>
    <m/>
    <s v="john.mathew@intel.com"/>
    <x v="0"/>
    <x v="0"/>
    <s v=""/>
    <x v="2"/>
    <s v=""/>
    <s v=""/>
    <s v=""/>
    <s v=""/>
    <s v=""/>
    <s v=""/>
    <s v=""/>
    <x v="0"/>
    <x v="0"/>
    <x v="0"/>
  </r>
  <r>
    <x v="51"/>
    <m/>
    <m/>
    <m/>
    <m/>
    <m/>
    <m/>
    <m/>
    <m/>
    <m/>
    <m/>
    <m/>
    <x v="8"/>
    <d v="2016-01-05T19:59:00"/>
    <s v="Patch Set 6:\n\nPatchset Created: CI job has been scheduled."/>
    <m/>
    <m/>
    <s v="john.mathew@intel.com"/>
    <x v="0"/>
    <x v="0"/>
    <s v=""/>
    <x v="2"/>
    <s v=""/>
    <s v=""/>
    <s v=""/>
    <s v=""/>
    <s v=""/>
    <s v=""/>
    <s v=""/>
    <x v="0"/>
    <x v="0"/>
    <x v="0"/>
  </r>
  <r>
    <x v="51"/>
    <m/>
    <m/>
    <m/>
    <m/>
    <m/>
    <m/>
    <m/>
    <m/>
    <m/>
    <m/>
    <m/>
    <x v="40"/>
    <d v="2016-01-06T10:43:00"/>
    <s v="Patch Set 6: Code-Review+1"/>
    <m/>
    <m/>
    <s v="john.mathew@intel.com"/>
    <x v="0"/>
    <x v="4"/>
    <s v=""/>
    <x v="2"/>
    <s v=""/>
    <s v=""/>
    <s v=""/>
    <s v=""/>
    <s v=""/>
    <s v=""/>
    <s v=""/>
    <x v="0"/>
    <x v="0"/>
    <x v="0"/>
  </r>
  <r>
    <x v="51"/>
    <m/>
    <m/>
    <m/>
    <m/>
    <m/>
    <m/>
    <m/>
    <m/>
    <m/>
    <m/>
    <m/>
    <x v="8"/>
    <d v="2016-01-07T14:19:00"/>
    <s v="Uploaded patch set 7: Patch Set 6 was rebased."/>
    <m/>
    <m/>
    <s v="john.mathew@intel.com"/>
    <x v="0"/>
    <x v="0"/>
    <s v=""/>
    <x v="2"/>
    <s v=""/>
    <s v=""/>
    <s v=""/>
    <s v=""/>
    <s v=""/>
    <s v=""/>
    <s v=""/>
    <x v="0"/>
    <x v="0"/>
    <x v="0"/>
  </r>
  <r>
    <x v="51"/>
    <m/>
    <m/>
    <m/>
    <m/>
    <m/>
    <m/>
    <m/>
    <m/>
    <m/>
    <m/>
    <m/>
    <x v="8"/>
    <d v="2016-01-07T14:20:00"/>
    <s v="Patch Set 7:\n\nPatchset Created: CI job has been scheduled."/>
    <m/>
    <m/>
    <s v="john.mathew@intel.com"/>
    <x v="0"/>
    <x v="0"/>
    <s v=""/>
    <x v="2"/>
    <s v=""/>
    <s v=""/>
    <s v=""/>
    <s v=""/>
    <s v=""/>
    <s v=""/>
    <s v=""/>
    <x v="0"/>
    <x v="0"/>
    <x v="0"/>
  </r>
  <r>
    <x v="51"/>
    <m/>
    <m/>
    <m/>
    <m/>
    <m/>
    <m/>
    <m/>
    <m/>
    <m/>
    <m/>
    <m/>
    <x v="14"/>
    <d v="2016-01-07T15:02:00"/>
    <s v="Patch Set 7: Validation-Android+1\n\nreceive smoke test"/>
    <m/>
    <m/>
    <s v="john.mathew@intel.com"/>
    <x v="0"/>
    <x v="5"/>
    <s v=""/>
    <x v="2"/>
    <s v=""/>
    <s v=""/>
    <s v=""/>
    <s v=""/>
    <s v=""/>
    <s v=""/>
    <s v=""/>
    <x v="0"/>
    <x v="1"/>
    <x v="0"/>
  </r>
  <r>
    <x v="51"/>
    <m/>
    <m/>
    <m/>
    <m/>
    <m/>
    <m/>
    <m/>
    <m/>
    <m/>
    <m/>
    <m/>
    <x v="12"/>
    <d v="2016-01-07T18:09:00"/>
    <s v="Patch Set 7: Code-Review+1"/>
    <m/>
    <m/>
    <s v="john.mathew@intel.com"/>
    <x v="0"/>
    <x v="1"/>
    <s v=""/>
    <x v="2"/>
    <s v=""/>
    <s v=""/>
    <s v=""/>
    <s v=""/>
    <s v=""/>
    <s v=""/>
    <s v=""/>
    <x v="0"/>
    <x v="0"/>
    <x v="0"/>
  </r>
  <r>
    <x v="51"/>
    <m/>
    <m/>
    <m/>
    <m/>
    <m/>
    <m/>
    <m/>
    <m/>
    <m/>
    <m/>
    <m/>
    <x v="2"/>
    <d v="2016-01-07T18:47:00"/>
    <s v="Patch Set 7: Code-Review+1"/>
    <m/>
    <m/>
    <s v="john.mathew@intel.com"/>
    <x v="0"/>
    <x v="1"/>
    <s v=""/>
    <x v="2"/>
    <s v=""/>
    <s v=""/>
    <s v=""/>
    <s v=""/>
    <s v=""/>
    <s v=""/>
    <s v=""/>
    <x v="0"/>
    <x v="0"/>
    <x v="0"/>
  </r>
  <r>
    <x v="51"/>
    <m/>
    <m/>
    <m/>
    <m/>
    <m/>
    <m/>
    <m/>
    <m/>
    <m/>
    <m/>
    <m/>
    <x v="8"/>
    <d v="2016-01-07T19:07:00"/>
    <s v="Uploaded patch set 8: Patch Set 7 was rebased."/>
    <m/>
    <m/>
    <s v="john.mathew@intel.com"/>
    <x v="0"/>
    <x v="0"/>
    <s v=""/>
    <x v="2"/>
    <s v=""/>
    <s v=""/>
    <s v=""/>
    <s v=""/>
    <s v=""/>
    <s v=""/>
    <s v=""/>
    <x v="0"/>
    <x v="0"/>
    <x v="0"/>
  </r>
  <r>
    <x v="51"/>
    <m/>
    <m/>
    <m/>
    <m/>
    <m/>
    <m/>
    <m/>
    <m/>
    <m/>
    <m/>
    <m/>
    <x v="8"/>
    <d v="2016-01-07T19:07:00"/>
    <s v="Patch Set 8:\n\nPatchset Created: CI job has been scheduled."/>
    <m/>
    <m/>
    <s v="john.mathew@intel.com"/>
    <x v="0"/>
    <x v="0"/>
    <s v=""/>
    <x v="2"/>
    <s v=""/>
    <s v=""/>
    <s v=""/>
    <s v=""/>
    <s v=""/>
    <s v=""/>
    <s v=""/>
    <x v="0"/>
    <x v="0"/>
    <x v="0"/>
  </r>
  <r>
    <x v="51"/>
    <m/>
    <m/>
    <m/>
    <m/>
    <m/>
    <m/>
    <m/>
    <m/>
    <m/>
    <m/>
    <m/>
    <x v="14"/>
    <d v="2016-01-07T19:12:00"/>
    <s v="Patch Set 8: Validation-Android+1\n\nreceive smoke test"/>
    <m/>
    <m/>
    <s v="john.mathew@intel.com"/>
    <x v="0"/>
    <x v="5"/>
    <s v=""/>
    <x v="2"/>
    <s v=""/>
    <s v=""/>
    <s v=""/>
    <s v=""/>
    <s v=""/>
    <s v=""/>
    <s v=""/>
    <x v="0"/>
    <x v="1"/>
    <x v="0"/>
  </r>
  <r>
    <x v="51"/>
    <m/>
    <m/>
    <m/>
    <m/>
    <m/>
    <m/>
    <m/>
    <m/>
    <m/>
    <m/>
    <m/>
    <x v="8"/>
    <d v="2016-01-07T19:29:00"/>
    <s v="Uploaded patch set 9: Patch Set 8 was rebased."/>
    <m/>
    <m/>
    <s v="john.mathew@intel.com"/>
    <x v="0"/>
    <x v="0"/>
    <s v=""/>
    <x v="2"/>
    <s v=""/>
    <s v=""/>
    <s v=""/>
    <s v=""/>
    <s v=""/>
    <s v=""/>
    <s v=""/>
    <x v="0"/>
    <x v="0"/>
    <x v="0"/>
  </r>
  <r>
    <x v="51"/>
    <m/>
    <m/>
    <m/>
    <m/>
    <m/>
    <m/>
    <m/>
    <m/>
    <m/>
    <m/>
    <m/>
    <x v="8"/>
    <d v="2016-01-07T19:29:00"/>
    <s v="Patch Set 9:\n\nPatchset Created: CI job has been scheduled."/>
    <m/>
    <m/>
    <s v="john.mathew@intel.com"/>
    <x v="0"/>
    <x v="0"/>
    <s v=""/>
    <x v="2"/>
    <s v=""/>
    <s v=""/>
    <s v=""/>
    <s v=""/>
    <s v=""/>
    <s v=""/>
    <s v=""/>
    <x v="0"/>
    <x v="0"/>
    <x v="0"/>
  </r>
  <r>
    <x v="51"/>
    <m/>
    <m/>
    <m/>
    <m/>
    <m/>
    <m/>
    <m/>
    <m/>
    <m/>
    <m/>
    <m/>
    <x v="14"/>
    <d v="2016-01-07T19:41:00"/>
    <s v="Patch Set 9: Validation-Android+1\n\nreceive smoke test"/>
    <m/>
    <m/>
    <s v="john.mathew@intel.com"/>
    <x v="0"/>
    <x v="5"/>
    <s v=""/>
    <x v="2"/>
    <s v=""/>
    <s v=""/>
    <s v=""/>
    <s v=""/>
    <s v=""/>
    <s v=""/>
    <s v=""/>
    <x v="0"/>
    <x v="1"/>
    <x v="0"/>
  </r>
  <r>
    <x v="51"/>
    <m/>
    <m/>
    <m/>
    <m/>
    <m/>
    <m/>
    <m/>
    <m/>
    <m/>
    <m/>
    <m/>
    <x v="2"/>
    <d v="2016-01-07T21:12:00"/>
    <s v="Patch Set 9: Approver+1"/>
    <m/>
    <m/>
    <s v="john.mathew@intel.com"/>
    <x v="0"/>
    <x v="1"/>
    <s v=""/>
    <x v="2"/>
    <s v=""/>
    <s v=""/>
    <s v=""/>
    <s v=""/>
    <s v=""/>
    <s v=""/>
    <s v=""/>
    <x v="0"/>
    <x v="0"/>
    <x v="0"/>
  </r>
  <r>
    <x v="51"/>
    <m/>
    <m/>
    <m/>
    <m/>
    <m/>
    <m/>
    <m/>
    <m/>
    <m/>
    <m/>
    <m/>
    <x v="2"/>
    <d v="2016-01-07T21:12:00"/>
    <s v="Topic changed from 7.1_v3 to bxt_preint"/>
    <m/>
    <m/>
    <s v="john.mathew@intel.com"/>
    <x v="0"/>
    <x v="1"/>
    <s v=""/>
    <x v="2"/>
    <s v=""/>
    <s v=""/>
    <s v=""/>
    <s v=""/>
    <s v=""/>
    <s v=""/>
    <s v=""/>
    <x v="0"/>
    <x v="0"/>
    <x v="0"/>
  </r>
  <r>
    <x v="51"/>
    <m/>
    <m/>
    <m/>
    <m/>
    <m/>
    <m/>
    <m/>
    <m/>
    <m/>
    <m/>
    <m/>
    <x v="9"/>
    <d v="2016-01-08T14:14:00"/>
    <s v="Patch Set 9: Integrator+1\n\nIntegrator +1; patch will be add to PT; please no change now"/>
    <m/>
    <m/>
    <s v="john.mathew@intel.com"/>
    <x v="0"/>
    <x v="5"/>
    <s v=""/>
    <x v="2"/>
    <s v=""/>
    <s v=""/>
    <s v=""/>
    <s v=""/>
    <s v=""/>
    <s v=""/>
    <s v=""/>
    <x v="0"/>
    <x v="1"/>
    <x v="0"/>
  </r>
  <r>
    <x v="51"/>
    <m/>
    <m/>
    <m/>
    <m/>
    <m/>
    <m/>
    <m/>
    <m/>
    <m/>
    <m/>
    <m/>
    <x v="9"/>
    <d v="2016-01-08T16:43:00"/>
    <s v="Patch Set 9:\n\nPassed Klocwork code analyzing test. No CRITICAL issue in this patch. Auto reported by kwscan@andr-val-srv0.bj.intel.com"/>
    <m/>
    <m/>
    <s v="john.mathew@intel.com"/>
    <x v="0"/>
    <x v="5"/>
    <s v=""/>
    <x v="2"/>
    <s v=""/>
    <s v=""/>
    <s v=""/>
    <s v=""/>
    <s v=""/>
    <s v=""/>
    <s v=""/>
    <x v="0"/>
    <x v="0"/>
    <x v="0"/>
  </r>
  <r>
    <x v="51"/>
    <m/>
    <m/>
    <m/>
    <m/>
    <m/>
    <m/>
    <m/>
    <m/>
    <m/>
    <m/>
    <m/>
    <x v="9"/>
    <d v="2016-01-08T18:38:00"/>
    <s v="Patch Set 9:\n\nPassed Klocwork code analyzing test. No CRITICAL issue in this patch. Auto reported by kwscan@kw-srv2.bj.intel.com"/>
    <m/>
    <m/>
    <s v="john.mathew@intel.com"/>
    <x v="0"/>
    <x v="5"/>
    <s v=""/>
    <x v="2"/>
    <s v=""/>
    <s v=""/>
    <s v=""/>
    <s v=""/>
    <s v=""/>
    <s v=""/>
    <s v=""/>
    <x v="0"/>
    <x v="0"/>
    <x v="0"/>
  </r>
  <r>
    <x v="51"/>
    <m/>
    <m/>
    <m/>
    <m/>
    <m/>
    <m/>
    <m/>
    <m/>
    <m/>
    <m/>
    <m/>
    <x v="9"/>
    <d v="2016-01-08T20:42:00"/>
    <s v="Patch Set 9:\n\nPassed Klocwork code analyzing test. No CRITICAL issue in this patch. Auto reported by kwscan@psi-build5.bj.intel.com"/>
    <m/>
    <m/>
    <s v="john.mathew@intel.com"/>
    <x v="0"/>
    <x v="5"/>
    <s v=""/>
    <x v="2"/>
    <s v=""/>
    <s v=""/>
    <s v=""/>
    <s v=""/>
    <s v=""/>
    <s v=""/>
    <s v=""/>
    <x v="0"/>
    <x v="0"/>
    <x v="0"/>
  </r>
  <r>
    <x v="51"/>
    <m/>
    <m/>
    <m/>
    <m/>
    <m/>
    <m/>
    <m/>
    <m/>
    <m/>
    <m/>
    <m/>
    <x v="9"/>
    <d v="2016-01-08T21:30:00"/>
    <s v="Patch Set 9:\n\nPassed Klocwork code analyzing test. No CRITICAL issue in this patch. Auto reported by kwscan@kw-srv2.bj.intel.com"/>
    <m/>
    <m/>
    <s v="john.mathew@intel.com"/>
    <x v="0"/>
    <x v="5"/>
    <s v=""/>
    <x v="2"/>
    <s v=""/>
    <s v=""/>
    <s v=""/>
    <s v=""/>
    <s v=""/>
    <s v=""/>
    <s v=""/>
    <x v="0"/>
    <x v="0"/>
    <x v="0"/>
  </r>
  <r>
    <x v="51"/>
    <m/>
    <m/>
    <m/>
    <m/>
    <m/>
    <m/>
    <m/>
    <m/>
    <m/>
    <m/>
    <m/>
    <x v="9"/>
    <d v="2016-01-11T15:41:00"/>
    <s v="Patch Set 9: Integrator-1"/>
    <m/>
    <m/>
    <s v="john.mathew@intel.com"/>
    <x v="0"/>
    <x v="5"/>
    <s v=""/>
    <x v="2"/>
    <s v=""/>
    <s v=""/>
    <s v=""/>
    <s v=""/>
    <s v=""/>
    <s v=""/>
    <s v=""/>
    <x v="0"/>
    <x v="1"/>
    <x v="0"/>
  </r>
  <r>
    <x v="51"/>
    <m/>
    <m/>
    <m/>
    <m/>
    <m/>
    <m/>
    <m/>
    <m/>
    <m/>
    <m/>
    <m/>
    <x v="9"/>
    <d v="2016-01-11T21:48:00"/>
    <s v="Patch Set 9:\n\nPassed Klocwork code analyzing test. No CRITICAL issue in this patch. Auto reported by kwscan@kw-srv2.bj.intel.com"/>
    <m/>
    <m/>
    <s v="john.mathew@intel.com"/>
    <x v="0"/>
    <x v="5"/>
    <s v=""/>
    <x v="2"/>
    <s v=""/>
    <s v=""/>
    <s v=""/>
    <s v=""/>
    <s v=""/>
    <s v=""/>
    <s v=""/>
    <x v="0"/>
    <x v="0"/>
    <x v="0"/>
  </r>
  <r>
    <x v="51"/>
    <m/>
    <m/>
    <m/>
    <m/>
    <m/>
    <m/>
    <m/>
    <m/>
    <m/>
    <m/>
    <m/>
    <x v="9"/>
    <d v="2016-01-12T00:51:00"/>
    <s v="Patch Set 9:\n\nPassed Klocwork code analyzing test. No CRITICAL issue in this patch. Auto reported by kwscan@kw-srv2.bj.intel.com"/>
    <m/>
    <m/>
    <s v="john.mathew@intel.com"/>
    <x v="0"/>
    <x v="5"/>
    <s v=""/>
    <x v="2"/>
    <s v=""/>
    <s v=""/>
    <s v=""/>
    <s v=""/>
    <s v=""/>
    <s v=""/>
    <s v=""/>
    <x v="0"/>
    <x v="0"/>
    <x v="0"/>
  </r>
  <r>
    <x v="51"/>
    <m/>
    <m/>
    <m/>
    <m/>
    <m/>
    <m/>
    <m/>
    <m/>
    <m/>
    <m/>
    <m/>
    <x v="9"/>
    <d v="2016-01-12T12:18:00"/>
    <s v="Patch Set 9:\n\nPassed Klocwork code analyzing test. No CRITICAL issue in this patch. Auto reported by kwscan@psi-build5.bj.intel.com"/>
    <m/>
    <m/>
    <s v="john.mathew@intel.com"/>
    <x v="0"/>
    <x v="5"/>
    <s v=""/>
    <x v="2"/>
    <s v=""/>
    <s v=""/>
    <s v=""/>
    <s v=""/>
    <s v=""/>
    <s v=""/>
    <s v=""/>
    <x v="0"/>
    <x v="0"/>
    <x v="0"/>
  </r>
  <r>
    <x v="51"/>
    <m/>
    <m/>
    <m/>
    <m/>
    <m/>
    <m/>
    <m/>
    <m/>
    <m/>
    <m/>
    <m/>
    <x v="9"/>
    <d v="2016-01-15T16:44:00"/>
    <s v="Patch Set 9: -Integrator\n\nwill be add PIt again"/>
    <m/>
    <m/>
    <s v="john.mathew@intel.com"/>
    <x v="0"/>
    <x v="5"/>
    <s v=""/>
    <x v="2"/>
    <s v=""/>
    <s v=""/>
    <s v=""/>
    <s v=""/>
    <s v=""/>
    <s v=""/>
    <s v=""/>
    <x v="0"/>
    <x v="1"/>
    <x v="0"/>
  </r>
  <r>
    <x v="51"/>
    <m/>
    <m/>
    <m/>
    <m/>
    <m/>
    <m/>
    <m/>
    <m/>
    <m/>
    <m/>
    <m/>
    <x v="9"/>
    <d v="2016-01-18T14:23:00"/>
    <s v="Patch Set 9: Integrator+1\n\nIntegrator +1; patch will be add to PT; please no change now"/>
    <m/>
    <m/>
    <s v="john.mathew@intel.com"/>
    <x v="0"/>
    <x v="5"/>
    <s v=""/>
    <x v="2"/>
    <s v=""/>
    <s v=""/>
    <s v=""/>
    <s v=""/>
    <s v=""/>
    <s v=""/>
    <s v=""/>
    <x v="0"/>
    <x v="1"/>
    <x v="0"/>
  </r>
  <r>
    <x v="51"/>
    <m/>
    <m/>
    <m/>
    <m/>
    <m/>
    <m/>
    <m/>
    <m/>
    <m/>
    <m/>
    <m/>
    <x v="9"/>
    <d v="2016-01-18T15:44:00"/>
    <s v="Patch Set 9:\n\nIntegrator +1; patch will be add to PT; please no change now"/>
    <m/>
    <m/>
    <s v="john.mathew@intel.com"/>
    <x v="0"/>
    <x v="5"/>
    <s v=""/>
    <x v="2"/>
    <s v=""/>
    <s v=""/>
    <s v=""/>
    <s v=""/>
    <s v=""/>
    <s v=""/>
    <s v=""/>
    <x v="0"/>
    <x v="1"/>
    <x v="0"/>
  </r>
  <r>
    <x v="51"/>
    <m/>
    <m/>
    <m/>
    <m/>
    <m/>
    <m/>
    <m/>
    <m/>
    <m/>
    <m/>
    <m/>
    <x v="9"/>
    <d v="2016-01-18T19:07:00"/>
    <s v="Patch Set 9:\n\nPassed Klocwork code analyzing test. No CRITICAL issue in this patch. Auto reported by kwscan@andr-val-srv0.bj.intel.com"/>
    <m/>
    <m/>
    <s v="john.mathew@intel.com"/>
    <x v="0"/>
    <x v="5"/>
    <s v=""/>
    <x v="2"/>
    <s v=""/>
    <s v=""/>
    <s v=""/>
    <s v=""/>
    <s v=""/>
    <s v=""/>
    <s v=""/>
    <x v="0"/>
    <x v="0"/>
    <x v="0"/>
  </r>
  <r>
    <x v="51"/>
    <m/>
    <m/>
    <m/>
    <m/>
    <m/>
    <m/>
    <m/>
    <m/>
    <m/>
    <m/>
    <m/>
    <x v="9"/>
    <d v="2016-01-18T20:33:00"/>
    <s v="Patch Set 9:\n\nPassed Klocwork code analyzing test. No CRITICAL issue in this patch. Auto reported by kwscan@andr-val-srv0.bj.intel.com"/>
    <m/>
    <m/>
    <s v="john.mathew@intel.com"/>
    <x v="0"/>
    <x v="5"/>
    <s v=""/>
    <x v="2"/>
    <s v=""/>
    <s v=""/>
    <s v=""/>
    <s v=""/>
    <s v=""/>
    <s v=""/>
    <s v=""/>
    <x v="0"/>
    <x v="0"/>
    <x v="0"/>
  </r>
  <r>
    <x v="51"/>
    <m/>
    <m/>
    <m/>
    <m/>
    <m/>
    <m/>
    <m/>
    <m/>
    <m/>
    <m/>
    <m/>
    <x v="9"/>
    <d v="2016-01-18T21:01:00"/>
    <s v="Patch Set 9:\n\nPassed Klocwork code analyzing test. No CRITICAL issue in this patch. Auto reported by kwscan@kw-srv2.bj.intel.com"/>
    <m/>
    <m/>
    <s v="john.mathew@intel.com"/>
    <x v="0"/>
    <x v="5"/>
    <s v=""/>
    <x v="2"/>
    <s v=""/>
    <s v=""/>
    <s v=""/>
    <s v=""/>
    <s v=""/>
    <s v=""/>
    <s v=""/>
    <x v="0"/>
    <x v="0"/>
    <x v="0"/>
  </r>
  <r>
    <x v="51"/>
    <m/>
    <m/>
    <m/>
    <m/>
    <m/>
    <m/>
    <m/>
    <m/>
    <m/>
    <m/>
    <m/>
    <x v="9"/>
    <d v="2016-01-18T22:50:00"/>
    <s v="Patch Set 9:\n\nPassed Klocwork code analyzing test. No CRITICAL issue in this patch. Auto reported by kwscan@kw-srv2.bj.intel.com"/>
    <m/>
    <m/>
    <s v="john.mathew@intel.com"/>
    <x v="0"/>
    <x v="5"/>
    <s v=""/>
    <x v="2"/>
    <s v=""/>
    <s v=""/>
    <s v=""/>
    <s v=""/>
    <s v=""/>
    <s v=""/>
    <s v=""/>
    <x v="0"/>
    <x v="0"/>
    <x v="0"/>
  </r>
  <r>
    <x v="51"/>
    <m/>
    <m/>
    <m/>
    <m/>
    <m/>
    <m/>
    <m/>
    <m/>
    <m/>
    <m/>
    <m/>
    <x v="9"/>
    <d v="2016-01-19T11:38:00"/>
    <s v="Patch Set 9:\n\nPassed Klocwork code analyzing test. No CRITICAL issue in this patch. Auto reported by kwscan@psi-build5.bj.intel.com"/>
    <m/>
    <m/>
    <s v="john.mathew@intel.com"/>
    <x v="0"/>
    <x v="5"/>
    <s v=""/>
    <x v="2"/>
    <s v=""/>
    <s v=""/>
    <s v=""/>
    <s v=""/>
    <s v=""/>
    <s v=""/>
    <s v=""/>
    <x v="0"/>
    <x v="0"/>
    <x v="0"/>
  </r>
  <r>
    <x v="51"/>
    <m/>
    <m/>
    <m/>
    <m/>
    <m/>
    <m/>
    <m/>
    <m/>
    <m/>
    <m/>
    <m/>
    <x v="9"/>
    <d v="2016-01-19T15:46:00"/>
    <s v="Patch Set 9:\n\nPassed Klocwork code analyzing test. No CRITICAL issue in this patch. Auto reported by kwscan@psi-build5.bj.intel.com"/>
    <m/>
    <m/>
    <s v="john.mathew@intel.com"/>
    <x v="0"/>
    <x v="5"/>
    <s v=""/>
    <x v="2"/>
    <s v=""/>
    <s v=""/>
    <s v=""/>
    <s v=""/>
    <s v=""/>
    <s v=""/>
    <s v=""/>
    <x v="0"/>
    <x v="0"/>
    <x v="0"/>
  </r>
  <r>
    <x v="51"/>
    <m/>
    <m/>
    <m/>
    <m/>
    <m/>
    <m/>
    <m/>
    <m/>
    <m/>
    <m/>
    <m/>
    <x v="9"/>
    <d v="2016-01-19T18:34:00"/>
    <s v="Patch Set 9: Code-Review+1\n\nPassed PIT; ready for merge"/>
    <m/>
    <m/>
    <s v="john.mathew@intel.com"/>
    <x v="0"/>
    <x v="5"/>
    <s v=""/>
    <x v="2"/>
    <s v=""/>
    <s v=""/>
    <s v=""/>
    <s v=""/>
    <s v=""/>
    <s v=""/>
    <s v=""/>
    <x v="0"/>
    <x v="0"/>
    <x v="0"/>
  </r>
  <r>
    <x v="52"/>
    <n v="91583"/>
    <s v="vied-viedandr-camera3hal"/>
    <s v="platform/android/main"/>
    <s v="I685c0ea5cb707b66a0012d0f717bfdd9bee4cbb2"/>
    <s v="jukka.o.kaartinen@intel.com"/>
    <s v="MERGED"/>
    <s v="c3: Refactor CameraProfiles to use init -function"/>
    <s v="c3: Refactor CameraProfiles to use init -function\n\nChange-Id: I685c0ea5cb707b66a0012d0f717bfdd9bee4cbb2\nTracked-On: #H1804186960\nSigned-off-by: Jukka Kaartinen &lt;jukka.o.kaartinen@intel.com&gt;\nReviewed-on: https://icggerrit.ir.intel.com/91583\nReviewed-by: Lassi I Vaatamoinen &lt;lassi.i.vaatamoinen@intel.com&gt;\nReviewed-by: John Mathew &lt;john.mathew@intel.com&gt;\nReviewed-by: Huitao Cao &lt;huitao.cao@intel.com&gt;\nApprover: Ukri Niemimuukko &lt;ukri.niemimuukko@intel.com&gt;\nReviewed-by: Miguel Verdu &lt;miguel.verdu@intel.com&gt;\nReviewed-by: Arnaud Mandy &lt;arnaud.mandy@intel.com&gt;\nReviewed-by: Jingzhi Yu &lt;jingzhi.yu@intel.com&gt;\nBuild: Dessert M BXT RVP (SC)\nIntegrator: WeiX Meng &lt;weix.meng@intel.com&gt;\nBuild: Dessert M CHT FFD (SC)\nBuild: Dessert M SOFIA (SC)\nValidation-Android: Dessert M CHT FFD (SC)\nReviewed-by: WeiX Meng &lt;weix.meng@intel.com&gt;\n"/>
    <d v="2015-12-22T22:47:00"/>
    <d v="2016-01-15T15:26:00"/>
    <s v="common"/>
    <x v="2"/>
    <d v="2015-12-22T22:47:00"/>
    <s v="Uploaded patch set 1."/>
    <m/>
    <s v="jingzhi.yu@intel.com;weix.meng@intel.com;miguel.verdu@intel.com;huitao.cao@intel.com;lassi.i.vaatamoinen@intel.com;hongjiang.a.zheng@intel.com;ukri.niemimuukko@intel.com;arnaud.mandy@intel.com;john.mathew@intel.com;"/>
    <s v="jukka.o.kaartinen@intel.com"/>
    <x v="0"/>
    <x v="0"/>
    <s v="16'ww3"/>
    <x v="2"/>
    <n v="1"/>
    <n v="0"/>
    <n v="1"/>
    <n v="0"/>
    <n v="3"/>
    <n v="11"/>
    <n v="0"/>
    <x v="0"/>
    <x v="0"/>
    <x v="0"/>
  </r>
  <r>
    <x v="52"/>
    <m/>
    <m/>
    <m/>
    <m/>
    <m/>
    <m/>
    <m/>
    <m/>
    <m/>
    <m/>
    <m/>
    <x v="2"/>
    <d v="2015-12-22T22:47:00"/>
    <s v="Patch Set 1:\n\nPatchset Created: CI job has been scheduled."/>
    <m/>
    <m/>
    <s v="jukka.o.kaartinen@intel.com"/>
    <x v="0"/>
    <x v="0"/>
    <s v=""/>
    <x v="2"/>
    <s v=""/>
    <s v=""/>
    <s v=""/>
    <s v=""/>
    <s v=""/>
    <s v=""/>
    <s v=""/>
    <x v="0"/>
    <x v="0"/>
    <x v="0"/>
  </r>
  <r>
    <x v="52"/>
    <m/>
    <m/>
    <m/>
    <m/>
    <m/>
    <m/>
    <m/>
    <m/>
    <m/>
    <m/>
    <m/>
    <x v="2"/>
    <d v="2015-12-22T22:48:00"/>
    <s v="Uploaded patch set 2: Patch Set 1 was rebased."/>
    <m/>
    <m/>
    <s v="jukka.o.kaartinen@intel.com"/>
    <x v="0"/>
    <x v="0"/>
    <s v=""/>
    <x v="2"/>
    <s v=""/>
    <s v=""/>
    <s v=""/>
    <s v=""/>
    <s v=""/>
    <s v=""/>
    <s v=""/>
    <x v="0"/>
    <x v="0"/>
    <x v="0"/>
  </r>
  <r>
    <x v="52"/>
    <m/>
    <m/>
    <m/>
    <m/>
    <m/>
    <m/>
    <m/>
    <m/>
    <m/>
    <m/>
    <m/>
    <x v="2"/>
    <d v="2015-12-22T22:48:00"/>
    <s v="Patch Set 2:\n\nPatchset Created: CI job has been scheduled."/>
    <m/>
    <m/>
    <s v="jukka.o.kaartinen@intel.com"/>
    <x v="0"/>
    <x v="0"/>
    <s v=""/>
    <x v="2"/>
    <s v=""/>
    <s v=""/>
    <s v=""/>
    <s v=""/>
    <s v=""/>
    <s v=""/>
    <s v=""/>
    <x v="0"/>
    <x v="0"/>
    <x v="0"/>
  </r>
  <r>
    <x v="52"/>
    <m/>
    <m/>
    <m/>
    <m/>
    <m/>
    <m/>
    <m/>
    <m/>
    <m/>
    <m/>
    <m/>
    <x v="8"/>
    <d v="2015-12-22T22:55:00"/>
    <s v="Patch Set 2: Code-Review+1"/>
    <m/>
    <m/>
    <s v="jukka.o.kaartinen@intel.com"/>
    <x v="0"/>
    <x v="1"/>
    <s v=""/>
    <x v="2"/>
    <s v=""/>
    <s v=""/>
    <s v=""/>
    <s v=""/>
    <s v=""/>
    <s v=""/>
    <s v=""/>
    <x v="0"/>
    <x v="0"/>
    <x v="0"/>
  </r>
  <r>
    <x v="52"/>
    <m/>
    <m/>
    <m/>
    <m/>
    <m/>
    <m/>
    <m/>
    <m/>
    <m/>
    <m/>
    <m/>
    <x v="2"/>
    <d v="2015-12-23T16:15:00"/>
    <s v="Patch Set 2: Code-Review+1"/>
    <m/>
    <m/>
    <s v="jukka.o.kaartinen@intel.com"/>
    <x v="0"/>
    <x v="0"/>
    <s v=""/>
    <x v="2"/>
    <s v=""/>
    <s v=""/>
    <s v=""/>
    <s v=""/>
    <s v=""/>
    <s v=""/>
    <s v=""/>
    <x v="0"/>
    <x v="0"/>
    <x v="0"/>
  </r>
  <r>
    <x v="52"/>
    <m/>
    <m/>
    <m/>
    <m/>
    <m/>
    <m/>
    <m/>
    <m/>
    <m/>
    <m/>
    <m/>
    <x v="14"/>
    <d v="2015-12-23T19:42:00"/>
    <s v="Patch Set 2: Validation-Android+1\n\nreceive smoke test"/>
    <m/>
    <m/>
    <s v="jukka.o.kaartinen@intel.com"/>
    <x v="0"/>
    <x v="5"/>
    <s v=""/>
    <x v="2"/>
    <s v=""/>
    <s v=""/>
    <s v=""/>
    <s v=""/>
    <s v=""/>
    <s v=""/>
    <s v=""/>
    <x v="0"/>
    <x v="1"/>
    <x v="0"/>
  </r>
  <r>
    <x v="52"/>
    <m/>
    <m/>
    <m/>
    <m/>
    <m/>
    <m/>
    <m/>
    <m/>
    <m/>
    <m/>
    <m/>
    <x v="2"/>
    <d v="2015-12-23T20:56:00"/>
    <s v="Uploaded patch set 3: Patch Set 2 was rebased."/>
    <m/>
    <m/>
    <s v="jukka.o.kaartinen@intel.com"/>
    <x v="0"/>
    <x v="0"/>
    <s v=""/>
    <x v="2"/>
    <s v=""/>
    <s v=""/>
    <s v=""/>
    <s v=""/>
    <s v=""/>
    <s v=""/>
    <s v=""/>
    <x v="0"/>
    <x v="0"/>
    <x v="0"/>
  </r>
  <r>
    <x v="52"/>
    <m/>
    <m/>
    <m/>
    <m/>
    <m/>
    <m/>
    <m/>
    <m/>
    <m/>
    <m/>
    <m/>
    <x v="2"/>
    <d v="2015-12-23T20:56:00"/>
    <s v="Patch Set 3:\n\nPatchset Created: CI job has been scheduled."/>
    <m/>
    <m/>
    <s v="jukka.o.kaartinen@intel.com"/>
    <x v="0"/>
    <x v="0"/>
    <s v=""/>
    <x v="2"/>
    <s v=""/>
    <s v=""/>
    <s v=""/>
    <s v=""/>
    <s v=""/>
    <s v=""/>
    <s v=""/>
    <x v="0"/>
    <x v="0"/>
    <x v="0"/>
  </r>
  <r>
    <x v="52"/>
    <m/>
    <m/>
    <m/>
    <m/>
    <m/>
    <m/>
    <m/>
    <m/>
    <m/>
    <m/>
    <m/>
    <x v="1"/>
    <d v="2015-12-23T20:59:00"/>
    <s v="Patch Set 2:\n\n(3 comments)"/>
    <s v="line96 :&quot;remove the FUNCTION&quot; line9 :&quot;rewrite what you wrote above here.\n\nnot sure that is a nice way to do&quot; line126 :&quot;remove the space after &quot;"/>
    <m/>
    <s v="jukka.o.kaartinen@intel.com"/>
    <x v="0"/>
    <x v="1"/>
    <s v=""/>
    <x v="2"/>
    <s v=""/>
    <s v=""/>
    <s v=""/>
    <s v=""/>
    <s v=""/>
    <s v=""/>
    <s v=""/>
    <x v="0"/>
    <x v="0"/>
    <x v="0"/>
  </r>
  <r>
    <x v="52"/>
    <m/>
    <m/>
    <m/>
    <m/>
    <m/>
    <m/>
    <m/>
    <m/>
    <m/>
    <m/>
    <m/>
    <x v="2"/>
    <d v="2015-12-23T21:29:00"/>
    <s v="Uploaded patch set 4."/>
    <m/>
    <m/>
    <s v="jukka.o.kaartinen@intel.com"/>
    <x v="0"/>
    <x v="0"/>
    <s v=""/>
    <x v="2"/>
    <s v=""/>
    <s v=""/>
    <s v=""/>
    <s v=""/>
    <s v=""/>
    <s v=""/>
    <s v=""/>
    <x v="0"/>
    <x v="0"/>
    <x v="0"/>
  </r>
  <r>
    <x v="52"/>
    <m/>
    <m/>
    <m/>
    <m/>
    <m/>
    <m/>
    <m/>
    <m/>
    <m/>
    <m/>
    <m/>
    <x v="2"/>
    <d v="2015-12-23T21:29:00"/>
    <s v="Patch Set 4:\n\nPatchset Created: CI job has been scheduled."/>
    <m/>
    <m/>
    <s v="jukka.o.kaartinen@intel.com"/>
    <x v="0"/>
    <x v="0"/>
    <s v=""/>
    <x v="2"/>
    <s v=""/>
    <s v=""/>
    <s v=""/>
    <s v=""/>
    <s v=""/>
    <s v=""/>
    <s v=""/>
    <x v="0"/>
    <x v="0"/>
    <x v="0"/>
  </r>
  <r>
    <x v="52"/>
    <m/>
    <m/>
    <m/>
    <m/>
    <m/>
    <m/>
    <m/>
    <m/>
    <m/>
    <m/>
    <m/>
    <x v="2"/>
    <d v="2015-12-23T21:32:00"/>
    <s v="Patch Set 4: Code-Review+1"/>
    <m/>
    <m/>
    <s v="jukka.o.kaartinen@intel.com"/>
    <x v="0"/>
    <x v="0"/>
    <s v=""/>
    <x v="2"/>
    <s v=""/>
    <s v=""/>
    <s v=""/>
    <s v=""/>
    <s v=""/>
    <s v=""/>
    <s v=""/>
    <x v="0"/>
    <x v="0"/>
    <x v="0"/>
  </r>
  <r>
    <x v="52"/>
    <m/>
    <m/>
    <m/>
    <m/>
    <m/>
    <m/>
    <m/>
    <m/>
    <m/>
    <m/>
    <m/>
    <x v="14"/>
    <d v="2015-12-23T21:45:00"/>
    <s v="Patch Set 4: Validation-Android+1\n\nreceive smoke test"/>
    <m/>
    <m/>
    <s v="jukka.o.kaartinen@intel.com"/>
    <x v="0"/>
    <x v="5"/>
    <s v=""/>
    <x v="2"/>
    <s v=""/>
    <s v=""/>
    <s v=""/>
    <s v=""/>
    <s v=""/>
    <s v=""/>
    <s v=""/>
    <x v="0"/>
    <x v="1"/>
    <x v="0"/>
  </r>
  <r>
    <x v="52"/>
    <m/>
    <m/>
    <m/>
    <m/>
    <m/>
    <m/>
    <m/>
    <m/>
    <m/>
    <m/>
    <m/>
    <x v="2"/>
    <d v="2015-12-30T15:49:00"/>
    <s v="Uploaded patch set 5: Patch Set 4 was rebased."/>
    <m/>
    <m/>
    <s v="jukka.o.kaartinen@intel.com"/>
    <x v="0"/>
    <x v="0"/>
    <s v=""/>
    <x v="2"/>
    <s v=""/>
    <s v=""/>
    <s v=""/>
    <s v=""/>
    <s v=""/>
    <s v=""/>
    <s v=""/>
    <x v="0"/>
    <x v="0"/>
    <x v="0"/>
  </r>
  <r>
    <x v="52"/>
    <m/>
    <m/>
    <m/>
    <m/>
    <m/>
    <m/>
    <m/>
    <m/>
    <m/>
    <m/>
    <m/>
    <x v="2"/>
    <d v="2015-12-30T15:49:00"/>
    <s v="Patch Set 5:\n\nPatchset Created: CI job has been scheduled."/>
    <m/>
    <m/>
    <s v="jukka.o.kaartinen@intel.com"/>
    <x v="0"/>
    <x v="0"/>
    <s v=""/>
    <x v="2"/>
    <s v=""/>
    <s v=""/>
    <s v=""/>
    <s v=""/>
    <s v=""/>
    <s v=""/>
    <s v=""/>
    <x v="0"/>
    <x v="0"/>
    <x v="0"/>
  </r>
  <r>
    <x v="52"/>
    <m/>
    <m/>
    <m/>
    <m/>
    <m/>
    <m/>
    <m/>
    <m/>
    <m/>
    <m/>
    <m/>
    <x v="2"/>
    <d v="2015-12-30T15:50:00"/>
    <s v="Uploaded patch set 6: Patch Set 5 was rebased."/>
    <m/>
    <m/>
    <s v="jukka.o.kaartinen@intel.com"/>
    <x v="0"/>
    <x v="0"/>
    <s v=""/>
    <x v="2"/>
    <s v=""/>
    <s v=""/>
    <s v=""/>
    <s v=""/>
    <s v=""/>
    <s v=""/>
    <s v=""/>
    <x v="0"/>
    <x v="0"/>
    <x v="0"/>
  </r>
  <r>
    <x v="52"/>
    <m/>
    <m/>
    <m/>
    <m/>
    <m/>
    <m/>
    <m/>
    <m/>
    <m/>
    <m/>
    <m/>
    <x v="2"/>
    <d v="2015-12-30T15:50:00"/>
    <s v="Patch Set 6:\n\nPatchset Created: CI job has been scheduled."/>
    <m/>
    <m/>
    <s v="jukka.o.kaartinen@intel.com"/>
    <x v="0"/>
    <x v="0"/>
    <s v=""/>
    <x v="2"/>
    <s v=""/>
    <s v=""/>
    <s v=""/>
    <s v=""/>
    <s v=""/>
    <s v=""/>
    <s v=""/>
    <x v="0"/>
    <x v="0"/>
    <x v="0"/>
  </r>
  <r>
    <x v="52"/>
    <m/>
    <m/>
    <m/>
    <m/>
    <m/>
    <m/>
    <m/>
    <m/>
    <m/>
    <m/>
    <m/>
    <x v="8"/>
    <d v="2015-12-30T15:59:00"/>
    <s v="Patch Set 6: Code-Review+1"/>
    <m/>
    <m/>
    <s v="jukka.o.kaartinen@intel.com"/>
    <x v="0"/>
    <x v="1"/>
    <s v=""/>
    <x v="2"/>
    <s v=""/>
    <s v=""/>
    <s v=""/>
    <s v=""/>
    <s v=""/>
    <s v=""/>
    <s v=""/>
    <x v="0"/>
    <x v="0"/>
    <x v="0"/>
  </r>
  <r>
    <x v="52"/>
    <m/>
    <m/>
    <m/>
    <m/>
    <m/>
    <m/>
    <m/>
    <m/>
    <m/>
    <m/>
    <m/>
    <x v="6"/>
    <d v="2015-12-30T16:35:00"/>
    <s v="Patch Set 6: Code-Review+1"/>
    <m/>
    <m/>
    <s v="jukka.o.kaartinen@intel.com"/>
    <x v="0"/>
    <x v="1"/>
    <s v=""/>
    <x v="2"/>
    <s v=""/>
    <s v=""/>
    <s v=""/>
    <s v=""/>
    <s v=""/>
    <s v=""/>
    <s v=""/>
    <x v="0"/>
    <x v="0"/>
    <x v="0"/>
  </r>
  <r>
    <x v="52"/>
    <m/>
    <m/>
    <m/>
    <m/>
    <m/>
    <m/>
    <m/>
    <m/>
    <m/>
    <m/>
    <m/>
    <x v="15"/>
    <d v="2015-12-30T16:56:00"/>
    <s v="Patch Set 6: Code-Review+1"/>
    <m/>
    <m/>
    <s v="jukka.o.kaartinen@intel.com"/>
    <x v="0"/>
    <x v="4"/>
    <s v=""/>
    <x v="2"/>
    <s v=""/>
    <s v=""/>
    <s v=""/>
    <s v=""/>
    <s v=""/>
    <s v=""/>
    <s v=""/>
    <x v="0"/>
    <x v="0"/>
    <x v="0"/>
  </r>
  <r>
    <x v="52"/>
    <m/>
    <m/>
    <m/>
    <m/>
    <m/>
    <m/>
    <m/>
    <m/>
    <m/>
    <m/>
    <m/>
    <x v="12"/>
    <d v="2015-12-30T21:49:00"/>
    <s v="Patch Set 6:\n\n(2 comments)\n\nsome rather minor notes"/>
    <s v="line101 :&quot;While not absolutely necessary; but since already touching this; you could also add the missing \&quot;post-new\&quot; null-checks - just in case.&quot; line126 :&quot;space&quot;"/>
    <m/>
    <s v="jukka.o.kaartinen@intel.com"/>
    <x v="0"/>
    <x v="1"/>
    <s v=""/>
    <x v="2"/>
    <s v=""/>
    <s v=""/>
    <s v=""/>
    <s v=""/>
    <s v=""/>
    <s v=""/>
    <s v=""/>
    <x v="0"/>
    <x v="0"/>
    <x v="0"/>
  </r>
  <r>
    <x v="52"/>
    <m/>
    <m/>
    <m/>
    <m/>
    <m/>
    <m/>
    <m/>
    <m/>
    <m/>
    <m/>
    <m/>
    <x v="12"/>
    <d v="2015-12-30T22:53:00"/>
    <s v="Patch Set 6: Code-Review-1"/>
    <m/>
    <m/>
    <s v="jukka.o.kaartinen@intel.com"/>
    <x v="0"/>
    <x v="1"/>
    <s v=""/>
    <x v="2"/>
    <s v=""/>
    <s v=""/>
    <s v=""/>
    <s v=""/>
    <s v=""/>
    <s v=""/>
    <s v=""/>
    <x v="1"/>
    <x v="0"/>
    <x v="0"/>
  </r>
  <r>
    <x v="52"/>
    <m/>
    <m/>
    <m/>
    <m/>
    <m/>
    <m/>
    <m/>
    <m/>
    <m/>
    <m/>
    <m/>
    <x v="2"/>
    <d v="2015-12-31T17:09:00"/>
    <s v="Uploaded patch set 7: Patch Set 6 was rebased."/>
    <m/>
    <m/>
    <s v="jukka.o.kaartinen@intel.com"/>
    <x v="0"/>
    <x v="0"/>
    <s v=""/>
    <x v="2"/>
    <s v=""/>
    <s v=""/>
    <s v=""/>
    <s v=""/>
    <s v=""/>
    <s v=""/>
    <s v=""/>
    <x v="0"/>
    <x v="0"/>
    <x v="0"/>
  </r>
  <r>
    <x v="52"/>
    <m/>
    <m/>
    <m/>
    <m/>
    <m/>
    <m/>
    <m/>
    <m/>
    <m/>
    <m/>
    <m/>
    <x v="2"/>
    <d v="2015-12-31T17:09:00"/>
    <s v="Patch Set 7:\n\nPatchset Created: CI job has been scheduled."/>
    <m/>
    <m/>
    <s v="jukka.o.kaartinen@intel.com"/>
    <x v="0"/>
    <x v="0"/>
    <s v=""/>
    <x v="2"/>
    <s v=""/>
    <s v=""/>
    <s v=""/>
    <s v=""/>
    <s v=""/>
    <s v=""/>
    <s v=""/>
    <x v="0"/>
    <x v="0"/>
    <x v="0"/>
  </r>
  <r>
    <x v="52"/>
    <m/>
    <m/>
    <m/>
    <m/>
    <m/>
    <m/>
    <m/>
    <m/>
    <m/>
    <m/>
    <m/>
    <x v="2"/>
    <d v="2015-12-31T17:27:00"/>
    <s v="Patch Set 6:\n\n(1 comment)"/>
    <s v="line101 :&quot;this is possibly a new kw bug; will fix&quot;"/>
    <m/>
    <s v="jukka.o.kaartinen@intel.com"/>
    <x v="0"/>
    <x v="0"/>
    <s v=""/>
    <x v="2"/>
    <s v=""/>
    <s v=""/>
    <s v=""/>
    <s v=""/>
    <s v=""/>
    <s v=""/>
    <s v=""/>
    <x v="0"/>
    <x v="0"/>
    <x v="0"/>
  </r>
  <r>
    <x v="52"/>
    <m/>
    <m/>
    <m/>
    <m/>
    <m/>
    <m/>
    <m/>
    <m/>
    <m/>
    <m/>
    <m/>
    <x v="2"/>
    <d v="2015-12-31T17:42:00"/>
    <s v="Uploaded patch set 8."/>
    <m/>
    <m/>
    <s v="jukka.o.kaartinen@intel.com"/>
    <x v="0"/>
    <x v="0"/>
    <s v=""/>
    <x v="2"/>
    <s v=""/>
    <s v=""/>
    <s v=""/>
    <s v=""/>
    <s v=""/>
    <s v=""/>
    <s v=""/>
    <x v="0"/>
    <x v="0"/>
    <x v="0"/>
  </r>
  <r>
    <x v="52"/>
    <m/>
    <m/>
    <m/>
    <m/>
    <m/>
    <m/>
    <m/>
    <m/>
    <m/>
    <m/>
    <m/>
    <x v="2"/>
    <d v="2015-12-31T17:42:00"/>
    <s v="Patch Set 8:\n\nPatchset Created: CI job has been scheduled."/>
    <m/>
    <m/>
    <s v="jukka.o.kaartinen@intel.com"/>
    <x v="0"/>
    <x v="0"/>
    <s v=""/>
    <x v="2"/>
    <s v=""/>
    <s v=""/>
    <s v=""/>
    <s v=""/>
    <s v=""/>
    <s v=""/>
    <s v=""/>
    <x v="0"/>
    <x v="0"/>
    <x v="0"/>
  </r>
  <r>
    <x v="52"/>
    <m/>
    <m/>
    <m/>
    <m/>
    <m/>
    <m/>
    <m/>
    <m/>
    <m/>
    <m/>
    <m/>
    <x v="2"/>
    <d v="2015-12-31T17:42:00"/>
    <s v="Patch Set 8: Code-Review+1"/>
    <m/>
    <m/>
    <s v="jukka.o.kaartinen@intel.com"/>
    <x v="0"/>
    <x v="0"/>
    <s v=""/>
    <x v="2"/>
    <s v=""/>
    <s v=""/>
    <s v=""/>
    <s v=""/>
    <s v=""/>
    <s v=""/>
    <s v=""/>
    <x v="0"/>
    <x v="0"/>
    <x v="0"/>
  </r>
  <r>
    <x v="52"/>
    <m/>
    <m/>
    <m/>
    <m/>
    <m/>
    <m/>
    <m/>
    <m/>
    <m/>
    <m/>
    <m/>
    <x v="12"/>
    <d v="2015-12-31T19:55:00"/>
    <s v="Patch Set 8: Code-Review+1"/>
    <m/>
    <m/>
    <s v="jukka.o.kaartinen@intel.com"/>
    <x v="0"/>
    <x v="1"/>
    <s v=""/>
    <x v="2"/>
    <s v=""/>
    <s v=""/>
    <s v=""/>
    <s v=""/>
    <s v=""/>
    <s v=""/>
    <s v=""/>
    <x v="0"/>
    <x v="0"/>
    <x v="0"/>
  </r>
  <r>
    <x v="52"/>
    <m/>
    <m/>
    <m/>
    <m/>
    <m/>
    <m/>
    <m/>
    <m/>
    <m/>
    <m/>
    <m/>
    <x v="2"/>
    <d v="2016-01-07T16:10:00"/>
    <s v="Uploaded patch set 9: Patch Set 8 was rebased."/>
    <m/>
    <m/>
    <s v="jukka.o.kaartinen@intel.com"/>
    <x v="0"/>
    <x v="0"/>
    <s v=""/>
    <x v="2"/>
    <s v=""/>
    <s v=""/>
    <s v=""/>
    <s v=""/>
    <s v=""/>
    <s v=""/>
    <s v=""/>
    <x v="0"/>
    <x v="0"/>
    <x v="0"/>
  </r>
  <r>
    <x v="52"/>
    <m/>
    <m/>
    <m/>
    <m/>
    <m/>
    <m/>
    <m/>
    <m/>
    <m/>
    <m/>
    <m/>
    <x v="2"/>
    <d v="2016-01-07T16:10:00"/>
    <s v="Patch Set 9:\n\nPatchset Created: CI job has been scheduled."/>
    <m/>
    <m/>
    <s v="jukka.o.kaartinen@intel.com"/>
    <x v="0"/>
    <x v="0"/>
    <s v=""/>
    <x v="2"/>
    <s v=""/>
    <s v=""/>
    <s v=""/>
    <s v=""/>
    <s v=""/>
    <s v=""/>
    <s v=""/>
    <x v="0"/>
    <x v="0"/>
    <x v="0"/>
  </r>
  <r>
    <x v="52"/>
    <m/>
    <m/>
    <m/>
    <m/>
    <m/>
    <m/>
    <m/>
    <m/>
    <m/>
    <m/>
    <m/>
    <x v="8"/>
    <d v="2016-01-07T16:18:00"/>
    <s v="Patch Set 9: Code-Review+1"/>
    <m/>
    <m/>
    <s v="jukka.o.kaartinen@intel.com"/>
    <x v="0"/>
    <x v="1"/>
    <s v=""/>
    <x v="2"/>
    <s v=""/>
    <s v=""/>
    <s v=""/>
    <s v=""/>
    <s v=""/>
    <s v=""/>
    <s v=""/>
    <x v="0"/>
    <x v="0"/>
    <x v="0"/>
  </r>
  <r>
    <x v="52"/>
    <m/>
    <m/>
    <m/>
    <m/>
    <m/>
    <m/>
    <m/>
    <m/>
    <m/>
    <m/>
    <m/>
    <x v="7"/>
    <d v="2016-01-07T16:23:00"/>
    <s v="Patch Set 9: Code-Review+1"/>
    <m/>
    <m/>
    <s v="jukka.o.kaartinen@intel.com"/>
    <x v="0"/>
    <x v="4"/>
    <s v=""/>
    <x v="2"/>
    <s v=""/>
    <s v=""/>
    <s v=""/>
    <s v=""/>
    <s v=""/>
    <s v=""/>
    <s v=""/>
    <x v="0"/>
    <x v="0"/>
    <x v="0"/>
  </r>
  <r>
    <x v="52"/>
    <m/>
    <m/>
    <m/>
    <m/>
    <m/>
    <m/>
    <m/>
    <m/>
    <m/>
    <m/>
    <m/>
    <x v="2"/>
    <d v="2016-01-07T17:27:00"/>
    <s v="Uploaded patch set 10: Patch Set 9 was rebased."/>
    <m/>
    <m/>
    <s v="jukka.o.kaartinen@intel.com"/>
    <x v="0"/>
    <x v="0"/>
    <s v=""/>
    <x v="2"/>
    <s v=""/>
    <s v=""/>
    <s v=""/>
    <s v=""/>
    <s v=""/>
    <s v=""/>
    <s v=""/>
    <x v="0"/>
    <x v="0"/>
    <x v="0"/>
  </r>
  <r>
    <x v="52"/>
    <m/>
    <m/>
    <m/>
    <m/>
    <m/>
    <m/>
    <m/>
    <m/>
    <m/>
    <m/>
    <m/>
    <x v="2"/>
    <d v="2016-01-07T17:27:00"/>
    <s v="Patch Set 10:\n\nPatchset Created: CI job has been scheduled."/>
    <m/>
    <m/>
    <s v="jukka.o.kaartinen@intel.com"/>
    <x v="0"/>
    <x v="0"/>
    <s v=""/>
    <x v="2"/>
    <s v=""/>
    <s v=""/>
    <s v=""/>
    <s v=""/>
    <s v=""/>
    <s v=""/>
    <s v=""/>
    <x v="0"/>
    <x v="0"/>
    <x v="0"/>
  </r>
  <r>
    <x v="52"/>
    <m/>
    <m/>
    <m/>
    <m/>
    <m/>
    <m/>
    <m/>
    <m/>
    <m/>
    <m/>
    <m/>
    <x v="6"/>
    <d v="2016-01-07T18:53:00"/>
    <s v="Patch Set 10: Approver+1"/>
    <m/>
    <m/>
    <s v="jukka.o.kaartinen@intel.com"/>
    <x v="0"/>
    <x v="1"/>
    <s v=""/>
    <x v="2"/>
    <s v=""/>
    <s v=""/>
    <s v=""/>
    <s v=""/>
    <s v=""/>
    <s v=""/>
    <s v=""/>
    <x v="0"/>
    <x v="0"/>
    <x v="0"/>
  </r>
  <r>
    <x v="52"/>
    <m/>
    <m/>
    <m/>
    <m/>
    <m/>
    <m/>
    <m/>
    <m/>
    <m/>
    <m/>
    <m/>
    <x v="2"/>
    <d v="2016-01-07T18:53:00"/>
    <s v="Topic changed from nothigntosee_12_31 to bxt_preint_HEAD"/>
    <m/>
    <m/>
    <s v="jukka.o.kaartinen@intel.com"/>
    <x v="0"/>
    <x v="0"/>
    <s v=""/>
    <x v="2"/>
    <s v=""/>
    <s v=""/>
    <s v=""/>
    <s v=""/>
    <s v=""/>
    <s v=""/>
    <s v=""/>
    <x v="0"/>
    <x v="0"/>
    <x v="0"/>
  </r>
  <r>
    <x v="52"/>
    <m/>
    <m/>
    <m/>
    <m/>
    <m/>
    <m/>
    <m/>
    <m/>
    <m/>
    <m/>
    <m/>
    <x v="14"/>
    <d v="2016-01-07T18:55:00"/>
    <s v="Patch Set 10: Validation-Android+1\n\nreceive smoke test"/>
    <m/>
    <m/>
    <s v="jukka.o.kaartinen@intel.com"/>
    <x v="0"/>
    <x v="5"/>
    <s v=""/>
    <x v="2"/>
    <s v=""/>
    <s v=""/>
    <s v=""/>
    <s v=""/>
    <s v=""/>
    <s v=""/>
    <s v=""/>
    <x v="0"/>
    <x v="1"/>
    <x v="0"/>
  </r>
  <r>
    <x v="52"/>
    <m/>
    <m/>
    <m/>
    <m/>
    <m/>
    <m/>
    <m/>
    <m/>
    <m/>
    <m/>
    <m/>
    <x v="0"/>
    <d v="2016-01-07T19:50:00"/>
    <s v="Patch Set 10: Code-Review+1"/>
    <m/>
    <m/>
    <s v="jukka.o.kaartinen@intel.com"/>
    <x v="0"/>
    <x v="1"/>
    <s v=""/>
    <x v="2"/>
    <s v=""/>
    <s v=""/>
    <s v=""/>
    <s v=""/>
    <s v=""/>
    <s v=""/>
    <s v=""/>
    <x v="0"/>
    <x v="0"/>
    <x v="0"/>
  </r>
  <r>
    <x v="52"/>
    <m/>
    <m/>
    <m/>
    <m/>
    <m/>
    <m/>
    <m/>
    <m/>
    <m/>
    <m/>
    <m/>
    <x v="2"/>
    <d v="2016-01-07T21:12:00"/>
    <s v="Topic changed from bxt_preint_HEAD to bxt_preint"/>
    <m/>
    <m/>
    <s v="jukka.o.kaartinen@intel.com"/>
    <x v="0"/>
    <x v="0"/>
    <s v=""/>
    <x v="2"/>
    <s v=""/>
    <s v=""/>
    <s v=""/>
    <s v=""/>
    <s v=""/>
    <s v=""/>
    <s v=""/>
    <x v="0"/>
    <x v="0"/>
    <x v="0"/>
  </r>
  <r>
    <x v="52"/>
    <m/>
    <m/>
    <m/>
    <m/>
    <m/>
    <m/>
    <m/>
    <m/>
    <m/>
    <m/>
    <m/>
    <x v="9"/>
    <d v="2016-01-08T14:13:00"/>
    <s v="Patch Set 10: Integrator+1\n\nIntegrator +1; patch will be add to PT; please no change now"/>
    <m/>
    <m/>
    <s v="jukka.o.kaartinen@intel.com"/>
    <x v="0"/>
    <x v="5"/>
    <s v=""/>
    <x v="2"/>
    <s v=""/>
    <s v=""/>
    <s v=""/>
    <s v=""/>
    <s v=""/>
    <s v=""/>
    <s v=""/>
    <x v="0"/>
    <x v="1"/>
    <x v="0"/>
  </r>
  <r>
    <x v="52"/>
    <m/>
    <m/>
    <m/>
    <m/>
    <m/>
    <m/>
    <m/>
    <m/>
    <m/>
    <m/>
    <m/>
    <x v="9"/>
    <d v="2016-01-08T16:43:00"/>
    <s v="Patch Set 10:\n\nPassed Klocwork code analyzing test. No CRITICAL issue in this patch. Auto reported by kwscan@andr-val-srv0.bj.intel.com"/>
    <m/>
    <m/>
    <s v="jukka.o.kaartinen@intel.com"/>
    <x v="0"/>
    <x v="5"/>
    <s v=""/>
    <x v="2"/>
    <s v=""/>
    <s v=""/>
    <s v=""/>
    <s v=""/>
    <s v=""/>
    <s v=""/>
    <s v=""/>
    <x v="0"/>
    <x v="0"/>
    <x v="0"/>
  </r>
  <r>
    <x v="52"/>
    <m/>
    <m/>
    <m/>
    <m/>
    <m/>
    <m/>
    <m/>
    <m/>
    <m/>
    <m/>
    <m/>
    <x v="1"/>
    <d v="2016-01-08T17:01:00"/>
    <s v="Patch Set 10: Code-Review+1"/>
    <m/>
    <m/>
    <s v="jukka.o.kaartinen@intel.com"/>
    <x v="0"/>
    <x v="1"/>
    <s v=""/>
    <x v="2"/>
    <s v=""/>
    <s v=""/>
    <s v=""/>
    <s v=""/>
    <s v=""/>
    <s v=""/>
    <s v=""/>
    <x v="0"/>
    <x v="0"/>
    <x v="0"/>
  </r>
  <r>
    <x v="52"/>
    <m/>
    <m/>
    <m/>
    <m/>
    <m/>
    <m/>
    <m/>
    <m/>
    <m/>
    <m/>
    <m/>
    <x v="9"/>
    <d v="2016-01-08T18:38:00"/>
    <s v="Patch Set 10:\n\nPassed Klocwork code analyzing test. No CRITICAL issue in this patch. Auto reported by kwscan@kw-srv2.bj.intel.com"/>
    <m/>
    <m/>
    <s v="jukka.o.kaartinen@intel.com"/>
    <x v="0"/>
    <x v="5"/>
    <s v=""/>
    <x v="2"/>
    <s v=""/>
    <s v=""/>
    <s v=""/>
    <s v=""/>
    <s v=""/>
    <s v=""/>
    <s v=""/>
    <x v="0"/>
    <x v="0"/>
    <x v="0"/>
  </r>
  <r>
    <x v="52"/>
    <m/>
    <m/>
    <m/>
    <m/>
    <m/>
    <m/>
    <m/>
    <m/>
    <m/>
    <m/>
    <m/>
    <x v="9"/>
    <d v="2016-01-08T20:42:00"/>
    <s v="Patch Set 10:\n\nPassed Klocwork code analyzing test. No CRITICAL issue in this patch. Auto reported by kwscan@psi-build5.bj.intel.com"/>
    <m/>
    <m/>
    <s v="jukka.o.kaartinen@intel.com"/>
    <x v="0"/>
    <x v="5"/>
    <s v=""/>
    <x v="2"/>
    <s v=""/>
    <s v=""/>
    <s v=""/>
    <s v=""/>
    <s v=""/>
    <s v=""/>
    <s v=""/>
    <x v="0"/>
    <x v="0"/>
    <x v="0"/>
  </r>
  <r>
    <x v="52"/>
    <m/>
    <m/>
    <m/>
    <m/>
    <m/>
    <m/>
    <m/>
    <m/>
    <m/>
    <m/>
    <m/>
    <x v="9"/>
    <d v="2016-01-08T21:29:00"/>
    <s v="Patch Set 10:\n\nPassed Klocwork code analyzing test. No CRITICAL issue in this patch. Auto reported by kwscan@kw-srv2.bj.intel.com"/>
    <m/>
    <m/>
    <s v="jukka.o.kaartinen@intel.com"/>
    <x v="0"/>
    <x v="5"/>
    <s v=""/>
    <x v="2"/>
    <s v=""/>
    <s v=""/>
    <s v=""/>
    <s v=""/>
    <s v=""/>
    <s v=""/>
    <s v=""/>
    <x v="0"/>
    <x v="0"/>
    <x v="0"/>
  </r>
  <r>
    <x v="52"/>
    <m/>
    <m/>
    <m/>
    <m/>
    <m/>
    <m/>
    <m/>
    <m/>
    <m/>
    <m/>
    <m/>
    <x v="9"/>
    <d v="2016-01-11T15:40:00"/>
    <s v="Patch Set 10: Integrator-1"/>
    <m/>
    <m/>
    <s v="jukka.o.kaartinen@intel.com"/>
    <x v="0"/>
    <x v="5"/>
    <s v=""/>
    <x v="2"/>
    <s v=""/>
    <s v=""/>
    <s v=""/>
    <s v=""/>
    <s v=""/>
    <s v=""/>
    <s v=""/>
    <x v="0"/>
    <x v="1"/>
    <x v="0"/>
  </r>
  <r>
    <x v="52"/>
    <m/>
    <m/>
    <m/>
    <m/>
    <m/>
    <m/>
    <m/>
    <m/>
    <m/>
    <m/>
    <m/>
    <x v="9"/>
    <d v="2016-01-11T21:48:00"/>
    <s v="Patch Set 10:\n\nPassed Klocwork code analyzing test. No CRITICAL issue in this patch. Auto reported by kwscan@kw-srv2.bj.intel.com"/>
    <m/>
    <m/>
    <s v="jukka.o.kaartinen@intel.com"/>
    <x v="0"/>
    <x v="5"/>
    <s v=""/>
    <x v="2"/>
    <s v=""/>
    <s v=""/>
    <s v=""/>
    <s v=""/>
    <s v=""/>
    <s v=""/>
    <s v=""/>
    <x v="0"/>
    <x v="0"/>
    <x v="0"/>
  </r>
  <r>
    <x v="52"/>
    <m/>
    <m/>
    <m/>
    <m/>
    <m/>
    <m/>
    <m/>
    <m/>
    <m/>
    <m/>
    <m/>
    <x v="9"/>
    <d v="2016-01-12T00:51:00"/>
    <s v="Patch Set 10:\n\nPassed Klocwork code analyzing test. No CRITICAL issue in this patch. Auto reported by kwscan@kw-srv2.bj.intel.com"/>
    <m/>
    <m/>
    <s v="jukka.o.kaartinen@intel.com"/>
    <x v="0"/>
    <x v="5"/>
    <s v=""/>
    <x v="2"/>
    <s v=""/>
    <s v=""/>
    <s v=""/>
    <s v=""/>
    <s v=""/>
    <s v=""/>
    <s v=""/>
    <x v="0"/>
    <x v="0"/>
    <x v="0"/>
  </r>
  <r>
    <x v="52"/>
    <m/>
    <m/>
    <m/>
    <m/>
    <m/>
    <m/>
    <m/>
    <m/>
    <m/>
    <m/>
    <m/>
    <x v="9"/>
    <d v="2016-01-12T12:17:00"/>
    <s v="Patch Set 10:\n\nPassed Klocwork code analyzing test. No CRITICAL issue in this patch. Auto reported by kwscan@psi-build5.bj.intel.com"/>
    <m/>
    <m/>
    <s v="jukka.o.kaartinen@intel.com"/>
    <x v="0"/>
    <x v="5"/>
    <s v=""/>
    <x v="2"/>
    <s v=""/>
    <s v=""/>
    <s v=""/>
    <s v=""/>
    <s v=""/>
    <s v=""/>
    <s v=""/>
    <x v="0"/>
    <x v="0"/>
    <x v="0"/>
  </r>
  <r>
    <x v="52"/>
    <m/>
    <m/>
    <m/>
    <m/>
    <m/>
    <m/>
    <m/>
    <m/>
    <m/>
    <m/>
    <m/>
    <x v="2"/>
    <d v="2016-01-12T22:32:00"/>
    <s v="Uploaded patch set 11: Patch Set 10 was rebased."/>
    <m/>
    <m/>
    <s v="jukka.o.kaartinen@intel.com"/>
    <x v="0"/>
    <x v="0"/>
    <s v=""/>
    <x v="2"/>
    <s v=""/>
    <s v=""/>
    <s v=""/>
    <s v=""/>
    <s v=""/>
    <s v=""/>
    <s v=""/>
    <x v="0"/>
    <x v="0"/>
    <x v="0"/>
  </r>
  <r>
    <x v="52"/>
    <m/>
    <m/>
    <m/>
    <m/>
    <m/>
    <m/>
    <m/>
    <m/>
    <m/>
    <m/>
    <m/>
    <x v="2"/>
    <d v="2016-01-12T22:32:00"/>
    <s v="Patch Set 11:\n\nPatchset Created: CI job has been scheduled."/>
    <m/>
    <m/>
    <s v="jukka.o.kaartinen@intel.com"/>
    <x v="0"/>
    <x v="0"/>
    <s v=""/>
    <x v="2"/>
    <s v=""/>
    <s v=""/>
    <s v=""/>
    <s v=""/>
    <s v=""/>
    <s v=""/>
    <s v=""/>
    <x v="0"/>
    <x v="0"/>
    <x v="0"/>
  </r>
  <r>
    <x v="52"/>
    <m/>
    <m/>
    <m/>
    <m/>
    <m/>
    <m/>
    <m/>
    <m/>
    <m/>
    <m/>
    <m/>
    <x v="2"/>
    <d v="2016-01-12T22:36:00"/>
    <s v="Uploaded patch set 12: Patch Set 11 was rebased."/>
    <m/>
    <m/>
    <s v="jukka.o.kaartinen@intel.com"/>
    <x v="0"/>
    <x v="0"/>
    <s v=""/>
    <x v="2"/>
    <s v=""/>
    <s v=""/>
    <s v=""/>
    <s v=""/>
    <s v=""/>
    <s v=""/>
    <s v=""/>
    <x v="0"/>
    <x v="0"/>
    <x v="0"/>
  </r>
  <r>
    <x v="52"/>
    <m/>
    <m/>
    <m/>
    <m/>
    <m/>
    <m/>
    <m/>
    <m/>
    <m/>
    <m/>
    <m/>
    <x v="2"/>
    <d v="2016-01-12T22:36:00"/>
    <s v="Patch Set 12:\n\nPatchset Created: CI job has been scheduled."/>
    <m/>
    <m/>
    <s v="jukka.o.kaartinen@intel.com"/>
    <x v="0"/>
    <x v="0"/>
    <s v=""/>
    <x v="2"/>
    <s v=""/>
    <s v=""/>
    <s v=""/>
    <s v=""/>
    <s v=""/>
    <s v=""/>
    <s v=""/>
    <x v="0"/>
    <x v="0"/>
    <x v="0"/>
  </r>
  <r>
    <x v="52"/>
    <m/>
    <m/>
    <m/>
    <m/>
    <m/>
    <m/>
    <m/>
    <m/>
    <m/>
    <m/>
    <m/>
    <x v="14"/>
    <d v="2016-01-12T22:49:00"/>
    <s v="Patch Set 12: Validation-Android+1\n\nreceive smoke test"/>
    <m/>
    <m/>
    <s v="jukka.o.kaartinen@intel.com"/>
    <x v="0"/>
    <x v="5"/>
    <s v=""/>
    <x v="2"/>
    <s v=""/>
    <s v=""/>
    <s v=""/>
    <s v=""/>
    <s v=""/>
    <s v=""/>
    <s v=""/>
    <x v="0"/>
    <x v="1"/>
    <x v="0"/>
  </r>
  <r>
    <x v="52"/>
    <m/>
    <m/>
    <m/>
    <m/>
    <m/>
    <m/>
    <m/>
    <m/>
    <m/>
    <m/>
    <m/>
    <x v="2"/>
    <d v="2016-01-12T22:50:00"/>
    <s v="Topic changed from rebased to bxt_preint"/>
    <m/>
    <m/>
    <s v="jukka.o.kaartinen@intel.com"/>
    <x v="0"/>
    <x v="0"/>
    <s v=""/>
    <x v="2"/>
    <s v=""/>
    <s v=""/>
    <s v=""/>
    <s v=""/>
    <s v=""/>
    <s v=""/>
    <s v=""/>
    <x v="0"/>
    <x v="0"/>
    <x v="0"/>
  </r>
  <r>
    <x v="52"/>
    <m/>
    <m/>
    <m/>
    <m/>
    <m/>
    <m/>
    <m/>
    <m/>
    <m/>
    <m/>
    <m/>
    <x v="16"/>
    <d v="2016-01-13T10:59:00"/>
    <s v="Patch Set 12: Code-Review+1\n\nthe patch is ok; can you give more description what's the benefits of this change?"/>
    <m/>
    <m/>
    <s v="jukka.o.kaartinen@intel.com"/>
    <x v="0"/>
    <x v="4"/>
    <s v=""/>
    <x v="2"/>
    <s v=""/>
    <s v=""/>
    <s v=""/>
    <s v=""/>
    <s v=""/>
    <s v=""/>
    <s v=""/>
    <x v="0"/>
    <x v="0"/>
    <x v="0"/>
  </r>
  <r>
    <x v="52"/>
    <m/>
    <m/>
    <m/>
    <m/>
    <m/>
    <m/>
    <m/>
    <m/>
    <m/>
    <m/>
    <m/>
    <x v="2"/>
    <d v="2016-01-13T16:05:00"/>
    <s v="Patch Set 12: Code-Review-1"/>
    <m/>
    <m/>
    <s v="jukka.o.kaartinen@intel.com"/>
    <x v="0"/>
    <x v="0"/>
    <s v=""/>
    <x v="2"/>
    <s v=""/>
    <s v=""/>
    <s v=""/>
    <s v=""/>
    <s v=""/>
    <s v=""/>
    <s v=""/>
    <x v="1"/>
    <x v="0"/>
    <x v="0"/>
  </r>
  <r>
    <x v="52"/>
    <m/>
    <m/>
    <m/>
    <m/>
    <m/>
    <m/>
    <m/>
    <m/>
    <m/>
    <m/>
    <m/>
    <x v="2"/>
    <d v="2016-01-13T16:17:00"/>
    <s v="Uploaded patch set 13: Patch Set 12 was rebased."/>
    <m/>
    <m/>
    <s v="jukka.o.kaartinen@intel.com"/>
    <x v="0"/>
    <x v="0"/>
    <s v=""/>
    <x v="2"/>
    <s v=""/>
    <s v=""/>
    <s v=""/>
    <s v=""/>
    <s v=""/>
    <s v=""/>
    <s v=""/>
    <x v="0"/>
    <x v="0"/>
    <x v="0"/>
  </r>
  <r>
    <x v="52"/>
    <m/>
    <m/>
    <m/>
    <m/>
    <m/>
    <m/>
    <m/>
    <m/>
    <m/>
    <m/>
    <m/>
    <x v="2"/>
    <d v="2016-01-13T16:17:00"/>
    <s v="Patch Set 13:\n\nPatchset Created: CI job has been scheduled."/>
    <m/>
    <m/>
    <s v="jukka.o.kaartinen@intel.com"/>
    <x v="0"/>
    <x v="0"/>
    <s v=""/>
    <x v="2"/>
    <s v=""/>
    <s v=""/>
    <s v=""/>
    <s v=""/>
    <s v=""/>
    <s v=""/>
    <s v=""/>
    <x v="0"/>
    <x v="0"/>
    <x v="0"/>
  </r>
  <r>
    <x v="52"/>
    <m/>
    <m/>
    <m/>
    <m/>
    <m/>
    <m/>
    <m/>
    <m/>
    <m/>
    <m/>
    <m/>
    <x v="2"/>
    <d v="2016-01-13T16:18:00"/>
    <s v="Patch Set 13: Code-Review+1"/>
    <m/>
    <m/>
    <s v="jukka.o.kaartinen@intel.com"/>
    <x v="0"/>
    <x v="0"/>
    <s v=""/>
    <x v="2"/>
    <s v=""/>
    <s v=""/>
    <s v=""/>
    <s v=""/>
    <s v=""/>
    <s v=""/>
    <s v=""/>
    <x v="0"/>
    <x v="0"/>
    <x v="0"/>
  </r>
  <r>
    <x v="52"/>
    <m/>
    <m/>
    <m/>
    <m/>
    <m/>
    <m/>
    <m/>
    <m/>
    <m/>
    <m/>
    <m/>
    <x v="2"/>
    <d v="2016-01-13T16:26:00"/>
    <s v="Uploaded patch set 14: Patch Set 13 was rebased."/>
    <m/>
    <m/>
    <s v="jukka.o.kaartinen@intel.com"/>
    <x v="0"/>
    <x v="0"/>
    <s v=""/>
    <x v="2"/>
    <s v=""/>
    <s v=""/>
    <s v=""/>
    <s v=""/>
    <s v=""/>
    <s v=""/>
    <s v=""/>
    <x v="0"/>
    <x v="0"/>
    <x v="0"/>
  </r>
  <r>
    <x v="52"/>
    <m/>
    <m/>
    <m/>
    <m/>
    <m/>
    <m/>
    <m/>
    <m/>
    <m/>
    <m/>
    <m/>
    <x v="2"/>
    <d v="2016-01-13T16:27:00"/>
    <s v="Patch Set 14:\n\nPatchset Created: CI job has been scheduled."/>
    <m/>
    <m/>
    <s v="jukka.o.kaartinen@intel.com"/>
    <x v="0"/>
    <x v="0"/>
    <s v=""/>
    <x v="2"/>
    <s v=""/>
    <s v=""/>
    <s v=""/>
    <s v=""/>
    <s v=""/>
    <s v=""/>
    <s v=""/>
    <x v="0"/>
    <x v="0"/>
    <x v="0"/>
  </r>
  <r>
    <x v="52"/>
    <m/>
    <m/>
    <m/>
    <m/>
    <m/>
    <m/>
    <m/>
    <m/>
    <m/>
    <m/>
    <m/>
    <x v="14"/>
    <d v="2016-01-13T16:48:00"/>
    <s v="Patch Set 14: Validation-Android+1\n\nreceive smoke test"/>
    <m/>
    <m/>
    <s v="jukka.o.kaartinen@intel.com"/>
    <x v="0"/>
    <x v="5"/>
    <s v=""/>
    <x v="2"/>
    <s v=""/>
    <s v=""/>
    <s v=""/>
    <s v=""/>
    <s v=""/>
    <s v=""/>
    <s v=""/>
    <x v="0"/>
    <x v="1"/>
    <x v="0"/>
  </r>
  <r>
    <x v="52"/>
    <m/>
    <m/>
    <m/>
    <m/>
    <m/>
    <m/>
    <m/>
    <m/>
    <m/>
    <m/>
    <m/>
    <x v="2"/>
    <d v="2016-01-13T16:48:00"/>
    <s v="Topic changed from squash to bxt_preint_HEAD"/>
    <m/>
    <m/>
    <s v="jukka.o.kaartinen@intel.com"/>
    <x v="0"/>
    <x v="0"/>
    <s v=""/>
    <x v="2"/>
    <s v=""/>
    <s v=""/>
    <s v=""/>
    <s v=""/>
    <s v=""/>
    <s v=""/>
    <s v=""/>
    <x v="0"/>
    <x v="0"/>
    <x v="0"/>
  </r>
  <r>
    <x v="52"/>
    <m/>
    <m/>
    <m/>
    <m/>
    <m/>
    <m/>
    <m/>
    <m/>
    <m/>
    <m/>
    <m/>
    <x v="9"/>
    <d v="2016-01-14T14:12:00"/>
    <s v="Patch Set 14: Integrator+1\n\nIntegrator +1; patch will be add to PT; please no change now"/>
    <m/>
    <m/>
    <s v="jukka.o.kaartinen@intel.com"/>
    <x v="0"/>
    <x v="5"/>
    <s v=""/>
    <x v="2"/>
    <s v=""/>
    <s v=""/>
    <s v=""/>
    <s v=""/>
    <s v=""/>
    <s v=""/>
    <s v=""/>
    <x v="0"/>
    <x v="1"/>
    <x v="0"/>
  </r>
  <r>
    <x v="52"/>
    <m/>
    <m/>
    <m/>
    <m/>
    <m/>
    <m/>
    <m/>
    <m/>
    <m/>
    <m/>
    <m/>
    <x v="9"/>
    <d v="2016-01-14T14:36:00"/>
    <s v="Patch Set 14: Integrator-1\n\npatch conflict; please re-base your patch"/>
    <m/>
    <m/>
    <s v="jukka.o.kaartinen@intel.com"/>
    <x v="0"/>
    <x v="5"/>
    <s v=""/>
    <x v="2"/>
    <s v=""/>
    <s v=""/>
    <s v=""/>
    <s v=""/>
    <s v=""/>
    <s v=""/>
    <s v=""/>
    <x v="0"/>
    <x v="1"/>
    <x v="0"/>
  </r>
  <r>
    <x v="52"/>
    <m/>
    <m/>
    <m/>
    <m/>
    <m/>
    <m/>
    <m/>
    <m/>
    <m/>
    <m/>
    <m/>
    <x v="2"/>
    <d v="2016-01-14T15:58:00"/>
    <s v="Uploaded patch set 15: Patch Set 14 was rebased."/>
    <m/>
    <m/>
    <s v="jukka.o.kaartinen@intel.com"/>
    <x v="0"/>
    <x v="0"/>
    <s v=""/>
    <x v="2"/>
    <s v=""/>
    <s v=""/>
    <s v=""/>
    <s v=""/>
    <s v=""/>
    <s v=""/>
    <s v=""/>
    <x v="0"/>
    <x v="0"/>
    <x v="0"/>
  </r>
  <r>
    <x v="52"/>
    <m/>
    <m/>
    <m/>
    <m/>
    <m/>
    <m/>
    <m/>
    <m/>
    <m/>
    <m/>
    <m/>
    <x v="2"/>
    <d v="2016-01-14T15:58:00"/>
    <s v="Patch Set 15:\n\nPatchset Created: CI job has been scheduled."/>
    <m/>
    <m/>
    <s v="jukka.o.kaartinen@intel.com"/>
    <x v="0"/>
    <x v="0"/>
    <s v=""/>
    <x v="2"/>
    <s v=""/>
    <s v=""/>
    <s v=""/>
    <s v=""/>
    <s v=""/>
    <s v=""/>
    <s v=""/>
    <x v="0"/>
    <x v="0"/>
    <x v="0"/>
  </r>
  <r>
    <x v="52"/>
    <m/>
    <m/>
    <m/>
    <m/>
    <m/>
    <m/>
    <m/>
    <m/>
    <m/>
    <m/>
    <m/>
    <x v="2"/>
    <d v="2016-01-14T16:22:00"/>
    <s v="Topic changed from jep to bxt_preint_HEAD"/>
    <m/>
    <m/>
    <s v="jukka.o.kaartinen@intel.com"/>
    <x v="0"/>
    <x v="0"/>
    <s v=""/>
    <x v="2"/>
    <s v=""/>
    <s v=""/>
    <s v=""/>
    <s v=""/>
    <s v=""/>
    <s v=""/>
    <s v=""/>
    <x v="0"/>
    <x v="0"/>
    <x v="0"/>
  </r>
  <r>
    <x v="52"/>
    <m/>
    <m/>
    <m/>
    <m/>
    <m/>
    <m/>
    <m/>
    <m/>
    <m/>
    <m/>
    <m/>
    <x v="2"/>
    <d v="2016-01-14T16:49:00"/>
    <s v="Topic changed from bxt_preint_HEAD to bxt_preint"/>
    <m/>
    <m/>
    <s v="jukka.o.kaartinen@intel.com"/>
    <x v="0"/>
    <x v="0"/>
    <s v=""/>
    <x v="2"/>
    <s v=""/>
    <s v=""/>
    <s v=""/>
    <s v=""/>
    <s v=""/>
    <s v=""/>
    <s v=""/>
    <x v="0"/>
    <x v="0"/>
    <x v="0"/>
  </r>
  <r>
    <x v="52"/>
    <m/>
    <m/>
    <m/>
    <m/>
    <m/>
    <m/>
    <m/>
    <m/>
    <m/>
    <m/>
    <m/>
    <x v="9"/>
    <d v="2016-01-14T17:07:00"/>
    <s v="Patch Set 15: Integrator+1\n\nIntegrator +1; patch will be add to PT; please no change now"/>
    <m/>
    <m/>
    <s v="jukka.o.kaartinen@intel.com"/>
    <x v="0"/>
    <x v="5"/>
    <s v=""/>
    <x v="2"/>
    <s v=""/>
    <s v=""/>
    <s v=""/>
    <s v=""/>
    <s v=""/>
    <s v=""/>
    <s v=""/>
    <x v="0"/>
    <x v="1"/>
    <x v="0"/>
  </r>
  <r>
    <x v="52"/>
    <m/>
    <m/>
    <m/>
    <m/>
    <m/>
    <m/>
    <m/>
    <m/>
    <m/>
    <m/>
    <m/>
    <x v="9"/>
    <d v="2016-01-14T19:51:00"/>
    <s v="Patch Set 15:\n\nPassed Klocwork code analyzing test. No CRITICAL issue in this patch. Auto reported by kwscan@kw-srv2.bj.intel.com"/>
    <m/>
    <m/>
    <s v="jukka.o.kaartinen@intel.com"/>
    <x v="0"/>
    <x v="5"/>
    <s v=""/>
    <x v="2"/>
    <s v=""/>
    <s v=""/>
    <s v=""/>
    <s v=""/>
    <s v=""/>
    <s v=""/>
    <s v=""/>
    <x v="0"/>
    <x v="0"/>
    <x v="0"/>
  </r>
  <r>
    <x v="52"/>
    <m/>
    <m/>
    <m/>
    <m/>
    <m/>
    <m/>
    <m/>
    <m/>
    <m/>
    <m/>
    <m/>
    <x v="9"/>
    <d v="2016-01-14T22:13:00"/>
    <s v="Patch Set 15:\n\nPassed Klocwork code analyzing test. No CRITICAL issue in this patch. Auto reported by kwscan@andr-val-srv0.bj.intel.com"/>
    <m/>
    <m/>
    <s v="jukka.o.kaartinen@intel.com"/>
    <x v="0"/>
    <x v="5"/>
    <s v=""/>
    <x v="2"/>
    <s v=""/>
    <s v=""/>
    <s v=""/>
    <s v=""/>
    <s v=""/>
    <s v=""/>
    <s v=""/>
    <x v="0"/>
    <x v="0"/>
    <x v="0"/>
  </r>
  <r>
    <x v="52"/>
    <m/>
    <m/>
    <m/>
    <m/>
    <m/>
    <m/>
    <m/>
    <m/>
    <m/>
    <m/>
    <m/>
    <x v="9"/>
    <d v="2016-01-14T23:06:00"/>
    <s v="Patch Set 15:\n\nPassed Klocwork code analyzing test. No CRITICAL issue in this patch. Auto reported by kwscan@kw-srv2.bj.intel.com"/>
    <m/>
    <m/>
    <s v="jukka.o.kaartinen@intel.com"/>
    <x v="0"/>
    <x v="5"/>
    <s v=""/>
    <x v="2"/>
    <s v=""/>
    <s v=""/>
    <s v=""/>
    <s v=""/>
    <s v=""/>
    <s v=""/>
    <s v=""/>
    <x v="0"/>
    <x v="0"/>
    <x v="0"/>
  </r>
  <r>
    <x v="52"/>
    <m/>
    <m/>
    <m/>
    <m/>
    <m/>
    <m/>
    <m/>
    <m/>
    <m/>
    <m/>
    <m/>
    <x v="9"/>
    <d v="2016-01-15T14:52:00"/>
    <s v="Patch Set 15:\n\nPassed Klocwork code analyzing test. No CRITICAL issue in this patch. Auto reported by kwscan@psi-build5.bj.intel.com"/>
    <m/>
    <m/>
    <s v="jukka.o.kaartinen@intel.com"/>
    <x v="0"/>
    <x v="5"/>
    <s v=""/>
    <x v="2"/>
    <s v=""/>
    <s v=""/>
    <s v=""/>
    <s v=""/>
    <s v=""/>
    <s v=""/>
    <s v=""/>
    <x v="0"/>
    <x v="0"/>
    <x v="0"/>
  </r>
  <r>
    <x v="52"/>
    <m/>
    <m/>
    <m/>
    <m/>
    <m/>
    <m/>
    <m/>
    <m/>
    <m/>
    <m/>
    <m/>
    <x v="9"/>
    <d v="2016-01-15T15:06:00"/>
    <s v="Patch Set 15: Code-Review+1\n\nPassed PIT; ready for merge"/>
    <m/>
    <m/>
    <s v="jukka.o.kaartinen@intel.com"/>
    <x v="0"/>
    <x v="5"/>
    <s v=""/>
    <x v="2"/>
    <s v=""/>
    <s v=""/>
    <s v=""/>
    <s v=""/>
    <s v=""/>
    <s v=""/>
    <s v=""/>
    <x v="0"/>
    <x v="0"/>
    <x v="0"/>
  </r>
  <r>
    <x v="52"/>
    <m/>
    <m/>
    <m/>
    <m/>
    <m/>
    <m/>
    <m/>
    <m/>
    <m/>
    <m/>
    <m/>
    <x v="9"/>
    <d v="2016-01-15T17:55:00"/>
    <s v="Patch Set 15:\n\nPassed Klocwork code analyzing test. No CRITICAL issue in this patch. Auto reported by kwscan@andr-val-srv0.bj.intel.com"/>
    <m/>
    <m/>
    <s v="jukka.o.kaartinen@intel.com"/>
    <x v="0"/>
    <x v="5"/>
    <s v=""/>
    <x v="2"/>
    <s v=""/>
    <s v=""/>
    <s v=""/>
    <s v=""/>
    <s v=""/>
    <s v=""/>
    <s v=""/>
    <x v="0"/>
    <x v="0"/>
    <x v="0"/>
  </r>
  <r>
    <x v="53"/>
    <n v="91582"/>
    <s v="vied-viedandr-camera3hal"/>
    <s v="platform/android/main"/>
    <s v="Ief1d5f331968d84729d75351edec53fa47798de7"/>
    <s v="jukka.o.kaartinen@intel.com"/>
    <s v="MERGED"/>
    <s v="c3: Clean up traces and code"/>
    <s v="c3: Clean up traces and code\n\nChange-Id: Ief1d5f331968d84729d75351edec53fa47798de7\nTracked-On: #H1804186960\nSigned-off-by: Jukka Kaartinen &lt;jukka.o.kaartinen@intel.com&gt;\nReviewed-on: https://icggerrit.ir.intel.com/91582\nBuild: Dessert M BXT RVP (SC)\nIntegrator: WeiX Meng &lt;weix.meng@intel.com&gt;\nApprover: Lassi I Vaatamoinen &lt;lassi.i.vaatamoinen@intel.com&gt;\nReviewed-by: Lassi I Vaatamoinen &lt;lassi.i.vaatamoinen@intel.com&gt;\nBuild: Dessert M CHT FFD (SC)\nBuild: Dessert M SOFIA (SC)\nValidation-Android: Dessert M CHT FFD (SC)\nReviewed-by: WeiX Meng &lt;weix.meng@intel.com&gt;\n"/>
    <d v="2015-12-22T22:47:00"/>
    <d v="2016-01-15T15:26:00"/>
    <s v="common"/>
    <x v="2"/>
    <d v="2015-12-22T22:47:00"/>
    <s v="Uploaded patch set 1."/>
    <m/>
    <s v="jingzhi.yu@intel.com;weix.meng@intel.com;miguel.verdu@intel.com;huitao.cao@intel.com;lassi.i.vaatamoinen@intel.com;juha.alanen@intel.com;hongjiang.a.zheng@intel.com;ukri.niemimuukko@intel.com;arnaud.mandy@intel.com;john.mathew@intel.com;"/>
    <s v="jukka.o.kaartinen@intel.com"/>
    <x v="0"/>
    <x v="0"/>
    <s v="16'ww3"/>
    <x v="2"/>
    <n v="1"/>
    <n v="0"/>
    <n v="1"/>
    <n v="0"/>
    <n v="3"/>
    <n v="11"/>
    <n v="0"/>
    <x v="0"/>
    <x v="0"/>
    <x v="0"/>
  </r>
  <r>
    <x v="53"/>
    <m/>
    <m/>
    <m/>
    <m/>
    <m/>
    <m/>
    <m/>
    <m/>
    <m/>
    <m/>
    <m/>
    <x v="2"/>
    <d v="2015-12-22T22:47:00"/>
    <s v="Patch Set 1:\n\nPatchset Created: CI job has been scheduled."/>
    <m/>
    <m/>
    <s v="jukka.o.kaartinen@intel.com"/>
    <x v="0"/>
    <x v="0"/>
    <s v=""/>
    <x v="2"/>
    <s v=""/>
    <s v=""/>
    <s v=""/>
    <s v=""/>
    <s v=""/>
    <s v=""/>
    <s v=""/>
    <x v="0"/>
    <x v="0"/>
    <x v="0"/>
  </r>
  <r>
    <x v="53"/>
    <m/>
    <m/>
    <m/>
    <m/>
    <m/>
    <m/>
    <m/>
    <m/>
    <m/>
    <m/>
    <m/>
    <x v="2"/>
    <d v="2015-12-22T22:48:00"/>
    <s v="Uploaded patch set 2: Patch Set 1 was rebased."/>
    <m/>
    <m/>
    <s v="jukka.o.kaartinen@intel.com"/>
    <x v="0"/>
    <x v="0"/>
    <s v=""/>
    <x v="2"/>
    <s v=""/>
    <s v=""/>
    <s v=""/>
    <s v=""/>
    <s v=""/>
    <s v=""/>
    <s v=""/>
    <x v="0"/>
    <x v="0"/>
    <x v="0"/>
  </r>
  <r>
    <x v="53"/>
    <m/>
    <m/>
    <m/>
    <m/>
    <m/>
    <m/>
    <m/>
    <m/>
    <m/>
    <m/>
    <m/>
    <x v="2"/>
    <d v="2015-12-22T22:48:00"/>
    <s v="Patch Set 2:\n\nPatchset Created: CI job has been scheduled."/>
    <m/>
    <m/>
    <s v="jukka.o.kaartinen@intel.com"/>
    <x v="0"/>
    <x v="0"/>
    <s v=""/>
    <x v="2"/>
    <s v=""/>
    <s v=""/>
    <s v=""/>
    <s v=""/>
    <s v=""/>
    <s v=""/>
    <s v=""/>
    <x v="0"/>
    <x v="0"/>
    <x v="0"/>
  </r>
  <r>
    <x v="53"/>
    <m/>
    <m/>
    <m/>
    <m/>
    <m/>
    <m/>
    <m/>
    <m/>
    <m/>
    <m/>
    <m/>
    <x v="8"/>
    <d v="2015-12-22T22:52:00"/>
    <s v="Patch Set 2: Code-Review+1"/>
    <m/>
    <m/>
    <s v="jukka.o.kaartinen@intel.com"/>
    <x v="0"/>
    <x v="1"/>
    <s v=""/>
    <x v="2"/>
    <s v=""/>
    <s v=""/>
    <s v=""/>
    <s v=""/>
    <s v=""/>
    <s v=""/>
    <s v=""/>
    <x v="0"/>
    <x v="0"/>
    <x v="0"/>
  </r>
  <r>
    <x v="53"/>
    <m/>
    <m/>
    <m/>
    <m/>
    <m/>
    <m/>
    <m/>
    <m/>
    <m/>
    <m/>
    <m/>
    <x v="2"/>
    <d v="2015-12-23T16:15:00"/>
    <s v="Patch Set 2: Code-Review+1"/>
    <m/>
    <m/>
    <s v="jukka.o.kaartinen@intel.com"/>
    <x v="0"/>
    <x v="0"/>
    <s v=""/>
    <x v="2"/>
    <s v=""/>
    <s v=""/>
    <s v=""/>
    <s v=""/>
    <s v=""/>
    <s v=""/>
    <s v=""/>
    <x v="0"/>
    <x v="0"/>
    <x v="0"/>
  </r>
  <r>
    <x v="53"/>
    <m/>
    <m/>
    <m/>
    <m/>
    <m/>
    <m/>
    <m/>
    <m/>
    <m/>
    <m/>
    <m/>
    <x v="14"/>
    <d v="2015-12-23T19:42:00"/>
    <s v="Patch Set 2: Validation-Android+1\n\nreceive smoke test"/>
    <m/>
    <m/>
    <s v="jukka.o.kaartinen@intel.com"/>
    <x v="0"/>
    <x v="5"/>
    <s v=""/>
    <x v="2"/>
    <s v=""/>
    <s v=""/>
    <s v=""/>
    <s v=""/>
    <s v=""/>
    <s v=""/>
    <s v=""/>
    <x v="0"/>
    <x v="1"/>
    <x v="0"/>
  </r>
  <r>
    <x v="53"/>
    <m/>
    <m/>
    <m/>
    <m/>
    <m/>
    <m/>
    <m/>
    <m/>
    <m/>
    <m/>
    <m/>
    <x v="1"/>
    <d v="2015-12-23T20:45:00"/>
    <s v="Patch Set 2: Code-Review-1\n\n(4 comments)"/>
    <s v="line192 :&quot;this.\n\nif you clean the file; clean it all.&quot; line238 :&quot;this&quot; line258 :&quot;and this?&quot; line270 :&quot;what about this?&quot;"/>
    <m/>
    <s v="jukka.o.kaartinen@intel.com"/>
    <x v="0"/>
    <x v="1"/>
    <s v=""/>
    <x v="2"/>
    <s v=""/>
    <s v=""/>
    <s v=""/>
    <s v=""/>
    <s v=""/>
    <s v=""/>
    <s v=""/>
    <x v="1"/>
    <x v="0"/>
    <x v="0"/>
  </r>
  <r>
    <x v="53"/>
    <m/>
    <m/>
    <m/>
    <m/>
    <m/>
    <m/>
    <m/>
    <m/>
    <m/>
    <m/>
    <m/>
    <x v="2"/>
    <d v="2015-12-23T20:56:00"/>
    <s v="Uploaded patch set 3: Patch Set 2 was rebased."/>
    <m/>
    <m/>
    <s v="jukka.o.kaartinen@intel.com"/>
    <x v="0"/>
    <x v="0"/>
    <s v=""/>
    <x v="2"/>
    <s v=""/>
    <s v=""/>
    <s v=""/>
    <s v=""/>
    <s v=""/>
    <s v=""/>
    <s v=""/>
    <x v="0"/>
    <x v="0"/>
    <x v="0"/>
  </r>
  <r>
    <x v="53"/>
    <m/>
    <m/>
    <m/>
    <m/>
    <m/>
    <m/>
    <m/>
    <m/>
    <m/>
    <m/>
    <m/>
    <x v="2"/>
    <d v="2015-12-23T20:56:00"/>
    <s v="Patch Set 3:\n\nPatchset Created: CI job has been scheduled."/>
    <m/>
    <m/>
    <s v="jukka.o.kaartinen@intel.com"/>
    <x v="0"/>
    <x v="0"/>
    <s v=""/>
    <x v="2"/>
    <s v=""/>
    <s v=""/>
    <s v=""/>
    <s v=""/>
    <s v=""/>
    <s v=""/>
    <s v=""/>
    <x v="0"/>
    <x v="0"/>
    <x v="0"/>
  </r>
  <r>
    <x v="53"/>
    <m/>
    <m/>
    <m/>
    <m/>
    <m/>
    <m/>
    <m/>
    <m/>
    <m/>
    <m/>
    <m/>
    <x v="2"/>
    <d v="2015-12-23T21:29:00"/>
    <s v="Uploaded patch set 4."/>
    <m/>
    <m/>
    <s v="jukka.o.kaartinen@intel.com"/>
    <x v="0"/>
    <x v="0"/>
    <s v=""/>
    <x v="2"/>
    <s v=""/>
    <s v=""/>
    <s v=""/>
    <s v=""/>
    <s v=""/>
    <s v=""/>
    <s v=""/>
    <x v="0"/>
    <x v="0"/>
    <x v="0"/>
  </r>
  <r>
    <x v="53"/>
    <m/>
    <m/>
    <m/>
    <m/>
    <m/>
    <m/>
    <m/>
    <m/>
    <m/>
    <m/>
    <m/>
    <x v="2"/>
    <d v="2015-12-23T21:29:00"/>
    <s v="Patch Set 4:\n\nPatchset Created: CI job has been scheduled."/>
    <m/>
    <m/>
    <s v="jukka.o.kaartinen@intel.com"/>
    <x v="0"/>
    <x v="0"/>
    <s v=""/>
    <x v="2"/>
    <s v=""/>
    <s v=""/>
    <s v=""/>
    <s v=""/>
    <s v=""/>
    <s v=""/>
    <s v=""/>
    <x v="0"/>
    <x v="0"/>
    <x v="0"/>
  </r>
  <r>
    <x v="53"/>
    <m/>
    <m/>
    <m/>
    <m/>
    <m/>
    <m/>
    <m/>
    <m/>
    <m/>
    <m/>
    <m/>
    <x v="2"/>
    <d v="2015-12-23T21:31:00"/>
    <s v="Patch Set 2:\n\n(4 comments)"/>
    <s v="line192 :&quot;Done&quot; line238 :&quot;Done&quot; line258 :&quot;Done&quot; line270 :&quot;Done&quot;"/>
    <m/>
    <s v="jukka.o.kaartinen@intel.com"/>
    <x v="0"/>
    <x v="0"/>
    <s v=""/>
    <x v="2"/>
    <s v=""/>
    <s v=""/>
    <s v=""/>
    <s v=""/>
    <s v=""/>
    <s v=""/>
    <s v=""/>
    <x v="0"/>
    <x v="0"/>
    <x v="0"/>
  </r>
  <r>
    <x v="53"/>
    <m/>
    <m/>
    <m/>
    <m/>
    <m/>
    <m/>
    <m/>
    <m/>
    <m/>
    <m/>
    <m/>
    <x v="2"/>
    <d v="2015-12-23T21:31:00"/>
    <s v="Patch Set 4: Code-Review+1"/>
    <m/>
    <m/>
    <s v="jukka.o.kaartinen@intel.com"/>
    <x v="0"/>
    <x v="0"/>
    <s v=""/>
    <x v="2"/>
    <s v=""/>
    <s v=""/>
    <s v=""/>
    <s v=""/>
    <s v=""/>
    <s v=""/>
    <s v=""/>
    <x v="0"/>
    <x v="0"/>
    <x v="0"/>
  </r>
  <r>
    <x v="53"/>
    <m/>
    <m/>
    <m/>
    <m/>
    <m/>
    <m/>
    <m/>
    <m/>
    <m/>
    <m/>
    <m/>
    <x v="14"/>
    <d v="2015-12-23T21:45:00"/>
    <s v="Patch Set 4: Validation-Android+1\n\nreceive smoke test"/>
    <m/>
    <m/>
    <s v="jukka.o.kaartinen@intel.com"/>
    <x v="0"/>
    <x v="5"/>
    <s v=""/>
    <x v="2"/>
    <s v=""/>
    <s v=""/>
    <s v=""/>
    <s v=""/>
    <s v=""/>
    <s v=""/>
    <s v=""/>
    <x v="0"/>
    <x v="1"/>
    <x v="0"/>
  </r>
  <r>
    <x v="53"/>
    <m/>
    <m/>
    <m/>
    <m/>
    <m/>
    <m/>
    <m/>
    <m/>
    <m/>
    <m/>
    <m/>
    <x v="8"/>
    <d v="2015-12-28T16:11:00"/>
    <s v="Patch Set 4: Code-Review+1"/>
    <m/>
    <m/>
    <s v="jukka.o.kaartinen@intel.com"/>
    <x v="0"/>
    <x v="1"/>
    <s v=""/>
    <x v="2"/>
    <s v=""/>
    <s v=""/>
    <s v=""/>
    <s v=""/>
    <s v=""/>
    <s v=""/>
    <s v=""/>
    <x v="0"/>
    <x v="0"/>
    <x v="0"/>
  </r>
  <r>
    <x v="53"/>
    <m/>
    <m/>
    <m/>
    <m/>
    <m/>
    <m/>
    <m/>
    <m/>
    <m/>
    <m/>
    <m/>
    <x v="1"/>
    <d v="2015-12-29T16:04:00"/>
    <s v="Patch Set 4: Code-Review+1"/>
    <m/>
    <m/>
    <s v="jukka.o.kaartinen@intel.com"/>
    <x v="0"/>
    <x v="1"/>
    <s v=""/>
    <x v="2"/>
    <s v=""/>
    <s v=""/>
    <s v=""/>
    <s v=""/>
    <s v=""/>
    <s v=""/>
    <s v=""/>
    <x v="0"/>
    <x v="0"/>
    <x v="0"/>
  </r>
  <r>
    <x v="53"/>
    <m/>
    <m/>
    <m/>
    <m/>
    <m/>
    <m/>
    <m/>
    <m/>
    <m/>
    <m/>
    <m/>
    <x v="2"/>
    <d v="2015-12-30T15:49:00"/>
    <s v="Uploaded patch set 5: Patch Set 4 was rebased."/>
    <m/>
    <m/>
    <s v="jukka.o.kaartinen@intel.com"/>
    <x v="0"/>
    <x v="0"/>
    <s v=""/>
    <x v="2"/>
    <s v=""/>
    <s v=""/>
    <s v=""/>
    <s v=""/>
    <s v=""/>
    <s v=""/>
    <s v=""/>
    <x v="0"/>
    <x v="0"/>
    <x v="0"/>
  </r>
  <r>
    <x v="53"/>
    <m/>
    <m/>
    <m/>
    <m/>
    <m/>
    <m/>
    <m/>
    <m/>
    <m/>
    <m/>
    <m/>
    <x v="2"/>
    <d v="2015-12-30T15:49:00"/>
    <s v="Patch Set 5:\n\nPatchset Created: CI job has been scheduled."/>
    <m/>
    <m/>
    <s v="jukka.o.kaartinen@intel.com"/>
    <x v="0"/>
    <x v="0"/>
    <s v=""/>
    <x v="2"/>
    <s v=""/>
    <s v=""/>
    <s v=""/>
    <s v=""/>
    <s v=""/>
    <s v=""/>
    <s v=""/>
    <x v="0"/>
    <x v="0"/>
    <x v="0"/>
  </r>
  <r>
    <x v="53"/>
    <m/>
    <m/>
    <m/>
    <m/>
    <m/>
    <m/>
    <m/>
    <m/>
    <m/>
    <m/>
    <m/>
    <x v="2"/>
    <d v="2015-12-30T15:50:00"/>
    <s v="Uploaded patch set 6: Patch Set 5 was rebased."/>
    <m/>
    <m/>
    <s v="jukka.o.kaartinen@intel.com"/>
    <x v="0"/>
    <x v="0"/>
    <s v=""/>
    <x v="2"/>
    <s v=""/>
    <s v=""/>
    <s v=""/>
    <s v=""/>
    <s v=""/>
    <s v=""/>
    <s v=""/>
    <x v="0"/>
    <x v="0"/>
    <x v="0"/>
  </r>
  <r>
    <x v="53"/>
    <m/>
    <m/>
    <m/>
    <m/>
    <m/>
    <m/>
    <m/>
    <m/>
    <m/>
    <m/>
    <m/>
    <x v="2"/>
    <d v="2015-12-30T15:50:00"/>
    <s v="Patch Set 6:\n\nPatchset Created: CI job has been scheduled."/>
    <m/>
    <m/>
    <s v="jukka.o.kaartinen@intel.com"/>
    <x v="0"/>
    <x v="0"/>
    <s v=""/>
    <x v="2"/>
    <s v=""/>
    <s v=""/>
    <s v=""/>
    <s v=""/>
    <s v=""/>
    <s v=""/>
    <s v=""/>
    <x v="0"/>
    <x v="0"/>
    <x v="0"/>
  </r>
  <r>
    <x v="53"/>
    <m/>
    <m/>
    <m/>
    <m/>
    <m/>
    <m/>
    <m/>
    <m/>
    <m/>
    <m/>
    <m/>
    <x v="6"/>
    <d v="2015-12-30T16:30:00"/>
    <s v="Patch Set 6:\n\ngiving a zero. IMO in a return value; it is cleaner for the asterisk to be bundled with the return type. E.g.\n\nchar getMyChar(); // better\nchar getMyChar(); // worse\n\nThen again; I do like it the other way around in params:\n\nchar getMyChar(char default); // better\nchar getMyChar(char default); // worse\n\nAnd in members:\n\nchar mMemberChar; // better\nchar mMemberChar; // worse\n\nSo obviously; I am not being overly consistent. Hence the zero instead of -1."/>
    <m/>
    <m/>
    <s v="jukka.o.kaartinen@intel.com"/>
    <x v="0"/>
    <x v="1"/>
    <s v=""/>
    <x v="2"/>
    <s v=""/>
    <s v=""/>
    <s v=""/>
    <s v=""/>
    <s v=""/>
    <s v=""/>
    <s v=""/>
    <x v="0"/>
    <x v="0"/>
    <x v="0"/>
  </r>
  <r>
    <x v="53"/>
    <m/>
    <m/>
    <m/>
    <m/>
    <m/>
    <m/>
    <m/>
    <m/>
    <m/>
    <m/>
    <m/>
    <x v="15"/>
    <d v="2015-12-30T16:55:00"/>
    <s v="Patch Set 6: Code-Review+1"/>
    <m/>
    <m/>
    <s v="jukka.o.kaartinen@intel.com"/>
    <x v="0"/>
    <x v="4"/>
    <s v=""/>
    <x v="2"/>
    <s v=""/>
    <s v=""/>
    <s v=""/>
    <s v=""/>
    <s v=""/>
    <s v=""/>
    <s v=""/>
    <x v="0"/>
    <x v="0"/>
    <x v="0"/>
  </r>
  <r>
    <x v="53"/>
    <m/>
    <m/>
    <m/>
    <m/>
    <m/>
    <m/>
    <m/>
    <m/>
    <m/>
    <m/>
    <m/>
    <x v="5"/>
    <d v="2015-12-30T17:44:00"/>
    <s v="Patch Set 6: Code-Review+1"/>
    <m/>
    <m/>
    <s v="jukka.o.kaartinen@intel.com"/>
    <x v="0"/>
    <x v="1"/>
    <s v=""/>
    <x v="2"/>
    <s v=""/>
    <s v=""/>
    <s v=""/>
    <s v=""/>
    <s v=""/>
    <s v=""/>
    <s v=""/>
    <x v="0"/>
    <x v="0"/>
    <x v="0"/>
  </r>
  <r>
    <x v="53"/>
    <m/>
    <m/>
    <m/>
    <m/>
    <m/>
    <m/>
    <m/>
    <m/>
    <m/>
    <m/>
    <m/>
    <x v="12"/>
    <d v="2015-12-30T21:41:00"/>
    <s v="Patch Set 6: Code-Review+1"/>
    <m/>
    <m/>
    <s v="jukka.o.kaartinen@intel.com"/>
    <x v="0"/>
    <x v="1"/>
    <s v=""/>
    <x v="2"/>
    <s v=""/>
    <s v=""/>
    <s v=""/>
    <s v=""/>
    <s v=""/>
    <s v=""/>
    <s v=""/>
    <x v="0"/>
    <x v="0"/>
    <x v="0"/>
  </r>
  <r>
    <x v="53"/>
    <m/>
    <m/>
    <m/>
    <m/>
    <m/>
    <m/>
    <m/>
    <m/>
    <m/>
    <m/>
    <m/>
    <x v="2"/>
    <d v="2015-12-31T17:09:00"/>
    <s v="Uploaded patch set 7: Patch Set 6 was rebased."/>
    <m/>
    <m/>
    <s v="jukka.o.kaartinen@intel.com"/>
    <x v="0"/>
    <x v="0"/>
    <s v=""/>
    <x v="2"/>
    <s v=""/>
    <s v=""/>
    <s v=""/>
    <s v=""/>
    <s v=""/>
    <s v=""/>
    <s v=""/>
    <x v="0"/>
    <x v="0"/>
    <x v="0"/>
  </r>
  <r>
    <x v="53"/>
    <m/>
    <m/>
    <m/>
    <m/>
    <m/>
    <m/>
    <m/>
    <m/>
    <m/>
    <m/>
    <m/>
    <x v="2"/>
    <d v="2015-12-31T17:09:00"/>
    <s v="Patch Set 7:\n\nPatchset Created: CI job has been scheduled."/>
    <m/>
    <m/>
    <s v="jukka.o.kaartinen@intel.com"/>
    <x v="0"/>
    <x v="0"/>
    <s v=""/>
    <x v="2"/>
    <s v=""/>
    <s v=""/>
    <s v=""/>
    <s v=""/>
    <s v=""/>
    <s v=""/>
    <s v=""/>
    <x v="0"/>
    <x v="0"/>
    <x v="0"/>
  </r>
  <r>
    <x v="53"/>
    <m/>
    <m/>
    <m/>
    <m/>
    <m/>
    <m/>
    <m/>
    <m/>
    <m/>
    <m/>
    <m/>
    <x v="2"/>
    <d v="2016-01-07T16:10:00"/>
    <s v="Uploaded patch set 8: Patch Set 7 was rebased."/>
    <m/>
    <m/>
    <s v="jukka.o.kaartinen@intel.com"/>
    <x v="0"/>
    <x v="0"/>
    <s v=""/>
    <x v="2"/>
    <s v=""/>
    <s v=""/>
    <s v=""/>
    <s v=""/>
    <s v=""/>
    <s v=""/>
    <s v=""/>
    <x v="0"/>
    <x v="0"/>
    <x v="0"/>
  </r>
  <r>
    <x v="53"/>
    <m/>
    <m/>
    <m/>
    <m/>
    <m/>
    <m/>
    <m/>
    <m/>
    <m/>
    <m/>
    <m/>
    <x v="2"/>
    <d v="2016-01-07T16:10:00"/>
    <s v="Patch Set 8:\n\nPatchset Created: CI job has been scheduled."/>
    <m/>
    <m/>
    <s v="jukka.o.kaartinen@intel.com"/>
    <x v="0"/>
    <x v="0"/>
    <s v=""/>
    <x v="2"/>
    <s v=""/>
    <s v=""/>
    <s v=""/>
    <s v=""/>
    <s v=""/>
    <s v=""/>
    <s v=""/>
    <x v="0"/>
    <x v="0"/>
    <x v="0"/>
  </r>
  <r>
    <x v="53"/>
    <m/>
    <m/>
    <m/>
    <m/>
    <m/>
    <m/>
    <m/>
    <m/>
    <m/>
    <m/>
    <m/>
    <x v="7"/>
    <d v="2016-01-07T16:22:00"/>
    <s v="Patch Set 8: Code-Review+1"/>
    <m/>
    <m/>
    <s v="jukka.o.kaartinen@intel.com"/>
    <x v="0"/>
    <x v="4"/>
    <s v=""/>
    <x v="2"/>
    <s v=""/>
    <s v=""/>
    <s v=""/>
    <s v=""/>
    <s v=""/>
    <s v=""/>
    <s v=""/>
    <x v="0"/>
    <x v="0"/>
    <x v="0"/>
  </r>
  <r>
    <x v="53"/>
    <m/>
    <m/>
    <m/>
    <m/>
    <m/>
    <m/>
    <m/>
    <m/>
    <m/>
    <m/>
    <m/>
    <x v="2"/>
    <d v="2016-01-07T17:27:00"/>
    <s v="Uploaded patch set 9: Patch Set 8 was rebased."/>
    <m/>
    <m/>
    <s v="jukka.o.kaartinen@intel.com"/>
    <x v="0"/>
    <x v="0"/>
    <s v=""/>
    <x v="2"/>
    <s v=""/>
    <s v=""/>
    <s v=""/>
    <s v=""/>
    <s v=""/>
    <s v=""/>
    <s v=""/>
    <x v="0"/>
    <x v="0"/>
    <x v="0"/>
  </r>
  <r>
    <x v="53"/>
    <m/>
    <m/>
    <m/>
    <m/>
    <m/>
    <m/>
    <m/>
    <m/>
    <m/>
    <m/>
    <m/>
    <x v="2"/>
    <d v="2016-01-07T17:27:00"/>
    <s v="Patch Set 9:\n\nPatchset Created: CI job has been scheduled."/>
    <m/>
    <m/>
    <s v="jukka.o.kaartinen@intel.com"/>
    <x v="0"/>
    <x v="0"/>
    <s v=""/>
    <x v="2"/>
    <s v=""/>
    <s v=""/>
    <s v=""/>
    <s v=""/>
    <s v=""/>
    <s v=""/>
    <s v=""/>
    <x v="0"/>
    <x v="0"/>
    <x v="0"/>
  </r>
  <r>
    <x v="53"/>
    <m/>
    <m/>
    <m/>
    <m/>
    <m/>
    <m/>
    <m/>
    <m/>
    <m/>
    <m/>
    <m/>
    <x v="6"/>
    <d v="2016-01-07T18:53:00"/>
    <s v="Patch Set 9: Approver+1"/>
    <m/>
    <m/>
    <s v="jukka.o.kaartinen@intel.com"/>
    <x v="0"/>
    <x v="1"/>
    <s v=""/>
    <x v="2"/>
    <s v=""/>
    <s v=""/>
    <s v=""/>
    <s v=""/>
    <s v=""/>
    <s v=""/>
    <s v=""/>
    <x v="0"/>
    <x v="0"/>
    <x v="0"/>
  </r>
  <r>
    <x v="53"/>
    <m/>
    <m/>
    <m/>
    <m/>
    <m/>
    <m/>
    <m/>
    <m/>
    <m/>
    <m/>
    <m/>
    <x v="2"/>
    <d v="2016-01-07T18:53:00"/>
    <s v="Topic changed from nothigntosee_12_31 to bxt_preint"/>
    <m/>
    <m/>
    <s v="jukka.o.kaartinen@intel.com"/>
    <x v="0"/>
    <x v="0"/>
    <s v=""/>
    <x v="2"/>
    <s v=""/>
    <s v=""/>
    <s v=""/>
    <s v=""/>
    <s v=""/>
    <s v=""/>
    <s v=""/>
    <x v="0"/>
    <x v="0"/>
    <x v="0"/>
  </r>
  <r>
    <x v="53"/>
    <m/>
    <m/>
    <m/>
    <m/>
    <m/>
    <m/>
    <m/>
    <m/>
    <m/>
    <m/>
    <m/>
    <x v="14"/>
    <d v="2016-01-07T18:55:00"/>
    <s v="Patch Set 9: Validation-Android+1\n\nreceive smoke test"/>
    <m/>
    <m/>
    <s v="jukka.o.kaartinen@intel.com"/>
    <x v="0"/>
    <x v="5"/>
    <s v=""/>
    <x v="2"/>
    <s v=""/>
    <s v=""/>
    <s v=""/>
    <s v=""/>
    <s v=""/>
    <s v=""/>
    <s v=""/>
    <x v="0"/>
    <x v="1"/>
    <x v="0"/>
  </r>
  <r>
    <x v="53"/>
    <m/>
    <m/>
    <m/>
    <m/>
    <m/>
    <m/>
    <m/>
    <m/>
    <m/>
    <m/>
    <m/>
    <x v="0"/>
    <d v="2016-01-07T19:48:00"/>
    <s v="Patch Set 9: Code-Review+1"/>
    <m/>
    <m/>
    <s v="jukka.o.kaartinen@intel.com"/>
    <x v="0"/>
    <x v="1"/>
    <s v=""/>
    <x v="2"/>
    <s v=""/>
    <s v=""/>
    <s v=""/>
    <s v=""/>
    <s v=""/>
    <s v=""/>
    <s v=""/>
    <x v="0"/>
    <x v="0"/>
    <x v="0"/>
  </r>
  <r>
    <x v="53"/>
    <m/>
    <m/>
    <m/>
    <m/>
    <m/>
    <m/>
    <m/>
    <m/>
    <m/>
    <m/>
    <m/>
    <x v="9"/>
    <d v="2016-01-08T14:13:00"/>
    <s v="Patch Set 9: Integrator+1\n\nIntegrator +1; patch will be add to PT; please no change now"/>
    <m/>
    <m/>
    <s v="jukka.o.kaartinen@intel.com"/>
    <x v="0"/>
    <x v="5"/>
    <s v=""/>
    <x v="2"/>
    <s v=""/>
    <s v=""/>
    <s v=""/>
    <s v=""/>
    <s v=""/>
    <s v=""/>
    <s v=""/>
    <x v="0"/>
    <x v="1"/>
    <x v="0"/>
  </r>
  <r>
    <x v="53"/>
    <m/>
    <m/>
    <m/>
    <m/>
    <m/>
    <m/>
    <m/>
    <m/>
    <m/>
    <m/>
    <m/>
    <x v="9"/>
    <d v="2016-01-08T16:43:00"/>
    <s v="Patch Set 9:\n\nPassed Klocwork code analyzing test. No CRITICAL issue in this patch. Auto reported by kwscan@andr-val-srv0.bj.intel.com"/>
    <m/>
    <m/>
    <s v="jukka.o.kaartinen@intel.com"/>
    <x v="0"/>
    <x v="5"/>
    <s v=""/>
    <x v="2"/>
    <s v=""/>
    <s v=""/>
    <s v=""/>
    <s v=""/>
    <s v=""/>
    <s v=""/>
    <s v=""/>
    <x v="0"/>
    <x v="0"/>
    <x v="0"/>
  </r>
  <r>
    <x v="53"/>
    <m/>
    <m/>
    <m/>
    <m/>
    <m/>
    <m/>
    <m/>
    <m/>
    <m/>
    <m/>
    <m/>
    <x v="9"/>
    <d v="2016-01-08T18:38:00"/>
    <s v="Patch Set 9:\n\nPassed Klocwork code analyzing test. No CRITICAL issue in this patch. Auto reported by kwscan@kw-srv2.bj.intel.com"/>
    <m/>
    <m/>
    <s v="jukka.o.kaartinen@intel.com"/>
    <x v="0"/>
    <x v="5"/>
    <s v=""/>
    <x v="2"/>
    <s v=""/>
    <s v=""/>
    <s v=""/>
    <s v=""/>
    <s v=""/>
    <s v=""/>
    <s v=""/>
    <x v="0"/>
    <x v="0"/>
    <x v="0"/>
  </r>
  <r>
    <x v="53"/>
    <m/>
    <m/>
    <m/>
    <m/>
    <m/>
    <m/>
    <m/>
    <m/>
    <m/>
    <m/>
    <m/>
    <x v="9"/>
    <d v="2016-01-08T20:42:00"/>
    <s v="Patch Set 9:\n\nPassed Klocwork code analyzing test. No CRITICAL issue in this patch. Auto reported by kwscan@psi-build5.bj.intel.com"/>
    <m/>
    <m/>
    <s v="jukka.o.kaartinen@intel.com"/>
    <x v="0"/>
    <x v="5"/>
    <s v=""/>
    <x v="2"/>
    <s v=""/>
    <s v=""/>
    <s v=""/>
    <s v=""/>
    <s v=""/>
    <s v=""/>
    <s v=""/>
    <x v="0"/>
    <x v="0"/>
    <x v="0"/>
  </r>
  <r>
    <x v="53"/>
    <m/>
    <m/>
    <m/>
    <m/>
    <m/>
    <m/>
    <m/>
    <m/>
    <m/>
    <m/>
    <m/>
    <x v="9"/>
    <d v="2016-01-08T21:29:00"/>
    <s v="Patch Set 9:\n\nPassed Klocwork code analyzing test. No CRITICAL issue in this patch. Auto reported by kwscan@kw-srv2.bj.intel.com"/>
    <m/>
    <m/>
    <s v="jukka.o.kaartinen@intel.com"/>
    <x v="0"/>
    <x v="5"/>
    <s v=""/>
    <x v="2"/>
    <s v=""/>
    <s v=""/>
    <s v=""/>
    <s v=""/>
    <s v=""/>
    <s v=""/>
    <s v=""/>
    <x v="0"/>
    <x v="0"/>
    <x v="0"/>
  </r>
  <r>
    <x v="53"/>
    <m/>
    <m/>
    <m/>
    <m/>
    <m/>
    <m/>
    <m/>
    <m/>
    <m/>
    <m/>
    <m/>
    <x v="9"/>
    <d v="2016-01-11T15:40:00"/>
    <s v="Patch Set 9: Integrator-1\n\nPIT test failed with regression 1504138554 on CHT T3"/>
    <m/>
    <m/>
    <s v="jukka.o.kaartinen@intel.com"/>
    <x v="0"/>
    <x v="5"/>
    <s v=""/>
    <x v="2"/>
    <s v=""/>
    <s v=""/>
    <s v=""/>
    <s v=""/>
    <s v=""/>
    <s v=""/>
    <s v=""/>
    <x v="0"/>
    <x v="1"/>
    <x v="0"/>
  </r>
  <r>
    <x v="53"/>
    <m/>
    <m/>
    <m/>
    <m/>
    <m/>
    <m/>
    <m/>
    <m/>
    <m/>
    <m/>
    <m/>
    <x v="9"/>
    <d v="2016-01-11T21:48:00"/>
    <s v="Patch Set 9:\n\nPassed Klocwork code analyzing test. No CRITICAL issue in this patch. Auto reported by kwscan@kw-srv2.bj.intel.com"/>
    <m/>
    <m/>
    <s v="jukka.o.kaartinen@intel.com"/>
    <x v="0"/>
    <x v="5"/>
    <s v=""/>
    <x v="2"/>
    <s v=""/>
    <s v=""/>
    <s v=""/>
    <s v=""/>
    <s v=""/>
    <s v=""/>
    <s v=""/>
    <x v="0"/>
    <x v="0"/>
    <x v="0"/>
  </r>
  <r>
    <x v="53"/>
    <m/>
    <m/>
    <m/>
    <m/>
    <m/>
    <m/>
    <m/>
    <m/>
    <m/>
    <m/>
    <m/>
    <x v="9"/>
    <d v="2016-01-12T00:51:00"/>
    <s v="Patch Set 9:\n\nPassed Klocwork code analyzing test. No CRITICAL issue in this patch. Auto reported by kwscan@kw-srv2.bj.intel.com"/>
    <m/>
    <m/>
    <s v="jukka.o.kaartinen@intel.com"/>
    <x v="0"/>
    <x v="5"/>
    <s v=""/>
    <x v="2"/>
    <s v=""/>
    <s v=""/>
    <s v=""/>
    <s v=""/>
    <s v=""/>
    <s v=""/>
    <s v=""/>
    <x v="0"/>
    <x v="0"/>
    <x v="0"/>
  </r>
  <r>
    <x v="53"/>
    <m/>
    <m/>
    <m/>
    <m/>
    <m/>
    <m/>
    <m/>
    <m/>
    <m/>
    <m/>
    <m/>
    <x v="9"/>
    <d v="2016-01-12T12:17:00"/>
    <s v="Patch Set 9:\n\nPassed Klocwork code analyzing test. No CRITICAL issue in this patch. Auto reported by kwscan@psi-build5.bj.intel.com"/>
    <m/>
    <m/>
    <s v="jukka.o.kaartinen@intel.com"/>
    <x v="0"/>
    <x v="5"/>
    <s v=""/>
    <x v="2"/>
    <s v=""/>
    <s v=""/>
    <s v=""/>
    <s v=""/>
    <s v=""/>
    <s v=""/>
    <s v=""/>
    <x v="0"/>
    <x v="0"/>
    <x v="0"/>
  </r>
  <r>
    <x v="53"/>
    <m/>
    <m/>
    <m/>
    <m/>
    <m/>
    <m/>
    <m/>
    <m/>
    <m/>
    <m/>
    <m/>
    <x v="2"/>
    <d v="2016-01-12T22:32:00"/>
    <s v="Uploaded patch set 10: Patch Set 9 was rebased."/>
    <m/>
    <m/>
    <s v="jukka.o.kaartinen@intel.com"/>
    <x v="0"/>
    <x v="0"/>
    <s v=""/>
    <x v="2"/>
    <s v=""/>
    <s v=""/>
    <s v=""/>
    <s v=""/>
    <s v=""/>
    <s v=""/>
    <s v=""/>
    <x v="0"/>
    <x v="0"/>
    <x v="0"/>
  </r>
  <r>
    <x v="53"/>
    <m/>
    <m/>
    <m/>
    <m/>
    <m/>
    <m/>
    <m/>
    <m/>
    <m/>
    <m/>
    <m/>
    <x v="2"/>
    <d v="2016-01-12T22:32:00"/>
    <s v="Patch Set 10:\n\nPatchset Created: CI job has been scheduled."/>
    <m/>
    <m/>
    <s v="jukka.o.kaartinen@intel.com"/>
    <x v="0"/>
    <x v="0"/>
    <s v=""/>
    <x v="2"/>
    <s v=""/>
    <s v=""/>
    <s v=""/>
    <s v=""/>
    <s v=""/>
    <s v=""/>
    <s v=""/>
    <x v="0"/>
    <x v="0"/>
    <x v="0"/>
  </r>
  <r>
    <x v="53"/>
    <m/>
    <m/>
    <m/>
    <m/>
    <m/>
    <m/>
    <m/>
    <m/>
    <m/>
    <m/>
    <m/>
    <x v="2"/>
    <d v="2016-01-12T22:36:00"/>
    <s v="Uploaded patch set 11: Patch Set 10 was rebased."/>
    <m/>
    <m/>
    <s v="jukka.o.kaartinen@intel.com"/>
    <x v="0"/>
    <x v="0"/>
    <s v=""/>
    <x v="2"/>
    <s v=""/>
    <s v=""/>
    <s v=""/>
    <s v=""/>
    <s v=""/>
    <s v=""/>
    <s v=""/>
    <x v="0"/>
    <x v="0"/>
    <x v="0"/>
  </r>
  <r>
    <x v="53"/>
    <m/>
    <m/>
    <m/>
    <m/>
    <m/>
    <m/>
    <m/>
    <m/>
    <m/>
    <m/>
    <m/>
    <x v="2"/>
    <d v="2016-01-12T22:36:00"/>
    <s v="Patch Set 11:\n\nPatchset Created: CI job has been scheduled."/>
    <m/>
    <m/>
    <s v="jukka.o.kaartinen@intel.com"/>
    <x v="0"/>
    <x v="0"/>
    <s v=""/>
    <x v="2"/>
    <s v=""/>
    <s v=""/>
    <s v=""/>
    <s v=""/>
    <s v=""/>
    <s v=""/>
    <s v=""/>
    <x v="0"/>
    <x v="0"/>
    <x v="0"/>
  </r>
  <r>
    <x v="53"/>
    <m/>
    <m/>
    <m/>
    <m/>
    <m/>
    <m/>
    <m/>
    <m/>
    <m/>
    <m/>
    <m/>
    <x v="14"/>
    <d v="2016-01-12T22:49:00"/>
    <s v="Patch Set 11: Validation-Android+1\n\nreceive smoke test"/>
    <m/>
    <m/>
    <s v="jukka.o.kaartinen@intel.com"/>
    <x v="0"/>
    <x v="5"/>
    <s v=""/>
    <x v="2"/>
    <s v=""/>
    <s v=""/>
    <s v=""/>
    <s v=""/>
    <s v=""/>
    <s v=""/>
    <s v=""/>
    <x v="0"/>
    <x v="1"/>
    <x v="0"/>
  </r>
  <r>
    <x v="53"/>
    <m/>
    <m/>
    <m/>
    <m/>
    <m/>
    <m/>
    <m/>
    <m/>
    <m/>
    <m/>
    <m/>
    <x v="2"/>
    <d v="2016-01-12T22:50:00"/>
    <s v="Topic changed from rebased to bxt_preint"/>
    <m/>
    <m/>
    <s v="jukka.o.kaartinen@intel.com"/>
    <x v="0"/>
    <x v="0"/>
    <s v=""/>
    <x v="2"/>
    <s v=""/>
    <s v=""/>
    <s v=""/>
    <s v=""/>
    <s v=""/>
    <s v=""/>
    <s v=""/>
    <x v="0"/>
    <x v="0"/>
    <x v="0"/>
  </r>
  <r>
    <x v="53"/>
    <m/>
    <m/>
    <m/>
    <m/>
    <m/>
    <m/>
    <m/>
    <m/>
    <m/>
    <m/>
    <m/>
    <x v="16"/>
    <d v="2016-01-13T10:29:00"/>
    <s v="Patch Set 11: Code-Review+1"/>
    <m/>
    <m/>
    <s v="jukka.o.kaartinen@intel.com"/>
    <x v="0"/>
    <x v="4"/>
    <s v=""/>
    <x v="2"/>
    <s v=""/>
    <s v=""/>
    <s v=""/>
    <s v=""/>
    <s v=""/>
    <s v=""/>
    <s v=""/>
    <x v="0"/>
    <x v="0"/>
    <x v="0"/>
  </r>
  <r>
    <x v="53"/>
    <m/>
    <m/>
    <m/>
    <m/>
    <m/>
    <m/>
    <m/>
    <m/>
    <m/>
    <m/>
    <m/>
    <x v="2"/>
    <d v="2016-01-13T16:05:00"/>
    <s v="Patch Set 11: Code-Review-1"/>
    <m/>
    <m/>
    <s v="jukka.o.kaartinen@intel.com"/>
    <x v="0"/>
    <x v="0"/>
    <s v=""/>
    <x v="2"/>
    <s v=""/>
    <s v=""/>
    <s v=""/>
    <s v=""/>
    <s v=""/>
    <s v=""/>
    <s v=""/>
    <x v="1"/>
    <x v="0"/>
    <x v="0"/>
  </r>
  <r>
    <x v="53"/>
    <m/>
    <m/>
    <m/>
    <m/>
    <m/>
    <m/>
    <m/>
    <m/>
    <m/>
    <m/>
    <m/>
    <x v="2"/>
    <d v="2016-01-13T16:17:00"/>
    <s v="Uploaded patch set 12: Patch Set 11 was rebased."/>
    <m/>
    <m/>
    <s v="jukka.o.kaartinen@intel.com"/>
    <x v="0"/>
    <x v="0"/>
    <s v=""/>
    <x v="2"/>
    <s v=""/>
    <s v=""/>
    <s v=""/>
    <s v=""/>
    <s v=""/>
    <s v=""/>
    <s v=""/>
    <x v="0"/>
    <x v="0"/>
    <x v="0"/>
  </r>
  <r>
    <x v="53"/>
    <m/>
    <m/>
    <m/>
    <m/>
    <m/>
    <m/>
    <m/>
    <m/>
    <m/>
    <m/>
    <m/>
    <x v="2"/>
    <d v="2016-01-13T16:17:00"/>
    <s v="Patch Set 12:\n\nPatchset Created: CI job has been scheduled."/>
    <m/>
    <m/>
    <s v="jukka.o.kaartinen@intel.com"/>
    <x v="0"/>
    <x v="0"/>
    <s v=""/>
    <x v="2"/>
    <s v=""/>
    <s v=""/>
    <s v=""/>
    <s v=""/>
    <s v=""/>
    <s v=""/>
    <s v=""/>
    <x v="0"/>
    <x v="0"/>
    <x v="0"/>
  </r>
  <r>
    <x v="53"/>
    <m/>
    <m/>
    <m/>
    <m/>
    <m/>
    <m/>
    <m/>
    <m/>
    <m/>
    <m/>
    <m/>
    <x v="2"/>
    <d v="2016-01-13T16:18:00"/>
    <s v="Patch Set 12: Code-Review+1"/>
    <m/>
    <m/>
    <s v="jukka.o.kaartinen@intel.com"/>
    <x v="0"/>
    <x v="0"/>
    <s v=""/>
    <x v="2"/>
    <s v=""/>
    <s v=""/>
    <s v=""/>
    <s v=""/>
    <s v=""/>
    <s v=""/>
    <s v=""/>
    <x v="0"/>
    <x v="0"/>
    <x v="0"/>
  </r>
  <r>
    <x v="53"/>
    <m/>
    <m/>
    <m/>
    <m/>
    <m/>
    <m/>
    <m/>
    <m/>
    <m/>
    <m/>
    <m/>
    <x v="2"/>
    <d v="2016-01-13T16:26:00"/>
    <s v="Uploaded patch set 13: Patch Set 12 was rebased."/>
    <m/>
    <m/>
    <s v="jukka.o.kaartinen@intel.com"/>
    <x v="0"/>
    <x v="0"/>
    <s v=""/>
    <x v="2"/>
    <s v=""/>
    <s v=""/>
    <s v=""/>
    <s v=""/>
    <s v=""/>
    <s v=""/>
    <s v=""/>
    <x v="0"/>
    <x v="0"/>
    <x v="0"/>
  </r>
  <r>
    <x v="53"/>
    <m/>
    <m/>
    <m/>
    <m/>
    <m/>
    <m/>
    <m/>
    <m/>
    <m/>
    <m/>
    <m/>
    <x v="2"/>
    <d v="2016-01-13T16:27:00"/>
    <s v="Patch Set 13:\n\nPatchset Created: CI job has been scheduled."/>
    <m/>
    <m/>
    <s v="jukka.o.kaartinen@intel.com"/>
    <x v="0"/>
    <x v="0"/>
    <s v=""/>
    <x v="2"/>
    <s v=""/>
    <s v=""/>
    <s v=""/>
    <s v=""/>
    <s v=""/>
    <s v=""/>
    <s v=""/>
    <x v="0"/>
    <x v="0"/>
    <x v="0"/>
  </r>
  <r>
    <x v="53"/>
    <m/>
    <m/>
    <m/>
    <m/>
    <m/>
    <m/>
    <m/>
    <m/>
    <m/>
    <m/>
    <m/>
    <x v="14"/>
    <d v="2016-01-13T16:48:00"/>
    <s v="Patch Set 13: Validation-Android+1\n\nreceive smoke test"/>
    <m/>
    <m/>
    <s v="jukka.o.kaartinen@intel.com"/>
    <x v="0"/>
    <x v="5"/>
    <s v=""/>
    <x v="2"/>
    <s v=""/>
    <s v=""/>
    <s v=""/>
    <s v=""/>
    <s v=""/>
    <s v=""/>
    <s v=""/>
    <x v="0"/>
    <x v="1"/>
    <x v="0"/>
  </r>
  <r>
    <x v="53"/>
    <m/>
    <m/>
    <m/>
    <m/>
    <m/>
    <m/>
    <m/>
    <m/>
    <m/>
    <m/>
    <m/>
    <x v="2"/>
    <d v="2016-01-13T16:48:00"/>
    <s v="Topic changed from squash to bxt_preint"/>
    <m/>
    <m/>
    <s v="jukka.o.kaartinen@intel.com"/>
    <x v="0"/>
    <x v="0"/>
    <s v=""/>
    <x v="2"/>
    <s v=""/>
    <s v=""/>
    <s v=""/>
    <s v=""/>
    <s v=""/>
    <s v=""/>
    <s v=""/>
    <x v="0"/>
    <x v="0"/>
    <x v="0"/>
  </r>
  <r>
    <x v="53"/>
    <m/>
    <m/>
    <m/>
    <m/>
    <m/>
    <m/>
    <m/>
    <m/>
    <m/>
    <m/>
    <m/>
    <x v="9"/>
    <d v="2016-01-14T14:12:00"/>
    <s v="Patch Set 13: Integrator+1\n\nIntegrator +1; patch will be add to PT; please no change now"/>
    <m/>
    <m/>
    <s v="jukka.o.kaartinen@intel.com"/>
    <x v="0"/>
    <x v="5"/>
    <s v=""/>
    <x v="2"/>
    <s v=""/>
    <s v=""/>
    <s v=""/>
    <s v=""/>
    <s v=""/>
    <s v=""/>
    <s v=""/>
    <x v="0"/>
    <x v="1"/>
    <x v="0"/>
  </r>
  <r>
    <x v="53"/>
    <m/>
    <m/>
    <m/>
    <m/>
    <m/>
    <m/>
    <m/>
    <m/>
    <m/>
    <m/>
    <m/>
    <x v="9"/>
    <d v="2016-01-14T14:36:00"/>
    <s v="Patch Set 13: Integrator-1\n\npatch conflict; please re-base your patch"/>
    <m/>
    <m/>
    <s v="jukka.o.kaartinen@intel.com"/>
    <x v="0"/>
    <x v="5"/>
    <s v=""/>
    <x v="2"/>
    <s v=""/>
    <s v=""/>
    <s v=""/>
    <s v=""/>
    <s v=""/>
    <s v=""/>
    <s v=""/>
    <x v="0"/>
    <x v="1"/>
    <x v="0"/>
  </r>
  <r>
    <x v="53"/>
    <m/>
    <m/>
    <m/>
    <m/>
    <m/>
    <m/>
    <m/>
    <m/>
    <m/>
    <m/>
    <m/>
    <x v="2"/>
    <d v="2016-01-14T15:58:00"/>
    <s v="Uploaded patch set 14."/>
    <m/>
    <m/>
    <s v="jukka.o.kaartinen@intel.com"/>
    <x v="0"/>
    <x v="0"/>
    <s v=""/>
    <x v="2"/>
    <s v=""/>
    <s v=""/>
    <s v=""/>
    <s v=""/>
    <s v=""/>
    <s v=""/>
    <s v=""/>
    <x v="0"/>
    <x v="0"/>
    <x v="0"/>
  </r>
  <r>
    <x v="53"/>
    <m/>
    <m/>
    <m/>
    <m/>
    <m/>
    <m/>
    <m/>
    <m/>
    <m/>
    <m/>
    <m/>
    <x v="2"/>
    <d v="2016-01-14T15:58:00"/>
    <s v="Patch Set 14:\n\nPatchset Created: CI job has been scheduled."/>
    <m/>
    <m/>
    <s v="jukka.o.kaartinen@intel.com"/>
    <x v="0"/>
    <x v="0"/>
    <s v=""/>
    <x v="2"/>
    <s v=""/>
    <s v=""/>
    <s v=""/>
    <s v=""/>
    <s v=""/>
    <s v=""/>
    <s v=""/>
    <x v="0"/>
    <x v="0"/>
    <x v="0"/>
  </r>
  <r>
    <x v="53"/>
    <m/>
    <m/>
    <m/>
    <m/>
    <m/>
    <m/>
    <m/>
    <m/>
    <m/>
    <m/>
    <m/>
    <x v="2"/>
    <d v="2016-01-14T15:58:00"/>
    <s v="Patch Set 14: Code-Review+1"/>
    <m/>
    <m/>
    <s v="jukka.o.kaartinen@intel.com"/>
    <x v="0"/>
    <x v="0"/>
    <s v=""/>
    <x v="2"/>
    <s v=""/>
    <s v=""/>
    <s v=""/>
    <s v=""/>
    <s v=""/>
    <s v=""/>
    <s v=""/>
    <x v="0"/>
    <x v="0"/>
    <x v="0"/>
  </r>
  <r>
    <x v="53"/>
    <m/>
    <m/>
    <m/>
    <m/>
    <m/>
    <m/>
    <m/>
    <m/>
    <m/>
    <m/>
    <m/>
    <x v="2"/>
    <d v="2016-01-14T16:23:00"/>
    <s v="Topic changed from jep to bxt_preint"/>
    <m/>
    <m/>
    <s v="jukka.o.kaartinen@intel.com"/>
    <x v="0"/>
    <x v="0"/>
    <s v=""/>
    <x v="2"/>
    <s v=""/>
    <s v=""/>
    <s v=""/>
    <s v=""/>
    <s v=""/>
    <s v=""/>
    <s v=""/>
    <x v="0"/>
    <x v="0"/>
    <x v="0"/>
  </r>
  <r>
    <x v="53"/>
    <m/>
    <m/>
    <m/>
    <m/>
    <m/>
    <m/>
    <m/>
    <m/>
    <m/>
    <m/>
    <m/>
    <x v="9"/>
    <d v="2016-01-14T17:07:00"/>
    <s v="Patch Set 14: Integrator+1\n\nIntegrator +1; patch will be add to PT; please no change now"/>
    <m/>
    <m/>
    <s v="jukka.o.kaartinen@intel.com"/>
    <x v="0"/>
    <x v="5"/>
    <s v=""/>
    <x v="2"/>
    <s v=""/>
    <s v=""/>
    <s v=""/>
    <s v=""/>
    <s v=""/>
    <s v=""/>
    <s v=""/>
    <x v="0"/>
    <x v="1"/>
    <x v="0"/>
  </r>
  <r>
    <x v="53"/>
    <m/>
    <m/>
    <m/>
    <m/>
    <m/>
    <m/>
    <m/>
    <m/>
    <m/>
    <m/>
    <m/>
    <x v="12"/>
    <d v="2016-01-14T17:07:00"/>
    <s v="Patch Set 14: Approver+1"/>
    <m/>
    <m/>
    <s v="jukka.o.kaartinen@intel.com"/>
    <x v="0"/>
    <x v="1"/>
    <s v=""/>
    <x v="2"/>
    <s v=""/>
    <s v=""/>
    <s v=""/>
    <s v=""/>
    <s v=""/>
    <s v=""/>
    <s v=""/>
    <x v="0"/>
    <x v="0"/>
    <x v="0"/>
  </r>
  <r>
    <x v="53"/>
    <m/>
    <m/>
    <m/>
    <m/>
    <m/>
    <m/>
    <m/>
    <m/>
    <m/>
    <m/>
    <m/>
    <x v="12"/>
    <d v="2016-01-14T17:07:00"/>
    <s v="Patch Set 14: Code-Review+1"/>
    <m/>
    <m/>
    <s v="jukka.o.kaartinen@intel.com"/>
    <x v="0"/>
    <x v="1"/>
    <s v=""/>
    <x v="2"/>
    <s v=""/>
    <s v=""/>
    <s v=""/>
    <s v=""/>
    <s v=""/>
    <s v=""/>
    <s v=""/>
    <x v="0"/>
    <x v="0"/>
    <x v="0"/>
  </r>
  <r>
    <x v="53"/>
    <m/>
    <m/>
    <m/>
    <m/>
    <m/>
    <m/>
    <m/>
    <m/>
    <m/>
    <m/>
    <m/>
    <x v="9"/>
    <d v="2016-01-14T19:51:00"/>
    <s v="Patch Set 14:\n\nPassed Klocwork code analyzing test. No CRITICAL issue in this patch. Auto reported by kwscan@kw-srv2.bj.intel.com"/>
    <m/>
    <m/>
    <s v="jukka.o.kaartinen@intel.com"/>
    <x v="0"/>
    <x v="5"/>
    <s v=""/>
    <x v="2"/>
    <s v=""/>
    <s v=""/>
    <s v=""/>
    <s v=""/>
    <s v=""/>
    <s v=""/>
    <s v=""/>
    <x v="0"/>
    <x v="0"/>
    <x v="0"/>
  </r>
  <r>
    <x v="53"/>
    <m/>
    <m/>
    <m/>
    <m/>
    <m/>
    <m/>
    <m/>
    <m/>
    <m/>
    <m/>
    <m/>
    <x v="9"/>
    <d v="2016-01-14T22:13:00"/>
    <s v="Patch Set 14:\n\nPassed Klocwork code analyzing test. No CRITICAL issue in this patch. Auto reported by kwscan@andr-val-srv0.bj.intel.com"/>
    <m/>
    <m/>
    <s v="jukka.o.kaartinen@intel.com"/>
    <x v="0"/>
    <x v="5"/>
    <s v=""/>
    <x v="2"/>
    <s v=""/>
    <s v=""/>
    <s v=""/>
    <s v=""/>
    <s v=""/>
    <s v=""/>
    <s v=""/>
    <x v="0"/>
    <x v="0"/>
    <x v="0"/>
  </r>
  <r>
    <x v="53"/>
    <m/>
    <m/>
    <m/>
    <m/>
    <m/>
    <m/>
    <m/>
    <m/>
    <m/>
    <m/>
    <m/>
    <x v="9"/>
    <d v="2016-01-14T23:06:00"/>
    <s v="Patch Set 14:\n\nPassed Klocwork code analyzing test. No CRITICAL issue in this patch. Auto reported by kwscan@kw-srv2.bj.intel.com"/>
    <m/>
    <m/>
    <s v="jukka.o.kaartinen@intel.com"/>
    <x v="0"/>
    <x v="5"/>
    <s v=""/>
    <x v="2"/>
    <s v=""/>
    <s v=""/>
    <s v=""/>
    <s v=""/>
    <s v=""/>
    <s v=""/>
    <s v=""/>
    <x v="0"/>
    <x v="0"/>
    <x v="0"/>
  </r>
  <r>
    <x v="53"/>
    <m/>
    <m/>
    <m/>
    <m/>
    <m/>
    <m/>
    <m/>
    <m/>
    <m/>
    <m/>
    <m/>
    <x v="9"/>
    <d v="2016-01-15T14:52:00"/>
    <s v="Patch Set 14:\n\nPassed Klocwork code analyzing test. No CRITICAL issue in this patch. Auto reported by kwscan@psi-build5.bj.intel.com"/>
    <m/>
    <m/>
    <s v="jukka.o.kaartinen@intel.com"/>
    <x v="0"/>
    <x v="5"/>
    <s v=""/>
    <x v="2"/>
    <s v=""/>
    <s v=""/>
    <s v=""/>
    <s v=""/>
    <s v=""/>
    <s v=""/>
    <s v=""/>
    <x v="0"/>
    <x v="0"/>
    <x v="0"/>
  </r>
  <r>
    <x v="53"/>
    <m/>
    <m/>
    <m/>
    <m/>
    <m/>
    <m/>
    <m/>
    <m/>
    <m/>
    <m/>
    <m/>
    <x v="9"/>
    <d v="2016-01-15T15:06:00"/>
    <s v="Patch Set 14: Code-Review+1\n\nPassed PIT; ready for merge"/>
    <m/>
    <m/>
    <s v="jukka.o.kaartinen@intel.com"/>
    <x v="0"/>
    <x v="5"/>
    <s v=""/>
    <x v="2"/>
    <s v=""/>
    <s v=""/>
    <s v=""/>
    <s v=""/>
    <s v=""/>
    <s v=""/>
    <s v=""/>
    <x v="0"/>
    <x v="0"/>
    <x v="0"/>
  </r>
  <r>
    <x v="53"/>
    <m/>
    <m/>
    <m/>
    <m/>
    <m/>
    <m/>
    <m/>
    <m/>
    <m/>
    <m/>
    <m/>
    <x v="9"/>
    <d v="2016-01-15T17:55:00"/>
    <s v="Patch Set 14:\n\nPassed Klocwork code analyzing test. No CRITICAL issue in this patch. Auto reported by kwscan@andr-val-srv0.bj.intel.com"/>
    <m/>
    <m/>
    <s v="jukka.o.kaartinen@intel.com"/>
    <x v="0"/>
    <x v="5"/>
    <s v=""/>
    <x v="2"/>
    <s v=""/>
    <s v=""/>
    <s v=""/>
    <s v=""/>
    <s v=""/>
    <s v=""/>
    <s v=""/>
    <x v="0"/>
    <x v="0"/>
    <x v="0"/>
  </r>
  <r>
    <x v="54"/>
    <n v="91581"/>
    <s v="vied-viedandr-camera3hal"/>
    <s v="platform/android/main"/>
    <s v="I8a44df7e45fed65bbdf933b78d02a9af522f2518"/>
    <s v="jukka.o.kaartinen@intel.com"/>
    <s v="MERGED"/>
    <s v="c3: Allow main sensor to be disconnected"/>
    <s v="c3: Allow main sensor to be disconnected\n\nIf for some reason back camera is not detected during boot.\nHAL was crashing and media server was not starting and\nthat prevents device from booting up.\n\nThis patch separates cameraId that framework uses from\ncamera3profile's cameraId.\nCameraConf will remain the only user of xml cameraId because\naiqb -files are named using xml cameraId.\n\nChange-Id: I8a44df7e45fed65bbdf933b78d02a9af522f2518\nTracked-On: #H1804186960\nSigned-off-by: Jukka Kaartinen &lt;jukka.o.kaartinen@intel.com&gt;\nReviewed-on: https://icggerrit.ir.intel.com/91581\nBuild: Dessert M BXT RVP (SC)\nIntegrator: WeiX Meng &lt;weix.meng@intel.com&gt;\nApprover: Lassi I Vaatamoinen &lt;lassi.i.vaatamoinen@intel.com&gt;\nReviewed-by: Lassi I Vaatamoinen &lt;lassi.i.vaatamoinen@intel.com&gt;\nBuild: Dessert M CHT FFD (SC)\nBuild: Dessert M SOFIA (SC)\nValidation-Android: Dessert M CHT FFD (SC)\nReviewed-by: WeiX Meng &lt;weix.meng@intel.com&gt;\n"/>
    <d v="2015-12-22T22:47:00"/>
    <d v="2016-01-15T15:26:00"/>
    <s v="common"/>
    <x v="2"/>
    <d v="2015-12-22T22:47:00"/>
    <s v="Uploaded patch set 1."/>
    <m/>
    <s v="wei.tao@intel.com;jingzhi.yu@intel.com;weix.meng@intel.com;miguel.verdu@intel.com;ukri.niemimuukko@intel.com;john.mathew@intel.com;huitao.cao@intel.com;lassi.i.vaatamoinen@intel.com;hongjiang.a.zheng@intel.com;arnaud.mandy@intel.com;"/>
    <s v="jukka.o.kaartinen@intel.com"/>
    <x v="0"/>
    <x v="0"/>
    <s v="16'ww3"/>
    <x v="2"/>
    <n v="3"/>
    <n v="2"/>
    <n v="1"/>
    <n v="0"/>
    <n v="6"/>
    <n v="14"/>
    <n v="0"/>
    <x v="0"/>
    <x v="0"/>
    <x v="0"/>
  </r>
  <r>
    <x v="54"/>
    <m/>
    <m/>
    <m/>
    <m/>
    <m/>
    <m/>
    <m/>
    <m/>
    <m/>
    <m/>
    <m/>
    <x v="2"/>
    <d v="2015-12-22T22:47:00"/>
    <s v="Patch Set 1:\n\nPatchset Created: CI job has been scheduled."/>
    <m/>
    <m/>
    <s v="jukka.o.kaartinen@intel.com"/>
    <x v="0"/>
    <x v="0"/>
    <s v=""/>
    <x v="2"/>
    <s v=""/>
    <s v=""/>
    <s v=""/>
    <s v=""/>
    <s v=""/>
    <s v=""/>
    <s v=""/>
    <x v="0"/>
    <x v="0"/>
    <x v="0"/>
  </r>
  <r>
    <x v="54"/>
    <m/>
    <m/>
    <m/>
    <m/>
    <m/>
    <m/>
    <m/>
    <m/>
    <m/>
    <m/>
    <m/>
    <x v="2"/>
    <d v="2015-12-22T22:48:00"/>
    <s v="Uploaded patch set 2: Patch Set 1 was rebased."/>
    <m/>
    <m/>
    <s v="jukka.o.kaartinen@intel.com"/>
    <x v="0"/>
    <x v="0"/>
    <s v=""/>
    <x v="2"/>
    <s v=""/>
    <s v=""/>
    <s v=""/>
    <s v=""/>
    <s v=""/>
    <s v=""/>
    <s v=""/>
    <x v="0"/>
    <x v="0"/>
    <x v="0"/>
  </r>
  <r>
    <x v="54"/>
    <m/>
    <m/>
    <m/>
    <m/>
    <m/>
    <m/>
    <m/>
    <m/>
    <m/>
    <m/>
    <m/>
    <x v="2"/>
    <d v="2015-12-22T22:48:00"/>
    <s v="Patch Set 2:\n\nPatchset Created: CI job has been scheduled."/>
    <m/>
    <m/>
    <s v="jukka.o.kaartinen@intel.com"/>
    <x v="0"/>
    <x v="0"/>
    <s v=""/>
    <x v="2"/>
    <s v=""/>
    <s v=""/>
    <s v=""/>
    <s v=""/>
    <s v=""/>
    <s v=""/>
    <s v=""/>
    <x v="0"/>
    <x v="0"/>
    <x v="0"/>
  </r>
  <r>
    <x v="54"/>
    <m/>
    <m/>
    <m/>
    <m/>
    <m/>
    <m/>
    <m/>
    <m/>
    <m/>
    <m/>
    <m/>
    <x v="2"/>
    <d v="2015-12-23T16:15:00"/>
    <s v="Patch Set 2: Code-Review+1"/>
    <m/>
    <m/>
    <s v="jukka.o.kaartinen@intel.com"/>
    <x v="0"/>
    <x v="0"/>
    <s v=""/>
    <x v="2"/>
    <s v=""/>
    <s v=""/>
    <s v=""/>
    <s v=""/>
    <s v=""/>
    <s v=""/>
    <s v=""/>
    <x v="0"/>
    <x v="0"/>
    <x v="0"/>
  </r>
  <r>
    <x v="54"/>
    <m/>
    <m/>
    <m/>
    <m/>
    <m/>
    <m/>
    <m/>
    <m/>
    <m/>
    <m/>
    <m/>
    <x v="14"/>
    <d v="2015-12-23T19:42:00"/>
    <s v="Patch Set 2: Validation-Android+1\n\nreceive smoke test"/>
    <m/>
    <m/>
    <s v="jukka.o.kaartinen@intel.com"/>
    <x v="0"/>
    <x v="5"/>
    <s v=""/>
    <x v="2"/>
    <s v=""/>
    <s v=""/>
    <s v=""/>
    <s v=""/>
    <s v=""/>
    <s v=""/>
    <s v=""/>
    <x v="0"/>
    <x v="1"/>
    <x v="0"/>
  </r>
  <r>
    <x v="54"/>
    <m/>
    <m/>
    <m/>
    <m/>
    <m/>
    <m/>
    <m/>
    <m/>
    <m/>
    <m/>
    <m/>
    <x v="1"/>
    <d v="2015-12-23T20:43:00"/>
    <s v="Patch Set 2: Code-Review+1\n\n(2 comments)"/>
    <s v="line226 :&quot;could be oneliner&quot; line236 :&quot;same here&quot;"/>
    <m/>
    <s v="jukka.o.kaartinen@intel.com"/>
    <x v="0"/>
    <x v="1"/>
    <s v=""/>
    <x v="2"/>
    <s v=""/>
    <s v=""/>
    <s v=""/>
    <s v=""/>
    <s v=""/>
    <s v=""/>
    <s v=""/>
    <x v="0"/>
    <x v="0"/>
    <x v="0"/>
  </r>
  <r>
    <x v="54"/>
    <m/>
    <m/>
    <m/>
    <m/>
    <m/>
    <m/>
    <m/>
    <m/>
    <m/>
    <m/>
    <m/>
    <x v="2"/>
    <d v="2015-12-23T20:56:00"/>
    <s v="Uploaded patch set 3: Patch Set 2 was rebased."/>
    <m/>
    <m/>
    <s v="jukka.o.kaartinen@intel.com"/>
    <x v="0"/>
    <x v="0"/>
    <s v=""/>
    <x v="2"/>
    <s v=""/>
    <s v=""/>
    <s v=""/>
    <s v=""/>
    <s v=""/>
    <s v=""/>
    <s v=""/>
    <x v="0"/>
    <x v="0"/>
    <x v="0"/>
  </r>
  <r>
    <x v="54"/>
    <m/>
    <m/>
    <m/>
    <m/>
    <m/>
    <m/>
    <m/>
    <m/>
    <m/>
    <m/>
    <m/>
    <x v="2"/>
    <d v="2015-12-23T20:56:00"/>
    <s v="Patch Set 3:\n\nPatchset Created: CI job has been scheduled."/>
    <m/>
    <m/>
    <s v="jukka.o.kaartinen@intel.com"/>
    <x v="0"/>
    <x v="0"/>
    <s v=""/>
    <x v="2"/>
    <s v=""/>
    <s v=""/>
    <s v=""/>
    <s v=""/>
    <s v=""/>
    <s v=""/>
    <s v=""/>
    <x v="0"/>
    <x v="0"/>
    <x v="0"/>
  </r>
  <r>
    <x v="54"/>
    <m/>
    <m/>
    <m/>
    <m/>
    <m/>
    <m/>
    <m/>
    <m/>
    <m/>
    <m/>
    <m/>
    <x v="2"/>
    <d v="2015-12-23T21:10:00"/>
    <s v="Patch Set 2:\n\n(1 comment)"/>
    <s v="line226 :&quot;could be but this is now following the other functions.\neasier to read when every function looks the same.&quot;"/>
    <m/>
    <s v="jukka.o.kaartinen@intel.com"/>
    <x v="0"/>
    <x v="0"/>
    <s v=""/>
    <x v="2"/>
    <s v=""/>
    <s v=""/>
    <s v=""/>
    <s v=""/>
    <s v=""/>
    <s v=""/>
    <s v=""/>
    <x v="0"/>
    <x v="0"/>
    <x v="0"/>
  </r>
  <r>
    <x v="54"/>
    <m/>
    <m/>
    <m/>
    <m/>
    <m/>
    <m/>
    <m/>
    <m/>
    <m/>
    <m/>
    <m/>
    <x v="14"/>
    <d v="2015-12-23T21:46:00"/>
    <s v="Patch Set 3: Validation-Android+1\n\nreceive smoke test"/>
    <m/>
    <m/>
    <s v="jukka.o.kaartinen@intel.com"/>
    <x v="0"/>
    <x v="5"/>
    <s v=""/>
    <x v="2"/>
    <s v=""/>
    <s v=""/>
    <s v=""/>
    <s v=""/>
    <s v=""/>
    <s v=""/>
    <s v=""/>
    <x v="0"/>
    <x v="1"/>
    <x v="0"/>
  </r>
  <r>
    <x v="54"/>
    <m/>
    <m/>
    <m/>
    <m/>
    <m/>
    <m/>
    <m/>
    <m/>
    <m/>
    <m/>
    <m/>
    <x v="2"/>
    <d v="2015-12-30T15:49:00"/>
    <s v="Uploaded patch set 4: Patch Set 3 was rebased."/>
    <m/>
    <m/>
    <s v="jukka.o.kaartinen@intel.com"/>
    <x v="0"/>
    <x v="0"/>
    <s v=""/>
    <x v="2"/>
    <s v=""/>
    <s v=""/>
    <s v=""/>
    <s v=""/>
    <s v=""/>
    <s v=""/>
    <s v=""/>
    <x v="0"/>
    <x v="0"/>
    <x v="0"/>
  </r>
  <r>
    <x v="54"/>
    <m/>
    <m/>
    <m/>
    <m/>
    <m/>
    <m/>
    <m/>
    <m/>
    <m/>
    <m/>
    <m/>
    <x v="2"/>
    <d v="2015-12-30T15:49:00"/>
    <s v="Patch Set 4:\n\nPatchset Created: CI job has been scheduled."/>
    <m/>
    <m/>
    <s v="jukka.o.kaartinen@intel.com"/>
    <x v="0"/>
    <x v="0"/>
    <s v=""/>
    <x v="2"/>
    <s v=""/>
    <s v=""/>
    <s v=""/>
    <s v=""/>
    <s v=""/>
    <s v=""/>
    <s v=""/>
    <x v="0"/>
    <x v="0"/>
    <x v="0"/>
  </r>
  <r>
    <x v="54"/>
    <m/>
    <m/>
    <m/>
    <m/>
    <m/>
    <m/>
    <m/>
    <m/>
    <m/>
    <m/>
    <m/>
    <x v="2"/>
    <d v="2015-12-30T15:50:00"/>
    <s v="Uploaded patch set 5: Patch Set 4 was rebased."/>
    <m/>
    <m/>
    <s v="jukka.o.kaartinen@intel.com"/>
    <x v="0"/>
    <x v="0"/>
    <s v=""/>
    <x v="2"/>
    <s v=""/>
    <s v=""/>
    <s v=""/>
    <s v=""/>
    <s v=""/>
    <s v=""/>
    <s v=""/>
    <x v="0"/>
    <x v="0"/>
    <x v="0"/>
  </r>
  <r>
    <x v="54"/>
    <m/>
    <m/>
    <m/>
    <m/>
    <m/>
    <m/>
    <m/>
    <m/>
    <m/>
    <m/>
    <m/>
    <x v="2"/>
    <d v="2015-12-30T15:50:00"/>
    <s v="Patch Set 5:\n\nPatchset Created: CI job has been scheduled."/>
    <m/>
    <m/>
    <s v="jukka.o.kaartinen@intel.com"/>
    <x v="0"/>
    <x v="0"/>
    <s v=""/>
    <x v="2"/>
    <s v=""/>
    <s v=""/>
    <s v=""/>
    <s v=""/>
    <s v=""/>
    <s v=""/>
    <s v=""/>
    <x v="0"/>
    <x v="0"/>
    <x v="0"/>
  </r>
  <r>
    <x v="54"/>
    <m/>
    <m/>
    <m/>
    <m/>
    <m/>
    <m/>
    <m/>
    <m/>
    <m/>
    <m/>
    <m/>
    <x v="15"/>
    <d v="2015-12-30T17:29:00"/>
    <s v="Patch Set 5: Code-Review-1\n\n(1 comment)\n\npls see my comments; thanks."/>
    <s v="line719 :&quot;1. if the xml parser is called several times; the value of mSensorIndex should not be expected.\n2. if the \&quot;Profiles\&quot; part of front camera is ahead of back camera in xml; what is the value of mSensorIndex? expected also?&quot;"/>
    <m/>
    <s v="jukka.o.kaartinen@intel.com"/>
    <x v="0"/>
    <x v="4"/>
    <s v=""/>
    <x v="2"/>
    <s v=""/>
    <s v=""/>
    <s v=""/>
    <s v=""/>
    <s v=""/>
    <s v=""/>
    <s v=""/>
    <x v="1"/>
    <x v="0"/>
    <x v="0"/>
  </r>
  <r>
    <x v="54"/>
    <m/>
    <m/>
    <m/>
    <m/>
    <m/>
    <m/>
    <m/>
    <m/>
    <m/>
    <m/>
    <m/>
    <x v="2"/>
    <d v="2015-12-30T19:45:00"/>
    <s v="Patch Set 5:\n\n(1 comment)"/>
    <s v="line234 :&quot;Done&quot;"/>
    <m/>
    <s v="jukka.o.kaartinen@intel.com"/>
    <x v="0"/>
    <x v="0"/>
    <s v=""/>
    <x v="2"/>
    <s v=""/>
    <s v=""/>
    <s v=""/>
    <s v=""/>
    <s v=""/>
    <s v=""/>
    <s v=""/>
    <x v="0"/>
    <x v="0"/>
    <x v="0"/>
  </r>
  <r>
    <x v="54"/>
    <m/>
    <m/>
    <m/>
    <m/>
    <m/>
    <m/>
    <m/>
    <m/>
    <m/>
    <m/>
    <m/>
    <x v="12"/>
    <d v="2015-12-30T21:39:00"/>
    <s v="Patch Set 5: Code-Review-1\n\n(2 comments)\n\nminor comments; apart from the mixed use of pointer notation usage :)"/>
    <s v="line234 :&quot;NULL is better for pointers.&quot; line729 :&quot;LOGE with __FUNCTION_TRACE__ could be cleaned&quot;"/>
    <m/>
    <s v="jukka.o.kaartinen@intel.com"/>
    <x v="0"/>
    <x v="1"/>
    <s v=""/>
    <x v="2"/>
    <s v=""/>
    <s v=""/>
    <s v=""/>
    <s v=""/>
    <s v=""/>
    <s v=""/>
    <s v=""/>
    <x v="1"/>
    <x v="0"/>
    <x v="0"/>
  </r>
  <r>
    <x v="54"/>
    <m/>
    <m/>
    <m/>
    <m/>
    <m/>
    <m/>
    <m/>
    <m/>
    <m/>
    <m/>
    <m/>
    <x v="2"/>
    <d v="2015-12-31T16:05:00"/>
    <s v="Patch Set 5:\n\n(2 comments)"/>
    <s v="line719 :&quot;1. I don't see how that would happen. It would not make sense to parse the data twice and I would consider it a bug.\n\n2. mSensorIndex is increased every time when isSensorPresent returns true. In your case it would mean that front camera would get the index 0 and back camera 1.\n\nPoint of this patch is to change the logic so that only live sensors increase the sensor id. That would mean that the order of the sensors in the xml would make a decicion what id would a sensor get.\n\nSpecs says: \n\&quot;\nReturn the list of currently connected camera devices by identifier; including cameras that may be in use by other camera API clients.\n\nNon-removable cameras use integers starting at 0 for their identifiers; while removable cameras have a unique identifier for each individual device; even if they are the same model.\n\nReturns\n\n The list of currently connected camera devices. \n\&quot;&quot; line729 :&quot;Done&quot;"/>
    <m/>
    <s v="jukka.o.kaartinen@intel.com"/>
    <x v="0"/>
    <x v="0"/>
    <s v=""/>
    <x v="2"/>
    <s v=""/>
    <s v=""/>
    <s v=""/>
    <s v=""/>
    <s v=""/>
    <s v=""/>
    <s v=""/>
    <x v="0"/>
    <x v="0"/>
    <x v="0"/>
  </r>
  <r>
    <x v="54"/>
    <m/>
    <m/>
    <m/>
    <m/>
    <m/>
    <m/>
    <m/>
    <m/>
    <m/>
    <m/>
    <m/>
    <x v="2"/>
    <d v="2015-12-31T17:09:00"/>
    <s v="Uploaded patch set 6."/>
    <m/>
    <m/>
    <s v="jukka.o.kaartinen@intel.com"/>
    <x v="0"/>
    <x v="0"/>
    <s v=""/>
    <x v="2"/>
    <s v=""/>
    <s v=""/>
    <s v=""/>
    <s v=""/>
    <s v=""/>
    <s v=""/>
    <s v=""/>
    <x v="0"/>
    <x v="0"/>
    <x v="0"/>
  </r>
  <r>
    <x v="54"/>
    <m/>
    <m/>
    <m/>
    <m/>
    <m/>
    <m/>
    <m/>
    <m/>
    <m/>
    <m/>
    <m/>
    <x v="2"/>
    <d v="2015-12-31T17:09:00"/>
    <s v="Patch Set 6:\n\nPatchset Created: CI job has been scheduled."/>
    <m/>
    <m/>
    <s v="jukka.o.kaartinen@intel.com"/>
    <x v="0"/>
    <x v="0"/>
    <s v=""/>
    <x v="2"/>
    <s v=""/>
    <s v=""/>
    <s v=""/>
    <s v=""/>
    <s v=""/>
    <s v=""/>
    <s v=""/>
    <x v="0"/>
    <x v="0"/>
    <x v="0"/>
  </r>
  <r>
    <x v="54"/>
    <m/>
    <m/>
    <m/>
    <m/>
    <m/>
    <m/>
    <m/>
    <m/>
    <m/>
    <m/>
    <m/>
    <x v="2"/>
    <d v="2015-12-31T17:17:00"/>
    <s v="Patch Set 6: Code-Review+1"/>
    <m/>
    <m/>
    <s v="jukka.o.kaartinen@intel.com"/>
    <x v="0"/>
    <x v="0"/>
    <s v=""/>
    <x v="2"/>
    <s v=""/>
    <s v=""/>
    <s v=""/>
    <s v=""/>
    <s v=""/>
    <s v=""/>
    <s v=""/>
    <x v="0"/>
    <x v="0"/>
    <x v="0"/>
  </r>
  <r>
    <x v="54"/>
    <m/>
    <m/>
    <m/>
    <m/>
    <m/>
    <m/>
    <m/>
    <m/>
    <m/>
    <m/>
    <m/>
    <x v="12"/>
    <d v="2015-12-31T19:54:00"/>
    <s v="Patch Set 6: Code-Review+1"/>
    <m/>
    <m/>
    <s v="jukka.o.kaartinen@intel.com"/>
    <x v="0"/>
    <x v="1"/>
    <s v=""/>
    <x v="2"/>
    <s v=""/>
    <s v=""/>
    <s v=""/>
    <s v=""/>
    <s v=""/>
    <s v=""/>
    <s v=""/>
    <x v="0"/>
    <x v="0"/>
    <x v="0"/>
  </r>
  <r>
    <x v="54"/>
    <m/>
    <m/>
    <m/>
    <m/>
    <m/>
    <m/>
    <m/>
    <m/>
    <m/>
    <m/>
    <m/>
    <x v="2"/>
    <d v="2016-01-07T16:10:00"/>
    <s v="Uploaded patch set 7: Patch Set 6 was rebased."/>
    <m/>
    <m/>
    <s v="jukka.o.kaartinen@intel.com"/>
    <x v="0"/>
    <x v="0"/>
    <s v=""/>
    <x v="2"/>
    <s v=""/>
    <s v=""/>
    <s v=""/>
    <s v=""/>
    <s v=""/>
    <s v=""/>
    <s v=""/>
    <x v="0"/>
    <x v="0"/>
    <x v="0"/>
  </r>
  <r>
    <x v="54"/>
    <m/>
    <m/>
    <m/>
    <m/>
    <m/>
    <m/>
    <m/>
    <m/>
    <m/>
    <m/>
    <m/>
    <x v="2"/>
    <d v="2016-01-07T16:10:00"/>
    <s v="Patch Set 7:\n\nPatchset Created: CI job has been scheduled."/>
    <m/>
    <m/>
    <s v="jukka.o.kaartinen@intel.com"/>
    <x v="0"/>
    <x v="0"/>
    <s v=""/>
    <x v="2"/>
    <s v=""/>
    <s v=""/>
    <s v=""/>
    <s v=""/>
    <s v=""/>
    <s v=""/>
    <s v=""/>
    <x v="0"/>
    <x v="0"/>
    <x v="0"/>
  </r>
  <r>
    <x v="54"/>
    <m/>
    <m/>
    <m/>
    <m/>
    <m/>
    <m/>
    <m/>
    <m/>
    <m/>
    <m/>
    <m/>
    <x v="7"/>
    <d v="2016-01-07T16:50:00"/>
    <s v="Patch Set 7: Code-Review+1"/>
    <m/>
    <m/>
    <s v="jukka.o.kaartinen@intel.com"/>
    <x v="0"/>
    <x v="4"/>
    <s v=""/>
    <x v="2"/>
    <s v=""/>
    <s v=""/>
    <s v=""/>
    <s v=""/>
    <s v=""/>
    <s v=""/>
    <s v=""/>
    <x v="0"/>
    <x v="0"/>
    <x v="0"/>
  </r>
  <r>
    <x v="54"/>
    <m/>
    <m/>
    <m/>
    <m/>
    <m/>
    <m/>
    <m/>
    <m/>
    <m/>
    <m/>
    <m/>
    <x v="2"/>
    <d v="2016-01-07T17:27:00"/>
    <s v="Uploaded patch set 8: Patch Set 7 was rebased."/>
    <m/>
    <m/>
    <s v="jukka.o.kaartinen@intel.com"/>
    <x v="0"/>
    <x v="0"/>
    <s v=""/>
    <x v="2"/>
    <s v=""/>
    <s v=""/>
    <s v=""/>
    <s v=""/>
    <s v=""/>
    <s v=""/>
    <s v=""/>
    <x v="0"/>
    <x v="0"/>
    <x v="0"/>
  </r>
  <r>
    <x v="54"/>
    <m/>
    <m/>
    <m/>
    <m/>
    <m/>
    <m/>
    <m/>
    <m/>
    <m/>
    <m/>
    <m/>
    <x v="2"/>
    <d v="2016-01-07T17:27:00"/>
    <s v="Patch Set 8:\n\nPatchset Created: CI job has been scheduled."/>
    <m/>
    <m/>
    <s v="jukka.o.kaartinen@intel.com"/>
    <x v="0"/>
    <x v="0"/>
    <s v=""/>
    <x v="2"/>
    <s v=""/>
    <s v=""/>
    <s v=""/>
    <s v=""/>
    <s v=""/>
    <s v=""/>
    <s v=""/>
    <x v="0"/>
    <x v="0"/>
    <x v="0"/>
  </r>
  <r>
    <x v="54"/>
    <m/>
    <m/>
    <m/>
    <m/>
    <m/>
    <m/>
    <m/>
    <m/>
    <m/>
    <m/>
    <m/>
    <x v="8"/>
    <d v="2016-01-07T18:09:00"/>
    <s v="Patch Set 8: Code-Review+1"/>
    <m/>
    <m/>
    <s v="jukka.o.kaartinen@intel.com"/>
    <x v="0"/>
    <x v="1"/>
    <s v=""/>
    <x v="2"/>
    <s v=""/>
    <s v=""/>
    <s v=""/>
    <s v=""/>
    <s v=""/>
    <s v=""/>
    <s v=""/>
    <x v="0"/>
    <x v="0"/>
    <x v="0"/>
  </r>
  <r>
    <x v="54"/>
    <m/>
    <m/>
    <m/>
    <m/>
    <m/>
    <m/>
    <m/>
    <m/>
    <m/>
    <m/>
    <m/>
    <x v="6"/>
    <d v="2016-01-07T18:53:00"/>
    <s v="Patch Set 8: Approver+1"/>
    <m/>
    <m/>
    <s v="jukka.o.kaartinen@intel.com"/>
    <x v="0"/>
    <x v="1"/>
    <s v=""/>
    <x v="2"/>
    <s v=""/>
    <s v=""/>
    <s v=""/>
    <s v=""/>
    <s v=""/>
    <s v=""/>
    <s v=""/>
    <x v="0"/>
    <x v="0"/>
    <x v="0"/>
  </r>
  <r>
    <x v="54"/>
    <m/>
    <m/>
    <m/>
    <m/>
    <m/>
    <m/>
    <m/>
    <m/>
    <m/>
    <m/>
    <m/>
    <x v="2"/>
    <d v="2016-01-07T18:53:00"/>
    <s v="Topic changed from nothigntosee_12_31 to bxt_preint"/>
    <m/>
    <m/>
    <s v="jukka.o.kaartinen@intel.com"/>
    <x v="0"/>
    <x v="0"/>
    <s v=""/>
    <x v="2"/>
    <s v=""/>
    <s v=""/>
    <s v=""/>
    <s v=""/>
    <s v=""/>
    <s v=""/>
    <s v=""/>
    <x v="0"/>
    <x v="0"/>
    <x v="0"/>
  </r>
  <r>
    <x v="54"/>
    <m/>
    <m/>
    <m/>
    <m/>
    <m/>
    <m/>
    <m/>
    <m/>
    <m/>
    <m/>
    <m/>
    <x v="14"/>
    <d v="2016-01-07T18:55:00"/>
    <s v="Patch Set 8: Validation-Android+1\n\nreceive smoke test"/>
    <m/>
    <m/>
    <s v="jukka.o.kaartinen@intel.com"/>
    <x v="0"/>
    <x v="5"/>
    <s v=""/>
    <x v="2"/>
    <s v=""/>
    <s v=""/>
    <s v=""/>
    <s v=""/>
    <s v=""/>
    <s v=""/>
    <s v=""/>
    <x v="0"/>
    <x v="1"/>
    <x v="0"/>
  </r>
  <r>
    <x v="54"/>
    <m/>
    <m/>
    <m/>
    <m/>
    <m/>
    <m/>
    <m/>
    <m/>
    <m/>
    <m/>
    <m/>
    <x v="0"/>
    <d v="2016-01-07T20:20:00"/>
    <s v="Patch Set 8: Code-Review+1"/>
    <m/>
    <m/>
    <s v="jukka.o.kaartinen@intel.com"/>
    <x v="0"/>
    <x v="1"/>
    <s v=""/>
    <x v="2"/>
    <s v=""/>
    <s v=""/>
    <s v=""/>
    <s v=""/>
    <s v=""/>
    <s v=""/>
    <s v=""/>
    <x v="0"/>
    <x v="0"/>
    <x v="0"/>
  </r>
  <r>
    <x v="54"/>
    <m/>
    <m/>
    <m/>
    <m/>
    <m/>
    <m/>
    <m/>
    <m/>
    <m/>
    <m/>
    <m/>
    <x v="15"/>
    <d v="2016-01-08T13:48:00"/>
    <s v="Patch Set 8: -Code-Review"/>
    <m/>
    <m/>
    <s v="jukka.o.kaartinen@intel.com"/>
    <x v="0"/>
    <x v="4"/>
    <s v=""/>
    <x v="2"/>
    <s v=""/>
    <s v=""/>
    <s v=""/>
    <s v=""/>
    <s v=""/>
    <s v=""/>
    <s v=""/>
    <x v="0"/>
    <x v="0"/>
    <x v="0"/>
  </r>
  <r>
    <x v="54"/>
    <m/>
    <m/>
    <m/>
    <m/>
    <m/>
    <m/>
    <m/>
    <m/>
    <m/>
    <m/>
    <m/>
    <x v="9"/>
    <d v="2016-01-08T14:13:00"/>
    <s v="Patch Set 8: Integrator+1\n\nIntegrator +1; patch will be add to PT; please no change now"/>
    <m/>
    <m/>
    <s v="jukka.o.kaartinen@intel.com"/>
    <x v="0"/>
    <x v="5"/>
    <s v=""/>
    <x v="2"/>
    <s v=""/>
    <s v=""/>
    <s v=""/>
    <s v=""/>
    <s v=""/>
    <s v=""/>
    <s v=""/>
    <x v="0"/>
    <x v="1"/>
    <x v="0"/>
  </r>
  <r>
    <x v="54"/>
    <m/>
    <m/>
    <m/>
    <m/>
    <m/>
    <m/>
    <m/>
    <m/>
    <m/>
    <m/>
    <m/>
    <x v="9"/>
    <d v="2016-01-08T16:42:00"/>
    <s v="Patch Set 8:\n\nPassed Klocwork code analyzing test. No CRITICAL issue in this patch. Auto reported by kwscan@andr-val-srv0.bj.intel.com"/>
    <m/>
    <m/>
    <s v="jukka.o.kaartinen@intel.com"/>
    <x v="0"/>
    <x v="5"/>
    <s v=""/>
    <x v="2"/>
    <s v=""/>
    <s v=""/>
    <s v=""/>
    <s v=""/>
    <s v=""/>
    <s v=""/>
    <s v=""/>
    <x v="0"/>
    <x v="0"/>
    <x v="0"/>
  </r>
  <r>
    <x v="54"/>
    <m/>
    <m/>
    <m/>
    <m/>
    <m/>
    <m/>
    <m/>
    <m/>
    <m/>
    <m/>
    <m/>
    <x v="1"/>
    <d v="2016-01-08T17:02:00"/>
    <s v="Patch Set 8: Code-Review+1"/>
    <m/>
    <m/>
    <s v="jukka.o.kaartinen@intel.com"/>
    <x v="0"/>
    <x v="1"/>
    <s v=""/>
    <x v="2"/>
    <s v=""/>
    <s v=""/>
    <s v=""/>
    <s v=""/>
    <s v=""/>
    <s v=""/>
    <s v=""/>
    <x v="0"/>
    <x v="0"/>
    <x v="0"/>
  </r>
  <r>
    <x v="54"/>
    <m/>
    <m/>
    <m/>
    <m/>
    <m/>
    <m/>
    <m/>
    <m/>
    <m/>
    <m/>
    <m/>
    <x v="9"/>
    <d v="2016-01-08T18:38:00"/>
    <s v="Patch Set 8:\n\nPassed Klocwork code analyzing test. No CRITICAL issue in this patch. Auto reported by kwscan@kw-srv2.bj.intel.com"/>
    <m/>
    <m/>
    <s v="jukka.o.kaartinen@intel.com"/>
    <x v="0"/>
    <x v="5"/>
    <s v=""/>
    <x v="2"/>
    <s v=""/>
    <s v=""/>
    <s v=""/>
    <s v=""/>
    <s v=""/>
    <s v=""/>
    <s v=""/>
    <x v="0"/>
    <x v="0"/>
    <x v="0"/>
  </r>
  <r>
    <x v="54"/>
    <m/>
    <m/>
    <m/>
    <m/>
    <m/>
    <m/>
    <m/>
    <m/>
    <m/>
    <m/>
    <m/>
    <x v="9"/>
    <d v="2016-01-08T20:42:00"/>
    <s v="Patch Set 8:\n\nPassed Klocwork code analyzing test. No CRITICAL issue in this patch. Auto reported by kwscan@psi-build5.bj.intel.com"/>
    <m/>
    <m/>
    <s v="jukka.o.kaartinen@intel.com"/>
    <x v="0"/>
    <x v="5"/>
    <s v=""/>
    <x v="2"/>
    <s v=""/>
    <s v=""/>
    <s v=""/>
    <s v=""/>
    <s v=""/>
    <s v=""/>
    <s v=""/>
    <x v="0"/>
    <x v="0"/>
    <x v="0"/>
  </r>
  <r>
    <x v="54"/>
    <m/>
    <m/>
    <m/>
    <m/>
    <m/>
    <m/>
    <m/>
    <m/>
    <m/>
    <m/>
    <m/>
    <x v="9"/>
    <d v="2016-01-08T21:29:00"/>
    <s v="Patch Set 8:\n\nPassed Klocwork code analyzing test. No CRITICAL issue in this patch. Auto reported by kwscan@kw-srv2.bj.intel.com"/>
    <m/>
    <m/>
    <s v="jukka.o.kaartinen@intel.com"/>
    <x v="0"/>
    <x v="5"/>
    <s v=""/>
    <x v="2"/>
    <s v=""/>
    <s v=""/>
    <s v=""/>
    <s v=""/>
    <s v=""/>
    <s v=""/>
    <s v=""/>
    <x v="0"/>
    <x v="0"/>
    <x v="0"/>
  </r>
  <r>
    <x v="54"/>
    <m/>
    <m/>
    <m/>
    <m/>
    <m/>
    <m/>
    <m/>
    <m/>
    <m/>
    <m/>
    <m/>
    <x v="9"/>
    <d v="2016-01-11T15:40:00"/>
    <s v="Patch Set 8: Integrator-1\n\nPIT test failed with regression 1504138554 on CHT T3"/>
    <m/>
    <m/>
    <s v="jukka.o.kaartinen@intel.com"/>
    <x v="0"/>
    <x v="5"/>
    <s v=""/>
    <x v="2"/>
    <s v=""/>
    <s v=""/>
    <s v=""/>
    <s v=""/>
    <s v=""/>
    <s v=""/>
    <s v=""/>
    <x v="0"/>
    <x v="1"/>
    <x v="0"/>
  </r>
  <r>
    <x v="54"/>
    <m/>
    <m/>
    <m/>
    <m/>
    <m/>
    <m/>
    <m/>
    <m/>
    <m/>
    <m/>
    <m/>
    <x v="9"/>
    <d v="2016-01-11T21:47:00"/>
    <s v="Patch Set 8:\n\nPassed Klocwork code analyzing test. No CRITICAL issue in this patch. Auto reported by kwscan@kw-srv2.bj.intel.com"/>
    <m/>
    <m/>
    <s v="jukka.o.kaartinen@intel.com"/>
    <x v="0"/>
    <x v="5"/>
    <s v=""/>
    <x v="2"/>
    <s v=""/>
    <s v=""/>
    <s v=""/>
    <s v=""/>
    <s v=""/>
    <s v=""/>
    <s v=""/>
    <x v="0"/>
    <x v="0"/>
    <x v="0"/>
  </r>
  <r>
    <x v="54"/>
    <m/>
    <m/>
    <m/>
    <m/>
    <m/>
    <m/>
    <m/>
    <m/>
    <m/>
    <m/>
    <m/>
    <x v="9"/>
    <d v="2016-01-12T00:51:00"/>
    <s v="Patch Set 8:\n\nPassed Klocwork code analyzing test. No CRITICAL issue in this patch. Auto reported by kwscan@kw-srv2.bj.intel.com"/>
    <m/>
    <m/>
    <s v="jukka.o.kaartinen@intel.com"/>
    <x v="0"/>
    <x v="5"/>
    <s v=""/>
    <x v="2"/>
    <s v=""/>
    <s v=""/>
    <s v=""/>
    <s v=""/>
    <s v=""/>
    <s v=""/>
    <s v=""/>
    <x v="0"/>
    <x v="0"/>
    <x v="0"/>
  </r>
  <r>
    <x v="54"/>
    <m/>
    <m/>
    <m/>
    <m/>
    <m/>
    <m/>
    <m/>
    <m/>
    <m/>
    <m/>
    <m/>
    <x v="9"/>
    <d v="2016-01-12T12:17:00"/>
    <s v="Patch Set 8:\n\nPassed Klocwork code analyzing test. No CRITICAL issue in this patch. Auto reported by kwscan@psi-build5.bj.intel.com"/>
    <m/>
    <m/>
    <s v="jukka.o.kaartinen@intel.com"/>
    <x v="0"/>
    <x v="5"/>
    <s v=""/>
    <x v="2"/>
    <s v=""/>
    <s v=""/>
    <s v=""/>
    <s v=""/>
    <s v=""/>
    <s v=""/>
    <s v=""/>
    <x v="0"/>
    <x v="0"/>
    <x v="0"/>
  </r>
  <r>
    <x v="54"/>
    <m/>
    <m/>
    <m/>
    <m/>
    <m/>
    <m/>
    <m/>
    <m/>
    <m/>
    <m/>
    <m/>
    <x v="2"/>
    <d v="2016-01-12T22:32:00"/>
    <s v="Uploaded patch set 9: Patch Set 8 was rebased."/>
    <m/>
    <m/>
    <s v="jukka.o.kaartinen@intel.com"/>
    <x v="0"/>
    <x v="0"/>
    <s v=""/>
    <x v="2"/>
    <s v=""/>
    <s v=""/>
    <s v=""/>
    <s v=""/>
    <s v=""/>
    <s v=""/>
    <s v=""/>
    <x v="0"/>
    <x v="0"/>
    <x v="0"/>
  </r>
  <r>
    <x v="54"/>
    <m/>
    <m/>
    <m/>
    <m/>
    <m/>
    <m/>
    <m/>
    <m/>
    <m/>
    <m/>
    <m/>
    <x v="2"/>
    <d v="2016-01-12T22:32:00"/>
    <s v="Patch Set 9:\n\nPatchset Created: CI job has been scheduled."/>
    <m/>
    <m/>
    <s v="jukka.o.kaartinen@intel.com"/>
    <x v="0"/>
    <x v="0"/>
    <s v=""/>
    <x v="2"/>
    <s v=""/>
    <s v=""/>
    <s v=""/>
    <s v=""/>
    <s v=""/>
    <s v=""/>
    <s v=""/>
    <x v="0"/>
    <x v="0"/>
    <x v="0"/>
  </r>
  <r>
    <x v="54"/>
    <m/>
    <m/>
    <m/>
    <m/>
    <m/>
    <m/>
    <m/>
    <m/>
    <m/>
    <m/>
    <m/>
    <x v="2"/>
    <d v="2016-01-12T22:36:00"/>
    <s v="Uploaded patch set 10."/>
    <m/>
    <m/>
    <s v="jukka.o.kaartinen@intel.com"/>
    <x v="0"/>
    <x v="0"/>
    <s v=""/>
    <x v="2"/>
    <s v=""/>
    <s v=""/>
    <s v=""/>
    <s v=""/>
    <s v=""/>
    <s v=""/>
    <s v=""/>
    <x v="0"/>
    <x v="0"/>
    <x v="0"/>
  </r>
  <r>
    <x v="54"/>
    <m/>
    <m/>
    <m/>
    <m/>
    <m/>
    <m/>
    <m/>
    <m/>
    <m/>
    <m/>
    <m/>
    <x v="2"/>
    <d v="2016-01-12T22:36:00"/>
    <s v="Patch Set 10:\n\nPatchset Created: CI job has been scheduled."/>
    <m/>
    <m/>
    <s v="jukka.o.kaartinen@intel.com"/>
    <x v="0"/>
    <x v="0"/>
    <s v=""/>
    <x v="2"/>
    <s v=""/>
    <s v=""/>
    <s v=""/>
    <s v=""/>
    <s v=""/>
    <s v=""/>
    <s v=""/>
    <x v="0"/>
    <x v="0"/>
    <x v="0"/>
  </r>
  <r>
    <x v="54"/>
    <m/>
    <m/>
    <m/>
    <m/>
    <m/>
    <m/>
    <m/>
    <m/>
    <m/>
    <m/>
    <m/>
    <x v="2"/>
    <d v="2016-01-12T22:37:00"/>
    <s v="Patch Set 10: Code-Review+1"/>
    <m/>
    <m/>
    <s v="jukka.o.kaartinen@intel.com"/>
    <x v="0"/>
    <x v="0"/>
    <s v=""/>
    <x v="2"/>
    <s v=""/>
    <s v=""/>
    <s v=""/>
    <s v=""/>
    <s v=""/>
    <s v=""/>
    <s v=""/>
    <x v="0"/>
    <x v="0"/>
    <x v="0"/>
  </r>
  <r>
    <x v="54"/>
    <m/>
    <m/>
    <m/>
    <m/>
    <m/>
    <m/>
    <m/>
    <m/>
    <m/>
    <m/>
    <m/>
    <x v="12"/>
    <d v="2016-01-12T22:41:00"/>
    <s v="Patch Set 10: Code-Review+1"/>
    <m/>
    <m/>
    <s v="jukka.o.kaartinen@intel.com"/>
    <x v="0"/>
    <x v="1"/>
    <s v=""/>
    <x v="2"/>
    <s v=""/>
    <s v=""/>
    <s v=""/>
    <s v=""/>
    <s v=""/>
    <s v=""/>
    <s v=""/>
    <x v="0"/>
    <x v="0"/>
    <x v="0"/>
  </r>
  <r>
    <x v="54"/>
    <m/>
    <m/>
    <m/>
    <m/>
    <m/>
    <m/>
    <m/>
    <m/>
    <m/>
    <m/>
    <m/>
    <x v="6"/>
    <d v="2016-01-12T22:43:00"/>
    <s v="Patch Set 10: Code-Review+1"/>
    <m/>
    <m/>
    <s v="jukka.o.kaartinen@intel.com"/>
    <x v="0"/>
    <x v="1"/>
    <s v=""/>
    <x v="2"/>
    <s v=""/>
    <s v=""/>
    <s v=""/>
    <s v=""/>
    <s v=""/>
    <s v=""/>
    <s v=""/>
    <x v="0"/>
    <x v="0"/>
    <x v="0"/>
  </r>
  <r>
    <x v="54"/>
    <m/>
    <m/>
    <m/>
    <m/>
    <m/>
    <m/>
    <m/>
    <m/>
    <m/>
    <m/>
    <m/>
    <x v="14"/>
    <d v="2016-01-12T22:49:00"/>
    <s v="Patch Set 10: Validation-Android+1\n\nreceive smoke test"/>
    <m/>
    <m/>
    <s v="jukka.o.kaartinen@intel.com"/>
    <x v="0"/>
    <x v="5"/>
    <s v=""/>
    <x v="2"/>
    <s v=""/>
    <s v=""/>
    <s v=""/>
    <s v=""/>
    <s v=""/>
    <s v=""/>
    <s v=""/>
    <x v="0"/>
    <x v="1"/>
    <x v="0"/>
  </r>
  <r>
    <x v="54"/>
    <m/>
    <m/>
    <m/>
    <m/>
    <m/>
    <m/>
    <m/>
    <m/>
    <m/>
    <m/>
    <m/>
    <x v="2"/>
    <d v="2016-01-12T22:49:00"/>
    <s v="Topic changed from rebased to bxt_preint"/>
    <m/>
    <m/>
    <s v="jukka.o.kaartinen@intel.com"/>
    <x v="0"/>
    <x v="0"/>
    <s v=""/>
    <x v="2"/>
    <s v=""/>
    <s v=""/>
    <s v=""/>
    <s v=""/>
    <s v=""/>
    <s v=""/>
    <s v=""/>
    <x v="0"/>
    <x v="0"/>
    <x v="0"/>
  </r>
  <r>
    <x v="54"/>
    <m/>
    <m/>
    <m/>
    <m/>
    <m/>
    <m/>
    <m/>
    <m/>
    <m/>
    <m/>
    <m/>
    <x v="6"/>
    <d v="2016-01-12T22:50:00"/>
    <s v="Patch Set 10: Approver+1"/>
    <m/>
    <m/>
    <s v="jukka.o.kaartinen@intel.com"/>
    <x v="0"/>
    <x v="1"/>
    <s v=""/>
    <x v="2"/>
    <s v=""/>
    <s v=""/>
    <s v=""/>
    <s v=""/>
    <s v=""/>
    <s v=""/>
    <s v=""/>
    <x v="0"/>
    <x v="0"/>
    <x v="0"/>
  </r>
  <r>
    <x v="54"/>
    <m/>
    <m/>
    <m/>
    <m/>
    <m/>
    <m/>
    <m/>
    <m/>
    <m/>
    <m/>
    <m/>
    <x v="16"/>
    <d v="2016-01-13T11:46:00"/>
    <s v="Patch Set 10: Code-Review+1"/>
    <m/>
    <m/>
    <s v="jukka.o.kaartinen@intel.com"/>
    <x v="0"/>
    <x v="4"/>
    <s v=""/>
    <x v="2"/>
    <s v=""/>
    <s v=""/>
    <s v=""/>
    <s v=""/>
    <s v=""/>
    <s v=""/>
    <s v=""/>
    <x v="0"/>
    <x v="0"/>
    <x v="0"/>
  </r>
  <r>
    <x v="54"/>
    <m/>
    <m/>
    <m/>
    <m/>
    <m/>
    <m/>
    <m/>
    <m/>
    <m/>
    <m/>
    <m/>
    <x v="16"/>
    <d v="2016-01-13T13:49:00"/>
    <s v="Patch Set 10: Code-Review-1\n\n(1 comment)"/>
    <s v="line1108 :&quot;for some platform; such as baytrail; there is no \&quot;name\&quot; in \&quot;Profiles\&quot; section; for this change; addCamera won't be called&quot;"/>
    <m/>
    <s v="jukka.o.kaartinen@intel.com"/>
    <x v="0"/>
    <x v="4"/>
    <s v=""/>
    <x v="2"/>
    <s v=""/>
    <s v=""/>
    <s v=""/>
    <s v=""/>
    <s v=""/>
    <s v=""/>
    <s v=""/>
    <x v="1"/>
    <x v="0"/>
    <x v="0"/>
  </r>
  <r>
    <x v="54"/>
    <m/>
    <m/>
    <m/>
    <m/>
    <m/>
    <m/>
    <m/>
    <m/>
    <m/>
    <m/>
    <m/>
    <x v="2"/>
    <d v="2016-01-13T15:01:00"/>
    <s v="Patch Set 10: Code-Review-1"/>
    <m/>
    <m/>
    <s v="jukka.o.kaartinen@intel.com"/>
    <x v="0"/>
    <x v="0"/>
    <s v=""/>
    <x v="2"/>
    <s v=""/>
    <s v=""/>
    <s v=""/>
    <s v=""/>
    <s v=""/>
    <s v=""/>
    <s v=""/>
    <x v="1"/>
    <x v="0"/>
    <x v="0"/>
  </r>
  <r>
    <x v="54"/>
    <m/>
    <m/>
    <m/>
    <m/>
    <m/>
    <m/>
    <m/>
    <m/>
    <m/>
    <m/>
    <m/>
    <x v="2"/>
    <d v="2016-01-13T16:17:00"/>
    <s v="Uploaded patch set 11."/>
    <m/>
    <m/>
    <s v="jukka.o.kaartinen@intel.com"/>
    <x v="0"/>
    <x v="0"/>
    <s v=""/>
    <x v="2"/>
    <s v=""/>
    <s v=""/>
    <s v=""/>
    <s v=""/>
    <s v=""/>
    <s v=""/>
    <s v=""/>
    <x v="0"/>
    <x v="0"/>
    <x v="0"/>
  </r>
  <r>
    <x v="54"/>
    <m/>
    <m/>
    <m/>
    <m/>
    <m/>
    <m/>
    <m/>
    <m/>
    <m/>
    <m/>
    <m/>
    <x v="2"/>
    <d v="2016-01-13T16:17:00"/>
    <s v="Patch Set 11:\n\nPatchset Created: CI job has been scheduled."/>
    <m/>
    <m/>
    <s v="jukka.o.kaartinen@intel.com"/>
    <x v="0"/>
    <x v="0"/>
    <s v=""/>
    <x v="2"/>
    <s v=""/>
    <s v=""/>
    <s v=""/>
    <s v=""/>
    <s v=""/>
    <s v=""/>
    <s v=""/>
    <x v="0"/>
    <x v="0"/>
    <x v="0"/>
  </r>
  <r>
    <x v="54"/>
    <m/>
    <m/>
    <m/>
    <m/>
    <m/>
    <m/>
    <m/>
    <m/>
    <m/>
    <m/>
    <m/>
    <x v="2"/>
    <d v="2016-01-13T16:17:00"/>
    <s v="Patch Set 11: Code-Review+1"/>
    <m/>
    <m/>
    <s v="jukka.o.kaartinen@intel.com"/>
    <x v="0"/>
    <x v="0"/>
    <s v=""/>
    <x v="2"/>
    <s v=""/>
    <s v=""/>
    <s v=""/>
    <s v=""/>
    <s v=""/>
    <s v=""/>
    <s v=""/>
    <x v="0"/>
    <x v="0"/>
    <x v="0"/>
  </r>
  <r>
    <x v="54"/>
    <m/>
    <m/>
    <m/>
    <m/>
    <m/>
    <m/>
    <m/>
    <m/>
    <m/>
    <m/>
    <m/>
    <x v="2"/>
    <d v="2016-01-13T16:26:00"/>
    <s v="Uploaded patch set 12: Patch Set 11 was rebased."/>
    <m/>
    <m/>
    <s v="jukka.o.kaartinen@intel.com"/>
    <x v="0"/>
    <x v="0"/>
    <s v=""/>
    <x v="2"/>
    <s v=""/>
    <s v=""/>
    <s v=""/>
    <s v=""/>
    <s v=""/>
    <s v=""/>
    <s v=""/>
    <x v="0"/>
    <x v="0"/>
    <x v="0"/>
  </r>
  <r>
    <x v="54"/>
    <m/>
    <m/>
    <m/>
    <m/>
    <m/>
    <m/>
    <m/>
    <m/>
    <m/>
    <m/>
    <m/>
    <x v="2"/>
    <d v="2016-01-13T16:26:00"/>
    <s v="Patch Set 12:\n\nPatchset Created: CI job has been scheduled."/>
    <m/>
    <m/>
    <s v="jukka.o.kaartinen@intel.com"/>
    <x v="0"/>
    <x v="0"/>
    <s v=""/>
    <x v="2"/>
    <s v=""/>
    <s v=""/>
    <s v=""/>
    <s v=""/>
    <s v=""/>
    <s v=""/>
    <s v=""/>
    <x v="0"/>
    <x v="0"/>
    <x v="0"/>
  </r>
  <r>
    <x v="54"/>
    <m/>
    <m/>
    <m/>
    <m/>
    <m/>
    <m/>
    <m/>
    <m/>
    <m/>
    <m/>
    <m/>
    <x v="6"/>
    <d v="2016-01-13T16:39:00"/>
    <s v="Patch Set 12: Code-Review+1"/>
    <m/>
    <m/>
    <s v="jukka.o.kaartinen@intel.com"/>
    <x v="0"/>
    <x v="1"/>
    <s v=""/>
    <x v="2"/>
    <s v=""/>
    <s v=""/>
    <s v=""/>
    <s v=""/>
    <s v=""/>
    <s v=""/>
    <s v=""/>
    <x v="0"/>
    <x v="0"/>
    <x v="0"/>
  </r>
  <r>
    <x v="54"/>
    <m/>
    <m/>
    <m/>
    <m/>
    <m/>
    <m/>
    <m/>
    <m/>
    <m/>
    <m/>
    <m/>
    <x v="16"/>
    <d v="2016-01-13T16:45:00"/>
    <s v="Patch Set 12: Code-Review+1\n\nchecked with cht_ffd with removing \name\&quot; and soc setting; this patch works&quot;"/>
    <m/>
    <m/>
    <s v="jukka.o.kaartinen@intel.com"/>
    <x v="0"/>
    <x v="4"/>
    <s v=""/>
    <x v="2"/>
    <s v=""/>
    <s v=""/>
    <s v=""/>
    <s v=""/>
    <s v=""/>
    <s v=""/>
    <s v=""/>
    <x v="0"/>
    <x v="0"/>
    <x v="0"/>
  </r>
  <r>
    <x v="54"/>
    <m/>
    <m/>
    <m/>
    <m/>
    <m/>
    <m/>
    <m/>
    <m/>
    <m/>
    <m/>
    <m/>
    <x v="6"/>
    <d v="2016-01-13T16:46:00"/>
    <s v="Patch Set 12: Approver+1"/>
    <m/>
    <m/>
    <s v="jukka.o.kaartinen@intel.com"/>
    <x v="0"/>
    <x v="1"/>
    <s v=""/>
    <x v="2"/>
    <s v=""/>
    <s v=""/>
    <s v=""/>
    <s v=""/>
    <s v=""/>
    <s v=""/>
    <s v=""/>
    <x v="0"/>
    <x v="0"/>
    <x v="0"/>
  </r>
  <r>
    <x v="54"/>
    <m/>
    <m/>
    <m/>
    <m/>
    <m/>
    <m/>
    <m/>
    <m/>
    <m/>
    <m/>
    <m/>
    <x v="14"/>
    <d v="2016-01-13T16:48:00"/>
    <s v="Patch Set 12: Validation-Android+1\n\nreceive smoke test"/>
    <m/>
    <m/>
    <s v="jukka.o.kaartinen@intel.com"/>
    <x v="0"/>
    <x v="5"/>
    <s v=""/>
    <x v="2"/>
    <s v=""/>
    <s v=""/>
    <s v=""/>
    <s v=""/>
    <s v=""/>
    <s v=""/>
    <s v=""/>
    <x v="0"/>
    <x v="1"/>
    <x v="0"/>
  </r>
  <r>
    <x v="54"/>
    <m/>
    <m/>
    <m/>
    <m/>
    <m/>
    <m/>
    <m/>
    <m/>
    <m/>
    <m/>
    <m/>
    <x v="2"/>
    <d v="2016-01-13T16:48:00"/>
    <s v="Topic changed from squash to bxt_preint"/>
    <m/>
    <m/>
    <s v="jukka.o.kaartinen@intel.com"/>
    <x v="0"/>
    <x v="0"/>
    <s v=""/>
    <x v="2"/>
    <s v=""/>
    <s v=""/>
    <s v=""/>
    <s v=""/>
    <s v=""/>
    <s v=""/>
    <s v=""/>
    <x v="0"/>
    <x v="0"/>
    <x v="0"/>
  </r>
  <r>
    <x v="54"/>
    <m/>
    <m/>
    <m/>
    <m/>
    <m/>
    <m/>
    <m/>
    <m/>
    <m/>
    <m/>
    <m/>
    <x v="14"/>
    <d v="2016-01-13T21:21:00"/>
    <s v="Patch Set 12:\n\nreceive smoke test"/>
    <m/>
    <m/>
    <s v="jukka.o.kaartinen@intel.com"/>
    <x v="0"/>
    <x v="5"/>
    <s v=""/>
    <x v="2"/>
    <s v=""/>
    <s v=""/>
    <s v=""/>
    <s v=""/>
    <s v=""/>
    <s v=""/>
    <s v=""/>
    <x v="0"/>
    <x v="0"/>
    <x v="0"/>
  </r>
  <r>
    <x v="54"/>
    <m/>
    <m/>
    <m/>
    <m/>
    <m/>
    <m/>
    <m/>
    <m/>
    <m/>
    <m/>
    <m/>
    <x v="9"/>
    <d v="2016-01-14T14:11:00"/>
    <s v="Patch Set 12: Integrator+1\n\nIntegrator +1; patch will be add to PT; please no change now"/>
    <m/>
    <m/>
    <s v="jukka.o.kaartinen@intel.com"/>
    <x v="0"/>
    <x v="5"/>
    <s v=""/>
    <x v="2"/>
    <s v=""/>
    <s v=""/>
    <s v=""/>
    <s v=""/>
    <s v=""/>
    <s v=""/>
    <s v=""/>
    <x v="0"/>
    <x v="1"/>
    <x v="0"/>
  </r>
  <r>
    <x v="54"/>
    <m/>
    <m/>
    <m/>
    <m/>
    <m/>
    <m/>
    <m/>
    <m/>
    <m/>
    <m/>
    <m/>
    <x v="9"/>
    <d v="2016-01-14T14:35:00"/>
    <s v="Patch Set 12: Integrator-1\n\npatch conflict; please re-base your patch"/>
    <m/>
    <m/>
    <s v="jukka.o.kaartinen@intel.com"/>
    <x v="0"/>
    <x v="5"/>
    <s v=""/>
    <x v="2"/>
    <s v=""/>
    <s v=""/>
    <s v=""/>
    <s v=""/>
    <s v=""/>
    <s v=""/>
    <s v=""/>
    <x v="0"/>
    <x v="1"/>
    <x v="0"/>
  </r>
  <r>
    <x v="54"/>
    <m/>
    <m/>
    <m/>
    <m/>
    <m/>
    <m/>
    <m/>
    <m/>
    <m/>
    <m/>
    <m/>
    <x v="14"/>
    <d v="2016-01-14T15:25:00"/>
    <s v="Patch Set 12:\n\nreceive smoke test"/>
    <m/>
    <m/>
    <s v="jukka.o.kaartinen@intel.com"/>
    <x v="0"/>
    <x v="5"/>
    <s v=""/>
    <x v="2"/>
    <s v=""/>
    <s v=""/>
    <s v=""/>
    <s v=""/>
    <s v=""/>
    <s v=""/>
    <s v=""/>
    <x v="0"/>
    <x v="0"/>
    <x v="0"/>
  </r>
  <r>
    <x v="54"/>
    <m/>
    <m/>
    <m/>
    <m/>
    <m/>
    <m/>
    <m/>
    <m/>
    <m/>
    <m/>
    <m/>
    <x v="2"/>
    <d v="2016-01-14T15:58:00"/>
    <s v="Uploaded patch set 13."/>
    <m/>
    <m/>
    <s v="jukka.o.kaartinen@intel.com"/>
    <x v="0"/>
    <x v="0"/>
    <s v=""/>
    <x v="2"/>
    <s v=""/>
    <s v=""/>
    <s v=""/>
    <s v=""/>
    <s v=""/>
    <s v=""/>
    <s v=""/>
    <x v="0"/>
    <x v="0"/>
    <x v="0"/>
  </r>
  <r>
    <x v="54"/>
    <m/>
    <m/>
    <m/>
    <m/>
    <m/>
    <m/>
    <m/>
    <m/>
    <m/>
    <m/>
    <m/>
    <x v="2"/>
    <d v="2016-01-14T15:58:00"/>
    <s v="Patch Set 13:\n\nPatchset Created: CI job has been scheduled."/>
    <m/>
    <m/>
    <s v="jukka.o.kaartinen@intel.com"/>
    <x v="0"/>
    <x v="0"/>
    <s v=""/>
    <x v="2"/>
    <s v=""/>
    <s v=""/>
    <s v=""/>
    <s v=""/>
    <s v=""/>
    <s v=""/>
    <s v=""/>
    <x v="0"/>
    <x v="0"/>
    <x v="0"/>
  </r>
  <r>
    <x v="54"/>
    <m/>
    <m/>
    <m/>
    <m/>
    <m/>
    <m/>
    <m/>
    <m/>
    <m/>
    <m/>
    <m/>
    <x v="2"/>
    <d v="2016-01-14T15:58:00"/>
    <s v="Patch Set 13: Code-Review+1"/>
    <m/>
    <m/>
    <s v="jukka.o.kaartinen@intel.com"/>
    <x v="0"/>
    <x v="0"/>
    <s v=""/>
    <x v="2"/>
    <s v=""/>
    <s v=""/>
    <s v=""/>
    <s v=""/>
    <s v=""/>
    <s v=""/>
    <s v=""/>
    <x v="0"/>
    <x v="0"/>
    <x v="0"/>
  </r>
  <r>
    <x v="54"/>
    <m/>
    <m/>
    <m/>
    <m/>
    <m/>
    <m/>
    <m/>
    <m/>
    <m/>
    <m/>
    <m/>
    <x v="2"/>
    <d v="2016-01-14T16:23:00"/>
    <s v="Topic changed from jep to bxt_preint"/>
    <m/>
    <m/>
    <s v="jukka.o.kaartinen@intel.com"/>
    <x v="0"/>
    <x v="0"/>
    <s v=""/>
    <x v="2"/>
    <s v=""/>
    <s v=""/>
    <s v=""/>
    <s v=""/>
    <s v=""/>
    <s v=""/>
    <s v=""/>
    <x v="0"/>
    <x v="0"/>
    <x v="0"/>
  </r>
  <r>
    <x v="54"/>
    <m/>
    <m/>
    <m/>
    <m/>
    <m/>
    <m/>
    <m/>
    <m/>
    <m/>
    <m/>
    <m/>
    <x v="9"/>
    <d v="2016-01-14T17:07:00"/>
    <s v="Patch Set 13: Integrator+1\n\nIntegrator +1; patch will be add to PT; please no change now"/>
    <m/>
    <m/>
    <s v="jukka.o.kaartinen@intel.com"/>
    <x v="0"/>
    <x v="5"/>
    <s v=""/>
    <x v="2"/>
    <s v=""/>
    <s v=""/>
    <s v=""/>
    <s v=""/>
    <s v=""/>
    <s v=""/>
    <s v=""/>
    <x v="0"/>
    <x v="1"/>
    <x v="0"/>
  </r>
  <r>
    <x v="54"/>
    <m/>
    <m/>
    <m/>
    <m/>
    <m/>
    <m/>
    <m/>
    <m/>
    <m/>
    <m/>
    <m/>
    <x v="12"/>
    <d v="2016-01-14T17:07:00"/>
    <s v="Patch Set 13: Approver+1"/>
    <m/>
    <m/>
    <s v="jukka.o.kaartinen@intel.com"/>
    <x v="0"/>
    <x v="1"/>
    <s v=""/>
    <x v="2"/>
    <s v=""/>
    <s v=""/>
    <s v=""/>
    <s v=""/>
    <s v=""/>
    <s v=""/>
    <s v=""/>
    <x v="0"/>
    <x v="0"/>
    <x v="0"/>
  </r>
  <r>
    <x v="54"/>
    <m/>
    <m/>
    <m/>
    <m/>
    <m/>
    <m/>
    <m/>
    <m/>
    <m/>
    <m/>
    <m/>
    <x v="12"/>
    <d v="2016-01-14T17:08:00"/>
    <s v="Patch Set 13: Code-Review+1"/>
    <m/>
    <m/>
    <s v="jukka.o.kaartinen@intel.com"/>
    <x v="0"/>
    <x v="1"/>
    <s v=""/>
    <x v="2"/>
    <s v=""/>
    <s v=""/>
    <s v=""/>
    <s v=""/>
    <s v=""/>
    <s v=""/>
    <s v=""/>
    <x v="0"/>
    <x v="0"/>
    <x v="0"/>
  </r>
  <r>
    <x v="54"/>
    <m/>
    <m/>
    <m/>
    <m/>
    <m/>
    <m/>
    <m/>
    <m/>
    <m/>
    <m/>
    <m/>
    <x v="9"/>
    <d v="2016-01-14T19:51:00"/>
    <s v="Patch Set 13:\n\nPassed Klocwork code analyzing test. No CRITICAL issue in this patch. Auto reported by kwscan@kw-srv2.bj.intel.com"/>
    <m/>
    <m/>
    <s v="jukka.o.kaartinen@intel.com"/>
    <x v="0"/>
    <x v="5"/>
    <s v=""/>
    <x v="2"/>
    <s v=""/>
    <s v=""/>
    <s v=""/>
    <s v=""/>
    <s v=""/>
    <s v=""/>
    <s v=""/>
    <x v="0"/>
    <x v="0"/>
    <x v="0"/>
  </r>
  <r>
    <x v="54"/>
    <m/>
    <m/>
    <m/>
    <m/>
    <m/>
    <m/>
    <m/>
    <m/>
    <m/>
    <m/>
    <m/>
    <x v="9"/>
    <d v="2016-01-14T22:13:00"/>
    <s v="Patch Set 13:\n\nPassed Klocwork code analyzing test. No CRITICAL issue in this patch. Auto reported by kwscan@andr-val-srv0.bj.intel.com"/>
    <m/>
    <m/>
    <s v="jukka.o.kaartinen@intel.com"/>
    <x v="0"/>
    <x v="5"/>
    <s v=""/>
    <x v="2"/>
    <s v=""/>
    <s v=""/>
    <s v=""/>
    <s v=""/>
    <s v=""/>
    <s v=""/>
    <s v=""/>
    <x v="0"/>
    <x v="0"/>
    <x v="0"/>
  </r>
  <r>
    <x v="54"/>
    <m/>
    <m/>
    <m/>
    <m/>
    <m/>
    <m/>
    <m/>
    <m/>
    <m/>
    <m/>
    <m/>
    <x v="9"/>
    <d v="2016-01-14T23:06:00"/>
    <s v="Patch Set 13:\n\nPassed Klocwork code analyzing test. No CRITICAL issue in this patch. Auto reported by kwscan@kw-srv2.bj.intel.com"/>
    <m/>
    <m/>
    <s v="jukka.o.kaartinen@intel.com"/>
    <x v="0"/>
    <x v="5"/>
    <s v=""/>
    <x v="2"/>
    <s v=""/>
    <s v=""/>
    <s v=""/>
    <s v=""/>
    <s v=""/>
    <s v=""/>
    <s v=""/>
    <x v="0"/>
    <x v="0"/>
    <x v="0"/>
  </r>
  <r>
    <x v="54"/>
    <m/>
    <m/>
    <m/>
    <m/>
    <m/>
    <m/>
    <m/>
    <m/>
    <m/>
    <m/>
    <m/>
    <x v="9"/>
    <d v="2016-01-15T14:52:00"/>
    <s v="Patch Set 13:\n\nPassed Klocwork code analyzing test. No CRITICAL issue in this patch. Auto reported by kwscan@psi-build5.bj.intel.com"/>
    <m/>
    <m/>
    <s v="jukka.o.kaartinen@intel.com"/>
    <x v="0"/>
    <x v="5"/>
    <s v=""/>
    <x v="2"/>
    <s v=""/>
    <s v=""/>
    <s v=""/>
    <s v=""/>
    <s v=""/>
    <s v=""/>
    <s v=""/>
    <x v="0"/>
    <x v="0"/>
    <x v="0"/>
  </r>
  <r>
    <x v="54"/>
    <m/>
    <m/>
    <m/>
    <m/>
    <m/>
    <m/>
    <m/>
    <m/>
    <m/>
    <m/>
    <m/>
    <x v="9"/>
    <d v="2016-01-15T15:05:00"/>
    <s v="Patch Set 13: Code-Review+1\n\nPassed PIT; ready for merge"/>
    <m/>
    <m/>
    <s v="jukka.o.kaartinen@intel.com"/>
    <x v="0"/>
    <x v="5"/>
    <s v=""/>
    <x v="2"/>
    <s v=""/>
    <s v=""/>
    <s v=""/>
    <s v=""/>
    <s v=""/>
    <s v=""/>
    <s v=""/>
    <x v="0"/>
    <x v="0"/>
    <x v="0"/>
  </r>
  <r>
    <x v="54"/>
    <m/>
    <m/>
    <m/>
    <m/>
    <m/>
    <m/>
    <m/>
    <m/>
    <m/>
    <m/>
    <m/>
    <x v="9"/>
    <d v="2016-01-15T17:54:00"/>
    <s v="Patch Set 13:\n\nPassed Klocwork code analyzing test. No CRITICAL issue in this patch. Auto reported by kwscan@andr-val-srv0.bj.intel.com"/>
    <m/>
    <m/>
    <s v="jukka.o.kaartinen@intel.com"/>
    <x v="0"/>
    <x v="5"/>
    <s v=""/>
    <x v="2"/>
    <s v=""/>
    <s v=""/>
    <s v=""/>
    <s v=""/>
    <s v=""/>
    <s v=""/>
    <s v=""/>
    <x v="0"/>
    <x v="0"/>
    <x v="0"/>
  </r>
  <r>
    <x v="55"/>
    <n v="94150"/>
    <s v="vied-viedandr-camera3hal"/>
    <s v="platform/android/main"/>
    <s v="I599bc38143a4a366acaf7e83cdc97ef0e1ed4f76"/>
    <s v="ukri.niemimuukko@intel.com"/>
    <s v="MERGED"/>
    <s v="c3:3a: [REVERTME] keep reporting wrong af statuses"/>
    <s v="c3:3a: [REVERTME] keep reporting wrong af statuses\n\nOld AF state machine was reporting incorrect states after failed\nAF scan. Some PSL's are not ready for reporting the truth yet; so\nallow the bug to exist for some older implementations; for now.\n\nRevert this; when the CIF AF scan no longer fails systematically\nduring ITS tests.\n\nChange-Id: I599bc38143a4a366acaf7e83cdc97ef0e1ed4f76\nTracked-On: #R506535\nSigned-off-by: Ukri Niemimuukko &lt;ukri.niemimuukko@intel.com&gt;\nReviewed-on: https://icggerrit.ir.intel.com/94150\nReviewed-by: Lassi I Vaatamoinen &lt;lassi.i.vaatamoinen@intel.com&gt;\nReviewed-by: Miguel Verdu &lt;miguel.verdu@intel.com&gt;\nReviewed-by: Jukka O Kaartinen &lt;jukka.o.kaartinen@intel.com&gt;\nReviewed-by: Arnaud Mandy &lt;arnaud.mandy@intel.com&gt;\nReviewed-by: Renwei Wu &lt;renwei.wu@intel.com&gt;\nApprover: Jukka O Kaartinen &lt;jukka.o.kaartinen@intel.com&gt;\nValidation-Android: Wei Tao &lt;wei.tao@intel.com&gt;\nBuild: Dessert M BXT RVP (SC)\nBuild: Dessert M CHT FFD (SC)\nValidation-Android: Dessert M CHT FFD (SC)\nIntegrator: WeiX Meng &lt;weix.meng@intel.com&gt;\nReviewed-by: WeiX Meng &lt;weix.meng@intel.com&gt;\n"/>
    <d v="2016-01-08T15:13:00"/>
    <d v="2016-01-15T15:57:00"/>
    <s v="common"/>
    <x v="6"/>
    <d v="2016-01-08T15:13:00"/>
    <s v="Uploaded patch set 1."/>
    <m/>
    <s v="weix.meng@intel.com;renwei.wu@intel.com;arnaud.mandy@intel.com;jukka.o.kaartinen@intel.com;miguel.verdu@intel.com;lassi.i.vaatamoinen@intel.com;"/>
    <s v="ukri.niemimuukko@intel.com"/>
    <x v="0"/>
    <x v="0"/>
    <s v="16'ww3"/>
    <x v="2"/>
    <n v="0"/>
    <n v="0"/>
    <n v="0"/>
    <n v="0"/>
    <n v="0"/>
    <n v="6"/>
    <n v="1"/>
    <x v="0"/>
    <x v="0"/>
    <x v="0"/>
  </r>
  <r>
    <x v="55"/>
    <m/>
    <m/>
    <m/>
    <m/>
    <m/>
    <m/>
    <m/>
    <m/>
    <m/>
    <m/>
    <m/>
    <x v="6"/>
    <d v="2016-01-08T15:13:00"/>
    <s v="Patch Set 1:\n\nPatchset Created: CI job has been scheduled."/>
    <m/>
    <m/>
    <s v="ukri.niemimuukko@intel.com"/>
    <x v="0"/>
    <x v="0"/>
    <s v=""/>
    <x v="2"/>
    <s v=""/>
    <s v=""/>
    <s v=""/>
    <s v=""/>
    <s v=""/>
    <s v=""/>
    <s v=""/>
    <x v="0"/>
    <x v="0"/>
    <x v="0"/>
  </r>
  <r>
    <x v="55"/>
    <m/>
    <m/>
    <m/>
    <m/>
    <m/>
    <m/>
    <m/>
    <m/>
    <m/>
    <m/>
    <m/>
    <x v="6"/>
    <d v="2016-01-08T15:17:00"/>
    <s v="Patch Set 1: Code-Review+1"/>
    <m/>
    <m/>
    <s v="ukri.niemimuukko@intel.com"/>
    <x v="0"/>
    <x v="0"/>
    <s v=""/>
    <x v="2"/>
    <s v=""/>
    <s v=""/>
    <s v=""/>
    <s v=""/>
    <s v=""/>
    <s v=""/>
    <s v=""/>
    <x v="0"/>
    <x v="0"/>
    <x v="0"/>
  </r>
  <r>
    <x v="55"/>
    <m/>
    <m/>
    <m/>
    <m/>
    <m/>
    <m/>
    <m/>
    <m/>
    <m/>
    <m/>
    <m/>
    <x v="6"/>
    <d v="2016-01-08T15:30:00"/>
    <s v="Patch Set 2:\n\nPatchset Created: CI job has been scheduled."/>
    <m/>
    <m/>
    <s v="ukri.niemimuukko@intel.com"/>
    <x v="0"/>
    <x v="0"/>
    <s v=""/>
    <x v="2"/>
    <s v=""/>
    <s v=""/>
    <s v=""/>
    <s v=""/>
    <s v=""/>
    <s v=""/>
    <s v=""/>
    <x v="0"/>
    <x v="0"/>
    <x v="0"/>
  </r>
  <r>
    <x v="55"/>
    <m/>
    <m/>
    <m/>
    <m/>
    <m/>
    <m/>
    <m/>
    <m/>
    <m/>
    <m/>
    <m/>
    <x v="6"/>
    <d v="2016-01-08T15:30:00"/>
    <s v="Uploaded patch set 2: Patch Set 1 was rebased."/>
    <m/>
    <m/>
    <s v="ukri.niemimuukko@intel.com"/>
    <x v="0"/>
    <x v="0"/>
    <s v=""/>
    <x v="2"/>
    <s v=""/>
    <s v=""/>
    <s v=""/>
    <s v=""/>
    <s v=""/>
    <s v=""/>
    <s v=""/>
    <x v="0"/>
    <x v="0"/>
    <x v="0"/>
  </r>
  <r>
    <x v="55"/>
    <m/>
    <m/>
    <m/>
    <m/>
    <m/>
    <m/>
    <m/>
    <m/>
    <m/>
    <m/>
    <m/>
    <x v="6"/>
    <d v="2016-01-08T15:59:00"/>
    <s v="Uploaded patch set 3: Commit message was updated."/>
    <m/>
    <m/>
    <s v="ukri.niemimuukko@intel.com"/>
    <x v="0"/>
    <x v="0"/>
    <s v=""/>
    <x v="2"/>
    <s v=""/>
    <s v=""/>
    <s v=""/>
    <s v=""/>
    <s v=""/>
    <s v=""/>
    <s v=""/>
    <x v="0"/>
    <x v="0"/>
    <x v="0"/>
  </r>
  <r>
    <x v="55"/>
    <m/>
    <m/>
    <m/>
    <m/>
    <m/>
    <m/>
    <m/>
    <m/>
    <m/>
    <m/>
    <m/>
    <x v="6"/>
    <d v="2016-01-08T15:59:00"/>
    <s v="Patch Set 3:\n\nPatchset Created: CI job has been scheduled."/>
    <m/>
    <m/>
    <s v="ukri.niemimuukko@intel.com"/>
    <x v="0"/>
    <x v="0"/>
    <s v=""/>
    <x v="2"/>
    <s v=""/>
    <s v=""/>
    <s v=""/>
    <s v=""/>
    <s v=""/>
    <s v=""/>
    <s v=""/>
    <x v="0"/>
    <x v="0"/>
    <x v="0"/>
  </r>
  <r>
    <x v="55"/>
    <m/>
    <m/>
    <m/>
    <m/>
    <m/>
    <m/>
    <m/>
    <m/>
    <m/>
    <m/>
    <m/>
    <x v="12"/>
    <d v="2016-01-08T16:10:00"/>
    <s v="Patch Set 3: Code-Review+1"/>
    <m/>
    <m/>
    <s v="ukri.niemimuukko@intel.com"/>
    <x v="0"/>
    <x v="1"/>
    <s v=""/>
    <x v="2"/>
    <s v=""/>
    <s v=""/>
    <s v=""/>
    <s v=""/>
    <s v=""/>
    <s v=""/>
    <s v=""/>
    <x v="0"/>
    <x v="0"/>
    <x v="0"/>
  </r>
  <r>
    <x v="55"/>
    <m/>
    <m/>
    <m/>
    <m/>
    <m/>
    <m/>
    <m/>
    <m/>
    <m/>
    <m/>
    <m/>
    <x v="6"/>
    <d v="2016-01-08T20:02:00"/>
    <s v="Uploaded patch set 4: Patch Set 3 was rebased."/>
    <m/>
    <m/>
    <s v="ukri.niemimuukko@intel.com"/>
    <x v="0"/>
    <x v="0"/>
    <s v=""/>
    <x v="2"/>
    <s v=""/>
    <s v=""/>
    <s v=""/>
    <s v=""/>
    <s v=""/>
    <s v=""/>
    <s v=""/>
    <x v="0"/>
    <x v="0"/>
    <x v="0"/>
  </r>
  <r>
    <x v="55"/>
    <m/>
    <m/>
    <m/>
    <m/>
    <m/>
    <m/>
    <m/>
    <m/>
    <m/>
    <m/>
    <m/>
    <x v="6"/>
    <d v="2016-01-08T20:02:00"/>
    <s v="Patch Set 4:\n\nPatchset Created: CI job has been scheduled."/>
    <m/>
    <m/>
    <s v="ukri.niemimuukko@intel.com"/>
    <x v="0"/>
    <x v="0"/>
    <s v=""/>
    <x v="2"/>
    <s v=""/>
    <s v=""/>
    <s v=""/>
    <s v=""/>
    <s v=""/>
    <s v=""/>
    <s v=""/>
    <x v="0"/>
    <x v="0"/>
    <x v="0"/>
  </r>
  <r>
    <x v="55"/>
    <m/>
    <m/>
    <m/>
    <m/>
    <m/>
    <m/>
    <m/>
    <m/>
    <m/>
    <m/>
    <m/>
    <x v="0"/>
    <d v="2016-01-08T20:06:00"/>
    <s v="Patch Set 4: Code-Review+1"/>
    <m/>
    <m/>
    <s v="ukri.niemimuukko@intel.com"/>
    <x v="0"/>
    <x v="1"/>
    <s v=""/>
    <x v="2"/>
    <s v=""/>
    <s v=""/>
    <s v=""/>
    <s v=""/>
    <s v=""/>
    <s v=""/>
    <s v=""/>
    <x v="0"/>
    <x v="0"/>
    <x v="0"/>
  </r>
  <r>
    <x v="55"/>
    <m/>
    <m/>
    <m/>
    <m/>
    <m/>
    <m/>
    <m/>
    <m/>
    <m/>
    <m/>
    <m/>
    <x v="6"/>
    <d v="2016-01-08T20:29:00"/>
    <s v="Uploaded patch set 5: Patch Set 4 was rebased."/>
    <m/>
    <m/>
    <s v="ukri.niemimuukko@intel.com"/>
    <x v="0"/>
    <x v="0"/>
    <s v=""/>
    <x v="2"/>
    <s v=""/>
    <s v=""/>
    <s v=""/>
    <s v=""/>
    <s v=""/>
    <s v=""/>
    <s v=""/>
    <x v="0"/>
    <x v="0"/>
    <x v="0"/>
  </r>
  <r>
    <x v="55"/>
    <m/>
    <m/>
    <m/>
    <m/>
    <m/>
    <m/>
    <m/>
    <m/>
    <m/>
    <m/>
    <m/>
    <x v="6"/>
    <d v="2016-01-08T20:29:00"/>
    <s v="Patch Set 5:\n\nPatchset Created: CI job has been scheduled."/>
    <m/>
    <m/>
    <s v="ukri.niemimuukko@intel.com"/>
    <x v="0"/>
    <x v="0"/>
    <s v=""/>
    <x v="2"/>
    <s v=""/>
    <s v=""/>
    <s v=""/>
    <s v=""/>
    <s v=""/>
    <s v=""/>
    <s v=""/>
    <x v="0"/>
    <x v="0"/>
    <x v="0"/>
  </r>
  <r>
    <x v="55"/>
    <m/>
    <m/>
    <m/>
    <m/>
    <m/>
    <m/>
    <m/>
    <m/>
    <m/>
    <m/>
    <m/>
    <x v="6"/>
    <d v="2016-01-08T20:32:00"/>
    <s v="Uploaded patch set 6: Patch Set 5 was rebased."/>
    <m/>
    <m/>
    <s v="ukri.niemimuukko@intel.com"/>
    <x v="0"/>
    <x v="0"/>
    <s v=""/>
    <x v="2"/>
    <s v=""/>
    <s v=""/>
    <s v=""/>
    <s v=""/>
    <s v=""/>
    <s v=""/>
    <s v=""/>
    <x v="0"/>
    <x v="0"/>
    <x v="0"/>
  </r>
  <r>
    <x v="55"/>
    <m/>
    <m/>
    <m/>
    <m/>
    <m/>
    <m/>
    <m/>
    <m/>
    <m/>
    <m/>
    <m/>
    <x v="6"/>
    <d v="2016-01-08T20:32:00"/>
    <s v="Patch Set 6:\n\nPatchset Created: CI job has been scheduled."/>
    <m/>
    <m/>
    <s v="ukri.niemimuukko@intel.com"/>
    <x v="0"/>
    <x v="0"/>
    <s v=""/>
    <x v="2"/>
    <s v=""/>
    <s v=""/>
    <s v=""/>
    <s v=""/>
    <s v=""/>
    <s v=""/>
    <s v=""/>
    <x v="0"/>
    <x v="0"/>
    <x v="0"/>
  </r>
  <r>
    <x v="55"/>
    <m/>
    <m/>
    <m/>
    <m/>
    <m/>
    <m/>
    <m/>
    <m/>
    <m/>
    <m/>
    <m/>
    <x v="14"/>
    <d v="2016-01-08T21:13:00"/>
    <s v="Patch Set 6: Validation-Android+1\n\nreceive smoke test"/>
    <m/>
    <m/>
    <s v="ukri.niemimuukko@intel.com"/>
    <x v="0"/>
    <x v="5"/>
    <s v=""/>
    <x v="2"/>
    <s v=""/>
    <s v=""/>
    <s v=""/>
    <s v=""/>
    <s v=""/>
    <s v=""/>
    <s v=""/>
    <x v="0"/>
    <x v="1"/>
    <x v="0"/>
  </r>
  <r>
    <x v="55"/>
    <m/>
    <m/>
    <m/>
    <m/>
    <m/>
    <m/>
    <m/>
    <m/>
    <m/>
    <m/>
    <m/>
    <x v="2"/>
    <d v="2016-01-08T21:18:00"/>
    <s v="Patch Set 6: Code-Review+1"/>
    <m/>
    <m/>
    <s v="ukri.niemimuukko@intel.com"/>
    <x v="0"/>
    <x v="1"/>
    <s v=""/>
    <x v="2"/>
    <s v=""/>
    <s v=""/>
    <s v=""/>
    <s v=""/>
    <s v=""/>
    <s v=""/>
    <s v=""/>
    <x v="0"/>
    <x v="0"/>
    <x v="0"/>
  </r>
  <r>
    <x v="55"/>
    <m/>
    <m/>
    <m/>
    <m/>
    <m/>
    <m/>
    <m/>
    <m/>
    <m/>
    <m/>
    <m/>
    <x v="1"/>
    <d v="2016-01-08T21:25:00"/>
    <s v="Patch Set 6: Code-Review+1"/>
    <m/>
    <m/>
    <s v="ukri.niemimuukko@intel.com"/>
    <x v="0"/>
    <x v="1"/>
    <s v=""/>
    <x v="2"/>
    <s v=""/>
    <s v=""/>
    <s v=""/>
    <s v=""/>
    <s v=""/>
    <s v=""/>
    <s v=""/>
    <x v="0"/>
    <x v="0"/>
    <x v="0"/>
  </r>
  <r>
    <x v="55"/>
    <m/>
    <m/>
    <m/>
    <m/>
    <m/>
    <m/>
    <m/>
    <m/>
    <m/>
    <m/>
    <m/>
    <x v="3"/>
    <d v="2016-01-12T18:34:00"/>
    <s v="Patch Set 6: Code-Review+1\n\n+1 as ITS testing shows SoFIA LTE will keep its original status with this patch"/>
    <m/>
    <m/>
    <s v="ukri.niemimuukko@intel.com"/>
    <x v="0"/>
    <x v="2"/>
    <s v=""/>
    <x v="2"/>
    <s v=""/>
    <s v=""/>
    <s v=""/>
    <s v=""/>
    <s v=""/>
    <s v=""/>
    <s v=""/>
    <x v="0"/>
    <x v="0"/>
    <x v="0"/>
  </r>
  <r>
    <x v="55"/>
    <m/>
    <m/>
    <m/>
    <m/>
    <m/>
    <m/>
    <m/>
    <m/>
    <m/>
    <m/>
    <m/>
    <x v="6"/>
    <d v="2016-01-12T22:52:00"/>
    <s v="Uploaded patch set 7: Patch Set 6 was rebased."/>
    <m/>
    <m/>
    <s v="ukri.niemimuukko@intel.com"/>
    <x v="0"/>
    <x v="0"/>
    <s v=""/>
    <x v="2"/>
    <s v=""/>
    <s v=""/>
    <s v=""/>
    <s v=""/>
    <s v=""/>
    <s v=""/>
    <s v=""/>
    <x v="0"/>
    <x v="0"/>
    <x v="0"/>
  </r>
  <r>
    <x v="55"/>
    <m/>
    <m/>
    <m/>
    <m/>
    <m/>
    <m/>
    <m/>
    <m/>
    <m/>
    <m/>
    <m/>
    <x v="6"/>
    <d v="2016-01-12T22:52:00"/>
    <s v="Patch Set 7:\n\nPatchset Created: CI job has been scheduled."/>
    <m/>
    <m/>
    <s v="ukri.niemimuukko@intel.com"/>
    <x v="0"/>
    <x v="0"/>
    <s v=""/>
    <x v="2"/>
    <s v=""/>
    <s v=""/>
    <s v=""/>
    <s v=""/>
    <s v=""/>
    <s v=""/>
    <s v=""/>
    <x v="0"/>
    <x v="0"/>
    <x v="0"/>
  </r>
  <r>
    <x v="55"/>
    <m/>
    <m/>
    <m/>
    <m/>
    <m/>
    <m/>
    <m/>
    <m/>
    <m/>
    <m/>
    <m/>
    <x v="2"/>
    <d v="2016-01-12T22:53:00"/>
    <s v="Patch Set 7: Approver+1"/>
    <m/>
    <m/>
    <s v="ukri.niemimuukko@intel.com"/>
    <x v="0"/>
    <x v="1"/>
    <s v=""/>
    <x v="2"/>
    <s v=""/>
    <s v=""/>
    <s v=""/>
    <s v=""/>
    <s v=""/>
    <s v=""/>
    <s v=""/>
    <x v="0"/>
    <x v="0"/>
    <x v="0"/>
  </r>
  <r>
    <x v="55"/>
    <m/>
    <m/>
    <m/>
    <m/>
    <m/>
    <m/>
    <m/>
    <m/>
    <m/>
    <m/>
    <m/>
    <x v="6"/>
    <d v="2016-01-12T22:53:00"/>
    <s v="Topic changed from topic_jan12 to bxt_preint_HEAD"/>
    <m/>
    <m/>
    <s v="ukri.niemimuukko@intel.com"/>
    <x v="0"/>
    <x v="0"/>
    <s v=""/>
    <x v="2"/>
    <s v=""/>
    <s v=""/>
    <s v=""/>
    <s v=""/>
    <s v=""/>
    <s v=""/>
    <s v=""/>
    <x v="0"/>
    <x v="0"/>
    <x v="0"/>
  </r>
  <r>
    <x v="55"/>
    <m/>
    <m/>
    <m/>
    <m/>
    <m/>
    <m/>
    <m/>
    <m/>
    <m/>
    <m/>
    <m/>
    <x v="14"/>
    <d v="2016-01-12T22:59:00"/>
    <s v="Patch Set 7: Validation-Android+1\n\nreceive smoke test"/>
    <m/>
    <m/>
    <s v="ukri.niemimuukko@intel.com"/>
    <x v="0"/>
    <x v="5"/>
    <s v=""/>
    <x v="2"/>
    <s v=""/>
    <s v=""/>
    <s v=""/>
    <s v=""/>
    <s v=""/>
    <s v=""/>
    <s v=""/>
    <x v="0"/>
    <x v="1"/>
    <x v="0"/>
  </r>
  <r>
    <x v="55"/>
    <m/>
    <m/>
    <m/>
    <m/>
    <m/>
    <m/>
    <m/>
    <m/>
    <m/>
    <m/>
    <m/>
    <x v="9"/>
    <d v="2016-01-13T14:19:00"/>
    <s v="Patch Set 7: Integrator+1\n\nIntegrator +1; patch will be add to PT; please no change now"/>
    <m/>
    <m/>
    <s v="ukri.niemimuukko@intel.com"/>
    <x v="0"/>
    <x v="5"/>
    <s v=""/>
    <x v="2"/>
    <s v=""/>
    <s v=""/>
    <s v=""/>
    <s v=""/>
    <s v=""/>
    <s v=""/>
    <s v=""/>
    <x v="0"/>
    <x v="1"/>
    <x v="0"/>
  </r>
  <r>
    <x v="55"/>
    <m/>
    <m/>
    <m/>
    <m/>
    <m/>
    <m/>
    <m/>
    <m/>
    <m/>
    <m/>
    <m/>
    <x v="2"/>
    <d v="2016-01-13T16:30:00"/>
    <s v="Topic changed from bxt_preint_HEAD to bxt_preint_HEAD_old"/>
    <m/>
    <m/>
    <s v="ukri.niemimuukko@intel.com"/>
    <x v="0"/>
    <x v="1"/>
    <s v=""/>
    <x v="2"/>
    <s v=""/>
    <s v=""/>
    <s v=""/>
    <s v=""/>
    <s v=""/>
    <s v=""/>
    <s v=""/>
    <x v="0"/>
    <x v="0"/>
    <x v="0"/>
  </r>
  <r>
    <x v="55"/>
    <m/>
    <m/>
    <m/>
    <m/>
    <m/>
    <m/>
    <m/>
    <m/>
    <m/>
    <m/>
    <m/>
    <x v="9"/>
    <d v="2016-01-13T17:41:00"/>
    <s v="Patch Set 7:\n\nPassed Klocwork code analyzing test. No CRITICAL issue in this patch. Auto reported by kwscan@kw-srv2.bj.intel.com"/>
    <m/>
    <m/>
    <s v="ukri.niemimuukko@intel.com"/>
    <x v="0"/>
    <x v="5"/>
    <s v=""/>
    <x v="2"/>
    <s v=""/>
    <s v=""/>
    <s v=""/>
    <s v=""/>
    <s v=""/>
    <s v=""/>
    <s v=""/>
    <x v="0"/>
    <x v="0"/>
    <x v="0"/>
  </r>
  <r>
    <x v="55"/>
    <m/>
    <m/>
    <m/>
    <m/>
    <m/>
    <m/>
    <m/>
    <m/>
    <m/>
    <m/>
    <m/>
    <x v="9"/>
    <d v="2016-01-13T18:57:00"/>
    <s v="Patch Set 7:\n\nPassed Klocwork code analyzing test. No CRITICAL issue in this patch. Auto reported by kwscan@andr-val-srv0.bj.intel.com"/>
    <m/>
    <m/>
    <s v="ukri.niemimuukko@intel.com"/>
    <x v="0"/>
    <x v="5"/>
    <s v=""/>
    <x v="2"/>
    <s v=""/>
    <s v=""/>
    <s v=""/>
    <s v=""/>
    <s v=""/>
    <s v=""/>
    <s v=""/>
    <x v="0"/>
    <x v="0"/>
    <x v="0"/>
  </r>
  <r>
    <x v="55"/>
    <m/>
    <m/>
    <m/>
    <m/>
    <m/>
    <m/>
    <m/>
    <m/>
    <m/>
    <m/>
    <m/>
    <x v="9"/>
    <d v="2016-01-13T19:26:00"/>
    <s v="Patch Set 7:\n\nPassed Klocwork code analyzing test. No CRITICAL issue in this patch. Auto reported by kwscan@psi-build5.bj.intel.com"/>
    <m/>
    <m/>
    <s v="ukri.niemimuukko@intel.com"/>
    <x v="0"/>
    <x v="5"/>
    <s v=""/>
    <x v="2"/>
    <s v=""/>
    <s v=""/>
    <s v=""/>
    <s v=""/>
    <s v=""/>
    <s v=""/>
    <s v=""/>
    <x v="0"/>
    <x v="0"/>
    <x v="0"/>
  </r>
  <r>
    <x v="55"/>
    <m/>
    <m/>
    <m/>
    <m/>
    <m/>
    <m/>
    <m/>
    <m/>
    <m/>
    <m/>
    <m/>
    <x v="9"/>
    <d v="2016-01-13T20:32:00"/>
    <s v="Patch Set 7:\n\nPassed Klocwork code analyzing test. No CRITICAL issue in this patch. Auto reported by kwscan@kw-srv2.bj.intel.com"/>
    <m/>
    <m/>
    <s v="ukri.niemimuukko@intel.com"/>
    <x v="0"/>
    <x v="5"/>
    <s v=""/>
    <x v="2"/>
    <s v=""/>
    <s v=""/>
    <s v=""/>
    <s v=""/>
    <s v=""/>
    <s v=""/>
    <s v=""/>
    <x v="0"/>
    <x v="0"/>
    <x v="0"/>
  </r>
  <r>
    <x v="55"/>
    <m/>
    <m/>
    <m/>
    <m/>
    <m/>
    <m/>
    <m/>
    <m/>
    <m/>
    <m/>
    <m/>
    <x v="9"/>
    <d v="2016-01-14T03:13:00"/>
    <s v="Patch Set 7:\n\nPassed Klocwork code analyzing test. No CRITICAL issue in this patch. Auto reported by kwscan@andr-val-srv0.bj.intel.com"/>
    <m/>
    <m/>
    <s v="ukri.niemimuukko@intel.com"/>
    <x v="0"/>
    <x v="5"/>
    <s v=""/>
    <x v="2"/>
    <s v=""/>
    <s v=""/>
    <s v=""/>
    <s v=""/>
    <s v=""/>
    <s v=""/>
    <s v=""/>
    <x v="0"/>
    <x v="0"/>
    <x v="0"/>
  </r>
  <r>
    <x v="55"/>
    <m/>
    <m/>
    <m/>
    <m/>
    <m/>
    <m/>
    <m/>
    <m/>
    <m/>
    <m/>
    <m/>
    <x v="9"/>
    <d v="2016-01-14T16:21:00"/>
    <s v="Patch Set 7: Integrator-1\n\nSofia 3GR PIT test failed; so patch nogo"/>
    <m/>
    <m/>
    <s v="ukri.niemimuukko@intel.com"/>
    <x v="0"/>
    <x v="5"/>
    <s v=""/>
    <x v="2"/>
    <s v=""/>
    <s v=""/>
    <s v=""/>
    <s v=""/>
    <s v=""/>
    <s v=""/>
    <s v=""/>
    <x v="0"/>
    <x v="1"/>
    <x v="0"/>
  </r>
  <r>
    <x v="55"/>
    <m/>
    <m/>
    <m/>
    <m/>
    <m/>
    <m/>
    <m/>
    <m/>
    <m/>
    <m/>
    <m/>
    <x v="9"/>
    <d v="2016-01-14T16:22:00"/>
    <s v="Patch Set 7: Integrator+1\n\nIntegrator +1; patch will be add to PT; please no change now"/>
    <m/>
    <m/>
    <s v="ukri.niemimuukko@intel.com"/>
    <x v="0"/>
    <x v="5"/>
    <s v=""/>
    <x v="2"/>
    <s v=""/>
    <s v=""/>
    <s v=""/>
    <s v=""/>
    <s v=""/>
    <s v=""/>
    <s v=""/>
    <x v="0"/>
    <x v="1"/>
    <x v="0"/>
  </r>
  <r>
    <x v="55"/>
    <m/>
    <m/>
    <m/>
    <m/>
    <m/>
    <m/>
    <m/>
    <m/>
    <m/>
    <m/>
    <m/>
    <x v="9"/>
    <d v="2016-01-14T19:51:00"/>
    <s v="Patch Set 7:\n\nPassed Klocwork code analyzing test. No CRITICAL issue in this patch. Auto reported by kwscan@kw-srv2.bj.intel.com"/>
    <m/>
    <m/>
    <s v="ukri.niemimuukko@intel.com"/>
    <x v="0"/>
    <x v="5"/>
    <s v=""/>
    <x v="2"/>
    <s v=""/>
    <s v=""/>
    <s v=""/>
    <s v=""/>
    <s v=""/>
    <s v=""/>
    <s v=""/>
    <x v="0"/>
    <x v="0"/>
    <x v="0"/>
  </r>
  <r>
    <x v="55"/>
    <m/>
    <m/>
    <m/>
    <m/>
    <m/>
    <m/>
    <m/>
    <m/>
    <m/>
    <m/>
    <m/>
    <x v="9"/>
    <d v="2016-01-14T22:13:00"/>
    <s v="Patch Set 7:\n\nPassed Klocwork code analyzing test. No CRITICAL issue in this patch. Auto reported by kwscan@andr-val-srv0.bj.intel.com"/>
    <m/>
    <m/>
    <s v="ukri.niemimuukko@intel.com"/>
    <x v="0"/>
    <x v="5"/>
    <s v=""/>
    <x v="2"/>
    <s v=""/>
    <s v=""/>
    <s v=""/>
    <s v=""/>
    <s v=""/>
    <s v=""/>
    <s v=""/>
    <x v="0"/>
    <x v="0"/>
    <x v="0"/>
  </r>
  <r>
    <x v="55"/>
    <m/>
    <m/>
    <m/>
    <m/>
    <m/>
    <m/>
    <m/>
    <m/>
    <m/>
    <m/>
    <m/>
    <x v="9"/>
    <d v="2016-01-14T23:06:00"/>
    <s v="Patch Set 7:\n\nPassed Klocwork code analyzing test. No CRITICAL issue in this patch. Auto reported by kwscan@kw-srv2.bj.intel.com"/>
    <m/>
    <m/>
    <s v="ukri.niemimuukko@intel.com"/>
    <x v="0"/>
    <x v="5"/>
    <s v=""/>
    <x v="2"/>
    <s v=""/>
    <s v=""/>
    <s v=""/>
    <s v=""/>
    <s v=""/>
    <s v=""/>
    <s v=""/>
    <x v="0"/>
    <x v="0"/>
    <x v="0"/>
  </r>
  <r>
    <x v="55"/>
    <m/>
    <m/>
    <m/>
    <m/>
    <m/>
    <m/>
    <m/>
    <m/>
    <m/>
    <m/>
    <m/>
    <x v="9"/>
    <d v="2016-01-15T14:52:00"/>
    <s v="Patch Set 7:\n\nPassed Klocwork code analyzing test. No CRITICAL issue in this patch. Auto reported by kwscan@psi-build5.bj.intel.com"/>
    <m/>
    <m/>
    <s v="ukri.niemimuukko@intel.com"/>
    <x v="0"/>
    <x v="5"/>
    <s v=""/>
    <x v="2"/>
    <s v=""/>
    <s v=""/>
    <s v=""/>
    <s v=""/>
    <s v=""/>
    <s v=""/>
    <s v=""/>
    <x v="0"/>
    <x v="0"/>
    <x v="0"/>
  </r>
  <r>
    <x v="55"/>
    <m/>
    <m/>
    <m/>
    <m/>
    <m/>
    <m/>
    <m/>
    <m/>
    <m/>
    <m/>
    <m/>
    <x v="9"/>
    <d v="2016-01-15T15:05:00"/>
    <s v="Patch Set 7: Code-Review+1\n\nPassed PIT; ready for merge"/>
    <m/>
    <m/>
    <s v="ukri.niemimuukko@intel.com"/>
    <x v="0"/>
    <x v="5"/>
    <s v=""/>
    <x v="2"/>
    <s v=""/>
    <s v=""/>
    <s v=""/>
    <s v=""/>
    <s v=""/>
    <s v=""/>
    <s v=""/>
    <x v="0"/>
    <x v="0"/>
    <x v="0"/>
  </r>
  <r>
    <x v="55"/>
    <m/>
    <m/>
    <m/>
    <m/>
    <m/>
    <m/>
    <m/>
    <m/>
    <m/>
    <m/>
    <m/>
    <x v="9"/>
    <d v="2016-01-15T17:54:00"/>
    <s v="Patch Set 7:\n\nPassed Klocwork code analyzing test. No CRITICAL issue in this patch. Auto reported by kwscan@andr-val-srv0.bj.intel.com"/>
    <m/>
    <m/>
    <s v="ukri.niemimuukko@intel.com"/>
    <x v="0"/>
    <x v="5"/>
    <s v=""/>
    <x v="2"/>
    <s v=""/>
    <s v=""/>
    <s v=""/>
    <s v=""/>
    <s v=""/>
    <s v=""/>
    <s v=""/>
    <x v="0"/>
    <x v="0"/>
    <x v="0"/>
  </r>
  <r>
    <x v="56"/>
    <n v="92993"/>
    <s v="vied-viedandr-camera3hal"/>
    <s v="platform/android/main"/>
    <s v="I2c7baab81b3adda696050f0250aaf2e6080bc200"/>
    <s v="ukri.niemimuukko@intel.com"/>
    <s v="MERGED"/>
    <s v="c3:3a: fix robustness test AF failures"/>
    <s v="c3:3a: fix robustness test AF failures\n\nThis fixes multiple issues in the AF state machine; and adds\nbetter traces which show the state machine class information also.\n\nIssue 1:\nAuto state machine was reporting state transitions even\nthough a scan was not triggered. This adds protection to the\nresult processing based on mLastActiveTriggerTime. Then states\nonly change from either triggers; or after starting a scan.\n\nIssue 2:\nIn continuous picture mode we did not issue a request for AIQ\nto trigger a new scan; after a cancel trigger is sent to us. This\nadds triggering a new scan; but unfortunately; AIQ does not even\ntry to move the lens. It is stuck at \idle\. However; now we at\nleast try.\n\nIssue 3:\nContinuous picture mode is stuck at INACTIVE state after cancel\ntrigger. At that point the scan is supposed to be restarted; and\nreporting INACTIVE is useless in the first place. It is\nexplicitly mentioned in the documentation; that INACTIVE may be\nskipped. So we skip to either SCAN / FOCUSED / UNFOCUSED which\nis a WA for the fact that triggering a scan does not work.\n\nIssue 4:\nContinuous picture mode is not doing proper transitions during\ntrigger start. If we are passive focused; or passive unfocused;\nor in the middle of a passive scan; we are supposed to move to\na locked state (focused or unfocused). This is now added.\n\nChange-Id: I2c7baab81b3adda696050f0250aaf2e6080bc200\nTracked-On: #R506535\nSigned-off-by: Ukri Niemimuukko &lt;ukri.niemimuukko@intel.com&gt;\nSigned-off-by: Lassi V盲盲t盲m枚inen &lt;lassi.i.vaatamoinen@intel.com&gt;\nReviewed-on: https://icggerrit.ir.intel.com/92993\nReviewed-by: Renwei Wu &lt;renwei.wu@intel.com&gt;\nReviewed-by: Arnaud Mandy &lt;arnaud.mandy@intel.com&gt;\nReviewed-by: Jukka O Kaartinen &lt;jukka.o.kaartinen@intel.com&gt;\nValidation-Android: Wei Tao &lt;wei.tao@intel.com&gt;\nBuild: Dessert M BXT RVP (SC)\nBuild: Dessert M CHT FFD (SC)\nValidation-Android: Dessert M CHT FFD (SC)\nIntegrator: WeiX Meng &lt;weix.meng@intel.com&gt;\nReviewed-by: WeiX Meng &lt;weix.meng@intel.com&gt;\n"/>
    <d v="2015-12-31T20:56:00"/>
    <d v="2016-01-15T15:32:00"/>
    <s v="common"/>
    <x v="6"/>
    <d v="2015-12-31T20:56:00"/>
    <s v="Uploaded patch set 1."/>
    <m/>
    <s v="arnaud.mandy@intel.com;weix.meng@intel.com;renwei.wu@intel.com;huitao.cao@intel.com;kaisa.taipale@intel.com;lassi.i.vaatamoinen@intel.com;miguel.verdu@intel.com;jukka.o.kaartinen@intel.com;"/>
    <s v="ukri.niemimuukko@intel.com"/>
    <x v="0"/>
    <x v="0"/>
    <s v="16'ww3"/>
    <x v="2"/>
    <n v="1"/>
    <n v="0"/>
    <n v="1"/>
    <n v="0"/>
    <n v="1"/>
    <n v="21"/>
    <n v="1"/>
    <x v="0"/>
    <x v="0"/>
    <x v="0"/>
  </r>
  <r>
    <x v="56"/>
    <m/>
    <m/>
    <m/>
    <m/>
    <m/>
    <m/>
    <m/>
    <m/>
    <m/>
    <m/>
    <m/>
    <x v="6"/>
    <d v="2015-12-31T20:56:00"/>
    <s v="Patch Set 1:\n\nPatchset Created: CI job has been scheduled."/>
    <m/>
    <m/>
    <s v="ukri.niemimuukko@intel.com"/>
    <x v="0"/>
    <x v="0"/>
    <s v=""/>
    <x v="2"/>
    <s v=""/>
    <s v=""/>
    <s v=""/>
    <s v=""/>
    <s v=""/>
    <s v=""/>
    <s v=""/>
    <x v="0"/>
    <x v="0"/>
    <x v="0"/>
  </r>
  <r>
    <x v="56"/>
    <m/>
    <m/>
    <m/>
    <m/>
    <m/>
    <m/>
    <m/>
    <m/>
    <m/>
    <m/>
    <m/>
    <x v="6"/>
    <d v="2015-12-31T21:21:00"/>
    <s v="Patch Set 1: Code-Review+1"/>
    <m/>
    <m/>
    <s v="ukri.niemimuukko@intel.com"/>
    <x v="0"/>
    <x v="0"/>
    <s v=""/>
    <x v="2"/>
    <s v=""/>
    <s v=""/>
    <s v=""/>
    <s v=""/>
    <s v=""/>
    <s v=""/>
    <s v=""/>
    <x v="0"/>
    <x v="0"/>
    <x v="0"/>
  </r>
  <r>
    <x v="56"/>
    <m/>
    <m/>
    <m/>
    <m/>
    <m/>
    <m/>
    <m/>
    <m/>
    <m/>
    <m/>
    <m/>
    <x v="2"/>
    <d v="2015-12-31T21:28:00"/>
    <s v="Patch Set 1: Code-Review+1"/>
    <m/>
    <m/>
    <s v="ukri.niemimuukko@intel.com"/>
    <x v="0"/>
    <x v="1"/>
    <s v=""/>
    <x v="2"/>
    <s v=""/>
    <s v=""/>
    <s v=""/>
    <s v=""/>
    <s v=""/>
    <s v=""/>
    <s v=""/>
    <x v="0"/>
    <x v="0"/>
    <x v="0"/>
  </r>
  <r>
    <x v="56"/>
    <m/>
    <m/>
    <m/>
    <m/>
    <m/>
    <m/>
    <m/>
    <m/>
    <m/>
    <m/>
    <m/>
    <x v="0"/>
    <d v="2015-12-31T21:36:00"/>
    <s v="Patch Set 1: Code-Review+1\n\n(1 comment)"/>
    <s v="line233 :&quot;there are methods to convert to string if you want to improve the readability of the trace&quot;"/>
    <m/>
    <s v="ukri.niemimuukko@intel.com"/>
    <x v="0"/>
    <x v="1"/>
    <s v=""/>
    <x v="2"/>
    <s v=""/>
    <s v=""/>
    <s v=""/>
    <s v=""/>
    <s v=""/>
    <s v=""/>
    <s v=""/>
    <x v="0"/>
    <x v="0"/>
    <x v="0"/>
  </r>
  <r>
    <x v="56"/>
    <m/>
    <m/>
    <m/>
    <m/>
    <m/>
    <m/>
    <m/>
    <m/>
    <m/>
    <m/>
    <m/>
    <x v="12"/>
    <d v="2015-12-31T21:41:00"/>
    <s v="Patch Set 1: Code-Review-1\n\n(3 comments)\n\nI did not delve too deeply into the statemachine. Just minor improvement ideas for pointing future readers to right info."/>
    <s v="line22 :&quot;This description applies to \&quot;Auto\&quot; mode as well. Add a mention; as all others nicely have one.&quot; line455 :&quot;Could rephrase this to \&quot;continuous AF\&quot; to point the reader towards right documentation; just in case.. (Although; should be implicit from the class we are in)&quot; line539 :&quot;add a TODO to hilight removal&quot;"/>
    <m/>
    <s v="ukri.niemimuukko@intel.com"/>
    <x v="0"/>
    <x v="1"/>
    <s v=""/>
    <x v="2"/>
    <s v=""/>
    <s v=""/>
    <s v=""/>
    <s v=""/>
    <s v=""/>
    <s v=""/>
    <s v=""/>
    <x v="1"/>
    <x v="0"/>
    <x v="0"/>
  </r>
  <r>
    <x v="56"/>
    <m/>
    <m/>
    <m/>
    <m/>
    <m/>
    <m/>
    <m/>
    <m/>
    <m/>
    <m/>
    <m/>
    <x v="14"/>
    <d v="2015-12-31T22:37:00"/>
    <s v="Patch Set 1: Validation-Android+1\n\nreceive smoke test"/>
    <m/>
    <m/>
    <s v="ukri.niemimuukko@intel.com"/>
    <x v="0"/>
    <x v="5"/>
    <s v=""/>
    <x v="2"/>
    <s v=""/>
    <s v=""/>
    <s v=""/>
    <s v=""/>
    <s v=""/>
    <s v=""/>
    <s v=""/>
    <x v="0"/>
    <x v="1"/>
    <x v="0"/>
  </r>
  <r>
    <x v="56"/>
    <m/>
    <m/>
    <m/>
    <m/>
    <m/>
    <m/>
    <m/>
    <m/>
    <m/>
    <m/>
    <m/>
    <x v="6"/>
    <d v="2016-01-04T15:00:00"/>
    <s v="Uploaded patch set 2."/>
    <m/>
    <m/>
    <s v="ukri.niemimuukko@intel.com"/>
    <x v="0"/>
    <x v="0"/>
    <s v=""/>
    <x v="2"/>
    <s v=""/>
    <s v=""/>
    <s v=""/>
    <s v=""/>
    <s v=""/>
    <s v=""/>
    <s v=""/>
    <x v="0"/>
    <x v="0"/>
    <x v="0"/>
  </r>
  <r>
    <x v="56"/>
    <m/>
    <m/>
    <m/>
    <m/>
    <m/>
    <m/>
    <m/>
    <m/>
    <m/>
    <m/>
    <m/>
    <x v="6"/>
    <d v="2016-01-04T15:00:00"/>
    <s v="Patch Set 2:\n\nPatchset Created: CI job has been scheduled."/>
    <m/>
    <m/>
    <s v="ukri.niemimuukko@intel.com"/>
    <x v="0"/>
    <x v="0"/>
    <s v=""/>
    <x v="2"/>
    <s v=""/>
    <s v=""/>
    <s v=""/>
    <s v=""/>
    <s v=""/>
    <s v=""/>
    <s v=""/>
    <x v="0"/>
    <x v="0"/>
    <x v="0"/>
  </r>
  <r>
    <x v="56"/>
    <m/>
    <m/>
    <m/>
    <m/>
    <m/>
    <m/>
    <m/>
    <m/>
    <m/>
    <m/>
    <m/>
    <x v="12"/>
    <d v="2016-01-04T16:20:00"/>
    <s v="Patch Set 2: Code-Review+1"/>
    <m/>
    <m/>
    <s v="ukri.niemimuukko@intel.com"/>
    <x v="0"/>
    <x v="1"/>
    <s v=""/>
    <x v="2"/>
    <s v=""/>
    <s v=""/>
    <s v=""/>
    <s v=""/>
    <s v=""/>
    <s v=""/>
    <s v=""/>
    <x v="0"/>
    <x v="0"/>
    <x v="0"/>
  </r>
  <r>
    <x v="56"/>
    <m/>
    <m/>
    <m/>
    <m/>
    <m/>
    <m/>
    <m/>
    <m/>
    <m/>
    <m/>
    <m/>
    <x v="6"/>
    <d v="2016-01-04T16:34:00"/>
    <s v="Patch Set 2: Code-Review+1"/>
    <m/>
    <m/>
    <s v="ukri.niemimuukko@intel.com"/>
    <x v="0"/>
    <x v="0"/>
    <s v=""/>
    <x v="2"/>
    <s v=""/>
    <s v=""/>
    <s v=""/>
    <s v=""/>
    <s v=""/>
    <s v=""/>
    <s v=""/>
    <x v="0"/>
    <x v="0"/>
    <x v="0"/>
  </r>
  <r>
    <x v="56"/>
    <m/>
    <m/>
    <m/>
    <m/>
    <m/>
    <m/>
    <m/>
    <m/>
    <m/>
    <m/>
    <m/>
    <x v="6"/>
    <d v="2016-01-04T16:41:00"/>
    <s v="Uploaded patch set 3: Patch Set 2 was rebased."/>
    <m/>
    <m/>
    <s v="ukri.niemimuukko@intel.com"/>
    <x v="0"/>
    <x v="0"/>
    <s v=""/>
    <x v="2"/>
    <s v=""/>
    <s v=""/>
    <s v=""/>
    <s v=""/>
    <s v=""/>
    <s v=""/>
    <s v=""/>
    <x v="0"/>
    <x v="0"/>
    <x v="0"/>
  </r>
  <r>
    <x v="56"/>
    <m/>
    <m/>
    <m/>
    <m/>
    <m/>
    <m/>
    <m/>
    <m/>
    <m/>
    <m/>
    <m/>
    <x v="6"/>
    <d v="2016-01-04T16:41:00"/>
    <s v="Patch Set 3:\n\nPatchset Created: CI job has been scheduled."/>
    <m/>
    <m/>
    <s v="ukri.niemimuukko@intel.com"/>
    <x v="0"/>
    <x v="0"/>
    <s v=""/>
    <x v="2"/>
    <s v=""/>
    <s v=""/>
    <s v=""/>
    <s v=""/>
    <s v=""/>
    <s v=""/>
    <s v=""/>
    <x v="0"/>
    <x v="0"/>
    <x v="0"/>
  </r>
  <r>
    <x v="56"/>
    <m/>
    <m/>
    <m/>
    <m/>
    <m/>
    <m/>
    <m/>
    <m/>
    <m/>
    <m/>
    <m/>
    <x v="14"/>
    <d v="2016-01-04T16:43:00"/>
    <s v="Patch Set 3: Validation-Android+1\n\nreceive smoke test"/>
    <m/>
    <m/>
    <s v="ukri.niemimuukko@intel.com"/>
    <x v="0"/>
    <x v="5"/>
    <s v=""/>
    <x v="2"/>
    <s v=""/>
    <s v=""/>
    <s v=""/>
    <s v=""/>
    <s v=""/>
    <s v=""/>
    <s v=""/>
    <x v="0"/>
    <x v="1"/>
    <x v="0"/>
  </r>
  <r>
    <x v="56"/>
    <m/>
    <m/>
    <m/>
    <m/>
    <m/>
    <m/>
    <m/>
    <m/>
    <m/>
    <m/>
    <m/>
    <x v="11"/>
    <d v="2016-01-04T16:46:00"/>
    <s v="Patch Set 3: Code-Review+1"/>
    <m/>
    <m/>
    <s v="ukri.niemimuukko@intel.com"/>
    <x v="0"/>
    <x v="1"/>
    <s v=""/>
    <x v="2"/>
    <s v=""/>
    <s v=""/>
    <s v=""/>
    <s v=""/>
    <s v=""/>
    <s v=""/>
    <s v=""/>
    <x v="0"/>
    <x v="0"/>
    <x v="0"/>
  </r>
  <r>
    <x v="56"/>
    <m/>
    <m/>
    <m/>
    <m/>
    <m/>
    <m/>
    <m/>
    <m/>
    <m/>
    <m/>
    <m/>
    <x v="7"/>
    <d v="2016-01-05T17:45:00"/>
    <s v="Patch Set 3: Code-Review+1"/>
    <m/>
    <m/>
    <s v="ukri.niemimuukko@intel.com"/>
    <x v="0"/>
    <x v="4"/>
    <s v=""/>
    <x v="2"/>
    <s v=""/>
    <s v=""/>
    <s v=""/>
    <s v=""/>
    <s v=""/>
    <s v=""/>
    <s v=""/>
    <x v="0"/>
    <x v="0"/>
    <x v="0"/>
  </r>
  <r>
    <x v="56"/>
    <m/>
    <m/>
    <m/>
    <m/>
    <m/>
    <m/>
    <m/>
    <m/>
    <m/>
    <m/>
    <m/>
    <x v="12"/>
    <d v="2016-01-05T19:25:00"/>
    <s v="Uploaded patch set 4."/>
    <m/>
    <m/>
    <s v="ukri.niemimuukko@intel.com"/>
    <x v="0"/>
    <x v="1"/>
    <s v=""/>
    <x v="2"/>
    <s v=""/>
    <s v=""/>
    <s v=""/>
    <s v=""/>
    <s v=""/>
    <s v=""/>
    <s v=""/>
    <x v="0"/>
    <x v="0"/>
    <x v="0"/>
  </r>
  <r>
    <x v="56"/>
    <m/>
    <m/>
    <m/>
    <m/>
    <m/>
    <m/>
    <m/>
    <m/>
    <m/>
    <m/>
    <m/>
    <x v="12"/>
    <d v="2016-01-05T19:25:00"/>
    <s v="Patch Set 4:\n\nPatchset Created: CI job has been scheduled."/>
    <m/>
    <m/>
    <s v="ukri.niemimuukko@intel.com"/>
    <x v="0"/>
    <x v="1"/>
    <s v=""/>
    <x v="2"/>
    <s v=""/>
    <s v=""/>
    <s v=""/>
    <s v=""/>
    <s v=""/>
    <s v=""/>
    <s v=""/>
    <x v="0"/>
    <x v="0"/>
    <x v="0"/>
  </r>
  <r>
    <x v="56"/>
    <m/>
    <m/>
    <m/>
    <m/>
    <m/>
    <m/>
    <m/>
    <m/>
    <m/>
    <m/>
    <m/>
    <x v="12"/>
    <d v="2016-01-05T19:31:00"/>
    <s v="Patch Set 4: Code-Review+1\n\nrebased"/>
    <m/>
    <m/>
    <s v="ukri.niemimuukko@intel.com"/>
    <x v="0"/>
    <x v="1"/>
    <s v=""/>
    <x v="2"/>
    <s v=""/>
    <s v=""/>
    <s v=""/>
    <s v=""/>
    <s v=""/>
    <s v=""/>
    <s v=""/>
    <x v="0"/>
    <x v="0"/>
    <x v="0"/>
  </r>
  <r>
    <x v="56"/>
    <m/>
    <m/>
    <m/>
    <m/>
    <m/>
    <m/>
    <m/>
    <m/>
    <m/>
    <m/>
    <m/>
    <x v="14"/>
    <d v="2016-01-05T19:31:00"/>
    <s v="Patch Set 4: Validation-Android+1\n\nreceive smoke test"/>
    <m/>
    <m/>
    <s v="ukri.niemimuukko@intel.com"/>
    <x v="0"/>
    <x v="5"/>
    <s v=""/>
    <x v="2"/>
    <s v=""/>
    <s v=""/>
    <s v=""/>
    <s v=""/>
    <s v=""/>
    <s v=""/>
    <s v=""/>
    <x v="0"/>
    <x v="1"/>
    <x v="0"/>
  </r>
  <r>
    <x v="56"/>
    <m/>
    <m/>
    <m/>
    <m/>
    <m/>
    <m/>
    <m/>
    <m/>
    <m/>
    <m/>
    <m/>
    <x v="3"/>
    <d v="2016-01-05T19:48:00"/>
    <s v="Patch Set 4: Code-Review+1"/>
    <m/>
    <m/>
    <s v="ukri.niemimuukko@intel.com"/>
    <x v="0"/>
    <x v="2"/>
    <s v=""/>
    <x v="2"/>
    <s v=""/>
    <s v=""/>
    <s v=""/>
    <s v=""/>
    <s v=""/>
    <s v=""/>
    <s v=""/>
    <x v="0"/>
    <x v="0"/>
    <x v="0"/>
  </r>
  <r>
    <x v="56"/>
    <m/>
    <m/>
    <m/>
    <m/>
    <m/>
    <m/>
    <m/>
    <m/>
    <m/>
    <m/>
    <m/>
    <x v="6"/>
    <d v="2016-01-05T19:59:00"/>
    <s v="Patch Set 4: Code-Review+1"/>
    <m/>
    <m/>
    <s v="ukri.niemimuukko@intel.com"/>
    <x v="0"/>
    <x v="0"/>
    <s v=""/>
    <x v="2"/>
    <s v=""/>
    <s v=""/>
    <s v=""/>
    <s v=""/>
    <s v=""/>
    <s v=""/>
    <s v=""/>
    <x v="0"/>
    <x v="0"/>
    <x v="0"/>
  </r>
  <r>
    <x v="56"/>
    <m/>
    <m/>
    <m/>
    <m/>
    <m/>
    <m/>
    <m/>
    <m/>
    <m/>
    <m/>
    <m/>
    <x v="12"/>
    <d v="2016-01-05T20:00:00"/>
    <s v="Patch Set 4: Approver+1"/>
    <m/>
    <m/>
    <s v="ukri.niemimuukko@intel.com"/>
    <x v="0"/>
    <x v="1"/>
    <s v=""/>
    <x v="2"/>
    <s v=""/>
    <s v=""/>
    <s v=""/>
    <s v=""/>
    <s v=""/>
    <s v=""/>
    <s v=""/>
    <x v="0"/>
    <x v="0"/>
    <x v="0"/>
  </r>
  <r>
    <x v="56"/>
    <m/>
    <m/>
    <m/>
    <m/>
    <m/>
    <m/>
    <m/>
    <m/>
    <m/>
    <m/>
    <m/>
    <x v="12"/>
    <d v="2016-01-05T20:00:00"/>
    <s v="Topic changed from flash-ae-mode to bxt_preint_HEAD"/>
    <m/>
    <m/>
    <s v="ukri.niemimuukko@intel.com"/>
    <x v="0"/>
    <x v="1"/>
    <s v=""/>
    <x v="2"/>
    <s v=""/>
    <s v=""/>
    <s v=""/>
    <s v=""/>
    <s v=""/>
    <s v=""/>
    <s v=""/>
    <x v="0"/>
    <x v="0"/>
    <x v="0"/>
  </r>
  <r>
    <x v="56"/>
    <m/>
    <m/>
    <m/>
    <m/>
    <m/>
    <m/>
    <m/>
    <m/>
    <m/>
    <m/>
    <m/>
    <x v="9"/>
    <d v="2016-01-06T14:05:00"/>
    <s v="Patch Set 4: Integrator+1\n\nIntegrator +1; patch will be add to PT; please no change now"/>
    <m/>
    <m/>
    <s v="ukri.niemimuukko@intel.com"/>
    <x v="0"/>
    <x v="5"/>
    <s v=""/>
    <x v="2"/>
    <s v=""/>
    <s v=""/>
    <s v=""/>
    <s v=""/>
    <s v=""/>
    <s v=""/>
    <s v=""/>
    <x v="0"/>
    <x v="1"/>
    <x v="0"/>
  </r>
  <r>
    <x v="56"/>
    <m/>
    <m/>
    <m/>
    <m/>
    <m/>
    <m/>
    <m/>
    <m/>
    <m/>
    <m/>
    <m/>
    <x v="9"/>
    <d v="2016-01-06T19:40:00"/>
    <s v="Patch Set 4:\n\nPassed Klocwork code analyzing test. No CRITICAL issue in this patch. Auto reported by kwscan@andr-val-srv0.bj.intel.com"/>
    <m/>
    <m/>
    <s v="ukri.niemimuukko@intel.com"/>
    <x v="0"/>
    <x v="5"/>
    <s v=""/>
    <x v="2"/>
    <s v=""/>
    <s v=""/>
    <s v=""/>
    <s v=""/>
    <s v=""/>
    <s v=""/>
    <s v=""/>
    <x v="0"/>
    <x v="0"/>
    <x v="0"/>
  </r>
  <r>
    <x v="56"/>
    <m/>
    <m/>
    <m/>
    <m/>
    <m/>
    <m/>
    <m/>
    <m/>
    <m/>
    <m/>
    <m/>
    <x v="0"/>
    <d v="2016-01-07T16:52:00"/>
    <s v="Topic changed from bxt_preint_HEAD to bxt_preint"/>
    <m/>
    <m/>
    <s v="ukri.niemimuukko@intel.com"/>
    <x v="0"/>
    <x v="1"/>
    <s v=""/>
    <x v="2"/>
    <s v=""/>
    <s v=""/>
    <s v=""/>
    <s v=""/>
    <s v=""/>
    <s v=""/>
    <s v=""/>
    <x v="0"/>
    <x v="0"/>
    <x v="0"/>
  </r>
  <r>
    <x v="56"/>
    <m/>
    <m/>
    <m/>
    <m/>
    <m/>
    <m/>
    <m/>
    <m/>
    <m/>
    <m/>
    <m/>
    <x v="0"/>
    <d v="2016-01-07T16:55:00"/>
    <s v="Topic changed from bxt_preint to ukri"/>
    <m/>
    <m/>
    <s v="ukri.niemimuukko@intel.com"/>
    <x v="0"/>
    <x v="1"/>
    <s v=""/>
    <x v="2"/>
    <s v=""/>
    <s v=""/>
    <s v=""/>
    <s v=""/>
    <s v=""/>
    <s v=""/>
    <s v=""/>
    <x v="0"/>
    <x v="0"/>
    <x v="0"/>
  </r>
  <r>
    <x v="56"/>
    <m/>
    <m/>
    <m/>
    <m/>
    <m/>
    <m/>
    <m/>
    <m/>
    <m/>
    <m/>
    <m/>
    <x v="9"/>
    <d v="2016-01-07T17:44:00"/>
    <s v="Patch Set 4: Integrator-1\n\nPIT test failed with sofia&amp;BXT regression"/>
    <m/>
    <m/>
    <s v="ukri.niemimuukko@intel.com"/>
    <x v="0"/>
    <x v="5"/>
    <s v=""/>
    <x v="2"/>
    <s v=""/>
    <s v=""/>
    <s v=""/>
    <s v=""/>
    <s v=""/>
    <s v=""/>
    <s v=""/>
    <x v="0"/>
    <x v="1"/>
    <x v="0"/>
  </r>
  <r>
    <x v="56"/>
    <m/>
    <m/>
    <m/>
    <m/>
    <m/>
    <m/>
    <m/>
    <m/>
    <m/>
    <m/>
    <m/>
    <x v="12"/>
    <d v="2016-01-07T18:11:00"/>
    <s v="Uploaded patch set 5: Patch Set 4 was rebased."/>
    <m/>
    <m/>
    <s v="ukri.niemimuukko@intel.com"/>
    <x v="0"/>
    <x v="1"/>
    <s v=""/>
    <x v="2"/>
    <s v=""/>
    <s v=""/>
    <s v=""/>
    <s v=""/>
    <s v=""/>
    <s v=""/>
    <s v=""/>
    <x v="0"/>
    <x v="0"/>
    <x v="0"/>
  </r>
  <r>
    <x v="56"/>
    <m/>
    <m/>
    <m/>
    <m/>
    <m/>
    <m/>
    <m/>
    <m/>
    <m/>
    <m/>
    <m/>
    <x v="12"/>
    <d v="2016-01-07T18:11:00"/>
    <s v="Patch Set 5:\n\nPatchset Created: CI job has been scheduled."/>
    <m/>
    <m/>
    <s v="ukri.niemimuukko@intel.com"/>
    <x v="0"/>
    <x v="1"/>
    <s v=""/>
    <x v="2"/>
    <s v=""/>
    <s v=""/>
    <s v=""/>
    <s v=""/>
    <s v=""/>
    <s v=""/>
    <s v=""/>
    <x v="0"/>
    <x v="0"/>
    <x v="0"/>
  </r>
  <r>
    <x v="56"/>
    <m/>
    <m/>
    <m/>
    <m/>
    <m/>
    <m/>
    <m/>
    <m/>
    <m/>
    <m/>
    <m/>
    <x v="14"/>
    <d v="2016-01-07T18:16:00"/>
    <s v="Patch Set 5: Validation-Android+1\n\nreceive smoke test"/>
    <m/>
    <m/>
    <s v="ukri.niemimuukko@intel.com"/>
    <x v="0"/>
    <x v="5"/>
    <s v=""/>
    <x v="2"/>
    <s v=""/>
    <s v=""/>
    <s v=""/>
    <s v=""/>
    <s v=""/>
    <s v=""/>
    <s v=""/>
    <x v="0"/>
    <x v="1"/>
    <x v="0"/>
  </r>
  <r>
    <x v="56"/>
    <m/>
    <m/>
    <m/>
    <m/>
    <m/>
    <m/>
    <m/>
    <m/>
    <m/>
    <m/>
    <m/>
    <x v="12"/>
    <d v="2016-01-07T20:25:00"/>
    <s v="Uploaded patch set 6: Patch Set 5 was rebased."/>
    <m/>
    <m/>
    <s v="ukri.niemimuukko@intel.com"/>
    <x v="0"/>
    <x v="1"/>
    <s v=""/>
    <x v="2"/>
    <s v=""/>
    <s v=""/>
    <s v=""/>
    <s v=""/>
    <s v=""/>
    <s v=""/>
    <s v=""/>
    <x v="0"/>
    <x v="0"/>
    <x v="0"/>
  </r>
  <r>
    <x v="56"/>
    <m/>
    <m/>
    <m/>
    <m/>
    <m/>
    <m/>
    <m/>
    <m/>
    <m/>
    <m/>
    <m/>
    <x v="12"/>
    <d v="2016-01-07T20:25:00"/>
    <s v="Patch Set 6:\n\nPatchset Created: CI job has been scheduled."/>
    <m/>
    <m/>
    <s v="ukri.niemimuukko@intel.com"/>
    <x v="0"/>
    <x v="1"/>
    <s v=""/>
    <x v="2"/>
    <s v=""/>
    <s v=""/>
    <s v=""/>
    <s v=""/>
    <s v=""/>
    <s v=""/>
    <s v=""/>
    <x v="0"/>
    <x v="0"/>
    <x v="0"/>
  </r>
  <r>
    <x v="56"/>
    <m/>
    <m/>
    <m/>
    <m/>
    <m/>
    <m/>
    <m/>
    <m/>
    <m/>
    <m/>
    <m/>
    <x v="14"/>
    <d v="2016-01-07T20:27:00"/>
    <s v="Patch Set 6: Validation-Android+1\n\nreceive smoke test"/>
    <m/>
    <m/>
    <s v="ukri.niemimuukko@intel.com"/>
    <x v="0"/>
    <x v="5"/>
    <s v=""/>
    <x v="2"/>
    <s v=""/>
    <s v=""/>
    <s v=""/>
    <s v=""/>
    <s v=""/>
    <s v=""/>
    <s v=""/>
    <x v="0"/>
    <x v="1"/>
    <x v="0"/>
  </r>
  <r>
    <x v="56"/>
    <m/>
    <m/>
    <m/>
    <m/>
    <m/>
    <m/>
    <m/>
    <m/>
    <m/>
    <m/>
    <m/>
    <x v="12"/>
    <d v="2016-01-08T15:48:00"/>
    <s v="Uploaded patch set 7: Patch Set 6 was rebased."/>
    <m/>
    <m/>
    <s v="ukri.niemimuukko@intel.com"/>
    <x v="0"/>
    <x v="1"/>
    <s v=""/>
    <x v="2"/>
    <s v=""/>
    <s v=""/>
    <s v=""/>
    <s v=""/>
    <s v=""/>
    <s v=""/>
    <s v=""/>
    <x v="0"/>
    <x v="0"/>
    <x v="0"/>
  </r>
  <r>
    <x v="56"/>
    <m/>
    <m/>
    <m/>
    <m/>
    <m/>
    <m/>
    <m/>
    <m/>
    <m/>
    <m/>
    <m/>
    <x v="12"/>
    <d v="2016-01-08T15:48:00"/>
    <s v="Patch Set 7:\n\nPatchset Created: CI job has been scheduled."/>
    <m/>
    <m/>
    <s v="ukri.niemimuukko@intel.com"/>
    <x v="0"/>
    <x v="1"/>
    <s v=""/>
    <x v="2"/>
    <s v=""/>
    <s v=""/>
    <s v=""/>
    <s v=""/>
    <s v=""/>
    <s v=""/>
    <s v=""/>
    <x v="0"/>
    <x v="0"/>
    <x v="0"/>
  </r>
  <r>
    <x v="56"/>
    <m/>
    <m/>
    <m/>
    <m/>
    <m/>
    <m/>
    <m/>
    <m/>
    <m/>
    <m/>
    <m/>
    <x v="14"/>
    <d v="2016-01-08T15:59:00"/>
    <s v="Patch Set 7: Validation-Android+1\n\nreceive smoke test"/>
    <m/>
    <m/>
    <s v="ukri.niemimuukko@intel.com"/>
    <x v="0"/>
    <x v="5"/>
    <s v=""/>
    <x v="2"/>
    <s v=""/>
    <s v=""/>
    <s v=""/>
    <s v=""/>
    <s v=""/>
    <s v=""/>
    <s v=""/>
    <x v="0"/>
    <x v="1"/>
    <x v="0"/>
  </r>
  <r>
    <x v="56"/>
    <m/>
    <m/>
    <m/>
    <m/>
    <m/>
    <m/>
    <m/>
    <m/>
    <m/>
    <m/>
    <m/>
    <x v="6"/>
    <d v="2016-01-08T15:59:00"/>
    <s v="Uploaded patch set 8."/>
    <m/>
    <m/>
    <s v="ukri.niemimuukko@intel.com"/>
    <x v="0"/>
    <x v="0"/>
    <s v=""/>
    <x v="2"/>
    <s v=""/>
    <s v=""/>
    <s v=""/>
    <s v=""/>
    <s v=""/>
    <s v=""/>
    <s v=""/>
    <x v="0"/>
    <x v="0"/>
    <x v="0"/>
  </r>
  <r>
    <x v="56"/>
    <m/>
    <m/>
    <m/>
    <m/>
    <m/>
    <m/>
    <m/>
    <m/>
    <m/>
    <m/>
    <m/>
    <x v="6"/>
    <d v="2016-01-08T15:59:00"/>
    <s v="Patch Set 8:\n\nPatchset Created: CI job has been scheduled."/>
    <m/>
    <m/>
    <s v="ukri.niemimuukko@intel.com"/>
    <x v="0"/>
    <x v="0"/>
    <s v=""/>
    <x v="2"/>
    <s v=""/>
    <s v=""/>
    <s v=""/>
    <s v=""/>
    <s v=""/>
    <s v=""/>
    <s v=""/>
    <x v="0"/>
    <x v="0"/>
    <x v="0"/>
  </r>
  <r>
    <x v="56"/>
    <m/>
    <m/>
    <m/>
    <m/>
    <m/>
    <m/>
    <m/>
    <m/>
    <m/>
    <m/>
    <m/>
    <x v="1"/>
    <d v="2016-01-08T17:00:00"/>
    <s v="Patch Set 8: Code-Review+1"/>
    <m/>
    <m/>
    <s v="ukri.niemimuukko@intel.com"/>
    <x v="0"/>
    <x v="1"/>
    <s v=""/>
    <x v="2"/>
    <s v=""/>
    <s v=""/>
    <s v=""/>
    <s v=""/>
    <s v=""/>
    <s v=""/>
    <s v=""/>
    <x v="0"/>
    <x v="0"/>
    <x v="0"/>
  </r>
  <r>
    <x v="56"/>
    <m/>
    <m/>
    <m/>
    <m/>
    <m/>
    <m/>
    <m/>
    <m/>
    <m/>
    <m/>
    <m/>
    <x v="6"/>
    <d v="2016-01-08T20:02:00"/>
    <s v="Patch Set 9:\n\nPatchset Created: CI job has been scheduled."/>
    <m/>
    <m/>
    <s v="ukri.niemimuukko@intel.com"/>
    <x v="0"/>
    <x v="0"/>
    <s v=""/>
    <x v="2"/>
    <s v=""/>
    <s v=""/>
    <s v=""/>
    <s v=""/>
    <s v=""/>
    <s v=""/>
    <s v=""/>
    <x v="0"/>
    <x v="0"/>
    <x v="0"/>
  </r>
  <r>
    <x v="56"/>
    <m/>
    <m/>
    <m/>
    <m/>
    <m/>
    <m/>
    <m/>
    <m/>
    <m/>
    <m/>
    <m/>
    <x v="6"/>
    <d v="2016-01-08T20:02:00"/>
    <s v="Uploaded patch set 9: Patch Set 8 was rebased."/>
    <m/>
    <m/>
    <s v="ukri.niemimuukko@intel.com"/>
    <x v="0"/>
    <x v="0"/>
    <s v=""/>
    <x v="2"/>
    <s v=""/>
    <s v=""/>
    <s v=""/>
    <s v=""/>
    <s v=""/>
    <s v=""/>
    <s v=""/>
    <x v="0"/>
    <x v="0"/>
    <x v="0"/>
  </r>
  <r>
    <x v="56"/>
    <m/>
    <m/>
    <m/>
    <m/>
    <m/>
    <m/>
    <m/>
    <m/>
    <m/>
    <m/>
    <m/>
    <x v="6"/>
    <d v="2016-01-08T20:29:00"/>
    <s v="Uploaded patch set 10: Patch Set 9 was rebased."/>
    <m/>
    <m/>
    <s v="ukri.niemimuukko@intel.com"/>
    <x v="0"/>
    <x v="0"/>
    <s v=""/>
    <x v="2"/>
    <s v=""/>
    <s v=""/>
    <s v=""/>
    <s v=""/>
    <s v=""/>
    <s v=""/>
    <s v=""/>
    <x v="0"/>
    <x v="0"/>
    <x v="0"/>
  </r>
  <r>
    <x v="56"/>
    <m/>
    <m/>
    <m/>
    <m/>
    <m/>
    <m/>
    <m/>
    <m/>
    <m/>
    <m/>
    <m/>
    <x v="6"/>
    <d v="2016-01-08T20:29:00"/>
    <s v="Patch Set 10:\n\nPatchset Created: CI job has been scheduled."/>
    <m/>
    <m/>
    <s v="ukri.niemimuukko@intel.com"/>
    <x v="0"/>
    <x v="0"/>
    <s v=""/>
    <x v="2"/>
    <s v=""/>
    <s v=""/>
    <s v=""/>
    <s v=""/>
    <s v=""/>
    <s v=""/>
    <s v=""/>
    <x v="0"/>
    <x v="0"/>
    <x v="0"/>
  </r>
  <r>
    <x v="56"/>
    <m/>
    <m/>
    <m/>
    <m/>
    <m/>
    <m/>
    <m/>
    <m/>
    <m/>
    <m/>
    <m/>
    <x v="6"/>
    <d v="2016-01-08T20:32:00"/>
    <s v="Uploaded patch set 11: Patch Set 10 was rebased."/>
    <m/>
    <m/>
    <s v="ukri.niemimuukko@intel.com"/>
    <x v="0"/>
    <x v="0"/>
    <s v=""/>
    <x v="2"/>
    <s v=""/>
    <s v=""/>
    <s v=""/>
    <s v=""/>
    <s v=""/>
    <s v=""/>
    <s v=""/>
    <x v="0"/>
    <x v="0"/>
    <x v="0"/>
  </r>
  <r>
    <x v="56"/>
    <m/>
    <m/>
    <m/>
    <m/>
    <m/>
    <m/>
    <m/>
    <m/>
    <m/>
    <m/>
    <m/>
    <x v="6"/>
    <d v="2016-01-08T20:32:00"/>
    <s v="Patch Set 11:\n\nPatchset Created: CI job has been scheduled."/>
    <m/>
    <m/>
    <s v="ukri.niemimuukko@intel.com"/>
    <x v="0"/>
    <x v="0"/>
    <s v=""/>
    <x v="2"/>
    <s v=""/>
    <s v=""/>
    <s v=""/>
    <s v=""/>
    <s v=""/>
    <s v=""/>
    <s v=""/>
    <x v="0"/>
    <x v="0"/>
    <x v="0"/>
  </r>
  <r>
    <x v="56"/>
    <m/>
    <m/>
    <m/>
    <m/>
    <m/>
    <m/>
    <m/>
    <m/>
    <m/>
    <m/>
    <m/>
    <x v="14"/>
    <d v="2016-01-08T21:14:00"/>
    <s v="Patch Set 11: Validation-Android+1\n\nreceive smoke test"/>
    <m/>
    <m/>
    <s v="ukri.niemimuukko@intel.com"/>
    <x v="0"/>
    <x v="5"/>
    <s v=""/>
    <x v="2"/>
    <s v=""/>
    <s v=""/>
    <s v=""/>
    <s v=""/>
    <s v=""/>
    <s v=""/>
    <s v=""/>
    <x v="0"/>
    <x v="1"/>
    <x v="0"/>
  </r>
  <r>
    <x v="56"/>
    <m/>
    <m/>
    <m/>
    <m/>
    <m/>
    <m/>
    <m/>
    <m/>
    <m/>
    <m/>
    <m/>
    <x v="2"/>
    <d v="2016-01-08T21:17:00"/>
    <s v="Patch Set 11: Code-Review+1"/>
    <m/>
    <m/>
    <s v="ukri.niemimuukko@intel.com"/>
    <x v="0"/>
    <x v="1"/>
    <s v=""/>
    <x v="2"/>
    <s v=""/>
    <s v=""/>
    <s v=""/>
    <s v=""/>
    <s v=""/>
    <s v=""/>
    <s v=""/>
    <x v="0"/>
    <x v="0"/>
    <x v="0"/>
  </r>
  <r>
    <x v="56"/>
    <m/>
    <m/>
    <m/>
    <m/>
    <m/>
    <m/>
    <m/>
    <m/>
    <m/>
    <m/>
    <m/>
    <x v="12"/>
    <d v="2016-01-08T21:30:00"/>
    <s v="Patch Set 11: -Approver"/>
    <m/>
    <m/>
    <s v="ukri.niemimuukko@intel.com"/>
    <x v="0"/>
    <x v="1"/>
    <s v=""/>
    <x v="2"/>
    <s v=""/>
    <s v=""/>
    <s v=""/>
    <s v=""/>
    <s v=""/>
    <s v=""/>
    <s v=""/>
    <x v="0"/>
    <x v="0"/>
    <x v="0"/>
  </r>
  <r>
    <x v="56"/>
    <m/>
    <m/>
    <m/>
    <m/>
    <m/>
    <m/>
    <m/>
    <m/>
    <m/>
    <m/>
    <m/>
    <x v="9"/>
    <d v="2016-01-11T14:30:00"/>
    <s v="Patch Set 11: Integrator+1\n\nIntegrator +1; patch will be add to PT; please no change now"/>
    <m/>
    <m/>
    <s v="ukri.niemimuukko@intel.com"/>
    <x v="0"/>
    <x v="5"/>
    <s v=""/>
    <x v="2"/>
    <s v=""/>
    <s v=""/>
    <s v=""/>
    <s v=""/>
    <s v=""/>
    <s v=""/>
    <s v=""/>
    <x v="0"/>
    <x v="1"/>
    <x v="0"/>
  </r>
  <r>
    <x v="56"/>
    <m/>
    <m/>
    <m/>
    <m/>
    <m/>
    <m/>
    <m/>
    <m/>
    <m/>
    <m/>
    <m/>
    <x v="9"/>
    <d v="2016-01-11T16:10:00"/>
    <s v="Patch Set 11: -Integrator\n\nnot ready for PIT"/>
    <m/>
    <m/>
    <s v="ukri.niemimuukko@intel.com"/>
    <x v="0"/>
    <x v="5"/>
    <s v=""/>
    <x v="2"/>
    <s v=""/>
    <s v=""/>
    <s v=""/>
    <s v=""/>
    <s v=""/>
    <s v=""/>
    <s v=""/>
    <x v="0"/>
    <x v="1"/>
    <x v="0"/>
  </r>
  <r>
    <x v="56"/>
    <m/>
    <m/>
    <m/>
    <m/>
    <m/>
    <m/>
    <m/>
    <m/>
    <m/>
    <m/>
    <m/>
    <x v="6"/>
    <d v="2016-01-12T22:52:00"/>
    <s v="Uploaded patch set 12: Patch Set 11 was rebased."/>
    <m/>
    <m/>
    <s v="ukri.niemimuukko@intel.com"/>
    <x v="0"/>
    <x v="0"/>
    <s v=""/>
    <x v="2"/>
    <s v=""/>
    <s v=""/>
    <s v=""/>
    <s v=""/>
    <s v=""/>
    <s v=""/>
    <s v=""/>
    <x v="0"/>
    <x v="0"/>
    <x v="0"/>
  </r>
  <r>
    <x v="56"/>
    <m/>
    <m/>
    <m/>
    <m/>
    <m/>
    <m/>
    <m/>
    <m/>
    <m/>
    <m/>
    <m/>
    <x v="6"/>
    <d v="2016-01-12T22:52:00"/>
    <s v="Patch Set 12:\n\nPatchset Created: CI job has been scheduled."/>
    <m/>
    <m/>
    <s v="ukri.niemimuukko@intel.com"/>
    <x v="0"/>
    <x v="0"/>
    <s v=""/>
    <x v="2"/>
    <s v=""/>
    <s v=""/>
    <s v=""/>
    <s v=""/>
    <s v=""/>
    <s v=""/>
    <s v=""/>
    <x v="0"/>
    <x v="0"/>
    <x v="0"/>
  </r>
  <r>
    <x v="56"/>
    <m/>
    <m/>
    <m/>
    <m/>
    <m/>
    <m/>
    <m/>
    <m/>
    <m/>
    <m/>
    <m/>
    <x v="6"/>
    <d v="2016-01-12T22:54:00"/>
    <s v="Topic changed from topic_jan12 to bxt_preint"/>
    <m/>
    <m/>
    <s v="ukri.niemimuukko@intel.com"/>
    <x v="0"/>
    <x v="0"/>
    <s v=""/>
    <x v="2"/>
    <s v=""/>
    <s v=""/>
    <s v=""/>
    <s v=""/>
    <s v=""/>
    <s v=""/>
    <s v=""/>
    <x v="0"/>
    <x v="0"/>
    <x v="0"/>
  </r>
  <r>
    <x v="56"/>
    <m/>
    <m/>
    <m/>
    <m/>
    <m/>
    <m/>
    <m/>
    <m/>
    <m/>
    <m/>
    <m/>
    <x v="14"/>
    <d v="2016-01-12T22:59:00"/>
    <s v="Patch Set 12: Validation-Android+1\n\nreceive smoke test"/>
    <m/>
    <m/>
    <s v="ukri.niemimuukko@intel.com"/>
    <x v="0"/>
    <x v="5"/>
    <s v=""/>
    <x v="2"/>
    <s v=""/>
    <s v=""/>
    <s v=""/>
    <s v=""/>
    <s v=""/>
    <s v=""/>
    <s v=""/>
    <x v="0"/>
    <x v="1"/>
    <x v="0"/>
  </r>
  <r>
    <x v="56"/>
    <m/>
    <m/>
    <m/>
    <m/>
    <m/>
    <m/>
    <m/>
    <m/>
    <m/>
    <m/>
    <m/>
    <x v="9"/>
    <d v="2016-01-13T14:18:00"/>
    <s v="Patch Set 12: Integrator+1\n\nIntegrator +1; patch will be add to PT; please no change now"/>
    <m/>
    <m/>
    <s v="ukri.niemimuukko@intel.com"/>
    <x v="0"/>
    <x v="5"/>
    <s v=""/>
    <x v="2"/>
    <s v=""/>
    <s v=""/>
    <s v=""/>
    <s v=""/>
    <s v=""/>
    <s v=""/>
    <s v=""/>
    <x v="0"/>
    <x v="1"/>
    <x v="0"/>
  </r>
  <r>
    <x v="56"/>
    <m/>
    <m/>
    <m/>
    <m/>
    <m/>
    <m/>
    <m/>
    <m/>
    <m/>
    <m/>
    <m/>
    <x v="9"/>
    <d v="2016-01-13T17:41:00"/>
    <s v="Patch Set 12:\n\nPassed Klocwork code analyzing test. No CRITICAL issue in this patch. Auto reported by kwscan@kw-srv2.bj.intel.com"/>
    <m/>
    <m/>
    <s v="ukri.niemimuukko@intel.com"/>
    <x v="0"/>
    <x v="5"/>
    <s v=""/>
    <x v="2"/>
    <s v=""/>
    <s v=""/>
    <s v=""/>
    <s v=""/>
    <s v=""/>
    <s v=""/>
    <s v=""/>
    <x v="0"/>
    <x v="0"/>
    <x v="0"/>
  </r>
  <r>
    <x v="56"/>
    <m/>
    <m/>
    <m/>
    <m/>
    <m/>
    <m/>
    <m/>
    <m/>
    <m/>
    <m/>
    <m/>
    <x v="9"/>
    <d v="2016-01-13T18:57:00"/>
    <s v="Patch Set 12:\n\nPassed Klocwork code analyzing test. No CRITICAL issue in this patch. Auto reported by kwscan@andr-val-srv0.bj.intel.com"/>
    <m/>
    <m/>
    <s v="ukri.niemimuukko@intel.com"/>
    <x v="0"/>
    <x v="5"/>
    <s v=""/>
    <x v="2"/>
    <s v=""/>
    <s v=""/>
    <s v=""/>
    <s v=""/>
    <s v=""/>
    <s v=""/>
    <s v=""/>
    <x v="0"/>
    <x v="0"/>
    <x v="0"/>
  </r>
  <r>
    <x v="56"/>
    <m/>
    <m/>
    <m/>
    <m/>
    <m/>
    <m/>
    <m/>
    <m/>
    <m/>
    <m/>
    <m/>
    <x v="9"/>
    <d v="2016-01-13T19:26:00"/>
    <s v="Patch Set 12:\n\nPassed Klocwork code analyzing test. No CRITICAL issue in this patch. Auto reported by kwscan@psi-build5.bj.intel.com"/>
    <m/>
    <m/>
    <s v="ukri.niemimuukko@intel.com"/>
    <x v="0"/>
    <x v="5"/>
    <s v=""/>
    <x v="2"/>
    <s v=""/>
    <s v=""/>
    <s v=""/>
    <s v=""/>
    <s v=""/>
    <s v=""/>
    <s v=""/>
    <x v="0"/>
    <x v="0"/>
    <x v="0"/>
  </r>
  <r>
    <x v="56"/>
    <m/>
    <m/>
    <m/>
    <m/>
    <m/>
    <m/>
    <m/>
    <m/>
    <m/>
    <m/>
    <m/>
    <x v="9"/>
    <d v="2016-01-13T20:31:00"/>
    <s v="Patch Set 12:\n\nPassed Klocwork code analyzing test. No CRITICAL issue in this patch. Auto reported by kwscan@kw-srv2.bj.intel.com"/>
    <m/>
    <m/>
    <s v="ukri.niemimuukko@intel.com"/>
    <x v="0"/>
    <x v="5"/>
    <s v=""/>
    <x v="2"/>
    <s v=""/>
    <s v=""/>
    <s v=""/>
    <s v=""/>
    <s v=""/>
    <s v=""/>
    <s v=""/>
    <x v="0"/>
    <x v="0"/>
    <x v="0"/>
  </r>
  <r>
    <x v="56"/>
    <m/>
    <m/>
    <m/>
    <m/>
    <m/>
    <m/>
    <m/>
    <m/>
    <m/>
    <m/>
    <m/>
    <x v="9"/>
    <d v="2016-01-14T03:12:00"/>
    <s v="Patch Set 12:\n\nPassed Klocwork code analyzing test. No CRITICAL issue in this patch. Auto reported by kwscan@andr-val-srv0.bj.intel.com"/>
    <m/>
    <m/>
    <s v="ukri.niemimuukko@intel.com"/>
    <x v="0"/>
    <x v="5"/>
    <s v=""/>
    <x v="2"/>
    <s v=""/>
    <s v=""/>
    <s v=""/>
    <s v=""/>
    <s v=""/>
    <s v=""/>
    <s v=""/>
    <x v="0"/>
    <x v="0"/>
    <x v="0"/>
  </r>
  <r>
    <x v="56"/>
    <m/>
    <m/>
    <m/>
    <m/>
    <m/>
    <m/>
    <m/>
    <m/>
    <m/>
    <m/>
    <m/>
    <x v="9"/>
    <d v="2016-01-14T16:21:00"/>
    <s v="Patch Set 12: Integrator-1\n\nSofia 3GR PIT test failed; so patch nogo"/>
    <m/>
    <m/>
    <s v="ukri.niemimuukko@intel.com"/>
    <x v="0"/>
    <x v="5"/>
    <s v=""/>
    <x v="2"/>
    <s v=""/>
    <s v=""/>
    <s v=""/>
    <s v=""/>
    <s v=""/>
    <s v=""/>
    <s v=""/>
    <x v="0"/>
    <x v="1"/>
    <x v="0"/>
  </r>
  <r>
    <x v="56"/>
    <m/>
    <m/>
    <m/>
    <m/>
    <m/>
    <m/>
    <m/>
    <m/>
    <m/>
    <m/>
    <m/>
    <x v="9"/>
    <d v="2016-01-14T16:22:00"/>
    <s v="Patch Set 12: Integrator+1\n\nIntegrator +1; patch will be add to PT; please no change now"/>
    <m/>
    <m/>
    <s v="ukri.niemimuukko@intel.com"/>
    <x v="0"/>
    <x v="5"/>
    <s v=""/>
    <x v="2"/>
    <s v=""/>
    <s v=""/>
    <s v=""/>
    <s v=""/>
    <s v=""/>
    <s v=""/>
    <s v=""/>
    <x v="0"/>
    <x v="1"/>
    <x v="0"/>
  </r>
  <r>
    <x v="56"/>
    <m/>
    <m/>
    <m/>
    <m/>
    <m/>
    <m/>
    <m/>
    <m/>
    <m/>
    <m/>
    <m/>
    <x v="9"/>
    <d v="2016-01-14T19:51:00"/>
    <s v="Patch Set 12:\n\nPassed Klocwork code analyzing test. No CRITICAL issue in this patch. Auto reported by kwscan@kw-srv2.bj.intel.com"/>
    <m/>
    <m/>
    <s v="ukri.niemimuukko@intel.com"/>
    <x v="0"/>
    <x v="5"/>
    <s v=""/>
    <x v="2"/>
    <s v=""/>
    <s v=""/>
    <s v=""/>
    <s v=""/>
    <s v=""/>
    <s v=""/>
    <s v=""/>
    <x v="0"/>
    <x v="0"/>
    <x v="0"/>
  </r>
  <r>
    <x v="56"/>
    <m/>
    <m/>
    <m/>
    <m/>
    <m/>
    <m/>
    <m/>
    <m/>
    <m/>
    <m/>
    <m/>
    <x v="9"/>
    <d v="2016-01-14T22:12:00"/>
    <s v="Patch Set 12:\n\nPassed Klocwork code analyzing test. No CRITICAL issue in this patch. Auto reported by kwscan@andr-val-srv0.bj.intel.com"/>
    <m/>
    <m/>
    <s v="ukri.niemimuukko@intel.com"/>
    <x v="0"/>
    <x v="5"/>
    <s v=""/>
    <x v="2"/>
    <s v=""/>
    <s v=""/>
    <s v=""/>
    <s v=""/>
    <s v=""/>
    <s v=""/>
    <s v=""/>
    <x v="0"/>
    <x v="0"/>
    <x v="0"/>
  </r>
  <r>
    <x v="56"/>
    <m/>
    <m/>
    <m/>
    <m/>
    <m/>
    <m/>
    <m/>
    <m/>
    <m/>
    <m/>
    <m/>
    <x v="9"/>
    <d v="2016-01-14T23:06:00"/>
    <s v="Patch Set 12:\n\nPassed Klocwork code analyzing test. No CRITICAL issue in this patch. Auto reported by kwscan@kw-srv2.bj.intel.com"/>
    <m/>
    <m/>
    <s v="ukri.niemimuukko@intel.com"/>
    <x v="0"/>
    <x v="5"/>
    <s v=""/>
    <x v="2"/>
    <s v=""/>
    <s v=""/>
    <s v=""/>
    <s v=""/>
    <s v=""/>
    <s v=""/>
    <s v=""/>
    <x v="0"/>
    <x v="0"/>
    <x v="0"/>
  </r>
  <r>
    <x v="56"/>
    <m/>
    <m/>
    <m/>
    <m/>
    <m/>
    <m/>
    <m/>
    <m/>
    <m/>
    <m/>
    <m/>
    <x v="9"/>
    <d v="2016-01-15T14:52:00"/>
    <s v="Patch Set 12:\n\nPassed Klocwork code analyzing test. No CRITICAL issue in this patch. Auto reported by kwscan@psi-build5.bj.intel.com"/>
    <m/>
    <m/>
    <s v="ukri.niemimuukko@intel.com"/>
    <x v="0"/>
    <x v="5"/>
    <s v=""/>
    <x v="2"/>
    <s v=""/>
    <s v=""/>
    <s v=""/>
    <s v=""/>
    <s v=""/>
    <s v=""/>
    <s v=""/>
    <x v="0"/>
    <x v="0"/>
    <x v="0"/>
  </r>
  <r>
    <x v="56"/>
    <m/>
    <m/>
    <m/>
    <m/>
    <m/>
    <m/>
    <m/>
    <m/>
    <m/>
    <m/>
    <m/>
    <x v="9"/>
    <d v="2016-01-15T15:05:00"/>
    <s v="Patch Set 12: Code-Review+1\n\nPassed PIT; ready for merge"/>
    <m/>
    <m/>
    <s v="ukri.niemimuukko@intel.com"/>
    <x v="0"/>
    <x v="5"/>
    <s v=""/>
    <x v="2"/>
    <s v=""/>
    <s v=""/>
    <s v=""/>
    <s v=""/>
    <s v=""/>
    <s v=""/>
    <s v=""/>
    <x v="0"/>
    <x v="0"/>
    <x v="0"/>
  </r>
  <r>
    <x v="56"/>
    <m/>
    <m/>
    <m/>
    <m/>
    <m/>
    <m/>
    <m/>
    <m/>
    <m/>
    <m/>
    <m/>
    <x v="9"/>
    <d v="2016-01-15T17:54:00"/>
    <s v="Patch Set 12:\n\nPassed Klocwork code analyzing test. No CRITICAL issue in this patch. Auto reported by kwscan@andr-val-srv0.bj.intel.com"/>
    <m/>
    <m/>
    <s v="ukri.niemimuukko@intel.com"/>
    <x v="0"/>
    <x v="5"/>
    <s v=""/>
    <x v="2"/>
    <s v=""/>
    <s v=""/>
    <s v=""/>
    <s v=""/>
    <s v=""/>
    <s v=""/>
    <s v=""/>
    <x v="0"/>
    <x v="0"/>
    <x v="0"/>
  </r>
  <r>
    <x v="57"/>
    <n v="92518"/>
    <s v="vied-viedandr-camera3hal"/>
    <s v="platform/android/main"/>
    <s v="Ib3b05a4c411181c4c3df75109488b468882eab2d"/>
    <s v="john.mathew@intel.com"/>
    <s v="MERGED"/>
    <s v="c3: Call addCamera() once per sensor"/>
    <s v="c3: Call addCamera() once per sensor\n\nChange-Id: Ib3b05a4c411181c4c3df75109488b468882eab2d\nTracked-On: #R495266\nSigned-off-by: John Mathew &lt;john.mathew@intel.com&gt;\nSigned-off-by: Jukka Kaartinen &lt;jukka.o.kaartinen@intel.com&gt;\nReviewed-on: https://icggerrit.ir.intel.com/92518\nReviewed-by: Lassi I Vaatamoinen &lt;lassi.i.vaatamoinen@intel.com&gt;\nReviewed-by: Ukri Niemimuukko &lt;ukri.niemimuukko@intel.com&gt;\nValidation-Android: Wei Tao &lt;wei.tao@intel.com&gt;\nApprover: Ukri Niemimuukko &lt;ukri.niemimuukko@intel.com&gt;\nBuild: Dessert M BXT RVP (SC)\nBuild: Dessert M CHT FFD (SC)\nValidation-Android: Dessert M CHT FFD (SC)\nIntegrator: WeiX Meng &lt;weix.meng@intel.com&gt;\nReviewed-by: WeiX Meng &lt;weix.meng@intel.com&gt;\n"/>
    <d v="2015-12-29T18:04:00"/>
    <d v="2016-01-15T15:22:00"/>
    <s v="common"/>
    <x v="8"/>
    <d v="2015-12-29T18:04:00"/>
    <s v="Uploaded patch set 1."/>
    <m/>
    <s v="ukri.niemimuukko@intel.com;arnaud.mandy@intel.com;weix.meng@intel.com;jukka.o.kaartinen@intel.com;lassi.i.vaatamoinen@intel.com;miguel.verdu@intel.com;jingzhi.yu@intel.com;"/>
    <s v="john.mathew@intel.com"/>
    <x v="0"/>
    <x v="0"/>
    <s v="16'ww3"/>
    <x v="2"/>
    <n v="0"/>
    <n v="0"/>
    <n v="0"/>
    <n v="0"/>
    <n v="1"/>
    <n v="16"/>
    <n v="0"/>
    <x v="0"/>
    <x v="0"/>
    <x v="0"/>
  </r>
  <r>
    <x v="57"/>
    <m/>
    <m/>
    <m/>
    <m/>
    <m/>
    <m/>
    <m/>
    <m/>
    <m/>
    <m/>
    <m/>
    <x v="8"/>
    <d v="2015-12-29T18:04:00"/>
    <s v="Patch Set 1:\n\nPatchset Created: CI job has been scheduled."/>
    <m/>
    <m/>
    <s v="john.mathew@intel.com"/>
    <x v="0"/>
    <x v="0"/>
    <s v=""/>
    <x v="2"/>
    <s v=""/>
    <s v=""/>
    <s v=""/>
    <s v=""/>
    <s v=""/>
    <s v=""/>
    <s v=""/>
    <x v="0"/>
    <x v="0"/>
    <x v="0"/>
  </r>
  <r>
    <x v="57"/>
    <m/>
    <m/>
    <m/>
    <m/>
    <m/>
    <m/>
    <m/>
    <m/>
    <m/>
    <m/>
    <m/>
    <x v="8"/>
    <d v="2016-01-05T16:23:00"/>
    <s v="Uploaded patch set 2."/>
    <m/>
    <m/>
    <s v="john.mathew@intel.com"/>
    <x v="0"/>
    <x v="0"/>
    <s v=""/>
    <x v="2"/>
    <s v=""/>
    <s v=""/>
    <s v=""/>
    <s v=""/>
    <s v=""/>
    <s v=""/>
    <s v=""/>
    <x v="0"/>
    <x v="0"/>
    <x v="0"/>
  </r>
  <r>
    <x v="57"/>
    <m/>
    <m/>
    <m/>
    <m/>
    <m/>
    <m/>
    <m/>
    <m/>
    <m/>
    <m/>
    <m/>
    <x v="8"/>
    <d v="2016-01-05T16:24:00"/>
    <s v="Patch Set 2:\n\nPatchset Created: CI job has been scheduled."/>
    <m/>
    <m/>
    <s v="john.mathew@intel.com"/>
    <x v="0"/>
    <x v="0"/>
    <s v=""/>
    <x v="2"/>
    <s v=""/>
    <s v=""/>
    <s v=""/>
    <s v=""/>
    <s v=""/>
    <s v=""/>
    <s v=""/>
    <x v="0"/>
    <x v="0"/>
    <x v="0"/>
  </r>
  <r>
    <x v="57"/>
    <m/>
    <m/>
    <m/>
    <m/>
    <m/>
    <m/>
    <m/>
    <m/>
    <m/>
    <m/>
    <m/>
    <x v="8"/>
    <d v="2016-01-05T17:30:00"/>
    <s v="Patch Set 3:\n\nPatchset Created: CI job has been scheduled."/>
    <m/>
    <m/>
    <s v="john.mathew@intel.com"/>
    <x v="0"/>
    <x v="0"/>
    <s v=""/>
    <x v="2"/>
    <s v=""/>
    <s v=""/>
    <s v=""/>
    <s v=""/>
    <s v=""/>
    <s v=""/>
    <s v=""/>
    <x v="0"/>
    <x v="0"/>
    <x v="0"/>
  </r>
  <r>
    <x v="57"/>
    <m/>
    <m/>
    <m/>
    <m/>
    <m/>
    <m/>
    <m/>
    <m/>
    <m/>
    <m/>
    <m/>
    <x v="8"/>
    <d v="2016-01-05T17:30:00"/>
    <s v="Uploaded patch set 3: Patch Set 2 was rebased."/>
    <m/>
    <m/>
    <s v="john.mathew@intel.com"/>
    <x v="0"/>
    <x v="0"/>
    <s v=""/>
    <x v="2"/>
    <s v=""/>
    <s v=""/>
    <s v=""/>
    <s v=""/>
    <s v=""/>
    <s v=""/>
    <s v=""/>
    <x v="0"/>
    <x v="0"/>
    <x v="0"/>
  </r>
  <r>
    <x v="57"/>
    <m/>
    <m/>
    <m/>
    <m/>
    <m/>
    <m/>
    <m/>
    <m/>
    <m/>
    <m/>
    <m/>
    <x v="8"/>
    <d v="2016-01-05T17:57:00"/>
    <s v="Uploaded patch set 4: Patch Set 3 was rebased."/>
    <m/>
    <m/>
    <s v="john.mathew@intel.com"/>
    <x v="0"/>
    <x v="0"/>
    <s v=""/>
    <x v="2"/>
    <s v=""/>
    <s v=""/>
    <s v=""/>
    <s v=""/>
    <s v=""/>
    <s v=""/>
    <s v=""/>
    <x v="0"/>
    <x v="0"/>
    <x v="0"/>
  </r>
  <r>
    <x v="57"/>
    <m/>
    <m/>
    <m/>
    <m/>
    <m/>
    <m/>
    <m/>
    <m/>
    <m/>
    <m/>
    <m/>
    <x v="8"/>
    <d v="2016-01-05T17:57:00"/>
    <s v="Patch Set 4:\n\nPatchset Created: CI job has been scheduled."/>
    <m/>
    <m/>
    <s v="john.mathew@intel.com"/>
    <x v="0"/>
    <x v="0"/>
    <s v=""/>
    <x v="2"/>
    <s v=""/>
    <s v=""/>
    <s v=""/>
    <s v=""/>
    <s v=""/>
    <s v=""/>
    <s v=""/>
    <x v="0"/>
    <x v="0"/>
    <x v="0"/>
  </r>
  <r>
    <x v="57"/>
    <m/>
    <m/>
    <m/>
    <m/>
    <m/>
    <m/>
    <m/>
    <m/>
    <m/>
    <m/>
    <m/>
    <x v="8"/>
    <d v="2016-01-05T18:00:00"/>
    <s v="Patch Set 4: Code-Review+1"/>
    <m/>
    <m/>
    <s v="john.mathew@intel.com"/>
    <x v="0"/>
    <x v="0"/>
    <s v=""/>
    <x v="2"/>
    <s v=""/>
    <s v=""/>
    <s v=""/>
    <s v=""/>
    <s v=""/>
    <s v=""/>
    <s v=""/>
    <x v="0"/>
    <x v="0"/>
    <x v="0"/>
  </r>
  <r>
    <x v="57"/>
    <m/>
    <m/>
    <m/>
    <m/>
    <m/>
    <m/>
    <m/>
    <m/>
    <m/>
    <m/>
    <m/>
    <x v="8"/>
    <d v="2016-01-05T18:05:00"/>
    <s v="Uploaded patch set 5: Patch Set 4 was rebased."/>
    <m/>
    <m/>
    <s v="john.mathew@intel.com"/>
    <x v="0"/>
    <x v="0"/>
    <s v=""/>
    <x v="2"/>
    <s v=""/>
    <s v=""/>
    <s v=""/>
    <s v=""/>
    <s v=""/>
    <s v=""/>
    <s v=""/>
    <x v="0"/>
    <x v="0"/>
    <x v="0"/>
  </r>
  <r>
    <x v="57"/>
    <m/>
    <m/>
    <m/>
    <m/>
    <m/>
    <m/>
    <m/>
    <m/>
    <m/>
    <m/>
    <m/>
    <x v="8"/>
    <d v="2016-01-05T18:05:00"/>
    <s v="Patch Set 5:\n\nPatchset Created: CI job has been scheduled."/>
    <m/>
    <m/>
    <s v="john.mathew@intel.com"/>
    <x v="0"/>
    <x v="0"/>
    <s v=""/>
    <x v="2"/>
    <s v=""/>
    <s v=""/>
    <s v=""/>
    <s v=""/>
    <s v=""/>
    <s v=""/>
    <s v=""/>
    <x v="0"/>
    <x v="0"/>
    <x v="0"/>
  </r>
  <r>
    <x v="57"/>
    <m/>
    <m/>
    <m/>
    <m/>
    <m/>
    <m/>
    <m/>
    <m/>
    <m/>
    <m/>
    <m/>
    <x v="16"/>
    <d v="2016-01-05T18:12:00"/>
    <s v="Patch Set 5: Code-Review+1"/>
    <m/>
    <m/>
    <s v="john.mathew@intel.com"/>
    <x v="0"/>
    <x v="4"/>
    <s v=""/>
    <x v="2"/>
    <s v=""/>
    <s v=""/>
    <s v=""/>
    <s v=""/>
    <s v=""/>
    <s v=""/>
    <s v=""/>
    <x v="0"/>
    <x v="0"/>
    <x v="0"/>
  </r>
  <r>
    <x v="57"/>
    <m/>
    <m/>
    <m/>
    <m/>
    <m/>
    <m/>
    <m/>
    <m/>
    <m/>
    <m/>
    <m/>
    <x v="0"/>
    <d v="2016-01-05T18:15:00"/>
    <s v="Patch Set 5: Code-Review+1\n\n(1 comment)"/>
    <s v="line1085 :&quot;addCamera modifies the size of mStaticMeta. so chaning this from while to if will modify the behavior--&gt; dangerous\nNeeds testing. otherwise I am ok&quot;"/>
    <m/>
    <s v="john.mathew@intel.com"/>
    <x v="0"/>
    <x v="1"/>
    <s v=""/>
    <x v="2"/>
    <s v=""/>
    <s v=""/>
    <s v=""/>
    <s v=""/>
    <s v=""/>
    <s v=""/>
    <s v=""/>
    <x v="0"/>
    <x v="0"/>
    <x v="0"/>
  </r>
  <r>
    <x v="57"/>
    <m/>
    <m/>
    <m/>
    <m/>
    <m/>
    <m/>
    <m/>
    <m/>
    <m/>
    <m/>
    <m/>
    <x v="8"/>
    <d v="2016-01-05T18:19:00"/>
    <s v="Patch Set 5:\n\n(1 comment)"/>
    <s v="line1085 :&quot;That was exactly what was happening with the hw team. They had an iris sensor so it was part of the profiles-&gt;mSensorNames. But it did not have its profile. So for first sensor that has a profile add camera will be called. Then add camera will be called again because the count of profiles-&gt;mSensorNames is 2 and all other conditions satisfy also mStaticMeta was incremented in previous call. So i changed the while to if to be called only once. Calling twice wastes memory.&quot;"/>
    <m/>
    <s v="john.mathew@intel.com"/>
    <x v="0"/>
    <x v="0"/>
    <s v=""/>
    <x v="2"/>
    <s v=""/>
    <s v=""/>
    <s v=""/>
    <s v=""/>
    <s v=""/>
    <s v=""/>
    <s v=""/>
    <x v="0"/>
    <x v="0"/>
    <x v="0"/>
  </r>
  <r>
    <x v="57"/>
    <m/>
    <m/>
    <m/>
    <m/>
    <m/>
    <m/>
    <m/>
    <m/>
    <m/>
    <m/>
    <m/>
    <x v="8"/>
    <d v="2016-01-05T19:59:00"/>
    <s v="Uploaded patch set 6: Patch Set 5 was rebased."/>
    <m/>
    <m/>
    <s v="john.mathew@intel.com"/>
    <x v="0"/>
    <x v="0"/>
    <s v=""/>
    <x v="2"/>
    <s v=""/>
    <s v=""/>
    <s v=""/>
    <s v=""/>
    <s v=""/>
    <s v=""/>
    <s v=""/>
    <x v="0"/>
    <x v="0"/>
    <x v="0"/>
  </r>
  <r>
    <x v="57"/>
    <m/>
    <m/>
    <m/>
    <m/>
    <m/>
    <m/>
    <m/>
    <m/>
    <m/>
    <m/>
    <m/>
    <x v="8"/>
    <d v="2016-01-05T19:59:00"/>
    <s v="Patch Set 6:\n\nPatchset Created: CI job has been scheduled."/>
    <m/>
    <m/>
    <s v="john.mathew@intel.com"/>
    <x v="0"/>
    <x v="0"/>
    <s v=""/>
    <x v="2"/>
    <s v=""/>
    <s v=""/>
    <s v=""/>
    <s v=""/>
    <s v=""/>
    <s v=""/>
    <s v=""/>
    <x v="0"/>
    <x v="0"/>
    <x v="0"/>
  </r>
  <r>
    <x v="57"/>
    <m/>
    <m/>
    <m/>
    <m/>
    <m/>
    <m/>
    <m/>
    <m/>
    <m/>
    <m/>
    <m/>
    <x v="8"/>
    <d v="2016-01-07T14:19:00"/>
    <s v="Uploaded patch set 7: Patch Set 6 was rebased."/>
    <m/>
    <m/>
    <s v="john.mathew@intel.com"/>
    <x v="0"/>
    <x v="0"/>
    <s v=""/>
    <x v="2"/>
    <s v=""/>
    <s v=""/>
    <s v=""/>
    <s v=""/>
    <s v=""/>
    <s v=""/>
    <s v=""/>
    <x v="0"/>
    <x v="0"/>
    <x v="0"/>
  </r>
  <r>
    <x v="57"/>
    <m/>
    <m/>
    <m/>
    <m/>
    <m/>
    <m/>
    <m/>
    <m/>
    <m/>
    <m/>
    <m/>
    <x v="8"/>
    <d v="2016-01-07T14:20:00"/>
    <s v="Patch Set 7:\n\nPatchset Created: CI job has been scheduled."/>
    <m/>
    <m/>
    <s v="john.mathew@intel.com"/>
    <x v="0"/>
    <x v="0"/>
    <s v=""/>
    <x v="2"/>
    <s v=""/>
    <s v=""/>
    <s v=""/>
    <s v=""/>
    <s v=""/>
    <s v=""/>
    <s v=""/>
    <x v="0"/>
    <x v="0"/>
    <x v="0"/>
  </r>
  <r>
    <x v="57"/>
    <m/>
    <m/>
    <m/>
    <m/>
    <m/>
    <m/>
    <m/>
    <m/>
    <m/>
    <m/>
    <m/>
    <x v="14"/>
    <d v="2016-01-07T15:02:00"/>
    <s v="Patch Set 7: Validation-Android+1\n\nreceive smoke test"/>
    <m/>
    <m/>
    <s v="john.mathew@intel.com"/>
    <x v="0"/>
    <x v="5"/>
    <s v=""/>
    <x v="2"/>
    <s v=""/>
    <s v=""/>
    <s v=""/>
    <s v=""/>
    <s v=""/>
    <s v=""/>
    <s v=""/>
    <x v="0"/>
    <x v="1"/>
    <x v="0"/>
  </r>
  <r>
    <x v="57"/>
    <m/>
    <m/>
    <m/>
    <m/>
    <m/>
    <m/>
    <m/>
    <m/>
    <m/>
    <m/>
    <m/>
    <x v="12"/>
    <d v="2016-01-07T18:08:00"/>
    <s v="Patch Set 7: Code-Review+1"/>
    <m/>
    <m/>
    <s v="john.mathew@intel.com"/>
    <x v="0"/>
    <x v="1"/>
    <s v=""/>
    <x v="2"/>
    <s v=""/>
    <s v=""/>
    <s v=""/>
    <s v=""/>
    <s v=""/>
    <s v=""/>
    <s v=""/>
    <x v="0"/>
    <x v="0"/>
    <x v="0"/>
  </r>
  <r>
    <x v="57"/>
    <m/>
    <m/>
    <m/>
    <m/>
    <m/>
    <m/>
    <m/>
    <m/>
    <m/>
    <m/>
    <m/>
    <x v="2"/>
    <d v="2016-01-07T18:48:00"/>
    <s v="Patch Set 7: Code-Review+1"/>
    <m/>
    <m/>
    <s v="john.mathew@intel.com"/>
    <x v="0"/>
    <x v="1"/>
    <s v=""/>
    <x v="2"/>
    <s v=""/>
    <s v=""/>
    <s v=""/>
    <s v=""/>
    <s v=""/>
    <s v=""/>
    <s v=""/>
    <x v="0"/>
    <x v="0"/>
    <x v="0"/>
  </r>
  <r>
    <x v="57"/>
    <m/>
    <m/>
    <m/>
    <m/>
    <m/>
    <m/>
    <m/>
    <m/>
    <m/>
    <m/>
    <m/>
    <x v="8"/>
    <d v="2016-01-07T19:07:00"/>
    <s v="Uploaded patch set 8: Patch Set 7 was rebased."/>
    <m/>
    <m/>
    <s v="john.mathew@intel.com"/>
    <x v="0"/>
    <x v="0"/>
    <s v=""/>
    <x v="2"/>
    <s v=""/>
    <s v=""/>
    <s v=""/>
    <s v=""/>
    <s v=""/>
    <s v=""/>
    <s v=""/>
    <x v="0"/>
    <x v="0"/>
    <x v="0"/>
  </r>
  <r>
    <x v="57"/>
    <m/>
    <m/>
    <m/>
    <m/>
    <m/>
    <m/>
    <m/>
    <m/>
    <m/>
    <m/>
    <m/>
    <x v="8"/>
    <d v="2016-01-07T19:07:00"/>
    <s v="Patch Set 8:\n\nPatchset Created: CI job has been scheduled."/>
    <m/>
    <m/>
    <s v="john.mathew@intel.com"/>
    <x v="0"/>
    <x v="0"/>
    <s v=""/>
    <x v="2"/>
    <s v=""/>
    <s v=""/>
    <s v=""/>
    <s v=""/>
    <s v=""/>
    <s v=""/>
    <s v=""/>
    <x v="0"/>
    <x v="0"/>
    <x v="0"/>
  </r>
  <r>
    <x v="57"/>
    <m/>
    <m/>
    <m/>
    <m/>
    <m/>
    <m/>
    <m/>
    <m/>
    <m/>
    <m/>
    <m/>
    <x v="14"/>
    <d v="2016-01-07T19:12:00"/>
    <s v="Patch Set 8: Validation-Android+1\n\nreceive smoke test"/>
    <m/>
    <m/>
    <s v="john.mathew@intel.com"/>
    <x v="0"/>
    <x v="5"/>
    <s v=""/>
    <x v="2"/>
    <s v=""/>
    <s v=""/>
    <s v=""/>
    <s v=""/>
    <s v=""/>
    <s v=""/>
    <s v=""/>
    <x v="0"/>
    <x v="1"/>
    <x v="0"/>
  </r>
  <r>
    <x v="57"/>
    <m/>
    <m/>
    <m/>
    <m/>
    <m/>
    <m/>
    <m/>
    <m/>
    <m/>
    <m/>
    <m/>
    <x v="8"/>
    <d v="2016-01-07T19:29:00"/>
    <s v="Uploaded patch set 9: Patch Set 8 was rebased."/>
    <m/>
    <m/>
    <s v="john.mathew@intel.com"/>
    <x v="0"/>
    <x v="0"/>
    <s v=""/>
    <x v="2"/>
    <s v=""/>
    <s v=""/>
    <s v=""/>
    <s v=""/>
    <s v=""/>
    <s v=""/>
    <s v=""/>
    <x v="0"/>
    <x v="0"/>
    <x v="0"/>
  </r>
  <r>
    <x v="57"/>
    <m/>
    <m/>
    <m/>
    <m/>
    <m/>
    <m/>
    <m/>
    <m/>
    <m/>
    <m/>
    <m/>
    <x v="8"/>
    <d v="2016-01-07T19:29:00"/>
    <s v="Patch Set 9:\n\nPatchset Created: CI job has been scheduled."/>
    <m/>
    <m/>
    <s v="john.mathew@intel.com"/>
    <x v="0"/>
    <x v="0"/>
    <s v=""/>
    <x v="2"/>
    <s v=""/>
    <s v=""/>
    <s v=""/>
    <s v=""/>
    <s v=""/>
    <s v=""/>
    <s v=""/>
    <x v="0"/>
    <x v="0"/>
    <x v="0"/>
  </r>
  <r>
    <x v="57"/>
    <m/>
    <m/>
    <m/>
    <m/>
    <m/>
    <m/>
    <m/>
    <m/>
    <m/>
    <m/>
    <m/>
    <x v="14"/>
    <d v="2016-01-07T19:41:00"/>
    <s v="Patch Set 9: Validation-Android+1\n\nreceive smoke test"/>
    <m/>
    <m/>
    <s v="john.mathew@intel.com"/>
    <x v="0"/>
    <x v="5"/>
    <s v=""/>
    <x v="2"/>
    <s v=""/>
    <s v=""/>
    <s v=""/>
    <s v=""/>
    <s v=""/>
    <s v=""/>
    <s v=""/>
    <x v="0"/>
    <x v="1"/>
    <x v="0"/>
  </r>
  <r>
    <x v="57"/>
    <m/>
    <m/>
    <m/>
    <m/>
    <m/>
    <m/>
    <m/>
    <m/>
    <m/>
    <m/>
    <m/>
    <x v="2"/>
    <d v="2016-01-07T21:11:00"/>
    <s v="Patch Set 9: Approver+1"/>
    <m/>
    <m/>
    <s v="john.mathew@intel.com"/>
    <x v="0"/>
    <x v="1"/>
    <s v=""/>
    <x v="2"/>
    <s v=""/>
    <s v=""/>
    <s v=""/>
    <s v=""/>
    <s v=""/>
    <s v=""/>
    <s v=""/>
    <x v="0"/>
    <x v="0"/>
    <x v="0"/>
  </r>
  <r>
    <x v="57"/>
    <m/>
    <m/>
    <m/>
    <m/>
    <m/>
    <m/>
    <m/>
    <m/>
    <m/>
    <m/>
    <m/>
    <x v="2"/>
    <d v="2016-01-07T21:11:00"/>
    <s v="Topic changed from 7.1_v3 to bxt_preint_HEAD"/>
    <m/>
    <m/>
    <s v="john.mathew@intel.com"/>
    <x v="0"/>
    <x v="1"/>
    <s v=""/>
    <x v="2"/>
    <s v=""/>
    <s v=""/>
    <s v=""/>
    <s v=""/>
    <s v=""/>
    <s v=""/>
    <s v=""/>
    <x v="0"/>
    <x v="0"/>
    <x v="0"/>
  </r>
  <r>
    <x v="57"/>
    <m/>
    <m/>
    <m/>
    <m/>
    <m/>
    <m/>
    <m/>
    <m/>
    <m/>
    <m/>
    <m/>
    <x v="2"/>
    <d v="2016-01-07T21:17:00"/>
    <s v="Topic changed from bxt_preint_HEAD to bxt_preint"/>
    <m/>
    <m/>
    <s v="john.mathew@intel.com"/>
    <x v="0"/>
    <x v="1"/>
    <s v=""/>
    <x v="2"/>
    <s v=""/>
    <s v=""/>
    <s v=""/>
    <s v=""/>
    <s v=""/>
    <s v=""/>
    <s v=""/>
    <x v="0"/>
    <x v="0"/>
    <x v="0"/>
  </r>
  <r>
    <x v="57"/>
    <m/>
    <m/>
    <m/>
    <m/>
    <m/>
    <m/>
    <m/>
    <m/>
    <m/>
    <m/>
    <m/>
    <x v="9"/>
    <d v="2016-01-08T14:15:00"/>
    <s v="Patch Set 9: Integrator+1\n\nIntegrator +1; patch will be add to PT; please no change now"/>
    <m/>
    <m/>
    <s v="john.mathew@intel.com"/>
    <x v="0"/>
    <x v="5"/>
    <s v=""/>
    <x v="2"/>
    <s v=""/>
    <s v=""/>
    <s v=""/>
    <s v=""/>
    <s v=""/>
    <s v=""/>
    <s v=""/>
    <x v="0"/>
    <x v="1"/>
    <x v="0"/>
  </r>
  <r>
    <x v="57"/>
    <m/>
    <m/>
    <m/>
    <m/>
    <m/>
    <m/>
    <m/>
    <m/>
    <m/>
    <m/>
    <m/>
    <x v="9"/>
    <d v="2016-01-08T16:43:00"/>
    <s v="Patch Set 9:\n\nPassed Klocwork code analyzing test. No CRITICAL issue in this patch. Auto reported by kwscan@andr-val-srv0.bj.intel.com"/>
    <m/>
    <m/>
    <s v="john.mathew@intel.com"/>
    <x v="0"/>
    <x v="5"/>
    <s v=""/>
    <x v="2"/>
    <s v=""/>
    <s v=""/>
    <s v=""/>
    <s v=""/>
    <s v=""/>
    <s v=""/>
    <s v=""/>
    <x v="0"/>
    <x v="0"/>
    <x v="0"/>
  </r>
  <r>
    <x v="57"/>
    <m/>
    <m/>
    <m/>
    <m/>
    <m/>
    <m/>
    <m/>
    <m/>
    <m/>
    <m/>
    <m/>
    <x v="1"/>
    <d v="2016-01-08T17:08:00"/>
    <s v="Patch Set 9: Code-Review+1"/>
    <m/>
    <m/>
    <s v="john.mathew@intel.com"/>
    <x v="0"/>
    <x v="1"/>
    <s v=""/>
    <x v="2"/>
    <s v=""/>
    <s v=""/>
    <s v=""/>
    <s v=""/>
    <s v=""/>
    <s v=""/>
    <s v=""/>
    <x v="0"/>
    <x v="0"/>
    <x v="0"/>
  </r>
  <r>
    <x v="57"/>
    <m/>
    <m/>
    <m/>
    <m/>
    <m/>
    <m/>
    <m/>
    <m/>
    <m/>
    <m/>
    <m/>
    <x v="9"/>
    <d v="2016-01-08T18:38:00"/>
    <s v="Patch Set 9:\n\nPassed Klocwork code analyzing test. No CRITICAL issue in this patch. Auto reported by kwscan@kw-srv2.bj.intel.com"/>
    <m/>
    <m/>
    <s v="john.mathew@intel.com"/>
    <x v="0"/>
    <x v="5"/>
    <s v=""/>
    <x v="2"/>
    <s v=""/>
    <s v=""/>
    <s v=""/>
    <s v=""/>
    <s v=""/>
    <s v=""/>
    <s v=""/>
    <x v="0"/>
    <x v="0"/>
    <x v="0"/>
  </r>
  <r>
    <x v="57"/>
    <m/>
    <m/>
    <m/>
    <m/>
    <m/>
    <m/>
    <m/>
    <m/>
    <m/>
    <m/>
    <m/>
    <x v="9"/>
    <d v="2016-01-08T20:43:00"/>
    <s v="Patch Set 9:\n\nPassed Klocwork code analyzing test. No CRITICAL issue in this patch. Auto reported by kwscan@psi-build5.bj.intel.com"/>
    <m/>
    <m/>
    <s v="john.mathew@intel.com"/>
    <x v="0"/>
    <x v="5"/>
    <s v=""/>
    <x v="2"/>
    <s v=""/>
    <s v=""/>
    <s v=""/>
    <s v=""/>
    <s v=""/>
    <s v=""/>
    <s v=""/>
    <x v="0"/>
    <x v="0"/>
    <x v="0"/>
  </r>
  <r>
    <x v="57"/>
    <m/>
    <m/>
    <m/>
    <m/>
    <m/>
    <m/>
    <m/>
    <m/>
    <m/>
    <m/>
    <m/>
    <x v="9"/>
    <d v="2016-01-08T21:30:00"/>
    <s v="Patch Set 9:\n\nPassed Klocwork code analyzing test. No CRITICAL issue in this patch. Auto reported by kwscan@kw-srv2.bj.intel.com"/>
    <m/>
    <m/>
    <s v="john.mathew@intel.com"/>
    <x v="0"/>
    <x v="5"/>
    <s v=""/>
    <x v="2"/>
    <s v=""/>
    <s v=""/>
    <s v=""/>
    <s v=""/>
    <s v=""/>
    <s v=""/>
    <s v=""/>
    <x v="0"/>
    <x v="0"/>
    <x v="0"/>
  </r>
  <r>
    <x v="57"/>
    <m/>
    <m/>
    <m/>
    <m/>
    <m/>
    <m/>
    <m/>
    <m/>
    <m/>
    <m/>
    <m/>
    <x v="9"/>
    <d v="2016-01-11T15:41:00"/>
    <s v="Patch Set 9: Integrator-1\n\nPIT test failed with regression 1504138554 on CHT T3"/>
    <m/>
    <m/>
    <s v="john.mathew@intel.com"/>
    <x v="0"/>
    <x v="5"/>
    <s v=""/>
    <x v="2"/>
    <s v=""/>
    <s v=""/>
    <s v=""/>
    <s v=""/>
    <s v=""/>
    <s v=""/>
    <s v=""/>
    <x v="0"/>
    <x v="1"/>
    <x v="0"/>
  </r>
  <r>
    <x v="57"/>
    <m/>
    <m/>
    <m/>
    <m/>
    <m/>
    <m/>
    <m/>
    <m/>
    <m/>
    <m/>
    <m/>
    <x v="9"/>
    <d v="2016-01-11T21:48:00"/>
    <s v="Patch Set 9:\n\nPassed Klocwork code analyzing test. No CRITICAL issue in this patch. Auto reported by kwscan@kw-srv2.bj.intel.com"/>
    <m/>
    <m/>
    <s v="john.mathew@intel.com"/>
    <x v="0"/>
    <x v="5"/>
    <s v=""/>
    <x v="2"/>
    <s v=""/>
    <s v=""/>
    <s v=""/>
    <s v=""/>
    <s v=""/>
    <s v=""/>
    <s v=""/>
    <x v="0"/>
    <x v="0"/>
    <x v="0"/>
  </r>
  <r>
    <x v="57"/>
    <m/>
    <m/>
    <m/>
    <m/>
    <m/>
    <m/>
    <m/>
    <m/>
    <m/>
    <m/>
    <m/>
    <x v="9"/>
    <d v="2016-01-12T00:52:00"/>
    <s v="Patch Set 9:\n\nPassed Klocwork code analyzing test. No CRITICAL issue in this patch. Auto reported by kwscan@kw-srv2.bj.intel.com"/>
    <m/>
    <m/>
    <s v="john.mathew@intel.com"/>
    <x v="0"/>
    <x v="5"/>
    <s v=""/>
    <x v="2"/>
    <s v=""/>
    <s v=""/>
    <s v=""/>
    <s v=""/>
    <s v=""/>
    <s v=""/>
    <s v=""/>
    <x v="0"/>
    <x v="0"/>
    <x v="0"/>
  </r>
  <r>
    <x v="57"/>
    <m/>
    <m/>
    <m/>
    <m/>
    <m/>
    <m/>
    <m/>
    <m/>
    <m/>
    <m/>
    <m/>
    <x v="9"/>
    <d v="2016-01-12T12:18:00"/>
    <s v="Patch Set 9:\n\nPassed Klocwork code analyzing test. No CRITICAL issue in this patch. Auto reported by kwscan@psi-build5.bj.intel.com"/>
    <m/>
    <m/>
    <s v="john.mathew@intel.com"/>
    <x v="0"/>
    <x v="5"/>
    <s v=""/>
    <x v="2"/>
    <s v=""/>
    <s v=""/>
    <s v=""/>
    <s v=""/>
    <s v=""/>
    <s v=""/>
    <s v=""/>
    <x v="0"/>
    <x v="0"/>
    <x v="0"/>
  </r>
  <r>
    <x v="57"/>
    <m/>
    <m/>
    <m/>
    <m/>
    <m/>
    <m/>
    <m/>
    <m/>
    <m/>
    <m/>
    <m/>
    <x v="2"/>
    <d v="2016-01-12T22:32:00"/>
    <s v="Uploaded patch set 10."/>
    <m/>
    <m/>
    <s v="john.mathew@intel.com"/>
    <x v="0"/>
    <x v="1"/>
    <s v=""/>
    <x v="2"/>
    <s v=""/>
    <s v=""/>
    <s v=""/>
    <s v=""/>
    <s v=""/>
    <s v=""/>
    <s v=""/>
    <x v="0"/>
    <x v="0"/>
    <x v="0"/>
  </r>
  <r>
    <x v="57"/>
    <m/>
    <m/>
    <m/>
    <m/>
    <m/>
    <m/>
    <m/>
    <m/>
    <m/>
    <m/>
    <m/>
    <x v="2"/>
    <d v="2016-01-12T22:32:00"/>
    <s v="Patch Set 10:\n\nPatchset Created: CI job has been scheduled."/>
    <m/>
    <m/>
    <s v="john.mathew@intel.com"/>
    <x v="0"/>
    <x v="1"/>
    <s v=""/>
    <x v="2"/>
    <s v=""/>
    <s v=""/>
    <s v=""/>
    <s v=""/>
    <s v=""/>
    <s v=""/>
    <s v=""/>
    <x v="0"/>
    <x v="0"/>
    <x v="0"/>
  </r>
  <r>
    <x v="57"/>
    <m/>
    <m/>
    <m/>
    <m/>
    <m/>
    <m/>
    <m/>
    <m/>
    <m/>
    <m/>
    <m/>
    <x v="2"/>
    <d v="2016-01-12T22:36:00"/>
    <s v="Uploaded patch set 11: Patch Set 10 was rebased."/>
    <m/>
    <m/>
    <s v="john.mathew@intel.com"/>
    <x v="0"/>
    <x v="1"/>
    <s v=""/>
    <x v="2"/>
    <s v=""/>
    <s v=""/>
    <s v=""/>
    <s v=""/>
    <s v=""/>
    <s v=""/>
    <s v=""/>
    <x v="0"/>
    <x v="0"/>
    <x v="0"/>
  </r>
  <r>
    <x v="57"/>
    <m/>
    <m/>
    <m/>
    <m/>
    <m/>
    <m/>
    <m/>
    <m/>
    <m/>
    <m/>
    <m/>
    <x v="2"/>
    <d v="2016-01-12T22:36:00"/>
    <s v="Patch Set 11:\n\nPatchset Created: CI job has been scheduled."/>
    <m/>
    <m/>
    <s v="john.mathew@intel.com"/>
    <x v="0"/>
    <x v="1"/>
    <s v=""/>
    <x v="2"/>
    <s v=""/>
    <s v=""/>
    <s v=""/>
    <s v=""/>
    <s v=""/>
    <s v=""/>
    <s v=""/>
    <x v="0"/>
    <x v="0"/>
    <x v="0"/>
  </r>
  <r>
    <x v="57"/>
    <m/>
    <m/>
    <m/>
    <m/>
    <m/>
    <m/>
    <m/>
    <m/>
    <m/>
    <m/>
    <m/>
    <x v="2"/>
    <d v="2016-01-12T22:37:00"/>
    <s v="Patch Set 11: Code-Review+1"/>
    <m/>
    <m/>
    <s v="john.mathew@intel.com"/>
    <x v="0"/>
    <x v="1"/>
    <s v=""/>
    <x v="2"/>
    <s v=""/>
    <s v=""/>
    <s v=""/>
    <s v=""/>
    <s v=""/>
    <s v=""/>
    <s v=""/>
    <x v="0"/>
    <x v="0"/>
    <x v="0"/>
  </r>
  <r>
    <x v="57"/>
    <m/>
    <m/>
    <m/>
    <m/>
    <m/>
    <m/>
    <m/>
    <m/>
    <m/>
    <m/>
    <m/>
    <x v="12"/>
    <d v="2016-01-12T22:42:00"/>
    <s v="Patch Set 11: Code-Review+1"/>
    <m/>
    <m/>
    <s v="john.mathew@intel.com"/>
    <x v="0"/>
    <x v="1"/>
    <s v=""/>
    <x v="2"/>
    <s v=""/>
    <s v=""/>
    <s v=""/>
    <s v=""/>
    <s v=""/>
    <s v=""/>
    <s v=""/>
    <x v="0"/>
    <x v="0"/>
    <x v="0"/>
  </r>
  <r>
    <x v="57"/>
    <m/>
    <m/>
    <m/>
    <m/>
    <m/>
    <m/>
    <m/>
    <m/>
    <m/>
    <m/>
    <m/>
    <x v="6"/>
    <d v="2016-01-12T22:43:00"/>
    <s v="Patch Set 11: Code-Review+1"/>
    <m/>
    <m/>
    <s v="john.mathew@intel.com"/>
    <x v="0"/>
    <x v="1"/>
    <s v=""/>
    <x v="2"/>
    <s v=""/>
    <s v=""/>
    <s v=""/>
    <s v=""/>
    <s v=""/>
    <s v=""/>
    <s v=""/>
    <x v="0"/>
    <x v="0"/>
    <x v="0"/>
  </r>
  <r>
    <x v="57"/>
    <m/>
    <m/>
    <m/>
    <m/>
    <m/>
    <m/>
    <m/>
    <m/>
    <m/>
    <m/>
    <m/>
    <x v="14"/>
    <d v="2016-01-12T22:49:00"/>
    <s v="Patch Set 11: Validation-Android+1\n\nreceive smoke test"/>
    <m/>
    <m/>
    <s v="john.mathew@intel.com"/>
    <x v="0"/>
    <x v="5"/>
    <s v=""/>
    <x v="2"/>
    <s v=""/>
    <s v=""/>
    <s v=""/>
    <s v=""/>
    <s v=""/>
    <s v=""/>
    <s v=""/>
    <x v="0"/>
    <x v="1"/>
    <x v="0"/>
  </r>
  <r>
    <x v="57"/>
    <m/>
    <m/>
    <m/>
    <m/>
    <m/>
    <m/>
    <m/>
    <m/>
    <m/>
    <m/>
    <m/>
    <x v="6"/>
    <d v="2016-01-12T22:49:00"/>
    <s v="Patch Set 11: Approver+1"/>
    <m/>
    <m/>
    <s v="john.mathew@intel.com"/>
    <x v="0"/>
    <x v="1"/>
    <s v=""/>
    <x v="2"/>
    <s v=""/>
    <s v=""/>
    <s v=""/>
    <s v=""/>
    <s v=""/>
    <s v=""/>
    <s v=""/>
    <x v="0"/>
    <x v="0"/>
    <x v="0"/>
  </r>
  <r>
    <x v="57"/>
    <m/>
    <m/>
    <m/>
    <m/>
    <m/>
    <m/>
    <m/>
    <m/>
    <m/>
    <m/>
    <m/>
    <x v="2"/>
    <d v="2016-01-12T22:50:00"/>
    <s v="Topic changed from rebased to bxt_preint"/>
    <m/>
    <m/>
    <s v="john.mathew@intel.com"/>
    <x v="0"/>
    <x v="1"/>
    <s v=""/>
    <x v="2"/>
    <s v=""/>
    <s v=""/>
    <s v=""/>
    <s v=""/>
    <s v=""/>
    <s v=""/>
    <s v=""/>
    <x v="0"/>
    <x v="0"/>
    <x v="0"/>
  </r>
  <r>
    <x v="57"/>
    <m/>
    <m/>
    <m/>
    <m/>
    <m/>
    <m/>
    <m/>
    <m/>
    <m/>
    <m/>
    <m/>
    <x v="9"/>
    <d v="2016-01-13T14:17:00"/>
    <s v="Patch Set 11: Integrator+1\n\nIntegrator +1; patch will be add to PT; please no change now"/>
    <m/>
    <m/>
    <s v="john.mathew@intel.com"/>
    <x v="0"/>
    <x v="5"/>
    <s v=""/>
    <x v="2"/>
    <s v=""/>
    <s v=""/>
    <s v=""/>
    <s v=""/>
    <s v=""/>
    <s v=""/>
    <s v=""/>
    <x v="0"/>
    <x v="1"/>
    <x v="0"/>
  </r>
  <r>
    <x v="57"/>
    <m/>
    <m/>
    <m/>
    <m/>
    <m/>
    <m/>
    <m/>
    <m/>
    <m/>
    <m/>
    <m/>
    <x v="9"/>
    <d v="2016-01-13T17:40:00"/>
    <s v="Patch Set 11:\n\nPassed Klocwork code analyzing test. No CRITICAL issue in this patch. Auto reported by kwscan@kw-srv2.bj.intel.com"/>
    <m/>
    <m/>
    <s v="john.mathew@intel.com"/>
    <x v="0"/>
    <x v="5"/>
    <s v=""/>
    <x v="2"/>
    <s v=""/>
    <s v=""/>
    <s v=""/>
    <s v=""/>
    <s v=""/>
    <s v=""/>
    <s v=""/>
    <x v="0"/>
    <x v="0"/>
    <x v="0"/>
  </r>
  <r>
    <x v="57"/>
    <m/>
    <m/>
    <m/>
    <m/>
    <m/>
    <m/>
    <m/>
    <m/>
    <m/>
    <m/>
    <m/>
    <x v="9"/>
    <d v="2016-01-13T18:57:00"/>
    <s v="Patch Set 11:\n\nPassed Klocwork code analyzing test. No CRITICAL issue in this patch. Auto reported by kwscan@andr-val-srv0.bj.intel.com"/>
    <m/>
    <m/>
    <s v="john.mathew@intel.com"/>
    <x v="0"/>
    <x v="5"/>
    <s v=""/>
    <x v="2"/>
    <s v=""/>
    <s v=""/>
    <s v=""/>
    <s v=""/>
    <s v=""/>
    <s v=""/>
    <s v=""/>
    <x v="0"/>
    <x v="0"/>
    <x v="0"/>
  </r>
  <r>
    <x v="57"/>
    <m/>
    <m/>
    <m/>
    <m/>
    <m/>
    <m/>
    <m/>
    <m/>
    <m/>
    <m/>
    <m/>
    <x v="9"/>
    <d v="2016-01-13T19:25:00"/>
    <s v="Patch Set 11:\n\nPassed Klocwork code analyzing test. No CRITICAL issue in this patch. Auto reported by kwscan@psi-build5.bj.intel.com"/>
    <m/>
    <m/>
    <s v="john.mathew@intel.com"/>
    <x v="0"/>
    <x v="5"/>
    <s v=""/>
    <x v="2"/>
    <s v=""/>
    <s v=""/>
    <s v=""/>
    <s v=""/>
    <s v=""/>
    <s v=""/>
    <s v=""/>
    <x v="0"/>
    <x v="0"/>
    <x v="0"/>
  </r>
  <r>
    <x v="57"/>
    <m/>
    <m/>
    <m/>
    <m/>
    <m/>
    <m/>
    <m/>
    <m/>
    <m/>
    <m/>
    <m/>
    <x v="9"/>
    <d v="2016-01-13T20:31:00"/>
    <s v="Patch Set 11:\n\nPassed Klocwork code analyzing test. No CRITICAL issue in this patch. Auto reported by kwscan@kw-srv2.bj.intel.com"/>
    <m/>
    <m/>
    <s v="john.mathew@intel.com"/>
    <x v="0"/>
    <x v="5"/>
    <s v=""/>
    <x v="2"/>
    <s v=""/>
    <s v=""/>
    <s v=""/>
    <s v=""/>
    <s v=""/>
    <s v=""/>
    <s v=""/>
    <x v="0"/>
    <x v="0"/>
    <x v="0"/>
  </r>
  <r>
    <x v="57"/>
    <m/>
    <m/>
    <m/>
    <m/>
    <m/>
    <m/>
    <m/>
    <m/>
    <m/>
    <m/>
    <m/>
    <x v="9"/>
    <d v="2016-01-14T03:12:00"/>
    <s v="Patch Set 11:\n\nPassed Klocwork code analyzing test. No CRITICAL issue in this patch. Auto reported by kwscan@andr-val-srv0.bj.intel.com"/>
    <m/>
    <m/>
    <s v="john.mathew@intel.com"/>
    <x v="0"/>
    <x v="5"/>
    <s v=""/>
    <x v="2"/>
    <s v=""/>
    <s v=""/>
    <s v=""/>
    <s v=""/>
    <s v=""/>
    <s v=""/>
    <s v=""/>
    <x v="0"/>
    <x v="0"/>
    <x v="0"/>
  </r>
  <r>
    <x v="57"/>
    <m/>
    <m/>
    <m/>
    <m/>
    <m/>
    <m/>
    <m/>
    <m/>
    <m/>
    <m/>
    <m/>
    <x v="9"/>
    <d v="2016-01-14T16:20:00"/>
    <s v="Patch Set 11: Integrator-1\n\nSofia 3GR PIT test failed; so patch nogo"/>
    <m/>
    <m/>
    <s v="john.mathew@intel.com"/>
    <x v="0"/>
    <x v="5"/>
    <s v=""/>
    <x v="2"/>
    <s v=""/>
    <s v=""/>
    <s v=""/>
    <s v=""/>
    <s v=""/>
    <s v=""/>
    <s v=""/>
    <x v="0"/>
    <x v="1"/>
    <x v="0"/>
  </r>
  <r>
    <x v="57"/>
    <m/>
    <m/>
    <m/>
    <m/>
    <m/>
    <m/>
    <m/>
    <m/>
    <m/>
    <m/>
    <m/>
    <x v="9"/>
    <d v="2016-01-14T16:22:00"/>
    <s v="Patch Set 11: Integrator+1\n\nIntegrator +1; patch will be add to PT; please no change now"/>
    <m/>
    <m/>
    <s v="john.mathew@intel.com"/>
    <x v="0"/>
    <x v="5"/>
    <s v=""/>
    <x v="2"/>
    <s v=""/>
    <s v=""/>
    <s v=""/>
    <s v=""/>
    <s v=""/>
    <s v=""/>
    <s v=""/>
    <x v="0"/>
    <x v="1"/>
    <x v="0"/>
  </r>
  <r>
    <x v="57"/>
    <m/>
    <m/>
    <m/>
    <m/>
    <m/>
    <m/>
    <m/>
    <m/>
    <m/>
    <m/>
    <m/>
    <x v="9"/>
    <d v="2016-01-14T19:51:00"/>
    <s v="Patch Set 11:\n\nPassed Klocwork code analyzing test. No CRITICAL issue in this patch. Auto reported by kwscan@kw-srv2.bj.intel.com"/>
    <m/>
    <m/>
    <s v="john.mathew@intel.com"/>
    <x v="0"/>
    <x v="5"/>
    <s v=""/>
    <x v="2"/>
    <s v=""/>
    <s v=""/>
    <s v=""/>
    <s v=""/>
    <s v=""/>
    <s v=""/>
    <s v=""/>
    <x v="0"/>
    <x v="0"/>
    <x v="0"/>
  </r>
  <r>
    <x v="57"/>
    <m/>
    <m/>
    <m/>
    <m/>
    <m/>
    <m/>
    <m/>
    <m/>
    <m/>
    <m/>
    <m/>
    <x v="9"/>
    <d v="2016-01-14T22:12:00"/>
    <s v="Patch Set 11:\n\nPassed Klocwork code analyzing test. No CRITICAL issue in this patch. Auto reported by kwscan@andr-val-srv0.bj.intel.com"/>
    <m/>
    <m/>
    <s v="john.mathew@intel.com"/>
    <x v="0"/>
    <x v="5"/>
    <s v=""/>
    <x v="2"/>
    <s v=""/>
    <s v=""/>
    <s v=""/>
    <s v=""/>
    <s v=""/>
    <s v=""/>
    <s v=""/>
    <x v="0"/>
    <x v="0"/>
    <x v="0"/>
  </r>
  <r>
    <x v="57"/>
    <m/>
    <m/>
    <m/>
    <m/>
    <m/>
    <m/>
    <m/>
    <m/>
    <m/>
    <m/>
    <m/>
    <x v="9"/>
    <d v="2016-01-14T23:06:00"/>
    <s v="Patch Set 11:\n\nPassed Klocwork code analyzing test. No CRITICAL issue in this patch. Auto reported by kwscan@kw-srv2.bj.intel.com"/>
    <m/>
    <m/>
    <s v="john.mathew@intel.com"/>
    <x v="0"/>
    <x v="5"/>
    <s v=""/>
    <x v="2"/>
    <s v=""/>
    <s v=""/>
    <s v=""/>
    <s v=""/>
    <s v=""/>
    <s v=""/>
    <s v=""/>
    <x v="0"/>
    <x v="0"/>
    <x v="0"/>
  </r>
  <r>
    <x v="57"/>
    <m/>
    <m/>
    <m/>
    <m/>
    <m/>
    <m/>
    <m/>
    <m/>
    <m/>
    <m/>
    <m/>
    <x v="9"/>
    <d v="2016-01-15T14:52:00"/>
    <s v="Patch Set 11:\n\nPassed Klocwork code analyzing test. No CRITICAL issue in this patch. Auto reported by kwscan@psi-build5.bj.intel.com"/>
    <m/>
    <m/>
    <s v="john.mathew@intel.com"/>
    <x v="0"/>
    <x v="5"/>
    <s v=""/>
    <x v="2"/>
    <s v=""/>
    <s v=""/>
    <s v=""/>
    <s v=""/>
    <s v=""/>
    <s v=""/>
    <s v=""/>
    <x v="0"/>
    <x v="0"/>
    <x v="0"/>
  </r>
  <r>
    <x v="57"/>
    <m/>
    <m/>
    <m/>
    <m/>
    <m/>
    <m/>
    <m/>
    <m/>
    <m/>
    <m/>
    <m/>
    <x v="9"/>
    <d v="2016-01-15T15:04:00"/>
    <s v="Patch Set 11: Code-Review+1\n\nPassed PIT; ready for merge"/>
    <m/>
    <m/>
    <s v="john.mathew@intel.com"/>
    <x v="0"/>
    <x v="5"/>
    <s v=""/>
    <x v="2"/>
    <s v=""/>
    <s v=""/>
    <s v=""/>
    <s v=""/>
    <s v=""/>
    <s v=""/>
    <s v=""/>
    <x v="0"/>
    <x v="0"/>
    <x v="0"/>
  </r>
  <r>
    <x v="57"/>
    <m/>
    <m/>
    <m/>
    <m/>
    <m/>
    <m/>
    <m/>
    <m/>
    <m/>
    <m/>
    <m/>
    <x v="9"/>
    <d v="2016-01-15T17:54:00"/>
    <s v="Patch Set 11:\n\nPassed Klocwork code analyzing test. No CRITICAL issue in this patch. Auto reported by kwscan@andr-val-srv0.bj.intel.com"/>
    <m/>
    <m/>
    <s v="john.mathew@intel.com"/>
    <x v="0"/>
    <x v="5"/>
    <s v=""/>
    <x v="2"/>
    <s v=""/>
    <s v=""/>
    <s v=""/>
    <s v=""/>
    <s v=""/>
    <s v=""/>
    <s v=""/>
    <x v="0"/>
    <x v="0"/>
    <x v="0"/>
  </r>
  <r>
    <x v="58"/>
    <n v="91736"/>
    <s v="vied-viedandr-camera3hal"/>
    <s v="platform/android/main"/>
    <s v="I662a5f2d6d467e43b90953e4f6061ed20555c2d2"/>
    <s v="huitao.cao@intel.com"/>
    <s v="MERGED"/>
    <s v="c3: Save multiple CPFs for every sensor"/>
    <s v="c3: Save multiple CPFs for every sensor\n\nIt is required that camera HAL support multiple CPFs for one sensor.\nCPF files for a given sensor will have a name with the following\nstructure:\n &lt;cameraId&gt;&lt;sensor_name&gt;.&lt;frame_use&gt;.&lt;device_id&gt;.aiqb\nex:\n 00imx214.preview.bxt_rvp.aiqb\n 00imx214.video.bxt_rvp.aiqb\n 00imx214.still.bxt_rvp.aiqb etc.\nFrame_use and device_id are optional parts.\nWhen frame_use is absent; it is treat as the \default\ one.\n\nThis patch loads multiple CPFs and stores them in PlatformData::\nsKnownCPFConfigurations.\n\nPlatformData::sKnownCPFConfigurations is an array of CpfStore. Its\nsize is still equal to the number of cameras.\nPreviously; there is only one AiqConf object in CpfStore. To support\nmultiple CPFs; a vector of AiqConf is stored; using a string that\nidentifies the frame use mode as the key:\n KeyedVector&lt;String8; AiqConf&gt; AiqConfig;\n\nWhen constructing CpfStore;\n1. Find out all the file names that match the cameraId; sensor_name\n and device_id.\n2. For every available CPF file; parse the frame use mode. The frame\n use mode of file &lt;cameraId&gt;&lt;sensor_name&gt;.&lt;device_id&gt;.aiqb is set\n to be \default\.\n3. Load the CPFs; store it in the KeyedVector AiqConfig; using frame\n use mode as the key.\n\nWhen calling PlatformData::getAiqConfiguration(); the camera ID\nshould be passed as the input. And frame use mode is optional.\nBy default; the \default\ CPF will be accessed.\n\nChange-Id: I662a5f2d6d467e43b90953e4f6061ed20555c2d2\nTracked-On: #H1504132530\nSigned-off-by: Cao Huitao &lt;huitao.cao@intel.com&gt;\nReviewed-on: https://icggerrit.ir.intel.com/91736\nReviewed-by: Jingzhi Yu &lt;jingzhi.yu@intel.com&gt;\nReviewed-by: Wei W Sun &lt;wei.w.sun@intel.com&gt;\nBuild: Dessert M BXT RVP (SC)\nBuild: Dessert M CHT FFD (SC)\nBuild: Dessert M SOFIA (SC)\nReviewed-by: Miguel Verdu &lt;miguel.verdu@intel.com&gt;\nReviewed-by: Lassi I Vaatamoinen &lt;lassi.i.vaatamoinen@intel.com&gt;\nApprover: Qingwu Zhang &lt;qingwu.zhang@intel.com&gt;\nReviewed-by: Qingwu Zhang &lt;qingwu.zhang@intel.com&gt;\nValidation-Android: Wei Tao &lt;wei.tao@intel.com&gt;\nIntegrator: WeiX Meng &lt;weix.meng@intel.com&gt;\nReviewed-by: WeiX Meng &lt;weix.meng@intel.com&gt;\n"/>
    <d v="2015-12-23T13:31:00"/>
    <d v="2016-01-15T15:21:00"/>
    <s v="common"/>
    <x v="7"/>
    <d v="2015-12-23T13:31:00"/>
    <s v="Uploaded patch set 1."/>
    <m/>
    <s v="weix.meng@intel.com;wei.w.sun@intel.com;jingzhi.yu@intel.com;qingwu.zhang@intel.com;lassi.i.vaatamoinen@intel.com;miguel.verdu@intel.com;ukri.niemimuukko@intel.com;"/>
    <s v="huitao.cao@intel.com"/>
    <x v="3"/>
    <x v="0"/>
    <s v="16'ww3"/>
    <x v="2"/>
    <n v="4"/>
    <n v="1"/>
    <n v="3"/>
    <n v="0"/>
    <n v="8"/>
    <n v="14"/>
    <n v="0"/>
    <x v="0"/>
    <x v="0"/>
    <x v="0"/>
  </r>
  <r>
    <x v="58"/>
    <m/>
    <m/>
    <m/>
    <m/>
    <m/>
    <m/>
    <m/>
    <m/>
    <m/>
    <m/>
    <m/>
    <x v="7"/>
    <d v="2015-12-23T13:31:00"/>
    <s v="Patch Set 1:\n\nPatchset Created: CI job has been scheduled."/>
    <m/>
    <m/>
    <s v="huitao.cao@intel.com"/>
    <x v="3"/>
    <x v="0"/>
    <s v=""/>
    <x v="2"/>
    <s v=""/>
    <s v=""/>
    <s v=""/>
    <s v=""/>
    <s v=""/>
    <s v=""/>
    <s v=""/>
    <x v="0"/>
    <x v="0"/>
    <x v="0"/>
  </r>
  <r>
    <x v="58"/>
    <m/>
    <m/>
    <m/>
    <m/>
    <m/>
    <m/>
    <m/>
    <m/>
    <m/>
    <m/>
    <m/>
    <x v="7"/>
    <d v="2015-12-23T13:36:00"/>
    <s v="Uploaded patch set 2."/>
    <m/>
    <m/>
    <s v="huitao.cao@intel.com"/>
    <x v="3"/>
    <x v="0"/>
    <s v=""/>
    <x v="2"/>
    <s v=""/>
    <s v=""/>
    <s v=""/>
    <s v=""/>
    <s v=""/>
    <s v=""/>
    <s v=""/>
    <x v="0"/>
    <x v="0"/>
    <x v="0"/>
  </r>
  <r>
    <x v="58"/>
    <m/>
    <m/>
    <m/>
    <m/>
    <m/>
    <m/>
    <m/>
    <m/>
    <m/>
    <m/>
    <m/>
    <x v="7"/>
    <d v="2015-12-23T13:36:00"/>
    <s v="Patch Set 2:\n\nPatchset Created: CI job has been scheduled."/>
    <m/>
    <m/>
    <s v="huitao.cao@intel.com"/>
    <x v="3"/>
    <x v="0"/>
    <s v=""/>
    <x v="2"/>
    <s v=""/>
    <s v=""/>
    <s v=""/>
    <s v=""/>
    <s v=""/>
    <s v=""/>
    <s v=""/>
    <x v="0"/>
    <x v="0"/>
    <x v="0"/>
  </r>
  <r>
    <x v="58"/>
    <m/>
    <m/>
    <m/>
    <m/>
    <m/>
    <m/>
    <m/>
    <m/>
    <m/>
    <m/>
    <m/>
    <x v="7"/>
    <d v="2015-12-23T13:48:00"/>
    <s v="Patch Set 2:\n\n(1 comment)"/>
    <s v="line137 :&quot;As we should not change static metadata on fly; one assumption is that tuning team must make sure that the CMCs keep the same between CPFs of the same sensor.\nSo here fillStaticMetadataFromCMC() is called just once for filling the static metadata.\n \nI called initCMC for every AiqConfig. But actually in fillStaticMetadataFromCMC(); AiqConf::mMetadata and AiqConf::mLightSourceMap are also initialized besides mCMC. But I find that they are not used at all except for filling the static metadata. Do you think I should initialize them for every AiqConfig as well?&quot;"/>
    <m/>
    <s v="huitao.cao@intel.com"/>
    <x v="3"/>
    <x v="0"/>
    <s v=""/>
    <x v="2"/>
    <s v=""/>
    <s v=""/>
    <s v=""/>
    <s v=""/>
    <s v=""/>
    <s v=""/>
    <s v=""/>
    <x v="0"/>
    <x v="0"/>
    <x v="0"/>
  </r>
  <r>
    <x v="58"/>
    <m/>
    <m/>
    <m/>
    <m/>
    <m/>
    <m/>
    <m/>
    <m/>
    <m/>
    <m/>
    <m/>
    <x v="7"/>
    <d v="2015-12-24T15:25:00"/>
    <s v="Uploaded patch set 3."/>
    <m/>
    <m/>
    <s v="huitao.cao@intel.com"/>
    <x v="3"/>
    <x v="0"/>
    <s v=""/>
    <x v="2"/>
    <s v=""/>
    <s v=""/>
    <s v=""/>
    <s v=""/>
    <s v=""/>
    <s v=""/>
    <s v=""/>
    <x v="0"/>
    <x v="0"/>
    <x v="0"/>
  </r>
  <r>
    <x v="58"/>
    <m/>
    <m/>
    <m/>
    <m/>
    <m/>
    <m/>
    <m/>
    <m/>
    <m/>
    <m/>
    <m/>
    <x v="7"/>
    <d v="2015-12-24T15:25:00"/>
    <s v="Patch Set 3:\n\nPatchset Created: CI job has been scheduled."/>
    <m/>
    <m/>
    <s v="huitao.cao@intel.com"/>
    <x v="3"/>
    <x v="0"/>
    <s v=""/>
    <x v="2"/>
    <s v=""/>
    <s v=""/>
    <s v=""/>
    <s v=""/>
    <s v=""/>
    <s v=""/>
    <s v=""/>
    <x v="0"/>
    <x v="0"/>
    <x v="0"/>
  </r>
  <r>
    <x v="58"/>
    <m/>
    <m/>
    <m/>
    <m/>
    <m/>
    <m/>
    <m/>
    <m/>
    <m/>
    <m/>
    <m/>
    <x v="7"/>
    <d v="2015-12-28T11:33:00"/>
    <s v="Patch Set 3: Code-Review+1"/>
    <m/>
    <m/>
    <s v="huitao.cao@intel.com"/>
    <x v="3"/>
    <x v="0"/>
    <s v=""/>
    <x v="2"/>
    <s v=""/>
    <s v=""/>
    <s v=""/>
    <s v=""/>
    <s v=""/>
    <s v=""/>
    <s v=""/>
    <x v="0"/>
    <x v="0"/>
    <x v="0"/>
  </r>
  <r>
    <x v="58"/>
    <m/>
    <m/>
    <m/>
    <m/>
    <m/>
    <m/>
    <m/>
    <m/>
    <m/>
    <m/>
    <m/>
    <x v="6"/>
    <d v="2015-12-30T15:57:00"/>
    <s v="Patch Set 3: Code-Review-1\n\n(4 comments)\n\nNot much to say about the code. Commit message can be slightly cleaned up."/>
    <s v="line45 :&quot;missing&quot; line23 :&quot;Grammar. http://grammarist.com/spelling/its-its/\n\n-&gt; its&quot; line20 :&quot;typo. -&gt; PlatformData&quot; line40 :&quot;grammar. either use\n1) an option\nOR JUST\n2) optional\n\nI think you meant more nr. 2.&quot;"/>
    <m/>
    <s v="huitao.cao@intel.com"/>
    <x v="3"/>
    <x v="1"/>
    <s v=""/>
    <x v="2"/>
    <s v=""/>
    <s v=""/>
    <s v=""/>
    <s v=""/>
    <s v=""/>
    <s v=""/>
    <s v=""/>
    <x v="1"/>
    <x v="0"/>
    <x v="0"/>
  </r>
  <r>
    <x v="58"/>
    <m/>
    <m/>
    <m/>
    <m/>
    <m/>
    <m/>
    <m/>
    <m/>
    <m/>
    <m/>
    <m/>
    <x v="6"/>
    <d v="2015-12-30T16:05:00"/>
    <s v="Patch Set 3:\n\n(1 comment)"/>
    <s v="line30 :&quot;constructing&quot;"/>
    <m/>
    <s v="huitao.cao@intel.com"/>
    <x v="3"/>
    <x v="1"/>
    <s v=""/>
    <x v="2"/>
    <s v=""/>
    <s v=""/>
    <s v=""/>
    <s v=""/>
    <s v=""/>
    <s v=""/>
    <s v=""/>
    <x v="0"/>
    <x v="0"/>
    <x v="0"/>
  </r>
  <r>
    <x v="58"/>
    <m/>
    <m/>
    <m/>
    <m/>
    <m/>
    <m/>
    <m/>
    <m/>
    <m/>
    <m/>
    <m/>
    <x v="6"/>
    <d v="2015-12-30T16:10:00"/>
    <s v="Patch Set 2:\n\n(1 comment)"/>
    <s v="line137 :&quot;You could write a comment a warning for the sake of future about mMetadata and mLightsourceMap.\n\nBut regarding the static metadata; you are correct. We can only provide it once and therefore the aiqb files can not change certain things. This must be communicated to the tuning team!&quot;"/>
    <m/>
    <s v="huitao.cao@intel.com"/>
    <x v="3"/>
    <x v="1"/>
    <s v=""/>
    <x v="2"/>
    <s v=""/>
    <s v=""/>
    <s v=""/>
    <s v=""/>
    <s v=""/>
    <s v=""/>
    <s v=""/>
    <x v="0"/>
    <x v="0"/>
    <x v="0"/>
  </r>
  <r>
    <x v="58"/>
    <m/>
    <m/>
    <m/>
    <m/>
    <m/>
    <m/>
    <m/>
    <m/>
    <m/>
    <m/>
    <m/>
    <x v="7"/>
    <d v="2015-12-30T16:12:00"/>
    <s v="Patch Set 3:\n\n(1 comment)"/>
    <s v="line137 :&quot;Yes I see that in AiqConf::fillStaticMetadataFromCMC() it will check if the metadata has been filled. But since now we have a vector of AiqConf; and every of them has their own mMetadata. I think by calling AiqConf::fillStaticMetadataFromCMC() multiple times; it will write the metadata multiple times as well. Because for every AiqConf element; when this function is called; the mMetadata is NULL.&quot;"/>
    <m/>
    <s v="huitao.cao@intel.com"/>
    <x v="3"/>
    <x v="0"/>
    <s v=""/>
    <x v="2"/>
    <s v=""/>
    <s v=""/>
    <s v=""/>
    <s v=""/>
    <s v=""/>
    <s v=""/>
    <s v=""/>
    <x v="0"/>
    <x v="0"/>
    <x v="0"/>
  </r>
  <r>
    <x v="58"/>
    <m/>
    <m/>
    <m/>
    <m/>
    <m/>
    <m/>
    <m/>
    <m/>
    <m/>
    <m/>
    <m/>
    <x v="0"/>
    <d v="2015-12-30T17:19:00"/>
    <s v="Patch Set 3: Code-Review-1\n\n(2 comments)"/>
    <s v="line137 :&quot;mLightSourceMap could be a local variable; not a member variable.\nBut mMetadata is used to detect if the static meta has already been written. See CameraConf.cpp line ~205\nSo I would leave it. Then you can leave this code as it was; call fillStaticMetaFromCMC multiple time; but it will only write the metadata once. you can keep initCMC private.&quot; line97 :&quot;now that you are touching this; can you rename it to follow the naming convention--&gt; mAiqConfig&quot;"/>
    <m/>
    <s v="huitao.cao@intel.com"/>
    <x v="3"/>
    <x v="1"/>
    <s v=""/>
    <x v="2"/>
    <s v=""/>
    <s v=""/>
    <s v=""/>
    <s v=""/>
    <s v=""/>
    <s v=""/>
    <s v=""/>
    <x v="1"/>
    <x v="0"/>
    <x v="0"/>
  </r>
  <r>
    <x v="58"/>
    <m/>
    <m/>
    <m/>
    <m/>
    <m/>
    <m/>
    <m/>
    <m/>
    <m/>
    <m/>
    <m/>
    <x v="0"/>
    <d v="2015-12-30T17:58:00"/>
    <s v="Patch Set 3:\n\n(4 comments)"/>
    <s v="line136 :&quot;is it not a bit dangerous to have 2 variables named the same way? I mean the index of both for loops is i; can you rename it. It is confusing&quot; line642 :&quot;update documentation&quot; line814 :&quot;device id is optional&quot; line827 :&quot;surely you can do this in a bit more C++ way.&quot;"/>
    <m/>
    <s v="huitao.cao@intel.com"/>
    <x v="3"/>
    <x v="1"/>
    <s v=""/>
    <x v="2"/>
    <s v=""/>
    <s v=""/>
    <s v=""/>
    <s v=""/>
    <s v=""/>
    <s v=""/>
    <s v=""/>
    <x v="0"/>
    <x v="0"/>
    <x v="0"/>
  </r>
  <r>
    <x v="58"/>
    <m/>
    <m/>
    <m/>
    <m/>
    <m/>
    <m/>
    <m/>
    <m/>
    <m/>
    <m/>
    <m/>
    <x v="12"/>
    <d v="2015-12-30T22:33:00"/>
    <s v="Patch Set 3: Code-Review-1\n\n(12 comments)"/>
    <s v="line916 :&quot;fix indent&quot; line905 :&quot;fix indent&quot; line537 :&quot;remove __FUNCTION__ trace from LOGE&quot; line590 :&quot;when updating the comment; this can be removed&quot; line642 :&quot;Also;when doing that; note the correct Doxygen formatting; e.g.; for \\param tag: http://www.stack.nl/~dimitri/doxygen/manual/docblocks.html\n\n\\param[in] path ...\n\\param[out] cpfName ...&quot; line821 :&quot;add needed documentation:\n\\param[in]\n\\param[out]&quot; line826 :&quot;Please use more descriptive naming for variables (for cp1; cp2; cp3)&quot; line855 :&quot;While touchign this; the whole \&quot;if\&quot; can be removed; since we only 'return ret' anyways.&quot; line872 :&quot;bad indent&quot; line882 :&quot;fix indent&quot; line253 :&quot;instead of additional return; you could use the 'ret' variable which we had before.&quot; line239 :&quot;remove __FUNCTION__ from LOGE() trace. Due to LOGE/LOGW are visible in production ('user') builds.&quot;"/>
    <m/>
    <s v="huitao.cao@intel.com"/>
    <x v="3"/>
    <x v="1"/>
    <s v=""/>
    <x v="2"/>
    <s v=""/>
    <s v=""/>
    <s v=""/>
    <s v=""/>
    <s v=""/>
    <s v=""/>
    <s v=""/>
    <x v="1"/>
    <x v="0"/>
    <x v="0"/>
  </r>
  <r>
    <x v="58"/>
    <m/>
    <m/>
    <m/>
    <m/>
    <m/>
    <m/>
    <m/>
    <m/>
    <m/>
    <m/>
    <m/>
    <x v="7"/>
    <d v="2016-01-04T15:17:00"/>
    <s v="Patch Set 3:\n\n(20 comments)"/>
    <s v="line916 :&quot;Done&quot; line905 :&quot;Done&quot; line137 :&quot;As we should not change static metadata on fly; one assumption is that tuning team must make sure that the CMCs keep the same between CPFs of the same sensor.\nSo here fillStaticMetadataFromCMC() is called just once for filling the static metadata.\n\nI called initCMC for every AiqConfig. But actually in fillStaticMetadataFromCMC(); AiqConf::mMetadata and AiqConf::mLightSourceMap are also initialized besides mCMC. But I find that they are not used at all except for filling the static metadata. Do you think is it necessary that I initialize them for every AiqConfig as well?\n\nMay I just remove mMetadata since no one refers to it?&quot; line136 :&quot;Done&quot; line97 :&quot;Done&quot; line882 :&quot;Done&quot; line537 :&quot;Done&quot; line590 :&quot;Done&quot; line642 :&quot;Done&quot; line642 :&quot;Done&quot; line814 :&quot;I'll rewrite this function since device id is optional too.&quot; line855 :&quot;Done&quot; line872 :&quot;Done&quot; line253 :&quot;Done&quot; line239 :&quot;Done&quot; line45 :&quot;Done&quot; line23 :&quot;Done&quot; line20 :&quot;Done&quot; line40 :&quot;Done&quot; line30 :&quot;Done&quot;"/>
    <m/>
    <s v="huitao.cao@intel.com"/>
    <x v="3"/>
    <x v="0"/>
    <s v=""/>
    <x v="2"/>
    <s v=""/>
    <s v=""/>
    <s v=""/>
    <s v=""/>
    <s v=""/>
    <s v=""/>
    <s v=""/>
    <x v="0"/>
    <x v="0"/>
    <x v="0"/>
  </r>
  <r>
    <x v="58"/>
    <m/>
    <m/>
    <m/>
    <m/>
    <m/>
    <m/>
    <m/>
    <m/>
    <m/>
    <m/>
    <m/>
    <x v="7"/>
    <d v="2016-01-04T15:18:00"/>
    <s v="Uploaded patch set 4."/>
    <m/>
    <m/>
    <s v="huitao.cao@intel.com"/>
    <x v="3"/>
    <x v="0"/>
    <s v=""/>
    <x v="2"/>
    <s v=""/>
    <s v=""/>
    <s v=""/>
    <s v=""/>
    <s v=""/>
    <s v=""/>
    <s v=""/>
    <x v="0"/>
    <x v="0"/>
    <x v="0"/>
  </r>
  <r>
    <x v="58"/>
    <m/>
    <m/>
    <m/>
    <m/>
    <m/>
    <m/>
    <m/>
    <m/>
    <m/>
    <m/>
    <m/>
    <x v="7"/>
    <d v="2016-01-04T15:18:00"/>
    <s v="Patch Set 4:\n\nPatchset Created: CI job has been scheduled."/>
    <m/>
    <m/>
    <s v="huitao.cao@intel.com"/>
    <x v="3"/>
    <x v="0"/>
    <s v=""/>
    <x v="2"/>
    <s v=""/>
    <s v=""/>
    <s v=""/>
    <s v=""/>
    <s v=""/>
    <s v=""/>
    <s v=""/>
    <x v="0"/>
    <x v="0"/>
    <x v="0"/>
  </r>
  <r>
    <x v="58"/>
    <m/>
    <m/>
    <m/>
    <m/>
    <m/>
    <m/>
    <m/>
    <m/>
    <m/>
    <m/>
    <m/>
    <x v="7"/>
    <d v="2016-01-04T16:10:00"/>
    <s v="Patch Set 4: Code-Review+1"/>
    <m/>
    <m/>
    <s v="huitao.cao@intel.com"/>
    <x v="3"/>
    <x v="0"/>
    <s v=""/>
    <x v="2"/>
    <s v=""/>
    <s v=""/>
    <s v=""/>
    <s v=""/>
    <s v=""/>
    <s v=""/>
    <s v=""/>
    <x v="0"/>
    <x v="0"/>
    <x v="0"/>
  </r>
  <r>
    <x v="58"/>
    <m/>
    <m/>
    <m/>
    <m/>
    <m/>
    <m/>
    <m/>
    <m/>
    <m/>
    <m/>
    <m/>
    <x v="7"/>
    <d v="2016-01-04T16:38:00"/>
    <s v="Uploaded patch set 5."/>
    <m/>
    <m/>
    <s v="huitao.cao@intel.com"/>
    <x v="3"/>
    <x v="0"/>
    <s v=""/>
    <x v="2"/>
    <s v=""/>
    <s v=""/>
    <s v=""/>
    <s v=""/>
    <s v=""/>
    <s v=""/>
    <s v=""/>
    <x v="0"/>
    <x v="0"/>
    <x v="0"/>
  </r>
  <r>
    <x v="58"/>
    <m/>
    <m/>
    <m/>
    <m/>
    <m/>
    <m/>
    <m/>
    <m/>
    <m/>
    <m/>
    <m/>
    <x v="7"/>
    <d v="2016-01-04T16:38:00"/>
    <s v="Patch Set 5:\n\nPatchset Created: CI job has been scheduled."/>
    <m/>
    <m/>
    <s v="huitao.cao@intel.com"/>
    <x v="3"/>
    <x v="0"/>
    <s v=""/>
    <x v="2"/>
    <s v=""/>
    <s v=""/>
    <s v=""/>
    <s v=""/>
    <s v=""/>
    <s v=""/>
    <s v=""/>
    <x v="0"/>
    <x v="0"/>
    <x v="0"/>
  </r>
  <r>
    <x v="58"/>
    <m/>
    <m/>
    <m/>
    <m/>
    <m/>
    <m/>
    <m/>
    <m/>
    <m/>
    <m/>
    <m/>
    <x v="7"/>
    <d v="2016-01-04T16:39:00"/>
    <s v="Patch Set 5: Code-Review+1"/>
    <m/>
    <m/>
    <s v="huitao.cao@intel.com"/>
    <x v="3"/>
    <x v="0"/>
    <s v=""/>
    <x v="2"/>
    <s v=""/>
    <s v=""/>
    <s v=""/>
    <s v=""/>
    <s v=""/>
    <s v=""/>
    <s v=""/>
    <x v="0"/>
    <x v="0"/>
    <x v="0"/>
  </r>
  <r>
    <x v="58"/>
    <m/>
    <m/>
    <m/>
    <m/>
    <m/>
    <m/>
    <m/>
    <m/>
    <m/>
    <m/>
    <m/>
    <x v="12"/>
    <d v="2016-01-04T16:55:00"/>
    <s v="Patch Set 5:\n\n(3 comments)"/>
    <s v="line136 :&quot;As you use the Doxy-comment marker; /; this comment will show up in generated Doxygen document. Is it intentional?&quot; line835 :&quot;or CPF_MODE_DEFAULT ?&quot; line839 :&quot;in the other patch you hae const String8 CPF_MODE_DEFAULT. Should use it here.&quot;"/>
    <m/>
    <s v="huitao.cao@intel.com"/>
    <x v="3"/>
    <x v="1"/>
    <s v=""/>
    <x v="2"/>
    <s v=""/>
    <s v=""/>
    <s v=""/>
    <s v=""/>
    <s v=""/>
    <s v=""/>
    <s v=""/>
    <x v="0"/>
    <x v="0"/>
    <x v="0"/>
  </r>
  <r>
    <x v="58"/>
    <m/>
    <m/>
    <m/>
    <m/>
    <m/>
    <m/>
    <m/>
    <m/>
    <m/>
    <m/>
    <m/>
    <x v="12"/>
    <d v="2016-01-04T16:57:00"/>
    <s v="Patch Set 5:\n\n(2 comments)"/>
    <s v="line834 :&quot;semicolons can be removed from the \\param lines. Doxygen does not need additional delimiters (generated docs will have extra semicolons showing; if these are present)&quot; line835 :&quot;ideally this comment should say \&quot;default\&quot;; unless listed in the frameModeList&quot;"/>
    <m/>
    <s v="huitao.cao@intel.com"/>
    <x v="3"/>
    <x v="1"/>
    <s v=""/>
    <x v="2"/>
    <s v=""/>
    <s v=""/>
    <s v=""/>
    <s v=""/>
    <s v=""/>
    <s v=""/>
    <s v=""/>
    <x v="0"/>
    <x v="0"/>
    <x v="0"/>
  </r>
  <r>
    <x v="58"/>
    <m/>
    <m/>
    <m/>
    <m/>
    <m/>
    <m/>
    <m/>
    <m/>
    <m/>
    <m/>
    <m/>
    <x v="6"/>
    <d v="2016-01-04T17:07:00"/>
    <s v="Patch Set 5: -Code-Review\n\n(1 comment)"/>
    <s v="line45 :&quot;while fixing Lassi's comments; make your signed-off the last line.&quot;"/>
    <m/>
    <s v="huitao.cao@intel.com"/>
    <x v="3"/>
    <x v="1"/>
    <s v=""/>
    <x v="2"/>
    <s v=""/>
    <s v=""/>
    <s v=""/>
    <s v=""/>
    <s v=""/>
    <s v=""/>
    <s v=""/>
    <x v="0"/>
    <x v="0"/>
    <x v="0"/>
  </r>
  <r>
    <x v="58"/>
    <m/>
    <m/>
    <m/>
    <m/>
    <m/>
    <m/>
    <m/>
    <m/>
    <m/>
    <m/>
    <m/>
    <x v="7"/>
    <d v="2016-01-07T15:42:00"/>
    <s v="Uploaded patch set 6."/>
    <m/>
    <m/>
    <s v="huitao.cao@intel.com"/>
    <x v="3"/>
    <x v="0"/>
    <s v=""/>
    <x v="2"/>
    <s v=""/>
    <s v=""/>
    <s v=""/>
    <s v=""/>
    <s v=""/>
    <s v=""/>
    <s v=""/>
    <x v="0"/>
    <x v="0"/>
    <x v="0"/>
  </r>
  <r>
    <x v="58"/>
    <m/>
    <m/>
    <m/>
    <m/>
    <m/>
    <m/>
    <m/>
    <m/>
    <m/>
    <m/>
    <m/>
    <x v="7"/>
    <d v="2016-01-07T15:42:00"/>
    <s v="Patch Set 6:\n\nPatchset Created: CI job has been scheduled."/>
    <m/>
    <m/>
    <s v="huitao.cao@intel.com"/>
    <x v="3"/>
    <x v="0"/>
    <s v=""/>
    <x v="2"/>
    <s v=""/>
    <s v=""/>
    <s v=""/>
    <s v=""/>
    <s v=""/>
    <s v=""/>
    <s v=""/>
    <x v="0"/>
    <x v="0"/>
    <x v="0"/>
  </r>
  <r>
    <x v="58"/>
    <m/>
    <m/>
    <m/>
    <m/>
    <m/>
    <m/>
    <m/>
    <m/>
    <m/>
    <m/>
    <m/>
    <x v="7"/>
    <d v="2016-01-07T15:43:00"/>
    <s v="Patch Set 5:\n\n(4 comments)"/>
    <s v="line136 :&quot;No; I don't want it to show up in doc. Thank you for pointing out. :)&quot; line835 :&quot;Done&quot; line839 :&quot;Done&quot; line834 :&quot;Done&quot;"/>
    <m/>
    <s v="huitao.cao@intel.com"/>
    <x v="3"/>
    <x v="0"/>
    <s v=""/>
    <x v="2"/>
    <s v=""/>
    <s v=""/>
    <s v=""/>
    <s v=""/>
    <s v=""/>
    <s v=""/>
    <s v=""/>
    <x v="0"/>
    <x v="0"/>
    <x v="0"/>
  </r>
  <r>
    <x v="58"/>
    <m/>
    <m/>
    <m/>
    <m/>
    <m/>
    <m/>
    <m/>
    <m/>
    <m/>
    <m/>
    <m/>
    <x v="7"/>
    <d v="2016-01-07T15:44:00"/>
    <s v="Patch Set 6: Code-Review+1"/>
    <m/>
    <m/>
    <s v="huitao.cao@intel.com"/>
    <x v="3"/>
    <x v="0"/>
    <s v=""/>
    <x v="2"/>
    <s v=""/>
    <s v=""/>
    <s v=""/>
    <s v=""/>
    <s v=""/>
    <s v=""/>
    <s v=""/>
    <x v="0"/>
    <x v="0"/>
    <x v="0"/>
  </r>
  <r>
    <x v="58"/>
    <m/>
    <m/>
    <m/>
    <m/>
    <m/>
    <m/>
    <m/>
    <m/>
    <m/>
    <m/>
    <m/>
    <x v="12"/>
    <d v="2016-01-07T16:45:00"/>
    <s v="Patch Set 6:\n\n(1 comment)"/>
    <s v="line55 :&quot;const int (or const unsigned) instead of #define&quot;"/>
    <m/>
    <s v="huitao.cao@intel.com"/>
    <x v="3"/>
    <x v="1"/>
    <s v=""/>
    <x v="2"/>
    <s v=""/>
    <s v=""/>
    <s v=""/>
    <s v=""/>
    <s v=""/>
    <s v=""/>
    <s v=""/>
    <x v="0"/>
    <x v="0"/>
    <x v="0"/>
  </r>
  <r>
    <x v="58"/>
    <m/>
    <m/>
    <m/>
    <m/>
    <m/>
    <m/>
    <m/>
    <m/>
    <m/>
    <m/>
    <m/>
    <x v="0"/>
    <d v="2016-01-07T17:34:00"/>
    <s v="Patch Set 6:\n\n(3 comments)\n\nlooks good; minor cosmetic comments"/>
    <s v="line83 :&quot;since this keyedvector is used in prototypes I would consider to create a typedef; jsut for readability\ntypedef KeyedVector&lt;CMC_Light_Source; camera_metadata_enum_android_sensor_reference_illuminant1&gt; LigthSrcMap;&quot; line542 :&quot;try to respect the 80 char limit whenever possible; here is possible&quot; line541 :&quot;remove this comment; now that you are giving an error message here again&quot;"/>
    <m/>
    <s v="huitao.cao@intel.com"/>
    <x v="3"/>
    <x v="1"/>
    <s v=""/>
    <x v="2"/>
    <s v=""/>
    <s v=""/>
    <s v=""/>
    <s v=""/>
    <s v=""/>
    <s v=""/>
    <s v=""/>
    <x v="0"/>
    <x v="0"/>
    <x v="0"/>
  </r>
  <r>
    <x v="58"/>
    <m/>
    <m/>
    <m/>
    <m/>
    <m/>
    <m/>
    <m/>
    <m/>
    <m/>
    <m/>
    <m/>
    <x v="7"/>
    <d v="2016-01-11T11:54:00"/>
    <s v="Uploaded patch set 7."/>
    <m/>
    <m/>
    <s v="huitao.cao@intel.com"/>
    <x v="3"/>
    <x v="0"/>
    <s v=""/>
    <x v="2"/>
    <s v=""/>
    <s v=""/>
    <s v=""/>
    <s v=""/>
    <s v=""/>
    <s v=""/>
    <s v=""/>
    <x v="0"/>
    <x v="0"/>
    <x v="0"/>
  </r>
  <r>
    <x v="58"/>
    <m/>
    <m/>
    <m/>
    <m/>
    <m/>
    <m/>
    <m/>
    <m/>
    <m/>
    <m/>
    <m/>
    <x v="7"/>
    <d v="2016-01-11T11:54:00"/>
    <s v="Patch Set 7:\n\nPatchset Created: CI job has been scheduled."/>
    <m/>
    <m/>
    <s v="huitao.cao@intel.com"/>
    <x v="3"/>
    <x v="0"/>
    <s v=""/>
    <x v="2"/>
    <s v=""/>
    <s v=""/>
    <s v=""/>
    <s v=""/>
    <s v=""/>
    <s v=""/>
    <s v=""/>
    <x v="0"/>
    <x v="0"/>
    <x v="0"/>
  </r>
  <r>
    <x v="58"/>
    <m/>
    <m/>
    <m/>
    <m/>
    <m/>
    <m/>
    <m/>
    <m/>
    <m/>
    <m/>
    <m/>
    <x v="7"/>
    <d v="2016-01-11T11:54:00"/>
    <s v="Patch Set 6:\n\n(3 comments)"/>
    <s v="line83 :&quot;Done&quot; line55 :&quot;Done&quot; line541 :&quot;I'm remove the error message here. Because I realized there is enough error message in loadConf().&quot;"/>
    <m/>
    <s v="huitao.cao@intel.com"/>
    <x v="3"/>
    <x v="0"/>
    <s v=""/>
    <x v="2"/>
    <s v=""/>
    <s v=""/>
    <s v=""/>
    <s v=""/>
    <s v=""/>
    <s v=""/>
    <s v=""/>
    <x v="0"/>
    <x v="0"/>
    <x v="0"/>
  </r>
  <r>
    <x v="58"/>
    <m/>
    <m/>
    <m/>
    <m/>
    <m/>
    <m/>
    <m/>
    <m/>
    <m/>
    <m/>
    <m/>
    <x v="7"/>
    <d v="2016-01-11T11:55:00"/>
    <s v="Patch Set 7: Code-Review+1"/>
    <m/>
    <m/>
    <s v="huitao.cao@intel.com"/>
    <x v="3"/>
    <x v="0"/>
    <s v=""/>
    <x v="2"/>
    <s v=""/>
    <s v=""/>
    <s v=""/>
    <s v=""/>
    <s v=""/>
    <s v=""/>
    <s v=""/>
    <x v="0"/>
    <x v="0"/>
    <x v="0"/>
  </r>
  <r>
    <x v="58"/>
    <m/>
    <m/>
    <m/>
    <m/>
    <m/>
    <m/>
    <m/>
    <m/>
    <m/>
    <m/>
    <m/>
    <x v="41"/>
    <d v="2016-01-11T12:38:00"/>
    <s v="Patch Set 7: Code-Review+1"/>
    <m/>
    <m/>
    <s v="huitao.cao@intel.com"/>
    <x v="3"/>
    <x v="4"/>
    <s v=""/>
    <x v="2"/>
    <s v=""/>
    <s v=""/>
    <s v=""/>
    <s v=""/>
    <s v=""/>
    <s v=""/>
    <s v=""/>
    <x v="0"/>
    <x v="0"/>
    <x v="0"/>
  </r>
  <r>
    <x v="58"/>
    <m/>
    <m/>
    <m/>
    <m/>
    <m/>
    <m/>
    <m/>
    <m/>
    <m/>
    <m/>
    <m/>
    <x v="16"/>
    <d v="2016-01-11T15:26:00"/>
    <s v="Patch Set 7: Code-Review-1\n\n(1 comment)"/>
    <s v="line83 :&quot;no; another place is AiqConf::fillLightSourceStaticMetadata&quot;"/>
    <m/>
    <s v="huitao.cao@intel.com"/>
    <x v="3"/>
    <x v="4"/>
    <s v=""/>
    <x v="2"/>
    <s v=""/>
    <s v=""/>
    <s v=""/>
    <s v=""/>
    <s v=""/>
    <s v=""/>
    <s v=""/>
    <x v="1"/>
    <x v="0"/>
    <x v="0"/>
  </r>
  <r>
    <x v="58"/>
    <m/>
    <m/>
    <m/>
    <m/>
    <m/>
    <m/>
    <m/>
    <m/>
    <m/>
    <m/>
    <m/>
    <x v="0"/>
    <d v="2016-01-11T23:15:00"/>
    <s v="Patch Set 7: Code-Review+1"/>
    <m/>
    <m/>
    <s v="huitao.cao@intel.com"/>
    <x v="3"/>
    <x v="1"/>
    <s v=""/>
    <x v="2"/>
    <s v=""/>
    <s v=""/>
    <s v=""/>
    <s v=""/>
    <s v=""/>
    <s v=""/>
    <s v=""/>
    <x v="0"/>
    <x v="0"/>
    <x v="0"/>
  </r>
  <r>
    <x v="58"/>
    <m/>
    <m/>
    <m/>
    <m/>
    <m/>
    <m/>
    <m/>
    <m/>
    <m/>
    <m/>
    <m/>
    <x v="7"/>
    <d v="2016-01-12T10:06:00"/>
    <s v="Patch Set 7:\n\n(1 comment)"/>
    <s v="line83 :&quot;Oh; I see.\nI should use LightSrcMap to replace KeyedVector&lt;CMC_Light_Source; camera_metadata_enum_android_sensor_reference_illuminant1&gt; there. Thank you~&quot;"/>
    <m/>
    <s v="huitao.cao@intel.com"/>
    <x v="3"/>
    <x v="0"/>
    <s v=""/>
    <x v="2"/>
    <s v=""/>
    <s v=""/>
    <s v=""/>
    <s v=""/>
    <s v=""/>
    <s v=""/>
    <s v=""/>
    <x v="0"/>
    <x v="0"/>
    <x v="0"/>
  </r>
  <r>
    <x v="58"/>
    <m/>
    <m/>
    <m/>
    <m/>
    <m/>
    <m/>
    <m/>
    <m/>
    <m/>
    <m/>
    <m/>
    <x v="16"/>
    <d v="2016-01-12T10:36:00"/>
    <s v="Patch Set 7:\n\n(1 comment)"/>
    <s v="line83 :&quot;it is better to use typedef for this long name structure for readability&quot;"/>
    <m/>
    <s v="huitao.cao@intel.com"/>
    <x v="3"/>
    <x v="4"/>
    <s v=""/>
    <x v="2"/>
    <s v=""/>
    <s v=""/>
    <s v=""/>
    <s v=""/>
    <s v=""/>
    <s v=""/>
    <s v=""/>
    <x v="0"/>
    <x v="0"/>
    <x v="0"/>
  </r>
  <r>
    <x v="58"/>
    <m/>
    <m/>
    <m/>
    <m/>
    <m/>
    <m/>
    <m/>
    <m/>
    <m/>
    <m/>
    <m/>
    <x v="7"/>
    <d v="2016-01-12T11:20:00"/>
    <s v="Patch Set 7: -Code-Review\n\n(1 comment)"/>
    <s v="line83 :&quot;Actually it is already a typedef. And camera_metadata_enum_android_sensor_reference_illuminant1 is just used here. So I think it's not necessary to use typedef separately for it.&quot;"/>
    <m/>
    <s v="huitao.cao@intel.com"/>
    <x v="3"/>
    <x v="0"/>
    <s v=""/>
    <x v="2"/>
    <s v=""/>
    <s v=""/>
    <s v=""/>
    <s v=""/>
    <s v=""/>
    <s v=""/>
    <s v=""/>
    <x v="0"/>
    <x v="0"/>
    <x v="0"/>
  </r>
  <r>
    <x v="58"/>
    <m/>
    <m/>
    <m/>
    <m/>
    <m/>
    <m/>
    <m/>
    <m/>
    <m/>
    <m/>
    <m/>
    <x v="7"/>
    <d v="2016-01-12T11:24:00"/>
    <s v="Uploaded patch set 8."/>
    <m/>
    <m/>
    <s v="huitao.cao@intel.com"/>
    <x v="3"/>
    <x v="0"/>
    <s v=""/>
    <x v="2"/>
    <s v=""/>
    <s v=""/>
    <s v=""/>
    <s v=""/>
    <s v=""/>
    <s v=""/>
    <s v=""/>
    <x v="0"/>
    <x v="0"/>
    <x v="0"/>
  </r>
  <r>
    <x v="58"/>
    <m/>
    <m/>
    <m/>
    <m/>
    <m/>
    <m/>
    <m/>
    <m/>
    <m/>
    <m/>
    <m/>
    <x v="7"/>
    <d v="2016-01-12T11:24:00"/>
    <s v="Patch Set 8:\n\nPatchset Created: CI job has been scheduled."/>
    <m/>
    <m/>
    <s v="huitao.cao@intel.com"/>
    <x v="3"/>
    <x v="0"/>
    <s v=""/>
    <x v="2"/>
    <s v=""/>
    <s v=""/>
    <s v=""/>
    <s v=""/>
    <s v=""/>
    <s v=""/>
    <s v=""/>
    <x v="0"/>
    <x v="0"/>
    <x v="0"/>
  </r>
  <r>
    <x v="58"/>
    <m/>
    <m/>
    <m/>
    <m/>
    <m/>
    <m/>
    <m/>
    <m/>
    <m/>
    <m/>
    <m/>
    <x v="7"/>
    <d v="2016-01-12T11:25:00"/>
    <s v="Patch Set 8: Code-Review+1"/>
    <m/>
    <m/>
    <s v="huitao.cao@intel.com"/>
    <x v="3"/>
    <x v="0"/>
    <s v=""/>
    <x v="2"/>
    <s v=""/>
    <s v=""/>
    <s v=""/>
    <s v=""/>
    <s v=""/>
    <s v=""/>
    <s v=""/>
    <x v="0"/>
    <x v="0"/>
    <x v="0"/>
  </r>
  <r>
    <x v="58"/>
    <m/>
    <m/>
    <m/>
    <m/>
    <m/>
    <m/>
    <m/>
    <m/>
    <m/>
    <m/>
    <m/>
    <x v="41"/>
    <d v="2016-01-12T11:34:00"/>
    <s v="Patch Set 8: Code-Review+1"/>
    <m/>
    <m/>
    <s v="huitao.cao@intel.com"/>
    <x v="3"/>
    <x v="4"/>
    <s v=""/>
    <x v="2"/>
    <s v=""/>
    <s v=""/>
    <s v=""/>
    <s v=""/>
    <s v=""/>
    <s v=""/>
    <s v=""/>
    <x v="0"/>
    <x v="0"/>
    <x v="0"/>
  </r>
  <r>
    <x v="58"/>
    <m/>
    <m/>
    <m/>
    <m/>
    <m/>
    <m/>
    <m/>
    <m/>
    <m/>
    <m/>
    <m/>
    <x v="16"/>
    <d v="2016-01-12T12:01:00"/>
    <s v="Patch Set 8:\n\n(2 comments)"/>
    <s v="line83 :&quot;typo&quot; line280 :&quot;typo&quot;"/>
    <m/>
    <s v="huitao.cao@intel.com"/>
    <x v="3"/>
    <x v="4"/>
    <s v=""/>
    <x v="2"/>
    <s v=""/>
    <s v=""/>
    <s v=""/>
    <s v=""/>
    <s v=""/>
    <s v=""/>
    <s v=""/>
    <x v="0"/>
    <x v="0"/>
    <x v="0"/>
  </r>
  <r>
    <x v="58"/>
    <m/>
    <m/>
    <m/>
    <m/>
    <m/>
    <m/>
    <m/>
    <m/>
    <m/>
    <m/>
    <m/>
    <x v="7"/>
    <d v="2016-01-12T12:04:00"/>
    <s v="Patch Set 8: -Code-Review\n\n(2 comments)"/>
    <s v="line83 :&quot;Done&quot; line280 :&quot;Done&quot;"/>
    <m/>
    <s v="huitao.cao@intel.com"/>
    <x v="3"/>
    <x v="0"/>
    <s v=""/>
    <x v="2"/>
    <s v=""/>
    <s v=""/>
    <s v=""/>
    <s v=""/>
    <s v=""/>
    <s v=""/>
    <s v=""/>
    <x v="0"/>
    <x v="0"/>
    <x v="0"/>
  </r>
  <r>
    <x v="58"/>
    <m/>
    <m/>
    <m/>
    <m/>
    <m/>
    <m/>
    <m/>
    <m/>
    <m/>
    <m/>
    <m/>
    <x v="7"/>
    <d v="2016-01-12T12:05:00"/>
    <s v="Uploaded patch set 9."/>
    <m/>
    <m/>
    <s v="huitao.cao@intel.com"/>
    <x v="3"/>
    <x v="0"/>
    <s v=""/>
    <x v="2"/>
    <s v=""/>
    <s v=""/>
    <s v=""/>
    <s v=""/>
    <s v=""/>
    <s v=""/>
    <s v=""/>
    <x v="0"/>
    <x v="0"/>
    <x v="0"/>
  </r>
  <r>
    <x v="58"/>
    <m/>
    <m/>
    <m/>
    <m/>
    <m/>
    <m/>
    <m/>
    <m/>
    <m/>
    <m/>
    <m/>
    <x v="7"/>
    <d v="2016-01-12T12:05:00"/>
    <s v="Patch Set 9:\n\nPatchset Created: CI job has been scheduled."/>
    <m/>
    <m/>
    <s v="huitao.cao@intel.com"/>
    <x v="3"/>
    <x v="0"/>
    <s v=""/>
    <x v="2"/>
    <s v=""/>
    <s v=""/>
    <s v=""/>
    <s v=""/>
    <s v=""/>
    <s v=""/>
    <s v=""/>
    <x v="0"/>
    <x v="0"/>
    <x v="0"/>
  </r>
  <r>
    <x v="58"/>
    <m/>
    <m/>
    <m/>
    <m/>
    <m/>
    <m/>
    <m/>
    <m/>
    <m/>
    <m/>
    <m/>
    <x v="7"/>
    <d v="2016-01-12T12:07:00"/>
    <s v="Patch Set 9: Code-Review+1"/>
    <m/>
    <m/>
    <s v="huitao.cao@intel.com"/>
    <x v="3"/>
    <x v="0"/>
    <s v=""/>
    <x v="2"/>
    <s v=""/>
    <s v=""/>
    <s v=""/>
    <s v=""/>
    <s v=""/>
    <s v=""/>
    <s v=""/>
    <x v="0"/>
    <x v="0"/>
    <x v="0"/>
  </r>
  <r>
    <x v="58"/>
    <m/>
    <m/>
    <m/>
    <m/>
    <m/>
    <m/>
    <m/>
    <m/>
    <m/>
    <m/>
    <m/>
    <x v="16"/>
    <d v="2016-01-12T12:08:00"/>
    <s v="Patch Set 9: Code-Review+1"/>
    <m/>
    <m/>
    <s v="huitao.cao@intel.com"/>
    <x v="3"/>
    <x v="4"/>
    <s v=""/>
    <x v="2"/>
    <s v=""/>
    <s v=""/>
    <s v=""/>
    <s v=""/>
    <s v=""/>
    <s v=""/>
    <s v=""/>
    <x v="0"/>
    <x v="0"/>
    <x v="0"/>
  </r>
  <r>
    <x v="58"/>
    <m/>
    <m/>
    <m/>
    <m/>
    <m/>
    <m/>
    <m/>
    <m/>
    <m/>
    <m/>
    <m/>
    <x v="40"/>
    <d v="2016-01-12T12:10:00"/>
    <s v="Patch Set 9: Code-Review+1"/>
    <m/>
    <m/>
    <s v="huitao.cao@intel.com"/>
    <x v="3"/>
    <x v="4"/>
    <s v=""/>
    <x v="2"/>
    <s v=""/>
    <s v=""/>
    <s v=""/>
    <s v=""/>
    <s v=""/>
    <s v=""/>
    <s v=""/>
    <x v="0"/>
    <x v="0"/>
    <x v="0"/>
  </r>
  <r>
    <x v="58"/>
    <m/>
    <m/>
    <m/>
    <m/>
    <m/>
    <m/>
    <m/>
    <m/>
    <m/>
    <m/>
    <m/>
    <x v="0"/>
    <d v="2016-01-12T15:33:00"/>
    <s v="Patch Set 9: Code-Review+1"/>
    <m/>
    <m/>
    <s v="huitao.cao@intel.com"/>
    <x v="3"/>
    <x v="1"/>
    <s v=""/>
    <x v="2"/>
    <s v=""/>
    <s v=""/>
    <s v=""/>
    <s v=""/>
    <s v=""/>
    <s v=""/>
    <s v=""/>
    <x v="0"/>
    <x v="0"/>
    <x v="0"/>
  </r>
  <r>
    <x v="58"/>
    <m/>
    <m/>
    <m/>
    <m/>
    <m/>
    <m/>
    <m/>
    <m/>
    <m/>
    <m/>
    <m/>
    <x v="12"/>
    <d v="2016-01-12T16:08:00"/>
    <s v="Patch Set 9: Code-Review+1\n\n(1 comment)"/>
    <s v="line38 :&quot;instead of #define; these should rather be 'const char CPF..'&quot;"/>
    <m/>
    <s v="huitao.cao@intel.com"/>
    <x v="3"/>
    <x v="1"/>
    <s v=""/>
    <x v="2"/>
    <s v=""/>
    <s v=""/>
    <s v=""/>
    <s v=""/>
    <s v=""/>
    <s v=""/>
    <s v=""/>
    <x v="0"/>
    <x v="0"/>
    <x v="0"/>
  </r>
  <r>
    <x v="58"/>
    <m/>
    <m/>
    <m/>
    <m/>
    <m/>
    <m/>
    <m/>
    <m/>
    <m/>
    <m/>
    <m/>
    <x v="41"/>
    <d v="2016-01-12T16:09:00"/>
    <s v="Patch Set 9: Approver+1 Code-Review+1"/>
    <m/>
    <m/>
    <s v="huitao.cao@intel.com"/>
    <x v="3"/>
    <x v="4"/>
    <s v=""/>
    <x v="2"/>
    <s v=""/>
    <s v=""/>
    <s v=""/>
    <s v=""/>
    <s v=""/>
    <s v=""/>
    <s v=""/>
    <x v="0"/>
    <x v="0"/>
    <x v="0"/>
  </r>
  <r>
    <x v="58"/>
    <m/>
    <m/>
    <m/>
    <m/>
    <m/>
    <m/>
    <m/>
    <m/>
    <m/>
    <m/>
    <m/>
    <x v="9"/>
    <d v="2016-01-13T14:17:00"/>
    <s v="Patch Set 9: Integrator+1\n\nIntegrator +1; patch will be add to PT; please no change now"/>
    <m/>
    <m/>
    <s v="huitao.cao@intel.com"/>
    <x v="3"/>
    <x v="5"/>
    <s v=""/>
    <x v="2"/>
    <s v=""/>
    <s v=""/>
    <s v=""/>
    <s v=""/>
    <s v=""/>
    <s v=""/>
    <s v=""/>
    <x v="0"/>
    <x v="1"/>
    <x v="0"/>
  </r>
  <r>
    <x v="58"/>
    <m/>
    <m/>
    <m/>
    <m/>
    <m/>
    <m/>
    <m/>
    <m/>
    <m/>
    <m/>
    <m/>
    <x v="14"/>
    <d v="2016-01-13T14:52:00"/>
    <s v="Patch Set 9: Validation-Android+1\n\nreceive smoke test"/>
    <m/>
    <m/>
    <s v="huitao.cao@intel.com"/>
    <x v="3"/>
    <x v="5"/>
    <s v=""/>
    <x v="2"/>
    <s v=""/>
    <s v=""/>
    <s v=""/>
    <s v=""/>
    <s v=""/>
    <s v=""/>
    <s v=""/>
    <x v="0"/>
    <x v="1"/>
    <x v="0"/>
  </r>
  <r>
    <x v="58"/>
    <m/>
    <m/>
    <m/>
    <m/>
    <m/>
    <m/>
    <m/>
    <m/>
    <m/>
    <m/>
    <m/>
    <x v="9"/>
    <d v="2016-01-13T17:40:00"/>
    <s v="Patch Set 9:\n\nPassed Klocwork code analyzing test. No CRITICAL issue in this patch. Auto reported by kwscan@kw-srv2.bj.intel.com"/>
    <m/>
    <m/>
    <s v="huitao.cao@intel.com"/>
    <x v="3"/>
    <x v="5"/>
    <s v=""/>
    <x v="2"/>
    <s v=""/>
    <s v=""/>
    <s v=""/>
    <s v=""/>
    <s v=""/>
    <s v=""/>
    <s v=""/>
    <x v="0"/>
    <x v="0"/>
    <x v="0"/>
  </r>
  <r>
    <x v="58"/>
    <m/>
    <m/>
    <m/>
    <m/>
    <m/>
    <m/>
    <m/>
    <m/>
    <m/>
    <m/>
    <m/>
    <x v="9"/>
    <d v="2016-01-13T18:57:00"/>
    <s v="Patch Set 9:\n\nPassed Klocwork code analyzing test. No CRITICAL issue in this patch. Auto reported by kwscan@andr-val-srv0.bj.intel.com"/>
    <m/>
    <m/>
    <s v="huitao.cao@intel.com"/>
    <x v="3"/>
    <x v="5"/>
    <s v=""/>
    <x v="2"/>
    <s v=""/>
    <s v=""/>
    <s v=""/>
    <s v=""/>
    <s v=""/>
    <s v=""/>
    <s v=""/>
    <x v="0"/>
    <x v="0"/>
    <x v="0"/>
  </r>
  <r>
    <x v="58"/>
    <m/>
    <m/>
    <m/>
    <m/>
    <m/>
    <m/>
    <m/>
    <m/>
    <m/>
    <m/>
    <m/>
    <x v="9"/>
    <d v="2016-01-13T19:25:00"/>
    <s v="Patch Set 9:\n\nPassed Klocwork code analyzing test. No CRITICAL issue in this patch. Auto reported by kwscan@psi-build5.bj.intel.com"/>
    <m/>
    <m/>
    <s v="huitao.cao@intel.com"/>
    <x v="3"/>
    <x v="5"/>
    <s v=""/>
    <x v="2"/>
    <s v=""/>
    <s v=""/>
    <s v=""/>
    <s v=""/>
    <s v=""/>
    <s v=""/>
    <s v=""/>
    <x v="0"/>
    <x v="0"/>
    <x v="0"/>
  </r>
  <r>
    <x v="58"/>
    <m/>
    <m/>
    <m/>
    <m/>
    <m/>
    <m/>
    <m/>
    <m/>
    <m/>
    <m/>
    <m/>
    <x v="9"/>
    <d v="2016-01-13T20:31:00"/>
    <s v="Patch Set 9:\n\nPassed Klocwork code analyzing test. No CRITICAL issue in this patch. Auto reported by kwscan@kw-srv2.bj.intel.com"/>
    <m/>
    <m/>
    <s v="huitao.cao@intel.com"/>
    <x v="3"/>
    <x v="5"/>
    <s v=""/>
    <x v="2"/>
    <s v=""/>
    <s v=""/>
    <s v=""/>
    <s v=""/>
    <s v=""/>
    <s v=""/>
    <s v=""/>
    <x v="0"/>
    <x v="0"/>
    <x v="0"/>
  </r>
  <r>
    <x v="58"/>
    <m/>
    <m/>
    <m/>
    <m/>
    <m/>
    <m/>
    <m/>
    <m/>
    <m/>
    <m/>
    <m/>
    <x v="9"/>
    <d v="2016-01-14T03:12:00"/>
    <s v="Patch Set 9:\n\nPassed Klocwork code analyzing test. No CRITICAL issue in this patch. Auto reported by kwscan@andr-val-srv0.bj.intel.com"/>
    <m/>
    <m/>
    <s v="huitao.cao@intel.com"/>
    <x v="3"/>
    <x v="5"/>
    <s v=""/>
    <x v="2"/>
    <s v=""/>
    <s v=""/>
    <s v=""/>
    <s v=""/>
    <s v=""/>
    <s v=""/>
    <s v=""/>
    <x v="0"/>
    <x v="0"/>
    <x v="0"/>
  </r>
  <r>
    <x v="58"/>
    <m/>
    <m/>
    <m/>
    <m/>
    <m/>
    <m/>
    <m/>
    <m/>
    <m/>
    <m/>
    <m/>
    <x v="9"/>
    <d v="2016-01-14T16:20:00"/>
    <s v="Patch Set 9: Integrator-1\n\nSofia 3GR PIT test failed; so patch nogo"/>
    <m/>
    <m/>
    <s v="huitao.cao@intel.com"/>
    <x v="3"/>
    <x v="5"/>
    <s v=""/>
    <x v="2"/>
    <s v=""/>
    <s v=""/>
    <s v=""/>
    <s v=""/>
    <s v=""/>
    <s v=""/>
    <s v=""/>
    <x v="0"/>
    <x v="1"/>
    <x v="0"/>
  </r>
  <r>
    <x v="58"/>
    <m/>
    <m/>
    <m/>
    <m/>
    <m/>
    <m/>
    <m/>
    <m/>
    <m/>
    <m/>
    <m/>
    <x v="9"/>
    <d v="2016-01-14T16:21:00"/>
    <s v="Patch Set 9: Integrator+1\n\nIntegrator +1; patch will be add to PT; please no change now"/>
    <m/>
    <m/>
    <s v="huitao.cao@intel.com"/>
    <x v="3"/>
    <x v="5"/>
    <s v=""/>
    <x v="2"/>
    <s v=""/>
    <s v=""/>
    <s v=""/>
    <s v=""/>
    <s v=""/>
    <s v=""/>
    <s v=""/>
    <x v="0"/>
    <x v="1"/>
    <x v="0"/>
  </r>
  <r>
    <x v="58"/>
    <m/>
    <m/>
    <m/>
    <m/>
    <m/>
    <m/>
    <m/>
    <m/>
    <m/>
    <m/>
    <m/>
    <x v="9"/>
    <d v="2016-01-14T19:51:00"/>
    <s v="Patch Set 9:\n\nPassed Klocwork code analyzing test. No CRITICAL issue in this patch. Auto reported by kwscan@kw-srv2.bj.intel.com"/>
    <m/>
    <m/>
    <s v="huitao.cao@intel.com"/>
    <x v="3"/>
    <x v="5"/>
    <s v=""/>
    <x v="2"/>
    <s v=""/>
    <s v=""/>
    <s v=""/>
    <s v=""/>
    <s v=""/>
    <s v=""/>
    <s v=""/>
    <x v="0"/>
    <x v="0"/>
    <x v="0"/>
  </r>
  <r>
    <x v="58"/>
    <m/>
    <m/>
    <m/>
    <m/>
    <m/>
    <m/>
    <m/>
    <m/>
    <m/>
    <m/>
    <m/>
    <x v="9"/>
    <d v="2016-01-14T22:12:00"/>
    <s v="Patch Set 9:\n\nPassed Klocwork code analyzing test. No CRITICAL issue in this patch. Auto reported by kwscan@andr-val-srv0.bj.intel.com"/>
    <m/>
    <m/>
    <s v="huitao.cao@intel.com"/>
    <x v="3"/>
    <x v="5"/>
    <s v=""/>
    <x v="2"/>
    <s v=""/>
    <s v=""/>
    <s v=""/>
    <s v=""/>
    <s v=""/>
    <s v=""/>
    <s v=""/>
    <x v="0"/>
    <x v="0"/>
    <x v="0"/>
  </r>
  <r>
    <x v="58"/>
    <m/>
    <m/>
    <m/>
    <m/>
    <m/>
    <m/>
    <m/>
    <m/>
    <m/>
    <m/>
    <m/>
    <x v="9"/>
    <d v="2016-01-14T23:06:00"/>
    <s v="Patch Set 9:\n\nPassed Klocwork code analyzing test. No CRITICAL issue in this patch. Auto reported by kwscan@kw-srv2.bj.intel.com"/>
    <m/>
    <m/>
    <s v="huitao.cao@intel.com"/>
    <x v="3"/>
    <x v="5"/>
    <s v=""/>
    <x v="2"/>
    <s v=""/>
    <s v=""/>
    <s v=""/>
    <s v=""/>
    <s v=""/>
    <s v=""/>
    <s v=""/>
    <x v="0"/>
    <x v="0"/>
    <x v="0"/>
  </r>
  <r>
    <x v="58"/>
    <m/>
    <m/>
    <m/>
    <m/>
    <m/>
    <m/>
    <m/>
    <m/>
    <m/>
    <m/>
    <m/>
    <x v="9"/>
    <d v="2016-01-15T14:52:00"/>
    <s v="Patch Set 9:\n\nPassed Klocwork code analyzing test. No CRITICAL issue in this patch. Auto reported by kwscan@psi-build5.bj.intel.com"/>
    <m/>
    <m/>
    <s v="huitao.cao@intel.com"/>
    <x v="3"/>
    <x v="5"/>
    <s v=""/>
    <x v="2"/>
    <s v=""/>
    <s v=""/>
    <s v=""/>
    <s v=""/>
    <s v=""/>
    <s v=""/>
    <s v=""/>
    <x v="0"/>
    <x v="0"/>
    <x v="0"/>
  </r>
  <r>
    <x v="58"/>
    <m/>
    <m/>
    <m/>
    <m/>
    <m/>
    <m/>
    <m/>
    <m/>
    <m/>
    <m/>
    <m/>
    <x v="9"/>
    <d v="2016-01-15T15:04:00"/>
    <s v="Patch Set 9: Code-Review+1\n\nPassed PIT; ready for merge"/>
    <m/>
    <m/>
    <s v="huitao.cao@intel.com"/>
    <x v="3"/>
    <x v="5"/>
    <s v=""/>
    <x v="2"/>
    <s v=""/>
    <s v=""/>
    <s v=""/>
    <s v=""/>
    <s v=""/>
    <s v=""/>
    <s v=""/>
    <x v="0"/>
    <x v="0"/>
    <x v="0"/>
  </r>
  <r>
    <x v="58"/>
    <m/>
    <m/>
    <m/>
    <m/>
    <m/>
    <m/>
    <m/>
    <m/>
    <m/>
    <m/>
    <m/>
    <x v="9"/>
    <d v="2016-01-15T17:54:00"/>
    <s v="Patch Set 9:\n\nPassed Klocwork code analyzing test. No CRITICAL issue in this patch. Auto reported by kwscan@andr-val-srv0.bj.intel.com"/>
    <m/>
    <m/>
    <s v="huitao.cao@intel.com"/>
    <x v="3"/>
    <x v="5"/>
    <s v=""/>
    <x v="2"/>
    <s v=""/>
    <s v=""/>
    <s v=""/>
    <s v=""/>
    <s v=""/>
    <s v=""/>
    <s v=""/>
    <x v="0"/>
    <x v="0"/>
    <x v="0"/>
  </r>
  <r>
    <x v="59"/>
    <n v="86707"/>
    <s v="vied-viedandr-camera3hal"/>
    <s v="platform/android/main-L"/>
    <s v="I3c563ba4eaecade1bab056214dfe5d048d24c2f2"/>
    <s v="hongfu.ruan@intel.com"/>
    <s v="MERGED"/>
    <s v="c3: remove hot printed log msg for performance"/>
    <s v="c3: remove hot printed log msg for performance\n\nfor example; with this patch; L2P performance on 3gr improved from\n2.3378s to 2.2741s by removing ~500 log msgs.\n\nChange-Id: I3c563ba4eaecade1bab056214dfe5d048d24c2f2\nTracked-On: https://jira01.devtools.intel.com/browse/OAM-9988\nSigned-off-by: Hongfu Ruan &lt;hongfu.ruan@intel.com&gt;\nReviewed-on: https://icggerrit.ir.intel.com/86707\nReviewed-by: Mikael Persson &lt;mikael.persson@intel.com&gt;\nReviewed-by: Miguel Verdu &lt;miguel.verdu@intel.com&gt;\nReviewed-by: Renwei Wu &lt;renwei.wu@intel.com&gt;\nReviewed-by: Lassi I Vaatamoinen &lt;lassi.i.vaatamoinen@intel.com&gt;\nReviewed-by: Jukka O Kaartinen &lt;jukka.o.kaartinen@intel.com&gt;\nApprover: Renwei Wu &lt;renwei.wu@intel.com&gt;\nIntegrator: WeiX Meng &lt;weix.meng@intel.com&gt;\n"/>
    <d v="2015-11-26T09:50:00"/>
    <d v="2016-01-15T14:36:00"/>
    <s v="common"/>
    <x v="42"/>
    <d v="2015-11-26T09:50:00"/>
    <s v="Uploaded patch set 1."/>
    <m/>
    <s v="weix.meng@intel.com;dongdong.zhang@intel.com;jukka.o.kaartinen@intel.com;lassi.i.vaatamoinen@intel.com;renwei.wu@intel.com;miguel.verdu@intel.com;mikael.persson@intel.com;"/>
    <s v="hongfu.ruan@intel.com"/>
    <x v="1"/>
    <x v="0"/>
    <s v="16'ww3"/>
    <x v="2"/>
    <n v="0"/>
    <n v="0"/>
    <n v="0"/>
    <n v="0"/>
    <n v="0"/>
    <n v="3"/>
    <n v="2"/>
    <x v="0"/>
    <x v="0"/>
    <x v="0"/>
  </r>
  <r>
    <x v="59"/>
    <m/>
    <m/>
    <m/>
    <m/>
    <m/>
    <m/>
    <m/>
    <m/>
    <m/>
    <m/>
    <m/>
    <x v="42"/>
    <d v="2015-11-26T09:50:00"/>
    <s v="Patch Set 1:\n\nPatchset Created: CI job has been scheduled."/>
    <m/>
    <m/>
    <s v="hongfu.ruan@intel.com"/>
    <x v="1"/>
    <x v="0"/>
    <s v=""/>
    <x v="2"/>
    <s v=""/>
    <s v=""/>
    <s v=""/>
    <s v=""/>
    <s v=""/>
    <s v=""/>
    <s v=""/>
    <x v="0"/>
    <x v="0"/>
    <x v="0"/>
  </r>
  <r>
    <x v="59"/>
    <m/>
    <m/>
    <m/>
    <m/>
    <m/>
    <m/>
    <m/>
    <m/>
    <m/>
    <m/>
    <m/>
    <x v="42"/>
    <d v="2015-11-26T09:54:00"/>
    <s v="Patch Set 1: Code-Review+1"/>
    <m/>
    <m/>
    <s v="hongfu.ruan@intel.com"/>
    <x v="1"/>
    <x v="0"/>
    <s v=""/>
    <x v="2"/>
    <s v=""/>
    <s v=""/>
    <s v=""/>
    <s v=""/>
    <s v=""/>
    <s v=""/>
    <s v=""/>
    <x v="0"/>
    <x v="0"/>
    <x v="0"/>
  </r>
  <r>
    <x v="59"/>
    <m/>
    <m/>
    <m/>
    <m/>
    <m/>
    <m/>
    <m/>
    <m/>
    <m/>
    <m/>
    <m/>
    <x v="42"/>
    <d v="2015-11-26T09:54:00"/>
    <s v="Patch Set 1: Validation-Android+2"/>
    <m/>
    <m/>
    <s v="hongfu.ruan@intel.com"/>
    <x v="1"/>
    <x v="0"/>
    <s v=""/>
    <x v="2"/>
    <s v=""/>
    <s v=""/>
    <s v=""/>
    <s v=""/>
    <s v=""/>
    <s v=""/>
    <s v=""/>
    <x v="0"/>
    <x v="1"/>
    <x v="0"/>
  </r>
  <r>
    <x v="59"/>
    <m/>
    <m/>
    <m/>
    <m/>
    <m/>
    <m/>
    <m/>
    <m/>
    <m/>
    <m/>
    <m/>
    <x v="14"/>
    <d v="2015-11-26T10:06:00"/>
    <s v="Patch Set 1: Validation-Android+1\n\nreceive smoke test"/>
    <m/>
    <m/>
    <s v="hongfu.ruan@intel.com"/>
    <x v="1"/>
    <x v="5"/>
    <s v=""/>
    <x v="2"/>
    <s v=""/>
    <s v=""/>
    <s v=""/>
    <s v=""/>
    <s v=""/>
    <s v=""/>
    <s v=""/>
    <x v="0"/>
    <x v="1"/>
    <x v="0"/>
  </r>
  <r>
    <x v="59"/>
    <m/>
    <m/>
    <m/>
    <m/>
    <m/>
    <m/>
    <m/>
    <m/>
    <m/>
    <m/>
    <m/>
    <x v="42"/>
    <d v="2015-11-30T10:14:00"/>
    <s v="Uploaded patch set 2."/>
    <m/>
    <m/>
    <s v="hongfu.ruan@intel.com"/>
    <x v="1"/>
    <x v="0"/>
    <s v=""/>
    <x v="2"/>
    <s v=""/>
    <s v=""/>
    <s v=""/>
    <s v=""/>
    <s v=""/>
    <s v=""/>
    <s v=""/>
    <x v="0"/>
    <x v="0"/>
    <x v="0"/>
  </r>
  <r>
    <x v="59"/>
    <m/>
    <m/>
    <m/>
    <m/>
    <m/>
    <m/>
    <m/>
    <m/>
    <m/>
    <m/>
    <m/>
    <x v="42"/>
    <d v="2015-11-30T10:14:00"/>
    <s v="Patch Set 2:\n\nPatchset Created: CI job has been scheduled."/>
    <m/>
    <m/>
    <s v="hongfu.ruan@intel.com"/>
    <x v="1"/>
    <x v="0"/>
    <s v=""/>
    <x v="2"/>
    <s v=""/>
    <s v=""/>
    <s v=""/>
    <s v=""/>
    <s v=""/>
    <s v=""/>
    <s v=""/>
    <x v="0"/>
    <x v="0"/>
    <x v="0"/>
  </r>
  <r>
    <x v="59"/>
    <m/>
    <m/>
    <m/>
    <m/>
    <m/>
    <m/>
    <m/>
    <m/>
    <m/>
    <m/>
    <m/>
    <x v="42"/>
    <d v="2015-11-30T10:20:00"/>
    <s v="Patch Set 2: Code-Review+1 Validation-Android+2"/>
    <m/>
    <m/>
    <s v="hongfu.ruan@intel.com"/>
    <x v="1"/>
    <x v="0"/>
    <s v=""/>
    <x v="2"/>
    <s v=""/>
    <s v=""/>
    <s v=""/>
    <s v=""/>
    <s v=""/>
    <s v=""/>
    <s v=""/>
    <x v="0"/>
    <x v="0"/>
    <x v="0"/>
  </r>
  <r>
    <x v="59"/>
    <m/>
    <m/>
    <m/>
    <m/>
    <m/>
    <m/>
    <m/>
    <m/>
    <m/>
    <m/>
    <m/>
    <x v="30"/>
    <d v="2015-12-04T16:14:00"/>
    <s v="Patch Set 2: Code-Review+1"/>
    <m/>
    <m/>
    <s v="hongfu.ruan@intel.com"/>
    <x v="1"/>
    <x v="3"/>
    <s v=""/>
    <x v="2"/>
    <s v=""/>
    <s v=""/>
    <s v=""/>
    <s v=""/>
    <s v=""/>
    <s v=""/>
    <s v=""/>
    <x v="0"/>
    <x v="0"/>
    <x v="0"/>
  </r>
  <r>
    <x v="59"/>
    <m/>
    <m/>
    <m/>
    <m/>
    <m/>
    <m/>
    <m/>
    <m/>
    <m/>
    <m/>
    <m/>
    <x v="42"/>
    <d v="2015-12-04T16:53:00"/>
    <s v="Patch Set 3:\n\nPatchset Created: CI job has been scheduled."/>
    <m/>
    <m/>
    <s v="hongfu.ruan@intel.com"/>
    <x v="1"/>
    <x v="0"/>
    <s v=""/>
    <x v="2"/>
    <s v=""/>
    <s v=""/>
    <s v=""/>
    <s v=""/>
    <s v=""/>
    <s v=""/>
    <s v=""/>
    <x v="0"/>
    <x v="0"/>
    <x v="0"/>
  </r>
  <r>
    <x v="59"/>
    <m/>
    <m/>
    <m/>
    <m/>
    <m/>
    <m/>
    <m/>
    <m/>
    <m/>
    <m/>
    <m/>
    <x v="42"/>
    <d v="2015-12-04T16:53:00"/>
    <s v="Uploaded patch set 3: Commit message was updated."/>
    <m/>
    <m/>
    <s v="hongfu.ruan@intel.com"/>
    <x v="1"/>
    <x v="0"/>
    <s v=""/>
    <x v="2"/>
    <s v=""/>
    <s v=""/>
    <s v=""/>
    <s v=""/>
    <s v=""/>
    <s v=""/>
    <s v=""/>
    <x v="0"/>
    <x v="0"/>
    <x v="0"/>
  </r>
  <r>
    <x v="59"/>
    <m/>
    <m/>
    <m/>
    <m/>
    <m/>
    <m/>
    <m/>
    <m/>
    <m/>
    <m/>
    <m/>
    <x v="42"/>
    <d v="2015-12-04T16:54:00"/>
    <s v="Patch Set 3: Validation-Android+2"/>
    <m/>
    <m/>
    <s v="hongfu.ruan@intel.com"/>
    <x v="1"/>
    <x v="0"/>
    <s v=""/>
    <x v="2"/>
    <s v=""/>
    <s v=""/>
    <s v=""/>
    <s v=""/>
    <s v=""/>
    <s v=""/>
    <s v=""/>
    <x v="0"/>
    <x v="1"/>
    <x v="0"/>
  </r>
  <r>
    <x v="59"/>
    <m/>
    <m/>
    <m/>
    <m/>
    <m/>
    <m/>
    <m/>
    <m/>
    <m/>
    <m/>
    <m/>
    <x v="0"/>
    <d v="2015-12-04T22:21:00"/>
    <s v="Patch Set 3: Code-Review+1"/>
    <m/>
    <m/>
    <s v="hongfu.ruan@intel.com"/>
    <x v="1"/>
    <x v="1"/>
    <s v=""/>
    <x v="2"/>
    <s v=""/>
    <s v=""/>
    <s v=""/>
    <s v=""/>
    <s v=""/>
    <s v=""/>
    <s v=""/>
    <x v="0"/>
    <x v="0"/>
    <x v="0"/>
  </r>
  <r>
    <x v="59"/>
    <m/>
    <m/>
    <m/>
    <m/>
    <m/>
    <m/>
    <m/>
    <m/>
    <m/>
    <m/>
    <m/>
    <x v="42"/>
    <d v="2015-12-16T09:43:00"/>
    <s v="Patch Set 3: Code-Review-1 Validation-Android-1"/>
    <m/>
    <m/>
    <s v="hongfu.ruan@intel.com"/>
    <x v="1"/>
    <x v="0"/>
    <s v=""/>
    <x v="2"/>
    <s v=""/>
    <s v=""/>
    <s v=""/>
    <s v=""/>
    <s v=""/>
    <s v=""/>
    <s v=""/>
    <x v="1"/>
    <x v="0"/>
    <x v="0"/>
  </r>
  <r>
    <x v="59"/>
    <m/>
    <m/>
    <m/>
    <m/>
    <m/>
    <m/>
    <m/>
    <m/>
    <m/>
    <m/>
    <m/>
    <x v="42"/>
    <d v="2015-12-16T09:43:00"/>
    <s v="Patch Set 3: Code-Review+1 Validation-Android+2"/>
    <m/>
    <m/>
    <s v="hongfu.ruan@intel.com"/>
    <x v="1"/>
    <x v="0"/>
    <s v=""/>
    <x v="2"/>
    <s v=""/>
    <s v=""/>
    <s v=""/>
    <s v=""/>
    <s v=""/>
    <s v=""/>
    <s v=""/>
    <x v="0"/>
    <x v="0"/>
    <x v="0"/>
  </r>
  <r>
    <x v="59"/>
    <m/>
    <m/>
    <m/>
    <m/>
    <m/>
    <m/>
    <m/>
    <m/>
    <m/>
    <m/>
    <m/>
    <x v="42"/>
    <d v="2015-12-16T09:54:00"/>
    <s v="Patch Set 3:\n\nManual Trigger: CI job scheduled.\n\n - Reason: Retrigger CI; but don't report issue now (will investigate and report later)"/>
    <m/>
    <m/>
    <s v="hongfu.ruan@intel.com"/>
    <x v="1"/>
    <x v="0"/>
    <s v=""/>
    <x v="2"/>
    <s v=""/>
    <s v=""/>
    <s v=""/>
    <s v=""/>
    <s v=""/>
    <s v=""/>
    <s v=""/>
    <x v="0"/>
    <x v="0"/>
    <x v="0"/>
  </r>
  <r>
    <x v="59"/>
    <m/>
    <m/>
    <m/>
    <m/>
    <m/>
    <m/>
    <m/>
    <m/>
    <m/>
    <m/>
    <m/>
    <x v="3"/>
    <d v="2015-12-21T17:23:00"/>
    <s v="Patch Set 3: Code-Review+1"/>
    <m/>
    <m/>
    <s v="hongfu.ruan@intel.com"/>
    <x v="1"/>
    <x v="2"/>
    <s v=""/>
    <x v="2"/>
    <s v=""/>
    <s v=""/>
    <s v=""/>
    <s v=""/>
    <s v=""/>
    <s v=""/>
    <s v=""/>
    <x v="0"/>
    <x v="0"/>
    <x v="0"/>
  </r>
  <r>
    <x v="59"/>
    <m/>
    <m/>
    <m/>
    <m/>
    <m/>
    <m/>
    <m/>
    <m/>
    <m/>
    <m/>
    <m/>
    <x v="12"/>
    <d v="2016-01-07T19:14:00"/>
    <s v="Patch Set 3: Code-Review+1"/>
    <m/>
    <m/>
    <s v="hongfu.ruan@intel.com"/>
    <x v="1"/>
    <x v="1"/>
    <s v=""/>
    <x v="2"/>
    <s v=""/>
    <s v=""/>
    <s v=""/>
    <s v=""/>
    <s v=""/>
    <s v=""/>
    <s v=""/>
    <x v="0"/>
    <x v="0"/>
    <x v="0"/>
  </r>
  <r>
    <x v="59"/>
    <m/>
    <m/>
    <m/>
    <m/>
    <m/>
    <m/>
    <m/>
    <m/>
    <m/>
    <m/>
    <m/>
    <x v="2"/>
    <d v="2016-01-07T22:59:00"/>
    <s v="Patch Set 3: Code-Review+1"/>
    <m/>
    <m/>
    <s v="hongfu.ruan@intel.com"/>
    <x v="1"/>
    <x v="1"/>
    <s v=""/>
    <x v="2"/>
    <s v=""/>
    <s v=""/>
    <s v=""/>
    <s v=""/>
    <s v=""/>
    <s v=""/>
    <s v=""/>
    <x v="0"/>
    <x v="0"/>
    <x v="0"/>
  </r>
  <r>
    <x v="59"/>
    <m/>
    <m/>
    <m/>
    <m/>
    <m/>
    <m/>
    <m/>
    <m/>
    <m/>
    <m/>
    <m/>
    <x v="42"/>
    <d v="2016-01-08T08:18:00"/>
    <s v="Patch Set 3:\n\nAnyone can approve this patch? :)"/>
    <m/>
    <m/>
    <s v="hongfu.ruan@intel.com"/>
    <x v="1"/>
    <x v="0"/>
    <s v=""/>
    <x v="2"/>
    <s v=""/>
    <s v=""/>
    <s v=""/>
    <s v=""/>
    <s v=""/>
    <s v=""/>
    <s v=""/>
    <x v="0"/>
    <x v="0"/>
    <x v="0"/>
  </r>
  <r>
    <x v="59"/>
    <m/>
    <m/>
    <m/>
    <m/>
    <m/>
    <m/>
    <m/>
    <m/>
    <m/>
    <m/>
    <m/>
    <x v="42"/>
    <d v="2016-01-08T08:20:00"/>
    <s v="Patch Set 3:\n\npls also +1;+2 for the patch on platform/android/main:\nhttps://icggerrit.ir.intel.com/#/c/86706"/>
    <m/>
    <m/>
    <s v="hongfu.ruan@intel.com"/>
    <x v="1"/>
    <x v="0"/>
    <s v=""/>
    <x v="2"/>
    <s v=""/>
    <s v=""/>
    <s v=""/>
    <s v=""/>
    <s v=""/>
    <s v=""/>
    <s v=""/>
    <x v="0"/>
    <x v="0"/>
    <x v="0"/>
  </r>
  <r>
    <x v="59"/>
    <m/>
    <m/>
    <m/>
    <m/>
    <m/>
    <m/>
    <m/>
    <m/>
    <m/>
    <m/>
    <m/>
    <x v="3"/>
    <d v="2016-01-08T09:32:00"/>
    <s v="Patch Set 3: Approver+1"/>
    <m/>
    <m/>
    <s v="hongfu.ruan@intel.com"/>
    <x v="1"/>
    <x v="2"/>
    <s v=""/>
    <x v="2"/>
    <s v=""/>
    <s v=""/>
    <s v=""/>
    <s v=""/>
    <s v=""/>
    <s v=""/>
    <s v=""/>
    <x v="0"/>
    <x v="0"/>
    <x v="0"/>
  </r>
  <r>
    <x v="59"/>
    <m/>
    <m/>
    <m/>
    <m/>
    <m/>
    <m/>
    <m/>
    <m/>
    <m/>
    <m/>
    <m/>
    <x v="9"/>
    <d v="2016-01-14T08:47:00"/>
    <s v="Patch Set 3: Integrator+1\n\nadd to PIT"/>
    <m/>
    <m/>
    <s v="hongfu.ruan@intel.com"/>
    <x v="1"/>
    <x v="5"/>
    <s v=""/>
    <x v="2"/>
    <s v=""/>
    <s v=""/>
    <s v=""/>
    <s v=""/>
    <s v=""/>
    <s v=""/>
    <s v=""/>
    <x v="0"/>
    <x v="1"/>
    <x v="0"/>
  </r>
  <r>
    <x v="59"/>
    <m/>
    <m/>
    <m/>
    <m/>
    <m/>
    <m/>
    <m/>
    <m/>
    <m/>
    <m/>
    <m/>
    <x v="10"/>
    <d v="2016-01-14T16:12:00"/>
    <s v="Patch Set 3:\n\nManual Trigger: CI job scheduled.\n\n - Reason: CI failed due to patch issue or related patch issue (SDK/image/driver/support patch missing)"/>
    <m/>
    <m/>
    <s v="hongfu.ruan@intel.com"/>
    <x v="1"/>
    <x v="5"/>
    <s v=""/>
    <x v="2"/>
    <s v=""/>
    <s v=""/>
    <s v=""/>
    <s v=""/>
    <s v=""/>
    <s v=""/>
    <s v=""/>
    <x v="0"/>
    <x v="0"/>
    <x v="0"/>
  </r>
  <r>
    <x v="59"/>
    <m/>
    <m/>
    <m/>
    <m/>
    <m/>
    <m/>
    <m/>
    <m/>
    <m/>
    <m/>
    <m/>
    <x v="9"/>
    <d v="2016-01-15T14:36:00"/>
    <s v="Patch Set 3: -Integrator"/>
    <m/>
    <m/>
    <s v="hongfu.ruan@intel.com"/>
    <x v="1"/>
    <x v="5"/>
    <s v=""/>
    <x v="2"/>
    <s v=""/>
    <s v=""/>
    <s v=""/>
    <s v=""/>
    <s v=""/>
    <s v=""/>
    <s v=""/>
    <x v="0"/>
    <x v="1"/>
    <x v="0"/>
  </r>
  <r>
    <x v="59"/>
    <m/>
    <m/>
    <m/>
    <m/>
    <m/>
    <m/>
    <m/>
    <m/>
    <m/>
    <m/>
    <m/>
    <x v="9"/>
    <d v="2016-01-15T14:36:00"/>
    <s v="Patch Set 4: Patch Set 3 was rebased"/>
    <m/>
    <m/>
    <s v="hongfu.ruan@intel.com"/>
    <x v="1"/>
    <x v="5"/>
    <s v=""/>
    <x v="2"/>
    <s v=""/>
    <s v=""/>
    <s v=""/>
    <s v=""/>
    <s v=""/>
    <s v=""/>
    <s v=""/>
    <x v="0"/>
    <x v="0"/>
    <x v="0"/>
  </r>
  <r>
    <x v="59"/>
    <m/>
    <m/>
    <m/>
    <m/>
    <m/>
    <m/>
    <m/>
    <m/>
    <m/>
    <m/>
    <m/>
    <x v="9"/>
    <d v="2016-01-15T14:36:00"/>
    <s v="Patch Set 4:\n\nPatchset Created: CI job has been scheduled."/>
    <m/>
    <m/>
    <s v="hongfu.ruan@intel.com"/>
    <x v="1"/>
    <x v="5"/>
    <s v=""/>
    <x v="2"/>
    <s v=""/>
    <s v=""/>
    <s v=""/>
    <s v=""/>
    <s v=""/>
    <s v=""/>
    <s v=""/>
    <x v="0"/>
    <x v="0"/>
    <x v="0"/>
  </r>
  <r>
    <x v="59"/>
    <m/>
    <m/>
    <m/>
    <m/>
    <m/>
    <m/>
    <m/>
    <m/>
    <m/>
    <m/>
    <m/>
    <x v="9"/>
    <d v="2016-01-15T14:36:00"/>
    <s v="Patch Set 4: Integrator+1"/>
    <m/>
    <m/>
    <s v="hongfu.ruan@intel.com"/>
    <x v="1"/>
    <x v="5"/>
    <s v=""/>
    <x v="2"/>
    <s v=""/>
    <s v=""/>
    <s v=""/>
    <s v=""/>
    <s v=""/>
    <s v=""/>
    <s v=""/>
    <x v="0"/>
    <x v="1"/>
    <x v="0"/>
  </r>
  <r>
    <x v="60"/>
    <n v="93475"/>
    <s v="vied-viedandr-camera3hal"/>
    <s v="platform/android/main"/>
    <s v="I4186cb077d3f5c5e97749135d7c566cce8907986"/>
    <s v="ukri.niemimuukko@intel.com"/>
    <s v="MERGED"/>
    <s v="c3:aal: add usage flags to stream config logs"/>
    <s v="c3:aal: add usage flags to stream config logs\n\nThis adds the gralloc usage flags to the stream config log print.\n\nChange-Id: I4186cb077d3f5c5e97749135d7c566cce8907986\nTracked-On: #R506535\nSigned-off-by: Ukri Niemimuukko &lt;ukri.niemimuukko@intel.com&gt;\nReviewed-on: https://icggerrit.ir.intel.com/93475\nValidation-Android: Wei Tao &lt;wei.tao@intel.com&gt;\nReviewed-by: Lassi I Vaatamoinen &lt;lassi.i.vaatamoinen@intel.com&gt;\nReviewed-by: Jukka O Kaartinen &lt;jukka.o.kaartinen@intel.com&gt;\nApprover: Lassi I Vaatamoinen &lt;lassi.i.vaatamoinen@intel.com&gt;\nReviewed-by: Arnaud Mandy &lt;arnaud.mandy@intel.com&gt;\nBuild: Dessert M BXT RVP (SC)\nBuild: Dessert M CHT FFD (SC)\nBuild: Dessert M SOFIA (SC)\nReviewed-by: Miguel Verdu &lt;miguel.verdu@intel.com&gt;\nIntegrator: WeiX Meng &lt;weix.meng@intel.com&gt;\nReviewed-by: WeiX Meng &lt;weix.meng@intel.com&gt;\n"/>
    <d v="2016-01-05T20:43:00"/>
    <d v="2016-01-13T15:17:00"/>
    <s v="common"/>
    <x v="6"/>
    <d v="2016-01-05T20:43:00"/>
    <s v="Uploaded patch set 1."/>
    <m/>
    <s v="miguel.verdu@intel.com;weix.meng@intel.com;arnaud.mandy@intel.com;jukka.o.kaartinen@intel.com;lassi.i.vaatamoinen@intel.com;"/>
    <s v="ukri.niemimuukko@intel.com"/>
    <x v="0"/>
    <x v="0"/>
    <s v="16'ww3"/>
    <x v="2"/>
    <n v="0"/>
    <n v="0"/>
    <n v="0"/>
    <n v="0"/>
    <n v="0"/>
    <n v="7"/>
    <n v="0"/>
    <x v="0"/>
    <x v="0"/>
    <x v="0"/>
  </r>
  <r>
    <x v="60"/>
    <m/>
    <m/>
    <m/>
    <m/>
    <m/>
    <m/>
    <m/>
    <m/>
    <m/>
    <m/>
    <m/>
    <x v="6"/>
    <d v="2016-01-05T20:43:00"/>
    <s v="Patch Set 1:\n\nPatchset Created: CI job has been scheduled."/>
    <m/>
    <m/>
    <s v="ukri.niemimuukko@intel.com"/>
    <x v="0"/>
    <x v="0"/>
    <s v=""/>
    <x v="2"/>
    <s v=""/>
    <s v=""/>
    <s v=""/>
    <s v=""/>
    <s v=""/>
    <s v=""/>
    <s v=""/>
    <x v="0"/>
    <x v="0"/>
    <x v="0"/>
  </r>
  <r>
    <x v="60"/>
    <m/>
    <m/>
    <m/>
    <m/>
    <m/>
    <m/>
    <m/>
    <m/>
    <m/>
    <m/>
    <m/>
    <x v="6"/>
    <d v="2016-01-05T20:56:00"/>
    <s v="Patch Set 1: Code-Review+1"/>
    <m/>
    <m/>
    <s v="ukri.niemimuukko@intel.com"/>
    <x v="0"/>
    <x v="0"/>
    <s v=""/>
    <x v="2"/>
    <s v=""/>
    <s v=""/>
    <s v=""/>
    <s v=""/>
    <s v=""/>
    <s v=""/>
    <s v=""/>
    <x v="0"/>
    <x v="0"/>
    <x v="0"/>
  </r>
  <r>
    <x v="60"/>
    <m/>
    <m/>
    <m/>
    <m/>
    <m/>
    <m/>
    <m/>
    <m/>
    <m/>
    <m/>
    <m/>
    <x v="6"/>
    <d v="2016-01-08T20:02:00"/>
    <s v="Uploaded patch set 2: Patch Set 1 was rebased."/>
    <m/>
    <m/>
    <s v="ukri.niemimuukko@intel.com"/>
    <x v="0"/>
    <x v="0"/>
    <s v=""/>
    <x v="2"/>
    <s v=""/>
    <s v=""/>
    <s v=""/>
    <s v=""/>
    <s v=""/>
    <s v=""/>
    <s v=""/>
    <x v="0"/>
    <x v="0"/>
    <x v="0"/>
  </r>
  <r>
    <x v="60"/>
    <m/>
    <m/>
    <m/>
    <m/>
    <m/>
    <m/>
    <m/>
    <m/>
    <m/>
    <m/>
    <m/>
    <x v="6"/>
    <d v="2016-01-08T20:02:00"/>
    <s v="Patch Set 2:\n\nPatchset Created: CI job has been scheduled."/>
    <m/>
    <m/>
    <s v="ukri.niemimuukko@intel.com"/>
    <x v="0"/>
    <x v="0"/>
    <s v=""/>
    <x v="2"/>
    <s v=""/>
    <s v=""/>
    <s v=""/>
    <s v=""/>
    <s v=""/>
    <s v=""/>
    <s v=""/>
    <x v="0"/>
    <x v="0"/>
    <x v="0"/>
  </r>
  <r>
    <x v="60"/>
    <m/>
    <m/>
    <m/>
    <m/>
    <m/>
    <m/>
    <m/>
    <m/>
    <m/>
    <m/>
    <m/>
    <x v="6"/>
    <d v="2016-01-08T20:29:00"/>
    <s v="Uploaded patch set 3."/>
    <m/>
    <m/>
    <s v="ukri.niemimuukko@intel.com"/>
    <x v="0"/>
    <x v="0"/>
    <s v=""/>
    <x v="2"/>
    <s v=""/>
    <s v=""/>
    <s v=""/>
    <s v=""/>
    <s v=""/>
    <s v=""/>
    <s v=""/>
    <x v="0"/>
    <x v="0"/>
    <x v="0"/>
  </r>
  <r>
    <x v="60"/>
    <m/>
    <m/>
    <m/>
    <m/>
    <m/>
    <m/>
    <m/>
    <m/>
    <m/>
    <m/>
    <m/>
    <x v="6"/>
    <d v="2016-01-08T20:29:00"/>
    <s v="Patch Set 3:\n\nPatchset Created: CI job has been scheduled."/>
    <m/>
    <m/>
    <s v="ukri.niemimuukko@intel.com"/>
    <x v="0"/>
    <x v="0"/>
    <s v=""/>
    <x v="2"/>
    <s v=""/>
    <s v=""/>
    <s v=""/>
    <s v=""/>
    <s v=""/>
    <s v=""/>
    <s v=""/>
    <x v="0"/>
    <x v="0"/>
    <x v="0"/>
  </r>
  <r>
    <x v="60"/>
    <m/>
    <m/>
    <m/>
    <m/>
    <m/>
    <m/>
    <m/>
    <m/>
    <m/>
    <m/>
    <m/>
    <x v="6"/>
    <d v="2016-01-08T20:29:00"/>
    <s v="Patch Set 3: Code-Review+1"/>
    <m/>
    <m/>
    <s v="ukri.niemimuukko@intel.com"/>
    <x v="0"/>
    <x v="0"/>
    <s v=""/>
    <x v="2"/>
    <s v=""/>
    <s v=""/>
    <s v=""/>
    <s v=""/>
    <s v=""/>
    <s v=""/>
    <s v=""/>
    <x v="0"/>
    <x v="0"/>
    <x v="0"/>
  </r>
  <r>
    <x v="60"/>
    <m/>
    <m/>
    <m/>
    <m/>
    <m/>
    <m/>
    <m/>
    <m/>
    <m/>
    <m/>
    <m/>
    <x v="6"/>
    <d v="2016-01-08T20:32:00"/>
    <s v="Uploaded patch set 4: Patch Set 3 was rebased."/>
    <m/>
    <m/>
    <s v="ukri.niemimuukko@intel.com"/>
    <x v="0"/>
    <x v="0"/>
    <s v=""/>
    <x v="2"/>
    <s v=""/>
    <s v=""/>
    <s v=""/>
    <s v=""/>
    <s v=""/>
    <s v=""/>
    <s v=""/>
    <x v="0"/>
    <x v="0"/>
    <x v="0"/>
  </r>
  <r>
    <x v="60"/>
    <m/>
    <m/>
    <m/>
    <m/>
    <m/>
    <m/>
    <m/>
    <m/>
    <m/>
    <m/>
    <m/>
    <x v="6"/>
    <d v="2016-01-08T20:32:00"/>
    <s v="Patch Set 4:\n\nPatchset Created: CI job has been scheduled."/>
    <m/>
    <m/>
    <s v="ukri.niemimuukko@intel.com"/>
    <x v="0"/>
    <x v="0"/>
    <s v=""/>
    <x v="2"/>
    <s v=""/>
    <s v=""/>
    <s v=""/>
    <s v=""/>
    <s v=""/>
    <s v=""/>
    <s v=""/>
    <x v="0"/>
    <x v="0"/>
    <x v="0"/>
  </r>
  <r>
    <x v="60"/>
    <m/>
    <m/>
    <m/>
    <m/>
    <m/>
    <m/>
    <m/>
    <m/>
    <m/>
    <m/>
    <m/>
    <x v="14"/>
    <d v="2016-01-08T21:13:00"/>
    <s v="Patch Set 4: Validation-Android+1\n\nreceive smoke test"/>
    <m/>
    <m/>
    <s v="ukri.niemimuukko@intel.com"/>
    <x v="0"/>
    <x v="5"/>
    <s v=""/>
    <x v="2"/>
    <s v=""/>
    <s v=""/>
    <s v=""/>
    <s v=""/>
    <s v=""/>
    <s v=""/>
    <s v=""/>
    <x v="0"/>
    <x v="1"/>
    <x v="0"/>
  </r>
  <r>
    <x v="60"/>
    <m/>
    <m/>
    <m/>
    <m/>
    <m/>
    <m/>
    <m/>
    <m/>
    <m/>
    <m/>
    <m/>
    <x v="12"/>
    <d v="2016-01-08T21:14:00"/>
    <s v="Patch Set 4: Code-Review+1"/>
    <m/>
    <m/>
    <s v="ukri.niemimuukko@intel.com"/>
    <x v="0"/>
    <x v="1"/>
    <s v=""/>
    <x v="2"/>
    <s v=""/>
    <s v=""/>
    <s v=""/>
    <s v=""/>
    <s v=""/>
    <s v=""/>
    <s v=""/>
    <x v="0"/>
    <x v="0"/>
    <x v="0"/>
  </r>
  <r>
    <x v="60"/>
    <m/>
    <m/>
    <m/>
    <m/>
    <m/>
    <m/>
    <m/>
    <m/>
    <m/>
    <m/>
    <m/>
    <x v="2"/>
    <d v="2016-01-08T21:16:00"/>
    <s v="Patch Set 4: Code-Review+1"/>
    <m/>
    <m/>
    <s v="ukri.niemimuukko@intel.com"/>
    <x v="0"/>
    <x v="1"/>
    <s v=""/>
    <x v="2"/>
    <s v=""/>
    <s v=""/>
    <s v=""/>
    <s v=""/>
    <s v=""/>
    <s v=""/>
    <s v=""/>
    <x v="0"/>
    <x v="0"/>
    <x v="0"/>
  </r>
  <r>
    <x v="60"/>
    <m/>
    <m/>
    <m/>
    <m/>
    <m/>
    <m/>
    <m/>
    <m/>
    <m/>
    <m/>
    <m/>
    <x v="12"/>
    <d v="2016-01-08T21:17:00"/>
    <s v="Patch Set 4: Approver+1"/>
    <m/>
    <m/>
    <s v="ukri.niemimuukko@intel.com"/>
    <x v="0"/>
    <x v="1"/>
    <s v=""/>
    <x v="2"/>
    <s v=""/>
    <s v=""/>
    <s v=""/>
    <s v=""/>
    <s v=""/>
    <s v=""/>
    <s v=""/>
    <x v="0"/>
    <x v="0"/>
    <x v="0"/>
  </r>
  <r>
    <x v="60"/>
    <m/>
    <m/>
    <m/>
    <m/>
    <m/>
    <m/>
    <m/>
    <m/>
    <m/>
    <m/>
    <m/>
    <x v="1"/>
    <d v="2016-01-08T21:23:00"/>
    <s v="Patch Set 4: Code-Review+1"/>
    <m/>
    <m/>
    <s v="ukri.niemimuukko@intel.com"/>
    <x v="0"/>
    <x v="1"/>
    <s v=""/>
    <x v="2"/>
    <s v=""/>
    <s v=""/>
    <s v=""/>
    <s v=""/>
    <s v=""/>
    <s v=""/>
    <s v=""/>
    <x v="0"/>
    <x v="0"/>
    <x v="0"/>
  </r>
  <r>
    <x v="60"/>
    <m/>
    <m/>
    <m/>
    <m/>
    <m/>
    <m/>
    <m/>
    <m/>
    <m/>
    <m/>
    <m/>
    <x v="12"/>
    <d v="2016-01-08T21:29:00"/>
    <s v="Topic changed from topic_jan8 to bxt_preint_HEAD"/>
    <m/>
    <m/>
    <s v="ukri.niemimuukko@intel.com"/>
    <x v="0"/>
    <x v="1"/>
    <s v=""/>
    <x v="2"/>
    <s v=""/>
    <s v=""/>
    <s v=""/>
    <s v=""/>
    <s v=""/>
    <s v=""/>
    <s v=""/>
    <x v="0"/>
    <x v="0"/>
    <x v="0"/>
  </r>
  <r>
    <x v="60"/>
    <m/>
    <m/>
    <m/>
    <m/>
    <m/>
    <m/>
    <m/>
    <m/>
    <m/>
    <m/>
    <m/>
    <x v="9"/>
    <d v="2016-01-11T14:29:00"/>
    <s v="Patch Set 4: Integrator+1\n\nIntegrator +1; patch will be add to PT; please no change now"/>
    <m/>
    <m/>
    <s v="ukri.niemimuukko@intel.com"/>
    <x v="0"/>
    <x v="5"/>
    <s v=""/>
    <x v="2"/>
    <s v=""/>
    <s v=""/>
    <s v=""/>
    <s v=""/>
    <s v=""/>
    <s v=""/>
    <s v=""/>
    <x v="0"/>
    <x v="1"/>
    <x v="0"/>
  </r>
  <r>
    <x v="60"/>
    <m/>
    <m/>
    <m/>
    <m/>
    <m/>
    <m/>
    <m/>
    <m/>
    <m/>
    <m/>
    <m/>
    <x v="9"/>
    <d v="2016-01-11T21:50:00"/>
    <s v="Patch Set 4:\n\nPassed Klocwork code analyzing test. No CRITICAL issue in this patch. Auto reported by kwscan@kw-srv2.bj.intel.com"/>
    <m/>
    <m/>
    <s v="ukri.niemimuukko@intel.com"/>
    <x v="0"/>
    <x v="5"/>
    <s v=""/>
    <x v="2"/>
    <s v=""/>
    <s v=""/>
    <s v=""/>
    <s v=""/>
    <s v=""/>
    <s v=""/>
    <s v=""/>
    <x v="0"/>
    <x v="0"/>
    <x v="0"/>
  </r>
  <r>
    <x v="60"/>
    <m/>
    <m/>
    <m/>
    <m/>
    <m/>
    <m/>
    <m/>
    <m/>
    <m/>
    <m/>
    <m/>
    <x v="12"/>
    <d v="2016-01-11T21:51:00"/>
    <s v="Topic changed from bxt_preint_HEAD to bxt_preint"/>
    <m/>
    <m/>
    <s v="ukri.niemimuukko@intel.com"/>
    <x v="0"/>
    <x v="1"/>
    <s v=""/>
    <x v="2"/>
    <s v=""/>
    <s v=""/>
    <s v=""/>
    <s v=""/>
    <s v=""/>
    <s v=""/>
    <s v=""/>
    <x v="0"/>
    <x v="0"/>
    <x v="0"/>
  </r>
  <r>
    <x v="60"/>
    <m/>
    <m/>
    <m/>
    <m/>
    <m/>
    <m/>
    <m/>
    <m/>
    <m/>
    <m/>
    <m/>
    <x v="9"/>
    <d v="2016-01-12T00:54:00"/>
    <s v="Patch Set 4:\n\nPassed Klocwork code analyzing test. No CRITICAL issue in this patch. Auto reported by kwscan@kw-srv2.bj.intel.com"/>
    <m/>
    <m/>
    <s v="ukri.niemimuukko@intel.com"/>
    <x v="0"/>
    <x v="5"/>
    <s v=""/>
    <x v="2"/>
    <s v=""/>
    <s v=""/>
    <s v=""/>
    <s v=""/>
    <s v=""/>
    <s v=""/>
    <s v=""/>
    <x v="0"/>
    <x v="0"/>
    <x v="0"/>
  </r>
  <r>
    <x v="60"/>
    <m/>
    <m/>
    <m/>
    <m/>
    <m/>
    <m/>
    <m/>
    <m/>
    <m/>
    <m/>
    <m/>
    <x v="9"/>
    <d v="2016-01-12T12:21:00"/>
    <s v="Patch Set 4:\n\nPassed Klocwork code analyzing test. No CRITICAL issue in this patch. Auto reported by kwscan@psi-build5.bj.intel.com"/>
    <m/>
    <m/>
    <s v="ukri.niemimuukko@intel.com"/>
    <x v="0"/>
    <x v="5"/>
    <s v=""/>
    <x v="2"/>
    <s v=""/>
    <s v=""/>
    <s v=""/>
    <s v=""/>
    <s v=""/>
    <s v=""/>
    <s v=""/>
    <x v="0"/>
    <x v="0"/>
    <x v="0"/>
  </r>
  <r>
    <x v="60"/>
    <m/>
    <m/>
    <m/>
    <m/>
    <m/>
    <m/>
    <m/>
    <m/>
    <m/>
    <m/>
    <m/>
    <x v="0"/>
    <d v="2016-01-12T16:10:00"/>
    <s v="Patch Set 4: Code-Review+1"/>
    <m/>
    <m/>
    <s v="ukri.niemimuukko@intel.com"/>
    <x v="0"/>
    <x v="1"/>
    <s v=""/>
    <x v="2"/>
    <s v=""/>
    <s v=""/>
    <s v=""/>
    <s v=""/>
    <s v=""/>
    <s v=""/>
    <s v=""/>
    <x v="0"/>
    <x v="0"/>
    <x v="0"/>
  </r>
  <r>
    <x v="60"/>
    <m/>
    <m/>
    <m/>
    <m/>
    <m/>
    <m/>
    <m/>
    <m/>
    <m/>
    <m/>
    <m/>
    <x v="9"/>
    <d v="2016-01-12T19:15:00"/>
    <s v="Patch Set 4: Integrator-1\n\nBXT PIT test failed; so patch nogo all"/>
    <m/>
    <m/>
    <s v="ukri.niemimuukko@intel.com"/>
    <x v="0"/>
    <x v="5"/>
    <s v=""/>
    <x v="2"/>
    <s v=""/>
    <s v=""/>
    <s v=""/>
    <s v=""/>
    <s v=""/>
    <s v=""/>
    <s v=""/>
    <x v="0"/>
    <x v="1"/>
    <x v="0"/>
  </r>
  <r>
    <x v="60"/>
    <m/>
    <m/>
    <m/>
    <m/>
    <m/>
    <m/>
    <m/>
    <m/>
    <m/>
    <m/>
    <m/>
    <x v="9"/>
    <d v="2016-01-12T19:18:00"/>
    <s v="Patch Set 4: Integrator+1\n\nIntegrator +1; patch will be add to PT; please no change now"/>
    <m/>
    <m/>
    <s v="ukri.niemimuukko@intel.com"/>
    <x v="0"/>
    <x v="5"/>
    <s v=""/>
    <x v="2"/>
    <s v=""/>
    <s v=""/>
    <s v=""/>
    <s v=""/>
    <s v=""/>
    <s v=""/>
    <s v=""/>
    <x v="0"/>
    <x v="1"/>
    <x v="0"/>
  </r>
  <r>
    <x v="60"/>
    <m/>
    <m/>
    <m/>
    <m/>
    <m/>
    <m/>
    <m/>
    <m/>
    <m/>
    <m/>
    <m/>
    <x v="9"/>
    <d v="2016-01-12T20:52:00"/>
    <s v="Patch Set 4:\n\nPassed Klocwork code analyzing test. No CRITICAL issue in this patch. Auto reported by kwscan@kw-srv2.bj.intel.com"/>
    <m/>
    <m/>
    <s v="ukri.niemimuukko@intel.com"/>
    <x v="0"/>
    <x v="5"/>
    <s v=""/>
    <x v="2"/>
    <s v=""/>
    <s v=""/>
    <s v=""/>
    <s v=""/>
    <s v=""/>
    <s v=""/>
    <s v=""/>
    <x v="0"/>
    <x v="0"/>
    <x v="0"/>
  </r>
  <r>
    <x v="60"/>
    <m/>
    <m/>
    <m/>
    <m/>
    <m/>
    <m/>
    <m/>
    <m/>
    <m/>
    <m/>
    <m/>
    <x v="9"/>
    <d v="2016-01-12T21:23:00"/>
    <s v="Patch Set 4:\n\nPassed Klocwork code analyzing test. No CRITICAL issue in this patch. Auto reported by kwscan@andr-val-srv0.bj.intel.com"/>
    <m/>
    <m/>
    <s v="ukri.niemimuukko@intel.com"/>
    <x v="0"/>
    <x v="5"/>
    <s v=""/>
    <x v="2"/>
    <s v=""/>
    <s v=""/>
    <s v=""/>
    <s v=""/>
    <s v=""/>
    <s v=""/>
    <s v=""/>
    <x v="0"/>
    <x v="0"/>
    <x v="0"/>
  </r>
  <r>
    <x v="60"/>
    <m/>
    <m/>
    <m/>
    <m/>
    <m/>
    <m/>
    <m/>
    <m/>
    <m/>
    <m/>
    <m/>
    <x v="9"/>
    <d v="2016-01-12T22:20:00"/>
    <s v="Patch Set 4:\n\nPassed Klocwork code analyzing test. No CRITICAL issue in this patch. Auto reported by kwscan@psi-build5.bj.intel.com"/>
    <m/>
    <m/>
    <s v="ukri.niemimuukko@intel.com"/>
    <x v="0"/>
    <x v="5"/>
    <s v=""/>
    <x v="2"/>
    <s v=""/>
    <s v=""/>
    <s v=""/>
    <s v=""/>
    <s v=""/>
    <s v=""/>
    <s v=""/>
    <x v="0"/>
    <x v="0"/>
    <x v="0"/>
  </r>
  <r>
    <x v="60"/>
    <m/>
    <m/>
    <m/>
    <m/>
    <m/>
    <m/>
    <m/>
    <m/>
    <m/>
    <m/>
    <m/>
    <x v="9"/>
    <d v="2016-01-13T02:03:00"/>
    <s v="Patch Set 4:\n\nPassed Klocwork code analyzing test. No CRITICAL issue in this patch. Auto reported by kwscan@kw-srv2.bj.intel.com"/>
    <m/>
    <m/>
    <s v="ukri.niemimuukko@intel.com"/>
    <x v="0"/>
    <x v="5"/>
    <s v=""/>
    <x v="2"/>
    <s v=""/>
    <s v=""/>
    <s v=""/>
    <s v=""/>
    <s v=""/>
    <s v=""/>
    <s v=""/>
    <x v="0"/>
    <x v="0"/>
    <x v="0"/>
  </r>
  <r>
    <x v="60"/>
    <m/>
    <m/>
    <m/>
    <m/>
    <m/>
    <m/>
    <m/>
    <m/>
    <m/>
    <m/>
    <m/>
    <x v="9"/>
    <d v="2016-01-13T15:14:00"/>
    <s v="Patch Set 4: Code-Review+1\n\nPassed PIT; ready for merge"/>
    <m/>
    <m/>
    <s v="ukri.niemimuukko@intel.com"/>
    <x v="0"/>
    <x v="5"/>
    <s v=""/>
    <x v="2"/>
    <s v=""/>
    <s v=""/>
    <s v=""/>
    <s v=""/>
    <s v=""/>
    <s v=""/>
    <s v=""/>
    <x v="0"/>
    <x v="0"/>
    <x v="0"/>
  </r>
  <r>
    <x v="61"/>
    <n v="94215"/>
    <s v="vied-viedandr-camera3hal"/>
    <s v="platform/android/main"/>
    <s v="I5ed5a07a5a3ffadb87d4832eda600c235fd7c990"/>
    <s v="ukri.niemimuukko@intel.com"/>
    <s v="MERGED"/>
    <s v="c3:platformdata: copyright fix"/>
    <s v="c3:platformdata: copyright fix\n\nVendorMetadatAInfoAutoGen.h is a file completely created by\nIntel; so only state Intel copyright in it.\n\nChange-Id: I5ed5a07a5a3ffadb87d4832eda600c235fd7c990\nTracked-On: #R506535\nSigned-off-by: Ukri Niemimuukko &lt;ukri.niemimuukko@intel.com&gt;\nReviewed-on: https://icggerrit.ir.intel.com/94215\nValidation-Android: Wei Tao &lt;wei.tao@intel.com&gt;\nReviewed-by: Lassi I Vaatamoinen &lt;lassi.i.vaatamoinen@intel.com&gt;\nReviewed-by: Jukka O Kaartinen &lt;jukka.o.kaartinen@intel.com&gt;\nApprover: Lassi I Vaatamoinen &lt;lassi.i.vaatamoinen@intel.com&gt;\nReviewed-by: Arnaud Mandy &lt;arnaud.mandy@intel.com&gt;\nBuild: Dessert M BXT RVP (SC)\nBuild: Dessert M CHT FFD (SC)\nBuild: Dessert M SOFIA (SC)\nValidation-Android: Dessert M CHT FFD (SC)\nReviewed-by: Anttu Koski &lt;anttu.koski@intel.com&gt;\nIntegrator: WeiX Meng &lt;weix.meng@intel.com&gt;\nReviewed-by: WeiX Meng &lt;weix.meng@intel.com&gt;\n"/>
    <d v="2016-01-08T20:02:00"/>
    <d v="2016-01-13T15:17:00"/>
    <s v="common"/>
    <x v="6"/>
    <d v="2016-01-08T20:02:00"/>
    <s v="Uploaded patch set 1."/>
    <m/>
    <s v="weix.meng@intel.com;anttu.koski@intel.com;arnaud.mandy@intel.com;jukka.o.kaartinen@intel.com;lassi.i.vaatamoinen@intel.com;"/>
    <s v="ukri.niemimuukko@intel.com"/>
    <x v="0"/>
    <x v="0"/>
    <s v="16'ww3"/>
    <x v="2"/>
    <n v="0"/>
    <n v="0"/>
    <n v="0"/>
    <n v="0"/>
    <n v="0"/>
    <n v="6"/>
    <n v="0"/>
    <x v="0"/>
    <x v="0"/>
    <x v="0"/>
  </r>
  <r>
    <x v="61"/>
    <m/>
    <m/>
    <m/>
    <m/>
    <m/>
    <m/>
    <m/>
    <m/>
    <m/>
    <m/>
    <m/>
    <x v="6"/>
    <d v="2016-01-08T20:02:00"/>
    <s v="Patch Set 1:\n\nPatchset Created: CI job has been scheduled."/>
    <m/>
    <m/>
    <s v="ukri.niemimuukko@intel.com"/>
    <x v="0"/>
    <x v="0"/>
    <s v=""/>
    <x v="2"/>
    <s v=""/>
    <s v=""/>
    <s v=""/>
    <s v=""/>
    <s v=""/>
    <s v=""/>
    <s v=""/>
    <x v="0"/>
    <x v="0"/>
    <x v="0"/>
  </r>
  <r>
    <x v="61"/>
    <m/>
    <m/>
    <m/>
    <m/>
    <m/>
    <m/>
    <m/>
    <m/>
    <m/>
    <m/>
    <m/>
    <x v="6"/>
    <d v="2016-01-08T20:29:00"/>
    <s v="Uploaded patch set 2: Patch Set 1 was rebased."/>
    <m/>
    <m/>
    <s v="ukri.niemimuukko@intel.com"/>
    <x v="0"/>
    <x v="0"/>
    <s v=""/>
    <x v="2"/>
    <s v=""/>
    <s v=""/>
    <s v=""/>
    <s v=""/>
    <s v=""/>
    <s v=""/>
    <s v=""/>
    <x v="0"/>
    <x v="0"/>
    <x v="0"/>
  </r>
  <r>
    <x v="61"/>
    <m/>
    <m/>
    <m/>
    <m/>
    <m/>
    <m/>
    <m/>
    <m/>
    <m/>
    <m/>
    <m/>
    <x v="6"/>
    <d v="2016-01-08T20:29:00"/>
    <s v="Patch Set 2:\n\nPatchset Created: CI job has been scheduled."/>
    <m/>
    <m/>
    <s v="ukri.niemimuukko@intel.com"/>
    <x v="0"/>
    <x v="0"/>
    <s v=""/>
    <x v="2"/>
    <s v=""/>
    <s v=""/>
    <s v=""/>
    <s v=""/>
    <s v=""/>
    <s v=""/>
    <s v=""/>
    <x v="0"/>
    <x v="0"/>
    <x v="0"/>
  </r>
  <r>
    <x v="61"/>
    <m/>
    <m/>
    <m/>
    <m/>
    <m/>
    <m/>
    <m/>
    <m/>
    <m/>
    <m/>
    <m/>
    <x v="6"/>
    <d v="2016-01-08T20:29:00"/>
    <s v="Patch Set 2: Code-Review+1"/>
    <m/>
    <m/>
    <s v="ukri.niemimuukko@intel.com"/>
    <x v="0"/>
    <x v="0"/>
    <s v=""/>
    <x v="2"/>
    <s v=""/>
    <s v=""/>
    <s v=""/>
    <s v=""/>
    <s v=""/>
    <s v=""/>
    <s v=""/>
    <x v="0"/>
    <x v="0"/>
    <x v="0"/>
  </r>
  <r>
    <x v="61"/>
    <m/>
    <m/>
    <m/>
    <m/>
    <m/>
    <m/>
    <m/>
    <m/>
    <m/>
    <m/>
    <m/>
    <x v="6"/>
    <d v="2016-01-08T20:32:00"/>
    <s v="Uploaded patch set 3: Patch Set 2 was rebased."/>
    <m/>
    <m/>
    <s v="ukri.niemimuukko@intel.com"/>
    <x v="0"/>
    <x v="0"/>
    <s v=""/>
    <x v="2"/>
    <s v=""/>
    <s v=""/>
    <s v=""/>
    <s v=""/>
    <s v=""/>
    <s v=""/>
    <s v=""/>
    <x v="0"/>
    <x v="0"/>
    <x v="0"/>
  </r>
  <r>
    <x v="61"/>
    <m/>
    <m/>
    <m/>
    <m/>
    <m/>
    <m/>
    <m/>
    <m/>
    <m/>
    <m/>
    <m/>
    <x v="6"/>
    <d v="2016-01-08T20:32:00"/>
    <s v="Patch Set 3:\n\nPatchset Created: CI job has been scheduled."/>
    <m/>
    <m/>
    <s v="ukri.niemimuukko@intel.com"/>
    <x v="0"/>
    <x v="0"/>
    <s v=""/>
    <x v="2"/>
    <s v=""/>
    <s v=""/>
    <s v=""/>
    <s v=""/>
    <s v=""/>
    <s v=""/>
    <s v=""/>
    <x v="0"/>
    <x v="0"/>
    <x v="0"/>
  </r>
  <r>
    <x v="61"/>
    <m/>
    <m/>
    <m/>
    <m/>
    <m/>
    <m/>
    <m/>
    <m/>
    <m/>
    <m/>
    <m/>
    <x v="14"/>
    <d v="2016-01-08T21:13:00"/>
    <s v="Patch Set 3: Validation-Android+1\n\nreceive smoke test"/>
    <m/>
    <m/>
    <s v="ukri.niemimuukko@intel.com"/>
    <x v="0"/>
    <x v="5"/>
    <s v=""/>
    <x v="2"/>
    <s v=""/>
    <s v=""/>
    <s v=""/>
    <s v=""/>
    <s v=""/>
    <s v=""/>
    <s v=""/>
    <x v="0"/>
    <x v="1"/>
    <x v="0"/>
  </r>
  <r>
    <x v="61"/>
    <m/>
    <m/>
    <m/>
    <m/>
    <m/>
    <m/>
    <m/>
    <m/>
    <m/>
    <m/>
    <m/>
    <x v="12"/>
    <d v="2016-01-08T21:14:00"/>
    <s v="Patch Set 3: Code-Review+1"/>
    <m/>
    <m/>
    <s v="ukri.niemimuukko@intel.com"/>
    <x v="0"/>
    <x v="1"/>
    <s v=""/>
    <x v="2"/>
    <s v=""/>
    <s v=""/>
    <s v=""/>
    <s v=""/>
    <s v=""/>
    <s v=""/>
    <s v=""/>
    <x v="0"/>
    <x v="0"/>
    <x v="0"/>
  </r>
  <r>
    <x v="61"/>
    <m/>
    <m/>
    <m/>
    <m/>
    <m/>
    <m/>
    <m/>
    <m/>
    <m/>
    <m/>
    <m/>
    <x v="2"/>
    <d v="2016-01-08T21:16:00"/>
    <s v="Patch Set 3: Code-Review+1"/>
    <m/>
    <m/>
    <s v="ukri.niemimuukko@intel.com"/>
    <x v="0"/>
    <x v="1"/>
    <s v=""/>
    <x v="2"/>
    <s v=""/>
    <s v=""/>
    <s v=""/>
    <s v=""/>
    <s v=""/>
    <s v=""/>
    <s v=""/>
    <x v="0"/>
    <x v="0"/>
    <x v="0"/>
  </r>
  <r>
    <x v="61"/>
    <m/>
    <m/>
    <m/>
    <m/>
    <m/>
    <m/>
    <m/>
    <m/>
    <m/>
    <m/>
    <m/>
    <x v="12"/>
    <d v="2016-01-08T21:17:00"/>
    <s v="Patch Set 3: Approver+1"/>
    <m/>
    <m/>
    <s v="ukri.niemimuukko@intel.com"/>
    <x v="0"/>
    <x v="1"/>
    <s v=""/>
    <x v="2"/>
    <s v=""/>
    <s v=""/>
    <s v=""/>
    <s v=""/>
    <s v=""/>
    <s v=""/>
    <s v=""/>
    <x v="0"/>
    <x v="0"/>
    <x v="0"/>
  </r>
  <r>
    <x v="61"/>
    <m/>
    <m/>
    <m/>
    <m/>
    <m/>
    <m/>
    <m/>
    <m/>
    <m/>
    <m/>
    <m/>
    <x v="1"/>
    <d v="2016-01-08T21:23:00"/>
    <s v="Patch Set 3: Code-Review+1\n\n(1 comment)"/>
    <s v="line9 :&quot;data not datA\n sorry&quot;"/>
    <m/>
    <s v="ukri.niemimuukko@intel.com"/>
    <x v="0"/>
    <x v="1"/>
    <s v=""/>
    <x v="2"/>
    <s v=""/>
    <s v=""/>
    <s v=""/>
    <s v=""/>
    <s v=""/>
    <s v=""/>
    <s v=""/>
    <x v="0"/>
    <x v="0"/>
    <x v="0"/>
  </r>
  <r>
    <x v="61"/>
    <m/>
    <m/>
    <m/>
    <m/>
    <m/>
    <m/>
    <m/>
    <m/>
    <m/>
    <m/>
    <m/>
    <x v="12"/>
    <d v="2016-01-08T21:29:00"/>
    <s v="Topic changed from topic_jan8 to bxt_preint"/>
    <m/>
    <m/>
    <s v="ukri.niemimuukko@intel.com"/>
    <x v="0"/>
    <x v="1"/>
    <s v=""/>
    <x v="2"/>
    <s v=""/>
    <s v=""/>
    <s v=""/>
    <s v=""/>
    <s v=""/>
    <s v=""/>
    <s v=""/>
    <x v="0"/>
    <x v="0"/>
    <x v="0"/>
  </r>
  <r>
    <x v="61"/>
    <m/>
    <m/>
    <m/>
    <m/>
    <m/>
    <m/>
    <m/>
    <m/>
    <m/>
    <m/>
    <m/>
    <x v="9"/>
    <d v="2016-01-11T14:29:00"/>
    <s v="Patch Set 3: Integrator+1\n\nIntegrator +1; patch will be add to PT; please no change now"/>
    <m/>
    <m/>
    <s v="ukri.niemimuukko@intel.com"/>
    <x v="0"/>
    <x v="5"/>
    <s v=""/>
    <x v="2"/>
    <s v=""/>
    <s v=""/>
    <s v=""/>
    <s v=""/>
    <s v=""/>
    <s v=""/>
    <s v=""/>
    <x v="0"/>
    <x v="1"/>
    <x v="0"/>
  </r>
  <r>
    <x v="61"/>
    <m/>
    <m/>
    <m/>
    <m/>
    <m/>
    <m/>
    <m/>
    <m/>
    <m/>
    <m/>
    <m/>
    <x v="18"/>
    <d v="2016-01-11T21:38:00"/>
    <s v="Patch Set 3: Code-Review+1"/>
    <m/>
    <m/>
    <s v="ukri.niemimuukko@intel.com"/>
    <x v="0"/>
    <x v="1"/>
    <s v=""/>
    <x v="2"/>
    <s v=""/>
    <s v=""/>
    <s v=""/>
    <s v=""/>
    <s v=""/>
    <s v=""/>
    <s v=""/>
    <x v="0"/>
    <x v="0"/>
    <x v="0"/>
  </r>
  <r>
    <x v="61"/>
    <m/>
    <m/>
    <m/>
    <m/>
    <m/>
    <m/>
    <m/>
    <m/>
    <m/>
    <m/>
    <m/>
    <x v="9"/>
    <d v="2016-01-11T21:50:00"/>
    <s v="Patch Set 3:\n\nPassed Klocwork code analyzing test. No CRITICAL issue in this patch. Auto reported by kwscan@kw-srv2.bj.intel.com"/>
    <m/>
    <m/>
    <s v="ukri.niemimuukko@intel.com"/>
    <x v="0"/>
    <x v="5"/>
    <s v=""/>
    <x v="2"/>
    <s v=""/>
    <s v=""/>
    <s v=""/>
    <s v=""/>
    <s v=""/>
    <s v=""/>
    <s v=""/>
    <x v="0"/>
    <x v="0"/>
    <x v="0"/>
  </r>
  <r>
    <x v="61"/>
    <m/>
    <m/>
    <m/>
    <m/>
    <m/>
    <m/>
    <m/>
    <m/>
    <m/>
    <m/>
    <m/>
    <x v="9"/>
    <d v="2016-01-12T00:54:00"/>
    <s v="Patch Set 3:\n\nPassed Klocwork code analyzing test. No CRITICAL issue in this patch. Auto reported by kwscan@kw-srv2.bj.intel.com"/>
    <m/>
    <m/>
    <s v="ukri.niemimuukko@intel.com"/>
    <x v="0"/>
    <x v="5"/>
    <s v=""/>
    <x v="2"/>
    <s v=""/>
    <s v=""/>
    <s v=""/>
    <s v=""/>
    <s v=""/>
    <s v=""/>
    <s v=""/>
    <x v="0"/>
    <x v="0"/>
    <x v="0"/>
  </r>
  <r>
    <x v="61"/>
    <m/>
    <m/>
    <m/>
    <m/>
    <m/>
    <m/>
    <m/>
    <m/>
    <m/>
    <m/>
    <m/>
    <x v="9"/>
    <d v="2016-01-12T12:21:00"/>
    <s v="Patch Set 3:\n\nPassed Klocwork code analyzing test. No CRITICAL issue in this patch. Auto reported by kwscan@psi-build5.bj.intel.com"/>
    <m/>
    <m/>
    <s v="ukri.niemimuukko@intel.com"/>
    <x v="0"/>
    <x v="5"/>
    <s v=""/>
    <x v="2"/>
    <s v=""/>
    <s v=""/>
    <s v=""/>
    <s v=""/>
    <s v=""/>
    <s v=""/>
    <s v=""/>
    <x v="0"/>
    <x v="0"/>
    <x v="0"/>
  </r>
  <r>
    <x v="61"/>
    <m/>
    <m/>
    <m/>
    <m/>
    <m/>
    <m/>
    <m/>
    <m/>
    <m/>
    <m/>
    <m/>
    <x v="9"/>
    <d v="2016-01-12T19:15:00"/>
    <s v="Patch Set 3: Integrator-1\n\nBXT PIT test failed; so patch nogo all"/>
    <m/>
    <m/>
    <s v="ukri.niemimuukko@intel.com"/>
    <x v="0"/>
    <x v="5"/>
    <s v=""/>
    <x v="2"/>
    <s v=""/>
    <s v=""/>
    <s v=""/>
    <s v=""/>
    <s v=""/>
    <s v=""/>
    <s v=""/>
    <x v="0"/>
    <x v="1"/>
    <x v="0"/>
  </r>
  <r>
    <x v="61"/>
    <m/>
    <m/>
    <m/>
    <m/>
    <m/>
    <m/>
    <m/>
    <m/>
    <m/>
    <m/>
    <m/>
    <x v="9"/>
    <d v="2016-01-12T19:18:00"/>
    <s v="Patch Set 3: Integrator+1\n\nIntegrator +1; patch will be add to PT; please no change now"/>
    <m/>
    <m/>
    <s v="ukri.niemimuukko@intel.com"/>
    <x v="0"/>
    <x v="5"/>
    <s v=""/>
    <x v="2"/>
    <s v=""/>
    <s v=""/>
    <s v=""/>
    <s v=""/>
    <s v=""/>
    <s v=""/>
    <s v=""/>
    <x v="0"/>
    <x v="1"/>
    <x v="0"/>
  </r>
  <r>
    <x v="61"/>
    <m/>
    <m/>
    <m/>
    <m/>
    <m/>
    <m/>
    <m/>
    <m/>
    <m/>
    <m/>
    <m/>
    <x v="9"/>
    <d v="2016-01-12T20:52:00"/>
    <s v="Patch Set 3:\n\nPassed Klocwork code analyzing test. No CRITICAL issue in this patch. Auto reported by kwscan@kw-srv2.bj.intel.com"/>
    <m/>
    <m/>
    <s v="ukri.niemimuukko@intel.com"/>
    <x v="0"/>
    <x v="5"/>
    <s v=""/>
    <x v="2"/>
    <s v=""/>
    <s v=""/>
    <s v=""/>
    <s v=""/>
    <s v=""/>
    <s v=""/>
    <s v=""/>
    <x v="0"/>
    <x v="0"/>
    <x v="0"/>
  </r>
  <r>
    <x v="61"/>
    <m/>
    <m/>
    <m/>
    <m/>
    <m/>
    <m/>
    <m/>
    <m/>
    <m/>
    <m/>
    <m/>
    <x v="9"/>
    <d v="2016-01-12T21:23:00"/>
    <s v="Patch Set 3:\n\nPassed Klocwork code analyzing test. No CRITICAL issue in this patch. Auto reported by kwscan@andr-val-srv0.bj.intel.com"/>
    <m/>
    <m/>
    <s v="ukri.niemimuukko@intel.com"/>
    <x v="0"/>
    <x v="5"/>
    <s v=""/>
    <x v="2"/>
    <s v=""/>
    <s v=""/>
    <s v=""/>
    <s v=""/>
    <s v=""/>
    <s v=""/>
    <s v=""/>
    <x v="0"/>
    <x v="0"/>
    <x v="0"/>
  </r>
  <r>
    <x v="61"/>
    <m/>
    <m/>
    <m/>
    <m/>
    <m/>
    <m/>
    <m/>
    <m/>
    <m/>
    <m/>
    <m/>
    <x v="9"/>
    <d v="2016-01-12T22:20:00"/>
    <s v="Patch Set 3:\n\nPassed Klocwork code analyzing test. No CRITICAL issue in this patch. Auto reported by kwscan@psi-build5.bj.intel.com"/>
    <m/>
    <m/>
    <s v="ukri.niemimuukko@intel.com"/>
    <x v="0"/>
    <x v="5"/>
    <s v=""/>
    <x v="2"/>
    <s v=""/>
    <s v=""/>
    <s v=""/>
    <s v=""/>
    <s v=""/>
    <s v=""/>
    <s v=""/>
    <x v="0"/>
    <x v="0"/>
    <x v="0"/>
  </r>
  <r>
    <x v="61"/>
    <m/>
    <m/>
    <m/>
    <m/>
    <m/>
    <m/>
    <m/>
    <m/>
    <m/>
    <m/>
    <m/>
    <x v="9"/>
    <d v="2016-01-13T02:03:00"/>
    <s v="Patch Set 3:\n\nPassed Klocwork code analyzing test. No CRITICAL issue in this patch. Auto reported by kwscan@kw-srv2.bj.intel.com"/>
    <m/>
    <m/>
    <s v="ukri.niemimuukko@intel.com"/>
    <x v="0"/>
    <x v="5"/>
    <s v=""/>
    <x v="2"/>
    <s v=""/>
    <s v=""/>
    <s v=""/>
    <s v=""/>
    <s v=""/>
    <s v=""/>
    <s v=""/>
    <x v="0"/>
    <x v="0"/>
    <x v="0"/>
  </r>
  <r>
    <x v="61"/>
    <m/>
    <m/>
    <m/>
    <m/>
    <m/>
    <m/>
    <m/>
    <m/>
    <m/>
    <m/>
    <m/>
    <x v="9"/>
    <d v="2016-01-13T15:13:00"/>
    <s v="Patch Set 3: Code-Review+1\n\nPassed PIT; ready for merge"/>
    <m/>
    <m/>
    <s v="ukri.niemimuukko@intel.com"/>
    <x v="0"/>
    <x v="5"/>
    <s v=""/>
    <x v="2"/>
    <s v=""/>
    <s v=""/>
    <s v=""/>
    <s v=""/>
    <s v=""/>
    <s v=""/>
    <s v=""/>
    <x v="0"/>
    <x v="0"/>
    <x v="0"/>
  </r>
  <r>
    <x v="62"/>
    <n v="94164"/>
    <s v="vied-viedandr-camera3hal"/>
    <s v="platform/android/main"/>
    <s v="I2a5942c84b5a5ddb914289caca55dbc569e63d55"/>
    <s v="jukka.o.kaartinen@intel.com"/>
    <s v="MERGED"/>
    <s v="c3:ipu4: Silence verbose debug trace"/>
    <s v="c3:ipu4: Silence verbose debug trace\n\nChange-Id: I2a5942c84b5a5ddb914289caca55dbc569e63d55\nTracked-On: #R507527\nSigned-off-by: Jukka Kaartinen &lt;jukka.o.kaartinen@intel.com&gt;\nReviewed-on: https://icggerrit.ir.intel.com/94164\nReviewed-by: Lassi I Vaatamoinen &lt;lassi.i.vaatamoinen@intel.com&gt;\nReviewed-by: Miguel Verdu &lt;miguel.verdu@intel.com&gt;\nReviewed-by: Ukri Niemimuukko &lt;ukri.niemimuukko@intel.com&gt;\nValidation-Android: Wei Tao &lt;wei.tao@intel.com&gt;\nBuild: Dessert M BXT RVP (SC)\nBuild: Dessert M CHT FFD (SC)\nApprover: Ukri Niemimuukko &lt;ukri.niemimuukko@intel.com&gt;\nBuild: Dessert M SOFIA (SC)\nIntegrator: WeiX Meng &lt;weix.meng@intel.com&gt;\nReviewed-by: WeiX Meng &lt;weix.meng@intel.com&gt;\n"/>
    <d v="2016-01-08T16:17:00"/>
    <d v="2016-01-13T15:16:00"/>
    <s v="common"/>
    <x v="2"/>
    <d v="2016-01-08T16:17:00"/>
    <s v="Patch Set 1:\n\nPatchset Created: CI job has been scheduled."/>
    <m/>
    <s v="weix.meng@intel.com;ukri.niemimuukko@intel.com;miguel.verdu@intel.com;lassi.i.vaatamoinen@intel.com;"/>
    <s v="jukka.o.kaartinen@intel.com"/>
    <x v="0"/>
    <x v="0"/>
    <s v="16'ww3"/>
    <x v="2"/>
    <n v="0"/>
    <n v="0"/>
    <n v="0"/>
    <n v="0"/>
    <n v="0"/>
    <n v="6"/>
    <n v="0"/>
    <x v="0"/>
    <x v="0"/>
    <x v="0"/>
  </r>
  <r>
    <x v="62"/>
    <m/>
    <m/>
    <m/>
    <m/>
    <m/>
    <m/>
    <m/>
    <m/>
    <m/>
    <m/>
    <m/>
    <x v="2"/>
    <d v="2016-01-08T16:17:00"/>
    <s v="Uploaded patch set 1."/>
    <m/>
    <m/>
    <s v="jukka.o.kaartinen@intel.com"/>
    <x v="0"/>
    <x v="0"/>
    <s v=""/>
    <x v="2"/>
    <s v=""/>
    <s v=""/>
    <s v=""/>
    <s v=""/>
    <s v=""/>
    <s v=""/>
    <s v=""/>
    <x v="0"/>
    <x v="0"/>
    <x v="0"/>
  </r>
  <r>
    <x v="62"/>
    <m/>
    <m/>
    <m/>
    <m/>
    <m/>
    <m/>
    <m/>
    <m/>
    <m/>
    <m/>
    <m/>
    <x v="2"/>
    <d v="2016-01-08T16:18:00"/>
    <s v="Patch Set 1: Code-Review+1"/>
    <m/>
    <m/>
    <s v="jukka.o.kaartinen@intel.com"/>
    <x v="0"/>
    <x v="0"/>
    <s v=""/>
    <x v="2"/>
    <s v=""/>
    <s v=""/>
    <s v=""/>
    <s v=""/>
    <s v=""/>
    <s v=""/>
    <s v=""/>
    <x v="0"/>
    <x v="0"/>
    <x v="0"/>
  </r>
  <r>
    <x v="62"/>
    <m/>
    <m/>
    <m/>
    <m/>
    <m/>
    <m/>
    <m/>
    <m/>
    <m/>
    <m/>
    <m/>
    <x v="2"/>
    <d v="2016-01-08T16:21:00"/>
    <s v="Patch Set 2: Published edit on patch set 1"/>
    <m/>
    <m/>
    <s v="jukka.o.kaartinen@intel.com"/>
    <x v="0"/>
    <x v="0"/>
    <s v=""/>
    <x v="2"/>
    <s v=""/>
    <s v=""/>
    <s v=""/>
    <s v=""/>
    <s v=""/>
    <s v=""/>
    <s v=""/>
    <x v="0"/>
    <x v="0"/>
    <x v="0"/>
  </r>
  <r>
    <x v="62"/>
    <m/>
    <m/>
    <m/>
    <m/>
    <m/>
    <m/>
    <m/>
    <m/>
    <m/>
    <m/>
    <m/>
    <x v="2"/>
    <d v="2016-01-08T16:21:00"/>
    <s v="Patch Set 2:\n\nPatchset Created: CI job has been scheduled."/>
    <m/>
    <m/>
    <s v="jukka.o.kaartinen@intel.com"/>
    <x v="0"/>
    <x v="0"/>
    <s v=""/>
    <x v="2"/>
    <s v=""/>
    <s v=""/>
    <s v=""/>
    <s v=""/>
    <s v=""/>
    <s v=""/>
    <s v=""/>
    <x v="0"/>
    <x v="0"/>
    <x v="0"/>
  </r>
  <r>
    <x v="62"/>
    <m/>
    <m/>
    <m/>
    <m/>
    <m/>
    <m/>
    <m/>
    <m/>
    <m/>
    <m/>
    <m/>
    <x v="12"/>
    <d v="2016-01-08T16:52:00"/>
    <s v="Patch Set 2: Code-Review+1"/>
    <m/>
    <m/>
    <s v="jukka.o.kaartinen@intel.com"/>
    <x v="0"/>
    <x v="1"/>
    <s v=""/>
    <x v="2"/>
    <s v=""/>
    <s v=""/>
    <s v=""/>
    <s v=""/>
    <s v=""/>
    <s v=""/>
    <s v=""/>
    <x v="0"/>
    <x v="0"/>
    <x v="0"/>
  </r>
  <r>
    <x v="62"/>
    <m/>
    <m/>
    <m/>
    <m/>
    <m/>
    <m/>
    <m/>
    <m/>
    <m/>
    <m/>
    <m/>
    <x v="0"/>
    <d v="2016-01-08T16:56:00"/>
    <s v="Patch Set 2: Code-Review+1"/>
    <m/>
    <m/>
    <s v="jukka.o.kaartinen@intel.com"/>
    <x v="0"/>
    <x v="1"/>
    <s v=""/>
    <x v="2"/>
    <s v=""/>
    <s v=""/>
    <s v=""/>
    <s v=""/>
    <s v=""/>
    <s v=""/>
    <s v=""/>
    <x v="0"/>
    <x v="0"/>
    <x v="0"/>
  </r>
  <r>
    <x v="62"/>
    <m/>
    <m/>
    <m/>
    <m/>
    <m/>
    <m/>
    <m/>
    <m/>
    <m/>
    <m/>
    <m/>
    <x v="6"/>
    <d v="2016-01-08T17:22:00"/>
    <s v="Patch Set 2: Code-Review+1"/>
    <m/>
    <m/>
    <s v="jukka.o.kaartinen@intel.com"/>
    <x v="0"/>
    <x v="1"/>
    <s v=""/>
    <x v="2"/>
    <s v=""/>
    <s v=""/>
    <s v=""/>
    <s v=""/>
    <s v=""/>
    <s v=""/>
    <s v=""/>
    <x v="0"/>
    <x v="0"/>
    <x v="0"/>
  </r>
  <r>
    <x v="62"/>
    <m/>
    <m/>
    <m/>
    <m/>
    <m/>
    <m/>
    <m/>
    <m/>
    <m/>
    <m/>
    <m/>
    <x v="14"/>
    <d v="2016-01-08T17:58:00"/>
    <s v="Patch Set 2: Validation-Android+1\n\nreceive smoke test"/>
    <m/>
    <m/>
    <s v="jukka.o.kaartinen@intel.com"/>
    <x v="0"/>
    <x v="5"/>
    <s v=""/>
    <x v="2"/>
    <s v=""/>
    <s v=""/>
    <s v=""/>
    <s v=""/>
    <s v=""/>
    <s v=""/>
    <s v=""/>
    <x v="0"/>
    <x v="1"/>
    <x v="0"/>
  </r>
  <r>
    <x v="62"/>
    <m/>
    <m/>
    <m/>
    <m/>
    <m/>
    <m/>
    <m/>
    <m/>
    <m/>
    <m/>
    <m/>
    <x v="6"/>
    <d v="2016-01-08T20:22:00"/>
    <s v="Patch Set 2: Approver+1"/>
    <m/>
    <m/>
    <s v="jukka.o.kaartinen@intel.com"/>
    <x v="0"/>
    <x v="1"/>
    <s v=""/>
    <x v="2"/>
    <s v=""/>
    <s v=""/>
    <s v=""/>
    <s v=""/>
    <s v=""/>
    <s v=""/>
    <s v=""/>
    <x v="0"/>
    <x v="0"/>
    <x v="0"/>
  </r>
  <r>
    <x v="62"/>
    <m/>
    <m/>
    <m/>
    <m/>
    <m/>
    <m/>
    <m/>
    <m/>
    <m/>
    <m/>
    <m/>
    <x v="12"/>
    <d v="2016-01-08T20:23:00"/>
    <s v="Topic changed from uuups to bxt_preint_HEAD"/>
    <m/>
    <m/>
    <s v="jukka.o.kaartinen@intel.com"/>
    <x v="0"/>
    <x v="1"/>
    <s v=""/>
    <x v="2"/>
    <s v=""/>
    <s v=""/>
    <s v=""/>
    <s v=""/>
    <s v=""/>
    <s v=""/>
    <s v=""/>
    <x v="0"/>
    <x v="0"/>
    <x v="0"/>
  </r>
  <r>
    <x v="62"/>
    <m/>
    <m/>
    <m/>
    <m/>
    <m/>
    <m/>
    <m/>
    <m/>
    <m/>
    <m/>
    <m/>
    <x v="12"/>
    <d v="2016-01-08T21:29:00"/>
    <s v="Topic changed from bxt_preint_HEAD to bxt_preint"/>
    <m/>
    <m/>
    <s v="jukka.o.kaartinen@intel.com"/>
    <x v="0"/>
    <x v="1"/>
    <s v=""/>
    <x v="2"/>
    <s v=""/>
    <s v=""/>
    <s v=""/>
    <s v=""/>
    <s v=""/>
    <s v=""/>
    <s v=""/>
    <x v="0"/>
    <x v="0"/>
    <x v="0"/>
  </r>
  <r>
    <x v="62"/>
    <m/>
    <m/>
    <m/>
    <m/>
    <m/>
    <m/>
    <m/>
    <m/>
    <m/>
    <m/>
    <m/>
    <x v="9"/>
    <d v="2016-01-11T14:28:00"/>
    <s v="Patch Set 2: Integrator+1\n\nIntegrator +1; patch will be add to PT; please no change now"/>
    <m/>
    <m/>
    <s v="jukka.o.kaartinen@intel.com"/>
    <x v="0"/>
    <x v="5"/>
    <s v=""/>
    <x v="2"/>
    <s v=""/>
    <s v=""/>
    <s v=""/>
    <s v=""/>
    <s v=""/>
    <s v=""/>
    <s v=""/>
    <x v="0"/>
    <x v="1"/>
    <x v="0"/>
  </r>
  <r>
    <x v="62"/>
    <m/>
    <m/>
    <m/>
    <m/>
    <m/>
    <m/>
    <m/>
    <m/>
    <m/>
    <m/>
    <m/>
    <x v="9"/>
    <d v="2016-01-11T21:50:00"/>
    <s v="Patch Set 2:\n\nPassed Klocwork code analyzing test. No CRITICAL issue in this patch. Auto reported by kwscan@kw-srv2.bj.intel.com"/>
    <m/>
    <m/>
    <s v="jukka.o.kaartinen@intel.com"/>
    <x v="0"/>
    <x v="5"/>
    <s v=""/>
    <x v="2"/>
    <s v=""/>
    <s v=""/>
    <s v=""/>
    <s v=""/>
    <s v=""/>
    <s v=""/>
    <s v=""/>
    <x v="0"/>
    <x v="0"/>
    <x v="0"/>
  </r>
  <r>
    <x v="62"/>
    <m/>
    <m/>
    <m/>
    <m/>
    <m/>
    <m/>
    <m/>
    <m/>
    <m/>
    <m/>
    <m/>
    <x v="9"/>
    <d v="2016-01-12T00:53:00"/>
    <s v="Patch Set 2:\n\nPassed Klocwork code analyzing test. No CRITICAL issue in this patch. Auto reported by kwscan@kw-srv2.bj.intel.com"/>
    <m/>
    <m/>
    <s v="jukka.o.kaartinen@intel.com"/>
    <x v="0"/>
    <x v="5"/>
    <s v=""/>
    <x v="2"/>
    <s v=""/>
    <s v=""/>
    <s v=""/>
    <s v=""/>
    <s v=""/>
    <s v=""/>
    <s v=""/>
    <x v="0"/>
    <x v="0"/>
    <x v="0"/>
  </r>
  <r>
    <x v="62"/>
    <m/>
    <m/>
    <m/>
    <m/>
    <m/>
    <m/>
    <m/>
    <m/>
    <m/>
    <m/>
    <m/>
    <x v="9"/>
    <d v="2016-01-12T12:20:00"/>
    <s v="Patch Set 2:\n\nPassed Klocwork code analyzing test. No CRITICAL issue in this patch. Auto reported by kwscan@psi-build5.bj.intel.com"/>
    <m/>
    <m/>
    <s v="jukka.o.kaartinen@intel.com"/>
    <x v="0"/>
    <x v="5"/>
    <s v=""/>
    <x v="2"/>
    <s v=""/>
    <s v=""/>
    <s v=""/>
    <s v=""/>
    <s v=""/>
    <s v=""/>
    <s v=""/>
    <x v="0"/>
    <x v="0"/>
    <x v="0"/>
  </r>
  <r>
    <x v="62"/>
    <m/>
    <m/>
    <m/>
    <m/>
    <m/>
    <m/>
    <m/>
    <m/>
    <m/>
    <m/>
    <m/>
    <x v="9"/>
    <d v="2016-01-12T19:14:00"/>
    <s v="Patch Set 2: Integrator-1\n\nBXT PIT test failed; so patch nogo all"/>
    <m/>
    <m/>
    <s v="jukka.o.kaartinen@intel.com"/>
    <x v="0"/>
    <x v="5"/>
    <s v=""/>
    <x v="2"/>
    <s v=""/>
    <s v=""/>
    <s v=""/>
    <s v=""/>
    <s v=""/>
    <s v=""/>
    <s v=""/>
    <x v="0"/>
    <x v="1"/>
    <x v="0"/>
  </r>
  <r>
    <x v="62"/>
    <m/>
    <m/>
    <m/>
    <m/>
    <m/>
    <m/>
    <m/>
    <m/>
    <m/>
    <m/>
    <m/>
    <x v="9"/>
    <d v="2016-01-12T19:17:00"/>
    <s v="Patch Set 2: Integrator+1\n\nIntegrator +1; patch will be add to PT; please no change now"/>
    <m/>
    <m/>
    <s v="jukka.o.kaartinen@intel.com"/>
    <x v="0"/>
    <x v="5"/>
    <s v=""/>
    <x v="2"/>
    <s v=""/>
    <s v=""/>
    <s v=""/>
    <s v=""/>
    <s v=""/>
    <s v=""/>
    <s v=""/>
    <x v="0"/>
    <x v="1"/>
    <x v="0"/>
  </r>
  <r>
    <x v="62"/>
    <m/>
    <m/>
    <m/>
    <m/>
    <m/>
    <m/>
    <m/>
    <m/>
    <m/>
    <m/>
    <m/>
    <x v="9"/>
    <d v="2016-01-12T20:52:00"/>
    <s v="Patch Set 2:\n\nPassed Klocwork code analyzing test. No CRITICAL issue in this patch. Auto reported by kwscan@kw-srv2.bj.intel.com"/>
    <m/>
    <m/>
    <s v="jukka.o.kaartinen@intel.com"/>
    <x v="0"/>
    <x v="5"/>
    <s v=""/>
    <x v="2"/>
    <s v=""/>
    <s v=""/>
    <s v=""/>
    <s v=""/>
    <s v=""/>
    <s v=""/>
    <s v=""/>
    <x v="0"/>
    <x v="0"/>
    <x v="0"/>
  </r>
  <r>
    <x v="62"/>
    <m/>
    <m/>
    <m/>
    <m/>
    <m/>
    <m/>
    <m/>
    <m/>
    <m/>
    <m/>
    <m/>
    <x v="9"/>
    <d v="2016-01-12T21:23:00"/>
    <s v="Patch Set 2:\n\nPassed Klocwork code analyzing test. No CRITICAL issue in this patch. Auto reported by kwscan@andr-val-srv0.bj.intel.com"/>
    <m/>
    <m/>
    <s v="jukka.o.kaartinen@intel.com"/>
    <x v="0"/>
    <x v="5"/>
    <s v=""/>
    <x v="2"/>
    <s v=""/>
    <s v=""/>
    <s v=""/>
    <s v=""/>
    <s v=""/>
    <s v=""/>
    <s v=""/>
    <x v="0"/>
    <x v="0"/>
    <x v="0"/>
  </r>
  <r>
    <x v="62"/>
    <m/>
    <m/>
    <m/>
    <m/>
    <m/>
    <m/>
    <m/>
    <m/>
    <m/>
    <m/>
    <m/>
    <x v="9"/>
    <d v="2016-01-12T22:20:00"/>
    <s v="Patch Set 2:\n\nPassed Klocwork code analyzing test. No CRITICAL issue in this patch. Auto reported by kwscan@psi-build5.bj.intel.com"/>
    <m/>
    <m/>
    <s v="jukka.o.kaartinen@intel.com"/>
    <x v="0"/>
    <x v="5"/>
    <s v=""/>
    <x v="2"/>
    <s v=""/>
    <s v=""/>
    <s v=""/>
    <s v=""/>
    <s v=""/>
    <s v=""/>
    <s v=""/>
    <x v="0"/>
    <x v="0"/>
    <x v="0"/>
  </r>
  <r>
    <x v="62"/>
    <m/>
    <m/>
    <m/>
    <m/>
    <m/>
    <m/>
    <m/>
    <m/>
    <m/>
    <m/>
    <m/>
    <x v="9"/>
    <d v="2016-01-13T02:03:00"/>
    <s v="Patch Set 2:\n\nPassed Klocwork code analyzing test. No CRITICAL issue in this patch. Auto reported by kwscan@kw-srv2.bj.intel.com"/>
    <m/>
    <m/>
    <s v="jukka.o.kaartinen@intel.com"/>
    <x v="0"/>
    <x v="5"/>
    <s v=""/>
    <x v="2"/>
    <s v=""/>
    <s v=""/>
    <s v=""/>
    <s v=""/>
    <s v=""/>
    <s v=""/>
    <s v=""/>
    <x v="0"/>
    <x v="0"/>
    <x v="0"/>
  </r>
  <r>
    <x v="62"/>
    <m/>
    <m/>
    <m/>
    <m/>
    <m/>
    <m/>
    <m/>
    <m/>
    <m/>
    <m/>
    <m/>
    <x v="9"/>
    <d v="2016-01-13T15:12:00"/>
    <s v="Patch Set 2: Code-Review+1\n\nPassed PIT; ready for merge"/>
    <m/>
    <m/>
    <s v="jukka.o.kaartinen@intel.com"/>
    <x v="0"/>
    <x v="5"/>
    <s v=""/>
    <x v="2"/>
    <s v=""/>
    <s v=""/>
    <s v=""/>
    <s v=""/>
    <s v=""/>
    <s v=""/>
    <s v=""/>
    <x v="0"/>
    <x v="0"/>
    <x v="0"/>
  </r>
  <r>
    <x v="63"/>
    <n v="86706"/>
    <s v="vied-viedandr-camera3hal"/>
    <s v="platform/android/main"/>
    <s v="I3c563ba4eaecade1bab056214dfe5d048d24c2f2"/>
    <s v="hongfu.ruan@intel.com"/>
    <s v="MERGED"/>
    <s v="c3: remove hot printed log msg for performance"/>
    <s v="c3: remove hot printed log msg for performance\n\nfor example; with this patch; L2P performance on 3gr improved from\n2.3378s to 2.2741s by removing ~500 log msgs.\n\nChange-Id: I3c563ba4eaecade1bab056214dfe5d048d24c2f2\nTracked-On: https://jira01.devtools.intel.com/browse/OAM-9988\nSigned-off-by: Hongfu Ruan &lt;hongfu.ruan@intel.com&gt;\nReviewed-on: https://icggerrit.ir.intel.com/86706\nReviewed-by: Renwei Wu &lt;renwei.wu@intel.com&gt;\nBuild: Dessert M BXT RVP (SC)\nBuild: Dessert M SOFIA (SC)\nBuild: Dessert M CHT FFD (SC)\nValidation-Android: Dessert M CHT FFD (SC)\nApprover: Mikael Persson &lt;mikael.persson@intel.com&gt;\nReviewed-by: Mikael Persson &lt;mikael.persson@intel.com&gt;\nReviewed-by: Lassi I Vaatamoinen &lt;lassi.i.vaatamoinen@intel.com&gt;\nIntegrator: WeiX Meng &lt;weix.meng@intel.com&gt;\nReviewed-by: WeiX Meng &lt;weix.meng@intel.com&gt;\n"/>
    <d v="2015-11-26T09:33:00"/>
    <d v="2016-01-13T15:14:00"/>
    <s v="common"/>
    <x v="42"/>
    <d v="2015-11-26T09:33:00"/>
    <s v="Uploaded patch set 1."/>
    <m/>
    <s v="weix.meng@intel.com;lassi.i.vaatamoinen@intel.com;renwei.wu@intel.com;mikael.persson@intel.com;"/>
    <s v="hongfu.ruan@intel.com"/>
    <x v="1"/>
    <x v="0"/>
    <s v="16'ww3"/>
    <x v="2"/>
    <n v="0"/>
    <n v="0"/>
    <n v="0"/>
    <n v="0"/>
    <n v="0"/>
    <n v="1"/>
    <n v="1"/>
    <x v="0"/>
    <x v="0"/>
    <x v="0"/>
  </r>
  <r>
    <x v="63"/>
    <m/>
    <m/>
    <m/>
    <m/>
    <m/>
    <m/>
    <m/>
    <m/>
    <m/>
    <m/>
    <m/>
    <x v="42"/>
    <d v="2015-11-26T09:33:00"/>
    <s v="Patch Set 1:\n\nPatchset Created: CI job has been scheduled."/>
    <m/>
    <m/>
    <s v="hongfu.ruan@intel.com"/>
    <x v="1"/>
    <x v="0"/>
    <s v=""/>
    <x v="2"/>
    <s v=""/>
    <s v=""/>
    <s v=""/>
    <s v=""/>
    <s v=""/>
    <s v=""/>
    <s v=""/>
    <x v="0"/>
    <x v="0"/>
    <x v="0"/>
  </r>
  <r>
    <x v="63"/>
    <m/>
    <m/>
    <m/>
    <m/>
    <m/>
    <m/>
    <m/>
    <m/>
    <m/>
    <m/>
    <m/>
    <x v="42"/>
    <d v="2015-11-26T09:55:00"/>
    <s v="Patch Set 1: Code-Review+1 Validation-Android+2"/>
    <m/>
    <m/>
    <s v="hongfu.ruan@intel.com"/>
    <x v="1"/>
    <x v="0"/>
    <s v=""/>
    <x v="2"/>
    <s v=""/>
    <s v=""/>
    <s v=""/>
    <s v=""/>
    <s v=""/>
    <s v=""/>
    <s v=""/>
    <x v="0"/>
    <x v="0"/>
    <x v="0"/>
  </r>
  <r>
    <x v="63"/>
    <m/>
    <m/>
    <m/>
    <m/>
    <m/>
    <m/>
    <m/>
    <m/>
    <m/>
    <m/>
    <m/>
    <x v="14"/>
    <d v="2015-11-26T10:05:00"/>
    <s v="Patch Set 1: Validation-Android+1\n\nreceive smoke test"/>
    <m/>
    <m/>
    <s v="hongfu.ruan@intel.com"/>
    <x v="1"/>
    <x v="5"/>
    <s v=""/>
    <x v="2"/>
    <s v=""/>
    <s v=""/>
    <s v=""/>
    <s v=""/>
    <s v=""/>
    <s v=""/>
    <s v=""/>
    <x v="0"/>
    <x v="1"/>
    <x v="0"/>
  </r>
  <r>
    <x v="63"/>
    <m/>
    <m/>
    <m/>
    <m/>
    <m/>
    <m/>
    <m/>
    <m/>
    <m/>
    <m/>
    <m/>
    <x v="30"/>
    <d v="2015-11-26T17:02:00"/>
    <s v="Patch Set 1: Code-Review-1\n\nInstead of commenting out code; remove it."/>
    <m/>
    <m/>
    <s v="hongfu.ruan@intel.com"/>
    <x v="1"/>
    <x v="3"/>
    <s v=""/>
    <x v="2"/>
    <s v=""/>
    <s v=""/>
    <s v=""/>
    <s v=""/>
    <s v=""/>
    <s v=""/>
    <s v=""/>
    <x v="1"/>
    <x v="0"/>
    <x v="0"/>
  </r>
  <r>
    <x v="63"/>
    <m/>
    <m/>
    <m/>
    <m/>
    <m/>
    <m/>
    <m/>
    <m/>
    <m/>
    <m/>
    <m/>
    <x v="42"/>
    <d v="2015-11-30T10:17:00"/>
    <s v="Uploaded patch set 2."/>
    <m/>
    <m/>
    <s v="hongfu.ruan@intel.com"/>
    <x v="1"/>
    <x v="0"/>
    <s v=""/>
    <x v="2"/>
    <s v=""/>
    <s v=""/>
    <s v=""/>
    <s v=""/>
    <s v=""/>
    <s v=""/>
    <s v=""/>
    <x v="0"/>
    <x v="0"/>
    <x v="0"/>
  </r>
  <r>
    <x v="63"/>
    <m/>
    <m/>
    <m/>
    <m/>
    <m/>
    <m/>
    <m/>
    <m/>
    <m/>
    <m/>
    <m/>
    <x v="42"/>
    <d v="2015-11-30T10:17:00"/>
    <s v="Patch Set 2:\n\nPatchset Created: CI job has been scheduled."/>
    <m/>
    <m/>
    <s v="hongfu.ruan@intel.com"/>
    <x v="1"/>
    <x v="0"/>
    <s v=""/>
    <x v="2"/>
    <s v=""/>
    <s v=""/>
    <s v=""/>
    <s v=""/>
    <s v=""/>
    <s v=""/>
    <s v=""/>
    <x v="0"/>
    <x v="0"/>
    <x v="0"/>
  </r>
  <r>
    <x v="63"/>
    <m/>
    <m/>
    <m/>
    <m/>
    <m/>
    <m/>
    <m/>
    <m/>
    <m/>
    <m/>
    <m/>
    <x v="42"/>
    <d v="2015-11-30T10:20:00"/>
    <s v="Patch Set 2: Code-Review+1 Validation-Android+2"/>
    <m/>
    <m/>
    <s v="hongfu.ruan@intel.com"/>
    <x v="1"/>
    <x v="0"/>
    <s v=""/>
    <x v="2"/>
    <s v=""/>
    <s v=""/>
    <s v=""/>
    <s v=""/>
    <s v=""/>
    <s v=""/>
    <s v=""/>
    <x v="0"/>
    <x v="0"/>
    <x v="0"/>
  </r>
  <r>
    <x v="63"/>
    <m/>
    <m/>
    <m/>
    <m/>
    <m/>
    <m/>
    <m/>
    <m/>
    <m/>
    <m/>
    <m/>
    <x v="42"/>
    <d v="2015-12-04T16:54:00"/>
    <s v="Uploaded patch set 3: Commit message was updated."/>
    <m/>
    <m/>
    <s v="hongfu.ruan@intel.com"/>
    <x v="1"/>
    <x v="0"/>
    <s v=""/>
    <x v="2"/>
    <s v=""/>
    <s v=""/>
    <s v=""/>
    <s v=""/>
    <s v=""/>
    <s v=""/>
    <s v=""/>
    <x v="0"/>
    <x v="0"/>
    <x v="0"/>
  </r>
  <r>
    <x v="63"/>
    <m/>
    <m/>
    <m/>
    <m/>
    <m/>
    <m/>
    <m/>
    <m/>
    <m/>
    <m/>
    <m/>
    <x v="42"/>
    <d v="2015-12-04T16:54:00"/>
    <s v="Patch Set 3:\n\nPatchset Created: CI job has been scheduled."/>
    <m/>
    <m/>
    <s v="hongfu.ruan@intel.com"/>
    <x v="1"/>
    <x v="0"/>
    <s v=""/>
    <x v="2"/>
    <s v=""/>
    <s v=""/>
    <s v=""/>
    <s v=""/>
    <s v=""/>
    <s v=""/>
    <s v=""/>
    <x v="0"/>
    <x v="0"/>
    <x v="0"/>
  </r>
  <r>
    <x v="63"/>
    <m/>
    <m/>
    <m/>
    <m/>
    <m/>
    <m/>
    <m/>
    <m/>
    <m/>
    <m/>
    <m/>
    <x v="42"/>
    <d v="2015-12-04T16:54:00"/>
    <s v="Patch Set 3: Validation-Android+2"/>
    <m/>
    <m/>
    <s v="hongfu.ruan@intel.com"/>
    <x v="1"/>
    <x v="0"/>
    <s v=""/>
    <x v="2"/>
    <s v=""/>
    <s v=""/>
    <s v=""/>
    <s v=""/>
    <s v=""/>
    <s v=""/>
    <s v=""/>
    <x v="0"/>
    <x v="1"/>
    <x v="0"/>
  </r>
  <r>
    <x v="63"/>
    <m/>
    <m/>
    <m/>
    <m/>
    <m/>
    <m/>
    <m/>
    <m/>
    <m/>
    <m/>
    <m/>
    <x v="42"/>
    <d v="2016-01-08T09:38:00"/>
    <s v="Restored"/>
    <m/>
    <m/>
    <s v="hongfu.ruan@intel.com"/>
    <x v="1"/>
    <x v="0"/>
    <s v=""/>
    <x v="2"/>
    <s v=""/>
    <s v=""/>
    <s v=""/>
    <s v=""/>
    <s v=""/>
    <s v=""/>
    <s v=""/>
    <x v="0"/>
    <x v="0"/>
    <x v="0"/>
  </r>
  <r>
    <x v="63"/>
    <m/>
    <m/>
    <m/>
    <m/>
    <m/>
    <m/>
    <m/>
    <m/>
    <m/>
    <m/>
    <m/>
    <x v="42"/>
    <d v="2016-01-08T09:38:00"/>
    <s v="Patch Set 3:\n\nManual Trigger: CI job scheduled.\n\n - Reason: CI failed due to patch issue or related patch issue (SDK/image/driver/support patch missing)"/>
    <m/>
    <m/>
    <s v="hongfu.ruan@intel.com"/>
    <x v="1"/>
    <x v="0"/>
    <s v=""/>
    <x v="2"/>
    <s v=""/>
    <s v=""/>
    <s v=""/>
    <s v=""/>
    <s v=""/>
    <s v=""/>
    <s v=""/>
    <x v="0"/>
    <x v="0"/>
    <x v="0"/>
  </r>
  <r>
    <x v="63"/>
    <m/>
    <m/>
    <m/>
    <m/>
    <m/>
    <m/>
    <m/>
    <m/>
    <m/>
    <m/>
    <m/>
    <x v="42"/>
    <d v="2016-01-08T09:39:00"/>
    <s v="Patch Set 4: Patch Set 3 was rebased"/>
    <m/>
    <m/>
    <s v="hongfu.ruan@intel.com"/>
    <x v="1"/>
    <x v="0"/>
    <s v=""/>
    <x v="2"/>
    <s v=""/>
    <s v=""/>
    <s v=""/>
    <s v=""/>
    <s v=""/>
    <s v=""/>
    <s v=""/>
    <x v="0"/>
    <x v="0"/>
    <x v="0"/>
  </r>
  <r>
    <x v="63"/>
    <m/>
    <m/>
    <m/>
    <m/>
    <m/>
    <m/>
    <m/>
    <m/>
    <m/>
    <m/>
    <m/>
    <x v="42"/>
    <d v="2016-01-08T09:39:00"/>
    <s v="Patch Set 4:\n\nPatchset Created: CI job has been scheduled."/>
    <m/>
    <m/>
    <s v="hongfu.ruan@intel.com"/>
    <x v="1"/>
    <x v="0"/>
    <s v=""/>
    <x v="2"/>
    <s v=""/>
    <s v=""/>
    <s v=""/>
    <s v=""/>
    <s v=""/>
    <s v=""/>
    <s v=""/>
    <x v="0"/>
    <x v="0"/>
    <x v="0"/>
  </r>
  <r>
    <x v="63"/>
    <m/>
    <m/>
    <m/>
    <m/>
    <m/>
    <m/>
    <m/>
    <m/>
    <m/>
    <m/>
    <m/>
    <x v="42"/>
    <d v="2016-01-08T09:39:00"/>
    <s v="Patch Set 4: Validation-Android+2"/>
    <m/>
    <m/>
    <s v="hongfu.ruan@intel.com"/>
    <x v="1"/>
    <x v="0"/>
    <s v=""/>
    <x v="2"/>
    <s v=""/>
    <s v=""/>
    <s v=""/>
    <s v=""/>
    <s v=""/>
    <s v=""/>
    <s v=""/>
    <x v="0"/>
    <x v="1"/>
    <x v="0"/>
  </r>
  <r>
    <x v="63"/>
    <m/>
    <m/>
    <m/>
    <m/>
    <m/>
    <m/>
    <m/>
    <m/>
    <m/>
    <m/>
    <m/>
    <x v="3"/>
    <d v="2016-01-08T09:46:00"/>
    <s v="Patch Set 4: Code-Review+1"/>
    <m/>
    <m/>
    <s v="hongfu.ruan@intel.com"/>
    <x v="1"/>
    <x v="2"/>
    <s v=""/>
    <x v="2"/>
    <s v=""/>
    <s v=""/>
    <s v=""/>
    <s v=""/>
    <s v=""/>
    <s v=""/>
    <s v=""/>
    <x v="0"/>
    <x v="0"/>
    <x v="0"/>
  </r>
  <r>
    <x v="63"/>
    <m/>
    <m/>
    <m/>
    <m/>
    <m/>
    <m/>
    <m/>
    <m/>
    <m/>
    <m/>
    <m/>
    <x v="30"/>
    <d v="2016-01-08T20:49:00"/>
    <s v="Patch Set 4: Approver+1 Code-Review+1"/>
    <m/>
    <m/>
    <s v="hongfu.ruan@intel.com"/>
    <x v="1"/>
    <x v="3"/>
    <s v=""/>
    <x v="2"/>
    <s v=""/>
    <s v=""/>
    <s v=""/>
    <s v=""/>
    <s v=""/>
    <s v=""/>
    <s v=""/>
    <x v="0"/>
    <x v="0"/>
    <x v="0"/>
  </r>
  <r>
    <x v="63"/>
    <m/>
    <m/>
    <m/>
    <m/>
    <m/>
    <m/>
    <m/>
    <m/>
    <m/>
    <m/>
    <m/>
    <x v="9"/>
    <d v="2016-01-11T14:25:00"/>
    <s v="Patch Set 4: Integrator+1\n\nIntegrator +1; patch will be add to PT; please no change now"/>
    <m/>
    <m/>
    <s v="hongfu.ruan@intel.com"/>
    <x v="1"/>
    <x v="5"/>
    <s v=""/>
    <x v="2"/>
    <s v=""/>
    <s v=""/>
    <s v=""/>
    <s v=""/>
    <s v=""/>
    <s v=""/>
    <s v=""/>
    <x v="0"/>
    <x v="1"/>
    <x v="0"/>
  </r>
  <r>
    <x v="63"/>
    <m/>
    <m/>
    <m/>
    <m/>
    <m/>
    <m/>
    <m/>
    <m/>
    <m/>
    <m/>
    <m/>
    <x v="12"/>
    <d v="2016-01-11T20:11:00"/>
    <s v="Patch Set 4: Code-Review+1"/>
    <m/>
    <m/>
    <s v="hongfu.ruan@intel.com"/>
    <x v="1"/>
    <x v="1"/>
    <s v=""/>
    <x v="2"/>
    <s v=""/>
    <s v=""/>
    <s v=""/>
    <s v=""/>
    <s v=""/>
    <s v=""/>
    <s v=""/>
    <x v="0"/>
    <x v="0"/>
    <x v="0"/>
  </r>
  <r>
    <x v="63"/>
    <m/>
    <m/>
    <m/>
    <m/>
    <m/>
    <m/>
    <m/>
    <m/>
    <m/>
    <m/>
    <m/>
    <x v="9"/>
    <d v="2016-01-11T21:49:00"/>
    <s v="Patch Set 4:\n\nPassed Klocwork code analyzing test. No CRITICAL issue in this patch. Auto reported by kwscan@kw-srv2.bj.intel.com"/>
    <m/>
    <m/>
    <s v="hongfu.ruan@intel.com"/>
    <x v="1"/>
    <x v="5"/>
    <s v=""/>
    <x v="2"/>
    <s v=""/>
    <s v=""/>
    <s v=""/>
    <s v=""/>
    <s v=""/>
    <s v=""/>
    <s v=""/>
    <x v="0"/>
    <x v="0"/>
    <x v="0"/>
  </r>
  <r>
    <x v="63"/>
    <m/>
    <m/>
    <m/>
    <m/>
    <m/>
    <m/>
    <m/>
    <m/>
    <m/>
    <m/>
    <m/>
    <x v="9"/>
    <d v="2016-01-12T00:52:00"/>
    <s v="Patch Set 4:\n\nPassed Klocwork code analyzing test. No CRITICAL issue in this patch. Auto reported by kwscan@kw-srv2.bj.intel.com"/>
    <m/>
    <m/>
    <s v="hongfu.ruan@intel.com"/>
    <x v="1"/>
    <x v="5"/>
    <s v=""/>
    <x v="2"/>
    <s v=""/>
    <s v=""/>
    <s v=""/>
    <s v=""/>
    <s v=""/>
    <s v=""/>
    <s v=""/>
    <x v="0"/>
    <x v="0"/>
    <x v="0"/>
  </r>
  <r>
    <x v="63"/>
    <m/>
    <m/>
    <m/>
    <m/>
    <m/>
    <m/>
    <m/>
    <m/>
    <m/>
    <m/>
    <m/>
    <x v="9"/>
    <d v="2016-01-12T12:19:00"/>
    <s v="Patch Set 4:\n\nPassed Klocwork code analyzing test. No CRITICAL issue in this patch. Auto reported by kwscan@psi-build5.bj.intel.com"/>
    <m/>
    <m/>
    <s v="hongfu.ruan@intel.com"/>
    <x v="1"/>
    <x v="5"/>
    <s v=""/>
    <x v="2"/>
    <s v=""/>
    <s v=""/>
    <s v=""/>
    <s v=""/>
    <s v=""/>
    <s v=""/>
    <s v=""/>
    <x v="0"/>
    <x v="0"/>
    <x v="0"/>
  </r>
  <r>
    <x v="63"/>
    <m/>
    <m/>
    <m/>
    <m/>
    <m/>
    <m/>
    <m/>
    <m/>
    <m/>
    <m/>
    <m/>
    <x v="9"/>
    <d v="2016-01-12T19:12:00"/>
    <s v="Patch Set 4: Integrator-1\n\nBXT PIT test failed; so patch nogo all"/>
    <m/>
    <m/>
    <s v="hongfu.ruan@intel.com"/>
    <x v="1"/>
    <x v="5"/>
    <s v=""/>
    <x v="2"/>
    <s v=""/>
    <s v=""/>
    <s v=""/>
    <s v=""/>
    <s v=""/>
    <s v=""/>
    <s v=""/>
    <x v="0"/>
    <x v="1"/>
    <x v="0"/>
  </r>
  <r>
    <x v="63"/>
    <m/>
    <m/>
    <m/>
    <m/>
    <m/>
    <m/>
    <m/>
    <m/>
    <m/>
    <m/>
    <m/>
    <x v="9"/>
    <d v="2016-01-12T19:15:00"/>
    <s v="Patch Set 4: Integrator+1\n\nIntegrator +1; patch will be add to PT; please no change now"/>
    <m/>
    <m/>
    <s v="hongfu.ruan@intel.com"/>
    <x v="1"/>
    <x v="5"/>
    <s v=""/>
    <x v="2"/>
    <s v=""/>
    <s v=""/>
    <s v=""/>
    <s v=""/>
    <s v=""/>
    <s v=""/>
    <s v=""/>
    <x v="0"/>
    <x v="1"/>
    <x v="0"/>
  </r>
  <r>
    <x v="63"/>
    <m/>
    <m/>
    <m/>
    <m/>
    <m/>
    <m/>
    <m/>
    <m/>
    <m/>
    <m/>
    <m/>
    <x v="9"/>
    <d v="2016-01-12T20:51:00"/>
    <s v="Patch Set 4:\n\nPassed Klocwork code analyzing test. No CRITICAL issue in this patch. Auto reported by kwscan@kw-srv2.bj.intel.com"/>
    <m/>
    <m/>
    <s v="hongfu.ruan@intel.com"/>
    <x v="1"/>
    <x v="5"/>
    <s v=""/>
    <x v="2"/>
    <s v=""/>
    <s v=""/>
    <s v=""/>
    <s v=""/>
    <s v=""/>
    <s v=""/>
    <s v=""/>
    <x v="0"/>
    <x v="0"/>
    <x v="0"/>
  </r>
  <r>
    <x v="63"/>
    <m/>
    <m/>
    <m/>
    <m/>
    <m/>
    <m/>
    <m/>
    <m/>
    <m/>
    <m/>
    <m/>
    <x v="9"/>
    <d v="2016-01-12T21:22:00"/>
    <s v="Patch Set 4:\n\nPassed Klocwork code analyzing test. No CRITICAL issue in this patch. Auto reported by kwscan@andr-val-srv0.bj.intel.com"/>
    <m/>
    <m/>
    <s v="hongfu.ruan@intel.com"/>
    <x v="1"/>
    <x v="5"/>
    <s v=""/>
    <x v="2"/>
    <s v=""/>
    <s v=""/>
    <s v=""/>
    <s v=""/>
    <s v=""/>
    <s v=""/>
    <s v=""/>
    <x v="0"/>
    <x v="0"/>
    <x v="0"/>
  </r>
  <r>
    <x v="63"/>
    <m/>
    <m/>
    <m/>
    <m/>
    <m/>
    <m/>
    <m/>
    <m/>
    <m/>
    <m/>
    <m/>
    <x v="9"/>
    <d v="2016-01-12T22:19:00"/>
    <s v="Patch Set 4:\n\nPassed Klocwork code analyzing test. No CRITICAL issue in this patch. Auto reported by kwscan@psi-build5.bj.intel.com"/>
    <m/>
    <m/>
    <s v="hongfu.ruan@intel.com"/>
    <x v="1"/>
    <x v="5"/>
    <s v=""/>
    <x v="2"/>
    <s v=""/>
    <s v=""/>
    <s v=""/>
    <s v=""/>
    <s v=""/>
    <s v=""/>
    <s v=""/>
    <x v="0"/>
    <x v="0"/>
    <x v="0"/>
  </r>
  <r>
    <x v="63"/>
    <m/>
    <m/>
    <m/>
    <m/>
    <m/>
    <m/>
    <m/>
    <m/>
    <m/>
    <m/>
    <m/>
    <x v="9"/>
    <d v="2016-01-13T02:02:00"/>
    <s v="Patch Set 4:\n\nPassed Klocwork code analyzing test. No CRITICAL issue in this patch. Auto reported by kwscan@kw-srv2.bj.intel.com"/>
    <m/>
    <m/>
    <s v="hongfu.ruan@intel.com"/>
    <x v="1"/>
    <x v="5"/>
    <s v=""/>
    <x v="2"/>
    <s v=""/>
    <s v=""/>
    <s v=""/>
    <s v=""/>
    <s v=""/>
    <s v=""/>
    <s v=""/>
    <x v="0"/>
    <x v="0"/>
    <x v="0"/>
  </r>
  <r>
    <x v="63"/>
    <m/>
    <m/>
    <m/>
    <m/>
    <m/>
    <m/>
    <m/>
    <m/>
    <m/>
    <m/>
    <m/>
    <x v="9"/>
    <d v="2016-01-13T15:10:00"/>
    <s v="Patch Set 4: Code-Review+1\n\nPassed PIT; ready for merge"/>
    <m/>
    <m/>
    <s v="hongfu.ruan@intel.com"/>
    <x v="1"/>
    <x v="5"/>
    <s v=""/>
    <x v="2"/>
    <s v=""/>
    <s v=""/>
    <s v=""/>
    <s v=""/>
    <s v=""/>
    <s v=""/>
    <s v=""/>
    <x v="0"/>
    <x v="0"/>
    <x v="0"/>
  </r>
  <r>
    <x v="64"/>
    <n v="90604"/>
    <s v="vied-viedandr-camera3hal"/>
    <s v="platform/android/main"/>
    <s v="Ib83c9253cf7355109330e84ace0a18485489b81e"/>
    <s v="dongdong.zhang@intel.com"/>
    <s v="MERGED"/>
    <s v="c3: Fix license issue"/>
    <s v="c3: Fix license issue\n\nChange-Id: Ib83c9253cf7355109330e84ace0a18485489b81e\nTracked-On: https://jira01.devtools.intel.com/browse/IMINAN-47288\nSigned-off-by: Zhang; Dongdong &lt;dongdong.zhang@intel.com&gt;\nReviewed-on: https://icggerrit.ir.intel.com/90604\nReviewed-by: Arnaud Mandy &lt;arnaud.mandy@intel.com&gt;\nBuild: Dessert M BXT RVP (SC)\nBuild: Dessert M SOFIA (SC)\nBuild: Dessert M CHT FFD (SC)\nValidation-Android: Dessert M CHT FFD (SC)\nReviewed-by: Lassi I Vaatamoinen &lt;lassi.i.vaatamoinen@intel.com&gt;\nApprover: Fan F Yang &lt;fan.f.yang@intel.com&gt;\nApprover: Hongjiang A Zheng &lt;hongjiang.a.zheng@intel.com&gt;\nReviewed-by: Hongjiang A Zheng &lt;hongjiang.a.zheng@intel.com&gt;\nReviewed-by: WeiX Meng &lt;weix.meng@intel.com&gt;\nIntegrator: WeiX Meng &lt;weix.meng@intel.com&gt;\n"/>
    <d v="2015-12-17T19:06:00"/>
    <d v="2016-01-08T17:22:00"/>
    <s v="common"/>
    <x v="10"/>
    <d v="2015-12-17T19:06:00"/>
    <s v="Uploaded patch set 1."/>
    <m/>
    <s v="ukri.niemimuukko@intel.com;weix.meng@intel.com;hongjiang.a.zheng@intel.com;fan.f.yang@intel.com;arnaud.mandy@intel.com;lassi.i.vaatamoinen@intel.com;"/>
    <s v="dongdong.zhang@intel.com"/>
    <x v="4"/>
    <x v="0"/>
    <s v="16'ww2"/>
    <x v="2"/>
    <n v="1"/>
    <n v="0"/>
    <n v="1"/>
    <n v="0"/>
    <n v="1"/>
    <n v="6"/>
    <n v="0"/>
    <x v="0"/>
    <x v="0"/>
    <x v="0"/>
  </r>
  <r>
    <x v="64"/>
    <m/>
    <m/>
    <m/>
    <m/>
    <m/>
    <m/>
    <m/>
    <m/>
    <m/>
    <m/>
    <m/>
    <x v="10"/>
    <d v="2015-12-17T19:06:00"/>
    <s v="Patch Set 1:\n\nPatchset Created: CI job has been scheduled."/>
    <m/>
    <m/>
    <s v="dongdong.zhang@intel.com"/>
    <x v="4"/>
    <x v="0"/>
    <s v=""/>
    <x v="2"/>
    <s v=""/>
    <s v=""/>
    <s v=""/>
    <s v=""/>
    <s v=""/>
    <s v=""/>
    <s v=""/>
    <x v="0"/>
    <x v="0"/>
    <x v="0"/>
  </r>
  <r>
    <x v="64"/>
    <m/>
    <m/>
    <m/>
    <m/>
    <m/>
    <m/>
    <m/>
    <m/>
    <m/>
    <m/>
    <m/>
    <x v="12"/>
    <d v="2015-12-17T19:52:00"/>
    <s v="Patch Set 1: Code-Review-1\n\n(1 comment)"/>
    <s v="line7 :&quot;prefix \&quot;c3: \&quot;&quot;"/>
    <m/>
    <s v="dongdong.zhang@intel.com"/>
    <x v="4"/>
    <x v="1"/>
    <s v=""/>
    <x v="2"/>
    <s v=""/>
    <s v=""/>
    <s v=""/>
    <s v=""/>
    <s v=""/>
    <s v=""/>
    <s v=""/>
    <x v="1"/>
    <x v="0"/>
    <x v="0"/>
  </r>
  <r>
    <x v="64"/>
    <m/>
    <m/>
    <m/>
    <m/>
    <m/>
    <m/>
    <m/>
    <m/>
    <m/>
    <m/>
    <m/>
    <x v="10"/>
    <d v="2015-12-17T20:41:00"/>
    <s v="Patch Set 2:\n\nPatchset Created: CI job has been scheduled."/>
    <m/>
    <m/>
    <s v="dongdong.zhang@intel.com"/>
    <x v="4"/>
    <x v="0"/>
    <s v=""/>
    <x v="2"/>
    <s v=""/>
    <s v=""/>
    <s v=""/>
    <s v=""/>
    <s v=""/>
    <s v=""/>
    <s v=""/>
    <x v="0"/>
    <x v="0"/>
    <x v="0"/>
  </r>
  <r>
    <x v="64"/>
    <m/>
    <m/>
    <m/>
    <m/>
    <m/>
    <m/>
    <m/>
    <m/>
    <m/>
    <m/>
    <m/>
    <x v="10"/>
    <d v="2015-12-17T20:41:00"/>
    <s v="Uploaded patch set 2: Commit message was updated."/>
    <m/>
    <m/>
    <s v="dongdong.zhang@intel.com"/>
    <x v="4"/>
    <x v="0"/>
    <s v=""/>
    <x v="2"/>
    <s v=""/>
    <s v=""/>
    <s v=""/>
    <s v=""/>
    <s v=""/>
    <s v=""/>
    <s v=""/>
    <x v="0"/>
    <x v="0"/>
    <x v="0"/>
  </r>
  <r>
    <x v="64"/>
    <m/>
    <m/>
    <m/>
    <m/>
    <m/>
    <m/>
    <m/>
    <m/>
    <m/>
    <m/>
    <m/>
    <x v="10"/>
    <d v="2015-12-17T21:09:00"/>
    <s v="Patch Set 2: Code-Review+1"/>
    <m/>
    <m/>
    <s v="dongdong.zhang@intel.com"/>
    <x v="4"/>
    <x v="0"/>
    <s v=""/>
    <x v="2"/>
    <s v=""/>
    <s v=""/>
    <s v=""/>
    <s v=""/>
    <s v=""/>
    <s v=""/>
    <s v=""/>
    <x v="0"/>
    <x v="0"/>
    <x v="0"/>
  </r>
  <r>
    <x v="64"/>
    <m/>
    <m/>
    <m/>
    <m/>
    <m/>
    <m/>
    <m/>
    <m/>
    <m/>
    <m/>
    <m/>
    <x v="12"/>
    <d v="2015-12-17T21:19:00"/>
    <s v="Patch Set 2: Code-Review+1"/>
    <m/>
    <m/>
    <s v="dongdong.zhang@intel.com"/>
    <x v="4"/>
    <x v="1"/>
    <s v=""/>
    <x v="2"/>
    <s v=""/>
    <s v=""/>
    <s v=""/>
    <s v=""/>
    <s v=""/>
    <s v=""/>
    <s v=""/>
    <x v="0"/>
    <x v="0"/>
    <x v="0"/>
  </r>
  <r>
    <x v="64"/>
    <m/>
    <m/>
    <m/>
    <m/>
    <m/>
    <m/>
    <m/>
    <m/>
    <m/>
    <m/>
    <m/>
    <x v="10"/>
    <d v="2015-12-18T15:47:00"/>
    <s v="Patch Set 2: -Code-Review"/>
    <m/>
    <m/>
    <s v="dongdong.zhang@intel.com"/>
    <x v="4"/>
    <x v="0"/>
    <s v=""/>
    <x v="2"/>
    <s v=""/>
    <s v=""/>
    <s v=""/>
    <s v=""/>
    <s v=""/>
    <s v=""/>
    <s v=""/>
    <x v="0"/>
    <x v="0"/>
    <x v="0"/>
  </r>
  <r>
    <x v="64"/>
    <m/>
    <m/>
    <m/>
    <m/>
    <m/>
    <m/>
    <m/>
    <m/>
    <m/>
    <m/>
    <m/>
    <x v="10"/>
    <d v="2015-12-18T15:47:00"/>
    <s v="Patch Set 2: Code-Review+1"/>
    <m/>
    <m/>
    <s v="dongdong.zhang@intel.com"/>
    <x v="4"/>
    <x v="0"/>
    <s v=""/>
    <x v="2"/>
    <s v=""/>
    <s v=""/>
    <s v=""/>
    <s v=""/>
    <s v=""/>
    <s v=""/>
    <s v=""/>
    <x v="0"/>
    <x v="0"/>
    <x v="0"/>
  </r>
  <r>
    <x v="64"/>
    <m/>
    <m/>
    <m/>
    <m/>
    <m/>
    <m/>
    <m/>
    <m/>
    <m/>
    <m/>
    <m/>
    <x v="10"/>
    <d v="2015-12-20T09:45:00"/>
    <s v="Patch Set 2: -Code-Review"/>
    <m/>
    <m/>
    <s v="dongdong.zhang@intel.com"/>
    <x v="4"/>
    <x v="0"/>
    <s v=""/>
    <x v="2"/>
    <s v=""/>
    <s v=""/>
    <s v=""/>
    <s v=""/>
    <s v=""/>
    <s v=""/>
    <s v=""/>
    <x v="0"/>
    <x v="0"/>
    <x v="0"/>
  </r>
  <r>
    <x v="64"/>
    <m/>
    <m/>
    <m/>
    <m/>
    <m/>
    <m/>
    <m/>
    <m/>
    <m/>
    <m/>
    <m/>
    <x v="10"/>
    <d v="2015-12-20T09:45:00"/>
    <s v="Patch Set 2: Code-Review+1"/>
    <m/>
    <m/>
    <s v="dongdong.zhang@intel.com"/>
    <x v="4"/>
    <x v="0"/>
    <s v=""/>
    <x v="2"/>
    <s v=""/>
    <s v=""/>
    <s v=""/>
    <s v=""/>
    <s v=""/>
    <s v=""/>
    <s v=""/>
    <x v="0"/>
    <x v="0"/>
    <x v="0"/>
  </r>
  <r>
    <x v="64"/>
    <m/>
    <m/>
    <m/>
    <m/>
    <m/>
    <m/>
    <m/>
    <m/>
    <m/>
    <m/>
    <m/>
    <x v="10"/>
    <d v="2015-12-21T18:08:00"/>
    <s v="Uploaded patch set 3."/>
    <m/>
    <m/>
    <s v="dongdong.zhang@intel.com"/>
    <x v="4"/>
    <x v="0"/>
    <s v=""/>
    <x v="2"/>
    <s v=""/>
    <s v=""/>
    <s v=""/>
    <s v=""/>
    <s v=""/>
    <s v=""/>
    <s v=""/>
    <x v="0"/>
    <x v="0"/>
    <x v="0"/>
  </r>
  <r>
    <x v="64"/>
    <m/>
    <m/>
    <m/>
    <m/>
    <m/>
    <m/>
    <m/>
    <m/>
    <m/>
    <m/>
    <m/>
    <x v="10"/>
    <d v="2015-12-21T18:08:00"/>
    <s v="Patch Set 3:\n\nPatchset Created: CI job has been scheduled."/>
    <m/>
    <m/>
    <s v="dongdong.zhang@intel.com"/>
    <x v="4"/>
    <x v="0"/>
    <s v=""/>
    <x v="2"/>
    <s v=""/>
    <s v=""/>
    <s v=""/>
    <s v=""/>
    <s v=""/>
    <s v=""/>
    <s v=""/>
    <x v="0"/>
    <x v="0"/>
    <x v="0"/>
  </r>
  <r>
    <x v="64"/>
    <m/>
    <m/>
    <m/>
    <m/>
    <m/>
    <m/>
    <m/>
    <m/>
    <m/>
    <m/>
    <m/>
    <x v="10"/>
    <d v="2015-12-21T18:08:00"/>
    <s v="Patch Set 3: Code-Review+1"/>
    <m/>
    <m/>
    <s v="dongdong.zhang@intel.com"/>
    <x v="4"/>
    <x v="0"/>
    <s v=""/>
    <x v="2"/>
    <s v=""/>
    <s v=""/>
    <s v=""/>
    <s v=""/>
    <s v=""/>
    <s v=""/>
    <s v=""/>
    <x v="0"/>
    <x v="0"/>
    <x v="0"/>
  </r>
  <r>
    <x v="64"/>
    <m/>
    <m/>
    <m/>
    <m/>
    <m/>
    <m/>
    <m/>
    <m/>
    <m/>
    <m/>
    <m/>
    <x v="12"/>
    <d v="2015-12-21T18:22:00"/>
    <s v="Patch Set 3:\n\n(1 comment)"/>
    <s v="line3 :&quot;This file first appeared 2015; if it matters really.&quot;"/>
    <m/>
    <s v="dongdong.zhang@intel.com"/>
    <x v="4"/>
    <x v="1"/>
    <s v=""/>
    <x v="2"/>
    <s v=""/>
    <s v=""/>
    <s v=""/>
    <s v=""/>
    <s v=""/>
    <s v=""/>
    <s v=""/>
    <x v="0"/>
    <x v="0"/>
    <x v="0"/>
  </r>
  <r>
    <x v="64"/>
    <m/>
    <m/>
    <m/>
    <m/>
    <m/>
    <m/>
    <m/>
    <m/>
    <m/>
    <m/>
    <m/>
    <x v="10"/>
    <d v="2015-12-21T18:25:00"/>
    <s v="Uploaded patch set 4."/>
    <m/>
    <m/>
    <s v="dongdong.zhang@intel.com"/>
    <x v="4"/>
    <x v="0"/>
    <s v=""/>
    <x v="2"/>
    <s v=""/>
    <s v=""/>
    <s v=""/>
    <s v=""/>
    <s v=""/>
    <s v=""/>
    <s v=""/>
    <x v="0"/>
    <x v="0"/>
    <x v="0"/>
  </r>
  <r>
    <x v="64"/>
    <m/>
    <m/>
    <m/>
    <m/>
    <m/>
    <m/>
    <m/>
    <m/>
    <m/>
    <m/>
    <m/>
    <x v="10"/>
    <d v="2015-12-21T18:25:00"/>
    <s v="Patch Set 4:\n\nPatchset Created: CI job has been scheduled."/>
    <m/>
    <m/>
    <s v="dongdong.zhang@intel.com"/>
    <x v="4"/>
    <x v="0"/>
    <s v=""/>
    <x v="2"/>
    <s v=""/>
    <s v=""/>
    <s v=""/>
    <s v=""/>
    <s v=""/>
    <s v=""/>
    <s v=""/>
    <x v="0"/>
    <x v="0"/>
    <x v="0"/>
  </r>
  <r>
    <x v="64"/>
    <m/>
    <m/>
    <m/>
    <m/>
    <m/>
    <m/>
    <m/>
    <m/>
    <m/>
    <m/>
    <m/>
    <x v="10"/>
    <d v="2015-12-21T18:26:00"/>
    <s v="Patch Set 4: Code-Review+1"/>
    <m/>
    <m/>
    <s v="dongdong.zhang@intel.com"/>
    <x v="4"/>
    <x v="0"/>
    <s v=""/>
    <x v="2"/>
    <s v=""/>
    <s v=""/>
    <s v=""/>
    <s v=""/>
    <s v=""/>
    <s v=""/>
    <s v=""/>
    <x v="0"/>
    <x v="0"/>
    <x v="0"/>
  </r>
  <r>
    <x v="64"/>
    <m/>
    <m/>
    <m/>
    <m/>
    <m/>
    <m/>
    <m/>
    <m/>
    <m/>
    <m/>
    <m/>
    <x v="1"/>
    <d v="2015-12-21T21:06:00"/>
    <s v="Patch Set 4: Code-Review+1"/>
    <m/>
    <m/>
    <s v="dongdong.zhang@intel.com"/>
    <x v="4"/>
    <x v="1"/>
    <s v=""/>
    <x v="2"/>
    <s v=""/>
    <s v=""/>
    <s v=""/>
    <s v=""/>
    <s v=""/>
    <s v=""/>
    <s v=""/>
    <x v="0"/>
    <x v="0"/>
    <x v="0"/>
  </r>
  <r>
    <x v="64"/>
    <m/>
    <m/>
    <m/>
    <m/>
    <m/>
    <m/>
    <m/>
    <m/>
    <m/>
    <m/>
    <m/>
    <x v="10"/>
    <d v="2015-12-24T11:18:00"/>
    <s v="Patch Set 4: -Code-Review"/>
    <m/>
    <m/>
    <s v="dongdong.zhang@intel.com"/>
    <x v="4"/>
    <x v="0"/>
    <s v=""/>
    <x v="2"/>
    <s v=""/>
    <s v=""/>
    <s v=""/>
    <s v=""/>
    <s v=""/>
    <s v=""/>
    <s v=""/>
    <x v="0"/>
    <x v="0"/>
    <x v="0"/>
  </r>
  <r>
    <x v="64"/>
    <m/>
    <m/>
    <m/>
    <m/>
    <m/>
    <m/>
    <m/>
    <m/>
    <m/>
    <m/>
    <m/>
    <x v="10"/>
    <d v="2015-12-24T11:18:00"/>
    <s v="Patch Set 4: Code-Review+1"/>
    <m/>
    <m/>
    <s v="dongdong.zhang@intel.com"/>
    <x v="4"/>
    <x v="0"/>
    <s v=""/>
    <x v="2"/>
    <s v=""/>
    <s v=""/>
    <s v=""/>
    <s v=""/>
    <s v=""/>
    <s v=""/>
    <s v=""/>
    <x v="0"/>
    <x v="0"/>
    <x v="0"/>
  </r>
  <r>
    <x v="64"/>
    <m/>
    <m/>
    <m/>
    <m/>
    <m/>
    <m/>
    <m/>
    <m/>
    <m/>
    <m/>
    <m/>
    <x v="10"/>
    <d v="2015-12-28T11:17:00"/>
    <s v="Patch Set 4:\n\nManual Trigger: CI job scheduled.\n\n - Reason: CI failed due to patch issue or related patch issue (SDK/image/driver/support patch missing)"/>
    <m/>
    <m/>
    <s v="dongdong.zhang@intel.com"/>
    <x v="4"/>
    <x v="0"/>
    <s v=""/>
    <x v="2"/>
    <s v=""/>
    <s v=""/>
    <s v=""/>
    <s v=""/>
    <s v=""/>
    <s v=""/>
    <s v=""/>
    <x v="0"/>
    <x v="0"/>
    <x v="0"/>
  </r>
  <r>
    <x v="64"/>
    <m/>
    <m/>
    <m/>
    <m/>
    <m/>
    <m/>
    <m/>
    <m/>
    <m/>
    <m/>
    <m/>
    <x v="10"/>
    <d v="2015-12-28T19:18:00"/>
    <s v="Patch Set 5: Patch Set 4 was rebased"/>
    <m/>
    <m/>
    <s v="dongdong.zhang@intel.com"/>
    <x v="4"/>
    <x v="0"/>
    <s v=""/>
    <x v="2"/>
    <s v=""/>
    <s v=""/>
    <s v=""/>
    <s v=""/>
    <s v=""/>
    <s v=""/>
    <s v=""/>
    <x v="0"/>
    <x v="0"/>
    <x v="0"/>
  </r>
  <r>
    <x v="64"/>
    <m/>
    <m/>
    <m/>
    <m/>
    <m/>
    <m/>
    <m/>
    <m/>
    <m/>
    <m/>
    <m/>
    <x v="10"/>
    <d v="2015-12-28T19:18:00"/>
    <s v="Patch Set 5:\n\nPatchset Created: CI job has been scheduled."/>
    <m/>
    <m/>
    <s v="dongdong.zhang@intel.com"/>
    <x v="4"/>
    <x v="0"/>
    <s v=""/>
    <x v="2"/>
    <s v=""/>
    <s v=""/>
    <s v=""/>
    <s v=""/>
    <s v=""/>
    <s v=""/>
    <s v=""/>
    <x v="0"/>
    <x v="0"/>
    <x v="0"/>
  </r>
  <r>
    <x v="64"/>
    <m/>
    <m/>
    <m/>
    <m/>
    <m/>
    <m/>
    <m/>
    <m/>
    <m/>
    <m/>
    <m/>
    <x v="12"/>
    <d v="2015-12-30T22:37:00"/>
    <s v="Patch Set 5: Code-Review+1"/>
    <m/>
    <m/>
    <s v="dongdong.zhang@intel.com"/>
    <x v="4"/>
    <x v="1"/>
    <s v=""/>
    <x v="2"/>
    <s v=""/>
    <s v=""/>
    <s v=""/>
    <s v=""/>
    <s v=""/>
    <s v=""/>
    <s v=""/>
    <x v="0"/>
    <x v="0"/>
    <x v="0"/>
  </r>
  <r>
    <x v="64"/>
    <m/>
    <m/>
    <m/>
    <m/>
    <m/>
    <m/>
    <m/>
    <m/>
    <m/>
    <m/>
    <m/>
    <x v="26"/>
    <d v="2016-01-07T11:02:00"/>
    <s v="Patch Set 5: Approver+1"/>
    <m/>
    <m/>
    <s v="dongdong.zhang@intel.com"/>
    <x v="4"/>
    <x v="5"/>
    <s v=""/>
    <x v="2"/>
    <s v=""/>
    <s v=""/>
    <s v=""/>
    <s v=""/>
    <s v=""/>
    <s v=""/>
    <s v=""/>
    <x v="0"/>
    <x v="0"/>
    <x v="0"/>
  </r>
  <r>
    <x v="64"/>
    <m/>
    <m/>
    <m/>
    <m/>
    <m/>
    <m/>
    <m/>
    <m/>
    <m/>
    <m/>
    <m/>
    <x v="26"/>
    <d v="2016-01-07T11:02:00"/>
    <s v="Patch Set 5:\n\nOnly for copy right update"/>
    <m/>
    <m/>
    <s v="dongdong.zhang@intel.com"/>
    <x v="4"/>
    <x v="5"/>
    <s v=""/>
    <x v="2"/>
    <s v=""/>
    <s v=""/>
    <s v=""/>
    <s v=""/>
    <s v=""/>
    <s v=""/>
    <s v=""/>
    <x v="0"/>
    <x v="0"/>
    <x v="0"/>
  </r>
  <r>
    <x v="64"/>
    <m/>
    <m/>
    <m/>
    <m/>
    <m/>
    <m/>
    <m/>
    <m/>
    <m/>
    <m/>
    <m/>
    <x v="9"/>
    <d v="2016-01-07T14:13:00"/>
    <s v="Patch Set 5: Integrator+1\n\nIntegrator +1; patch will be add to PT; please no change now"/>
    <m/>
    <m/>
    <s v="dongdong.zhang@intel.com"/>
    <x v="4"/>
    <x v="5"/>
    <s v=""/>
    <x v="2"/>
    <s v=""/>
    <s v=""/>
    <s v=""/>
    <s v=""/>
    <s v=""/>
    <s v=""/>
    <s v=""/>
    <x v="0"/>
    <x v="1"/>
    <x v="0"/>
  </r>
  <r>
    <x v="64"/>
    <m/>
    <m/>
    <m/>
    <m/>
    <m/>
    <m/>
    <m/>
    <m/>
    <m/>
    <m/>
    <m/>
    <x v="15"/>
    <d v="2016-01-07T17:13:00"/>
    <s v="Patch Set 5: Approver+1 Code-Review+1"/>
    <m/>
    <m/>
    <s v="dongdong.zhang@intel.com"/>
    <x v="4"/>
    <x v="4"/>
    <s v=""/>
    <x v="2"/>
    <s v=""/>
    <s v=""/>
    <s v=""/>
    <s v=""/>
    <s v=""/>
    <s v=""/>
    <s v=""/>
    <x v="0"/>
    <x v="0"/>
    <x v="0"/>
  </r>
  <r>
    <x v="64"/>
    <m/>
    <m/>
    <m/>
    <m/>
    <m/>
    <m/>
    <m/>
    <m/>
    <m/>
    <m/>
    <m/>
    <x v="10"/>
    <d v="2016-01-07T17:22:00"/>
    <s v="Patch Set 5: Validation-Android+1"/>
    <m/>
    <m/>
    <s v="dongdong.zhang@intel.com"/>
    <x v="4"/>
    <x v="0"/>
    <s v=""/>
    <x v="2"/>
    <s v=""/>
    <s v=""/>
    <s v=""/>
    <s v=""/>
    <s v=""/>
    <s v=""/>
    <s v=""/>
    <x v="0"/>
    <x v="1"/>
    <x v="0"/>
  </r>
  <r>
    <x v="64"/>
    <m/>
    <m/>
    <m/>
    <m/>
    <m/>
    <m/>
    <m/>
    <m/>
    <m/>
    <m/>
    <m/>
    <x v="9"/>
    <d v="2016-01-07T19:34:00"/>
    <s v="Patch Set 5:\n\nPassed Klocwork code analyzing test. No CRITICAL issue in this patch. Auto reported by kwscan@kw-srv2.bj.intel.com"/>
    <m/>
    <m/>
    <s v="dongdong.zhang@intel.com"/>
    <x v="4"/>
    <x v="5"/>
    <s v=""/>
    <x v="2"/>
    <s v=""/>
    <s v=""/>
    <s v=""/>
    <s v=""/>
    <s v=""/>
    <s v=""/>
    <s v=""/>
    <x v="0"/>
    <x v="0"/>
    <x v="0"/>
  </r>
  <r>
    <x v="64"/>
    <m/>
    <m/>
    <m/>
    <m/>
    <m/>
    <m/>
    <m/>
    <m/>
    <m/>
    <m/>
    <m/>
    <x v="9"/>
    <d v="2016-01-07T20:54:00"/>
    <s v="Patch Set 5:\n\nPassed Klocwork code analyzing test. No CRITICAL issue in this patch. Auto reported by kwscan@andr-val-srv0.bj.intel.com"/>
    <m/>
    <m/>
    <s v="dongdong.zhang@intel.com"/>
    <x v="4"/>
    <x v="5"/>
    <s v=""/>
    <x v="2"/>
    <s v=""/>
    <s v=""/>
    <s v=""/>
    <s v=""/>
    <s v=""/>
    <s v=""/>
    <s v=""/>
    <x v="0"/>
    <x v="0"/>
    <x v="0"/>
  </r>
  <r>
    <x v="64"/>
    <m/>
    <m/>
    <m/>
    <m/>
    <m/>
    <m/>
    <m/>
    <m/>
    <m/>
    <m/>
    <m/>
    <x v="9"/>
    <d v="2016-01-07T21:32:00"/>
    <s v="Patch Set 5:\n\nPassed Klocwork code analyzing test. No CRITICAL issue in this patch. Auto reported by kwscan@psi-build5.bj.intel.com"/>
    <m/>
    <m/>
    <s v="dongdong.zhang@intel.com"/>
    <x v="4"/>
    <x v="5"/>
    <s v=""/>
    <x v="2"/>
    <s v=""/>
    <s v=""/>
    <s v=""/>
    <s v=""/>
    <s v=""/>
    <s v=""/>
    <s v=""/>
    <x v="0"/>
    <x v="0"/>
    <x v="0"/>
  </r>
  <r>
    <x v="64"/>
    <m/>
    <m/>
    <m/>
    <m/>
    <m/>
    <m/>
    <m/>
    <m/>
    <m/>
    <m/>
    <m/>
    <x v="9"/>
    <d v="2016-01-07T22:12:00"/>
    <s v="Patch Set 5:\n\nPassed Klocwork code analyzing test. No CRITICAL issue in this patch. Auto reported by kwscan@kw-srv2.bj.intel.com"/>
    <m/>
    <m/>
    <s v="dongdong.zhang@intel.com"/>
    <x v="4"/>
    <x v="5"/>
    <s v=""/>
    <x v="2"/>
    <s v=""/>
    <s v=""/>
    <s v=""/>
    <s v=""/>
    <s v=""/>
    <s v=""/>
    <s v=""/>
    <x v="0"/>
    <x v="0"/>
    <x v="0"/>
  </r>
  <r>
    <x v="64"/>
    <m/>
    <m/>
    <m/>
    <m/>
    <m/>
    <m/>
    <m/>
    <m/>
    <m/>
    <m/>
    <m/>
    <x v="9"/>
    <d v="2016-01-08T14:41:00"/>
    <s v="Patch Set 5: Code-Review+1\n\nPassed PIT; ready for merge"/>
    <m/>
    <m/>
    <s v="dongdong.zhang@intel.com"/>
    <x v="4"/>
    <x v="5"/>
    <s v=""/>
    <x v="2"/>
    <s v=""/>
    <s v=""/>
    <s v=""/>
    <s v=""/>
    <s v=""/>
    <s v=""/>
    <s v=""/>
    <x v="0"/>
    <x v="0"/>
    <x v="0"/>
  </r>
  <r>
    <x v="64"/>
    <m/>
    <m/>
    <m/>
    <m/>
    <m/>
    <m/>
    <m/>
    <m/>
    <m/>
    <m/>
    <m/>
    <x v="9"/>
    <d v="2016-01-08T15:29:00"/>
    <s v="Patch Set 5: Integrator-1\n\nre-add to next PIT"/>
    <m/>
    <m/>
    <s v="dongdong.zhang@intel.com"/>
    <x v="4"/>
    <x v="5"/>
    <s v=""/>
    <x v="2"/>
    <s v=""/>
    <s v=""/>
    <s v=""/>
    <s v=""/>
    <s v=""/>
    <s v=""/>
    <s v=""/>
    <x v="0"/>
    <x v="1"/>
    <x v="0"/>
  </r>
  <r>
    <x v="64"/>
    <m/>
    <m/>
    <m/>
    <m/>
    <m/>
    <m/>
    <m/>
    <m/>
    <m/>
    <m/>
    <m/>
    <x v="9"/>
    <d v="2016-01-08T15:29:00"/>
    <s v="Patch Set 5: Integrator+1"/>
    <m/>
    <m/>
    <s v="dongdong.zhang@intel.com"/>
    <x v="4"/>
    <x v="5"/>
    <s v=""/>
    <x v="2"/>
    <s v=""/>
    <s v=""/>
    <s v=""/>
    <s v=""/>
    <s v=""/>
    <s v=""/>
    <s v=""/>
    <x v="0"/>
    <x v="1"/>
    <x v="0"/>
  </r>
  <r>
    <x v="64"/>
    <m/>
    <m/>
    <m/>
    <m/>
    <m/>
    <m/>
    <m/>
    <m/>
    <m/>
    <m/>
    <m/>
    <x v="6"/>
    <d v="2016-01-08T16:20:00"/>
    <s v="Patch Set 5:\n\nYears could already be defined as -2016."/>
    <m/>
    <m/>
    <s v="dongdong.zhang@intel.com"/>
    <x v="4"/>
    <x v="1"/>
    <s v=""/>
    <x v="2"/>
    <s v=""/>
    <s v=""/>
    <s v=""/>
    <s v=""/>
    <s v=""/>
    <s v=""/>
    <s v=""/>
    <x v="0"/>
    <x v="0"/>
    <x v="0"/>
  </r>
  <r>
    <x v="65"/>
    <n v="92968"/>
    <s v="vied-viedandr-camera3hal"/>
    <s v="platform/android/main"/>
    <s v="I5284e118224eac4e42b00d5f30ba290f71d8bc96"/>
    <s v="miguel.verdu@intel.com"/>
    <s v="MERGED"/>
    <s v="c3: silence double de-init trace."/>
    <s v="c3: silence double de-init trace.\n\nNo need to use LOGD for this warning. It is harmless.\nAlso fix some typo's.\n\nChange-Id: I5284e118224eac4e42b00d5f30ba290f71d8bc96\nTracked-On: #R504841\nSigned-off-by: Miguel Verdu &lt;miguel.verdu@intel.com&gt;\nReviewed-on: https://icggerrit.ir.intel.com/92968\nReviewed-by: Ukri Niemimuukko &lt;ukri.niemimuukko@intel.com&gt;\nReviewed-by: Lassi I Vaatamoinen &lt;lassi.i.vaatamoinen@intel.com&gt;\nReviewed-by: Juha Alanen &lt;juha.alanen@intel.com&gt;\nValidation-Android: Wei Tao &lt;wei.tao@intel.com&gt;\nApprover: Ukri Niemimuukko &lt;ukri.niemimuukko@intel.com&gt;\nBuild: Dessert M BXT RVP (SC)\nBuild: Dessert M SOFIA (SC)\nBuild: Dessert M CHT FFD (SC)\nIntegrator: WeiX Meng &lt;weix.meng@intel.com&gt;\nReviewed-by: WeiX Meng &lt;weix.meng@intel.com&gt;\n"/>
    <d v="2015-12-31T16:18:00"/>
    <d v="2016-01-07T17:27:00"/>
    <s v="common"/>
    <x v="0"/>
    <d v="2015-12-31T16:18:00"/>
    <s v="Uploaded patch set 1."/>
    <m/>
    <s v="weix.meng@intel.com;ukri.niemimuukko@intel.com;jingzhi.yu@intel.com;lassi.i.vaatamoinen@intel.com;juha.alanen@intel.com;jukka.o.kaartinen@intel.com;john.mathew@intel.com;"/>
    <s v="miguel.verdu@intel.com"/>
    <x v="0"/>
    <x v="0"/>
    <s v="16'ww2"/>
    <x v="2"/>
    <n v="2"/>
    <n v="0"/>
    <n v="2"/>
    <n v="0"/>
    <n v="1"/>
    <n v="10"/>
    <n v="0"/>
    <x v="0"/>
    <x v="0"/>
    <x v="0"/>
  </r>
  <r>
    <x v="65"/>
    <m/>
    <m/>
    <m/>
    <m/>
    <m/>
    <m/>
    <m/>
    <m/>
    <m/>
    <m/>
    <m/>
    <x v="0"/>
    <d v="2015-12-31T16:18:00"/>
    <s v="Patch Set 1:\n\nPatchset Created: CI job has been scheduled."/>
    <m/>
    <m/>
    <s v="miguel.verdu@intel.com"/>
    <x v="0"/>
    <x v="0"/>
    <s v=""/>
    <x v="2"/>
    <s v=""/>
    <s v=""/>
    <s v=""/>
    <s v=""/>
    <s v=""/>
    <s v=""/>
    <s v=""/>
    <x v="0"/>
    <x v="0"/>
    <x v="0"/>
  </r>
  <r>
    <x v="65"/>
    <m/>
    <m/>
    <m/>
    <m/>
    <m/>
    <m/>
    <m/>
    <m/>
    <m/>
    <m/>
    <m/>
    <x v="0"/>
    <d v="2015-12-31T16:28:00"/>
    <s v="Patch Set 1: Code-Review+1"/>
    <m/>
    <m/>
    <s v="miguel.verdu@intel.com"/>
    <x v="0"/>
    <x v="0"/>
    <s v=""/>
    <x v="2"/>
    <s v=""/>
    <s v=""/>
    <s v=""/>
    <s v=""/>
    <s v=""/>
    <s v=""/>
    <s v=""/>
    <x v="0"/>
    <x v="0"/>
    <x v="0"/>
  </r>
  <r>
    <x v="65"/>
    <m/>
    <m/>
    <m/>
    <m/>
    <m/>
    <m/>
    <m/>
    <m/>
    <m/>
    <m/>
    <m/>
    <x v="8"/>
    <d v="2015-12-31T16:41:00"/>
    <s v="Patch Set 1: Code-Review+1"/>
    <m/>
    <m/>
    <s v="miguel.verdu@intel.com"/>
    <x v="0"/>
    <x v="1"/>
    <s v=""/>
    <x v="2"/>
    <s v=""/>
    <s v=""/>
    <s v=""/>
    <s v=""/>
    <s v=""/>
    <s v=""/>
    <s v=""/>
    <x v="0"/>
    <x v="0"/>
    <x v="0"/>
  </r>
  <r>
    <x v="65"/>
    <m/>
    <m/>
    <m/>
    <m/>
    <m/>
    <m/>
    <m/>
    <m/>
    <m/>
    <m/>
    <m/>
    <x v="2"/>
    <d v="2015-12-31T17:16:00"/>
    <s v="Patch Set 1: Code-Review-1\n\n(1 comment)"/>
    <s v="line133 :&quot;change the smalle \&quot;w\&quot; as well; please.&quot;"/>
    <m/>
    <s v="miguel.verdu@intel.com"/>
    <x v="0"/>
    <x v="1"/>
    <s v=""/>
    <x v="2"/>
    <s v=""/>
    <s v=""/>
    <s v=""/>
    <s v=""/>
    <s v=""/>
    <s v=""/>
    <s v=""/>
    <x v="1"/>
    <x v="0"/>
    <x v="0"/>
  </r>
  <r>
    <x v="65"/>
    <m/>
    <m/>
    <m/>
    <m/>
    <m/>
    <m/>
    <m/>
    <m/>
    <m/>
    <m/>
    <m/>
    <x v="0"/>
    <d v="2015-12-31T18:59:00"/>
    <s v="Uploaded patch set 2."/>
    <m/>
    <m/>
    <s v="miguel.verdu@intel.com"/>
    <x v="0"/>
    <x v="0"/>
    <s v=""/>
    <x v="2"/>
    <s v=""/>
    <s v=""/>
    <s v=""/>
    <s v=""/>
    <s v=""/>
    <s v=""/>
    <s v=""/>
    <x v="0"/>
    <x v="0"/>
    <x v="0"/>
  </r>
  <r>
    <x v="65"/>
    <m/>
    <m/>
    <m/>
    <m/>
    <m/>
    <m/>
    <m/>
    <m/>
    <m/>
    <m/>
    <m/>
    <x v="0"/>
    <d v="2015-12-31T18:59:00"/>
    <s v="Patch Set 2:\n\nPatchset Created: CI job has been scheduled."/>
    <m/>
    <m/>
    <s v="miguel.verdu@intel.com"/>
    <x v="0"/>
    <x v="0"/>
    <s v=""/>
    <x v="2"/>
    <s v=""/>
    <s v=""/>
    <s v=""/>
    <s v=""/>
    <s v=""/>
    <s v=""/>
    <s v=""/>
    <x v="0"/>
    <x v="0"/>
    <x v="0"/>
  </r>
  <r>
    <x v="65"/>
    <m/>
    <m/>
    <m/>
    <m/>
    <m/>
    <m/>
    <m/>
    <m/>
    <m/>
    <m/>
    <m/>
    <x v="0"/>
    <d v="2015-12-31T19:00:00"/>
    <s v="Patch Set 2: Code-Review+1"/>
    <m/>
    <m/>
    <s v="miguel.verdu@intel.com"/>
    <x v="0"/>
    <x v="0"/>
    <s v=""/>
    <x v="2"/>
    <s v=""/>
    <s v=""/>
    <s v=""/>
    <s v=""/>
    <s v=""/>
    <s v=""/>
    <s v=""/>
    <x v="0"/>
    <x v="0"/>
    <x v="0"/>
  </r>
  <r>
    <x v="65"/>
    <m/>
    <m/>
    <m/>
    <m/>
    <m/>
    <m/>
    <m/>
    <m/>
    <m/>
    <m/>
    <m/>
    <x v="5"/>
    <d v="2015-12-31T21:02:00"/>
    <s v="Patch Set 2: Code-Review+1"/>
    <m/>
    <m/>
    <s v="miguel.verdu@intel.com"/>
    <x v="0"/>
    <x v="1"/>
    <s v=""/>
    <x v="2"/>
    <s v=""/>
    <s v=""/>
    <s v=""/>
    <s v=""/>
    <s v=""/>
    <s v=""/>
    <s v=""/>
    <x v="0"/>
    <x v="0"/>
    <x v="0"/>
  </r>
  <r>
    <x v="65"/>
    <m/>
    <m/>
    <m/>
    <m/>
    <m/>
    <m/>
    <m/>
    <m/>
    <m/>
    <m/>
    <m/>
    <x v="12"/>
    <d v="2015-12-31T21:42:00"/>
    <s v="Patch Set 2: Code-Review+1"/>
    <m/>
    <m/>
    <s v="miguel.verdu@intel.com"/>
    <x v="0"/>
    <x v="1"/>
    <s v=""/>
    <x v="2"/>
    <s v=""/>
    <s v=""/>
    <s v=""/>
    <s v=""/>
    <s v=""/>
    <s v=""/>
    <s v=""/>
    <x v="0"/>
    <x v="0"/>
    <x v="0"/>
  </r>
  <r>
    <x v="65"/>
    <m/>
    <m/>
    <m/>
    <m/>
    <m/>
    <m/>
    <m/>
    <m/>
    <m/>
    <m/>
    <m/>
    <x v="2"/>
    <d v="2015-12-31T21:45:00"/>
    <s v="Patch Set 2: Code-Review+1"/>
    <m/>
    <m/>
    <s v="miguel.verdu@intel.com"/>
    <x v="0"/>
    <x v="1"/>
    <s v=""/>
    <x v="2"/>
    <s v=""/>
    <s v=""/>
    <s v=""/>
    <s v=""/>
    <s v=""/>
    <s v=""/>
    <s v=""/>
    <x v="0"/>
    <x v="0"/>
    <x v="0"/>
  </r>
  <r>
    <x v="65"/>
    <m/>
    <m/>
    <m/>
    <m/>
    <m/>
    <m/>
    <m/>
    <m/>
    <m/>
    <m/>
    <m/>
    <x v="14"/>
    <d v="2016-01-04T15:42:00"/>
    <s v="Patch Set 2: Validation-Android+1\n\nreceive smoke test"/>
    <m/>
    <m/>
    <s v="miguel.verdu@intel.com"/>
    <x v="0"/>
    <x v="5"/>
    <s v=""/>
    <x v="2"/>
    <s v=""/>
    <s v=""/>
    <s v=""/>
    <s v=""/>
    <s v=""/>
    <s v=""/>
    <s v=""/>
    <x v="0"/>
    <x v="1"/>
    <x v="0"/>
  </r>
  <r>
    <x v="65"/>
    <m/>
    <m/>
    <m/>
    <m/>
    <m/>
    <m/>
    <m/>
    <m/>
    <m/>
    <m/>
    <m/>
    <x v="16"/>
    <d v="2016-01-04T15:46:00"/>
    <s v="Patch Set 2: Code-Review+1"/>
    <m/>
    <m/>
    <s v="miguel.verdu@intel.com"/>
    <x v="0"/>
    <x v="4"/>
    <s v=""/>
    <x v="2"/>
    <s v=""/>
    <s v=""/>
    <s v=""/>
    <s v=""/>
    <s v=""/>
    <s v=""/>
    <s v=""/>
    <x v="0"/>
    <x v="0"/>
    <x v="0"/>
  </r>
  <r>
    <x v="65"/>
    <m/>
    <m/>
    <m/>
    <m/>
    <m/>
    <m/>
    <m/>
    <m/>
    <m/>
    <m/>
    <m/>
    <x v="6"/>
    <d v="2016-01-04T16:15:00"/>
    <s v="Patch Set 2: Code-Review-1\n\n(1 comment)"/>
    <s v="line10 :&quot;dot&quot;"/>
    <m/>
    <s v="miguel.verdu@intel.com"/>
    <x v="0"/>
    <x v="1"/>
    <s v=""/>
    <x v="2"/>
    <s v=""/>
    <s v=""/>
    <s v=""/>
    <s v=""/>
    <s v=""/>
    <s v=""/>
    <s v=""/>
    <x v="1"/>
    <x v="0"/>
    <x v="0"/>
  </r>
  <r>
    <x v="65"/>
    <m/>
    <m/>
    <m/>
    <m/>
    <m/>
    <m/>
    <m/>
    <m/>
    <m/>
    <m/>
    <m/>
    <x v="0"/>
    <d v="2016-01-04T16:34:00"/>
    <s v="Patch Set 2:\n\n(1 comment)"/>
    <s v="line10 :&quot;Done&quot;"/>
    <m/>
    <s v="miguel.verdu@intel.com"/>
    <x v="0"/>
    <x v="0"/>
    <s v=""/>
    <x v="2"/>
    <s v=""/>
    <s v=""/>
    <s v=""/>
    <s v=""/>
    <s v=""/>
    <s v=""/>
    <s v=""/>
    <x v="0"/>
    <x v="0"/>
    <x v="0"/>
  </r>
  <r>
    <x v="65"/>
    <m/>
    <m/>
    <m/>
    <m/>
    <m/>
    <m/>
    <m/>
    <m/>
    <m/>
    <m/>
    <m/>
    <x v="0"/>
    <d v="2016-01-04T17:28:00"/>
    <s v="Uploaded patch set 3."/>
    <m/>
    <m/>
    <s v="miguel.verdu@intel.com"/>
    <x v="0"/>
    <x v="0"/>
    <s v=""/>
    <x v="2"/>
    <s v=""/>
    <s v=""/>
    <s v=""/>
    <s v=""/>
    <s v=""/>
    <s v=""/>
    <s v=""/>
    <x v="0"/>
    <x v="0"/>
    <x v="0"/>
  </r>
  <r>
    <x v="65"/>
    <m/>
    <m/>
    <m/>
    <m/>
    <m/>
    <m/>
    <m/>
    <m/>
    <m/>
    <m/>
    <m/>
    <x v="0"/>
    <d v="2016-01-04T17:28:00"/>
    <s v="Patch Set 3:\n\nPatchset Created: CI job has been scheduled."/>
    <m/>
    <m/>
    <s v="miguel.verdu@intel.com"/>
    <x v="0"/>
    <x v="0"/>
    <s v=""/>
    <x v="2"/>
    <s v=""/>
    <s v=""/>
    <s v=""/>
    <s v=""/>
    <s v=""/>
    <s v=""/>
    <s v=""/>
    <x v="0"/>
    <x v="0"/>
    <x v="0"/>
  </r>
  <r>
    <x v="65"/>
    <m/>
    <m/>
    <m/>
    <m/>
    <m/>
    <m/>
    <m/>
    <m/>
    <m/>
    <m/>
    <m/>
    <x v="0"/>
    <d v="2016-01-04T17:29:00"/>
    <s v="Patch Set 3: Code-Review+1"/>
    <m/>
    <m/>
    <s v="miguel.verdu@intel.com"/>
    <x v="0"/>
    <x v="0"/>
    <s v=""/>
    <x v="2"/>
    <s v=""/>
    <s v=""/>
    <s v=""/>
    <s v=""/>
    <s v=""/>
    <s v=""/>
    <s v=""/>
    <x v="0"/>
    <x v="0"/>
    <x v="0"/>
  </r>
  <r>
    <x v="65"/>
    <m/>
    <m/>
    <m/>
    <m/>
    <m/>
    <m/>
    <m/>
    <m/>
    <m/>
    <m/>
    <m/>
    <x v="14"/>
    <d v="2016-01-04T17:29:00"/>
    <s v="Patch Set 3: Validation-Android+1\n\nreceive smoke test"/>
    <m/>
    <m/>
    <s v="miguel.verdu@intel.com"/>
    <x v="0"/>
    <x v="5"/>
    <s v=""/>
    <x v="2"/>
    <s v=""/>
    <s v=""/>
    <s v=""/>
    <s v=""/>
    <s v=""/>
    <s v=""/>
    <s v=""/>
    <x v="0"/>
    <x v="1"/>
    <x v="0"/>
  </r>
  <r>
    <x v="65"/>
    <m/>
    <m/>
    <m/>
    <m/>
    <m/>
    <m/>
    <m/>
    <m/>
    <m/>
    <m/>
    <m/>
    <x v="6"/>
    <d v="2016-01-04T17:49:00"/>
    <s v="Patch Set 3: Code-Review+1"/>
    <m/>
    <m/>
    <s v="miguel.verdu@intel.com"/>
    <x v="0"/>
    <x v="1"/>
    <s v=""/>
    <x v="2"/>
    <s v=""/>
    <s v=""/>
    <s v=""/>
    <s v=""/>
    <s v=""/>
    <s v=""/>
    <s v=""/>
    <x v="0"/>
    <x v="0"/>
    <x v="0"/>
  </r>
  <r>
    <x v="65"/>
    <m/>
    <m/>
    <m/>
    <m/>
    <m/>
    <m/>
    <m/>
    <m/>
    <m/>
    <m/>
    <m/>
    <x v="12"/>
    <d v="2016-01-04T17:51:00"/>
    <s v="Patch Set 3: Code-Review+1"/>
    <m/>
    <m/>
    <s v="miguel.verdu@intel.com"/>
    <x v="0"/>
    <x v="1"/>
    <s v=""/>
    <x v="2"/>
    <s v=""/>
    <s v=""/>
    <s v=""/>
    <s v=""/>
    <s v=""/>
    <s v=""/>
    <s v=""/>
    <x v="0"/>
    <x v="0"/>
    <x v="0"/>
  </r>
  <r>
    <x v="65"/>
    <m/>
    <m/>
    <m/>
    <m/>
    <m/>
    <m/>
    <m/>
    <m/>
    <m/>
    <m/>
    <m/>
    <x v="5"/>
    <d v="2016-01-04T18:44:00"/>
    <s v="Patch Set 3: Code-Review+1"/>
    <m/>
    <m/>
    <s v="miguel.verdu@intel.com"/>
    <x v="0"/>
    <x v="1"/>
    <s v=""/>
    <x v="2"/>
    <s v=""/>
    <s v=""/>
    <s v=""/>
    <s v=""/>
    <s v=""/>
    <s v=""/>
    <s v=""/>
    <x v="0"/>
    <x v="0"/>
    <x v="0"/>
  </r>
  <r>
    <x v="65"/>
    <m/>
    <m/>
    <m/>
    <m/>
    <m/>
    <m/>
    <m/>
    <m/>
    <m/>
    <m/>
    <m/>
    <x v="0"/>
    <d v="2016-01-04T20:11:00"/>
    <s v="Uploaded patch set 4: Patch Set 3 was rebased."/>
    <m/>
    <m/>
    <s v="miguel.verdu@intel.com"/>
    <x v="0"/>
    <x v="0"/>
    <s v=""/>
    <x v="2"/>
    <s v=""/>
    <s v=""/>
    <s v=""/>
    <s v=""/>
    <s v=""/>
    <s v=""/>
    <s v=""/>
    <x v="0"/>
    <x v="0"/>
    <x v="0"/>
  </r>
  <r>
    <x v="65"/>
    <m/>
    <m/>
    <m/>
    <m/>
    <m/>
    <m/>
    <m/>
    <m/>
    <m/>
    <m/>
    <m/>
    <x v="0"/>
    <d v="2016-01-04T20:11:00"/>
    <s v="Patch Set 4:\n\nPatchset Created: CI job has been scheduled."/>
    <m/>
    <m/>
    <s v="miguel.verdu@intel.com"/>
    <x v="0"/>
    <x v="0"/>
    <s v=""/>
    <x v="2"/>
    <s v=""/>
    <s v=""/>
    <s v=""/>
    <s v=""/>
    <s v=""/>
    <s v=""/>
    <s v=""/>
    <x v="0"/>
    <x v="0"/>
    <x v="0"/>
  </r>
  <r>
    <x v="65"/>
    <m/>
    <m/>
    <m/>
    <m/>
    <m/>
    <m/>
    <m/>
    <m/>
    <m/>
    <m/>
    <m/>
    <x v="14"/>
    <d v="2016-01-04T20:12:00"/>
    <s v="Patch Set 4: Validation-Android+1\n\nreceive smoke test"/>
    <m/>
    <m/>
    <s v="miguel.verdu@intel.com"/>
    <x v="0"/>
    <x v="5"/>
    <s v=""/>
    <x v="2"/>
    <s v=""/>
    <s v=""/>
    <s v=""/>
    <s v=""/>
    <s v=""/>
    <s v=""/>
    <s v=""/>
    <x v="0"/>
    <x v="1"/>
    <x v="0"/>
  </r>
  <r>
    <x v="65"/>
    <m/>
    <m/>
    <m/>
    <m/>
    <m/>
    <m/>
    <m/>
    <m/>
    <m/>
    <m/>
    <m/>
    <x v="6"/>
    <d v="2016-01-04T20:13:00"/>
    <s v="Patch Set 4: Approver+1"/>
    <m/>
    <m/>
    <s v="miguel.verdu@intel.com"/>
    <x v="0"/>
    <x v="1"/>
    <s v=""/>
    <x v="2"/>
    <s v=""/>
    <s v=""/>
    <s v=""/>
    <s v=""/>
    <s v=""/>
    <s v=""/>
    <s v=""/>
    <x v="0"/>
    <x v="0"/>
    <x v="0"/>
  </r>
  <r>
    <x v="65"/>
    <m/>
    <m/>
    <m/>
    <m/>
    <m/>
    <m/>
    <m/>
    <m/>
    <m/>
    <m/>
    <m/>
    <x v="0"/>
    <d v="2016-01-04T20:14:00"/>
    <s v="Topic changed from up_3012 to bxt_preint"/>
    <m/>
    <m/>
    <s v="miguel.verdu@intel.com"/>
    <x v="0"/>
    <x v="0"/>
    <s v=""/>
    <x v="2"/>
    <s v=""/>
    <s v=""/>
    <s v=""/>
    <s v=""/>
    <s v=""/>
    <s v=""/>
    <s v=""/>
    <x v="0"/>
    <x v="0"/>
    <x v="0"/>
  </r>
  <r>
    <x v="65"/>
    <m/>
    <m/>
    <m/>
    <m/>
    <m/>
    <m/>
    <m/>
    <m/>
    <m/>
    <m/>
    <m/>
    <x v="9"/>
    <d v="2016-01-05T14:23:00"/>
    <s v="Patch Set 4: Integrator+1\n\nIntegrator +1; patch will be add to PT; please no change now"/>
    <m/>
    <m/>
    <s v="miguel.verdu@intel.com"/>
    <x v="0"/>
    <x v="5"/>
    <s v=""/>
    <x v="2"/>
    <s v=""/>
    <s v=""/>
    <s v=""/>
    <s v=""/>
    <s v=""/>
    <s v=""/>
    <s v=""/>
    <x v="0"/>
    <x v="1"/>
    <x v="0"/>
  </r>
  <r>
    <x v="65"/>
    <m/>
    <m/>
    <m/>
    <m/>
    <m/>
    <m/>
    <m/>
    <m/>
    <m/>
    <m/>
    <m/>
    <x v="9"/>
    <d v="2016-01-05T18:03:00"/>
    <s v="Patch Set 4:\n\nPassed Klocwork code analyzing test. No CRITICAL issue in this patch. Auto reported by kwscan@andr-val-srv0.bj.intel.com"/>
    <m/>
    <m/>
    <s v="miguel.verdu@intel.com"/>
    <x v="0"/>
    <x v="5"/>
    <s v=""/>
    <x v="2"/>
    <s v=""/>
    <s v=""/>
    <s v=""/>
    <s v=""/>
    <s v=""/>
    <s v=""/>
    <s v=""/>
    <x v="0"/>
    <x v="0"/>
    <x v="0"/>
  </r>
  <r>
    <x v="65"/>
    <m/>
    <m/>
    <m/>
    <m/>
    <m/>
    <m/>
    <m/>
    <m/>
    <m/>
    <m/>
    <m/>
    <x v="9"/>
    <d v="2016-01-06T15:33:00"/>
    <s v="Patch Set 4: Integrator-1\n\nBXT PIT block; so patch nogo all"/>
    <m/>
    <m/>
    <s v="miguel.verdu@intel.com"/>
    <x v="0"/>
    <x v="5"/>
    <s v=""/>
    <x v="2"/>
    <s v=""/>
    <s v=""/>
    <s v=""/>
    <s v=""/>
    <s v=""/>
    <s v=""/>
    <s v=""/>
    <x v="0"/>
    <x v="1"/>
    <x v="0"/>
  </r>
  <r>
    <x v="65"/>
    <m/>
    <m/>
    <m/>
    <m/>
    <m/>
    <m/>
    <m/>
    <m/>
    <m/>
    <m/>
    <m/>
    <x v="9"/>
    <d v="2016-01-06T15:39:00"/>
    <s v="Patch Set 4: Integrator+1\n\nIntegrator +1; patch will be add to PT; please no change now"/>
    <m/>
    <m/>
    <s v="miguel.verdu@intel.com"/>
    <x v="0"/>
    <x v="5"/>
    <s v=""/>
    <x v="2"/>
    <s v=""/>
    <s v=""/>
    <s v=""/>
    <s v=""/>
    <s v=""/>
    <s v=""/>
    <s v=""/>
    <x v="0"/>
    <x v="1"/>
    <x v="0"/>
  </r>
  <r>
    <x v="65"/>
    <m/>
    <m/>
    <m/>
    <m/>
    <m/>
    <m/>
    <m/>
    <m/>
    <m/>
    <m/>
    <m/>
    <x v="9"/>
    <d v="2016-01-06T19:38:00"/>
    <s v="Patch Set 4:\n\nPassed Klocwork code analyzing test. No CRITICAL issue in this patch. Auto reported by kwscan@andr-val-srv0.bj.intel.com"/>
    <m/>
    <m/>
    <s v="miguel.verdu@intel.com"/>
    <x v="0"/>
    <x v="5"/>
    <s v=""/>
    <x v="2"/>
    <s v=""/>
    <s v=""/>
    <s v=""/>
    <s v=""/>
    <s v=""/>
    <s v=""/>
    <s v=""/>
    <x v="0"/>
    <x v="0"/>
    <x v="0"/>
  </r>
  <r>
    <x v="65"/>
    <m/>
    <m/>
    <m/>
    <m/>
    <m/>
    <m/>
    <m/>
    <m/>
    <m/>
    <m/>
    <m/>
    <x v="9"/>
    <d v="2016-01-07T17:27:00"/>
    <s v="Patch Set 4: Code-Review+1\n\nPassed PIT; ready for merge"/>
    <m/>
    <m/>
    <s v="miguel.verdu@intel.com"/>
    <x v="0"/>
    <x v="5"/>
    <s v=""/>
    <x v="2"/>
    <s v=""/>
    <s v=""/>
    <s v=""/>
    <s v=""/>
    <s v=""/>
    <s v=""/>
    <s v=""/>
    <x v="0"/>
    <x v="0"/>
    <x v="0"/>
  </r>
  <r>
    <x v="66"/>
    <n v="92496"/>
    <s v="vied-viedandr-camera3hal"/>
    <s v="platform/android/main"/>
    <s v="Idae2e5bb9c49e71d26eedb3e1b02e8abe0824984"/>
    <s v="kaisa.taipale@intel.com"/>
    <s v="MERGED"/>
    <s v="c3:3A: Add new function mapUiBrightness2Aiq"/>
    <s v="c3:3A: Add new function mapUiBrightness2Aiq\n\nThe Brightness value coming from UI is in range [-10;10]\nand ia_aiq expects [-128;127].\n\nA similar function has already been implemented in cif3;\ncifpu and ipu2 but since this is not an IPU specific\nconversion; it should be in common code.\n\nChange-Id: Idae2e5bb9c49e71d26eedb3e1b02e8abe0824984\nTracked-On: #H1504099621\nSigned-off-by: Kaisa Taipale &lt;kaisa.taipale@intel.com&gt;\nReviewed-on: https://icggerrit.ir.intel.com/92496\nReviewed-by: Tommi Franttila &lt;tommi.franttila@intel.com&gt;\nReviewed-by: Ukri Niemimuukko &lt;ukri.niemimuukko@intel.com&gt;\nReviewed-by: Miguel Verdu &lt;miguel.verdu@intel.com&gt;\nReviewed-by: Juha Alanen &lt;juha.alanen@intel.com&gt;\nReviewed-by: Jukka O Kaartinen &lt;jukka.o.kaartinen@intel.com&gt;\nReviewed-by: Lassi I Vaatamoinen &lt;lassi.i.vaatamoinen@intel.com&gt;\nReviewed-by: Jingzhi Yu &lt;jingzhi.yu@intel.com&gt;\nValidation-Android: Wei Tao &lt;wei.tao@intel.com&gt;\nApprover: Ukri Niemimuukko &lt;ukri.niemimuukko@intel.com&gt;\nBuild: Dessert M BXT RVP (SC)\nBuild: Dessert M SOFIA (SC)\nBuild: Dessert M CHT FFD (SC)\nValidation-Android: Dessert M CHT FFD (SC)\nIntegrator: WeiX Meng &lt;weix.meng@intel.com&gt;\nReviewed-by: WeiX Meng &lt;weix.meng@intel.com&gt;\n"/>
    <d v="2015-12-29T15:56:00"/>
    <d v="2016-01-07T17:27:00"/>
    <s v="common"/>
    <x v="11"/>
    <d v="2015-12-29T15:56:00"/>
    <s v="Uploaded patch set 1."/>
    <m/>
    <s v="weix.meng@intel.com;lassi.i.vaatamoinen@intel.com;jukka.o.kaartinen@intel.com;juha.alanen@intel.com;miguel.verdu@intel.com;tommi.franttila@intel.com;ukri.niemimuukko@intel.com;jingzhi.yu@intel.com;"/>
    <s v="kaisa.taipale@intel.com"/>
    <x v="0"/>
    <x v="0"/>
    <s v="16'ww2"/>
    <x v="2"/>
    <n v="1"/>
    <n v="1"/>
    <n v="0"/>
    <n v="0"/>
    <n v="3"/>
    <n v="10"/>
    <n v="0"/>
    <x v="0"/>
    <x v="0"/>
    <x v="0"/>
  </r>
  <r>
    <x v="66"/>
    <m/>
    <m/>
    <m/>
    <m/>
    <m/>
    <m/>
    <m/>
    <m/>
    <m/>
    <m/>
    <m/>
    <x v="11"/>
    <d v="2015-12-29T15:56:00"/>
    <s v="Patch Set 1:\n\nPatchset Created: CI job has been scheduled."/>
    <m/>
    <m/>
    <s v="kaisa.taipale@intel.com"/>
    <x v="0"/>
    <x v="0"/>
    <s v=""/>
    <x v="2"/>
    <s v=""/>
    <s v=""/>
    <s v=""/>
    <s v=""/>
    <s v=""/>
    <s v=""/>
    <s v=""/>
    <x v="0"/>
    <x v="0"/>
    <x v="0"/>
  </r>
  <r>
    <x v="66"/>
    <m/>
    <m/>
    <m/>
    <m/>
    <m/>
    <m/>
    <m/>
    <m/>
    <m/>
    <m/>
    <m/>
    <x v="11"/>
    <d v="2015-12-29T15:58:00"/>
    <s v="Uploaded patch set 2."/>
    <m/>
    <m/>
    <s v="kaisa.taipale@intel.com"/>
    <x v="0"/>
    <x v="0"/>
    <s v=""/>
    <x v="2"/>
    <s v=""/>
    <s v=""/>
    <s v=""/>
    <s v=""/>
    <s v=""/>
    <s v=""/>
    <s v=""/>
    <x v="0"/>
    <x v="0"/>
    <x v="0"/>
  </r>
  <r>
    <x v="66"/>
    <m/>
    <m/>
    <m/>
    <m/>
    <m/>
    <m/>
    <m/>
    <m/>
    <m/>
    <m/>
    <m/>
    <x v="11"/>
    <d v="2015-12-29T15:58:00"/>
    <s v="Patch Set 2:\n\nPatchset Created: CI job has been scheduled."/>
    <m/>
    <m/>
    <s v="kaisa.taipale@intel.com"/>
    <x v="0"/>
    <x v="0"/>
    <s v=""/>
    <x v="2"/>
    <s v=""/>
    <s v=""/>
    <s v=""/>
    <s v=""/>
    <s v=""/>
    <s v=""/>
    <s v=""/>
    <x v="0"/>
    <x v="0"/>
    <x v="0"/>
  </r>
  <r>
    <x v="66"/>
    <m/>
    <m/>
    <m/>
    <m/>
    <m/>
    <m/>
    <m/>
    <m/>
    <m/>
    <m/>
    <m/>
    <x v="11"/>
    <d v="2015-12-29T18:20:00"/>
    <s v="Uploaded patch set 3: Patch Set 2 was rebased."/>
    <m/>
    <m/>
    <s v="kaisa.taipale@intel.com"/>
    <x v="0"/>
    <x v="0"/>
    <s v=""/>
    <x v="2"/>
    <s v=""/>
    <s v=""/>
    <s v=""/>
    <s v=""/>
    <s v=""/>
    <s v=""/>
    <s v=""/>
    <x v="0"/>
    <x v="0"/>
    <x v="0"/>
  </r>
  <r>
    <x v="66"/>
    <m/>
    <m/>
    <m/>
    <m/>
    <m/>
    <m/>
    <m/>
    <m/>
    <m/>
    <m/>
    <m/>
    <x v="11"/>
    <d v="2015-12-29T18:20:00"/>
    <s v="Patch Set 3:\n\nPatchset Created: CI job has been scheduled."/>
    <m/>
    <m/>
    <s v="kaisa.taipale@intel.com"/>
    <x v="0"/>
    <x v="0"/>
    <s v=""/>
    <x v="2"/>
    <s v=""/>
    <s v=""/>
    <s v=""/>
    <s v=""/>
    <s v=""/>
    <s v=""/>
    <s v=""/>
    <x v="0"/>
    <x v="0"/>
    <x v="0"/>
  </r>
  <r>
    <x v="66"/>
    <m/>
    <m/>
    <m/>
    <m/>
    <m/>
    <m/>
    <m/>
    <m/>
    <m/>
    <m/>
    <m/>
    <x v="11"/>
    <d v="2015-12-29T18:24:00"/>
    <s v="Patch Set 3: Code-Review+1"/>
    <m/>
    <m/>
    <s v="kaisa.taipale@intel.com"/>
    <x v="0"/>
    <x v="0"/>
    <s v=""/>
    <x v="2"/>
    <s v=""/>
    <s v=""/>
    <s v=""/>
    <s v=""/>
    <s v=""/>
    <s v=""/>
    <s v=""/>
    <x v="0"/>
    <x v="0"/>
    <x v="0"/>
  </r>
  <r>
    <x v="66"/>
    <m/>
    <m/>
    <m/>
    <m/>
    <m/>
    <m/>
    <m/>
    <m/>
    <m/>
    <m/>
    <m/>
    <x v="16"/>
    <d v="2015-12-29T18:56:00"/>
    <s v="Patch Set 3: Code-Review-1\n\n(2 comments)"/>
    <s v="line565 :&quot;step = 12.75 here&quot; line13 :&quot;and? typo&quot;"/>
    <m/>
    <s v="kaisa.taipale@intel.com"/>
    <x v="0"/>
    <x v="4"/>
    <s v=""/>
    <x v="2"/>
    <s v=""/>
    <s v=""/>
    <s v=""/>
    <s v=""/>
    <s v=""/>
    <s v=""/>
    <s v=""/>
    <x v="1"/>
    <x v="0"/>
    <x v="0"/>
  </r>
  <r>
    <x v="66"/>
    <m/>
    <m/>
    <m/>
    <m/>
    <m/>
    <m/>
    <m/>
    <m/>
    <m/>
    <m/>
    <m/>
    <x v="16"/>
    <d v="2015-12-29T19:16:00"/>
    <s v="Patch Set 3: Code-Review+1\n\n(1 comment)"/>
    <s v="line565 :&quot;if brightness is 0; it will be mapped to (-128+ 200)?&quot;"/>
    <m/>
    <s v="kaisa.taipale@intel.com"/>
    <x v="0"/>
    <x v="4"/>
    <s v=""/>
    <x v="2"/>
    <s v=""/>
    <s v=""/>
    <s v=""/>
    <s v=""/>
    <s v=""/>
    <s v=""/>
    <s v=""/>
    <x v="0"/>
    <x v="0"/>
    <x v="0"/>
  </r>
  <r>
    <x v="66"/>
    <m/>
    <m/>
    <m/>
    <m/>
    <m/>
    <m/>
    <m/>
    <m/>
    <m/>
    <m/>
    <m/>
    <x v="11"/>
    <d v="2015-12-29T19:22:00"/>
    <s v="Uploaded patch set 4: Commit message was updated."/>
    <m/>
    <m/>
    <s v="kaisa.taipale@intel.com"/>
    <x v="0"/>
    <x v="0"/>
    <s v=""/>
    <x v="2"/>
    <s v=""/>
    <s v=""/>
    <s v=""/>
    <s v=""/>
    <s v=""/>
    <s v=""/>
    <s v=""/>
    <x v="0"/>
    <x v="0"/>
    <x v="0"/>
  </r>
  <r>
    <x v="66"/>
    <m/>
    <m/>
    <m/>
    <m/>
    <m/>
    <m/>
    <m/>
    <m/>
    <m/>
    <m/>
    <m/>
    <x v="11"/>
    <d v="2015-12-29T19:22:00"/>
    <s v="Patch Set 4:\n\nPatchset Created: CI job has been scheduled."/>
    <m/>
    <m/>
    <s v="kaisa.taipale@intel.com"/>
    <x v="0"/>
    <x v="0"/>
    <s v=""/>
    <x v="2"/>
    <s v=""/>
    <s v=""/>
    <s v=""/>
    <s v=""/>
    <s v=""/>
    <s v=""/>
    <s v=""/>
    <x v="0"/>
    <x v="0"/>
    <x v="0"/>
  </r>
  <r>
    <x v="66"/>
    <m/>
    <m/>
    <m/>
    <m/>
    <m/>
    <m/>
    <m/>
    <m/>
    <m/>
    <m/>
    <m/>
    <x v="6"/>
    <d v="2015-12-29T19:57:00"/>
    <s v="Patch Set 4: Code-Review+1"/>
    <m/>
    <m/>
    <s v="kaisa.taipale@intel.com"/>
    <x v="0"/>
    <x v="1"/>
    <s v=""/>
    <x v="2"/>
    <s v=""/>
    <s v=""/>
    <s v=""/>
    <s v=""/>
    <s v=""/>
    <s v=""/>
    <s v=""/>
    <x v="0"/>
    <x v="0"/>
    <x v="0"/>
  </r>
  <r>
    <x v="66"/>
    <m/>
    <m/>
    <m/>
    <m/>
    <m/>
    <m/>
    <m/>
    <m/>
    <m/>
    <m/>
    <m/>
    <x v="43"/>
    <d v="2015-12-29T20:04:00"/>
    <s v="Patch Set 4: Code-Review+1"/>
    <m/>
    <m/>
    <s v="kaisa.taipale@intel.com"/>
    <x v="0"/>
    <x v="1"/>
    <s v=""/>
    <x v="2"/>
    <s v=""/>
    <s v=""/>
    <s v=""/>
    <s v=""/>
    <s v=""/>
    <s v=""/>
    <s v=""/>
    <x v="0"/>
    <x v="0"/>
    <x v="0"/>
  </r>
  <r>
    <x v="66"/>
    <m/>
    <m/>
    <m/>
    <m/>
    <m/>
    <m/>
    <m/>
    <m/>
    <m/>
    <m/>
    <m/>
    <x v="11"/>
    <d v="2015-12-29T20:27:00"/>
    <s v="Uploaded patch set 5."/>
    <m/>
    <m/>
    <s v="kaisa.taipale@intel.com"/>
    <x v="0"/>
    <x v="0"/>
    <s v=""/>
    <x v="2"/>
    <s v=""/>
    <s v=""/>
    <s v=""/>
    <s v=""/>
    <s v=""/>
    <s v=""/>
    <s v=""/>
    <x v="0"/>
    <x v="0"/>
    <x v="0"/>
  </r>
  <r>
    <x v="66"/>
    <m/>
    <m/>
    <m/>
    <m/>
    <m/>
    <m/>
    <m/>
    <m/>
    <m/>
    <m/>
    <m/>
    <x v="11"/>
    <d v="2015-12-29T20:27:00"/>
    <s v="Patch Set 5:\n\nPatchset Created: CI job has been scheduled."/>
    <m/>
    <m/>
    <s v="kaisa.taipale@intel.com"/>
    <x v="0"/>
    <x v="0"/>
    <s v=""/>
    <x v="2"/>
    <s v=""/>
    <s v=""/>
    <s v=""/>
    <s v=""/>
    <s v=""/>
    <s v=""/>
    <s v=""/>
    <x v="0"/>
    <x v="0"/>
    <x v="0"/>
  </r>
  <r>
    <x v="66"/>
    <m/>
    <m/>
    <m/>
    <m/>
    <m/>
    <m/>
    <m/>
    <m/>
    <m/>
    <m/>
    <m/>
    <x v="43"/>
    <d v="2015-12-29T20:30:00"/>
    <s v="Patch Set 5: Code-Review+1"/>
    <m/>
    <m/>
    <s v="kaisa.taipale@intel.com"/>
    <x v="0"/>
    <x v="1"/>
    <s v=""/>
    <x v="2"/>
    <s v=""/>
    <s v=""/>
    <s v=""/>
    <s v=""/>
    <s v=""/>
    <s v=""/>
    <s v=""/>
    <x v="0"/>
    <x v="0"/>
    <x v="0"/>
  </r>
  <r>
    <x v="66"/>
    <m/>
    <m/>
    <m/>
    <m/>
    <m/>
    <m/>
    <m/>
    <m/>
    <m/>
    <m/>
    <m/>
    <x v="11"/>
    <d v="2015-12-29T20:32:00"/>
    <s v="Patch Set 5: Code-Review+1"/>
    <m/>
    <m/>
    <s v="kaisa.taipale@intel.com"/>
    <x v="0"/>
    <x v="0"/>
    <s v=""/>
    <x v="2"/>
    <s v=""/>
    <s v=""/>
    <s v=""/>
    <s v=""/>
    <s v=""/>
    <s v=""/>
    <s v=""/>
    <x v="0"/>
    <x v="0"/>
    <x v="0"/>
  </r>
  <r>
    <x v="66"/>
    <m/>
    <m/>
    <m/>
    <m/>
    <m/>
    <m/>
    <m/>
    <m/>
    <m/>
    <m/>
    <m/>
    <x v="6"/>
    <d v="2015-12-29T20:38:00"/>
    <s v="Patch Set 5: Code-Review+1"/>
    <m/>
    <m/>
    <s v="kaisa.taipale@intel.com"/>
    <x v="0"/>
    <x v="1"/>
    <s v=""/>
    <x v="2"/>
    <s v=""/>
    <s v=""/>
    <s v=""/>
    <s v=""/>
    <s v=""/>
    <s v=""/>
    <s v=""/>
    <x v="0"/>
    <x v="0"/>
    <x v="0"/>
  </r>
  <r>
    <x v="66"/>
    <m/>
    <m/>
    <m/>
    <m/>
    <m/>
    <m/>
    <m/>
    <m/>
    <m/>
    <m/>
    <m/>
    <x v="0"/>
    <d v="2015-12-29T21:31:00"/>
    <s v="Patch Set 5: Code-Review+1"/>
    <m/>
    <m/>
    <s v="kaisa.taipale@intel.com"/>
    <x v="0"/>
    <x v="1"/>
    <s v=""/>
    <x v="2"/>
    <s v=""/>
    <s v=""/>
    <s v=""/>
    <s v=""/>
    <s v=""/>
    <s v=""/>
    <s v=""/>
    <x v="0"/>
    <x v="0"/>
    <x v="0"/>
  </r>
  <r>
    <x v="66"/>
    <m/>
    <m/>
    <m/>
    <m/>
    <m/>
    <m/>
    <m/>
    <m/>
    <m/>
    <m/>
    <m/>
    <x v="11"/>
    <d v="2015-12-29T22:00:00"/>
    <s v="Uploaded patch set 6: Patch Set 5 was rebased."/>
    <m/>
    <m/>
    <s v="kaisa.taipale@intel.com"/>
    <x v="0"/>
    <x v="0"/>
    <s v=""/>
    <x v="2"/>
    <s v=""/>
    <s v=""/>
    <s v=""/>
    <s v=""/>
    <s v=""/>
    <s v=""/>
    <s v=""/>
    <x v="0"/>
    <x v="0"/>
    <x v="0"/>
  </r>
  <r>
    <x v="66"/>
    <m/>
    <m/>
    <m/>
    <m/>
    <m/>
    <m/>
    <m/>
    <m/>
    <m/>
    <m/>
    <m/>
    <x v="11"/>
    <d v="2015-12-29T22:00:00"/>
    <s v="Patch Set 6:\n\nPatchset Created: CI job has been scheduled."/>
    <m/>
    <m/>
    <s v="kaisa.taipale@intel.com"/>
    <x v="0"/>
    <x v="0"/>
    <s v=""/>
    <x v="2"/>
    <s v=""/>
    <s v=""/>
    <s v=""/>
    <s v=""/>
    <s v=""/>
    <s v=""/>
    <s v=""/>
    <x v="0"/>
    <x v="0"/>
    <x v="0"/>
  </r>
  <r>
    <x v="66"/>
    <m/>
    <m/>
    <m/>
    <m/>
    <m/>
    <m/>
    <m/>
    <m/>
    <m/>
    <m/>
    <m/>
    <x v="11"/>
    <d v="2015-12-30T15:20:00"/>
    <s v="Uploaded patch set 7: Patch Set 6 was rebased."/>
    <m/>
    <m/>
    <s v="kaisa.taipale@intel.com"/>
    <x v="0"/>
    <x v="0"/>
    <s v=""/>
    <x v="2"/>
    <s v=""/>
    <s v=""/>
    <s v=""/>
    <s v=""/>
    <s v=""/>
    <s v=""/>
    <s v=""/>
    <x v="0"/>
    <x v="0"/>
    <x v="0"/>
  </r>
  <r>
    <x v="66"/>
    <m/>
    <m/>
    <m/>
    <m/>
    <m/>
    <m/>
    <m/>
    <m/>
    <m/>
    <m/>
    <m/>
    <x v="11"/>
    <d v="2015-12-30T15:20:00"/>
    <s v="Patch Set 7:\n\nPatchset Created: CI job has been scheduled."/>
    <m/>
    <m/>
    <s v="kaisa.taipale@intel.com"/>
    <x v="0"/>
    <x v="0"/>
    <s v=""/>
    <x v="2"/>
    <s v=""/>
    <s v=""/>
    <s v=""/>
    <s v=""/>
    <s v=""/>
    <s v=""/>
    <s v=""/>
    <x v="0"/>
    <x v="0"/>
    <x v="0"/>
  </r>
  <r>
    <x v="66"/>
    <m/>
    <m/>
    <m/>
    <m/>
    <m/>
    <m/>
    <m/>
    <m/>
    <m/>
    <m/>
    <m/>
    <x v="5"/>
    <d v="2015-12-30T16:31:00"/>
    <s v="Patch Set 7: Code-Review+1"/>
    <m/>
    <m/>
    <s v="kaisa.taipale@intel.com"/>
    <x v="0"/>
    <x v="1"/>
    <s v=""/>
    <x v="2"/>
    <s v=""/>
    <s v=""/>
    <s v=""/>
    <s v=""/>
    <s v=""/>
    <s v=""/>
    <s v=""/>
    <x v="0"/>
    <x v="0"/>
    <x v="0"/>
  </r>
  <r>
    <x v="66"/>
    <m/>
    <m/>
    <m/>
    <m/>
    <m/>
    <m/>
    <m/>
    <m/>
    <m/>
    <m/>
    <m/>
    <x v="2"/>
    <d v="2015-12-30T16:38:00"/>
    <s v="Patch Set 7: Code-Review+1"/>
    <m/>
    <m/>
    <s v="kaisa.taipale@intel.com"/>
    <x v="0"/>
    <x v="1"/>
    <s v=""/>
    <x v="2"/>
    <s v=""/>
    <s v=""/>
    <s v=""/>
    <s v=""/>
    <s v=""/>
    <s v=""/>
    <s v=""/>
    <x v="0"/>
    <x v="0"/>
    <x v="0"/>
  </r>
  <r>
    <x v="66"/>
    <m/>
    <m/>
    <m/>
    <m/>
    <m/>
    <m/>
    <m/>
    <m/>
    <m/>
    <m/>
    <m/>
    <x v="11"/>
    <d v="2015-12-30T17:21:00"/>
    <s v="Uploaded patch set 8: Patch Set 7 was rebased."/>
    <m/>
    <m/>
    <s v="kaisa.taipale@intel.com"/>
    <x v="0"/>
    <x v="0"/>
    <s v=""/>
    <x v="2"/>
    <s v=""/>
    <s v=""/>
    <s v=""/>
    <s v=""/>
    <s v=""/>
    <s v=""/>
    <s v=""/>
    <x v="0"/>
    <x v="0"/>
    <x v="0"/>
  </r>
  <r>
    <x v="66"/>
    <m/>
    <m/>
    <m/>
    <m/>
    <m/>
    <m/>
    <m/>
    <m/>
    <m/>
    <m/>
    <m/>
    <x v="11"/>
    <d v="2015-12-30T17:21:00"/>
    <s v="Patch Set 8:\n\nPatchset Created: CI job has been scheduled."/>
    <m/>
    <m/>
    <s v="kaisa.taipale@intel.com"/>
    <x v="0"/>
    <x v="0"/>
    <s v=""/>
    <x v="2"/>
    <s v=""/>
    <s v=""/>
    <s v=""/>
    <s v=""/>
    <s v=""/>
    <s v=""/>
    <s v=""/>
    <x v="0"/>
    <x v="0"/>
    <x v="0"/>
  </r>
  <r>
    <x v="66"/>
    <m/>
    <m/>
    <m/>
    <m/>
    <m/>
    <m/>
    <m/>
    <m/>
    <m/>
    <m/>
    <m/>
    <x v="12"/>
    <d v="2015-12-30T22:34:00"/>
    <s v="Patch Set 8: Code-Review+1"/>
    <m/>
    <m/>
    <s v="kaisa.taipale@intel.com"/>
    <x v="0"/>
    <x v="1"/>
    <s v=""/>
    <x v="2"/>
    <s v=""/>
    <s v=""/>
    <s v=""/>
    <s v=""/>
    <s v=""/>
    <s v=""/>
    <s v=""/>
    <x v="0"/>
    <x v="0"/>
    <x v="0"/>
  </r>
  <r>
    <x v="66"/>
    <m/>
    <m/>
    <m/>
    <m/>
    <m/>
    <m/>
    <m/>
    <m/>
    <m/>
    <m/>
    <m/>
    <x v="11"/>
    <d v="2015-12-31T17:28:00"/>
    <s v="Uploaded patch set 9: Patch Set 8 was rebased."/>
    <m/>
    <m/>
    <s v="kaisa.taipale@intel.com"/>
    <x v="0"/>
    <x v="0"/>
    <s v=""/>
    <x v="2"/>
    <s v=""/>
    <s v=""/>
    <s v=""/>
    <s v=""/>
    <s v=""/>
    <s v=""/>
    <s v=""/>
    <x v="0"/>
    <x v="0"/>
    <x v="0"/>
  </r>
  <r>
    <x v="66"/>
    <m/>
    <m/>
    <m/>
    <m/>
    <m/>
    <m/>
    <m/>
    <m/>
    <m/>
    <m/>
    <m/>
    <x v="11"/>
    <d v="2015-12-31T17:28:00"/>
    <s v="Patch Set 9:\n\nPatchset Created: CI job has been scheduled."/>
    <m/>
    <m/>
    <s v="kaisa.taipale@intel.com"/>
    <x v="0"/>
    <x v="0"/>
    <s v=""/>
    <x v="2"/>
    <s v=""/>
    <s v=""/>
    <s v=""/>
    <s v=""/>
    <s v=""/>
    <s v=""/>
    <s v=""/>
    <x v="0"/>
    <x v="0"/>
    <x v="0"/>
  </r>
  <r>
    <x v="66"/>
    <m/>
    <m/>
    <m/>
    <m/>
    <m/>
    <m/>
    <m/>
    <m/>
    <m/>
    <m/>
    <m/>
    <x v="11"/>
    <d v="2015-12-31T20:19:00"/>
    <s v="Uploaded patch set 10: Patch Set 9 was rebased."/>
    <m/>
    <m/>
    <s v="kaisa.taipale@intel.com"/>
    <x v="0"/>
    <x v="0"/>
    <s v=""/>
    <x v="2"/>
    <s v=""/>
    <s v=""/>
    <s v=""/>
    <s v=""/>
    <s v=""/>
    <s v=""/>
    <s v=""/>
    <x v="0"/>
    <x v="0"/>
    <x v="0"/>
  </r>
  <r>
    <x v="66"/>
    <m/>
    <m/>
    <m/>
    <m/>
    <m/>
    <m/>
    <m/>
    <m/>
    <m/>
    <m/>
    <m/>
    <x v="11"/>
    <d v="2015-12-31T20:19:00"/>
    <s v="Patch Set 10:\n\nPatchset Created: CI job has been scheduled."/>
    <m/>
    <m/>
    <s v="kaisa.taipale@intel.com"/>
    <x v="0"/>
    <x v="0"/>
    <s v=""/>
    <x v="2"/>
    <s v=""/>
    <s v=""/>
    <s v=""/>
    <s v=""/>
    <s v=""/>
    <s v=""/>
    <s v=""/>
    <x v="0"/>
    <x v="0"/>
    <x v="0"/>
  </r>
  <r>
    <x v="66"/>
    <m/>
    <m/>
    <m/>
    <m/>
    <m/>
    <m/>
    <m/>
    <m/>
    <m/>
    <m/>
    <m/>
    <x v="11"/>
    <d v="2015-12-31T20:22:00"/>
    <s v="Uploaded patch set 11: Patch Set 10 was rebased."/>
    <m/>
    <m/>
    <s v="kaisa.taipale@intel.com"/>
    <x v="0"/>
    <x v="0"/>
    <s v=""/>
    <x v="2"/>
    <s v=""/>
    <s v=""/>
    <s v=""/>
    <s v=""/>
    <s v=""/>
    <s v=""/>
    <s v=""/>
    <x v="0"/>
    <x v="0"/>
    <x v="0"/>
  </r>
  <r>
    <x v="66"/>
    <m/>
    <m/>
    <m/>
    <m/>
    <m/>
    <m/>
    <m/>
    <m/>
    <m/>
    <m/>
    <m/>
    <x v="11"/>
    <d v="2015-12-31T20:22:00"/>
    <s v="Patch Set 11:\n\nPatchset Created: CI job has been scheduled."/>
    <m/>
    <m/>
    <s v="kaisa.taipale@intel.com"/>
    <x v="0"/>
    <x v="0"/>
    <s v=""/>
    <x v="2"/>
    <s v=""/>
    <s v=""/>
    <s v=""/>
    <s v=""/>
    <s v=""/>
    <s v=""/>
    <s v=""/>
    <x v="0"/>
    <x v="0"/>
    <x v="0"/>
  </r>
  <r>
    <x v="66"/>
    <m/>
    <m/>
    <m/>
    <m/>
    <m/>
    <m/>
    <m/>
    <m/>
    <m/>
    <m/>
    <m/>
    <x v="14"/>
    <d v="2015-12-31T21:05:00"/>
    <s v="Patch Set 11: Validation-Android+1\n\nreceive smoke test"/>
    <m/>
    <m/>
    <s v="kaisa.taipale@intel.com"/>
    <x v="0"/>
    <x v="5"/>
    <s v=""/>
    <x v="2"/>
    <s v=""/>
    <s v=""/>
    <s v=""/>
    <s v=""/>
    <s v=""/>
    <s v=""/>
    <s v=""/>
    <x v="0"/>
    <x v="1"/>
    <x v="0"/>
  </r>
  <r>
    <x v="66"/>
    <m/>
    <m/>
    <m/>
    <m/>
    <m/>
    <m/>
    <m/>
    <m/>
    <m/>
    <m/>
    <m/>
    <x v="9"/>
    <d v="2016-01-01T00:30:00"/>
    <s v="Patch Set 11:\n\nPassed Klocwork code analyzing test. No CRITICAL issue in this patch. Auto reported by kwscan@psi-build5.bj.intel.com"/>
    <m/>
    <m/>
    <s v="kaisa.taipale@intel.com"/>
    <x v="0"/>
    <x v="5"/>
    <s v=""/>
    <x v="2"/>
    <s v=""/>
    <s v=""/>
    <s v=""/>
    <s v=""/>
    <s v=""/>
    <s v=""/>
    <s v=""/>
    <x v="0"/>
    <x v="0"/>
    <x v="0"/>
  </r>
  <r>
    <x v="66"/>
    <m/>
    <m/>
    <m/>
    <m/>
    <m/>
    <m/>
    <m/>
    <m/>
    <m/>
    <m/>
    <m/>
    <x v="16"/>
    <d v="2016-01-04T16:09:00"/>
    <s v="Patch Set 11: Code-Review+1"/>
    <m/>
    <m/>
    <s v="kaisa.taipale@intel.com"/>
    <x v="0"/>
    <x v="4"/>
    <s v=""/>
    <x v="2"/>
    <s v=""/>
    <s v=""/>
    <s v=""/>
    <s v=""/>
    <s v=""/>
    <s v=""/>
    <s v=""/>
    <x v="0"/>
    <x v="0"/>
    <x v="0"/>
  </r>
  <r>
    <x v="66"/>
    <m/>
    <m/>
    <m/>
    <m/>
    <m/>
    <m/>
    <m/>
    <m/>
    <m/>
    <m/>
    <m/>
    <x v="11"/>
    <d v="2016-01-04T16:27:00"/>
    <s v="Uploaded patch set 12: Patch Set 11 was rebased."/>
    <m/>
    <m/>
    <s v="kaisa.taipale@intel.com"/>
    <x v="0"/>
    <x v="0"/>
    <s v=""/>
    <x v="2"/>
    <s v=""/>
    <s v=""/>
    <s v=""/>
    <s v=""/>
    <s v=""/>
    <s v=""/>
    <s v=""/>
    <x v="0"/>
    <x v="0"/>
    <x v="0"/>
  </r>
  <r>
    <x v="66"/>
    <m/>
    <m/>
    <m/>
    <m/>
    <m/>
    <m/>
    <m/>
    <m/>
    <m/>
    <m/>
    <m/>
    <x v="11"/>
    <d v="2016-01-04T16:27:00"/>
    <s v="Patch Set 12:\n\nPatchset Created: CI job has been scheduled."/>
    <m/>
    <m/>
    <s v="kaisa.taipale@intel.com"/>
    <x v="0"/>
    <x v="0"/>
    <s v=""/>
    <x v="2"/>
    <s v=""/>
    <s v=""/>
    <s v=""/>
    <s v=""/>
    <s v=""/>
    <s v=""/>
    <s v=""/>
    <x v="0"/>
    <x v="0"/>
    <x v="0"/>
  </r>
  <r>
    <x v="66"/>
    <m/>
    <m/>
    <m/>
    <m/>
    <m/>
    <m/>
    <m/>
    <m/>
    <m/>
    <m/>
    <m/>
    <x v="14"/>
    <d v="2016-01-04T16:29:00"/>
    <s v="Patch Set 12: Validation-Android+1\n\nreceive smoke test"/>
    <m/>
    <m/>
    <s v="kaisa.taipale@intel.com"/>
    <x v="0"/>
    <x v="5"/>
    <s v=""/>
    <x v="2"/>
    <s v=""/>
    <s v=""/>
    <s v=""/>
    <s v=""/>
    <s v=""/>
    <s v=""/>
    <s v=""/>
    <x v="0"/>
    <x v="1"/>
    <x v="0"/>
  </r>
  <r>
    <x v="66"/>
    <m/>
    <m/>
    <m/>
    <m/>
    <m/>
    <m/>
    <m/>
    <m/>
    <m/>
    <m/>
    <m/>
    <x v="6"/>
    <d v="2016-01-04T16:35:00"/>
    <s v="Patch Set 12: Approver+1"/>
    <m/>
    <m/>
    <s v="kaisa.taipale@intel.com"/>
    <x v="0"/>
    <x v="1"/>
    <s v=""/>
    <x v="2"/>
    <s v=""/>
    <s v=""/>
    <s v=""/>
    <s v=""/>
    <s v=""/>
    <s v=""/>
    <s v=""/>
    <x v="0"/>
    <x v="0"/>
    <x v="0"/>
  </r>
  <r>
    <x v="66"/>
    <m/>
    <m/>
    <m/>
    <m/>
    <m/>
    <m/>
    <m/>
    <m/>
    <m/>
    <m/>
    <m/>
    <x v="6"/>
    <d v="2016-01-04T16:37:00"/>
    <s v="Topic changed from ny to bxt_preint"/>
    <m/>
    <m/>
    <s v="kaisa.taipale@intel.com"/>
    <x v="0"/>
    <x v="1"/>
    <s v=""/>
    <x v="2"/>
    <s v=""/>
    <s v=""/>
    <s v=""/>
    <s v=""/>
    <s v=""/>
    <s v=""/>
    <s v=""/>
    <x v="0"/>
    <x v="0"/>
    <x v="0"/>
  </r>
  <r>
    <x v="66"/>
    <m/>
    <m/>
    <m/>
    <m/>
    <m/>
    <m/>
    <m/>
    <m/>
    <m/>
    <m/>
    <m/>
    <x v="9"/>
    <d v="2016-01-05T14:22:00"/>
    <s v="Patch Set 12: Integrator+1\n\nIntegrator +1; patch will be add to PT; please no change now"/>
    <m/>
    <m/>
    <s v="kaisa.taipale@intel.com"/>
    <x v="0"/>
    <x v="5"/>
    <s v=""/>
    <x v="2"/>
    <s v=""/>
    <s v=""/>
    <s v=""/>
    <s v=""/>
    <s v=""/>
    <s v=""/>
    <s v=""/>
    <x v="0"/>
    <x v="1"/>
    <x v="0"/>
  </r>
  <r>
    <x v="66"/>
    <m/>
    <m/>
    <m/>
    <m/>
    <m/>
    <m/>
    <m/>
    <m/>
    <m/>
    <m/>
    <m/>
    <x v="9"/>
    <d v="2016-01-05T18:03:00"/>
    <s v="Patch Set 12:\n\nPassed Klocwork code analyzing test. No CRITICAL issue in this patch. Auto reported by kwscan@andr-val-srv0.bj.intel.com"/>
    <m/>
    <m/>
    <s v="kaisa.taipale@intel.com"/>
    <x v="0"/>
    <x v="5"/>
    <s v=""/>
    <x v="2"/>
    <s v=""/>
    <s v=""/>
    <s v=""/>
    <s v=""/>
    <s v=""/>
    <s v=""/>
    <s v=""/>
    <x v="0"/>
    <x v="0"/>
    <x v="0"/>
  </r>
  <r>
    <x v="66"/>
    <m/>
    <m/>
    <m/>
    <m/>
    <m/>
    <m/>
    <m/>
    <m/>
    <m/>
    <m/>
    <m/>
    <x v="9"/>
    <d v="2016-01-06T15:32:00"/>
    <s v="Patch Set 12: Integrator-1\n\nBXT PIT block; so patch nogo all"/>
    <m/>
    <m/>
    <s v="kaisa.taipale@intel.com"/>
    <x v="0"/>
    <x v="5"/>
    <s v=""/>
    <x v="2"/>
    <s v=""/>
    <s v=""/>
    <s v=""/>
    <s v=""/>
    <s v=""/>
    <s v=""/>
    <s v=""/>
    <x v="0"/>
    <x v="1"/>
    <x v="0"/>
  </r>
  <r>
    <x v="66"/>
    <m/>
    <m/>
    <m/>
    <m/>
    <m/>
    <m/>
    <m/>
    <m/>
    <m/>
    <m/>
    <m/>
    <x v="9"/>
    <d v="2016-01-06T15:38:00"/>
    <s v="Patch Set 12: Integrator+1\n\nIntegrator +1; patch will be add to PT; please no change now"/>
    <m/>
    <m/>
    <s v="kaisa.taipale@intel.com"/>
    <x v="0"/>
    <x v="5"/>
    <s v=""/>
    <x v="2"/>
    <s v=""/>
    <s v=""/>
    <s v=""/>
    <s v=""/>
    <s v=""/>
    <s v=""/>
    <s v=""/>
    <x v="0"/>
    <x v="1"/>
    <x v="0"/>
  </r>
  <r>
    <x v="66"/>
    <m/>
    <m/>
    <m/>
    <m/>
    <m/>
    <m/>
    <m/>
    <m/>
    <m/>
    <m/>
    <m/>
    <x v="9"/>
    <d v="2016-01-06T19:38:00"/>
    <s v="Patch Set 12:\n\nPassed Klocwork code analyzing test. No CRITICAL issue in this patch. Auto reported by kwscan@andr-val-srv0.bj.intel.com"/>
    <m/>
    <m/>
    <s v="kaisa.taipale@intel.com"/>
    <x v="0"/>
    <x v="5"/>
    <s v=""/>
    <x v="2"/>
    <s v=""/>
    <s v=""/>
    <s v=""/>
    <s v=""/>
    <s v=""/>
    <s v=""/>
    <s v=""/>
    <x v="0"/>
    <x v="0"/>
    <x v="0"/>
  </r>
  <r>
    <x v="66"/>
    <m/>
    <m/>
    <m/>
    <m/>
    <m/>
    <m/>
    <m/>
    <m/>
    <m/>
    <m/>
    <m/>
    <x v="9"/>
    <d v="2016-01-07T17:26:00"/>
    <s v="Patch Set 12: Code-Review+1\n\nPassed PIT; ready for merge"/>
    <m/>
    <m/>
    <s v="kaisa.taipale@intel.com"/>
    <x v="0"/>
    <x v="5"/>
    <s v=""/>
    <x v="2"/>
    <s v=""/>
    <s v=""/>
    <s v=""/>
    <s v=""/>
    <s v=""/>
    <s v=""/>
    <s v=""/>
    <x v="0"/>
    <x v="0"/>
    <x v="0"/>
  </r>
  <r>
    <x v="67"/>
    <n v="92983"/>
    <s v="vied-viedandr-camera3hal"/>
    <s v="platform/android/main"/>
    <s v="I6b00c6afec9ec2e6d83a2ed0df55914d76a10a24"/>
    <s v="lassi.i.vaatamoinen@intel.com"/>
    <s v="MERGED"/>
    <s v="c3: Pick metadata header based on PLATFORM_VERSION"/>
    <s v="c3: Pick metadata header based on PLATFORM_VERSION\n\nPreviously we picked the metadata by mapping the PLATFORM_VERSION\nvariable value to our local directory name. While it was feasible;\nit added the extra burden of maintaining the mapping in Android.mk.\n\nWith this change; we place the metadata to a directory named\nwith the value of $PLATFORM_VERSION. So with each Android release\nwe only need to generate the metadata and add it to the proper\nsubdir.\n\nAlso changing the 'm_mr0' directory to '6.0'; so we only\nneed to keep the old name mapping for L-dessert.\n\nChange-Id: I6b00c6afec9ec2e6d83a2ed0df55914d76a10a24\nTracked-On: #R506380\nSigned-off-by: Lassi V盲盲t盲m枚inen &lt;lassi.i.vaatamoinen@intel.com&gt;\nReviewed-on: https://icggerrit.ir.intel.com/92983\nReviewed-by: Miguel Verdu &lt;miguel.verdu@intel.com&gt;\nReviewed-by: Jukka O Kaartinen &lt;jukka.o.kaartinen@intel.com&gt;\nReviewed-by: Juha Alanen &lt;juha.alanen@intel.com&gt;\nReviewed-by: Renwei Wu &lt;renwei.wu@intel.com&gt;\nBuild: Dessert M BXT RVP (SC)\nValidation-Android: Wei Tao &lt;wei.tao@intel.com&gt;\nBuild: Dessert M SOFIA (SC)\nBuild: Dessert M CHT FFD (SC)\nReviewed-by: Jingzhi Yu &lt;jingzhi.yu@intel.com&gt;\nApprover: John Mathew &lt;john.mathew@intel.com&gt;\nIntegrator: WeiX Meng &lt;weix.meng@intel.com&gt;\nReviewed-by: WeiX Meng &lt;weix.meng@intel.com&gt;\n"/>
    <d v="2015-12-31T19:37:00"/>
    <d v="2016-01-07T17:26:00"/>
    <s v="common"/>
    <x v="12"/>
    <d v="2015-12-31T19:37:00"/>
    <s v="Uploaded patch set 1."/>
    <m/>
    <s v="weix.meng@intel.com;ukri.niemimuukko@intel.com;john.mathew@intel.com;jingzhi.yu@intel.com;renwei.wu@intel.com;juha.alanen@intel.com;jukka.o.kaartinen@intel.com;miguel.verdu@intel.com;"/>
    <s v="lassi.i.vaatamoinen@intel.com"/>
    <x v="0"/>
    <x v="0"/>
    <s v="16'ww2"/>
    <x v="2"/>
    <n v="0"/>
    <n v="0"/>
    <n v="0"/>
    <n v="0"/>
    <n v="1"/>
    <n v="5"/>
    <n v="1"/>
    <x v="0"/>
    <x v="0"/>
    <x v="0"/>
  </r>
  <r>
    <x v="67"/>
    <m/>
    <m/>
    <m/>
    <m/>
    <m/>
    <m/>
    <m/>
    <m/>
    <m/>
    <m/>
    <m/>
    <x v="12"/>
    <d v="2015-12-31T19:37:00"/>
    <s v="Patch Set 1:\n\nPatchset Created: CI job has been scheduled."/>
    <m/>
    <m/>
    <s v="lassi.i.vaatamoinen@intel.com"/>
    <x v="0"/>
    <x v="0"/>
    <s v=""/>
    <x v="2"/>
    <s v=""/>
    <s v=""/>
    <s v=""/>
    <s v=""/>
    <s v=""/>
    <s v=""/>
    <s v=""/>
    <x v="0"/>
    <x v="0"/>
    <x v="0"/>
  </r>
  <r>
    <x v="67"/>
    <m/>
    <m/>
    <m/>
    <m/>
    <m/>
    <m/>
    <m/>
    <m/>
    <m/>
    <m/>
    <m/>
    <x v="12"/>
    <d v="2015-12-31T19:40:00"/>
    <s v="Patch Set 1: Code-Review+1\n\n(2 comments)"/>
    <s v="line27 :&quot;Not a big fan of this; but I would not want to risk breaking the L-dessert at this point by renaming dirs.&quot; line0 :&quot;dir rename m_mr0 -&gt; 6.0. Should be ok; as checked from git log:\n\n- PLATFORM_VERSION := 6.0.1\n+ PLATFORM_VERSION := 6.0&quot;"/>
    <m/>
    <s v="lassi.i.vaatamoinen@intel.com"/>
    <x v="0"/>
    <x v="0"/>
    <s v=""/>
    <x v="2"/>
    <s v=""/>
    <s v=""/>
    <s v=""/>
    <s v=""/>
    <s v=""/>
    <s v=""/>
    <s v=""/>
    <x v="0"/>
    <x v="0"/>
    <x v="0"/>
  </r>
  <r>
    <x v="67"/>
    <m/>
    <m/>
    <m/>
    <m/>
    <m/>
    <m/>
    <m/>
    <m/>
    <m/>
    <m/>
    <m/>
    <x v="12"/>
    <d v="2015-12-31T19:42:00"/>
    <s v="Uploaded patch set 2."/>
    <m/>
    <m/>
    <s v="lassi.i.vaatamoinen@intel.com"/>
    <x v="0"/>
    <x v="0"/>
    <s v=""/>
    <x v="2"/>
    <s v=""/>
    <s v=""/>
    <s v=""/>
    <s v=""/>
    <s v=""/>
    <s v=""/>
    <s v=""/>
    <x v="0"/>
    <x v="0"/>
    <x v="0"/>
  </r>
  <r>
    <x v="67"/>
    <m/>
    <m/>
    <m/>
    <m/>
    <m/>
    <m/>
    <m/>
    <m/>
    <m/>
    <m/>
    <m/>
    <x v="12"/>
    <d v="2015-12-31T19:42:00"/>
    <s v="Patch Set 2:\n\nPatchset Created: CI job has been scheduled."/>
    <m/>
    <m/>
    <s v="lassi.i.vaatamoinen@intel.com"/>
    <x v="0"/>
    <x v="0"/>
    <s v=""/>
    <x v="2"/>
    <s v=""/>
    <s v=""/>
    <s v=""/>
    <s v=""/>
    <s v=""/>
    <s v=""/>
    <s v=""/>
    <x v="0"/>
    <x v="0"/>
    <x v="0"/>
  </r>
  <r>
    <x v="67"/>
    <m/>
    <m/>
    <m/>
    <m/>
    <m/>
    <m/>
    <m/>
    <m/>
    <m/>
    <m/>
    <m/>
    <x v="12"/>
    <d v="2015-12-31T19:44:00"/>
    <s v="Patch Set 2: Code-Review+1\n\n(2 comments)"/>
    <s v="line0 :&quot;https://icggerrit.ir.intel.com/#/c/92983/1/platformdata/metadataAutoGen/6.0/MetadataInfoAutoGen.h&quot; line27 :&quot;https://icggerrit.ir.intel.com/#/c/92983/1/Android.mk&quot;"/>
    <m/>
    <s v="lassi.i.vaatamoinen@intel.com"/>
    <x v="0"/>
    <x v="0"/>
    <s v=""/>
    <x v="2"/>
    <s v=""/>
    <s v=""/>
    <s v=""/>
    <s v=""/>
    <s v=""/>
    <s v=""/>
    <s v=""/>
    <x v="0"/>
    <x v="0"/>
    <x v="0"/>
  </r>
  <r>
    <x v="67"/>
    <m/>
    <m/>
    <m/>
    <m/>
    <m/>
    <m/>
    <m/>
    <m/>
    <m/>
    <m/>
    <m/>
    <x v="0"/>
    <d v="2015-12-31T19:50:00"/>
    <s v="Patch Set 2: Code-Review+1"/>
    <m/>
    <m/>
    <s v="lassi.i.vaatamoinen@intel.com"/>
    <x v="0"/>
    <x v="1"/>
    <s v=""/>
    <x v="2"/>
    <s v=""/>
    <s v=""/>
    <s v=""/>
    <s v=""/>
    <s v=""/>
    <s v=""/>
    <s v=""/>
    <x v="0"/>
    <x v="0"/>
    <x v="0"/>
  </r>
  <r>
    <x v="67"/>
    <m/>
    <m/>
    <m/>
    <m/>
    <m/>
    <m/>
    <m/>
    <m/>
    <m/>
    <m/>
    <m/>
    <x v="2"/>
    <d v="2015-12-31T20:09:00"/>
    <s v="Patch Set 2: Code-Review+1"/>
    <m/>
    <m/>
    <s v="lassi.i.vaatamoinen@intel.com"/>
    <x v="0"/>
    <x v="1"/>
    <s v=""/>
    <x v="2"/>
    <s v=""/>
    <s v=""/>
    <s v=""/>
    <s v=""/>
    <s v=""/>
    <s v=""/>
    <s v=""/>
    <x v="0"/>
    <x v="0"/>
    <x v="0"/>
  </r>
  <r>
    <x v="67"/>
    <m/>
    <m/>
    <m/>
    <m/>
    <m/>
    <m/>
    <m/>
    <m/>
    <m/>
    <m/>
    <m/>
    <x v="5"/>
    <d v="2015-12-31T20:13:00"/>
    <s v="Patch Set 2: Code-Review+1"/>
    <m/>
    <m/>
    <s v="lassi.i.vaatamoinen@intel.com"/>
    <x v="0"/>
    <x v="1"/>
    <s v=""/>
    <x v="2"/>
    <s v=""/>
    <s v=""/>
    <s v=""/>
    <s v=""/>
    <s v=""/>
    <s v=""/>
    <s v=""/>
    <x v="0"/>
    <x v="0"/>
    <x v="0"/>
  </r>
  <r>
    <x v="67"/>
    <m/>
    <m/>
    <m/>
    <m/>
    <m/>
    <m/>
    <m/>
    <m/>
    <m/>
    <m/>
    <m/>
    <x v="3"/>
    <d v="2015-12-31T21:02:00"/>
    <s v="Patch Set 2: Code-Review+1"/>
    <m/>
    <m/>
    <s v="lassi.i.vaatamoinen@intel.com"/>
    <x v="0"/>
    <x v="2"/>
    <s v=""/>
    <x v="2"/>
    <s v=""/>
    <s v=""/>
    <s v=""/>
    <s v=""/>
    <s v=""/>
    <s v=""/>
    <s v=""/>
    <x v="0"/>
    <x v="0"/>
    <x v="0"/>
  </r>
  <r>
    <x v="67"/>
    <m/>
    <m/>
    <m/>
    <m/>
    <m/>
    <m/>
    <m/>
    <m/>
    <m/>
    <m/>
    <m/>
    <x v="14"/>
    <d v="2015-12-31T22:37:00"/>
    <s v="Patch Set 2: Validation-Android+1\n\nreceive smoke test"/>
    <m/>
    <m/>
    <s v="lassi.i.vaatamoinen@intel.com"/>
    <x v="0"/>
    <x v="5"/>
    <s v=""/>
    <x v="2"/>
    <s v=""/>
    <s v=""/>
    <s v=""/>
    <s v=""/>
    <s v=""/>
    <s v=""/>
    <s v=""/>
    <x v="0"/>
    <x v="1"/>
    <x v="0"/>
  </r>
  <r>
    <x v="67"/>
    <m/>
    <m/>
    <m/>
    <m/>
    <m/>
    <m/>
    <m/>
    <m/>
    <m/>
    <m/>
    <m/>
    <x v="16"/>
    <d v="2016-01-04T10:20:00"/>
    <s v="Patch Set 2: Code-Review+1"/>
    <m/>
    <m/>
    <s v="lassi.i.vaatamoinen@intel.com"/>
    <x v="0"/>
    <x v="4"/>
    <s v=""/>
    <x v="2"/>
    <s v=""/>
    <s v=""/>
    <s v=""/>
    <s v=""/>
    <s v=""/>
    <s v=""/>
    <s v=""/>
    <x v="0"/>
    <x v="0"/>
    <x v="0"/>
  </r>
  <r>
    <x v="67"/>
    <m/>
    <m/>
    <m/>
    <m/>
    <m/>
    <m/>
    <m/>
    <m/>
    <m/>
    <m/>
    <m/>
    <x v="8"/>
    <d v="2016-01-04T16:05:00"/>
    <s v="Patch Set 2: Approver+1"/>
    <m/>
    <m/>
    <s v="lassi.i.vaatamoinen@intel.com"/>
    <x v="0"/>
    <x v="1"/>
    <s v=""/>
    <x v="2"/>
    <s v=""/>
    <s v=""/>
    <s v=""/>
    <s v=""/>
    <s v=""/>
    <s v=""/>
    <s v=""/>
    <x v="0"/>
    <x v="0"/>
    <x v="0"/>
  </r>
  <r>
    <x v="67"/>
    <m/>
    <m/>
    <m/>
    <m/>
    <m/>
    <m/>
    <m/>
    <m/>
    <m/>
    <m/>
    <m/>
    <x v="12"/>
    <d v="2016-01-04T16:06:00"/>
    <s v="Topic changed from metadata to bxt_preint_HEAD"/>
    <m/>
    <m/>
    <s v="lassi.i.vaatamoinen@intel.com"/>
    <x v="0"/>
    <x v="0"/>
    <s v=""/>
    <x v="2"/>
    <s v=""/>
    <s v=""/>
    <s v=""/>
    <s v=""/>
    <s v=""/>
    <s v=""/>
    <s v=""/>
    <x v="0"/>
    <x v="0"/>
    <x v="0"/>
  </r>
  <r>
    <x v="67"/>
    <m/>
    <m/>
    <m/>
    <m/>
    <m/>
    <m/>
    <m/>
    <m/>
    <m/>
    <m/>
    <m/>
    <x v="6"/>
    <d v="2016-01-04T16:37:00"/>
    <s v="Topic changed from bxt_preint_HEAD to bxt_preint"/>
    <m/>
    <m/>
    <s v="lassi.i.vaatamoinen@intel.com"/>
    <x v="0"/>
    <x v="1"/>
    <s v=""/>
    <x v="2"/>
    <s v=""/>
    <s v=""/>
    <s v=""/>
    <s v=""/>
    <s v=""/>
    <s v=""/>
    <s v=""/>
    <x v="0"/>
    <x v="0"/>
    <x v="0"/>
  </r>
  <r>
    <x v="67"/>
    <m/>
    <m/>
    <m/>
    <m/>
    <m/>
    <m/>
    <m/>
    <m/>
    <m/>
    <m/>
    <m/>
    <x v="9"/>
    <d v="2016-01-05T14:21:00"/>
    <s v="Patch Set 2: Integrator+1\n\nIntegrator +1; patch will be add to PT; please no change now"/>
    <m/>
    <m/>
    <s v="lassi.i.vaatamoinen@intel.com"/>
    <x v="0"/>
    <x v="5"/>
    <s v=""/>
    <x v="2"/>
    <s v=""/>
    <s v=""/>
    <s v=""/>
    <s v=""/>
    <s v=""/>
    <s v=""/>
    <s v=""/>
    <x v="0"/>
    <x v="1"/>
    <x v="0"/>
  </r>
  <r>
    <x v="67"/>
    <m/>
    <m/>
    <m/>
    <m/>
    <m/>
    <m/>
    <m/>
    <m/>
    <m/>
    <m/>
    <m/>
    <x v="9"/>
    <d v="2016-01-05T18:02:00"/>
    <s v="Patch Set 2:\n\nPassed Klocwork code analyzing test. No CRITICAL issue in this patch. Auto reported by kwscan@andr-val-srv0.bj.intel.com"/>
    <m/>
    <m/>
    <s v="lassi.i.vaatamoinen@intel.com"/>
    <x v="0"/>
    <x v="5"/>
    <s v=""/>
    <x v="2"/>
    <s v=""/>
    <s v=""/>
    <s v=""/>
    <s v=""/>
    <s v=""/>
    <s v=""/>
    <s v=""/>
    <x v="0"/>
    <x v="0"/>
    <x v="0"/>
  </r>
  <r>
    <x v="67"/>
    <m/>
    <m/>
    <m/>
    <m/>
    <m/>
    <m/>
    <m/>
    <m/>
    <m/>
    <m/>
    <m/>
    <x v="9"/>
    <d v="2016-01-06T15:31:00"/>
    <s v="Patch Set 2: Integrator-1\n\nBXT PIT block; so patch nogo all"/>
    <m/>
    <m/>
    <s v="lassi.i.vaatamoinen@intel.com"/>
    <x v="0"/>
    <x v="5"/>
    <s v=""/>
    <x v="2"/>
    <s v=""/>
    <s v=""/>
    <s v=""/>
    <s v=""/>
    <s v=""/>
    <s v=""/>
    <s v=""/>
    <x v="0"/>
    <x v="1"/>
    <x v="0"/>
  </r>
  <r>
    <x v="67"/>
    <m/>
    <m/>
    <m/>
    <m/>
    <m/>
    <m/>
    <m/>
    <m/>
    <m/>
    <m/>
    <m/>
    <x v="9"/>
    <d v="2016-01-06T15:37:00"/>
    <s v="Patch Set 2: Integrator+1\n\nIntegrator +1; patch will be add to PT; please no change now"/>
    <m/>
    <m/>
    <s v="lassi.i.vaatamoinen@intel.com"/>
    <x v="0"/>
    <x v="5"/>
    <s v=""/>
    <x v="2"/>
    <s v=""/>
    <s v=""/>
    <s v=""/>
    <s v=""/>
    <s v=""/>
    <s v=""/>
    <s v=""/>
    <x v="0"/>
    <x v="1"/>
    <x v="0"/>
  </r>
  <r>
    <x v="67"/>
    <m/>
    <m/>
    <m/>
    <m/>
    <m/>
    <m/>
    <m/>
    <m/>
    <m/>
    <m/>
    <m/>
    <x v="9"/>
    <d v="2016-01-06T19:37:00"/>
    <s v="Patch Set 2:\n\nPassed Klocwork code analyzing test. No CRITICAL issue in this patch. Auto reported by kwscan@andr-val-srv0.bj.intel.com"/>
    <m/>
    <m/>
    <s v="lassi.i.vaatamoinen@intel.com"/>
    <x v="0"/>
    <x v="5"/>
    <s v=""/>
    <x v="2"/>
    <s v=""/>
    <s v=""/>
    <s v=""/>
    <s v=""/>
    <s v=""/>
    <s v=""/>
    <s v=""/>
    <x v="0"/>
    <x v="0"/>
    <x v="0"/>
  </r>
  <r>
    <x v="67"/>
    <m/>
    <m/>
    <m/>
    <m/>
    <m/>
    <m/>
    <m/>
    <m/>
    <m/>
    <m/>
    <m/>
    <x v="9"/>
    <d v="2016-01-07T17:25:00"/>
    <s v="Patch Set 2: Code-Review+1\n\nPassed PIT; ready for merge"/>
    <m/>
    <m/>
    <s v="lassi.i.vaatamoinen@intel.com"/>
    <x v="0"/>
    <x v="5"/>
    <s v=""/>
    <x v="2"/>
    <s v=""/>
    <s v=""/>
    <s v=""/>
    <s v=""/>
    <s v=""/>
    <s v=""/>
    <s v=""/>
    <x v="0"/>
    <x v="0"/>
    <x v="0"/>
  </r>
  <r>
    <x v="68"/>
    <n v="92969"/>
    <s v="vied-viedandr-camera3hal"/>
    <s v="platform/android/main"/>
    <s v="Ie32d401afc9ce89cc759c4baeef8652dd8fcefc6"/>
    <s v="miguel.verdu@intel.com"/>
    <s v="MERGED"/>
    <s v="c3:tools: fix static table generation"/>
    <s v="c3:tools: fix static table generation\n\nThe tool that generates the table of static metadata\ntags was using a method that collapses all entries\nin one section (find_unique_entries).\nA side effect of this is that in case that the same\nentry is in 2 kinds (static and (dynamic or control))\nthe static tag will not be detected.\n\nThis is now the case of 2 new depth tags like:\nlens.intrinsicCalibration\nlens.radialDistortion\n\nThis patch iterates through each section manually.\n\nChange-Id: Ie32d401afc9ce89cc759c4baeef8652dd8fcefc6\nTracked-On: #R506380\nSigned-off-by: Miguel Verdu &lt;miguel.verdu@intel.com&gt;\nSigned-off-by: Lassi V盲盲t盲m枚inen &lt;lassi.i.vaatamoinen@intel.com&gt;\nReviewed-on: https://icggerrit.ir.intel.com/92969\nReviewed-by: Jukka O Kaartinen &lt;jukka.o.kaartinen@intel.com&gt;\nReviewed-by: Juha Alanen &lt;juha.alanen@intel.com&gt;\nBuild: Dessert M BXT RVP (SC)\nValidation-Android: Wei Tao &lt;wei.tao@intel.com&gt;\nBuild: Dessert M SOFIA (SC)\nBuild: Dessert M CHT FFD (SC)\nValidation-Android: Dessert M CHT FFD (SC)\nReviewed-by: Jingzhi Yu &lt;jingzhi.yu@intel.com&gt;\nApprover: John Mathew &lt;john.mathew@intel.com&gt;\nIntegrator: WeiX Meng &lt;weix.meng@intel.com&gt;\nReviewed-by: WeiX Meng &lt;weix.meng@intel.com&gt;\n"/>
    <d v="2015-12-31T16:18:00"/>
    <d v="2016-01-07T17:24:00"/>
    <s v="common"/>
    <x v="0"/>
    <d v="2015-12-31T16:18:00"/>
    <s v="Uploaded patch set 1."/>
    <m/>
    <s v="weix.meng@intel.com;john.mathew@intel.com;jingzhi.yu@intel.com;juha.alanen@intel.com;jukka.o.kaartinen@intel.com;lassi.i.vaatamoinen@intel.com;"/>
    <s v="miguel.verdu@intel.com"/>
    <x v="0"/>
    <x v="0"/>
    <s v="16'ww2"/>
    <x v="2"/>
    <n v="0"/>
    <n v="0"/>
    <n v="0"/>
    <n v="0"/>
    <n v="1"/>
    <n v="7"/>
    <n v="0"/>
    <x v="0"/>
    <x v="0"/>
    <x v="0"/>
  </r>
  <r>
    <x v="68"/>
    <m/>
    <m/>
    <m/>
    <m/>
    <m/>
    <m/>
    <m/>
    <m/>
    <m/>
    <m/>
    <m/>
    <x v="0"/>
    <d v="2015-12-31T16:18:00"/>
    <s v="Patch Set 1:\n\nPatchset Created: CI job has been scheduled."/>
    <m/>
    <m/>
    <s v="miguel.verdu@intel.com"/>
    <x v="0"/>
    <x v="0"/>
    <s v=""/>
    <x v="2"/>
    <s v=""/>
    <s v=""/>
    <s v=""/>
    <s v=""/>
    <s v=""/>
    <s v=""/>
    <s v=""/>
    <x v="0"/>
    <x v="0"/>
    <x v="0"/>
  </r>
  <r>
    <x v="68"/>
    <m/>
    <m/>
    <m/>
    <m/>
    <m/>
    <m/>
    <m/>
    <m/>
    <m/>
    <m/>
    <m/>
    <x v="0"/>
    <d v="2015-12-31T16:30:00"/>
    <s v="Patch Set 1: Code-Review+1"/>
    <m/>
    <m/>
    <s v="miguel.verdu@intel.com"/>
    <x v="0"/>
    <x v="0"/>
    <s v=""/>
    <x v="2"/>
    <s v=""/>
    <s v=""/>
    <s v=""/>
    <s v=""/>
    <s v=""/>
    <s v=""/>
    <s v=""/>
    <x v="0"/>
    <x v="0"/>
    <x v="0"/>
  </r>
  <r>
    <x v="68"/>
    <m/>
    <m/>
    <m/>
    <m/>
    <m/>
    <m/>
    <m/>
    <m/>
    <m/>
    <m/>
    <m/>
    <x v="0"/>
    <d v="2015-12-31T18:59:00"/>
    <s v="Patch Set 2:\n\nPatchset Created: CI job has been scheduled."/>
    <m/>
    <m/>
    <s v="miguel.verdu@intel.com"/>
    <x v="0"/>
    <x v="0"/>
    <s v=""/>
    <x v="2"/>
    <s v=""/>
    <s v=""/>
    <s v=""/>
    <s v=""/>
    <s v=""/>
    <s v=""/>
    <s v=""/>
    <x v="0"/>
    <x v="0"/>
    <x v="0"/>
  </r>
  <r>
    <x v="68"/>
    <m/>
    <m/>
    <m/>
    <m/>
    <m/>
    <m/>
    <m/>
    <m/>
    <m/>
    <m/>
    <m/>
    <x v="0"/>
    <d v="2015-12-31T18:59:00"/>
    <s v="Uploaded patch set 2: Patch Set 1 was rebased."/>
    <m/>
    <m/>
    <s v="miguel.verdu@intel.com"/>
    <x v="0"/>
    <x v="0"/>
    <s v=""/>
    <x v="2"/>
    <s v=""/>
    <s v=""/>
    <s v=""/>
    <s v=""/>
    <s v=""/>
    <s v=""/>
    <s v=""/>
    <x v="0"/>
    <x v="0"/>
    <x v="0"/>
  </r>
  <r>
    <x v="68"/>
    <m/>
    <m/>
    <m/>
    <m/>
    <m/>
    <m/>
    <m/>
    <m/>
    <m/>
    <m/>
    <m/>
    <x v="12"/>
    <d v="2015-12-31T19:37:00"/>
    <s v="Uploaded patch set 3."/>
    <m/>
    <m/>
    <s v="miguel.verdu@intel.com"/>
    <x v="0"/>
    <x v="1"/>
    <s v=""/>
    <x v="2"/>
    <s v=""/>
    <s v=""/>
    <s v=""/>
    <s v=""/>
    <s v=""/>
    <s v=""/>
    <s v=""/>
    <x v="0"/>
    <x v="0"/>
    <x v="0"/>
  </r>
  <r>
    <x v="68"/>
    <m/>
    <m/>
    <m/>
    <m/>
    <m/>
    <m/>
    <m/>
    <m/>
    <m/>
    <m/>
    <m/>
    <x v="12"/>
    <d v="2015-12-31T19:37:00"/>
    <s v="Patch Set 3:\n\nPatchset Created: CI job has been scheduled."/>
    <m/>
    <m/>
    <s v="miguel.verdu@intel.com"/>
    <x v="0"/>
    <x v="1"/>
    <s v=""/>
    <x v="2"/>
    <s v=""/>
    <s v=""/>
    <s v=""/>
    <s v=""/>
    <s v=""/>
    <s v=""/>
    <s v=""/>
    <x v="0"/>
    <x v="0"/>
    <x v="0"/>
  </r>
  <r>
    <x v="68"/>
    <m/>
    <m/>
    <m/>
    <m/>
    <m/>
    <m/>
    <m/>
    <m/>
    <m/>
    <m/>
    <m/>
    <x v="12"/>
    <d v="2015-12-31T19:41:00"/>
    <s v="Patch Set 3: Code-Review+1"/>
    <m/>
    <m/>
    <s v="miguel.verdu@intel.com"/>
    <x v="0"/>
    <x v="1"/>
    <s v=""/>
    <x v="2"/>
    <s v=""/>
    <s v=""/>
    <s v=""/>
    <s v=""/>
    <s v=""/>
    <s v=""/>
    <s v=""/>
    <x v="0"/>
    <x v="0"/>
    <x v="0"/>
  </r>
  <r>
    <x v="68"/>
    <m/>
    <m/>
    <m/>
    <m/>
    <m/>
    <m/>
    <m/>
    <m/>
    <m/>
    <m/>
    <m/>
    <x v="2"/>
    <d v="2015-12-31T20:34:00"/>
    <s v="Patch Set 3: Code-Review+1"/>
    <m/>
    <m/>
    <s v="miguel.verdu@intel.com"/>
    <x v="0"/>
    <x v="1"/>
    <s v=""/>
    <x v="2"/>
    <s v=""/>
    <s v=""/>
    <s v=""/>
    <s v=""/>
    <s v=""/>
    <s v=""/>
    <s v=""/>
    <x v="0"/>
    <x v="0"/>
    <x v="0"/>
  </r>
  <r>
    <x v="68"/>
    <m/>
    <m/>
    <m/>
    <m/>
    <m/>
    <m/>
    <m/>
    <m/>
    <m/>
    <m/>
    <m/>
    <x v="5"/>
    <d v="2015-12-31T20:46:00"/>
    <s v="Patch Set 3: Code-Review+1"/>
    <m/>
    <m/>
    <s v="miguel.verdu@intel.com"/>
    <x v="0"/>
    <x v="1"/>
    <s v=""/>
    <x v="2"/>
    <s v=""/>
    <s v=""/>
    <s v=""/>
    <s v=""/>
    <s v=""/>
    <s v=""/>
    <s v=""/>
    <x v="0"/>
    <x v="0"/>
    <x v="0"/>
  </r>
  <r>
    <x v="68"/>
    <m/>
    <m/>
    <m/>
    <m/>
    <m/>
    <m/>
    <m/>
    <m/>
    <m/>
    <m/>
    <m/>
    <x v="14"/>
    <d v="2015-12-31T22:37:00"/>
    <s v="Patch Set 3: Validation-Android+1\n\nreceive smoke test"/>
    <m/>
    <m/>
    <s v="miguel.verdu@intel.com"/>
    <x v="0"/>
    <x v="5"/>
    <s v=""/>
    <x v="2"/>
    <s v=""/>
    <s v=""/>
    <s v=""/>
    <s v=""/>
    <s v=""/>
    <s v=""/>
    <s v=""/>
    <x v="0"/>
    <x v="1"/>
    <x v="0"/>
  </r>
  <r>
    <x v="68"/>
    <m/>
    <m/>
    <m/>
    <m/>
    <m/>
    <m/>
    <m/>
    <m/>
    <m/>
    <m/>
    <m/>
    <x v="16"/>
    <d v="2016-01-04T10:53:00"/>
    <s v="Patch Set 3: Code-Review+1"/>
    <m/>
    <m/>
    <s v="miguel.verdu@intel.com"/>
    <x v="0"/>
    <x v="4"/>
    <s v=""/>
    <x v="2"/>
    <s v=""/>
    <s v=""/>
    <s v=""/>
    <s v=""/>
    <s v=""/>
    <s v=""/>
    <s v=""/>
    <x v="0"/>
    <x v="0"/>
    <x v="0"/>
  </r>
  <r>
    <x v="68"/>
    <m/>
    <m/>
    <m/>
    <m/>
    <m/>
    <m/>
    <m/>
    <m/>
    <m/>
    <m/>
    <m/>
    <x v="8"/>
    <d v="2016-01-04T16:05:00"/>
    <s v="Patch Set 3: Approver+1"/>
    <m/>
    <m/>
    <s v="miguel.verdu@intel.com"/>
    <x v="0"/>
    <x v="1"/>
    <s v=""/>
    <x v="2"/>
    <s v=""/>
    <s v=""/>
    <s v=""/>
    <s v=""/>
    <s v=""/>
    <s v=""/>
    <s v=""/>
    <x v="0"/>
    <x v="0"/>
    <x v="0"/>
  </r>
  <r>
    <x v="68"/>
    <m/>
    <m/>
    <m/>
    <m/>
    <m/>
    <m/>
    <m/>
    <m/>
    <m/>
    <m/>
    <m/>
    <x v="12"/>
    <d v="2016-01-04T16:07:00"/>
    <s v="Topic changed from metadata to bxt_preint"/>
    <m/>
    <m/>
    <s v="miguel.verdu@intel.com"/>
    <x v="0"/>
    <x v="1"/>
    <s v=""/>
    <x v="2"/>
    <s v=""/>
    <s v=""/>
    <s v=""/>
    <s v=""/>
    <s v=""/>
    <s v=""/>
    <s v=""/>
    <x v="0"/>
    <x v="0"/>
    <x v="0"/>
  </r>
  <r>
    <x v="68"/>
    <m/>
    <m/>
    <m/>
    <m/>
    <m/>
    <m/>
    <m/>
    <m/>
    <m/>
    <m/>
    <m/>
    <x v="9"/>
    <d v="2016-01-05T14:19:00"/>
    <s v="Patch Set 3: Integrator+1\n\nIntegrator +1; patch will be add to PT; please no change now"/>
    <m/>
    <m/>
    <s v="miguel.verdu@intel.com"/>
    <x v="0"/>
    <x v="5"/>
    <s v=""/>
    <x v="2"/>
    <s v=""/>
    <s v=""/>
    <s v=""/>
    <s v=""/>
    <s v=""/>
    <s v=""/>
    <s v=""/>
    <x v="0"/>
    <x v="1"/>
    <x v="0"/>
  </r>
  <r>
    <x v="68"/>
    <m/>
    <m/>
    <m/>
    <m/>
    <m/>
    <m/>
    <m/>
    <m/>
    <m/>
    <m/>
    <m/>
    <x v="9"/>
    <d v="2016-01-05T18:01:00"/>
    <s v="Patch Set 3:\n\nPassed Klocwork code analyzing test. No CRITICAL issue in this patch. Auto reported by kwscan@andr-val-srv0.bj.intel.com"/>
    <m/>
    <m/>
    <s v="miguel.verdu@intel.com"/>
    <x v="0"/>
    <x v="5"/>
    <s v=""/>
    <x v="2"/>
    <s v=""/>
    <s v=""/>
    <s v=""/>
    <s v=""/>
    <s v=""/>
    <s v=""/>
    <s v=""/>
    <x v="0"/>
    <x v="0"/>
    <x v="0"/>
  </r>
  <r>
    <x v="68"/>
    <m/>
    <m/>
    <m/>
    <m/>
    <m/>
    <m/>
    <m/>
    <m/>
    <m/>
    <m/>
    <m/>
    <x v="9"/>
    <d v="2016-01-06T15:29:00"/>
    <s v="Patch Set 3: Integrator-1\n\nBXT PIT block; so patch nogo all"/>
    <m/>
    <m/>
    <s v="miguel.verdu@intel.com"/>
    <x v="0"/>
    <x v="5"/>
    <s v=""/>
    <x v="2"/>
    <s v=""/>
    <s v=""/>
    <s v=""/>
    <s v=""/>
    <s v=""/>
    <s v=""/>
    <s v=""/>
    <x v="0"/>
    <x v="1"/>
    <x v="0"/>
  </r>
  <r>
    <x v="68"/>
    <m/>
    <m/>
    <m/>
    <m/>
    <m/>
    <m/>
    <m/>
    <m/>
    <m/>
    <m/>
    <m/>
    <x v="9"/>
    <d v="2016-01-06T15:36:00"/>
    <s v="Patch Set 3: Integrator+1\n\nIntegrator +1; patch will be add to PT; please no change now"/>
    <m/>
    <m/>
    <s v="miguel.verdu@intel.com"/>
    <x v="0"/>
    <x v="5"/>
    <s v=""/>
    <x v="2"/>
    <s v=""/>
    <s v=""/>
    <s v=""/>
    <s v=""/>
    <s v=""/>
    <s v=""/>
    <s v=""/>
    <x v="0"/>
    <x v="1"/>
    <x v="0"/>
  </r>
  <r>
    <x v="68"/>
    <m/>
    <m/>
    <m/>
    <m/>
    <m/>
    <m/>
    <m/>
    <m/>
    <m/>
    <m/>
    <m/>
    <x v="9"/>
    <d v="2016-01-06T19:37:00"/>
    <s v="Patch Set 3:\n\nPassed Klocwork code analyzing test. No CRITICAL issue in this patch. Auto reported by kwscan@andr-val-srv0.bj.intel.com"/>
    <m/>
    <m/>
    <s v="miguel.verdu@intel.com"/>
    <x v="0"/>
    <x v="5"/>
    <s v=""/>
    <x v="2"/>
    <s v=""/>
    <s v=""/>
    <s v=""/>
    <s v=""/>
    <s v=""/>
    <s v=""/>
    <s v=""/>
    <x v="0"/>
    <x v="0"/>
    <x v="0"/>
  </r>
  <r>
    <x v="68"/>
    <m/>
    <m/>
    <m/>
    <m/>
    <m/>
    <m/>
    <m/>
    <m/>
    <m/>
    <m/>
    <m/>
    <x v="9"/>
    <d v="2016-01-07T17:24:00"/>
    <s v="Patch Set 3: Code-Review+1\n\nPassed PIT; ready for merge"/>
    <m/>
    <m/>
    <s v="miguel.verdu@intel.com"/>
    <x v="0"/>
    <x v="5"/>
    <s v=""/>
    <x v="2"/>
    <s v=""/>
    <s v=""/>
    <s v=""/>
    <s v=""/>
    <s v=""/>
    <s v=""/>
    <s v=""/>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T5:Z15" firstHeaderRow="1" firstDataRow="2" firstDataCol="1" rowPageCount="3" colPageCount="1"/>
  <pivotFields count="32">
    <pivotField dataField="1" outline="0" showAll="0"/>
    <pivotField showAll="0"/>
    <pivotField showAll="0"/>
    <pivotField showAll="0" defaultSubtotal="0"/>
    <pivotField showAll="0" defaultSubtotal="0"/>
    <pivotField showAll="0"/>
    <pivotField multipleItemSelectionAllowed="1" showAll="0"/>
    <pivotField showAll="0"/>
    <pivotField showAll="0"/>
    <pivotField showAll="0"/>
    <pivotField showAll="0"/>
    <pivotField showAll="0" defaultSubtotal="0"/>
    <pivotField axis="axisRow" outline="0" showAll="0" defaultSubtotal="0">
      <items count="110">
        <item m="1" x="52"/>
        <item x="18"/>
        <item x="1"/>
        <item m="1" x="63"/>
        <item x="10"/>
        <item x="26"/>
        <item m="1" x="70"/>
        <item m="1" x="58"/>
        <item x="13"/>
        <item m="1" x="94"/>
        <item x="15"/>
        <item m="1" x="100"/>
        <item x="17"/>
        <item m="1" x="69"/>
        <item m="1" x="86"/>
        <item x="8"/>
        <item m="1" x="53"/>
        <item m="1" x="85"/>
        <item x="5"/>
        <item x="2"/>
        <item m="1" x="101"/>
        <item m="1" x="67"/>
        <item m="1" x="107"/>
        <item m="1" x="62"/>
        <item x="21"/>
        <item m="1" x="55"/>
        <item x="32"/>
        <item m="1" x="75"/>
        <item m="1" x="56"/>
        <item m="1" x="97"/>
        <item x="43"/>
        <item m="1" x="78"/>
        <item m="1" x="95"/>
        <item x="14"/>
        <item x="9"/>
        <item m="1" x="76"/>
        <item m="1" x="46"/>
        <item m="1" x="48"/>
        <item x="41"/>
        <item m="1" x="98"/>
        <item m="1" x="51"/>
        <item m="1" x="44"/>
        <item m="1" x="90"/>
        <item m="1" x="57"/>
        <item m="1" x="50"/>
        <item m="1" x="88"/>
        <item x="25"/>
        <item x="24"/>
        <item x="23"/>
        <item x="3"/>
        <item x="22"/>
        <item x="35"/>
        <item x="6"/>
        <item x="12"/>
        <item x="0"/>
        <item x="16"/>
        <item x="7"/>
        <item m="1" x="77"/>
        <item x="30"/>
        <item m="1" x="49"/>
        <item m="1" x="96"/>
        <item x="33"/>
        <item m="1" x="83"/>
        <item m="1" x="73"/>
        <item x="11"/>
        <item m="1" x="47"/>
        <item m="1" x="93"/>
        <item m="1" x="64"/>
        <item m="1" x="45"/>
        <item m="1" x="105"/>
        <item m="1" x="84"/>
        <item m="1" x="60"/>
        <item m="1" x="59"/>
        <item x="20"/>
        <item m="1" x="80"/>
        <item x="19"/>
        <item m="1" x="91"/>
        <item m="1" x="99"/>
        <item m="1" x="102"/>
        <item x="36"/>
        <item m="1" x="79"/>
        <item x="27"/>
        <item x="28"/>
        <item m="1" x="54"/>
        <item m="1" x="109"/>
        <item m="1" x="82"/>
        <item m="1" x="61"/>
        <item m="1" x="66"/>
        <item x="29"/>
        <item x="38"/>
        <item x="4"/>
        <item x="31"/>
        <item m="1" x="81"/>
        <item m="1" x="74"/>
        <item x="34"/>
        <item m="1" x="89"/>
        <item m="1" x="71"/>
        <item x="37"/>
        <item m="1" x="106"/>
        <item m="1" x="72"/>
        <item m="1" x="108"/>
        <item x="40"/>
        <item x="39"/>
        <item m="1" x="103"/>
        <item x="42"/>
        <item m="1" x="87"/>
        <item m="1" x="68"/>
        <item m="1" x="104"/>
        <item m="1" x="65"/>
        <item m="1" x="92"/>
      </items>
    </pivotField>
    <pivotField numFmtId="22" showAll="0"/>
    <pivotField showAll="0"/>
    <pivotField showAll="0" defaultSubtotal="0"/>
    <pivotField showAll="0" defaultSubtotal="0"/>
    <pivotField showAll="0"/>
    <pivotField axis="axisCol" showAll="0">
      <items count="9">
        <item x="3"/>
        <item x="0"/>
        <item m="1" x="7"/>
        <item x="1"/>
        <item x="4"/>
        <item m="1" x="6"/>
        <item m="1" x="5"/>
        <item x="2"/>
        <item t="default"/>
      </items>
    </pivotField>
    <pivotField axis="axisPage" multipleItemSelectionAllowed="1" showAll="0">
      <items count="11">
        <item h="1" x="0"/>
        <item x="4"/>
        <item h="1" x="1"/>
        <item h="1" x="6"/>
        <item h="1" x="3"/>
        <item h="1" x="5"/>
        <item h="1" m="1" x="8"/>
        <item h="1" m="1" x="7"/>
        <item h="1" m="1" x="9"/>
        <item h="1" x="2"/>
        <item t="default"/>
      </items>
    </pivotField>
    <pivotField showAll="0"/>
    <pivotField showAll="0" defaultSubtotal="0"/>
    <pivotField showAll="0" defaultSubtotal="0"/>
    <pivotField showAll="0"/>
    <pivotField showAll="0"/>
    <pivotField showAll="0" defaultSubtotal="0"/>
    <pivotField multipleItemSelectionAllowed="1" showAll="0"/>
    <pivotField showAll="0" defaultSubtotal="0"/>
    <pivotField showAll="0" defaultSubtotal="0"/>
    <pivotField showAll="0"/>
    <pivotField axis="axisPage" multipleItemSelectionAllowed="1" showAll="0">
      <items count="4">
        <item x="0"/>
        <item h="1" m="1" x="2"/>
        <item h="1" x="1"/>
        <item t="default"/>
      </items>
    </pivotField>
    <pivotField axis="axisPage" multipleItemSelectionAllowed="1" showAll="0">
      <items count="3">
        <item m="1" x="1"/>
        <item x="0"/>
        <item t="default"/>
      </items>
    </pivotField>
  </pivotFields>
  <rowFields count="1">
    <field x="12"/>
  </rowFields>
  <rowItems count="9">
    <i>
      <x v="8"/>
    </i>
    <i>
      <x v="10"/>
    </i>
    <i>
      <x v="38"/>
    </i>
    <i>
      <x v="46"/>
    </i>
    <i>
      <x v="55"/>
    </i>
    <i>
      <x v="56"/>
    </i>
    <i>
      <x v="61"/>
    </i>
    <i>
      <x v="101"/>
    </i>
    <i t="grand">
      <x/>
    </i>
  </rowItems>
  <colFields count="1">
    <field x="18"/>
  </colFields>
  <colItems count="6">
    <i>
      <x/>
    </i>
    <i>
      <x v="1"/>
    </i>
    <i>
      <x v="3"/>
    </i>
    <i>
      <x v="4"/>
    </i>
    <i>
      <x v="7"/>
    </i>
    <i t="grand">
      <x/>
    </i>
  </colItems>
  <pageFields count="3">
    <pageField fld="31" hier="-1"/>
    <pageField fld="30" hier="-1"/>
    <pageField fld="19" hier="-1"/>
  </pageFields>
  <dataFields count="1">
    <dataField name="Count of tmp-number" fld="0" subtotal="count" baseField="0" baseItem="86"/>
  </dataFields>
  <formats count="3">
    <format dxfId="55">
      <pivotArea outline="0" collapsedLevelsAreSubtotals="1" fieldPosition="0"/>
    </format>
    <format dxfId="54">
      <pivotArea dataOnly="0" labelOnly="1" fieldPosition="0">
        <references count="1">
          <reference field="18" count="3">
            <x v="0"/>
            <x v="1"/>
            <x v="4"/>
          </reference>
        </references>
      </pivotArea>
    </format>
    <format dxfId="53">
      <pivotArea dataOnly="0" labelOnly="1" grandCol="1" outline="0" fieldPosition="0"/>
    </format>
  </formats>
  <pivotTableStyleInfo name="PivotStyleLight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J5:Q107" firstHeaderRow="1" firstDataRow="2" firstDataCol="2" rowPageCount="3" colPageCount="1"/>
  <pivotFields count="32">
    <pivotField axis="axisRow" dataField="1" outline="0" showAll="0">
      <items count="1016">
        <item m="1" x="259"/>
        <item m="1" x="268"/>
        <item m="1" x="277"/>
        <item m="1" x="291"/>
        <item m="1" x="1012"/>
        <item m="1" x="734"/>
        <item m="1" x="206"/>
        <item m="1" x="532"/>
        <item m="1" x="542"/>
        <item m="1" x="491"/>
        <item m="1" x="503"/>
        <item m="1" x="516"/>
        <item m="1" x="978"/>
        <item m="1" x="990"/>
        <item m="1" x="806"/>
        <item m="1" x="882"/>
        <item m="1" x="896"/>
        <item m="1" x="345"/>
        <item m="1" x="758"/>
        <item m="1" x="768"/>
        <item m="1" x="555"/>
        <item m="1" x="643"/>
        <item m="1" x="649"/>
        <item m="1" x="657"/>
        <item m="1" x="664"/>
        <item m="1" x="676"/>
        <item m="1" x="682"/>
        <item m="1" x="774"/>
        <item m="1" x="781"/>
        <item m="1" x="852"/>
        <item m="1" x="863"/>
        <item m="1" x="873"/>
        <item m="1" x="884"/>
        <item m="1" x="898"/>
        <item m="1" x="907"/>
        <item m="1" x="850"/>
        <item m="1" x="862"/>
        <item m="1" x="281"/>
        <item m="1" x="738"/>
        <item m="1" x="860"/>
        <item m="1" x="537"/>
        <item m="1" x="541"/>
        <item m="1" x="576"/>
        <item m="1" x="152"/>
        <item m="1" x="312"/>
        <item m="1" x="319"/>
        <item m="1" x="325"/>
        <item m="1" x="334"/>
        <item m="1" x="341"/>
        <item m="1" x="347"/>
        <item m="1" x="357"/>
        <item m="1" x="365"/>
        <item m="1" x="700"/>
        <item m="1" x="947"/>
        <item m="1" x="970"/>
        <item m="1" x="283"/>
        <item m="1" x="374"/>
        <item m="1" x="579"/>
        <item m="1" x="1009"/>
        <item m="1" x="75"/>
        <item m="1" x="84"/>
        <item m="1" x="91"/>
        <item m="1" x="115"/>
        <item m="1" x="273"/>
        <item m="1" x="282"/>
        <item m="1" x="296"/>
        <item m="1" x="633"/>
        <item m="1" x="638"/>
        <item m="1" x="225"/>
        <item m="1" x="237"/>
        <item m="1" x="246"/>
        <item m="1" x="254"/>
        <item m="1" x="261"/>
        <item m="1" x="271"/>
        <item m="1" x="279"/>
        <item m="1" x="315"/>
        <item m="1" x="322"/>
        <item m="1" x="331"/>
        <item m="1" x="637"/>
        <item m="1" x="668"/>
        <item m="1" x="856"/>
        <item m="1" x="868"/>
        <item m="1" x="902"/>
        <item m="1" x="276"/>
        <item m="1" x="350"/>
        <item m="1" x="821"/>
        <item m="1" x="837"/>
        <item m="1" x="845"/>
        <item m="1" x="1003"/>
        <item m="1" x="1013"/>
        <item m="1" x="299"/>
        <item m="1" x="177"/>
        <item m="1" x="178"/>
        <item m="1" x="190"/>
        <item m="1" x="414"/>
        <item m="1" x="461"/>
        <item m="1" x="696"/>
        <item m="1" x="739"/>
        <item m="1" x="771"/>
        <item m="1" x="895"/>
        <item m="1" x="944"/>
        <item m="1" x="719"/>
        <item m="1" x="871"/>
        <item m="1" x="880"/>
        <item m="1" x="304"/>
        <item m="1" x="314"/>
        <item m="1" x="889"/>
        <item m="1" x="913"/>
        <item m="1" x="912"/>
        <item m="1" x="922"/>
        <item m="1" x="992"/>
        <item m="1" x="358"/>
        <item m="1" x="199"/>
        <item m="1" x="805"/>
        <item m="1" x="811"/>
        <item m="1" x="114"/>
        <item m="1" x="262"/>
        <item m="1" x="459"/>
        <item m="1" x="239"/>
        <item m="1" x="502"/>
        <item m="1" x="372"/>
        <item m="1" x="245"/>
        <item m="1" x="294"/>
        <item m="1" x="604"/>
        <item m="1" x="519"/>
        <item m="1" x="396"/>
        <item m="1" x="390"/>
        <item m="1" x="228"/>
        <item m="1" x="659"/>
        <item m="1" x="666"/>
        <item m="1" x="151"/>
        <item m="1" x="908"/>
        <item m="1" x="788"/>
        <item m="1" x="780"/>
        <item m="1" x="514"/>
        <item m="1" x="507"/>
        <item m="1" x="448"/>
        <item m="1" x="723"/>
        <item m="1" x="145"/>
        <item m="1" x="186"/>
        <item m="1" x="234"/>
        <item m="1" x="629"/>
        <item m="1" x="306"/>
        <item m="1" x="428"/>
        <item m="1" x="292"/>
        <item m="1" x="932"/>
        <item m="1" x="892"/>
        <item m="1" x="558"/>
        <item m="1" x="197"/>
        <item m="1" x="661"/>
        <item m="1" x="505"/>
        <item m="1" x="272"/>
        <item m="1" x="985"/>
        <item m="1" x="808"/>
        <item m="1" x="131"/>
        <item m="1" x="755"/>
        <item m="1" x="746"/>
        <item m="1" x="740"/>
        <item m="1" x="74"/>
        <item m="1" x="765"/>
        <item m="1" x="116"/>
        <item m="1" x="265"/>
        <item m="1" x="256"/>
        <item m="1" x="248"/>
        <item m="1" x="920"/>
        <item m="1" x="377"/>
        <item m="1" x="792"/>
        <item m="1" x="802"/>
        <item m="1" x="441"/>
        <item m="1" x="418"/>
        <item m="1" x="915"/>
        <item m="1" x="278"/>
        <item m="1" x="269"/>
        <item m="1" x="458"/>
        <item m="1" x="475"/>
        <item m="1" x="168"/>
        <item m="1" x="236"/>
        <item m="1" x="767"/>
        <item m="1" x="280"/>
        <item m="1" x="295"/>
        <item m="1" x="569"/>
        <item m="1" x="471"/>
        <item m="1" x="773"/>
        <item m="1" x="763"/>
        <item m="1" x="731"/>
        <item m="1" x="733"/>
        <item m="1" x="600"/>
        <item m="1" x="229"/>
        <item m="1" x="300"/>
        <item m="1" x="434"/>
        <item m="1" x="427"/>
        <item m="1" x="417"/>
        <item m="1" x="775"/>
        <item m="1" x="790"/>
        <item m="1" x="267"/>
        <item m="1" x="80"/>
        <item m="1" x="330"/>
        <item m="1" x="195"/>
        <item m="1" x="378"/>
        <item m="1" x="957"/>
        <item m="1" x="916"/>
        <item m="1" x="903"/>
        <item m="1" x="725"/>
        <item m="1" x="717"/>
        <item m="1" x="383"/>
        <item m="1" x="931"/>
        <item m="1" x="735"/>
        <item m="1" x="669"/>
        <item m="1" x="940"/>
        <item m="1" x="583"/>
        <item m="1" x="627"/>
        <item m="1" x="102"/>
        <item m="1" x="407"/>
        <item m="1" x="963"/>
        <item m="1" x="182"/>
        <item m="1" x="971"/>
        <item m="1" x="791"/>
        <item m="1" x="128"/>
        <item m="1" x="106"/>
        <item m="1" x="385"/>
        <item m="1" x="86"/>
        <item m="1" x="144"/>
        <item m="1" x="134"/>
        <item m="1" x="714"/>
        <item m="1" x="707"/>
        <item m="1" x="165"/>
        <item m="1" x="130"/>
        <item m="1" x="93"/>
        <item m="1" x="952"/>
        <item m="1" x="701"/>
        <item m="1" x="974"/>
        <item m="1" x="367"/>
        <item m="1" x="360"/>
        <item m="1" x="185"/>
        <item m="1" x="135"/>
        <item m="1" x="571"/>
        <item m="1" x="839"/>
        <item m="1" x="824"/>
        <item m="1" x="119"/>
        <item m="1" x="287"/>
        <item m="1" x="393"/>
        <item m="1" x="1005"/>
        <item m="1" x="702"/>
        <item m="1" x="411"/>
        <item m="1" x="216"/>
        <item m="1" x="187"/>
        <item m="1" x="155"/>
        <item m="1" x="89"/>
        <item m="1" x="79"/>
        <item m="1" x="143"/>
        <item m="1" x="584"/>
        <item m="1" x="928"/>
        <item m="1" x="820"/>
        <item m="1" x="783"/>
        <item m="1" x="925"/>
        <item m="1" x="416"/>
        <item m="1" x="230"/>
        <item m="1" x="290"/>
        <item m="1" x="136"/>
        <item m="1" x="709"/>
        <item m="1" x="658"/>
        <item m="1" x="467"/>
        <item m="1" x="394"/>
        <item m="1" x="716"/>
        <item m="1" x="523"/>
        <item m="1" x="500"/>
        <item m="1" x="819"/>
        <item m="1" x="807"/>
        <item m="1" x="328"/>
        <item m="1" x="362"/>
        <item m="1" x="351"/>
        <item m="1" x="950"/>
        <item m="1" x="1008"/>
        <item m="1" x="995"/>
        <item m="1" x="796"/>
        <item m="1" x="163"/>
        <item m="1" x="962"/>
        <item m="1" x="756"/>
        <item m="1" x="764"/>
        <item m="1" x="127"/>
        <item m="1" x="897"/>
        <item m="1" x="984"/>
        <item m="1" x="688"/>
        <item m="1" x="991"/>
        <item m="1" x="853"/>
        <item m="1" x="748"/>
        <item m="1" x="708"/>
        <item m="1" x="665"/>
        <item m="1" x="551"/>
        <item m="1" x="601"/>
        <item m="1" x="585"/>
        <item m="1" x="275"/>
        <item m="1" x="154"/>
        <item m="1" x="509"/>
        <item m="1" x="800"/>
        <item m="1" x="826"/>
        <item m="1" x="302"/>
        <item m="1" x="436"/>
        <item m="1" x="743"/>
        <item m="1" x="736"/>
        <item m="1" x="726"/>
        <item m="1" x="720"/>
        <item m="1" x="713"/>
        <item m="1" x="188"/>
        <item m="1" x="939"/>
        <item m="1" x="83"/>
        <item m="1" x="831"/>
        <item m="1" x="976"/>
        <item m="1" x="857"/>
        <item m="1" x="307"/>
        <item m="1" x="843"/>
        <item m="1" x="481"/>
        <item m="1" x="641"/>
        <item m="1" x="999"/>
        <item m="1" x="910"/>
        <item m="1" x="78"/>
        <item m="1" x="485"/>
        <item m="1" x="988"/>
        <item m="1" x="872"/>
        <item m="1" x="565"/>
        <item m="1" x="815"/>
        <item m="1" x="379"/>
        <item m="1" x="97"/>
        <item m="1" x="258"/>
        <item m="1" x="917"/>
        <item m="1" x="574"/>
        <item m="1" x="293"/>
        <item m="1" x="214"/>
        <item m="1" x="686"/>
        <item m="1" x="492"/>
        <item m="1" x="477"/>
        <item m="1" x="754"/>
        <item m="1" x="610"/>
        <item m="1" x="602"/>
        <item m="1" x="596"/>
        <item m="1" x="591"/>
        <item m="1" x="582"/>
        <item m="1" x="793"/>
        <item m="1" x="809"/>
        <item m="1" x="747"/>
        <item m="1" x="129"/>
        <item m="1" x="644"/>
        <item m="1" x="607"/>
        <item m="1" x="798"/>
        <item m="1" x="173"/>
        <item m="1" x="388"/>
        <item m="1" x="650"/>
        <item m="1" x="446"/>
        <item m="1" x="392"/>
        <item m="1" x="466"/>
        <item m="1" x="344"/>
        <item m="1" x="785"/>
        <item m="1" x="673"/>
        <item m="1" x="70"/>
        <item m="1" x="891"/>
        <item m="1" x="869"/>
        <item m="1" x="692"/>
        <item m="1" x="724"/>
        <item m="1" x="699"/>
        <item m="1" x="526"/>
        <item m="1" x="140"/>
        <item m="1" x="219"/>
        <item m="1" x="211"/>
        <item m="1" x="834"/>
        <item m="1" x="463"/>
        <item x="2"/>
        <item m="1" x="544"/>
        <item m="1" x="706"/>
        <item m="1" x="547"/>
        <item m="1" x="776"/>
        <item m="1" x="149"/>
        <item m="1" x="317"/>
        <item m="1" x="983"/>
        <item m="1" x="698"/>
        <item m="1" x="876"/>
        <item m="1" x="883"/>
        <item m="1" x="818"/>
        <item m="1" x="220"/>
        <item m="1" x="384"/>
        <item m="1" x="722"/>
        <item m="1" x="605"/>
        <item m="1" x="635"/>
        <item m="1" x="900"/>
        <item m="1" x="741"/>
        <item m="1" x="183"/>
        <item m="1" x="359"/>
        <item m="1" x="453"/>
        <item m="1" x="833"/>
        <item m="1" x="975"/>
        <item m="1" x="675"/>
        <item m="1" x="444"/>
        <item m="1" x="465"/>
        <item m="1" x="865"/>
        <item m="1" x="356"/>
        <item m="1" x="753"/>
        <item m="1" x="158"/>
        <item m="1" x="482"/>
        <item x="15"/>
        <item x="14"/>
        <item m="1" x="284"/>
        <item m="1" x="274"/>
        <item m="1" x="266"/>
        <item m="1" x="712"/>
        <item m="1" x="375"/>
        <item m="1" x="368"/>
        <item m="1" x="575"/>
        <item m="1" x="570"/>
        <item m="1" x="231"/>
        <item m="1" x="987"/>
        <item m="1" x="534"/>
        <item m="1" x="703"/>
        <item m="1" x="301"/>
        <item m="1" x="224"/>
        <item m="1" x="156"/>
        <item x="13"/>
        <item m="1" x="630"/>
        <item m="1" x="588"/>
        <item m="1" x="581"/>
        <item m="1" x="577"/>
        <item m="1" x="572"/>
        <item m="1" x="566"/>
        <item m="1" x="400"/>
        <item m="1" x="778"/>
        <item x="12"/>
        <item m="1" x="647"/>
        <item m="1" x="489"/>
        <item m="1" x="98"/>
        <item x="11"/>
        <item m="1" x="745"/>
        <item m="1" x="82"/>
        <item m="1" x="415"/>
        <item m="1" x="626"/>
        <item m="1" x="619"/>
        <item m="1" x="401"/>
        <item x="10"/>
        <item m="1" x="742"/>
        <item x="9"/>
        <item m="1" x="252"/>
        <item m="1" x="770"/>
        <item m="1" x="727"/>
        <item m="1" x="803"/>
        <item m="1" x="794"/>
        <item m="1" x="786"/>
        <item m="1" x="777"/>
        <item m="1" x="209"/>
        <item m="1" x="761"/>
        <item m="1" x="205"/>
        <item m="1" x="816"/>
        <item m="1" x="693"/>
        <item m="1" x="924"/>
        <item m="1" x="511"/>
        <item m="1" x="457"/>
        <item m="1" x="454"/>
        <item x="8"/>
        <item m="1" x="451"/>
        <item m="1" x="208"/>
        <item m="1" x="103"/>
        <item m="1" x="589"/>
        <item m="1" x="564"/>
        <item m="1" x="308"/>
        <item m="1" x="406"/>
        <item m="1" x="1010"/>
        <item m="1" x="997"/>
        <item m="1" x="766"/>
        <item x="18"/>
        <item m="1" x="691"/>
        <item m="1" x="980"/>
        <item m="1" x="202"/>
        <item m="1" x="194"/>
        <item m="1" x="752"/>
        <item m="1" x="744"/>
        <item m="1" x="737"/>
        <item m="1" x="864"/>
        <item m="1" x="255"/>
        <item m="1" x="264"/>
        <item m="1" x="343"/>
        <item m="1" x="336"/>
        <item m="1" x="326"/>
        <item m="1" x="320"/>
        <item m="1" x="899"/>
        <item m="1" x="120"/>
        <item m="1" x="484"/>
        <item m="1" x="986"/>
        <item m="1" x="166"/>
        <item m="1" x="730"/>
        <item m="1" x="721"/>
        <item m="1" x="525"/>
        <item m="1" x="847"/>
        <item m="1" x="645"/>
        <item m="1" x="914"/>
        <item m="1" x="179"/>
        <item m="1" x="612"/>
        <item m="1" x="998"/>
        <item m="1" x="623"/>
        <item m="1" x="615"/>
        <item m="1" x="609"/>
        <item m="1" x="935"/>
        <item m="1" x="1006"/>
        <item m="1" x="938"/>
        <item m="1" x="652"/>
        <item m="1" x="399"/>
        <item m="1" x="772"/>
        <item m="1" x="653"/>
        <item m="1" x="677"/>
        <item m="1" x="169"/>
        <item m="1" x="546"/>
        <item m="1" x="590"/>
        <item x="19"/>
        <item m="1" x="728"/>
        <item m="1" x="923"/>
        <item m="1" x="930"/>
        <item m="1" x="960"/>
        <item m="1" x="918"/>
        <item m="1" x="654"/>
        <item m="1" x="622"/>
        <item m="1" x="671"/>
        <item m="1" x="817"/>
        <item m="1" x="501"/>
        <item x="20"/>
        <item m="1" x="618"/>
        <item m="1" x="100"/>
        <item x="21"/>
        <item m="1" x="340"/>
        <item m="1" x="137"/>
        <item x="22"/>
        <item m="1" x="979"/>
        <item m="1" x="972"/>
        <item m="1" x="965"/>
        <item m="1" x="680"/>
        <item m="1" x="595"/>
        <item m="1" x="227"/>
        <item m="1" x="117"/>
        <item m="1" x="189"/>
        <item m="1" x="354"/>
        <item m="1" x="104"/>
        <item m="1" x="885"/>
        <item m="1" x="217"/>
        <item m="1" x="689"/>
        <item m="1" x="681"/>
        <item m="1" x="674"/>
        <item m="1" x="663"/>
        <item x="23"/>
        <item m="1" x="157"/>
        <item m="1" x="153"/>
        <item m="1" x="148"/>
        <item m="1" x="138"/>
        <item m="1" x="125"/>
        <item m="1" x="122"/>
        <item m="1" x="112"/>
        <item m="1" x="90"/>
        <item m="1" x="81"/>
        <item m="1" x="72"/>
        <item m="1" x="1007"/>
        <item m="1" x="1000"/>
        <item m="1" x="994"/>
        <item m="1" x="200"/>
        <item m="1" x="108"/>
        <item m="1" x="533"/>
        <item m="1" x="829"/>
        <item m="1" x="142"/>
        <item m="1" x="486"/>
        <item m="1" x="479"/>
        <item m="1" x="180"/>
        <item m="1" x="1001"/>
        <item m="1" x="687"/>
        <item m="1" x="620"/>
        <item m="1" x="324"/>
        <item m="1" x="540"/>
        <item m="1" x="639"/>
        <item m="1" x="690"/>
        <item m="1" x="684"/>
        <item m="1" x="561"/>
        <item m="1" x="494"/>
        <item m="1" x="69"/>
        <item m="1" x="244"/>
        <item x="24"/>
        <item m="1" x="222"/>
        <item m="1" x="253"/>
        <item m="1" x="403"/>
        <item m="1" x="550"/>
        <item m="1" x="286"/>
        <item m="1" x="298"/>
        <item m="1" x="310"/>
        <item m="1" x="318"/>
        <item m="1" x="1002"/>
        <item m="1" x="608"/>
        <item m="1" x="77"/>
        <item m="1" x="784"/>
        <item m="1" x="167"/>
        <item m="1" x="594"/>
        <item m="1" x="425"/>
        <item m="1" x="201"/>
        <item m="1" x="191"/>
        <item m="1" x="433"/>
        <item m="1" x="439"/>
        <item m="1" x="85"/>
        <item m="1" x="198"/>
        <item m="1" x="285"/>
        <item m="1" x="105"/>
        <item x="25"/>
        <item m="1" x="949"/>
        <item x="26"/>
        <item x="27"/>
        <item m="1" x="442"/>
        <item m="1" x="449"/>
        <item m="1" x="422"/>
        <item m="1" x="92"/>
        <item m="1" x="123"/>
        <item m="1" x="430"/>
        <item m="1" x="646"/>
        <item m="1" x="556"/>
        <item m="1" x="929"/>
        <item m="1" x="146"/>
        <item m="1" x="346"/>
        <item m="1" x="832"/>
        <item m="1" x="598"/>
        <item m="1" x="560"/>
        <item m="1" x="553"/>
        <item m="1" x="549"/>
        <item m="1" x="545"/>
        <item x="28"/>
        <item x="29"/>
        <item x="30"/>
        <item x="31"/>
        <item x="32"/>
        <item x="33"/>
        <item x="34"/>
        <item m="1" x="849"/>
        <item m="1" x="841"/>
        <item m="1" x="828"/>
        <item x="35"/>
        <item m="1" x="874"/>
        <item m="1" x="530"/>
        <item m="1" x="488"/>
        <item m="1" x="352"/>
        <item m="1" x="147"/>
        <item m="1" x="861"/>
        <item m="1" x="593"/>
        <item m="1" x="578"/>
        <item m="1" x="464"/>
        <item m="1" x="483"/>
        <item m="1" x="76"/>
        <item m="1" x="1014"/>
        <item m="1" x="476"/>
        <item m="1" x="606"/>
        <item m="1" x="715"/>
        <item m="1" x="498"/>
        <item m="1" x="193"/>
        <item m="1" x="387"/>
        <item m="1" x="260"/>
        <item m="1" x="164"/>
        <item m="1" x="389"/>
        <item m="1" x="303"/>
        <item m="1" x="380"/>
        <item m="1" x="376"/>
        <item m="1" x="904"/>
        <item m="1" x="371"/>
        <item m="1" x="886"/>
        <item m="1" x="694"/>
        <item m="1" x="447"/>
        <item m="1" x="113"/>
        <item m="1" x="240"/>
        <item x="36"/>
        <item m="1" x="348"/>
        <item x="37"/>
        <item x="38"/>
        <item m="1" x="333"/>
        <item m="1" x="613"/>
        <item m="1" x="769"/>
        <item m="1" x="760"/>
        <item m="1" x="751"/>
        <item m="1" x="524"/>
        <item m="1" x="518"/>
        <item m="1" x="513"/>
        <item m="1" x="881"/>
        <item m="1" x="539"/>
        <item m="1" x="573"/>
        <item m="1" x="851"/>
        <item m="1" x="426"/>
        <item m="1" x="508"/>
        <item m="1" x="404"/>
        <item m="1" x="797"/>
        <item m="1" x="893"/>
        <item m="1" x="309"/>
        <item m="1" x="954"/>
        <item m="1" x="297"/>
        <item m="1" x="580"/>
        <item m="1" x="812"/>
        <item m="1" x="450"/>
        <item m="1" x="634"/>
        <item m="1" x="210"/>
        <item m="1" x="496"/>
        <item m="1" x="443"/>
        <item m="1" x="823"/>
        <item m="1" x="632"/>
        <item m="1" x="956"/>
        <item m="1" x="221"/>
        <item m="1" x="844"/>
        <item m="1" x="110"/>
        <item m="1" x="96"/>
        <item x="39"/>
        <item x="40"/>
        <item m="1" x="948"/>
        <item m="1" x="750"/>
        <item m="1" x="943"/>
        <item m="1" x="937"/>
        <item x="41"/>
        <item m="1" x="366"/>
        <item m="1" x="213"/>
        <item m="1" x="640"/>
        <item m="1" x="804"/>
        <item m="1" x="977"/>
        <item m="1" x="327"/>
        <item m="1" x="249"/>
        <item m="1" x="215"/>
        <item m="1" x="71"/>
        <item m="1" x="538"/>
        <item m="1" x="536"/>
        <item m="1" x="529"/>
        <item m="1" x="520"/>
        <item m="1" x="160"/>
        <item m="1" x="472"/>
        <item m="1" x="462"/>
        <item x="42"/>
        <item x="43"/>
        <item m="1" x="859"/>
        <item m="1" x="801"/>
        <item m="1" x="517"/>
        <item m="1" x="270"/>
        <item m="1" x="490"/>
        <item m="1" x="473"/>
        <item m="1" x="455"/>
        <item m="1" x="493"/>
        <item m="1" x="704"/>
        <item m="1" x="597"/>
        <item m="1" x="232"/>
        <item m="1" x="438"/>
        <item m="1" x="432"/>
        <item m="1" x="424"/>
        <item m="1" x="413"/>
        <item m="1" x="405"/>
        <item m="1" x="866"/>
        <item m="1" x="854"/>
        <item m="1" x="846"/>
        <item m="1" x="838"/>
        <item m="1" x="822"/>
        <item m="1" x="813"/>
        <item m="1" x="810"/>
        <item m="1" x="799"/>
        <item m="1" x="789"/>
        <item m="1" x="782"/>
        <item m="1" x="567"/>
        <item m="1" x="557"/>
        <item m="1" x="966"/>
        <item m="1" x="958"/>
        <item m="1" x="642"/>
        <item m="1" x="364"/>
        <item x="44"/>
        <item m="1" x="171"/>
        <item x="45"/>
        <item x="46"/>
        <item m="1" x="460"/>
        <item m="1" x="101"/>
        <item m="1" x="480"/>
        <item m="1" x="512"/>
        <item m="1" x="656"/>
        <item m="1" x="361"/>
        <item m="1" x="381"/>
        <item m="1" x="919"/>
        <item m="1" x="196"/>
        <item m="1" x="184"/>
        <item m="1" x="827"/>
        <item m="1" x="887"/>
        <item m="1" x="759"/>
        <item m="1" x="711"/>
        <item x="47"/>
        <item m="1" x="440"/>
        <item m="1" x="522"/>
        <item m="1" x="429"/>
        <item m="1" x="421"/>
        <item m="1" x="504"/>
        <item m="1" x="531"/>
        <item m="1" x="395"/>
        <item m="1" x="176"/>
        <item m="1" x="212"/>
        <item m="1" x="323"/>
        <item m="1" x="435"/>
        <item m="1" x="207"/>
        <item m="1" x="313"/>
        <item m="1" x="967"/>
        <item m="1" x="470"/>
        <item m="1" x="159"/>
        <item m="1" x="631"/>
        <item m="1" x="624"/>
        <item m="1" x="616"/>
        <item m="1" x="685"/>
        <item m="1" x="959"/>
        <item m="1" x="263"/>
        <item m="1" x="109"/>
        <item m="1" x="779"/>
        <item x="48"/>
        <item m="1" x="996"/>
        <item m="1" x="355"/>
        <item m="1" x="989"/>
        <item m="1" x="830"/>
        <item x="49"/>
        <item m="1" x="993"/>
        <item m="1" x="1004"/>
        <item m="1" x="409"/>
        <item m="1" x="382"/>
        <item m="1" x="342"/>
        <item m="1" x="321"/>
        <item x="50"/>
        <item x="51"/>
        <item m="1" x="982"/>
        <item m="1" x="968"/>
        <item m="1" x="961"/>
        <item m="1" x="951"/>
        <item m="1" x="732"/>
        <item m="1" x="836"/>
        <item m="1" x="587"/>
        <item m="1" x="452"/>
        <item m="1" x="973"/>
        <item m="1" x="945"/>
        <item m="1" x="936"/>
        <item m="1" x="370"/>
        <item m="1" x="337"/>
        <item m="1" x="247"/>
        <item m="1" x="238"/>
        <item m="1" x="226"/>
        <item m="1" x="218"/>
        <item m="1" x="181"/>
        <item x="52"/>
        <item x="53"/>
        <item x="54"/>
        <item x="55"/>
        <item x="56"/>
        <item m="1" x="487"/>
        <item m="1" x="311"/>
        <item x="57"/>
        <item x="58"/>
        <item m="1" x="562"/>
        <item x="59"/>
        <item m="1" x="339"/>
        <item m="1" x="118"/>
        <item m="1" x="107"/>
        <item m="1" x="94"/>
        <item m="1" x="87"/>
        <item m="1" x="506"/>
        <item m="1" x="495"/>
        <item m="1" x="710"/>
        <item m="1" x="289"/>
        <item m="1" x="121"/>
        <item m="1" x="111"/>
        <item m="1" x="905"/>
        <item m="1" x="126"/>
        <item m="1" x="559"/>
        <item m="1" x="412"/>
        <item m="1" x="879"/>
        <item m="1" x="419"/>
        <item m="1" x="870"/>
        <item m="1" x="858"/>
        <item m="1" x="141"/>
        <item m="1" x="787"/>
        <item m="1" x="670"/>
        <item m="1" x="478"/>
        <item x="60"/>
        <item x="61"/>
        <item m="1" x="651"/>
        <item m="1" x="636"/>
        <item x="62"/>
        <item m="1" x="305"/>
        <item m="1" x="926"/>
        <item m="1" x="1011"/>
        <item x="63"/>
        <item m="1" x="88"/>
        <item m="1" x="162"/>
        <item m="1" x="150"/>
        <item m="1" x="204"/>
        <item m="1" x="894"/>
        <item m="1" x="363"/>
        <item m="1" x="332"/>
        <item m="1" x="628"/>
        <item m="1" x="469"/>
        <item x="64"/>
        <item m="1" x="223"/>
        <item m="1" x="625"/>
        <item m="1" x="705"/>
        <item m="1" x="695"/>
        <item m="1" x="243"/>
        <item m="1" x="614"/>
        <item m="1" x="955"/>
        <item m="1" x="825"/>
        <item m="1" x="814"/>
        <item m="1" x="718"/>
        <item m="1" x="288"/>
        <item x="65"/>
        <item m="1" x="132"/>
        <item x="66"/>
        <item m="1" x="445"/>
        <item m="1" x="398"/>
        <item x="67"/>
        <item m="1" x="174"/>
        <item m="1" x="877"/>
        <item x="68"/>
        <item m="1" x="161"/>
        <item m="1" x="655"/>
        <item m="1" x="73"/>
        <item m="1" x="757"/>
        <item m="1" x="373"/>
        <item m="1" x="170"/>
        <item m="1" x="981"/>
        <item m="1" x="338"/>
        <item m="1" x="648"/>
        <item m="1" x="969"/>
        <item m="1" x="795"/>
        <item m="1" x="662"/>
        <item m="1" x="672"/>
        <item m="1" x="660"/>
        <item m="1" x="762"/>
        <item m="1" x="133"/>
        <item m="1" x="99"/>
        <item m="1" x="353"/>
        <item m="1" x="586"/>
        <item m="1" x="474"/>
        <item m="1" x="909"/>
        <item m="1" x="921"/>
        <item m="1" x="233"/>
        <item m="1" x="241"/>
        <item m="1" x="250"/>
        <item m="1" x="621"/>
        <item m="1" x="592"/>
        <item m="1" x="599"/>
        <item m="1" x="603"/>
        <item m="1" x="611"/>
        <item m="1" x="697"/>
        <item m="1" x="543"/>
        <item m="1" x="840"/>
        <item m="1" x="964"/>
        <item m="1" x="95"/>
        <item m="1" x="878"/>
        <item m="1" x="729"/>
        <item m="1" x="749"/>
        <item m="1" x="848"/>
        <item m="1" x="423"/>
        <item m="1" x="431"/>
        <item m="1" x="437"/>
        <item m="1" x="890"/>
        <item m="1" x="568"/>
        <item m="1" x="667"/>
        <item m="1" x="678"/>
        <item m="1" x="683"/>
        <item m="1" x="235"/>
        <item m="1" x="242"/>
        <item m="1" x="468"/>
        <item m="1" x="251"/>
        <item m="1" x="257"/>
        <item m="1" x="528"/>
        <item m="1" x="552"/>
        <item m="1" x="497"/>
        <item m="1" x="499"/>
        <item m="1" x="510"/>
        <item m="1" x="515"/>
        <item m="1" x="521"/>
        <item m="1" x="527"/>
        <item m="1" x="369"/>
        <item m="1" x="679"/>
        <item m="1" x="192"/>
        <item m="1" x="548"/>
        <item m="1" x="456"/>
        <item m="1" x="563"/>
        <item m="1" x="124"/>
        <item m="1" x="316"/>
        <item m="1" x="386"/>
        <item m="1" x="391"/>
        <item m="1" x="397"/>
        <item m="1" x="402"/>
        <item m="1" x="946"/>
        <item m="1" x="554"/>
        <item m="1" x="410"/>
        <item m="1" x="927"/>
        <item m="1" x="203"/>
        <item m="1" x="172"/>
        <item m="1" x="175"/>
        <item m="1" x="906"/>
        <item m="1" x="933"/>
        <item m="1" x="941"/>
        <item m="1" x="842"/>
        <item m="1" x="329"/>
        <item m="1" x="349"/>
        <item m="1" x="139"/>
        <item m="1" x="420"/>
        <item m="1" x="535"/>
        <item m="1" x="617"/>
        <item m="1" x="855"/>
        <item m="1" x="835"/>
        <item m="1" x="867"/>
        <item m="1" x="875"/>
        <item m="1" x="888"/>
        <item m="1" x="901"/>
        <item m="1" x="911"/>
        <item m="1" x="934"/>
        <item m="1" x="942"/>
        <item m="1" x="953"/>
        <item m="1" x="408"/>
        <item m="1" x="335"/>
        <item x="0"/>
        <item x="1"/>
        <item x="3"/>
        <item x="4"/>
        <item x="5"/>
        <item x="6"/>
        <item x="7"/>
        <item x="16"/>
        <item x="17"/>
        <item t="default"/>
      </items>
    </pivotField>
    <pivotField showAll="0"/>
    <pivotField showAll="0"/>
    <pivotField showAll="0" defaultSubtotal="0"/>
    <pivotField showAll="0" defaultSubtotal="0"/>
    <pivotField showAll="0"/>
    <pivotField multipleItemSelectionAllowed="1" showAll="0"/>
    <pivotField showAll="0"/>
    <pivotField showAll="0"/>
    <pivotField showAll="0"/>
    <pivotField showAll="0"/>
    <pivotField showAll="0" defaultSubtotal="0"/>
    <pivotField axis="axisRow" outline="0" showAll="0" defaultSubtotal="0">
      <items count="110">
        <item m="1" x="52"/>
        <item x="18"/>
        <item x="1"/>
        <item m="1" x="63"/>
        <item x="10"/>
        <item x="26"/>
        <item m="1" x="70"/>
        <item m="1" x="58"/>
        <item x="13"/>
        <item m="1" x="94"/>
        <item x="15"/>
        <item m="1" x="100"/>
        <item x="17"/>
        <item m="1" x="69"/>
        <item m="1" x="86"/>
        <item x="8"/>
        <item m="1" x="53"/>
        <item m="1" x="85"/>
        <item x="5"/>
        <item x="2"/>
        <item m="1" x="101"/>
        <item m="1" x="67"/>
        <item m="1" x="107"/>
        <item m="1" x="62"/>
        <item x="21"/>
        <item m="1" x="55"/>
        <item x="32"/>
        <item m="1" x="75"/>
        <item m="1" x="56"/>
        <item m="1" x="97"/>
        <item x="43"/>
        <item m="1" x="78"/>
        <item m="1" x="95"/>
        <item x="14"/>
        <item x="9"/>
        <item m="1" x="76"/>
        <item m="1" x="46"/>
        <item m="1" x="48"/>
        <item x="41"/>
        <item m="1" x="98"/>
        <item m="1" x="51"/>
        <item m="1" x="44"/>
        <item m="1" x="90"/>
        <item m="1" x="57"/>
        <item m="1" x="50"/>
        <item m="1" x="88"/>
        <item x="25"/>
        <item x="24"/>
        <item x="23"/>
        <item x="3"/>
        <item x="22"/>
        <item x="35"/>
        <item x="6"/>
        <item x="12"/>
        <item x="0"/>
        <item x="16"/>
        <item x="7"/>
        <item m="1" x="77"/>
        <item x="30"/>
        <item m="1" x="49"/>
        <item m="1" x="96"/>
        <item x="33"/>
        <item m="1" x="83"/>
        <item m="1" x="73"/>
        <item x="11"/>
        <item m="1" x="47"/>
        <item m="1" x="93"/>
        <item m="1" x="64"/>
        <item m="1" x="45"/>
        <item m="1" x="105"/>
        <item m="1" x="84"/>
        <item m="1" x="60"/>
        <item m="1" x="59"/>
        <item x="20"/>
        <item m="1" x="80"/>
        <item x="19"/>
        <item m="1" x="91"/>
        <item m="1" x="99"/>
        <item m="1" x="102"/>
        <item x="36"/>
        <item m="1" x="79"/>
        <item x="27"/>
        <item x="28"/>
        <item m="1" x="54"/>
        <item m="1" x="109"/>
        <item m="1" x="82"/>
        <item m="1" x="61"/>
        <item m="1" x="66"/>
        <item x="29"/>
        <item x="38"/>
        <item x="4"/>
        <item x="31"/>
        <item m="1" x="81"/>
        <item m="1" x="74"/>
        <item x="34"/>
        <item m="1" x="89"/>
        <item m="1" x="71"/>
        <item x="37"/>
        <item m="1" x="106"/>
        <item m="1" x="72"/>
        <item m="1" x="108"/>
        <item x="40"/>
        <item x="39"/>
        <item m="1" x="103"/>
        <item x="42"/>
        <item m="1" x="87"/>
        <item m="1" x="68"/>
        <item m="1" x="104"/>
        <item m="1" x="65"/>
        <item m="1" x="92"/>
      </items>
      <extLst>
        <ext xmlns:x14="http://schemas.microsoft.com/office/spreadsheetml/2009/9/main" uri="{2946ED86-A175-432a-8AC1-64E0C546D7DE}">
          <x14:pivotField fillDownLabels="1"/>
        </ext>
      </extLst>
    </pivotField>
    <pivotField numFmtId="22" showAll="0"/>
    <pivotField showAll="0"/>
    <pivotField showAll="0" defaultSubtotal="0"/>
    <pivotField showAll="0" defaultSubtotal="0"/>
    <pivotField showAll="0"/>
    <pivotField axis="axisCol" showAll="0">
      <items count="9">
        <item x="3"/>
        <item x="0"/>
        <item m="1" x="7"/>
        <item x="1"/>
        <item x="4"/>
        <item m="1" x="6"/>
        <item m="1" x="5"/>
        <item x="2"/>
        <item t="default"/>
      </items>
    </pivotField>
    <pivotField axis="axisPage" multipleItemSelectionAllowed="1" showAll="0">
      <items count="11">
        <item h="1" x="0"/>
        <item x="4"/>
        <item h="1" x="1"/>
        <item h="1" x="6"/>
        <item h="1" x="3"/>
        <item h="1" x="5"/>
        <item h="1" m="1" x="8"/>
        <item h="1" m="1" x="7"/>
        <item h="1" m="1" x="9"/>
        <item h="1" x="2"/>
        <item t="default"/>
      </items>
    </pivotField>
    <pivotField showAll="0"/>
    <pivotField showAll="0" defaultSubtotal="0"/>
    <pivotField showAll="0" defaultSubtotal="0"/>
    <pivotField showAll="0"/>
    <pivotField showAll="0"/>
    <pivotField showAll="0" defaultSubtotal="0"/>
    <pivotField multipleItemSelectionAllowed="1" showAll="0"/>
    <pivotField showAll="0" defaultSubtotal="0"/>
    <pivotField showAll="0" defaultSubtotal="0"/>
    <pivotField showAll="0"/>
    <pivotField axis="axisPage" multipleItemSelectionAllowed="1" showAll="0">
      <items count="4">
        <item x="0"/>
        <item h="1" m="1" x="2"/>
        <item h="1" x="1"/>
        <item t="default"/>
      </items>
    </pivotField>
    <pivotField axis="axisPage" multipleItemSelectionAllowed="1" showAll="0">
      <items count="3">
        <item m="1" x="1"/>
        <item x="0"/>
        <item t="default"/>
      </items>
    </pivotField>
  </pivotFields>
  <rowFields count="2">
    <field x="12"/>
    <field x="0"/>
  </rowFields>
  <rowItems count="101">
    <i>
      <x v="8"/>
      <x v="397"/>
    </i>
    <i r="1">
      <x v="398"/>
    </i>
    <i r="1">
      <x v="423"/>
    </i>
    <i r="1">
      <x v="434"/>
    </i>
    <i r="1">
      <x v="453"/>
    </i>
    <i r="1">
      <x v="521"/>
    </i>
    <i r="1">
      <x v="541"/>
    </i>
    <i r="1">
      <x v="622"/>
    </i>
    <i r="1">
      <x v="662"/>
    </i>
    <i r="1">
      <x v="700"/>
    </i>
    <i r="1">
      <x v="723"/>
    </i>
    <i r="1">
      <x v="724"/>
    </i>
    <i r="1">
      <x v="757"/>
    </i>
    <i r="1">
      <x v="759"/>
    </i>
    <i r="1">
      <x v="1007"/>
    </i>
    <i r="1">
      <x v="1008"/>
    </i>
    <i r="1">
      <x v="1009"/>
    </i>
    <i r="1">
      <x v="1012"/>
    </i>
    <i>
      <x v="10"/>
      <x v="365"/>
    </i>
    <i r="1">
      <x v="398"/>
    </i>
    <i r="1">
      <x v="414"/>
    </i>
    <i r="1">
      <x v="434"/>
    </i>
    <i r="1">
      <x v="436"/>
    </i>
    <i r="1">
      <x v="453"/>
    </i>
    <i r="1">
      <x v="464"/>
    </i>
    <i r="1">
      <x v="507"/>
    </i>
    <i r="1">
      <x v="521"/>
    </i>
    <i r="1">
      <x v="541"/>
    </i>
    <i r="1">
      <x v="575"/>
    </i>
    <i r="1">
      <x v="601"/>
    </i>
    <i r="1">
      <x v="602"/>
    </i>
    <i r="1">
      <x v="620"/>
    </i>
    <i r="1">
      <x v="621"/>
    </i>
    <i r="1">
      <x v="623"/>
    </i>
    <i r="1">
      <x v="624"/>
    </i>
    <i r="1">
      <x v="625"/>
    </i>
    <i r="1">
      <x v="626"/>
    </i>
    <i r="1">
      <x v="630"/>
    </i>
    <i r="1">
      <x v="662"/>
    </i>
    <i r="1">
      <x v="706"/>
    </i>
    <i r="1">
      <x v="724"/>
    </i>
    <i r="1">
      <x v="757"/>
    </i>
    <i r="1">
      <x v="775"/>
    </i>
    <i r="1">
      <x v="832"/>
    </i>
    <i r="1">
      <x v="833"/>
    </i>
    <i r="1">
      <x v="834"/>
    </i>
    <i r="1">
      <x v="884"/>
    </i>
    <i r="1">
      <x v="1007"/>
    </i>
    <i r="1">
      <x v="1009"/>
    </i>
    <i r="1">
      <x v="1012"/>
    </i>
    <i>
      <x v="38"/>
      <x v="840"/>
    </i>
    <i>
      <x v="46"/>
      <x v="398"/>
    </i>
    <i>
      <x v="55"/>
      <x v="365"/>
    </i>
    <i r="1">
      <x v="398"/>
    </i>
    <i r="1">
      <x v="414"/>
    </i>
    <i r="1">
      <x v="434"/>
    </i>
    <i r="1">
      <x v="453"/>
    </i>
    <i r="1">
      <x v="464"/>
    </i>
    <i r="1">
      <x v="507"/>
    </i>
    <i r="1">
      <x v="621"/>
    </i>
    <i r="1">
      <x v="622"/>
    </i>
    <i r="1">
      <x v="623"/>
    </i>
    <i r="1">
      <x v="624"/>
    </i>
    <i r="1">
      <x v="626"/>
    </i>
    <i r="1">
      <x v="630"/>
    </i>
    <i r="1">
      <x v="723"/>
    </i>
    <i r="1">
      <x v="757"/>
    </i>
    <i r="1">
      <x v="800"/>
    </i>
    <i r="1">
      <x v="812"/>
    </i>
    <i r="1">
      <x v="832"/>
    </i>
    <i r="1">
      <x v="833"/>
    </i>
    <i r="1">
      <x v="834"/>
    </i>
    <i r="1">
      <x v="839"/>
    </i>
    <i r="1">
      <x v="840"/>
    </i>
    <i r="1">
      <x v="896"/>
    </i>
    <i r="1">
      <x v="898"/>
    </i>
    <i r="1">
      <x v="901"/>
    </i>
    <i r="1">
      <x v="904"/>
    </i>
    <i r="1">
      <x v="1008"/>
    </i>
    <i r="1">
      <x v="1009"/>
    </i>
    <i>
      <x v="56"/>
      <x v="365"/>
    </i>
    <i r="1">
      <x v="397"/>
    </i>
    <i r="1">
      <x v="436"/>
    </i>
    <i r="1">
      <x v="453"/>
    </i>
    <i r="1">
      <x v="599"/>
    </i>
    <i r="1">
      <x v="665"/>
    </i>
    <i r="1">
      <x v="723"/>
    </i>
    <i r="1">
      <x v="724"/>
    </i>
    <i r="1">
      <x v="757"/>
    </i>
    <i r="1">
      <x v="760"/>
    </i>
    <i r="1">
      <x v="800"/>
    </i>
    <i r="1">
      <x v="805"/>
    </i>
    <i r="1">
      <x v="832"/>
    </i>
    <i r="1">
      <x v="833"/>
    </i>
    <i r="1">
      <x v="834"/>
    </i>
    <i r="1">
      <x v="836"/>
    </i>
    <i r="1">
      <x v="1006"/>
    </i>
    <i>
      <x v="61"/>
      <x v="706"/>
    </i>
    <i>
      <x v="101"/>
      <x v="813"/>
    </i>
    <i r="1">
      <x v="840"/>
    </i>
    <i t="grand">
      <x/>
    </i>
  </rowItems>
  <colFields count="1">
    <field x="18"/>
  </colFields>
  <colItems count="6">
    <i>
      <x/>
    </i>
    <i>
      <x v="1"/>
    </i>
    <i>
      <x v="3"/>
    </i>
    <i>
      <x v="4"/>
    </i>
    <i>
      <x v="7"/>
    </i>
    <i t="grand">
      <x/>
    </i>
  </colItems>
  <pageFields count="3">
    <pageField fld="31" hier="-1"/>
    <pageField fld="30" hier="-1"/>
    <pageField fld="19" hier="-1"/>
  </pageFields>
  <dataFields count="1">
    <dataField name="Count of tmp-number" fld="0" subtotal="count" baseField="0" baseItem="86"/>
  </dataFields>
  <formats count="3">
    <format dxfId="58">
      <pivotArea outline="0" collapsedLevelsAreSubtotals="1" fieldPosition="0"/>
    </format>
    <format dxfId="57">
      <pivotArea dataOnly="0" labelOnly="1" fieldPosition="0">
        <references count="1">
          <reference field="18" count="3">
            <x v="0"/>
            <x v="1"/>
            <x v="4"/>
          </reference>
        </references>
      </pivotArea>
    </format>
    <format dxfId="56">
      <pivotArea dataOnly="0" labelOnly="1" grandCol="1" outline="0" fieldPosition="0"/>
    </format>
  </formats>
  <pivotTableStyleInfo name="PivotStyleLight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H5:O107" firstHeaderRow="1" firstDataRow="2" firstDataCol="2" rowPageCount="2" colPageCount="1"/>
  <pivotFields count="32">
    <pivotField axis="axisRow" dataField="1" showAll="0">
      <items count="1016">
        <item m="1" x="935"/>
        <item m="1" x="259"/>
        <item m="1" x="268"/>
        <item m="1" x="277"/>
        <item m="1" x="291"/>
        <item m="1" x="1012"/>
        <item m="1" x="734"/>
        <item m="1" x="159"/>
        <item m="1" x="206"/>
        <item m="1" x="288"/>
        <item m="1" x="532"/>
        <item m="1" x="996"/>
        <item m="1" x="695"/>
        <item m="1" x="705"/>
        <item m="1" x="542"/>
        <item x="63"/>
        <item x="59"/>
        <item m="1" x="491"/>
        <item m="1" x="503"/>
        <item m="1" x="516"/>
        <item m="1" x="827"/>
        <item m="1" x="978"/>
        <item m="1" x="990"/>
        <item m="1" x="806"/>
        <item x="49"/>
        <item m="1" x="882"/>
        <item m="1" x="896"/>
        <item m="1" x="345"/>
        <item m="1" x="382"/>
        <item m="1" x="758"/>
        <item m="1" x="768"/>
        <item m="1" x="487"/>
        <item m="1" x="989"/>
        <item m="1" x="435"/>
        <item m="1" x="555"/>
        <item m="1" x="643"/>
        <item m="1" x="649"/>
        <item m="1" x="657"/>
        <item m="1" x="664"/>
        <item m="1" x="676"/>
        <item m="1" x="682"/>
        <item m="1" x="774"/>
        <item m="1" x="781"/>
        <item x="50"/>
        <item m="1" x="363"/>
        <item m="1" x="852"/>
        <item m="1" x="863"/>
        <item m="1" x="873"/>
        <item m="1" x="884"/>
        <item m="1" x="898"/>
        <item m="1" x="907"/>
        <item m="1" x="850"/>
        <item m="1" x="862"/>
        <item m="1" x="281"/>
        <item m="1" x="738"/>
        <item m="1" x="860"/>
        <item x="64"/>
        <item m="1" x="126"/>
        <item m="1" x="338"/>
        <item m="1" x="537"/>
        <item m="1" x="541"/>
        <item m="1" x="576"/>
        <item m="1" x="88"/>
        <item m="1" x="398"/>
        <item m="1" x="445"/>
        <item x="54"/>
        <item x="53"/>
        <item x="52"/>
        <item m="1" x="614"/>
        <item x="58"/>
        <item m="1" x="152"/>
        <item m="1" x="174"/>
        <item m="1" x="232"/>
        <item m="1" x="312"/>
        <item m="1" x="319"/>
        <item m="1" x="325"/>
        <item m="1" x="334"/>
        <item m="1" x="341"/>
        <item m="1" x="347"/>
        <item m="1" x="357"/>
        <item m="1" x="365"/>
        <item m="1" x="700"/>
        <item m="1" x="947"/>
        <item x="48"/>
        <item m="1" x="970"/>
        <item m="1" x="283"/>
        <item m="1" x="332"/>
        <item m="1" x="374"/>
        <item m="1" x="579"/>
        <item m="1" x="628"/>
        <item m="1" x="655"/>
        <item m="1" x="757"/>
        <item m="1" x="673"/>
        <item m="1" x="779"/>
        <item x="66"/>
        <item m="1" x="969"/>
        <item m="1" x="973"/>
        <item m="1" x="982"/>
        <item m="1" x="1009"/>
        <item m="1" x="75"/>
        <item m="1" x="84"/>
        <item m="1" x="91"/>
        <item m="1" x="115"/>
        <item x="57"/>
        <item m="1" x="132"/>
        <item m="1" x="161"/>
        <item m="1" x="170"/>
        <item m="1" x="273"/>
        <item m="1" x="282"/>
        <item m="1" x="296"/>
        <item m="1" x="323"/>
        <item m="1" x="633"/>
        <item m="1" x="638"/>
        <item m="1" x="648"/>
        <item m="1" x="894"/>
        <item m="1" x="981"/>
        <item m="1" x="73"/>
        <item m="1" x="225"/>
        <item m="1" x="237"/>
        <item m="1" x="246"/>
        <item m="1" x="254"/>
        <item m="1" x="261"/>
        <item m="1" x="271"/>
        <item m="1" x="279"/>
        <item m="1" x="315"/>
        <item m="1" x="322"/>
        <item m="1" x="331"/>
        <item m="1" x="373"/>
        <item m="1" x="305"/>
        <item x="65"/>
        <item x="68"/>
        <item m="1" x="625"/>
        <item m="1" x="637"/>
        <item m="1" x="668"/>
        <item m="1" x="718"/>
        <item x="67"/>
        <item x="56"/>
        <item m="1" x="858"/>
        <item m="1" x="870"/>
        <item m="1" x="879"/>
        <item m="1" x="893"/>
        <item m="1" x="344"/>
        <item m="1" x="692"/>
        <item m="1" x="724"/>
        <item m="1" x="785"/>
        <item m="1" x="793"/>
        <item m="1" x="814"/>
        <item m="1" x="825"/>
        <item m="1" x="857"/>
        <item m="1" x="869"/>
        <item m="1" x="891"/>
        <item m="1" x="955"/>
        <item m="1" x="70"/>
        <item m="1" x="111"/>
        <item m="1" x="121"/>
        <item m="1" x="243"/>
        <item x="51"/>
        <item m="1" x="313"/>
        <item m="1" x="469"/>
        <item m="1" x="856"/>
        <item m="1" x="868"/>
        <item m="1" x="877"/>
        <item m="1" x="902"/>
        <item m="1" x="276"/>
        <item m="1" x="289"/>
        <item m="1" x="350"/>
        <item m="1" x="419"/>
        <item m="1" x="587"/>
        <item x="60"/>
        <item m="1" x="636"/>
        <item m="1" x="651"/>
        <item m="1" x="710"/>
        <item m="1" x="732"/>
        <item m="1" x="388"/>
        <item m="1" x="392"/>
        <item m="1" x="412"/>
        <item m="1" x="446"/>
        <item m="1" x="466"/>
        <item m="1" x="607"/>
        <item m="1" x="644"/>
        <item m="1" x="650"/>
        <item m="1" x="747"/>
        <item m="1" x="798"/>
        <item m="1" x="809"/>
        <item m="1" x="821"/>
        <item m="1" x="837"/>
        <item m="1" x="845"/>
        <item m="1" x="1003"/>
        <item m="1" x="1013"/>
        <item m="1" x="87"/>
        <item m="1" x="94"/>
        <item m="1" x="107"/>
        <item m="1" x="118"/>
        <item m="1" x="173"/>
        <item m="1" x="204"/>
        <item m="1" x="214"/>
        <item m="1" x="223"/>
        <item m="1" x="299"/>
        <item m="1" x="311"/>
        <item m="1" x="478"/>
        <item m="1" x="562"/>
        <item m="1" x="642"/>
        <item m="1" x="836"/>
        <item m="1" x="177"/>
        <item m="1" x="178"/>
        <item m="1" x="477"/>
        <item x="55"/>
        <item m="1" x="1011"/>
        <item m="1" x="129"/>
        <item m="1" x="150"/>
        <item x="62"/>
        <item m="1" x="190"/>
        <item m="1" x="207"/>
        <item m="1" x="212"/>
        <item m="1" x="354"/>
        <item m="1" x="414"/>
        <item m="1" x="495"/>
        <item m="1" x="506"/>
        <item x="61"/>
        <item m="1" x="656"/>
        <item m="1" x="162"/>
        <item m="1" x="461"/>
        <item m="1" x="559"/>
        <item m="1" x="574"/>
        <item m="1" x="582"/>
        <item m="1" x="591"/>
        <item m="1" x="596"/>
        <item m="1" x="602"/>
        <item m="1" x="610"/>
        <item m="1" x="670"/>
        <item m="1" x="686"/>
        <item m="1" x="696"/>
        <item m="1" x="739"/>
        <item m="1" x="754"/>
        <item m="1" x="771"/>
        <item m="1" x="787"/>
        <item m="1" x="872"/>
        <item m="1" x="895"/>
        <item m="1" x="926"/>
        <item m="1" x="945"/>
        <item m="1" x="951"/>
        <item m="1" x="961"/>
        <item m="1" x="968"/>
        <item m="1" x="141"/>
        <item m="1" x="196"/>
        <item m="1" x="218"/>
        <item m="1" x="226"/>
        <item m="1" x="238"/>
        <item m="1" x="247"/>
        <item m="1" x="944"/>
        <item m="1" x="127"/>
        <item m="1" x="481"/>
        <item m="1" x="492"/>
        <item m="1" x="719"/>
        <item m="1" x="759"/>
        <item m="1" x="815"/>
        <item m="1" x="859"/>
        <item m="1" x="958"/>
        <item m="1" x="966"/>
        <item m="1" x="270"/>
        <item m="1" x="339"/>
        <item m="1" x="381"/>
        <item m="1" x="403"/>
        <item m="1" x="871"/>
        <item m="1" x="880"/>
        <item m="1" x="905"/>
        <item m="1" x="293"/>
        <item m="1" x="304"/>
        <item m="1" x="314"/>
        <item m="1" x="917"/>
        <item m="1" x="999"/>
        <item m="1" x="97"/>
        <item m="1" x="181"/>
        <item m="1" x="184"/>
        <item m="1" x="557"/>
        <item m="1" x="567"/>
        <item m="1" x="616"/>
        <item m="1" x="624"/>
        <item m="1" x="631"/>
        <item m="1" x="188"/>
        <item m="1" x="258"/>
        <item m="1" x="321"/>
        <item m="1" x="337"/>
        <item m="1" x="370"/>
        <item m="1" x="379"/>
        <item m="1" x="452"/>
        <item m="1" x="565"/>
        <item x="42"/>
        <item x="47"/>
        <item m="1" x="711"/>
        <item m="1" x="889"/>
        <item m="1" x="913"/>
        <item m="1" x="912"/>
        <item m="1" x="922"/>
        <item m="1" x="936"/>
        <item m="1" x="988"/>
        <item m="1" x="993"/>
        <item m="1" x="78"/>
        <item m="1" x="109"/>
        <item m="1" x="485"/>
        <item m="1" x="782"/>
        <item m="1" x="789"/>
        <item m="1" x="799"/>
        <item m="1" x="810"/>
        <item m="1" x="813"/>
        <item m="1" x="822"/>
        <item m="1" x="838"/>
        <item m="1" x="846"/>
        <item m="1" x="854"/>
        <item m="1" x="866"/>
        <item m="1" x="910"/>
        <item m="1" x="976"/>
        <item m="1" x="992"/>
        <item m="1" x="1004"/>
        <item m="1" x="77"/>
        <item m="1" x="342"/>
        <item m="1" x="358"/>
        <item m="1" x="641"/>
        <item m="1" x="807"/>
        <item m="1" x="819"/>
        <item m="1" x="843"/>
        <item m="1" x="919"/>
        <item m="1" x="176"/>
        <item x="43"/>
        <item m="1" x="355"/>
        <item x="26"/>
        <item m="1" x="409"/>
        <item m="1" x="199"/>
        <item m="1" x="831"/>
        <item m="1" x="263"/>
        <item m="1" x="307"/>
        <item m="1" x="395"/>
        <item m="1" x="405"/>
        <item m="1" x="413"/>
        <item m="1" x="424"/>
        <item m="1" x="432"/>
        <item m="1" x="438"/>
        <item m="1" x="531"/>
        <item m="1" x="805"/>
        <item m="1" x="811"/>
        <item m="1" x="830"/>
        <item m="1" x="939"/>
        <item m="1" x="83"/>
        <item m="1" x="114"/>
        <item m="1" x="210"/>
        <item m="1" x="262"/>
        <item m="1" x="460"/>
        <item m="1" x="504"/>
        <item m="1" x="685"/>
        <item m="1" x="704"/>
        <item m="1" x="713"/>
        <item m="1" x="720"/>
        <item m="1" x="726"/>
        <item m="1" x="736"/>
        <item m="1" x="743"/>
        <item m="1" x="750"/>
        <item m="1" x="959"/>
        <item m="1" x="967"/>
        <item m="1" x="113"/>
        <item m="1" x="421"/>
        <item m="1" x="429"/>
        <item m="1" x="436"/>
        <item m="1" x="459"/>
        <item m="1" x="473"/>
        <item m="1" x="490"/>
        <item m="1" x="512"/>
        <item m="1" x="302"/>
        <item m="1" x="470"/>
        <item m="1" x="480"/>
        <item m="1" x="826"/>
        <item m="1" x="361"/>
        <item m="1" x="371"/>
        <item m="1" x="376"/>
        <item m="1" x="380"/>
        <item m="1" x="389"/>
        <item m="1" x="522"/>
        <item m="1" x="622"/>
        <item m="1" x="800"/>
        <item m="1" x="154"/>
        <item m="1" x="275"/>
        <item m="1" x="440"/>
        <item m="1" x="509"/>
        <item x="44"/>
        <item m="1" x="551"/>
        <item m="1" x="585"/>
        <item m="1" x="601"/>
        <item m="1" x="665"/>
        <item m="1" x="708"/>
        <item m="1" x="748"/>
        <item m="1" x="887"/>
        <item m="1" x="520"/>
        <item x="46"/>
        <item m="1" x="853"/>
        <item m="1" x="991"/>
        <item m="1" x="164"/>
        <item m="1" x="191"/>
        <item m="1" x="201"/>
        <item m="1" x="285"/>
        <item m="1" x="297"/>
        <item m="1" x="309"/>
        <item m="1" x="364"/>
        <item x="25"/>
        <item m="1" x="613"/>
        <item m="1" x="688"/>
        <item m="1" x="897"/>
        <item m="1" x="984"/>
        <item m="1" x="163"/>
        <item m="1" x="171"/>
        <item m="1" x="333"/>
        <item m="1" x="425"/>
        <item m="1" x="433"/>
        <item m="1" x="439"/>
        <item m="1" x="756"/>
        <item m="1" x="764"/>
        <item m="1" x="962"/>
        <item m="1" x="101"/>
        <item m="1" x="198"/>
        <item m="1" x="462"/>
        <item m="1" x="472"/>
        <item m="1" x="597"/>
        <item x="45"/>
        <item m="1" x="804"/>
        <item m="1" x="493"/>
        <item m="1" x="796"/>
        <item m="1" x="950"/>
        <item m="1" x="995"/>
        <item m="1" x="1008"/>
        <item m="1" x="160"/>
        <item m="1" x="404"/>
        <item m="1" x="442"/>
        <item m="1" x="449"/>
        <item m="1" x="517"/>
        <item m="1" x="529"/>
        <item m="1" x="536"/>
        <item m="1" x="538"/>
        <item m="1" x="328"/>
        <item m="1" x="351"/>
        <item m="1" x="362"/>
        <item m="1" x="455"/>
        <item m="1" x="500"/>
        <item m="1" x="523"/>
        <item m="1" x="573"/>
        <item x="39"/>
        <item m="1" x="632"/>
        <item m="1" x="925"/>
        <item m="1" x="956"/>
        <item m="1" x="71"/>
        <item m="1" x="716"/>
        <item m="1" x="783"/>
        <item m="1" x="290"/>
        <item m="1" x="327"/>
        <item m="1" x="394"/>
        <item m="1" x="467"/>
        <item m="1" x="658"/>
        <item m="1" x="801"/>
        <item m="1" x="823"/>
        <item m="1" x="847"/>
        <item m="1" x="937"/>
        <item m="1" x="943"/>
        <item m="1" x="948"/>
        <item m="1" x="954"/>
        <item m="1" x="977"/>
        <item m="1" x="96"/>
        <item m="1" x="110"/>
        <item x="40"/>
        <item m="1" x="709"/>
        <item m="1" x="136"/>
        <item x="41"/>
        <item m="1" x="546"/>
        <item m="1" x="215"/>
        <item m="1" x="359"/>
        <item m="1" x="366"/>
        <item m="1" x="387"/>
        <item m="1" x="508"/>
        <item m="1" x="166"/>
        <item m="1" x="230"/>
        <item m="1" x="240"/>
        <item m="1" x="249"/>
        <item m="1" x="416"/>
        <item m="1" x="584"/>
        <item m="1" x="594"/>
        <item m="1" x="820"/>
        <item m="1" x="844"/>
        <item m="1" x="886"/>
        <item m="1" x="928"/>
        <item m="1" x="85"/>
        <item m="1" x="92"/>
        <item m="1" x="105"/>
        <item m="1" x="123"/>
        <item m="1" x="143"/>
        <item x="38"/>
        <item m="1" x="213"/>
        <item m="1" x="221"/>
        <item m="1" x="426"/>
        <item m="1" x="443"/>
        <item m="1" x="450"/>
        <item x="37"/>
        <item m="1" x="580"/>
        <item m="1" x="200"/>
        <item m="1" x="496"/>
        <item m="1" x="634"/>
        <item m="1" x="640"/>
        <item m="1" x="812"/>
        <item m="1" x="851"/>
        <item m="1" x="797"/>
        <item m="1" x="513"/>
        <item m="1" x="518"/>
        <item m="1" x="524"/>
        <item m="1" x="530"/>
        <item m="1" x="539"/>
        <item m="1" x="694"/>
        <item m="1" x="751"/>
        <item m="1" x="760"/>
        <item m="1" x="769"/>
        <item m="1" x="881"/>
        <item m="1" x="253"/>
        <item m="1" x="260"/>
        <item m="1" x="422"/>
        <item m="1" x="430"/>
        <item x="36"/>
        <item m="1" x="904"/>
        <item m="1" x="949"/>
        <item x="27"/>
        <item m="1" x="303"/>
        <item m="1" x="167"/>
        <item m="1" x="447"/>
        <item m="1" x="488"/>
        <item m="1" x="608"/>
        <item m="1" x="684"/>
        <item m="1" x="690"/>
        <item m="1" x="784"/>
        <item m="1" x="924"/>
        <item m="1" x="791"/>
        <item m="1" x="824"/>
        <item m="1" x="839"/>
        <item m="1" x="79"/>
        <item m="1" x="89"/>
        <item m="1" x="155"/>
        <item m="1" x="187"/>
        <item m="1" x="216"/>
        <item x="21"/>
        <item m="1" x="393"/>
        <item m="1" x="533"/>
        <item m="1" x="540"/>
        <item m="1" x="287"/>
        <item m="1" x="348"/>
        <item m="1" x="411"/>
        <item m="1" x="702"/>
        <item m="1" x="1005"/>
        <item m="1" x="119"/>
        <item m="1" x="135"/>
        <item m="1" x="146"/>
        <item m="1" x="185"/>
        <item m="1" x="193"/>
        <item m="1" x="360"/>
        <item m="1" x="367"/>
        <item m="1" x="498"/>
        <item m="1" x="550"/>
        <item m="1" x="715"/>
        <item m="1" x="874"/>
        <item m="1" x="1014"/>
        <item m="1" x="76"/>
        <item m="1" x="464"/>
        <item m="1" x="483"/>
        <item m="1" x="571"/>
        <item m="1" x="595"/>
        <item m="1" x="701"/>
        <item m="1" x="707"/>
        <item m="1" x="714"/>
        <item m="1" x="952"/>
        <item m="1" x="974"/>
        <item m="1" x="1002"/>
        <item m="1" x="86"/>
        <item m="1" x="93"/>
        <item m="1" x="106"/>
        <item m="1" x="130"/>
        <item m="1" x="134"/>
        <item m="1" x="144"/>
        <item m="1" x="165"/>
        <item m="1" x="222"/>
        <item m="1" x="286"/>
        <item m="1" x="298"/>
        <item m="1" x="310"/>
        <item m="1" x="318"/>
        <item m="1" x="385"/>
        <item m="1" x="606"/>
        <item m="1" x="971"/>
        <item m="1" x="128"/>
        <item m="1" x="182"/>
        <item m="1" x="324"/>
        <item m="1" x="407"/>
        <item m="1" x="476"/>
        <item x="35"/>
        <item x="34"/>
        <item x="33"/>
        <item x="32"/>
        <item x="31"/>
        <item x="29"/>
        <item x="28"/>
        <item m="1" x="545"/>
        <item m="1" x="549"/>
        <item m="1" x="553"/>
        <item m="1" x="560"/>
        <item x="30"/>
        <item m="1" x="612"/>
        <item m="1" x="620"/>
        <item m="1" x="680"/>
        <item m="1" x="687"/>
        <item m="1" x="832"/>
        <item m="1" x="861"/>
        <item m="1" x="593"/>
        <item m="1" x="627"/>
        <item m="1" x="940"/>
        <item m="1" x="963"/>
        <item m="1" x="102"/>
        <item m="1" x="346"/>
        <item m="1" x="378"/>
        <item m="1" x="383"/>
        <item m="1" x="494"/>
        <item m="1" x="578"/>
        <item m="1" x="583"/>
        <item m="1" x="598"/>
        <item m="1" x="639"/>
        <item m="1" x="772"/>
        <item m="1" x="816"/>
        <item m="1" x="829"/>
        <item m="1" x="195"/>
        <item m="1" x="330"/>
        <item m="1" x="352"/>
        <item m="1" x="669"/>
        <item m="1" x="693"/>
        <item m="1" x="735"/>
        <item m="1" x="828"/>
        <item m="1" x="841"/>
        <item m="1" x="849"/>
        <item m="1" x="994"/>
        <item m="1" x="1000"/>
        <item m="1" x="1007"/>
        <item m="1" x="72"/>
        <item m="1" x="81"/>
        <item m="1" x="90"/>
        <item m="1" x="112"/>
        <item m="1" x="122"/>
        <item m="1" x="125"/>
        <item m="1" x="138"/>
        <item m="1" x="148"/>
        <item m="1" x="153"/>
        <item m="1" x="157"/>
        <item m="1" x="244"/>
        <item x="12"/>
        <item m="1" x="147"/>
        <item m="1" x="717"/>
        <item m="1" x="725"/>
        <item m="1" x="733"/>
        <item m="1" x="903"/>
        <item m="1" x="916"/>
        <item m="1" x="931"/>
        <item m="1" x="957"/>
        <item m="1" x="80"/>
        <item m="1" x="168"/>
        <item m="1" x="180"/>
        <item m="1" x="217"/>
        <item m="1" x="646"/>
        <item x="20"/>
        <item x="24"/>
        <item m="1" x="267"/>
        <item m="1" x="320"/>
        <item m="1" x="326"/>
        <item m="1" x="336"/>
        <item m="1" x="343"/>
        <item m="1" x="775"/>
        <item m="1" x="790"/>
        <item m="1" x="929"/>
        <item m="1" x="1006"/>
        <item m="1" x="69"/>
        <item m="1" x="120"/>
        <item m="1" x="479"/>
        <item m="1" x="486"/>
        <item m="1" x="742"/>
        <item m="1" x="417"/>
        <item m="1" x="427"/>
        <item m="1" x="434"/>
        <item m="1" x="556"/>
        <item m="1" x="108"/>
        <item m="1" x="300"/>
        <item m="1" x="208"/>
        <item m="1" x="229"/>
        <item m="1" x="600"/>
        <item x="23"/>
        <item m="1" x="663"/>
        <item m="1" x="674"/>
        <item m="1" x="681"/>
        <item m="1" x="689"/>
        <item m="1" x="731"/>
        <item m="1" x="864"/>
        <item m="1" x="885"/>
        <item m="1" x="1001"/>
        <item m="1" x="104"/>
        <item m="1" x="117"/>
        <item m="1" x="142"/>
        <item m="1" x="255"/>
        <item m="1" x="264"/>
        <item m="1" x="340"/>
        <item m="1" x="561"/>
        <item m="1" x="654"/>
        <item m="1" x="671"/>
        <item m="1" x="728"/>
        <item m="1" x="763"/>
        <item m="1" x="773"/>
        <item m="1" x="817"/>
        <item x="9"/>
        <item m="1" x="100"/>
        <item m="1" x="189"/>
        <item m="1" x="227"/>
        <item m="1" x="280"/>
        <item m="1" x="295"/>
        <item m="1" x="471"/>
        <item m="1" x="475"/>
        <item m="1" x="569"/>
        <item m="1" x="653"/>
        <item m="1" x="737"/>
        <item m="1" x="744"/>
        <item m="1" x="752"/>
        <item m="1" x="761"/>
        <item m="1" x="770"/>
        <item m="1" x="778"/>
        <item x="19"/>
        <item m="1" x="918"/>
        <item m="1" x="938"/>
        <item m="1" x="960"/>
        <item m="1" x="980"/>
        <item m="1" x="501"/>
        <item m="1" x="169"/>
        <item m="1" x="194"/>
        <item m="1" x="202"/>
        <item m="1" x="205"/>
        <item m="1" x="209"/>
        <item m="1" x="236"/>
        <item m="1" x="458"/>
        <item m="1" x="590"/>
        <item m="1" x="618"/>
        <item m="1" x="767"/>
        <item m="1" x="965"/>
        <item m="1" x="972"/>
        <item m="1" x="979"/>
        <item x="22"/>
        <item m="1" x="137"/>
        <item m="1" x="269"/>
        <item m="1" x="278"/>
        <item m="1" x="301"/>
        <item m="1" x="377"/>
        <item m="1" x="399"/>
        <item m="1" x="589"/>
        <item m="1" x="609"/>
        <item m="1" x="615"/>
        <item m="1" x="623"/>
        <item m="1" x="652"/>
        <item m="1" x="691"/>
        <item m="1" x="712"/>
        <item m="1" x="792"/>
        <item m="1" x="915"/>
        <item m="1" x="998"/>
        <item m="1" x="677"/>
        <item m="1" x="802"/>
        <item m="1" x="914"/>
        <item m="1" x="923"/>
        <item m="1" x="930"/>
        <item m="1" x="418"/>
        <item m="1" x="441"/>
        <item m="1" x="564"/>
        <item m="1" x="645"/>
        <item x="18"/>
        <item m="1" x="766"/>
        <item m="1" x="997"/>
        <item m="1" x="741"/>
        <item m="1" x="986"/>
        <item m="1" x="183"/>
        <item m="1" x="224"/>
        <item m="1" x="231"/>
        <item m="1" x="444"/>
        <item m="1" x="451"/>
        <item m="1" x="454"/>
        <item m="1" x="457"/>
        <item m="1" x="465"/>
        <item x="10"/>
        <item m="1" x="484"/>
        <item m="1" x="179"/>
        <item x="14"/>
        <item m="1" x="808"/>
        <item m="1" x="899"/>
        <item m="1" x="920"/>
        <item m="1" x="985"/>
        <item m="1" x="248"/>
        <item m="1" x="256"/>
        <item m="1" x="265"/>
        <item m="1" x="308"/>
        <item m="1" x="356"/>
        <item m="1" x="401"/>
        <item m="1" x="415"/>
        <item m="1" x="721"/>
        <item m="1" x="730"/>
        <item m="1" x="765"/>
        <item m="1" x="1010"/>
        <item m="1" x="103"/>
        <item m="1" x="116"/>
        <item m="1" x="406"/>
        <item m="1" x="570"/>
        <item m="1" x="575"/>
        <item x="8"/>
        <item m="1" x="505"/>
        <item m="1" x="525"/>
        <item m="1" x="661"/>
        <item m="1" x="740"/>
        <item m="1" x="746"/>
        <item m="1" x="755"/>
        <item m="1" x="74"/>
        <item m="1" x="131"/>
        <item m="1" x="197"/>
        <item m="1" x="272"/>
        <item m="1" x="306"/>
        <item m="1" x="400"/>
        <item m="1" x="482"/>
        <item m="1" x="727"/>
        <item m="1" x="745"/>
        <item m="1" x="753"/>
        <item m="1" x="558"/>
        <item m="1" x="619"/>
        <item m="1" x="626"/>
        <item m="1" x="777"/>
        <item m="1" x="786"/>
        <item m="1" x="794"/>
        <item m="1" x="803"/>
        <item m="1" x="82"/>
        <item x="11"/>
        <item m="1" x="98"/>
        <item m="1" x="158"/>
        <item x="13"/>
        <item m="1" x="892"/>
        <item m="1" x="932"/>
        <item m="1" x="156"/>
        <item m="1" x="252"/>
        <item m="1" x="292"/>
        <item m="1" x="428"/>
        <item m="1" x="448"/>
        <item m="1" x="453"/>
        <item m="1" x="489"/>
        <item m="1" x="534"/>
        <item m="1" x="547"/>
        <item m="1" x="630"/>
        <item x="15"/>
        <item m="1" x="647"/>
        <item m="1" x="776"/>
        <item m="1" x="511"/>
        <item m="1" x="566"/>
        <item m="1" x="572"/>
        <item m="1" x="577"/>
        <item m="1" x="581"/>
        <item m="1" x="588"/>
        <item m="1" x="629"/>
        <item m="1" x="659"/>
        <item m="1" x="666"/>
        <item m="1" x="723"/>
        <item m="1" x="234"/>
        <item m="1" x="703"/>
        <item m="1" x="876"/>
        <item m="1" x="186"/>
        <item m="1" x="368"/>
        <item m="1" x="375"/>
        <item m="1" x="975"/>
        <item m="1" x="987"/>
        <item m="1" x="145"/>
        <item m="1" x="507"/>
        <item m="1" x="514"/>
        <item x="2"/>
        <item m="1" x="635"/>
        <item m="1" x="675"/>
        <item m="1" x="865"/>
        <item m="1" x="900"/>
        <item m="1" x="699"/>
        <item m="1" x="780"/>
        <item m="1" x="788"/>
        <item m="1" x="908"/>
        <item m="1" x="151"/>
        <item m="1" x="220"/>
        <item m="1" x="228"/>
        <item m="1" x="239"/>
        <item m="1" x="266"/>
        <item m="1" x="274"/>
        <item m="1" x="284"/>
        <item m="1" x="317"/>
        <item m="1" x="384"/>
        <item m="1" x="605"/>
        <item m="1" x="722"/>
        <item m="1" x="818"/>
        <item m="1" x="834"/>
        <item m="1" x="883"/>
        <item m="1" x="149"/>
        <item m="1" x="833"/>
        <item m="1" x="983"/>
        <item m="1" x="390"/>
        <item m="1" x="396"/>
        <item m="1" x="463"/>
        <item m="1" x="519"/>
        <item m="1" x="526"/>
        <item m="1" x="544"/>
        <item m="1" x="604"/>
        <item m="1" x="698"/>
        <item m="1" x="706"/>
        <item m="1" x="211"/>
        <item m="1" x="219"/>
        <item m="1" x="140"/>
        <item m="1" x="245"/>
        <item m="1" x="294"/>
        <item m="1" x="372"/>
        <item m="1" x="502"/>
        <item m="1" x="795"/>
        <item m="1" x="662"/>
        <item m="1" x="672"/>
        <item m="1" x="660"/>
        <item m="1" x="762"/>
        <item m="1" x="133"/>
        <item m="1" x="99"/>
        <item m="1" x="353"/>
        <item m="1" x="586"/>
        <item m="1" x="474"/>
        <item m="1" x="909"/>
        <item m="1" x="921"/>
        <item m="1" x="233"/>
        <item m="1" x="241"/>
        <item m="1" x="250"/>
        <item m="1" x="621"/>
        <item m="1" x="592"/>
        <item m="1" x="599"/>
        <item m="1" x="603"/>
        <item m="1" x="611"/>
        <item m="1" x="697"/>
        <item m="1" x="543"/>
        <item m="1" x="840"/>
        <item m="1" x="964"/>
        <item m="1" x="95"/>
        <item m="1" x="878"/>
        <item m="1" x="729"/>
        <item m="1" x="749"/>
        <item m="1" x="848"/>
        <item m="1" x="423"/>
        <item m="1" x="431"/>
        <item m="1" x="437"/>
        <item m="1" x="890"/>
        <item m="1" x="568"/>
        <item m="1" x="667"/>
        <item m="1" x="678"/>
        <item m="1" x="683"/>
        <item m="1" x="235"/>
        <item m="1" x="242"/>
        <item m="1" x="468"/>
        <item m="1" x="251"/>
        <item m="1" x="257"/>
        <item m="1" x="528"/>
        <item m="1" x="552"/>
        <item m="1" x="497"/>
        <item m="1" x="499"/>
        <item m="1" x="510"/>
        <item m="1" x="515"/>
        <item m="1" x="521"/>
        <item m="1" x="527"/>
        <item m="1" x="369"/>
        <item m="1" x="679"/>
        <item m="1" x="192"/>
        <item m="1" x="548"/>
        <item m="1" x="456"/>
        <item m="1" x="563"/>
        <item m="1" x="124"/>
        <item m="1" x="316"/>
        <item m="1" x="386"/>
        <item m="1" x="391"/>
        <item m="1" x="397"/>
        <item m="1" x="402"/>
        <item m="1" x="946"/>
        <item m="1" x="554"/>
        <item m="1" x="410"/>
        <item m="1" x="927"/>
        <item m="1" x="203"/>
        <item m="1" x="172"/>
        <item m="1" x="175"/>
        <item m="1" x="906"/>
        <item m="1" x="933"/>
        <item m="1" x="941"/>
        <item m="1" x="842"/>
        <item m="1" x="329"/>
        <item m="1" x="349"/>
        <item m="1" x="139"/>
        <item m="1" x="420"/>
        <item m="1" x="535"/>
        <item m="1" x="617"/>
        <item m="1" x="855"/>
        <item m="1" x="835"/>
        <item m="1" x="867"/>
        <item m="1" x="875"/>
        <item m="1" x="888"/>
        <item m="1" x="901"/>
        <item m="1" x="911"/>
        <item m="1" x="934"/>
        <item m="1" x="942"/>
        <item m="1" x="953"/>
        <item m="1" x="408"/>
        <item m="1" x="335"/>
        <item x="0"/>
        <item x="1"/>
        <item x="3"/>
        <item x="4"/>
        <item x="5"/>
        <item x="6"/>
        <item x="7"/>
        <item x="16"/>
        <item x="17"/>
        <item t="default"/>
      </items>
    </pivotField>
    <pivotField showAll="0"/>
    <pivotField showAll="0"/>
    <pivotField showAll="0"/>
    <pivotField showAll="0"/>
    <pivotField showAll="0"/>
    <pivotField showAll="0"/>
    <pivotField showAll="0"/>
    <pivotField showAll="0"/>
    <pivotField showAll="0"/>
    <pivotField showAll="0"/>
    <pivotField showAll="0"/>
    <pivotField axis="axisRow" outline="0" showAll="0" defaultSubtotal="0">
      <items count="110">
        <item m="1" x="52"/>
        <item x="18"/>
        <item x="1"/>
        <item m="1" x="72"/>
        <item m="1" x="96"/>
        <item m="1" x="50"/>
        <item m="1" x="63"/>
        <item m="1" x="99"/>
        <item m="1" x="64"/>
        <item m="1" x="57"/>
        <item x="38"/>
        <item x="10"/>
        <item x="26"/>
        <item x="34"/>
        <item m="1" x="70"/>
        <item m="1" x="58"/>
        <item x="13"/>
        <item m="1" x="94"/>
        <item x="24"/>
        <item m="1" x="44"/>
        <item m="1" x="84"/>
        <item m="1" x="60"/>
        <item x="42"/>
        <item x="15"/>
        <item x="25"/>
        <item x="27"/>
        <item x="7"/>
        <item m="1" x="82"/>
        <item m="1" x="100"/>
        <item m="1" x="83"/>
        <item x="17"/>
        <item m="1" x="68"/>
        <item m="1" x="69"/>
        <item x="33"/>
        <item m="1" x="102"/>
        <item m="1" x="86"/>
        <item x="16"/>
        <item m="1" x="90"/>
        <item x="20"/>
        <item x="8"/>
        <item m="1" x="77"/>
        <item m="1" x="53"/>
        <item m="1" x="85"/>
        <item x="5"/>
        <item m="1" x="61"/>
        <item x="2"/>
        <item m="1" x="101"/>
        <item x="11"/>
        <item x="29"/>
        <item m="1" x="67"/>
        <item x="37"/>
        <item x="12"/>
        <item x="36"/>
        <item m="1" x="98"/>
        <item x="39"/>
        <item m="1" x="74"/>
        <item m="1" x="103"/>
        <item m="1" x="45"/>
        <item m="1" x="107"/>
        <item m="1" x="108"/>
        <item x="0"/>
        <item m="1" x="105"/>
        <item x="30"/>
        <item m="1" x="62"/>
        <item m="1" x="47"/>
        <item x="4"/>
        <item m="1" x="71"/>
        <item m="1" x="89"/>
        <item m="1" x="59"/>
        <item m="1" x="66"/>
        <item x="41"/>
        <item x="3"/>
        <item m="1" x="81"/>
        <item x="21"/>
        <item m="1" x="55"/>
        <item x="32"/>
        <item m="1" x="75"/>
        <item m="1" x="73"/>
        <item m="1" x="80"/>
        <item m="1" x="106"/>
        <item m="1" x="56"/>
        <item m="1" x="54"/>
        <item m="1" x="93"/>
        <item m="1" x="97"/>
        <item x="43"/>
        <item m="1" x="104"/>
        <item m="1" x="78"/>
        <item x="6"/>
        <item m="1" x="95"/>
        <item x="31"/>
        <item x="14"/>
        <item x="40"/>
        <item x="9"/>
        <item x="28"/>
        <item m="1" x="51"/>
        <item m="1" x="79"/>
        <item m="1" x="49"/>
        <item m="1" x="48"/>
        <item m="1" x="91"/>
        <item x="19"/>
        <item x="22"/>
        <item x="23"/>
        <item x="35"/>
        <item m="1" x="109"/>
        <item m="1" x="76"/>
        <item m="1" x="87"/>
        <item m="1" x="46"/>
        <item m="1" x="88"/>
        <item m="1" x="65"/>
        <item m="1" x="92"/>
      </items>
      <extLst>
        <ext xmlns:x14="http://schemas.microsoft.com/office/spreadsheetml/2009/9/main" uri="{2946ED86-A175-432a-8AC1-64E0C546D7DE}">
          <x14:pivotField fillDownLabels="1"/>
        </ext>
      </extLst>
    </pivotField>
    <pivotField numFmtId="22" showAll="0"/>
    <pivotField showAll="0"/>
    <pivotField showAll="0"/>
    <pivotField showAll="0"/>
    <pivotField showAll="0"/>
    <pivotField axis="axisCol" showAll="0">
      <items count="9">
        <item x="3"/>
        <item x="0"/>
        <item m="1" x="7"/>
        <item x="1"/>
        <item m="1" x="6"/>
        <item m="1" x="5"/>
        <item x="4"/>
        <item x="2"/>
        <item t="default"/>
      </items>
    </pivotField>
    <pivotField axis="axisPage" showAll="0">
      <items count="11">
        <item x="0"/>
        <item x="4"/>
        <item x="1"/>
        <item x="6"/>
        <item x="3"/>
        <item m="1" x="8"/>
        <item m="1" x="7"/>
        <item x="5"/>
        <item m="1" x="9"/>
        <item x="2"/>
        <item t="default"/>
      </items>
    </pivotField>
    <pivotField showAll="0"/>
    <pivotField axis="axisPage" showAll="0">
      <items count="5">
        <item m="1" x="3"/>
        <item x="2"/>
        <item x="1"/>
        <item x="0"/>
        <item t="default"/>
      </items>
    </pivotField>
    <pivotField showAll="0" defaultSubtotal="0"/>
    <pivotField showAll="0"/>
    <pivotField showAll="0"/>
    <pivotField showAll="0" defaultSubtotal="0"/>
    <pivotField showAll="0"/>
    <pivotField showAll="0"/>
    <pivotField showAll="0" defaultSubtotal="0"/>
    <pivotField showAll="0"/>
    <pivotField showAll="0"/>
    <pivotField showAll="0"/>
  </pivotFields>
  <rowFields count="2">
    <field x="12"/>
    <field x="0"/>
  </rowFields>
  <rowItems count="101">
    <i>
      <x v="16"/>
      <x v="287"/>
    </i>
    <i r="1">
      <x v="323"/>
    </i>
    <i r="1">
      <x v="382"/>
    </i>
    <i r="1">
      <x v="420"/>
    </i>
    <i r="1">
      <x v="442"/>
    </i>
    <i r="1">
      <x v="519"/>
    </i>
    <i r="1">
      <x v="540"/>
    </i>
    <i r="1">
      <x v="603"/>
    </i>
    <i r="1">
      <x v="649"/>
    </i>
    <i r="1">
      <x v="688"/>
    </i>
    <i r="1">
      <x v="784"/>
    </i>
    <i r="1">
      <x v="787"/>
    </i>
    <i r="1">
      <x v="808"/>
    </i>
    <i r="1">
      <x v="849"/>
    </i>
    <i r="1">
      <x v="1007"/>
    </i>
    <i r="1">
      <x v="1008"/>
    </i>
    <i r="1">
      <x v="1009"/>
    </i>
    <i r="1">
      <x v="1012"/>
    </i>
    <i>
      <x v="23"/>
      <x v="56"/>
    </i>
    <i r="1">
      <x v="65"/>
    </i>
    <i r="1">
      <x v="66"/>
    </i>
    <i r="1">
      <x v="67"/>
    </i>
    <i r="1">
      <x v="288"/>
    </i>
    <i r="1">
      <x v="323"/>
    </i>
    <i r="1">
      <x v="325"/>
    </i>
    <i r="1">
      <x v="382"/>
    </i>
    <i r="1">
      <x v="467"/>
    </i>
    <i r="1">
      <x v="519"/>
    </i>
    <i r="1">
      <x v="522"/>
    </i>
    <i r="1">
      <x v="540"/>
    </i>
    <i r="1">
      <x v="592"/>
    </i>
    <i r="1">
      <x v="593"/>
    </i>
    <i r="1">
      <x v="594"/>
    </i>
    <i r="1">
      <x v="595"/>
    </i>
    <i r="1">
      <x v="596"/>
    </i>
    <i r="1">
      <x v="597"/>
    </i>
    <i r="1">
      <x v="598"/>
    </i>
    <i r="1">
      <x v="664"/>
    </i>
    <i r="1">
      <x v="688"/>
    </i>
    <i r="1">
      <x v="710"/>
    </i>
    <i r="1">
      <x v="726"/>
    </i>
    <i r="1">
      <x v="771"/>
    </i>
    <i r="1">
      <x v="784"/>
    </i>
    <i r="1">
      <x v="787"/>
    </i>
    <i r="1">
      <x v="808"/>
    </i>
    <i r="1">
      <x v="836"/>
    </i>
    <i r="1">
      <x v="873"/>
    </i>
    <i r="1">
      <x v="1007"/>
    </i>
    <i r="1">
      <x v="1009"/>
    </i>
    <i r="1">
      <x v="1012"/>
    </i>
    <i>
      <x v="24"/>
      <x v="787"/>
    </i>
    <i>
      <x v="26"/>
      <x v="24"/>
    </i>
    <i r="1">
      <x v="65"/>
    </i>
    <i r="1">
      <x v="66"/>
    </i>
    <i r="1">
      <x v="67"/>
    </i>
    <i r="1">
      <x v="83"/>
    </i>
    <i r="1">
      <x v="136"/>
    </i>
    <i r="1">
      <x v="287"/>
    </i>
    <i r="1">
      <x v="323"/>
    </i>
    <i r="1">
      <x v="382"/>
    </i>
    <i r="1">
      <x v="391"/>
    </i>
    <i r="1">
      <x v="401"/>
    </i>
    <i r="1">
      <x v="490"/>
    </i>
    <i r="1">
      <x v="710"/>
    </i>
    <i r="1">
      <x v="808"/>
    </i>
    <i r="1">
      <x v="849"/>
    </i>
    <i r="1">
      <x v="873"/>
    </i>
    <i r="1">
      <x v="1006"/>
    </i>
    <i>
      <x v="33"/>
      <x v="467"/>
    </i>
    <i>
      <x v="36"/>
      <x v="43"/>
    </i>
    <i r="1">
      <x v="65"/>
    </i>
    <i r="1">
      <x v="66"/>
    </i>
    <i r="1">
      <x v="67"/>
    </i>
    <i r="1">
      <x v="69"/>
    </i>
    <i r="1">
      <x v="83"/>
    </i>
    <i r="1">
      <x v="94"/>
    </i>
    <i r="1">
      <x v="103"/>
    </i>
    <i r="1">
      <x v="129"/>
    </i>
    <i r="1">
      <x v="130"/>
    </i>
    <i r="1">
      <x v="135"/>
    </i>
    <i r="1">
      <x v="287"/>
    </i>
    <i r="1">
      <x v="382"/>
    </i>
    <i r="1">
      <x v="592"/>
    </i>
    <i r="1">
      <x v="593"/>
    </i>
    <i r="1">
      <x v="595"/>
    </i>
    <i r="1">
      <x v="596"/>
    </i>
    <i r="1">
      <x v="597"/>
    </i>
    <i r="1">
      <x v="603"/>
    </i>
    <i r="1">
      <x v="726"/>
    </i>
    <i r="1">
      <x v="771"/>
    </i>
    <i r="1">
      <x v="784"/>
    </i>
    <i r="1">
      <x v="787"/>
    </i>
    <i r="1">
      <x v="808"/>
    </i>
    <i r="1">
      <x v="836"/>
    </i>
    <i r="1">
      <x v="873"/>
    </i>
    <i r="1">
      <x v="1008"/>
    </i>
    <i r="1">
      <x v="1009"/>
    </i>
    <i>
      <x v="70"/>
      <x v="69"/>
    </i>
    <i>
      <x v="91"/>
      <x v="69"/>
    </i>
    <i r="1">
      <x v="156"/>
    </i>
    <i t="grand">
      <x/>
    </i>
  </rowItems>
  <colFields count="1">
    <field x="18"/>
  </colFields>
  <colItems count="6">
    <i>
      <x/>
    </i>
    <i>
      <x v="1"/>
    </i>
    <i>
      <x v="3"/>
    </i>
    <i>
      <x v="6"/>
    </i>
    <i>
      <x v="7"/>
    </i>
    <i t="grand">
      <x/>
    </i>
  </colItems>
  <pageFields count="2">
    <pageField fld="21" hier="-1"/>
    <pageField fld="19" item="1" hier="-1"/>
  </pageFields>
  <dataFields count="1">
    <dataField name="Count of tmp-number" fld="0" subtotal="count" baseField="0" baseItem="15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X5:AC12" firstHeaderRow="1" firstDataRow="2" firstDataCol="1" rowPageCount="2" colPageCount="1"/>
  <pivotFields count="32">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1">
        <item m="1" x="52"/>
        <item x="18"/>
        <item x="1"/>
        <item m="1" x="72"/>
        <item m="1" x="96"/>
        <item m="1" x="50"/>
        <item m="1" x="63"/>
        <item m="1" x="99"/>
        <item m="1" x="64"/>
        <item m="1" x="57"/>
        <item x="38"/>
        <item x="10"/>
        <item x="26"/>
        <item x="34"/>
        <item m="1" x="70"/>
        <item m="1" x="58"/>
        <item x="13"/>
        <item m="1" x="94"/>
        <item x="24"/>
        <item m="1" x="44"/>
        <item m="1" x="84"/>
        <item m="1" x="60"/>
        <item x="42"/>
        <item x="15"/>
        <item x="25"/>
        <item x="27"/>
        <item x="7"/>
        <item m="1" x="82"/>
        <item m="1" x="100"/>
        <item m="1" x="83"/>
        <item x="17"/>
        <item m="1" x="68"/>
        <item m="1" x="69"/>
        <item x="33"/>
        <item m="1" x="102"/>
        <item m="1" x="86"/>
        <item x="16"/>
        <item m="1" x="90"/>
        <item x="20"/>
        <item x="8"/>
        <item m="1" x="77"/>
        <item m="1" x="53"/>
        <item m="1" x="85"/>
        <item x="5"/>
        <item m="1" x="61"/>
        <item x="2"/>
        <item m="1" x="101"/>
        <item x="11"/>
        <item x="29"/>
        <item m="1" x="67"/>
        <item x="37"/>
        <item x="12"/>
        <item x="36"/>
        <item m="1" x="98"/>
        <item x="39"/>
        <item m="1" x="74"/>
        <item m="1" x="103"/>
        <item m="1" x="45"/>
        <item m="1" x="107"/>
        <item m="1" x="108"/>
        <item x="0"/>
        <item m="1" x="105"/>
        <item x="30"/>
        <item m="1" x="62"/>
        <item m="1" x="47"/>
        <item x="4"/>
        <item m="1" x="71"/>
        <item m="1" x="89"/>
        <item m="1" x="59"/>
        <item m="1" x="66"/>
        <item x="41"/>
        <item x="3"/>
        <item m="1" x="81"/>
        <item x="21"/>
        <item m="1" x="55"/>
        <item x="32"/>
        <item m="1" x="75"/>
        <item m="1" x="73"/>
        <item m="1" x="80"/>
        <item m="1" x="106"/>
        <item m="1" x="56"/>
        <item m="1" x="54"/>
        <item m="1" x="93"/>
        <item m="1" x="97"/>
        <item x="43"/>
        <item m="1" x="104"/>
        <item m="1" x="78"/>
        <item x="6"/>
        <item m="1" x="95"/>
        <item x="31"/>
        <item x="14"/>
        <item x="40"/>
        <item x="9"/>
        <item x="28"/>
        <item m="1" x="51"/>
        <item m="1" x="79"/>
        <item m="1" x="49"/>
        <item m="1" x="48"/>
        <item m="1" x="91"/>
        <item x="19"/>
        <item x="22"/>
        <item x="23"/>
        <item x="35"/>
        <item m="1" x="109"/>
        <item m="1" x="76"/>
        <item m="1" x="87"/>
        <item m="1" x="46"/>
        <item m="1" x="88"/>
        <item m="1" x="65"/>
        <item m="1" x="92"/>
        <item t="default"/>
      </items>
    </pivotField>
    <pivotField numFmtId="22" showAll="0"/>
    <pivotField showAll="0"/>
    <pivotField showAll="0"/>
    <pivotField showAll="0"/>
    <pivotField showAll="0"/>
    <pivotField axis="axisCol" showAll="0">
      <items count="9">
        <item x="3"/>
        <item x="0"/>
        <item m="1" x="7"/>
        <item x="1"/>
        <item m="1" x="6"/>
        <item m="1" x="5"/>
        <item x="4"/>
        <item x="2"/>
        <item t="default"/>
      </items>
    </pivotField>
    <pivotField axis="axisPage" showAll="0">
      <items count="11">
        <item x="0"/>
        <item x="4"/>
        <item x="1"/>
        <item x="6"/>
        <item x="3"/>
        <item m="1" x="8"/>
        <item m="1" x="7"/>
        <item x="5"/>
        <item m="1" x="9"/>
        <item x="2"/>
        <item t="default"/>
      </items>
    </pivotField>
    <pivotField showAll="0"/>
    <pivotField showAll="0"/>
    <pivotField showAll="0" defaultSubtotal="0"/>
    <pivotField showAll="0"/>
    <pivotField showAll="0"/>
    <pivotField showAll="0" defaultSubtotal="0"/>
    <pivotField showAll="0"/>
    <pivotField showAll="0"/>
    <pivotField showAll="0" defaultSubtotal="0"/>
    <pivotField axis="axisPage" dataField="1" showAll="0">
      <items count="3">
        <item x="0"/>
        <item x="1"/>
        <item t="default"/>
      </items>
    </pivotField>
    <pivotField showAll="0"/>
    <pivotField showAll="0"/>
  </pivotFields>
  <rowFields count="1">
    <field x="12"/>
  </rowFields>
  <rowItems count="6">
    <i>
      <x v="16"/>
    </i>
    <i>
      <x v="23"/>
    </i>
    <i>
      <x v="24"/>
    </i>
    <i>
      <x v="26"/>
    </i>
    <i>
      <x v="36"/>
    </i>
    <i t="grand">
      <x/>
    </i>
  </rowItems>
  <colFields count="1">
    <field x="18"/>
  </colFields>
  <colItems count="5">
    <i>
      <x/>
    </i>
    <i>
      <x v="1"/>
    </i>
    <i>
      <x v="3"/>
    </i>
    <i>
      <x v="7"/>
    </i>
    <i t="grand">
      <x/>
    </i>
  </colItems>
  <pageFields count="2">
    <pageField fld="19" item="1" hier="-1"/>
    <pageField fld="29" item="1" hier="-1"/>
  </pageFields>
  <dataFields count="1">
    <dataField name="Count of Review-1" fld="2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patch" displayName="patch" ref="A1:AE2894" totalsRowShown="0">
  <autoFilter ref="A1:AE2894"/>
  <tableColumns count="31">
    <tableColumn id="2" name="number" dataDxfId="15"/>
    <tableColumn id="3" name="project" dataDxfId="14"/>
    <tableColumn id="26" name="branch" dataDxfId="13"/>
    <tableColumn id="27" name="changeId" dataDxfId="12"/>
    <tableColumn id="4" name="OwnerEmail" dataDxfId="11"/>
    <tableColumn id="5" name="status" dataDxfId="10"/>
    <tableColumn id="6" name="subject" dataDxfId="9"/>
    <tableColumn id="7" name="commitMessage" dataDxfId="8"/>
    <tableColumn id="8" name="createdOn" dataDxfId="7"/>
    <tableColumn id="9" name="mergeDate" dataDxfId="6"/>
    <tableColumn id="28" name="ifCommon" dataDxfId="5"/>
    <tableColumn id="10" name="reviewer" dataDxfId="4"/>
    <tableColumn id="11" name="review-time" dataDxfId="3"/>
    <tableColumn id="12" name="comments" dataDxfId="2"/>
    <tableColumn id="29" name="inline_comments" dataDxfId="1"/>
    <tableColumn id="30" name="all_reviewer" dataDxfId="0"/>
    <tableColumn id="13" name="tmp-owner.email" dataDxfId="52">
      <calculatedColumnFormula>IF(ISBLANK(patch[[#This Row],[OwnerEmail]]),Q1,patch[[#This Row],[OwnerEmail]])</calculatedColumnFormula>
    </tableColumn>
    <tableColumn id="14" name="AuthorGroup" dataDxfId="51">
      <calculatedColumnFormula>_xlfn.IFNA(VLOOKUP(patch[[#This Row],[tmp-owner.email]],OrgTree!$A:$K, 11, 0), "not ICG SWFW")</calculatedColumnFormula>
    </tableColumn>
    <tableColumn id="15" name="ReviewerGroup" dataDxfId="50">
      <calculatedColumnFormula>IF(patch[[#This Row],[reviewer]]=patch[[#This Row],[tmp-owner.email]], "author", _xlfn.IFNA(VLOOKUP(patch[[#This Row],[reviewer]],OrgTree!$A:$K, 11, 0), "not ICG SWFW"))</calculatedColumnFormula>
    </tableColumn>
    <tableColumn id="24" name="MergeWW" dataDxfId="49">
      <calculatedColumnFormula>IF(ISBLANK(patch[[#This Row],[mergeDate]]), "", MID(YEAR(patch[[#This Row],[mergeDate]]), 3,2)&amp;"'ww"&amp;WEEKNUM(patch[[#This Row],[mergeDate]]))</calculatedColumnFormula>
    </tableColumn>
    <tableColumn id="25" name="MergeMonth" dataDxfId="48">
      <calculatedColumnFormula>IF(ISBLANK(patch[[#This Row],[mergeDate]]), U1, MID(YEAR(patch[[#This Row],[mergeDate]]), 3,2)&amp;"'m"&amp;MONTH(patch[[#This Row],[mergeDate]]))</calculatedColumnFormula>
    </tableColumn>
    <tableColumn id="17" name="BJFISH -1 num" dataDxfId="47">
      <calculatedColumnFormula>IF(ISBLANK(patch[[#This Row],[project]]), "",SUM(patch[[#This Row],[BJ -1 num]:[SH -1 num]]))</calculatedColumnFormula>
    </tableColumn>
    <tableColumn id="16" name="BJ -1 num" dataDxfId="46">
      <calculatedColumnFormula>IF(ISBLANK(patch[[#This Row],[project]]), "",COUNTIFS($A:$A,patch[[#This Row],[number]],$S:$S, "BJ And dev",$AC:$AC, "Review-1"))</calculatedColumnFormula>
    </tableColumn>
    <tableColumn id="20" name="FI -1 num" dataDxfId="45">
      <calculatedColumnFormula>IF(ISBLANK(patch[[#This Row],[project]]), "",COUNTIFS($A:$A,patch[[#This Row],[number]],$S:$S, "FL And dev",$AC:$AC, "Review-1"))</calculatedColumnFormula>
    </tableColumn>
    <tableColumn id="31" name="SH -1 num" dataDxfId="44">
      <calculatedColumnFormula>IF(ISBLANK(patch[[#This Row],[project]]), "",COUNTIFS($A:$A,patch[[#This Row],[number]],$S:$S, "SH And dev",$AC:$AC, "Review-1"))</calculatedColumnFormula>
    </tableColumn>
    <tableColumn id="21" name="BJ review num" dataDxfId="43">
      <calculatedColumnFormula>IF(ISBLANK(patch[[#This Row],[project]]), "",COUNTIFS($A:$A,patch[[#This Row],[number]],$S:$S, "BJ And dev",$AD:$AD, "&lt;&gt;IntegratorValidationComment"))</calculatedColumnFormula>
    </tableColumn>
    <tableColumn id="22" name="FI review num" dataDxfId="42">
      <calculatedColumnFormula>IF(ISBLANK(patch[[#This Row],[project]]), "",COUNTIFS($A:$A,patch[[#This Row],[number]],$S:$S, "FL And dev",$AD:$AD, "&lt;&gt;IntegratorValidationComment"))</calculatedColumnFormula>
    </tableColumn>
    <tableColumn id="32" name="SH review num" dataDxfId="41">
      <calculatedColumnFormula>IF(ISBLANK(patch[[#This Row],[project]]), "",COUNTIFS($A:$A,patch[[#This Row],[number]],$S:$S, "SH And dev",$AD:$AD, "&lt;&gt;IntegratorValidationComment"))</calculatedColumnFormula>
    </tableColumn>
    <tableColumn id="18" name="Review-1" dataDxfId="40">
      <calculatedColumnFormula>IF(OR(ISNUMBER(FIND("Review-1", patch[[#This Row],[comments]])), ISNUMBER(FIND("Approver-1", patch[[#This Row],[comments]]))), "Review-1", "")</calculatedColumnFormula>
    </tableColumn>
    <tableColumn id="23" name="Integrator" dataDxfId="39">
      <calculatedColumnFormula>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calculatedColumnFormula>
    </tableColumn>
    <tableColumn id="19" name="status2" dataDxfId="38">
      <calculatedColumnFormula>IF(ISBLANK(patch[[#This Row],[number]]),AE1,patch[[#This Row],[ifCommon]])</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drvlst" displayName="drvlst" ref="A1:W383" totalsRowShown="0">
  <autoFilter ref="A1:W383"/>
  <tableColumns count="23">
    <tableColumn id="1" name="tmp-number" dataDxfId="37">
      <calculatedColumnFormula>IF(ISBLANK(drvlst[[#This Row],[number]]),A1,drvlst[[#This Row],[number]])</calculatedColumnFormula>
    </tableColumn>
    <tableColumn id="2" name="number"/>
    <tableColumn id="3" name="project"/>
    <tableColumn id="4" name="owner.emal"/>
    <tableColumn id="5" name="status"/>
    <tableColumn id="6" name="subject"/>
    <tableColumn id="7" name="commitMessage"/>
    <tableColumn id="8" name="createdOn"/>
    <tableColumn id="9" name="MergeDate"/>
    <tableColumn id="10" name="reviewer"/>
    <tableColumn id="11" name="review-time" dataDxfId="36"/>
    <tableColumn id="12" name="comments"/>
    <tableColumn id="13" name="tmp-owner.email" dataDxfId="35">
      <calculatedColumnFormula>IF(ISBLANK(drvlst[[#This Row],[owner.emal]]),M1,drvlst[[#This Row],[owner.emal]])</calculatedColumnFormula>
    </tableColumn>
    <tableColumn id="14" name="AuthorGroup" dataDxfId="34">
      <calculatedColumnFormula>_xlfn.IFNA(VLOOKUP(drvlst[[#This Row],[tmp-owner.email]],OrgTree!$A:$J, 10, 0), "not ICG SWFW")</calculatedColumnFormula>
    </tableColumn>
    <tableColumn id="15" name="ReviewerGroup" dataDxfId="33">
      <calculatedColumnFormula>IF(drvlst[[#This Row],[reviewer]]=drvlst[[#This Row],[tmp-owner.email]], "author", _xlfn.IFNA(VLOOKUP(drvlst[[#This Row],[reviewer]],OrgTree!$A:$J, 10, 0), "not ICG SWFW"))</calculatedColumnFormula>
    </tableColumn>
    <tableColumn id="17" name="BJFI -1 num" dataDxfId="32">
      <calculatedColumnFormula>IF(ISBLANK(drvlst[[#This Row],[number]]), "",SUM(drvlst[[#This Row],[BJ -1 num]],drvlst[[#This Row],[FI -1 num]]))</calculatedColumnFormula>
    </tableColumn>
    <tableColumn id="16" name="BJ -1 num" dataDxfId="31">
      <calculatedColumnFormula>IF(ISBLANK(drvlst[[#This Row],[number]]), "",COUNTIFS($A:$A,drvlst[[#This Row],[tmp-number]],$O:$O, "BJ And dev",$U:$U, "Review-1"))</calculatedColumnFormula>
    </tableColumn>
    <tableColumn id="20" name="FI -1 num" dataDxfId="30">
      <calculatedColumnFormula>IF(ISBLANK(drvlst[[#This Row],[number]]), "",COUNTIFS($A:$A,drvlst[[#This Row],[tmp-number]],$O:$O, "FL And dev",$U:$U, "Review-1"))</calculatedColumnFormula>
    </tableColumn>
    <tableColumn id="21" name="BJ review num" dataDxfId="29">
      <calculatedColumnFormula>IF(ISBLANK(drvlst[[#This Row],[number]]), "",COUNTIFS($A:$A,drvlst[[#This Row],[tmp-number]],$O:$O, "BJ And dev",$V:$V, "&lt;&gt;IntegratorComment"))</calculatedColumnFormula>
    </tableColumn>
    <tableColumn id="22" name="FI review num" dataDxfId="28">
      <calculatedColumnFormula>IF(ISBLANK(drvlst[[#This Row],[number]]), "",COUNTIFS($A:$A,drvlst[[#This Row],[tmp-number]],$O:$O, "FL And dev",$V:$V, "&lt;&gt;IntegratorComment"))</calculatedColumnFormula>
    </tableColumn>
    <tableColumn id="18" name="Review-1" dataDxfId="27">
      <calculatedColumnFormula>IF(OR(ISNUMBER(FIND("Review-1", drvlst[[#This Row],[comments]])), ISNUMBER(FIND("Approver-1", drvlst[[#This Row],[comments]]))), "Review-1", "")</calculatedColumnFormula>
    </tableColumn>
    <tableColumn id="23" name="Integrator" dataDxfId="26">
      <calculatedColumnFormula>IF(OR(ISNUMBER(FIND(": Integrator", drvlst[[#This Row],[comments]])), ISNUMBER(FIND(":\n\nIntegrator", drvlst[[#This Row],[comments]])), ISNUMBER(FIND("-Integrator", drvlst[[#This Row],[comments]]))), "IntegratorComment", "")</calculatedColumnFormula>
    </tableColumn>
    <tableColumn id="19" name="status2" dataDxfId="25">
      <calculatedColumnFormula>IF(ISBLANK(drvlst[[#This Row],[status]]),W1,drvlst[[#This Row],[status]])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daxing.li@intel.com"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mailto:daxing.li@intel.com" TargetMode="Externa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mailto:sakari.ailus@intel.com"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5" Type="http://schemas.openxmlformats.org/officeDocument/2006/relationships/image" Target="../media/image1.emf"/><Relationship Id="rId4" Type="http://schemas.openxmlformats.org/officeDocument/2006/relationships/control" Target="../activeX/activeX1.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Z41"/>
  <sheetViews>
    <sheetView tabSelected="1" topLeftCell="B1" workbookViewId="0">
      <selection activeCell="L3" sqref="L3"/>
    </sheetView>
  </sheetViews>
  <sheetFormatPr defaultRowHeight="15"/>
  <cols>
    <col min="2" max="2" width="38.5703125" customWidth="1"/>
    <col min="3" max="3" width="38.7109375" hidden="1" customWidth="1"/>
    <col min="4" max="4" width="34.42578125" hidden="1" customWidth="1"/>
    <col min="5" max="5" width="24" hidden="1" customWidth="1"/>
    <col min="6" max="6" width="18.28515625" hidden="1" customWidth="1"/>
    <col min="7" max="10" width="9.140625" hidden="1" customWidth="1"/>
    <col min="11" max="11" width="13.7109375" style="26" customWidth="1"/>
    <col min="12" max="12" width="12.85546875" style="26" customWidth="1"/>
    <col min="13" max="25" width="12.85546875" style="143" customWidth="1"/>
  </cols>
  <sheetData>
    <row r="1" spans="1:26">
      <c r="B1" s="164" t="s">
        <v>2043</v>
      </c>
      <c r="C1" s="164"/>
      <c r="D1" s="164"/>
      <c r="E1" s="164"/>
      <c r="F1" s="164"/>
      <c r="G1" s="164"/>
      <c r="H1" s="164"/>
      <c r="I1" s="164"/>
      <c r="J1" s="164"/>
      <c r="X1" s="144"/>
    </row>
    <row r="2" spans="1:26" ht="45">
      <c r="A2" s="41" t="s">
        <v>2029</v>
      </c>
      <c r="B2" s="1" t="s">
        <v>2100</v>
      </c>
      <c r="C2" s="1" t="s">
        <v>2</v>
      </c>
      <c r="D2" s="1" t="s">
        <v>3</v>
      </c>
      <c r="E2" s="2" t="s">
        <v>2019</v>
      </c>
      <c r="F2" s="2"/>
      <c r="G2" s="3" t="s">
        <v>4</v>
      </c>
      <c r="H2" s="3"/>
      <c r="I2" s="4" t="s">
        <v>5</v>
      </c>
      <c r="J2" s="5"/>
      <c r="K2" s="52" t="s">
        <v>2418</v>
      </c>
      <c r="L2" s="149" t="s">
        <v>2343</v>
      </c>
      <c r="M2" s="149" t="s">
        <v>2407</v>
      </c>
      <c r="N2" s="149" t="s">
        <v>2408</v>
      </c>
      <c r="O2" s="149" t="s">
        <v>2409</v>
      </c>
      <c r="P2" s="149" t="s">
        <v>2410</v>
      </c>
      <c r="Q2" s="149" t="s">
        <v>2419</v>
      </c>
      <c r="R2" s="149" t="s">
        <v>2420</v>
      </c>
      <c r="S2" s="149" t="s">
        <v>2421</v>
      </c>
      <c r="T2" s="149" t="s">
        <v>2422</v>
      </c>
      <c r="U2" s="149" t="s">
        <v>2423</v>
      </c>
      <c r="V2" s="149" t="s">
        <v>2424</v>
      </c>
      <c r="W2" s="149" t="s">
        <v>2425</v>
      </c>
      <c r="X2" s="149" t="s">
        <v>2426</v>
      </c>
      <c r="Y2" s="149" t="s">
        <v>2427</v>
      </c>
    </row>
    <row r="3" spans="1:26" ht="15.75">
      <c r="A3" s="155">
        <v>1</v>
      </c>
      <c r="B3" s="34" t="str">
        <f>'BJ-byM'!B3</f>
        <v>Review-1 # per patch (BJ patch)</v>
      </c>
      <c r="C3" s="162" t="s">
        <v>8</v>
      </c>
      <c r="D3" s="162" t="s">
        <v>9</v>
      </c>
      <c r="E3" s="158">
        <v>1.7</v>
      </c>
      <c r="F3" s="32"/>
      <c r="G3" s="163">
        <v>1</v>
      </c>
      <c r="H3" s="33"/>
      <c r="I3" s="161">
        <v>0.6</v>
      </c>
      <c r="J3" s="5"/>
      <c r="K3" s="99">
        <f>IFERROR(SUMIFS(patch[BJFISH -1 num], patch[status], "MERGED",  patch[AuthorGroup],"BJ And dev", patch[mergeDate], "&lt;2016-10-1", patch[mergeDate], "&gt;=2016-7-1")/COUNTIFS(patch[status], "MERGED",  patch[AuthorGroup],"BJ And dev", patch[mergeDate], "&lt;2016-10-1", patch[mergeDate], "&gt;=2016-7-1"), "no patch")</f>
        <v>0.20666666666666667</v>
      </c>
      <c r="L3" s="29" t="str">
        <f>IFERROR(SUMIFS(patch[BJFISH -1 num], patch[status], "MERGED", patch[MergeWW], L$2, patch[AuthorGroup],"BJ And dev")/COUNTIFS(patch[status], "MERGED", patch[MergeWW], L$2, patch[AuthorGroup],"BJ And dev"), "no patch")</f>
        <v>no patch</v>
      </c>
      <c r="M3" s="145" t="str">
        <f>IFERROR(SUMIFS(patch[BJFISH -1 num], patch[status], "MERGED", patch[MergeWW], M$2, patch[AuthorGroup],"BJ And dev")/COUNTIFS(patch[status], "MERGED", patch[MergeWW], M$2, patch[AuthorGroup],"BJ And dev"), "no patch")</f>
        <v>no patch</v>
      </c>
      <c r="N3" s="145" t="str">
        <f>IFERROR(SUMIFS(patch[BJFISH -1 num], patch[status], "MERGED", patch[MergeWW], N$2, patch[AuthorGroup],"BJ And dev")/COUNTIFS(patch[status], "MERGED", patch[MergeWW], N$2, patch[AuthorGroup],"BJ And dev"), "no patch")</f>
        <v>no patch</v>
      </c>
      <c r="O3" s="145" t="str">
        <f>IFERROR(SUMIFS(patch[BJFISH -1 num], patch[status], "MERGED", patch[MergeWW], O$2, patch[AuthorGroup],"BJ And dev")/COUNTIFS(patch[status], "MERGED", patch[MergeWW], O$2, patch[AuthorGroup],"BJ And dev"), "no patch")</f>
        <v>no patch</v>
      </c>
      <c r="P3" s="145" t="str">
        <f>IFERROR(SUMIFS(patch[BJFISH -1 num], patch[status], "MERGED", patch[MergeWW], P$2, patch[AuthorGroup],"BJ And dev")/COUNTIFS(patch[status], "MERGED", patch[MergeWW], P$2, patch[AuthorGroup],"BJ And dev"), "no patch")</f>
        <v>no patch</v>
      </c>
      <c r="Q3" s="145" t="str">
        <f>IFERROR(SUMIFS(patch[BJFISH -1 num], patch[status], "MERGED", patch[MergeWW], Q$2, patch[AuthorGroup],"BJ And dev")/COUNTIFS(patch[status], "MERGED", patch[MergeWW], Q$2, patch[AuthorGroup],"BJ And dev"), "no patch")</f>
        <v>no patch</v>
      </c>
      <c r="R3" s="145" t="str">
        <f>IFERROR(SUMIFS(patch[BJFISH -1 num], patch[status], "MERGED", patch[MergeWW], R$2, patch[AuthorGroup],"BJ And dev")/COUNTIFS(patch[status], "MERGED", patch[MergeWW], R$2, patch[AuthorGroup],"BJ And dev"), "no patch")</f>
        <v>no patch</v>
      </c>
      <c r="S3" s="145" t="str">
        <f>IFERROR(SUMIFS(patch[BJFISH -1 num], patch[status], "MERGED", patch[MergeWW], S$2, patch[AuthorGroup],"BJ And dev")/COUNTIFS(patch[status], "MERGED", patch[MergeWW], S$2, patch[AuthorGroup],"BJ And dev"), "no patch")</f>
        <v>no patch</v>
      </c>
      <c r="T3" s="145">
        <f>IFERROR(SUMIFS(patch[BJFISH -1 num], patch[status], "MERGED", patch[MergeWW], T$2, patch[AuthorGroup],"BJ And dev")/COUNTIFS(patch[status], "MERGED", patch[MergeWW], T$2, patch[AuthorGroup],"BJ And dev"), "no patch")</f>
        <v>0.2857142857142857</v>
      </c>
      <c r="U3" s="145">
        <f>IFERROR(SUMIFS(patch[BJFISH -1 num], patch[status], "MERGED", patch[MergeWW], U$2, patch[AuthorGroup],"BJ And dev")/COUNTIFS(patch[status], "MERGED", patch[MergeWW], U$2, patch[AuthorGroup],"BJ And dev"), "no patch")</f>
        <v>9.5238095238095233E-2</v>
      </c>
      <c r="V3" s="145">
        <f>IFERROR(SUMIFS(patch[BJFISH -1 num], patch[status], "MERGED", patch[MergeWW], V$2, patch[AuthorGroup],"BJ And dev")/COUNTIFS(patch[status], "MERGED", patch[MergeWW], V$2, patch[AuthorGroup],"BJ And dev"), "no patch")</f>
        <v>0.66666666666666663</v>
      </c>
      <c r="W3" s="145">
        <f>IFERROR(SUMIFS(patch[BJFISH -1 num], patch[status], "MERGED", patch[MergeWW], W$2, patch[AuthorGroup],"BJ And dev")/COUNTIFS(patch[status], "MERGED", patch[MergeWW], W$2, patch[AuthorGroup],"BJ And dev"), "no patch")</f>
        <v>0.12658227848101267</v>
      </c>
      <c r="X3" s="145">
        <f>IFERROR(SUMIFS(patch[BJFISH -1 num], patch[status], "MERGED", patch[MergeWW], X$2, patch[AuthorGroup],"BJ And dev")/COUNTIFS(patch[status], "MERGED", patch[MergeWW], X$2, patch[AuthorGroup],"BJ And dev"), "no patch")</f>
        <v>0.29166666666666669</v>
      </c>
      <c r="Y3" s="145" t="str">
        <f>IFERROR(SUMIFS(patch[BJFISH -1 num], patch[status], "MERGED", patch[MergeWW], Y$2, patch[AuthorGroup],"BJ And dev")/COUNTIFS(patch[status], "MERGED", patch[MergeWW], Y$2, patch[AuthorGroup],"BJ And dev"), "no patch")</f>
        <v>no patch</v>
      </c>
    </row>
    <row r="4" spans="1:26" ht="30">
      <c r="A4" s="156"/>
      <c r="B4" s="84" t="str">
        <f>'BJ-byM'!B4</f>
        <v>(BJ Patch)</v>
      </c>
      <c r="C4" s="162"/>
      <c r="D4" s="162"/>
      <c r="E4" s="158"/>
      <c r="F4" s="32"/>
      <c r="G4" s="163"/>
      <c r="H4" s="33"/>
      <c r="I4" s="161"/>
      <c r="J4" s="5"/>
      <c r="K4" s="106" t="str">
        <f>"#"&amp;SUMIFS(patch[BJFISH -1 num], patch[status], "MERGED",  patch[AuthorGroup],"BJ And dev", patch[mergeDate], "&lt;2016-10-1", patch[mergeDate], "&gt;=2016-7-1")&amp;" -1, "&amp;COUNTIFS(patch[status], "MERGED", patch[AuthorGroup],"BJ And dev", patch[mergeDate], "&lt;2016-10-1", patch[mergeDate], "&gt;=2016-7-1")&amp;"patches"</f>
        <v>#31 -1, 150patches</v>
      </c>
      <c r="L4" s="46" t="str">
        <f>"#"&amp;SUMIFS(patch[BJFISH -1 num], patch[status], "MERGED", patch[MergeWW], L$2, patch[AuthorGroup],"BJ And dev")&amp;" -1, "&amp;COUNTIFS(patch[status], "MERGED", patch[MergeWW],  L$2, patch[AuthorGroup],"BJ And dev")&amp;"patches"</f>
        <v>#0 -1, 0patches</v>
      </c>
      <c r="M4" s="46" t="str">
        <f>"#"&amp;SUMIFS(patch[BJFISH -1 num], patch[status], "MERGED", patch[MergeWW], M$2, patch[AuthorGroup],"BJ And dev")&amp;" -1, "&amp;COUNTIFS(patch[status], "MERGED", patch[MergeWW],  M$2, patch[AuthorGroup],"BJ And dev")&amp;"patches"</f>
        <v>#0 -1, 0patches</v>
      </c>
      <c r="N4" s="46" t="str">
        <f>"#"&amp;SUMIFS(patch[BJFISH -1 num], patch[status], "MERGED", patch[MergeWW], N$2, patch[AuthorGroup],"BJ And dev")&amp;" -1, "&amp;COUNTIFS(patch[status], "MERGED", patch[MergeWW],  N$2, patch[AuthorGroup],"BJ And dev")&amp;"patches"</f>
        <v>#0 -1, 0patches</v>
      </c>
      <c r="O4" s="46" t="str">
        <f>"#"&amp;SUMIFS(patch[BJFISH -1 num], patch[status], "MERGED", patch[MergeWW], O$2, patch[AuthorGroup],"BJ And dev")&amp;" -1, "&amp;COUNTIFS(patch[status], "MERGED", patch[MergeWW],  O$2, patch[AuthorGroup],"BJ And dev")&amp;"patches"</f>
        <v>#0 -1, 0patches</v>
      </c>
      <c r="P4" s="46" t="str">
        <f>"#"&amp;SUMIFS(patch[BJFISH -1 num], patch[status], "MERGED", patch[MergeWW], P$2, patch[AuthorGroup],"BJ And dev")&amp;" -1, "&amp;COUNTIFS(patch[status], "MERGED", patch[MergeWW],  P$2, patch[AuthorGroup],"BJ And dev")&amp;"patches"</f>
        <v>#0 -1, 0patches</v>
      </c>
      <c r="Q4" s="46" t="str">
        <f>"#"&amp;SUMIFS(patch[BJFISH -1 num], patch[status], "MERGED", patch[MergeWW], Q$2, patch[AuthorGroup],"BJ And dev")&amp;" -1, "&amp;COUNTIFS(patch[status], "MERGED", patch[MergeWW],  Q$2, patch[AuthorGroup],"BJ And dev")&amp;"patches"</f>
        <v>#0 -1, 0patches</v>
      </c>
      <c r="R4" s="46" t="str">
        <f>"#"&amp;SUMIFS(patch[BJFISH -1 num], patch[status], "MERGED", patch[MergeWW], R$2, patch[AuthorGroup],"BJ And dev")&amp;" -1, "&amp;COUNTIFS(patch[status], "MERGED", patch[MergeWW],  R$2, patch[AuthorGroup],"BJ And dev")&amp;"patches"</f>
        <v>#0 -1, 0patches</v>
      </c>
      <c r="S4" s="46" t="str">
        <f>"#"&amp;SUMIFS(patch[BJFISH -1 num], patch[status], "MERGED", patch[MergeWW], S$2, patch[AuthorGroup],"BJ And dev")&amp;" -1, "&amp;COUNTIFS(patch[status], "MERGED", patch[MergeWW],  S$2, patch[AuthorGroup],"BJ And dev")&amp;"patches"</f>
        <v>#0 -1, 0patches</v>
      </c>
      <c r="T4" s="46" t="str">
        <f>"#"&amp;SUMIFS(patch[BJFISH -1 num], patch[status], "MERGED", patch[MergeWW], T$2, patch[AuthorGroup],"BJ And dev")&amp;" -1, "&amp;COUNTIFS(patch[status], "MERGED", patch[MergeWW],  T$2, patch[AuthorGroup],"BJ And dev")&amp;"patches"</f>
        <v>#4 -1, 14patches</v>
      </c>
      <c r="U4" s="46" t="str">
        <f>"#"&amp;SUMIFS(patch[BJFISH -1 num], patch[status], "MERGED", patch[MergeWW], U$2, patch[AuthorGroup],"BJ And dev")&amp;" -1, "&amp;COUNTIFS(patch[status], "MERGED", patch[MergeWW],  U$2, patch[AuthorGroup],"BJ And dev")&amp;"patches"</f>
        <v>#2 -1, 21patches</v>
      </c>
      <c r="V4" s="46" t="str">
        <f>"#"&amp;SUMIFS(patch[BJFISH -1 num], patch[status], "MERGED", patch[MergeWW], V$2, patch[AuthorGroup],"BJ And dev")&amp;" -1, "&amp;COUNTIFS(patch[status], "MERGED", patch[MergeWW],  V$2, patch[AuthorGroup],"BJ And dev")&amp;"patches"</f>
        <v>#8 -1, 12patches</v>
      </c>
      <c r="W4" s="46" t="str">
        <f>"#"&amp;SUMIFS(patch[BJFISH -1 num], patch[status], "MERGED", patch[MergeWW], W$2, patch[AuthorGroup],"BJ And dev")&amp;" -1, "&amp;COUNTIFS(patch[status], "MERGED", patch[MergeWW],  W$2, patch[AuthorGroup],"BJ And dev")&amp;"patches"</f>
        <v>#10 -1, 79patches</v>
      </c>
      <c r="X4" s="46" t="str">
        <f>"#"&amp;SUMIFS(patch[BJFISH -1 num], patch[status], "MERGED", patch[MergeWW], X$2, patch[AuthorGroup],"BJ And dev")&amp;" -1, "&amp;COUNTIFS(patch[status], "MERGED", patch[MergeWW],  X$2, patch[AuthorGroup],"BJ And dev")&amp;"patches"</f>
        <v>#7 -1, 24patches</v>
      </c>
      <c r="Y4" s="46" t="str">
        <f>"#"&amp;SUMIFS(patch[BJFISH -1 num], patch[status], "MERGED", patch[MergeWW], Y$2, patch[AuthorGroup],"BJ And dev")&amp;" -1, "&amp;COUNTIFS(patch[status], "MERGED", patch[MergeWW],  Y$2, patch[AuthorGroup],"BJ And dev")&amp;"patches"</f>
        <v>#0 -1, 0patches</v>
      </c>
    </row>
    <row r="5" spans="1:26" ht="43.5" customHeight="1">
      <c r="A5" s="155">
        <v>2</v>
      </c>
      <c r="B5" s="84" t="str">
        <f>'BJ-byM'!B5</f>
        <v>Review # from local (%)</v>
      </c>
      <c r="C5" s="157" t="s">
        <v>11</v>
      </c>
      <c r="D5" s="157" t="s">
        <v>12</v>
      </c>
      <c r="E5" s="160">
        <v>0.37</v>
      </c>
      <c r="F5" s="35"/>
      <c r="G5" s="159">
        <v>0.5</v>
      </c>
      <c r="H5" s="36"/>
      <c r="I5" s="154">
        <v>0.6</v>
      </c>
      <c r="J5" s="5"/>
      <c r="K5" s="100">
        <f>IFERROR(SUMIFS(patch[BJ review num], patch[status], "MERGED",  patch[AuthorGroup],"BJ And dev", patch[mergeDate], "&lt;2016-10-1", patch[mergeDate], "&gt;=2016-7-1")/SUM(SUMIFS(patch[BJ review num], patch[status], "MERGED",  patch[AuthorGroup],"BJ And dev"), SUMIFS(patch[FI review num], patch[status], "MERGED",  patch[AuthorGroup],"BJ And dev", patch[mergeDate], "&lt;2016-10-1", patch[mergeDate], "&gt;=2016-7-1"), SUMIFS(patch[SH review num], patch[status], "MERGED",  patch[AuthorGroup],"BJ And dev", patch[mergeDate], "&lt;2016-10-1", patch[mergeDate], "&gt;=2016-7-1")), "no patch")</f>
        <v>0.997588424437299</v>
      </c>
      <c r="L5" s="142" t="str">
        <f>IFERROR(
   SUMIFS(patch[BJ review num], patch[status], "MERGED", patch[MergeWW], L$2, patch[AuthorGroup],"BJ And dev")
   /SUM(SUMIFS(patch[BJ review num], patch[status], "MERGED", patch[MergeWW], L$2, patch[AuthorGroup],"BJ And dev"), SUMIFS(patch[FI review num], patch[status], "MERGED", patch[MergeWW], L$2, patch[AuthorGroup],"BJ And dev"), SUMIFS(patch[SH review num], patch[status], "MERGED", patch[MergeWW], L$2, patch[AuthorGroup],"BJ And dev")), "no patch")</f>
        <v>no patch</v>
      </c>
      <c r="M5" s="142" t="str">
        <f>IFERROR(
   SUMIFS(patch[BJ review num], patch[status], "MERGED", patch[MergeWW], M$2, patch[AuthorGroup],"BJ And dev")
   /SUM(SUMIFS(patch[BJ review num], patch[status], "MERGED", patch[MergeWW], M$2, patch[AuthorGroup],"BJ And dev"), SUMIFS(patch[FI review num], patch[status], "MERGED", patch[MergeWW], M$2, patch[AuthorGroup],"BJ And dev"), SUMIFS(patch[SH review num], patch[status], "MERGED", patch[MergeWW], M$2, patch[AuthorGroup],"BJ And dev")), "no patch")</f>
        <v>no patch</v>
      </c>
      <c r="N5" s="142" t="str">
        <f>IFERROR(
   SUMIFS(patch[BJ review num], patch[status], "MERGED", patch[MergeWW], N$2, patch[AuthorGroup],"BJ And dev")
   /SUM(SUMIFS(patch[BJ review num], patch[status], "MERGED", patch[MergeWW], N$2, patch[AuthorGroup],"BJ And dev"), SUMIFS(patch[FI review num], patch[status], "MERGED", patch[MergeWW], N$2, patch[AuthorGroup],"BJ And dev"), SUMIFS(patch[SH review num], patch[status], "MERGED", patch[MergeWW], N$2, patch[AuthorGroup],"BJ And dev")), "no patch")</f>
        <v>no patch</v>
      </c>
      <c r="O5" s="142" t="str">
        <f>IFERROR(
   SUMIFS(patch[BJ review num], patch[status], "MERGED", patch[MergeWW], O$2, patch[AuthorGroup],"BJ And dev")
   /SUM(SUMIFS(patch[BJ review num], patch[status], "MERGED", patch[MergeWW], O$2, patch[AuthorGroup],"BJ And dev"), SUMIFS(patch[FI review num], patch[status], "MERGED", patch[MergeWW], O$2, patch[AuthorGroup],"BJ And dev"), SUMIFS(patch[SH review num], patch[status], "MERGED", patch[MergeWW], O$2, patch[AuthorGroup],"BJ And dev")), "no patch")</f>
        <v>no patch</v>
      </c>
      <c r="P5" s="142" t="str">
        <f>IFERROR(
   SUMIFS(patch[BJ review num], patch[status], "MERGED", patch[MergeWW], P$2, patch[AuthorGroup],"BJ And dev")
   /SUM(SUMIFS(patch[BJ review num], patch[status], "MERGED", patch[MergeWW], P$2, patch[AuthorGroup],"BJ And dev"), SUMIFS(patch[FI review num], patch[status], "MERGED", patch[MergeWW], P$2, patch[AuthorGroup],"BJ And dev"), SUMIFS(patch[SH review num], patch[status], "MERGED", patch[MergeWW], P$2, patch[AuthorGroup],"BJ And dev")), "no patch")</f>
        <v>no patch</v>
      </c>
      <c r="Q5" s="142" t="str">
        <f>IFERROR(
   SUMIFS(patch[BJ review num], patch[status], "MERGED", patch[MergeWW], Q$2, patch[AuthorGroup],"BJ And dev")
   /SUM(SUMIFS(patch[BJ review num], patch[status], "MERGED", patch[MergeWW], Q$2, patch[AuthorGroup],"BJ And dev"), SUMIFS(patch[FI review num], patch[status], "MERGED", patch[MergeWW], Q$2, patch[AuthorGroup],"BJ And dev"), SUMIFS(patch[SH review num], patch[status], "MERGED", patch[MergeWW], Q$2, patch[AuthorGroup],"BJ And dev")), "no patch")</f>
        <v>no patch</v>
      </c>
      <c r="R5" s="142" t="str">
        <f>IFERROR(
   SUMIFS(patch[BJ review num], patch[status], "MERGED", patch[MergeWW], R$2, patch[AuthorGroup],"BJ And dev")
   /SUM(SUMIFS(patch[BJ review num], patch[status], "MERGED", patch[MergeWW], R$2, patch[AuthorGroup],"BJ And dev"), SUMIFS(patch[FI review num], patch[status], "MERGED", patch[MergeWW], R$2, patch[AuthorGroup],"BJ And dev"), SUMIFS(patch[SH review num], patch[status], "MERGED", patch[MergeWW], R$2, patch[AuthorGroup],"BJ And dev")), "no patch")</f>
        <v>no patch</v>
      </c>
      <c r="S5" s="142" t="str">
        <f>IFERROR(
   SUMIFS(patch[BJ review num], patch[status], "MERGED", patch[MergeWW], S$2, patch[AuthorGroup],"BJ And dev")
   /SUM(SUMIFS(patch[BJ review num], patch[status], "MERGED", patch[MergeWW], S$2, patch[AuthorGroup],"BJ And dev"), SUMIFS(patch[FI review num], patch[status], "MERGED", patch[MergeWW], S$2, patch[AuthorGroup],"BJ And dev"), SUMIFS(patch[SH review num], patch[status], "MERGED", patch[MergeWW], S$2, patch[AuthorGroup],"BJ And dev")), "no patch")</f>
        <v>no patch</v>
      </c>
      <c r="T5" s="142">
        <f>IFERROR(
   SUMIFS(patch[BJ review num], patch[status], "MERGED", patch[MergeWW], T$2, patch[AuthorGroup],"BJ And dev")
   /SUM(SUMIFS(patch[BJ review num], patch[status], "MERGED", patch[MergeWW], T$2, patch[AuthorGroup],"BJ And dev"), SUMIFS(patch[FI review num], patch[status], "MERGED", patch[MergeWW], T$2, patch[AuthorGroup],"BJ And dev"), SUMIFS(patch[SH review num], patch[status], "MERGED", patch[MergeWW], T$2, patch[AuthorGroup],"BJ And dev")), "no patch")</f>
        <v>1</v>
      </c>
      <c r="U5" s="142">
        <f>IFERROR(
   SUMIFS(patch[BJ review num], patch[status], "MERGED", patch[MergeWW], U$2, patch[AuthorGroup],"BJ And dev")
   /SUM(SUMIFS(patch[BJ review num], patch[status], "MERGED", patch[MergeWW], U$2, patch[AuthorGroup],"BJ And dev"), SUMIFS(patch[FI review num], patch[status], "MERGED", patch[MergeWW], U$2, patch[AuthorGroup],"BJ And dev"), SUMIFS(patch[SH review num], patch[status], "MERGED", patch[MergeWW], U$2, patch[AuthorGroup],"BJ And dev")), "no patch")</f>
        <v>1</v>
      </c>
      <c r="V5" s="142">
        <f>IFERROR(
   SUMIFS(patch[BJ review num], patch[status], "MERGED", patch[MergeWW], V$2, patch[AuthorGroup],"BJ And dev")
   /SUM(SUMIFS(patch[BJ review num], patch[status], "MERGED", patch[MergeWW], V$2, patch[AuthorGroup],"BJ And dev"), SUMIFS(patch[FI review num], patch[status], "MERGED", patch[MergeWW], V$2, patch[AuthorGroup],"BJ And dev"), SUMIFS(patch[SH review num], patch[status], "MERGED", patch[MergeWW], V$2, patch[AuthorGroup],"BJ And dev")), "no patch")</f>
        <v>1</v>
      </c>
      <c r="W5" s="142">
        <f>IFERROR(
   SUMIFS(patch[BJ review num], patch[status], "MERGED", patch[MergeWW], W$2, patch[AuthorGroup],"BJ And dev")
   /SUM(SUMIFS(patch[BJ review num], patch[status], "MERGED", patch[MergeWW], W$2, patch[AuthorGroup],"BJ And dev"), SUMIFS(patch[FI review num], patch[status], "MERGED", patch[MergeWW], W$2, patch[AuthorGroup],"BJ And dev"), SUMIFS(patch[SH review num], patch[status], "MERGED", patch[MergeWW], W$2, patch[AuthorGroup],"BJ And dev")), "no patch")</f>
        <v>0.99331848552338531</v>
      </c>
      <c r="X5" s="142">
        <f>IFERROR(
   SUMIFS(patch[BJ review num], patch[status], "MERGED", patch[MergeWW], X$2, patch[AuthorGroup],"BJ And dev")
   /SUM(SUMIFS(patch[BJ review num], patch[status], "MERGED", patch[MergeWW], X$2, patch[AuthorGroup],"BJ And dev"), SUMIFS(patch[FI review num], patch[status], "MERGED", patch[MergeWW], X$2, patch[AuthorGroup],"BJ And dev"), SUMIFS(patch[SH review num], patch[status], "MERGED", patch[MergeWW], X$2, patch[AuthorGroup],"BJ And dev")), "no patch")</f>
        <v>1</v>
      </c>
      <c r="Y5" s="142" t="str">
        <f>IFERROR(
   SUMIFS(patch[BJ review num], patch[status], "MERGED", patch[MergeWW], Y$2, patch[AuthorGroup],"BJ And dev")
   /SUM(SUMIFS(patch[BJ review num], patch[status], "MERGED", patch[MergeWW], Y$2, patch[AuthorGroup],"BJ And dev"), SUMIFS(patch[FI review num], patch[status], "MERGED", patch[MergeWW], Y$2, patch[AuthorGroup],"BJ And dev"), SUMIFS(patch[SH review num], patch[status], "MERGED", patch[MergeWW], Y$2, patch[AuthorGroup],"BJ And dev")), "no patch")</f>
        <v>no patch</v>
      </c>
    </row>
    <row r="6" spans="1:26" ht="30">
      <c r="A6" s="156"/>
      <c r="B6" s="84" t="str">
        <f>'BJ-byM'!B6</f>
        <v>(BJ Patch)</v>
      </c>
      <c r="C6" s="157"/>
      <c r="D6" s="157"/>
      <c r="E6" s="160"/>
      <c r="F6" s="35"/>
      <c r="G6" s="159"/>
      <c r="H6" s="36"/>
      <c r="I6" s="154"/>
      <c r="J6" s="5"/>
      <c r="K6" s="106" t="str">
        <f>"BJ vs FI vs SH: "&amp;SUMIFS(patch[BJ review num], patch[status], "MERGED",  patch[AuthorGroup],"BJ And dev", patch[mergeDate], "&lt;2016-10-1", patch[mergeDate], "&gt;=2016-7-1")&amp;" vs "&amp; SUMIFS(patch[FI review num], patch[status], "MERGED",  patch[AuthorGroup],"BJ And dev", patch[mergeDate], "&lt;2016-10-1", patch[mergeDate], "&gt;=2016-7-1")&amp; " vs "&amp;SUMIFS(patch[SH review num], patch[status], "MERGED",  patch[AuthorGroup],"BJ And dev", patch[mergeDate], "&lt;2016-10-1", patch[mergeDate], "&gt;=2016-7-1")</f>
        <v>BJ vs FI vs SH: 1241 vs 3 vs 0</v>
      </c>
      <c r="L6" s="46" t="str">
        <f>"BJ vs FI vs SH: "&amp;SUMIFS(patch[BJ review num], patch[status], "MERGED", patch[MergeWW], L$2, patch[AuthorGroup],"BJ And dev")&amp;" vs "&amp; SUMIFS(patch[FI review num], patch[status], "MERGED", patch[MergeWW], L$2, patch[AuthorGroup],"BJ And dev")&amp;" vs "&amp; SUMIFS(patch[SH review num], patch[status], "MERGED", patch[MergeWW], L$2, patch[AuthorGroup],"BJ And dev")</f>
        <v>BJ vs FI vs SH: 0 vs 0 vs 0</v>
      </c>
      <c r="M6" s="46" t="str">
        <f>"BJ vs FI vs SH: "&amp;SUMIFS(patch[BJ review num], patch[status], "MERGED", patch[MergeWW], M$2, patch[AuthorGroup],"BJ And dev")&amp;" vs "&amp; SUMIFS(patch[FI review num], patch[status], "MERGED", patch[MergeWW], M$2, patch[AuthorGroup],"BJ And dev")&amp;" vs "&amp; SUMIFS(patch[SH review num], patch[status], "MERGED", patch[MergeWW], M$2, patch[AuthorGroup],"BJ And dev")</f>
        <v>BJ vs FI vs SH: 0 vs 0 vs 0</v>
      </c>
      <c r="N6" s="46" t="str">
        <f>"BJ vs FI vs SH: "&amp;SUMIFS(patch[BJ review num], patch[status], "MERGED", patch[MergeWW], N$2, patch[AuthorGroup],"BJ And dev")&amp;" vs "&amp; SUMIFS(patch[FI review num], patch[status], "MERGED", patch[MergeWW], N$2, patch[AuthorGroup],"BJ And dev")&amp;" vs "&amp; SUMIFS(patch[SH review num], patch[status], "MERGED", patch[MergeWW], N$2, patch[AuthorGroup],"BJ And dev")</f>
        <v>BJ vs FI vs SH: 0 vs 0 vs 0</v>
      </c>
      <c r="O6" s="46" t="str">
        <f>"BJ vs FI vs SH: "&amp;SUMIFS(patch[BJ review num], patch[status], "MERGED", patch[MergeWW], O$2, patch[AuthorGroup],"BJ And dev")&amp;" vs "&amp; SUMIFS(patch[FI review num], patch[status], "MERGED", patch[MergeWW], O$2, patch[AuthorGroup],"BJ And dev")&amp;" vs "&amp; SUMIFS(patch[SH review num], patch[status], "MERGED", patch[MergeWW], O$2, patch[AuthorGroup],"BJ And dev")</f>
        <v>BJ vs FI vs SH: 0 vs 0 vs 0</v>
      </c>
      <c r="P6" s="46" t="str">
        <f>"BJ vs FI vs SH: "&amp;SUMIFS(patch[BJ review num], patch[status], "MERGED", patch[MergeWW], P$2, patch[AuthorGroup],"BJ And dev")&amp;" vs "&amp; SUMIFS(patch[FI review num], patch[status], "MERGED", patch[MergeWW], P$2, patch[AuthorGroup],"BJ And dev")&amp;" vs "&amp; SUMIFS(patch[SH review num], patch[status], "MERGED", patch[MergeWW], P$2, patch[AuthorGroup],"BJ And dev")</f>
        <v>BJ vs FI vs SH: 0 vs 0 vs 0</v>
      </c>
      <c r="Q6" s="46" t="str">
        <f>"BJ vs FI vs SH: "&amp;SUMIFS(patch[BJ review num], patch[status], "MERGED", patch[MergeWW], Q$2, patch[AuthorGroup],"BJ And dev")&amp;" vs "&amp; SUMIFS(patch[FI review num], patch[status], "MERGED", patch[MergeWW], Q$2, patch[AuthorGroup],"BJ And dev")&amp;" vs "&amp; SUMIFS(patch[SH review num], patch[status], "MERGED", patch[MergeWW], Q$2, patch[AuthorGroup],"BJ And dev")</f>
        <v>BJ vs FI vs SH: 0 vs 0 vs 0</v>
      </c>
      <c r="R6" s="46" t="str">
        <f>"BJ vs FI vs SH: "&amp;SUMIFS(patch[BJ review num], patch[status], "MERGED", patch[MergeWW], R$2, patch[AuthorGroup],"BJ And dev")&amp;" vs "&amp; SUMIFS(patch[FI review num], patch[status], "MERGED", patch[MergeWW], R$2, patch[AuthorGroup],"BJ And dev")&amp;" vs "&amp; SUMIFS(patch[SH review num], patch[status], "MERGED", patch[MergeWW], R$2, patch[AuthorGroup],"BJ And dev")</f>
        <v>BJ vs FI vs SH: 0 vs 0 vs 0</v>
      </c>
      <c r="S6" s="46" t="str">
        <f>"BJ vs FI vs SH: "&amp;SUMIFS(patch[BJ review num], patch[status], "MERGED", patch[MergeWW], S$2, patch[AuthorGroup],"BJ And dev")&amp;" vs "&amp; SUMIFS(patch[FI review num], patch[status], "MERGED", patch[MergeWW], S$2, patch[AuthorGroup],"BJ And dev")&amp;" vs "&amp; SUMIFS(patch[SH review num], patch[status], "MERGED", patch[MergeWW], S$2, patch[AuthorGroup],"BJ And dev")</f>
        <v>BJ vs FI vs SH: 0 vs 0 vs 0</v>
      </c>
      <c r="T6" s="46" t="str">
        <f>"BJ vs FI vs SH: "&amp;SUMIFS(patch[BJ review num], patch[status], "MERGED", patch[MergeWW], T$2, patch[AuthorGroup],"BJ And dev")&amp;" vs "&amp; SUMIFS(patch[FI review num], patch[status], "MERGED", patch[MergeWW], T$2, patch[AuthorGroup],"BJ And dev")&amp;" vs "&amp; SUMIFS(patch[SH review num], patch[status], "MERGED", patch[MergeWW], T$2, patch[AuthorGroup],"BJ And dev")</f>
        <v>BJ vs FI vs SH: 237 vs 0 vs 0</v>
      </c>
      <c r="U6" s="46" t="str">
        <f>"BJ vs FI vs SH: "&amp;SUMIFS(patch[BJ review num], patch[status], "MERGED", patch[MergeWW], U$2, patch[AuthorGroup],"BJ And dev")&amp;" vs "&amp; SUMIFS(patch[FI review num], patch[status], "MERGED", patch[MergeWW], U$2, patch[AuthorGroup],"BJ And dev")&amp;" vs "&amp; SUMIFS(patch[SH review num], patch[status], "MERGED", patch[MergeWW], U$2, patch[AuthorGroup],"BJ And dev")</f>
        <v>BJ vs FI vs SH: 218 vs 0 vs 0</v>
      </c>
      <c r="V6" s="46" t="str">
        <f>"BJ vs FI vs SH: "&amp;SUMIFS(patch[BJ review num], patch[status], "MERGED", patch[MergeWW], V$2, patch[AuthorGroup],"BJ And dev")&amp;" vs "&amp; SUMIFS(patch[FI review num], patch[status], "MERGED", patch[MergeWW], V$2, patch[AuthorGroup],"BJ And dev")&amp;" vs "&amp; SUMIFS(patch[SH review num], patch[status], "MERGED", patch[MergeWW], V$2, patch[AuthorGroup],"BJ And dev")</f>
        <v>BJ vs FI vs SH: 156 vs 0 vs 0</v>
      </c>
      <c r="W6" s="46" t="str">
        <f>"BJ vs FI vs SH: "&amp;SUMIFS(patch[BJ review num], patch[status], "MERGED", patch[MergeWW], W$2, patch[AuthorGroup],"BJ And dev")&amp;" vs "&amp; SUMIFS(patch[FI review num], patch[status], "MERGED", patch[MergeWW], W$2, patch[AuthorGroup],"BJ And dev")&amp;" vs "&amp; SUMIFS(patch[SH review num], patch[status], "MERGED", patch[MergeWW], W$2, patch[AuthorGroup],"BJ And dev")</f>
        <v>BJ vs FI vs SH: 446 vs 3 vs 0</v>
      </c>
      <c r="X6" s="46" t="str">
        <f>"BJ vs FI vs SH: "&amp;SUMIFS(patch[BJ review num], patch[status], "MERGED", patch[MergeWW], X$2, patch[AuthorGroup],"BJ And dev")&amp;" vs "&amp; SUMIFS(patch[FI review num], patch[status], "MERGED", patch[MergeWW], X$2, patch[AuthorGroup],"BJ And dev")&amp;" vs "&amp; SUMIFS(patch[SH review num], patch[status], "MERGED", patch[MergeWW], X$2, patch[AuthorGroup],"BJ And dev")</f>
        <v>BJ vs FI vs SH: 184 vs 0 vs 0</v>
      </c>
      <c r="Y6" s="46" t="str">
        <f>"BJ vs FI vs SH: "&amp;SUMIFS(patch[BJ review num], patch[status], "MERGED", patch[MergeWW], Y$2, patch[AuthorGroup],"BJ And dev")&amp;" vs "&amp; SUMIFS(patch[FI review num], patch[status], "MERGED", patch[MergeWW], Y$2, patch[AuthorGroup],"BJ And dev")&amp;" vs "&amp; SUMIFS(patch[SH review num], patch[status], "MERGED", patch[MergeWW], Y$2, patch[AuthorGroup],"BJ And dev")</f>
        <v>BJ vs FI vs SH: 0 vs 0 vs 0</v>
      </c>
    </row>
    <row r="7" spans="1:26" ht="50.25" customHeight="1">
      <c r="A7" s="155">
        <v>3</v>
      </c>
      <c r="B7" s="84" t="str">
        <f>'BJ-byM'!B7</f>
        <v>Review-1 # given locally (%)  (BJ patch)</v>
      </c>
      <c r="C7" s="157" t="s">
        <v>14</v>
      </c>
      <c r="D7" s="157" t="s">
        <v>15</v>
      </c>
      <c r="E7" s="160">
        <v>0.03</v>
      </c>
      <c r="F7" s="35"/>
      <c r="G7" s="159">
        <v>0.3</v>
      </c>
      <c r="H7" s="36"/>
      <c r="I7" s="154">
        <v>0.5</v>
      </c>
      <c r="J7" s="5"/>
      <c r="K7" s="100">
        <f>IFERROR(
   SUMIFS(patch[BJ -1 num], patch[status], "MERGED",  patch[AuthorGroup],"BJ And dev", patch[mergeDate], "&lt;2016-10-1", patch[mergeDate], "&gt;=2016-7-1")
  /SUM(SUMIFS(patch[BJ -1 num], patch[status], "MERGED",  patch[AuthorGroup],"BJ And dev", patch[mergeDate], "&lt;2016-10-1", patch[mergeDate], "&gt;=2016-7-1"), SUMIFS(patch[FI -1 num], patch[status], "MERGED",  patch[AuthorGroup],"BJ And dev", patch[mergeDate], "&lt;2016-10-1", patch[mergeDate], "&gt;=2016-7-1"), SUMIFS(patch[SH -1 num], patch[status], "MERGED",  patch[AuthorGroup],"BJ And dev", patch[mergeDate], "&lt;2016-10-1", patch[mergeDate], "&gt;=2016-7-1")),
 "no -1")</f>
        <v>1</v>
      </c>
      <c r="L7" s="142" t="str">
        <f>IFERROR(
   SUMIFS(patch[BJ -1 num], patch[status], "MERGED", patch[MergeWW], L$2, patch[AuthorGroup],"BJ And dev")
  /SUM(SUMIFS(patch[BJ -1 num], patch[status], "MERGED", patch[MergeWW], L$2, patch[AuthorGroup],"BJ And dev"), SUMIFS(patch[FI -1 num], patch[status], "MERGED", patch[MergeWW], L$2, patch[AuthorGroup],"BJ And dev"), SUMIFS(patch[SH -1 num], patch[status], "MERGED", patch[MergeWW], L$2, patch[AuthorGroup],"BJ And dev")),
 "no -1")</f>
        <v>no -1</v>
      </c>
      <c r="M7" s="142" t="str">
        <f>IFERROR(
   SUMIFS(patch[BJ -1 num], patch[status], "MERGED", patch[MergeWW], M$2, patch[AuthorGroup],"BJ And dev")
  /SUM(SUMIFS(patch[BJ -1 num], patch[status], "MERGED", patch[MergeWW], M$2, patch[AuthorGroup],"BJ And dev"), SUMIFS(patch[FI -1 num], patch[status], "MERGED", patch[MergeWW], M$2, patch[AuthorGroup],"BJ And dev"), SUMIFS(patch[SH -1 num], patch[status], "MERGED", patch[MergeWW], M$2, patch[AuthorGroup],"BJ And dev")),
 "no -1")</f>
        <v>no -1</v>
      </c>
      <c r="N7" s="142" t="str">
        <f>IFERROR(
   SUMIFS(patch[BJ -1 num], patch[status], "MERGED", patch[MergeWW], N$2, patch[AuthorGroup],"BJ And dev")
  /SUM(SUMIFS(patch[BJ -1 num], patch[status], "MERGED", patch[MergeWW], N$2, patch[AuthorGroup],"BJ And dev"), SUMIFS(patch[FI -1 num], patch[status], "MERGED", patch[MergeWW], N$2, patch[AuthorGroup],"BJ And dev"), SUMIFS(patch[SH -1 num], patch[status], "MERGED", patch[MergeWW], N$2, patch[AuthorGroup],"BJ And dev")),
 "no -1")</f>
        <v>no -1</v>
      </c>
      <c r="O7" s="142" t="str">
        <f>IFERROR(
   SUMIFS(patch[BJ -1 num], patch[status], "MERGED", patch[MergeWW], O$2, patch[AuthorGroup],"BJ And dev")
  /SUM(SUMIFS(patch[BJ -1 num], patch[status], "MERGED", patch[MergeWW], O$2, patch[AuthorGroup],"BJ And dev"), SUMIFS(patch[FI -1 num], patch[status], "MERGED", patch[MergeWW], O$2, patch[AuthorGroup],"BJ And dev"), SUMIFS(patch[SH -1 num], patch[status], "MERGED", patch[MergeWW], O$2, patch[AuthorGroup],"BJ And dev")),
 "no -1")</f>
        <v>no -1</v>
      </c>
      <c r="P7" s="142" t="str">
        <f>IFERROR(
   SUMIFS(patch[BJ -1 num], patch[status], "MERGED", patch[MergeWW], P$2, patch[AuthorGroup],"BJ And dev")
  /SUM(SUMIFS(patch[BJ -1 num], patch[status], "MERGED", patch[MergeWW], P$2, patch[AuthorGroup],"BJ And dev"), SUMIFS(patch[FI -1 num], patch[status], "MERGED", patch[MergeWW], P$2, patch[AuthorGroup],"BJ And dev"), SUMIFS(patch[SH -1 num], patch[status], "MERGED", patch[MergeWW], P$2, patch[AuthorGroup],"BJ And dev")),
 "no -1")</f>
        <v>no -1</v>
      </c>
      <c r="Q7" s="142" t="str">
        <f>IFERROR(
   SUMIFS(patch[BJ -1 num], patch[status], "MERGED", patch[MergeWW], Q$2, patch[AuthorGroup],"BJ And dev")
  /SUM(SUMIFS(patch[BJ -1 num], patch[status], "MERGED", patch[MergeWW], Q$2, patch[AuthorGroup],"BJ And dev"), SUMIFS(patch[FI -1 num], patch[status], "MERGED", patch[MergeWW], Q$2, patch[AuthorGroup],"BJ And dev"), SUMIFS(patch[SH -1 num], patch[status], "MERGED", patch[MergeWW], Q$2, patch[AuthorGroup],"BJ And dev")),
 "no -1")</f>
        <v>no -1</v>
      </c>
      <c r="R7" s="142" t="str">
        <f>IFERROR(
   SUMIFS(patch[BJ -1 num], patch[status], "MERGED", patch[MergeWW], R$2, patch[AuthorGroup],"BJ And dev")
  /SUM(SUMIFS(patch[BJ -1 num], patch[status], "MERGED", patch[MergeWW], R$2, patch[AuthorGroup],"BJ And dev"), SUMIFS(patch[FI -1 num], patch[status], "MERGED", patch[MergeWW], R$2, patch[AuthorGroup],"BJ And dev"), SUMIFS(patch[SH -1 num], patch[status], "MERGED", patch[MergeWW], R$2, patch[AuthorGroup],"BJ And dev")),
 "no -1")</f>
        <v>no -1</v>
      </c>
      <c r="S7" s="142" t="str">
        <f>IFERROR(
   SUMIFS(patch[BJ -1 num], patch[status], "MERGED", patch[MergeWW], S$2, patch[AuthorGroup],"BJ And dev")
  /SUM(SUMIFS(patch[BJ -1 num], patch[status], "MERGED", patch[MergeWW], S$2, patch[AuthorGroup],"BJ And dev"), SUMIFS(patch[FI -1 num], patch[status], "MERGED", patch[MergeWW], S$2, patch[AuthorGroup],"BJ And dev"), SUMIFS(patch[SH -1 num], patch[status], "MERGED", patch[MergeWW], S$2, patch[AuthorGroup],"BJ And dev")),
 "no -1")</f>
        <v>no -1</v>
      </c>
      <c r="T7" s="142">
        <f>IFERROR(
   SUMIFS(patch[BJ -1 num], patch[status], "MERGED", patch[MergeWW], T$2, patch[AuthorGroup],"BJ And dev")
  /SUM(SUMIFS(patch[BJ -1 num], patch[status], "MERGED", patch[MergeWW], T$2, patch[AuthorGroup],"BJ And dev"), SUMIFS(patch[FI -1 num], patch[status], "MERGED", patch[MergeWW], T$2, patch[AuthorGroup],"BJ And dev"), SUMIFS(patch[SH -1 num], patch[status], "MERGED", patch[MergeWW], T$2, patch[AuthorGroup],"BJ And dev")),
 "no -1")</f>
        <v>1</v>
      </c>
      <c r="U7" s="142">
        <f>IFERROR(
   SUMIFS(patch[BJ -1 num], patch[status], "MERGED", patch[MergeWW], U$2, patch[AuthorGroup],"BJ And dev")
  /SUM(SUMIFS(patch[BJ -1 num], patch[status], "MERGED", patch[MergeWW], U$2, patch[AuthorGroup],"BJ And dev"), SUMIFS(patch[FI -1 num], patch[status], "MERGED", patch[MergeWW], U$2, patch[AuthorGroup],"BJ And dev"), SUMIFS(patch[SH -1 num], patch[status], "MERGED", patch[MergeWW], U$2, patch[AuthorGroup],"BJ And dev")),
 "no -1")</f>
        <v>1</v>
      </c>
      <c r="V7" s="142">
        <f>IFERROR(
   SUMIFS(patch[BJ -1 num], patch[status], "MERGED", patch[MergeWW], V$2, patch[AuthorGroup],"BJ And dev")
  /SUM(SUMIFS(patch[BJ -1 num], patch[status], "MERGED", patch[MergeWW], V$2, patch[AuthorGroup],"BJ And dev"), SUMIFS(patch[FI -1 num], patch[status], "MERGED", patch[MergeWW], V$2, patch[AuthorGroup],"BJ And dev"), SUMIFS(patch[SH -1 num], patch[status], "MERGED", patch[MergeWW], V$2, patch[AuthorGroup],"BJ And dev")),
 "no -1")</f>
        <v>1</v>
      </c>
      <c r="W7" s="142">
        <f>IFERROR(
   SUMIFS(patch[BJ -1 num], patch[status], "MERGED", patch[MergeWW], W$2, patch[AuthorGroup],"BJ And dev")
  /SUM(SUMIFS(patch[BJ -1 num], patch[status], "MERGED", patch[MergeWW], W$2, patch[AuthorGroup],"BJ And dev"), SUMIFS(patch[FI -1 num], patch[status], "MERGED", patch[MergeWW], W$2, patch[AuthorGroup],"BJ And dev"), SUMIFS(patch[SH -1 num], patch[status], "MERGED", patch[MergeWW], W$2, patch[AuthorGroup],"BJ And dev")),
 "no -1")</f>
        <v>1</v>
      </c>
      <c r="X7" s="142">
        <f>IFERROR(
   SUMIFS(patch[BJ -1 num], patch[status], "MERGED", patch[MergeWW], X$2, patch[AuthorGroup],"BJ And dev")
  /SUM(SUMIFS(patch[BJ -1 num], patch[status], "MERGED", patch[MergeWW], X$2, patch[AuthorGroup],"BJ And dev"), SUMIFS(patch[FI -1 num], patch[status], "MERGED", patch[MergeWW], X$2, patch[AuthorGroup],"BJ And dev"), SUMIFS(patch[SH -1 num], patch[status], "MERGED", patch[MergeWW], X$2, patch[AuthorGroup],"BJ And dev")),
 "no -1")</f>
        <v>1</v>
      </c>
      <c r="Y7" s="142" t="str">
        <f>IFERROR(
   SUMIFS(patch[BJ -1 num], patch[status], "MERGED", patch[MergeWW], Y$2, patch[AuthorGroup],"BJ And dev")
  /SUM(SUMIFS(patch[BJ -1 num], patch[status], "MERGED", patch[MergeWW], Y$2, patch[AuthorGroup],"BJ And dev"), SUMIFS(patch[FI -1 num], patch[status], "MERGED", patch[MergeWW], Y$2, patch[AuthorGroup],"BJ And dev"), SUMIFS(patch[SH -1 num], patch[status], "MERGED", patch[MergeWW], Y$2, patch[AuthorGroup],"BJ And dev")),
 "no -1")</f>
        <v>no -1</v>
      </c>
    </row>
    <row r="8" spans="1:26" ht="30">
      <c r="A8" s="156"/>
      <c r="B8" s="84" t="str">
        <f>'BJ-byM'!B8</f>
        <v>(BJ Patch)</v>
      </c>
      <c r="C8" s="157"/>
      <c r="D8" s="157"/>
      <c r="E8" s="160"/>
      <c r="F8" s="35"/>
      <c r="G8" s="159"/>
      <c r="H8" s="36"/>
      <c r="I8" s="154"/>
      <c r="J8" s="5"/>
      <c r="K8" s="106" t="str">
        <f>"BJ vs FI vs SH: "&amp;SUMIFS(patch[BJ -1 num], patch[status], "MERGED",  patch[AuthorGroup],"BJ And dev", patch[mergeDate], "&lt;2016-10-1", patch[mergeDate], "&gt;=2016-7-1")&amp;" vs "&amp; SUMIFS(patch[FI -1 num], patch[status], "MERGED",  patch[AuthorGroup],"BJ And dev", patch[mergeDate], "&lt;2016-10-1", patch[mergeDate], "&gt;=2016-7-1")&amp;" vs "&amp; SUMIFS(patch[SH -1 num], patch[status], "MERGED",  patch[AuthorGroup],"BJ And dev", patch[mergeDate], "&lt;2016-10-1", patch[mergeDate], "&gt;=2016-7-1")</f>
        <v>BJ vs FI vs SH: 31 vs 0 vs 0</v>
      </c>
      <c r="L8" s="46" t="str">
        <f>"BJ vs FI vs SH: "&amp;SUMIFS(patch[BJ -1 num], patch[status], "MERGED", patch[MergeWW], L$2, patch[AuthorGroup],"BJ And dev")&amp;" vs "&amp; SUMIFS(patch[FI -1 num], patch[status], "MERGED", patch[MergeWW], L$2, patch[AuthorGroup],"BJ And dev")&amp;" vs "&amp; SUMIFS(patch[SH -1 num], patch[status], "MERGED", patch[MergeWW], L$2, patch[AuthorGroup],"BJ And dev")</f>
        <v>BJ vs FI vs SH: 0 vs 0 vs 0</v>
      </c>
      <c r="M8" s="46" t="str">
        <f>"BJ vs FI vs SH: "&amp;SUMIFS(patch[BJ -1 num], patch[status], "MERGED", patch[MergeWW], M$2, patch[AuthorGroup],"BJ And dev")&amp;" vs "&amp; SUMIFS(patch[FI -1 num], patch[status], "MERGED", patch[MergeWW], M$2, patch[AuthorGroup],"BJ And dev")&amp;" vs "&amp; SUMIFS(patch[SH -1 num], patch[status], "MERGED", patch[MergeWW], M$2, patch[AuthorGroup],"BJ And dev")</f>
        <v>BJ vs FI vs SH: 0 vs 0 vs 0</v>
      </c>
      <c r="N8" s="46" t="str">
        <f>"BJ vs FI vs SH: "&amp;SUMIFS(patch[BJ -1 num], patch[status], "MERGED", patch[MergeWW], N$2, patch[AuthorGroup],"BJ And dev")&amp;" vs "&amp; SUMIFS(patch[FI -1 num], patch[status], "MERGED", patch[MergeWW], N$2, patch[AuthorGroup],"BJ And dev")&amp;" vs "&amp; SUMIFS(patch[SH -1 num], patch[status], "MERGED", patch[MergeWW], N$2, patch[AuthorGroup],"BJ And dev")</f>
        <v>BJ vs FI vs SH: 0 vs 0 vs 0</v>
      </c>
      <c r="O8" s="46" t="str">
        <f>"BJ vs FI vs SH: "&amp;SUMIFS(patch[BJ -1 num], patch[status], "MERGED", patch[MergeWW], O$2, patch[AuthorGroup],"BJ And dev")&amp;" vs "&amp; SUMIFS(patch[FI -1 num], patch[status], "MERGED", patch[MergeWW], O$2, patch[AuthorGroup],"BJ And dev")&amp;" vs "&amp; SUMIFS(patch[SH -1 num], patch[status], "MERGED", patch[MergeWW], O$2, patch[AuthorGroup],"BJ And dev")</f>
        <v>BJ vs FI vs SH: 0 vs 0 vs 0</v>
      </c>
      <c r="P8" s="46" t="str">
        <f>"BJ vs FI vs SH: "&amp;SUMIFS(patch[BJ -1 num], patch[status], "MERGED", patch[MergeWW], P$2, patch[AuthorGroup],"BJ And dev")&amp;" vs "&amp; SUMIFS(patch[FI -1 num], patch[status], "MERGED", patch[MergeWW], P$2, patch[AuthorGroup],"BJ And dev")&amp;" vs "&amp; SUMIFS(patch[SH -1 num], patch[status], "MERGED", patch[MergeWW], P$2, patch[AuthorGroup],"BJ And dev")</f>
        <v>BJ vs FI vs SH: 0 vs 0 vs 0</v>
      </c>
      <c r="Q8" s="46" t="str">
        <f>"BJ vs FI vs SH: "&amp;SUMIFS(patch[BJ -1 num], patch[status], "MERGED", patch[MergeWW], Q$2, patch[AuthorGroup],"BJ And dev")&amp;" vs "&amp; SUMIFS(patch[FI -1 num], patch[status], "MERGED", patch[MergeWW], Q$2, patch[AuthorGroup],"BJ And dev")&amp;" vs "&amp; SUMIFS(patch[SH -1 num], patch[status], "MERGED", patch[MergeWW], Q$2, patch[AuthorGroup],"BJ And dev")</f>
        <v>BJ vs FI vs SH: 0 vs 0 vs 0</v>
      </c>
      <c r="R8" s="46" t="str">
        <f>"BJ vs FI vs SH: "&amp;SUMIFS(patch[BJ -1 num], patch[status], "MERGED", patch[MergeWW], R$2, patch[AuthorGroup],"BJ And dev")&amp;" vs "&amp; SUMIFS(patch[FI -1 num], patch[status], "MERGED", patch[MergeWW], R$2, patch[AuthorGroup],"BJ And dev")&amp;" vs "&amp; SUMIFS(patch[SH -1 num], patch[status], "MERGED", patch[MergeWW], R$2, patch[AuthorGroup],"BJ And dev")</f>
        <v>BJ vs FI vs SH: 0 vs 0 vs 0</v>
      </c>
      <c r="S8" s="46" t="str">
        <f>"BJ vs FI vs SH: "&amp;SUMIFS(patch[BJ -1 num], patch[status], "MERGED", patch[MergeWW], S$2, patch[AuthorGroup],"BJ And dev")&amp;" vs "&amp; SUMIFS(patch[FI -1 num], patch[status], "MERGED", patch[MergeWW], S$2, patch[AuthorGroup],"BJ And dev")&amp;" vs "&amp; SUMIFS(patch[SH -1 num], patch[status], "MERGED", patch[MergeWW], S$2, patch[AuthorGroup],"BJ And dev")</f>
        <v>BJ vs FI vs SH: 0 vs 0 vs 0</v>
      </c>
      <c r="T8" s="46" t="str">
        <f>"BJ vs FI vs SH: "&amp;SUMIFS(patch[BJ -1 num], patch[status], "MERGED", patch[MergeWW], T$2, patch[AuthorGroup],"BJ And dev")&amp;" vs "&amp; SUMIFS(patch[FI -1 num], patch[status], "MERGED", patch[MergeWW], T$2, patch[AuthorGroup],"BJ And dev")&amp;" vs "&amp; SUMIFS(patch[SH -1 num], patch[status], "MERGED", patch[MergeWW], T$2, patch[AuthorGroup],"BJ And dev")</f>
        <v>BJ vs FI vs SH: 4 vs 0 vs 0</v>
      </c>
      <c r="U8" s="46" t="str">
        <f>"BJ vs FI vs SH: "&amp;SUMIFS(patch[BJ -1 num], patch[status], "MERGED", patch[MergeWW], U$2, patch[AuthorGroup],"BJ And dev")&amp;" vs "&amp; SUMIFS(patch[FI -1 num], patch[status], "MERGED", patch[MergeWW], U$2, patch[AuthorGroup],"BJ And dev")&amp;" vs "&amp; SUMIFS(patch[SH -1 num], patch[status], "MERGED", patch[MergeWW], U$2, patch[AuthorGroup],"BJ And dev")</f>
        <v>BJ vs FI vs SH: 2 vs 0 vs 0</v>
      </c>
      <c r="V8" s="46" t="str">
        <f>"BJ vs FI vs SH: "&amp;SUMIFS(patch[BJ -1 num], patch[status], "MERGED", patch[MergeWW], V$2, patch[AuthorGroup],"BJ And dev")&amp;" vs "&amp; SUMIFS(patch[FI -1 num], patch[status], "MERGED", patch[MergeWW], V$2, patch[AuthorGroup],"BJ And dev")&amp;" vs "&amp; SUMIFS(patch[SH -1 num], patch[status], "MERGED", patch[MergeWW], V$2, patch[AuthorGroup],"BJ And dev")</f>
        <v>BJ vs FI vs SH: 8 vs 0 vs 0</v>
      </c>
      <c r="W8" s="46" t="str">
        <f>"BJ vs FI vs SH: "&amp;SUMIFS(patch[BJ -1 num], patch[status], "MERGED", patch[MergeWW], W$2, patch[AuthorGroup],"BJ And dev")&amp;" vs "&amp; SUMIFS(patch[FI -1 num], patch[status], "MERGED", patch[MergeWW], W$2, patch[AuthorGroup],"BJ And dev")&amp;" vs "&amp; SUMIFS(patch[SH -1 num], patch[status], "MERGED", patch[MergeWW], W$2, patch[AuthorGroup],"BJ And dev")</f>
        <v>BJ vs FI vs SH: 10 vs 0 vs 0</v>
      </c>
      <c r="X8" s="46" t="str">
        <f>"BJ vs FI vs SH: "&amp;SUMIFS(patch[BJ -1 num], patch[status], "MERGED", patch[MergeWW], X$2, patch[AuthorGroup],"BJ And dev")&amp;" vs "&amp; SUMIFS(patch[FI -1 num], patch[status], "MERGED", patch[MergeWW], X$2, patch[AuthorGroup],"BJ And dev")&amp;" vs "&amp; SUMIFS(patch[SH -1 num], patch[status], "MERGED", patch[MergeWW], X$2, patch[AuthorGroup],"BJ And dev")</f>
        <v>BJ vs FI vs SH: 7 vs 0 vs 0</v>
      </c>
      <c r="Y8" s="46" t="str">
        <f>"BJ vs FI vs SH: "&amp;SUMIFS(patch[BJ -1 num], patch[status], "MERGED", patch[MergeWW], Y$2, patch[AuthorGroup],"BJ And dev")&amp;" vs "&amp; SUMIFS(patch[FI -1 num], patch[status], "MERGED", patch[MergeWW], Y$2, patch[AuthorGroup],"BJ And dev")&amp;" vs "&amp; SUMIFS(patch[SH -1 num], patch[status], "MERGED", patch[MergeWW], Y$2, patch[AuthorGroup],"BJ And dev")</f>
        <v>BJ vs FI vs SH: 0 vs 0 vs 0</v>
      </c>
    </row>
    <row r="9" spans="1:26" ht="43.5" customHeight="1">
      <c r="A9" s="155">
        <v>4</v>
      </c>
      <c r="B9" s="84" t="str">
        <f>'BJ-byM'!B9</f>
        <v>Cross site review(%)</v>
      </c>
      <c r="C9" s="157" t="s">
        <v>18</v>
      </c>
      <c r="D9" s="157" t="s">
        <v>19</v>
      </c>
      <c r="E9" s="158">
        <v>0</v>
      </c>
      <c r="F9" s="32"/>
      <c r="G9" s="159">
        <v>0.2</v>
      </c>
      <c r="H9" s="36"/>
      <c r="I9" s="154">
        <v>0.3</v>
      </c>
      <c r="J9" s="5"/>
      <c r="K9" s="141">
        <f>IFERROR(
       SUM(COUNTIFS(patch[status], "MERGED",  patch[AuthorGroup],{"FL And dev","SH And dev"}, patch[BJ review num], "&gt;0", patch[mergeDate], "&lt;2016-10-1", patch[mergeDate], "&gt;=2016-7-1"))
      /SUM(COUNTIFS(patch[status], "MERGED",  patch[AuthorGroup],{"FL And dev","SH And dev"}, patch[mergeDate], "&lt;2016-10-1", patch[mergeDate], "&gt;=2016-7-1")),
"no patch")</f>
        <v>1</v>
      </c>
      <c r="L9" s="142" t="str">
        <f t="array" ref="L9">IFERROR(
                   SUM(COUNTIFS(patch[status], "MERGED", patch[MergeWW], L$2, patch[AuthorGroup],{"FL And dev","SH And dev"}, patch[BJ review num], "&gt;0"))/
                    SUM(COUNTIFS(patch[status], "MERGED", patch[MergeWW], L$2, patch[AuthorGroup],{"FL And dev","SH And dev"})),
"no patch")</f>
        <v>no patch</v>
      </c>
      <c r="M9" s="142" t="str">
        <f t="array" ref="M9">IFERROR(
                   SUM(COUNTIFS(patch[status], "MERGED", patch[MergeWW], M$2, patch[AuthorGroup],{"FL And dev","SH And dev"}, patch[BJ review num], "&gt;0"))/
                    SUM(COUNTIFS(patch[status], "MERGED", patch[MergeWW], M$2, patch[AuthorGroup],{"FL And dev","SH And dev"})),
"no patch")</f>
        <v>no patch</v>
      </c>
      <c r="N9" s="142" t="str">
        <f t="array" ref="N9">IFERROR(
                   SUM(COUNTIFS(patch[status], "MERGED", patch[MergeWW], N$2, patch[AuthorGroup],{"FL And dev","SH And dev"}, patch[BJ review num], "&gt;0"))/
                    SUM(COUNTIFS(patch[status], "MERGED", patch[MergeWW], N$2, patch[AuthorGroup],{"FL And dev","SH And dev"})),
"no patch")</f>
        <v>no patch</v>
      </c>
      <c r="O9" s="142" t="str">
        <f t="array" ref="O9">IFERROR(
                   SUM(COUNTIFS(patch[status], "MERGED", patch[MergeWW], O$2, patch[AuthorGroup],{"FL And dev","SH And dev"}, patch[BJ review num], "&gt;0"))/
                    SUM(COUNTIFS(patch[status], "MERGED", patch[MergeWW], O$2, patch[AuthorGroup],{"FL And dev","SH And dev"})),
"no patch")</f>
        <v>no patch</v>
      </c>
      <c r="P9" s="142" t="str">
        <f t="array" ref="P9">IFERROR(
                   SUM(COUNTIFS(patch[status], "MERGED", patch[MergeWW], P$2, patch[AuthorGroup],{"FL And dev","SH And dev"}, patch[BJ review num], "&gt;0"))/
                    SUM(COUNTIFS(patch[status], "MERGED", patch[MergeWW], P$2, patch[AuthorGroup],{"FL And dev","SH And dev"})),
"no patch")</f>
        <v>no patch</v>
      </c>
      <c r="Q9" s="142" t="str">
        <f t="array" ref="Q9">IFERROR(
                   SUM(COUNTIFS(patch[status], "MERGED", patch[MergeWW], Q$2, patch[AuthorGroup],{"FL And dev","SH And dev"}, patch[BJ review num], "&gt;0"))/
                    SUM(COUNTIFS(patch[status], "MERGED", patch[MergeWW], Q$2, patch[AuthorGroup],{"FL And dev","SH And dev"})),
"no patch")</f>
        <v>no patch</v>
      </c>
      <c r="R9" s="142" t="str">
        <f t="array" ref="R9">IFERROR(
                   SUM(COUNTIFS(patch[status], "MERGED", patch[MergeWW], R$2, patch[AuthorGroup],{"FL And dev","SH And dev"}, patch[BJ review num], "&gt;0"))/
                    SUM(COUNTIFS(patch[status], "MERGED", patch[MergeWW], R$2, patch[AuthorGroup],{"FL And dev","SH And dev"})),
"no patch")</f>
        <v>no patch</v>
      </c>
      <c r="S9" s="142" t="str">
        <f t="array" ref="S9">IFERROR(
                   SUM(COUNTIFS(patch[status], "MERGED", patch[MergeWW], S$2, patch[AuthorGroup],{"FL And dev","SH And dev"}, patch[BJ review num], "&gt;0"))/
                    SUM(COUNTIFS(patch[status], "MERGED", patch[MergeWW], S$2, patch[AuthorGroup],{"FL And dev","SH And dev"})),
"no patch")</f>
        <v>no patch</v>
      </c>
      <c r="T9" s="142">
        <f t="array" ref="T9">IFERROR(
                   SUM(COUNTIFS(patch[status], "MERGED", patch[MergeWW], T$2, patch[AuthorGroup],{"FL And dev","SH And dev"}, patch[BJ review num], "&gt;0"))/
                    SUM(COUNTIFS(patch[status], "MERGED", patch[MergeWW], T$2, patch[AuthorGroup],{"FL And dev","SH And dev"})),
"no patch")</f>
        <v>1</v>
      </c>
      <c r="U9" s="142">
        <f t="array" ref="U9">IFERROR(
                   SUM(COUNTIFS(patch[status], "MERGED", patch[MergeWW], U$2, patch[AuthorGroup],{"FL And dev","SH And dev"}, patch[BJ review num], "&gt;0"))/
                    SUM(COUNTIFS(patch[status], "MERGED", patch[MergeWW], U$2, patch[AuthorGroup],{"FL And dev","SH And dev"})),
"no patch")</f>
        <v>1</v>
      </c>
      <c r="V9" s="142">
        <f t="array" ref="V9">IFERROR(
                   SUM(COUNTIFS(patch[status], "MERGED", patch[MergeWW], V$2, patch[AuthorGroup],{"FL And dev","SH And dev"}, patch[BJ review num], "&gt;0"))/
                    SUM(COUNTIFS(patch[status], "MERGED", patch[MergeWW], V$2, patch[AuthorGroup],{"FL And dev","SH And dev"})),
"no patch")</f>
        <v>1</v>
      </c>
      <c r="W9" s="142">
        <f t="array" ref="W9">IFERROR(
                   SUM(COUNTIFS(patch[status], "MERGED", patch[MergeWW], W$2, patch[AuthorGroup],{"FL And dev","SH And dev"}, patch[BJ review num], "&gt;0"))/
                    SUM(COUNTIFS(patch[status], "MERGED", patch[MergeWW], W$2, patch[AuthorGroup],{"FL And dev","SH And dev"})),
"no patch")</f>
        <v>1</v>
      </c>
      <c r="X9" s="142">
        <f t="array" ref="X9">IFERROR(
                   SUM(COUNTIFS(patch[status], "MERGED", patch[MergeWW], X$2, patch[AuthorGroup],{"FL And dev","SH And dev"}, patch[BJ review num], "&gt;0"))/
                    SUM(COUNTIFS(patch[status], "MERGED", patch[MergeWW], X$2, patch[AuthorGroup],{"FL And dev","SH And dev"})),
"no patch")</f>
        <v>1</v>
      </c>
      <c r="Y9" s="142" t="str">
        <f t="array" ref="Y9">IFERROR(
                   SUM(COUNTIFS(patch[status], "MERGED", patch[MergeWW], Y$2, patch[AuthorGroup],{"FL And dev","SH And dev"}, patch[BJ review num], "&gt;0"))/
                    SUM(COUNTIFS(patch[status], "MERGED", patch[MergeWW], Y$2, patch[AuthorGroup],{"FL And dev","SH And dev"})),
"no patch")</f>
        <v>no patch</v>
      </c>
    </row>
    <row r="10" spans="1:26" ht="30">
      <c r="A10" s="156"/>
      <c r="B10" s="84" t="str">
        <f>'BJ-byM'!B10</f>
        <v>(FI + SH Andr Patch)</v>
      </c>
      <c r="C10" s="157"/>
      <c r="D10" s="157"/>
      <c r="E10" s="158"/>
      <c r="F10" s="32"/>
      <c r="G10" s="159"/>
      <c r="H10" s="36"/>
      <c r="I10" s="154"/>
      <c r="J10" s="5"/>
      <c r="K10" s="106" t="str">
        <f>"BJ comment: "&amp;
SUM(COUNTIFS(patch[status], "MERGED",  patch[AuthorGroup],{"FL And dev","SH And dev"}, patch[BJ review num], "&gt;0", patch[mergeDate], "&lt;2016-10-1", patch[mergeDate], "&gt;=2016-7-1"))
&amp;", total: "&amp;
SUM(COUNTIFS(patch[status], "MERGED",  patch[AuthorGroup],{"FL And dev","SH And dev"}, patch[mergeDate], "&lt;2016-10-1", patch[mergeDate], "&gt;=2016-7-1"))</f>
        <v>BJ comment: 17, total: 17</v>
      </c>
      <c r="L10" s="46" t="str">
        <f>"BJ comment: "&amp;
SUM(COUNTIFS(patch[status], "MERGED", patch[MergeWW], L$2, patch[AuthorGroup],{"FL And dev","SH And dev"}, patch[BJ review num], "&gt;0"))
&amp;", total: "&amp;
SUM(COUNTIFS(patch[status], "MERGED", patch[MergeWW], L$2, patch[AuthorGroup],{"FL And dev","SH And dev"}))</f>
        <v>BJ comment: 0, total: 0</v>
      </c>
      <c r="M10" s="46" t="str">
        <f>"BJ comment: "&amp;
SUM(COUNTIFS(patch[status], "MERGED", patch[MergeWW], M$2, patch[AuthorGroup],{"FL And dev","SH And dev"}, patch[BJ review num], "&gt;0"))
&amp;", total: "&amp;
SUM(COUNTIFS(patch[status], "MERGED", patch[MergeWW], M$2, patch[AuthorGroup],{"FL And dev","SH And dev"}))</f>
        <v>BJ comment: 0, total: 0</v>
      </c>
      <c r="N10" s="46" t="str">
        <f>"BJ comment: "&amp;
SUM(COUNTIFS(patch[status], "MERGED", patch[MergeWW], N$2, patch[AuthorGroup],{"FL And dev","SH And dev"}, patch[BJ review num], "&gt;0"))
&amp;", total: "&amp;
SUM(COUNTIFS(patch[status], "MERGED", patch[MergeWW], N$2, patch[AuthorGroup],{"FL And dev","SH And dev"}))</f>
        <v>BJ comment: 0, total: 0</v>
      </c>
      <c r="O10" s="46" t="str">
        <f>"BJ comment: "&amp;
SUM(COUNTIFS(patch[status], "MERGED", patch[MergeWW], O$2, patch[AuthorGroup],{"FL And dev","SH And dev"}, patch[BJ review num], "&gt;0"))
&amp;", total: "&amp;
SUM(COUNTIFS(patch[status], "MERGED", patch[MergeWW], O$2, patch[AuthorGroup],{"FL And dev","SH And dev"}))</f>
        <v>BJ comment: 0, total: 0</v>
      </c>
      <c r="P10" s="46" t="str">
        <f>"BJ comment: "&amp;
SUM(COUNTIFS(patch[status], "MERGED", patch[MergeWW], P$2, patch[AuthorGroup],{"FL And dev","SH And dev"}, patch[BJ review num], "&gt;0"))
&amp;", total: "&amp;
SUM(COUNTIFS(patch[status], "MERGED", patch[MergeWW], P$2, patch[AuthorGroup],{"FL And dev","SH And dev"}))</f>
        <v>BJ comment: 0, total: 0</v>
      </c>
      <c r="Q10" s="46" t="str">
        <f>"BJ comment: "&amp;
SUM(COUNTIFS(patch[status], "MERGED", patch[MergeWW], Q$2, patch[AuthorGroup],{"FL And dev","SH And dev"}, patch[BJ review num], "&gt;0"))
&amp;", total: "&amp;
SUM(COUNTIFS(patch[status], "MERGED", patch[MergeWW], Q$2, patch[AuthorGroup],{"FL And dev","SH And dev"}))</f>
        <v>BJ comment: 0, total: 0</v>
      </c>
      <c r="R10" s="46" t="str">
        <f>"BJ comment: "&amp;
SUM(COUNTIFS(patch[status], "MERGED", patch[MergeWW], R$2, patch[AuthorGroup],{"FL And dev","SH And dev"}, patch[BJ review num], "&gt;0"))
&amp;", total: "&amp;
SUM(COUNTIFS(patch[status], "MERGED", patch[MergeWW], R$2, patch[AuthorGroup],{"FL And dev","SH And dev"}))</f>
        <v>BJ comment: 0, total: 0</v>
      </c>
      <c r="S10" s="46" t="str">
        <f>"BJ comment: "&amp;
SUM(COUNTIFS(patch[status], "MERGED", patch[MergeWW], S$2, patch[AuthorGroup],{"FL And dev","SH And dev"}, patch[BJ review num], "&gt;0"))
&amp;", total: "&amp;
SUM(COUNTIFS(patch[status], "MERGED", patch[MergeWW], S$2, patch[AuthorGroup],{"FL And dev","SH And dev"}))</f>
        <v>BJ comment: 0, total: 0</v>
      </c>
      <c r="T10" s="46" t="str">
        <f>"BJ comment: "&amp;
SUM(COUNTIFS(patch[status], "MERGED", patch[MergeWW], T$2, patch[AuthorGroup],{"FL And dev","SH And dev"}, patch[BJ review num], "&gt;0"))
&amp;", total: "&amp;
SUM(COUNTIFS(patch[status], "MERGED", patch[MergeWW], T$2, patch[AuthorGroup],{"FL And dev","SH And dev"}))</f>
        <v>BJ comment: 1, total: 1</v>
      </c>
      <c r="U10" s="46" t="str">
        <f>"BJ comment: "&amp;
SUM(COUNTIFS(patch[status], "MERGED", patch[MergeWW], U$2, patch[AuthorGroup],{"FL And dev","SH And dev"}, patch[BJ review num], "&gt;0"))
&amp;", total: "&amp;
SUM(COUNTIFS(patch[status], "MERGED", patch[MergeWW], U$2, patch[AuthorGroup],{"FL And dev","SH And dev"}))</f>
        <v>BJ comment: 3, total: 3</v>
      </c>
      <c r="V10" s="46" t="str">
        <f>"BJ comment: "&amp;
SUM(COUNTIFS(patch[status], "MERGED", patch[MergeWW], V$2, patch[AuthorGroup],{"FL And dev","SH And dev"}, patch[BJ review num], "&gt;0"))
&amp;", total: "&amp;
SUM(COUNTIFS(patch[status], "MERGED", patch[MergeWW], V$2, patch[AuthorGroup],{"FL And dev","SH And dev"}))</f>
        <v>BJ comment: 3, total: 3</v>
      </c>
      <c r="W10" s="46" t="str">
        <f>"BJ comment: "&amp;
SUM(COUNTIFS(patch[status], "MERGED", patch[MergeWW], W$2, patch[AuthorGroup],{"FL And dev","SH And dev"}, patch[BJ review num], "&gt;0"))
&amp;", total: "&amp;
SUM(COUNTIFS(patch[status], "MERGED", patch[MergeWW], W$2, patch[AuthorGroup],{"FL And dev","SH And dev"}))</f>
        <v>BJ comment: 5, total: 5</v>
      </c>
      <c r="X10" s="46" t="str">
        <f>"BJ comment: "&amp;
SUM(COUNTIFS(patch[status], "MERGED", patch[MergeWW], X$2, patch[AuthorGroup],{"FL And dev","SH And dev"}, patch[BJ review num], "&gt;0"))
&amp;", total: "&amp;
SUM(COUNTIFS(patch[status], "MERGED", patch[MergeWW], X$2, patch[AuthorGroup],{"FL And dev","SH And dev"}))</f>
        <v>BJ comment: 5, total: 5</v>
      </c>
      <c r="Y10" s="46" t="str">
        <f>"BJ comment: "&amp;
SUM(COUNTIFS(patch[status], "MERGED", patch[MergeWW], Y$2, patch[AuthorGroup],{"FL And dev","SH And dev"}, patch[BJ review num], "&gt;0"))
&amp;", total: "&amp;
SUM(COUNTIFS(patch[status], "MERGED", patch[MergeWW], Y$2, patch[AuthorGroup],{"FL And dev","SH And dev"}))</f>
        <v>BJ comment: 0, total: 0</v>
      </c>
      <c r="Z10">
        <f>0+19+35+14+25+54+18+42+23+49+33+52+55+20</f>
        <v>439</v>
      </c>
    </row>
    <row r="12" spans="1:26" ht="15.75">
      <c r="B12" s="53" t="s">
        <v>2042</v>
      </c>
    </row>
    <row r="13" spans="1:26" ht="15.75">
      <c r="B13" s="53"/>
    </row>
    <row r="14" spans="1:26" ht="15.75" hidden="1">
      <c r="B14" s="59" t="s">
        <v>2044</v>
      </c>
      <c r="C14" s="60"/>
      <c r="D14" s="60"/>
      <c r="E14" s="60"/>
      <c r="F14" s="60"/>
      <c r="G14" s="60"/>
      <c r="H14" s="60"/>
      <c r="I14" s="60"/>
      <c r="J14" s="60"/>
      <c r="K14" s="61"/>
      <c r="L14" s="61"/>
      <c r="M14" s="146"/>
      <c r="N14" s="146"/>
      <c r="O14" s="146"/>
      <c r="P14" s="146"/>
      <c r="Q14" s="146"/>
      <c r="R14" s="146"/>
      <c r="S14" s="146"/>
      <c r="T14" s="146"/>
      <c r="U14" s="146"/>
      <c r="V14" s="146"/>
      <c r="W14" s="146"/>
      <c r="X14" s="146"/>
    </row>
    <row r="15" spans="1:26" ht="45" hidden="1">
      <c r="A15" s="41" t="s">
        <v>2029</v>
      </c>
      <c r="B15" s="1" t="s">
        <v>2099</v>
      </c>
      <c r="C15" s="1" t="s">
        <v>2</v>
      </c>
      <c r="D15" s="1" t="s">
        <v>3</v>
      </c>
      <c r="E15" s="2" t="s">
        <v>2019</v>
      </c>
      <c r="F15" s="2"/>
      <c r="G15" s="3" t="s">
        <v>4</v>
      </c>
      <c r="H15" s="3"/>
      <c r="I15" s="4" t="s">
        <v>5</v>
      </c>
      <c r="J15" s="5"/>
      <c r="K15" s="52" t="s">
        <v>2041</v>
      </c>
      <c r="L15" s="27" t="s">
        <v>1876</v>
      </c>
      <c r="M15" s="44" t="s">
        <v>1875</v>
      </c>
      <c r="N15" s="44" t="s">
        <v>1877</v>
      </c>
      <c r="O15" s="44" t="s">
        <v>1878</v>
      </c>
      <c r="P15" s="44" t="s">
        <v>2030</v>
      </c>
      <c r="Q15" s="44" t="s">
        <v>2031</v>
      </c>
      <c r="R15" s="44" t="s">
        <v>2032</v>
      </c>
      <c r="S15" s="44" t="s">
        <v>2033</v>
      </c>
      <c r="T15" s="44" t="s">
        <v>2034</v>
      </c>
      <c r="U15" s="44" t="s">
        <v>2035</v>
      </c>
      <c r="V15" s="44" t="s">
        <v>2036</v>
      </c>
      <c r="W15" s="44" t="s">
        <v>2037</v>
      </c>
      <c r="X15" s="44" t="s">
        <v>2038</v>
      </c>
      <c r="Y15" s="44" t="s">
        <v>2028</v>
      </c>
    </row>
    <row r="16" spans="1:26" ht="15.75" hidden="1">
      <c r="A16" s="155">
        <v>1</v>
      </c>
      <c r="B16" s="84" t="s">
        <v>2090</v>
      </c>
      <c r="C16" s="162" t="s">
        <v>8</v>
      </c>
      <c r="D16" s="162" t="s">
        <v>9</v>
      </c>
      <c r="E16" s="158">
        <v>1.7</v>
      </c>
      <c r="F16" s="47"/>
      <c r="G16" s="163">
        <v>1</v>
      </c>
      <c r="H16" s="50"/>
      <c r="I16" s="161">
        <v>0.6</v>
      </c>
      <c r="J16" s="5"/>
      <c r="K16" s="37" t="str">
        <f>IFERROR(SUMIFS(patch[BJFISH -1 num], patch[status], "MERGED",  patch[AuthorGroup],"BJ And dev", patch[ifCommon], "common", patch[mergeDate], "&lt;2016-7-1", patch[mergeDate], "&gt;=2016-4-1")/COUNTIFS(patch[status], "MERGED",  patch[AuthorGroup],"BJ And dev", patch[ifCommon], "common", patch[mergeDate], "&lt;2016-7-1", patch[mergeDate], "&gt;=2016-4-1"), "no patch")</f>
        <v>no patch</v>
      </c>
      <c r="L16" s="29" t="str">
        <f>IFERROR(SUMIFS(patch[BJFISH -1 num], patch[status], "MERGED", patch[MergeWW], "15'ww53", patch[AuthorGroup],"BJ And dev", patch[ifCommon], "common")/COUNTIFS(patch[status], "MERGED", patch[MergeWW],  "15'ww53", patch[AuthorGroup],"BJ And dev", patch[ifCommon], "common"), "no patch")</f>
        <v>no patch</v>
      </c>
      <c r="M16" s="145" t="str">
        <f>IFERROR(SUMIFS(patch[BJFISH -1 num], patch[status], "MERGED", patch[MergeWW], M$2, patch[AuthorGroup],"BJ And dev", patch[ifCommon], "common")/COUNTIFS(patch[status], "MERGED", patch[MergeWW], M$2, patch[AuthorGroup],"BJ And dev", patch[ifCommon], "common"), "no patch")</f>
        <v>no patch</v>
      </c>
      <c r="N16" s="145" t="str">
        <f>IFERROR(SUMIFS(patch[BJFISH -1 num], patch[status], "MERGED", patch[MergeWW], N$2, patch[AuthorGroup],"BJ And dev", patch[ifCommon], "common")/COUNTIFS(patch[status], "MERGED", patch[MergeWW], N$2, patch[AuthorGroup],"BJ And dev", patch[ifCommon], "common"), "no patch")</f>
        <v>no patch</v>
      </c>
      <c r="O16" s="145" t="str">
        <f>IFERROR(SUMIFS(patch[BJFISH -1 num], patch[status], "MERGED", patch[MergeWW], O$2, patch[AuthorGroup],"BJ And dev", patch[ifCommon], "common")/COUNTIFS(patch[status], "MERGED", patch[MergeWW], O$2, patch[AuthorGroup],"BJ And dev", patch[ifCommon], "common"), "no patch")</f>
        <v>no patch</v>
      </c>
      <c r="P16" s="145" t="str">
        <f>IFERROR(SUMIFS(patch[BJFISH -1 num], patch[status], "MERGED", patch[MergeWW], P$2, patch[AuthorGroup],"BJ And dev", patch[ifCommon], "common")/COUNTIFS(patch[status], "MERGED", patch[MergeWW], P$2, patch[AuthorGroup],"BJ And dev", patch[ifCommon], "common"), "no patch")</f>
        <v>no patch</v>
      </c>
      <c r="Q16" s="145" t="str">
        <f>IFERROR(SUMIFS(patch[BJFISH -1 num], patch[status], "MERGED", patch[MergeWW], Q$2, patch[AuthorGroup],"BJ And dev", patch[ifCommon], "common")/COUNTIFS(patch[status], "MERGED", patch[MergeWW], Q$2, patch[AuthorGroup],"BJ And dev", patch[ifCommon], "common"), "no patch")</f>
        <v>no patch</v>
      </c>
      <c r="R16" s="145" t="str">
        <f>IFERROR(SUMIFS(patch[BJFISH -1 num], patch[status], "MERGED", patch[MergeWW], R$2, patch[AuthorGroup],"BJ And dev", patch[ifCommon], "common")/COUNTIFS(patch[status], "MERGED", patch[MergeWW], R$2, patch[AuthorGroup],"BJ And dev", patch[ifCommon], "common"), "no patch")</f>
        <v>no patch</v>
      </c>
      <c r="S16" s="145" t="str">
        <f>IFERROR(SUMIFS(patch[BJFISH -1 num], patch[status], "MERGED", patch[MergeWW], S$2, patch[AuthorGroup],"BJ And dev", patch[ifCommon], "common")/COUNTIFS(patch[status], "MERGED", patch[MergeWW], S$2, patch[AuthorGroup],"BJ And dev", patch[ifCommon], "common"), "no patch")</f>
        <v>no patch</v>
      </c>
      <c r="T16" s="145" t="str">
        <f>IFERROR(SUMIFS(patch[BJFISH -1 num], patch[status], "MERGED", patch[MergeWW], T$2, patch[AuthorGroup],"BJ And dev", patch[ifCommon], "common")/COUNTIFS(patch[status], "MERGED", patch[MergeWW], T$2, patch[AuthorGroup],"BJ And dev", patch[ifCommon], "common"), "no patch")</f>
        <v>no patch</v>
      </c>
      <c r="U16" s="145" t="str">
        <f>IFERROR(SUMIFS(patch[BJFISH -1 num], patch[status], "MERGED", patch[MergeWW], U$2, patch[AuthorGroup],"BJ And dev", patch[ifCommon], "common")/COUNTIFS(patch[status], "MERGED", patch[MergeWW], U$2, patch[AuthorGroup],"BJ And dev", patch[ifCommon], "common"), "no patch")</f>
        <v>no patch</v>
      </c>
      <c r="V16" s="145" t="str">
        <f>IFERROR(SUMIFS(patch[BJFISH -1 num], patch[status], "MERGED", patch[MergeWW], V$2, patch[AuthorGroup],"BJ And dev", patch[ifCommon], "common")/COUNTIFS(patch[status], "MERGED", patch[MergeWW], V$2, patch[AuthorGroup],"BJ And dev", patch[ifCommon], "common"), "no patch")</f>
        <v>no patch</v>
      </c>
      <c r="W16" s="145" t="str">
        <f>IFERROR(SUMIFS(patch[BJFISH -1 num], patch[status], "MERGED", patch[MergeWW], W$2, patch[AuthorGroup],"BJ And dev", patch[ifCommon], "common")/COUNTIFS(patch[status], "MERGED", patch[MergeWW], W$2, patch[AuthorGroup],"BJ And dev", patch[ifCommon], "common"), "no patch")</f>
        <v>no patch</v>
      </c>
      <c r="X16" s="145" t="str">
        <f>IFERROR(SUMIFS(patch[BJFISH -1 num], patch[status], "MERGED", patch[MergeWW], X$2, patch[AuthorGroup],"BJ And dev", patch[ifCommon], "common")/COUNTIFS(patch[status], "MERGED", patch[MergeWW], X$2, patch[AuthorGroup],"BJ And dev", patch[ifCommon], "common"), "no patch")</f>
        <v>no patch</v>
      </c>
      <c r="Y16" s="145" t="e">
        <f>SUMIFS(drvlst[BJFI -1 num], drvlst[status], "MERGED", drvlst[AuthorGroup],"BJ And dev")/COUNTIFS(drvlst[status], "MERGED", drvlst[AuthorGroup],"BJ And dev")</f>
        <v>#DIV/0!</v>
      </c>
    </row>
    <row r="17" spans="1:25" ht="30" hidden="1">
      <c r="A17" s="156"/>
      <c r="B17" s="84" t="s">
        <v>7</v>
      </c>
      <c r="C17" s="162"/>
      <c r="D17" s="162"/>
      <c r="E17" s="158"/>
      <c r="F17" s="47"/>
      <c r="G17" s="163"/>
      <c r="H17" s="50"/>
      <c r="I17" s="161"/>
      <c r="J17" s="5"/>
      <c r="K17" s="45" t="str">
        <f>"#"&amp;SUMIFS(patch[BJFISH -1 num], patch[status], "MERGED",  patch[AuthorGroup],"BJ And dev", patch[ifCommon], "common", patch[mergeDate], "&lt;2016-7-1", patch[mergeDate], "&gt;=2016-4-1")&amp;" -1, "&amp;COUNTIFS(patch[status], "MERGED", patch[AuthorGroup],"BJ And dev", patch[ifCommon], "common", patch[mergeDate], "&lt;2016-7-1", patch[mergeDate], "&gt;=2016-4-1")&amp;"patches"</f>
        <v>#0 -1, 0patches</v>
      </c>
      <c r="L17" s="46" t="str">
        <f>"#"&amp;SUMIFS(patch[BJFISH -1 num], patch[status], "MERGED", patch[MergeWW], "15'ww53", patch[AuthorGroup],"BJ And dev", patch[ifCommon], "common")&amp;" -1, "&amp;COUNTIFS(patch[status], "MERGED", patch[MergeWW],  "15'ww53", patch[AuthorGroup],"BJ And dev", patch[ifCommon], "common")&amp;"patches"</f>
        <v>#0 -1, 0patches</v>
      </c>
      <c r="M17" s="46" t="str">
        <f>"#"&amp;SUMIFS(patch[BJFISH -1 num], patch[status], "MERGED", patch[MergeWW], M$2, patch[AuthorGroup],"BJ And dev", patch[ifCommon], "common")&amp;" -1, "&amp;COUNTIFS(patch[status], "MERGED", patch[MergeWW],  M$2, patch[AuthorGroup],"BJ And dev", patch[ifCommon], "common")&amp;"patches"</f>
        <v>#0 -1, 0patches</v>
      </c>
      <c r="N17" s="46" t="str">
        <f>"#"&amp;SUMIFS(patch[BJFISH -1 num], patch[status], "MERGED", patch[MergeWW], N$2, patch[AuthorGroup],"BJ And dev", patch[ifCommon], "common")&amp;" -1, "&amp;COUNTIFS(patch[status], "MERGED", patch[MergeWW],  N$2, patch[AuthorGroup],"BJ And dev", patch[ifCommon], "common")&amp;"patches"</f>
        <v>#0 -1, 0patches</v>
      </c>
      <c r="O17" s="46" t="str">
        <f>"#"&amp;SUMIFS(patch[BJFISH -1 num], patch[status], "MERGED", patch[MergeWW], O$2, patch[AuthorGroup],"BJ And dev", patch[ifCommon], "common")&amp;" -1, "&amp;COUNTIFS(patch[status], "MERGED", patch[MergeWW],  O$2, patch[AuthorGroup],"BJ And dev", patch[ifCommon], "common")&amp;"patches"</f>
        <v>#0 -1, 0patches</v>
      </c>
      <c r="P17" s="46" t="str">
        <f>"#"&amp;SUMIFS(patch[BJFISH -1 num], patch[status], "MERGED", patch[MergeWW], P$2, patch[AuthorGroup],"BJ And dev", patch[ifCommon], "common")&amp;" -1, "&amp;COUNTIFS(patch[status], "MERGED", patch[MergeWW],  P$2, patch[AuthorGroup],"BJ And dev", patch[ifCommon], "common")&amp;"patches"</f>
        <v>#0 -1, 0patches</v>
      </c>
      <c r="Q17" s="46" t="str">
        <f>"#"&amp;SUMIFS(patch[BJFISH -1 num], patch[status], "MERGED", patch[MergeWW], Q$2, patch[AuthorGroup],"BJ And dev", patch[ifCommon], "common")&amp;" -1, "&amp;COUNTIFS(patch[status], "MERGED", patch[MergeWW],  Q$2, patch[AuthorGroup],"BJ And dev", patch[ifCommon], "common")&amp;"patches"</f>
        <v>#0 -1, 0patches</v>
      </c>
      <c r="R17" s="46" t="str">
        <f>"#"&amp;SUMIFS(patch[BJFISH -1 num], patch[status], "MERGED", patch[MergeWW], R$2, patch[AuthorGroup],"BJ And dev", patch[ifCommon], "common")&amp;" -1, "&amp;COUNTIFS(patch[status], "MERGED", patch[MergeWW],  R$2, patch[AuthorGroup],"BJ And dev", patch[ifCommon], "common")&amp;"patches"</f>
        <v>#0 -1, 0patches</v>
      </c>
      <c r="S17" s="46" t="str">
        <f>"#"&amp;SUMIFS(patch[BJFISH -1 num], patch[status], "MERGED", patch[MergeWW], S$2, patch[AuthorGroup],"BJ And dev", patch[ifCommon], "common")&amp;" -1, "&amp;COUNTIFS(patch[status], "MERGED", patch[MergeWW],  S$2, patch[AuthorGroup],"BJ And dev", patch[ifCommon], "common")&amp;"patches"</f>
        <v>#0 -1, 0patches</v>
      </c>
      <c r="T17" s="46" t="str">
        <f>"#"&amp;SUMIFS(patch[BJFISH -1 num], patch[status], "MERGED", patch[MergeWW], T$2, patch[AuthorGroup],"BJ And dev", patch[ifCommon], "common")&amp;" -1, "&amp;COUNTIFS(patch[status], "MERGED", patch[MergeWW],  T$2, patch[AuthorGroup],"BJ And dev", patch[ifCommon], "common")&amp;"patches"</f>
        <v>#0 -1, 0patches</v>
      </c>
      <c r="U17" s="46" t="str">
        <f>"#"&amp;SUMIFS(patch[BJFISH -1 num], patch[status], "MERGED", patch[MergeWW], U$2, patch[AuthorGroup],"BJ And dev", patch[ifCommon], "common")&amp;" -1, "&amp;COUNTIFS(patch[status], "MERGED", patch[MergeWW],  U$2, patch[AuthorGroup],"BJ And dev", patch[ifCommon], "common")&amp;"patches"</f>
        <v>#0 -1, 0patches</v>
      </c>
      <c r="V17" s="46" t="str">
        <f>"#"&amp;SUMIFS(patch[BJFISH -1 num], patch[status], "MERGED", patch[MergeWW], V$2, patch[AuthorGroup],"BJ And dev", patch[ifCommon], "common")&amp;" -1, "&amp;COUNTIFS(patch[status], "MERGED", patch[MergeWW],  V$2, patch[AuthorGroup],"BJ And dev", patch[ifCommon], "common")&amp;"patches"</f>
        <v>#0 -1, 0patches</v>
      </c>
      <c r="W17" s="46" t="str">
        <f>"#"&amp;SUMIFS(patch[BJFISH -1 num], patch[status], "MERGED", patch[MergeWW], W$2, patch[AuthorGroup],"BJ And dev", patch[ifCommon], "common")&amp;" -1, "&amp;COUNTIFS(patch[status], "MERGED", patch[MergeWW],  W$2, patch[AuthorGroup],"BJ And dev", patch[ifCommon], "common")&amp;"patches"</f>
        <v>#0 -1, 0patches</v>
      </c>
      <c r="X17" s="46" t="str">
        <f>"#"&amp;SUMIFS(patch[BJFISH -1 num], patch[status], "MERGED", patch[MergeWW], X$2, patch[AuthorGroup],"BJ And dev", patch[ifCommon], "common")&amp;" -1, "&amp;COUNTIFS(patch[status], "MERGED", patch[MergeWW],  X$2, patch[AuthorGroup],"BJ And dev", patch[ifCommon], "common")&amp;"patches"</f>
        <v>#0 -1, 0patches</v>
      </c>
      <c r="Y17" s="46" t="str">
        <f>"#"&amp;SUMIFS(drvlst[BJFI -1 num], drvlst[status], "MERGED",  drvlst[AuthorGroup],"BJ And dev")&amp;" -1, "&amp;COUNTIFS(drvlst[status], "MERGED", drvlst[AuthorGroup],"BJ And dev")&amp;"patches"</f>
        <v>#0 -1, 0patches</v>
      </c>
    </row>
    <row r="18" spans="1:25" ht="43.5" hidden="1" customHeight="1">
      <c r="A18" s="155">
        <v>2</v>
      </c>
      <c r="B18" s="84" t="s">
        <v>2091</v>
      </c>
      <c r="C18" s="157" t="s">
        <v>11</v>
      </c>
      <c r="D18" s="157" t="s">
        <v>12</v>
      </c>
      <c r="E18" s="160">
        <v>0.37</v>
      </c>
      <c r="F18" s="49"/>
      <c r="G18" s="159">
        <v>0.5</v>
      </c>
      <c r="H18" s="48"/>
      <c r="I18" s="154">
        <v>0.6</v>
      </c>
      <c r="J18" s="5"/>
      <c r="K18" s="38" t="str">
        <f>IFERROR(SUMIFS(patch[BJ review num], patch[status], "MERGED",  patch[AuthorGroup],"BJ And dev", patch[ifCommon], "common", patch[mergeDate], "&lt;2016-7-1", patch[mergeDate], "&gt;=2016-4-1")/SUM(SUMIFS(patch[BJ review num], patch[status], "MERGED",  patch[AuthorGroup],"BJ And dev", patch[ifCommon], "common", patch[mergeDate], "&lt;2016-7-1", patch[mergeDate], "&gt;=2016-4-1"), SUMIFS(patch[FI review num], patch[status], "MERGED",  patch[AuthorGroup],"BJ And dev", patch[ifCommon], "common", patch[mergeDate], "&lt;2016-7-1", patch[mergeDate], "&gt;=2016-4-1")), "no patch")</f>
        <v>no patch</v>
      </c>
      <c r="L18" s="28" t="str">
        <f>IFERROR(SUMIFS(patch[BJ review num], patch[status], "MERGED", patch[MergeWW], "15'ww53", patch[AuthorGroup],"BJ And dev", patch[ifCommon], "common")/SUM(SUMIFS(patch[BJ review num], patch[status], "MERGED", patch[MergeWW], "15'ww53", patch[AuthorGroup],"BJ And dev", patch[ifCommon], "common"), SUMIFS(patch[FI review num], patch[status], "MERGED", patch[MergeWW], "15'ww53", patch[AuthorGroup],"BJ And dev", patch[ifCommon], "common")), "no patch")</f>
        <v>no patch</v>
      </c>
      <c r="M18" s="142" t="str">
        <f>IFERROR(SUMIFS(patch[BJ review num], patch[status], "MERGED", patch[MergeWW], M$2, patch[AuthorGroup],"BJ And dev", patch[ifCommon], "common")/SUM(SUMIFS(patch[BJ review num], patch[status], "MERGED", patch[MergeWW], M$2, patch[AuthorGroup],"BJ And dev", patch[ifCommon], "common"), SUMIFS(patch[FI review num], patch[status], "MERGED", patch[MergeWW], M$2, patch[AuthorGroup],"BJ And dev", patch[ifCommon], "common")), "no patch")</f>
        <v>no patch</v>
      </c>
      <c r="N18" s="142" t="str">
        <f>IFERROR(SUMIFS(patch[BJ review num], patch[status], "MERGED", patch[MergeWW], N$2, patch[AuthorGroup],"BJ And dev", patch[ifCommon], "common")/SUM(SUMIFS(patch[BJ review num], patch[status], "MERGED", patch[MergeWW], N$2, patch[AuthorGroup],"BJ And dev", patch[ifCommon], "common"), SUMIFS(patch[FI review num], patch[status], "MERGED", patch[MergeWW], N$2, patch[AuthorGroup],"BJ And dev", patch[ifCommon], "common")), "no patch")</f>
        <v>no patch</v>
      </c>
      <c r="O18" s="142" t="str">
        <f>IFERROR(SUMIFS(patch[BJ review num], patch[status], "MERGED", patch[MergeWW], O$2, patch[AuthorGroup],"BJ And dev", patch[ifCommon], "common")/SUM(SUMIFS(patch[BJ review num], patch[status], "MERGED", patch[MergeWW], O$2, patch[AuthorGroup],"BJ And dev", patch[ifCommon], "common"), SUMIFS(patch[FI review num], patch[status], "MERGED", patch[MergeWW], O$2, patch[AuthorGroup],"BJ And dev", patch[ifCommon], "common")), "no patch")</f>
        <v>no patch</v>
      </c>
      <c r="P18" s="142" t="str">
        <f>IFERROR(SUMIFS(patch[BJ review num], patch[status], "MERGED", patch[MergeWW], P$2, patch[AuthorGroup],"BJ And dev", patch[ifCommon], "common")/SUM(SUMIFS(patch[BJ review num], patch[status], "MERGED", patch[MergeWW], P$2, patch[AuthorGroup],"BJ And dev", patch[ifCommon], "common"), SUMIFS(patch[FI review num], patch[status], "MERGED", patch[MergeWW], P$2, patch[AuthorGroup],"BJ And dev", patch[ifCommon], "common")), "no patch")</f>
        <v>no patch</v>
      </c>
      <c r="Q18" s="142" t="str">
        <f>IFERROR(SUMIFS(patch[BJ review num], patch[status], "MERGED", patch[MergeWW], Q$2, patch[AuthorGroup],"BJ And dev", patch[ifCommon], "common")/SUM(SUMIFS(patch[BJ review num], patch[status], "MERGED", patch[MergeWW], Q$2, patch[AuthorGroup],"BJ And dev", patch[ifCommon], "common"), SUMIFS(patch[FI review num], patch[status], "MERGED", patch[MergeWW], Q$2, patch[AuthorGroup],"BJ And dev", patch[ifCommon], "common")), "no patch")</f>
        <v>no patch</v>
      </c>
      <c r="R18" s="142" t="str">
        <f>IFERROR(SUMIFS(patch[BJ review num], patch[status], "MERGED", patch[MergeWW], R$2, patch[AuthorGroup],"BJ And dev", patch[ifCommon], "common")/SUM(SUMIFS(patch[BJ review num], patch[status], "MERGED", patch[MergeWW], R$2, patch[AuthorGroup],"BJ And dev", patch[ifCommon], "common"), SUMIFS(patch[FI review num], patch[status], "MERGED", patch[MergeWW], R$2, patch[AuthorGroup],"BJ And dev", patch[ifCommon], "common")), "no patch")</f>
        <v>no patch</v>
      </c>
      <c r="S18" s="142" t="str">
        <f>IFERROR(SUMIFS(patch[BJ review num], patch[status], "MERGED", patch[MergeWW], S$2, patch[AuthorGroup],"BJ And dev", patch[ifCommon], "common")/SUM(SUMIFS(patch[BJ review num], patch[status], "MERGED", patch[MergeWW], S$2, patch[AuthorGroup],"BJ And dev", patch[ifCommon], "common"), SUMIFS(patch[FI review num], patch[status], "MERGED", patch[MergeWW], S$2, patch[AuthorGroup],"BJ And dev", patch[ifCommon], "common")), "no patch")</f>
        <v>no patch</v>
      </c>
      <c r="T18" s="142" t="str">
        <f>IFERROR(SUMIFS(patch[BJ review num], patch[status], "MERGED", patch[MergeWW], T$2, patch[AuthorGroup],"BJ And dev", patch[ifCommon], "common")/SUM(SUMIFS(patch[BJ review num], patch[status], "MERGED", patch[MergeWW], T$2, patch[AuthorGroup],"BJ And dev", patch[ifCommon], "common"), SUMIFS(patch[FI review num], patch[status], "MERGED", patch[MergeWW], T$2, patch[AuthorGroup],"BJ And dev", patch[ifCommon], "common")), "no patch")</f>
        <v>no patch</v>
      </c>
      <c r="U18" s="142" t="str">
        <f>IFERROR(SUMIFS(patch[BJ review num], patch[status], "MERGED", patch[MergeWW], U$2, patch[AuthorGroup],"BJ And dev", patch[ifCommon], "common")/SUM(SUMIFS(patch[BJ review num], patch[status], "MERGED", patch[MergeWW], U$2, patch[AuthorGroup],"BJ And dev", patch[ifCommon], "common"), SUMIFS(patch[FI review num], patch[status], "MERGED", patch[MergeWW], U$2, patch[AuthorGroup],"BJ And dev", patch[ifCommon], "common")), "no patch")</f>
        <v>no patch</v>
      </c>
      <c r="V18" s="142" t="str">
        <f>IFERROR(SUMIFS(patch[BJ review num], patch[status], "MERGED", patch[MergeWW], V$2, patch[AuthorGroup],"BJ And dev", patch[ifCommon], "common")/SUM(SUMIFS(patch[BJ review num], patch[status], "MERGED", patch[MergeWW], V$2, patch[AuthorGroup],"BJ And dev", patch[ifCommon], "common"), SUMIFS(patch[FI review num], patch[status], "MERGED", patch[MergeWW], V$2, patch[AuthorGroup],"BJ And dev", patch[ifCommon], "common")), "no patch")</f>
        <v>no patch</v>
      </c>
      <c r="W18" s="142" t="str">
        <f>IFERROR(SUMIFS(patch[BJ review num], patch[status], "MERGED", patch[MergeWW], W$2, patch[AuthorGroup],"BJ And dev", patch[ifCommon], "common")/SUM(SUMIFS(patch[BJ review num], patch[status], "MERGED", patch[MergeWW], W$2, patch[AuthorGroup],"BJ And dev", patch[ifCommon], "common"), SUMIFS(patch[FI review num], patch[status], "MERGED", patch[MergeWW], W$2, patch[AuthorGroup],"BJ And dev", patch[ifCommon], "common")), "no patch")</f>
        <v>no patch</v>
      </c>
      <c r="X18" s="142" t="str">
        <f>IFERROR(SUMIFS(patch[BJ review num], patch[status], "MERGED", patch[MergeWW], X$2, patch[AuthorGroup],"BJ And dev", patch[ifCommon], "common")/SUM(SUMIFS(patch[BJ review num], patch[status], "MERGED", patch[MergeWW], X$2, patch[AuthorGroup],"BJ And dev", patch[ifCommon], "common"), SUMIFS(patch[FI review num], patch[status], "MERGED", patch[MergeWW], X$2, patch[AuthorGroup],"BJ And dev", patch[ifCommon], "common")), "no patch")</f>
        <v>no patch</v>
      </c>
      <c r="Y18" s="142" t="str">
        <f>IFERROR(SUMIFS(drvlst[BJ review num], drvlst[status], "MERGED",  drvlst[AuthorGroup],"BJ And dev")/SUM(SUMIFS(drvlst[BJ review num], drvlst[status], "MERGED",  drvlst[AuthorGroup],"BJ And dev"), SUMIFS(drvlst[FI review num], drvlst[status], "MERGED",  drvlst[AuthorGroup],"BJ And dev")), "no patch")</f>
        <v>no patch</v>
      </c>
    </row>
    <row r="19" spans="1:25" ht="15.75" hidden="1">
      <c r="A19" s="156"/>
      <c r="B19" s="84" t="s">
        <v>7</v>
      </c>
      <c r="C19" s="157"/>
      <c r="D19" s="157"/>
      <c r="E19" s="160"/>
      <c r="F19" s="49"/>
      <c r="G19" s="159"/>
      <c r="H19" s="48"/>
      <c r="I19" s="154"/>
      <c r="J19" s="5"/>
      <c r="K19" s="45" t="str">
        <f>"BJ vs FI: "&amp;SUMIFS(patch[BJ review num], patch[status], "MERGED",  patch[AuthorGroup],"BJ And dev", patch[ifCommon], "common", patch[mergeDate], "&lt;2016-7-1", patch[mergeDate], "&gt;=2016-4-1")&amp;" vs "&amp; SUMIFS(patch[FI review num], patch[status], "MERGED",  patch[AuthorGroup],"BJ And dev", patch[ifCommon], "common", patch[mergeDate], "&lt;2016-7-1", patch[mergeDate], "&gt;=2016-4-1")</f>
        <v>BJ vs FI: 0 vs 0</v>
      </c>
      <c r="L19" s="46" t="str">
        <f>"BJ vs FI: "&amp;SUMIFS(patch[BJ review num], patch[status], "MERGED", patch[MergeWW], "15'ww53", patch[AuthorGroup],"BJ And dev", patch[ifCommon], "common")&amp;" vs "&amp;SUMIFS(patch[FI review num], patch[status], "MERGED", patch[MergeWW], "15'ww53", patch[AuthorGroup],"BJ And dev", patch[ifCommon], "common")</f>
        <v>BJ vs FI: 0 vs 0</v>
      </c>
      <c r="M19" s="46" t="str">
        <f>"BJ vs FI: "&amp;SUMIFS(patch[BJ review num], patch[status], "MERGED", patch[MergeWW], M$2, patch[AuthorGroup],"BJ And dev", patch[ifCommon], "common")&amp;" vs "&amp; SUMIFS(patch[FI review num], patch[status], "MERGED", patch[MergeWW], M$2, patch[AuthorGroup],"BJ And dev", patch[ifCommon], "common")</f>
        <v>BJ vs FI: 0 vs 0</v>
      </c>
      <c r="N19" s="46" t="str">
        <f>"BJ vs FI: "&amp;SUMIFS(patch[BJ review num], patch[status], "MERGED", patch[MergeWW], N$2, patch[AuthorGroup],"BJ And dev", patch[ifCommon], "common")&amp;" vs "&amp; SUMIFS(patch[FI review num], patch[status], "MERGED", patch[MergeWW], N$2, patch[AuthorGroup],"BJ And dev", patch[ifCommon], "common")</f>
        <v>BJ vs FI: 0 vs 0</v>
      </c>
      <c r="O19" s="46" t="str">
        <f>"BJ vs FI: "&amp;SUMIFS(patch[BJ review num], patch[status], "MERGED", patch[MergeWW], O$2, patch[AuthorGroup],"BJ And dev", patch[ifCommon], "common")&amp;" vs "&amp; SUMIFS(patch[FI review num], patch[status], "MERGED", patch[MergeWW], O$2, patch[AuthorGroup],"BJ And dev", patch[ifCommon], "common")</f>
        <v>BJ vs FI: 0 vs 0</v>
      </c>
      <c r="P19" s="46" t="str">
        <f>"BJ vs FI: "&amp;SUMIFS(patch[BJ review num], patch[status], "MERGED", patch[MergeWW], P$2, patch[AuthorGroup],"BJ And dev", patch[ifCommon], "common")&amp;" vs "&amp; SUMIFS(patch[FI review num], patch[status], "MERGED", patch[MergeWW], P$2, patch[AuthorGroup],"BJ And dev", patch[ifCommon], "common")</f>
        <v>BJ vs FI: 0 vs 0</v>
      </c>
      <c r="Q19" s="46" t="str">
        <f>"BJ vs FI: "&amp;SUMIFS(patch[BJ review num], patch[status], "MERGED", patch[MergeWW], Q$2, patch[AuthorGroup],"BJ And dev", patch[ifCommon], "common")&amp;" vs "&amp; SUMIFS(patch[FI review num], patch[status], "MERGED", patch[MergeWW], Q$2, patch[AuthorGroup],"BJ And dev", patch[ifCommon], "common")</f>
        <v>BJ vs FI: 0 vs 0</v>
      </c>
      <c r="R19" s="46" t="str">
        <f>"BJ vs FI: "&amp;SUMIFS(patch[BJ review num], patch[status], "MERGED", patch[MergeWW], R$2, patch[AuthorGroup],"BJ And dev", patch[ifCommon], "common")&amp;" vs "&amp; SUMIFS(patch[FI review num], patch[status], "MERGED", patch[MergeWW], R$2, patch[AuthorGroup],"BJ And dev", patch[ifCommon], "common")</f>
        <v>BJ vs FI: 0 vs 0</v>
      </c>
      <c r="S19" s="46" t="str">
        <f>"BJ vs FI: "&amp;SUMIFS(patch[BJ review num], patch[status], "MERGED", patch[MergeWW], S$2, patch[AuthorGroup],"BJ And dev", patch[ifCommon], "common")&amp;" vs "&amp; SUMIFS(patch[FI review num], patch[status], "MERGED", patch[MergeWW], S$2, patch[AuthorGroup],"BJ And dev", patch[ifCommon], "common")</f>
        <v>BJ vs FI: 0 vs 0</v>
      </c>
      <c r="T19" s="46" t="str">
        <f>"BJ vs FI: "&amp;SUMIFS(patch[BJ review num], patch[status], "MERGED", patch[MergeWW], T$2, patch[AuthorGroup],"BJ And dev", patch[ifCommon], "common")&amp;" vs "&amp; SUMIFS(patch[FI review num], patch[status], "MERGED", patch[MergeWW], T$2, patch[AuthorGroup],"BJ And dev", patch[ifCommon], "common")</f>
        <v>BJ vs FI: 0 vs 0</v>
      </c>
      <c r="U19" s="46" t="str">
        <f>"BJ vs FI: "&amp;SUMIFS(patch[BJ review num], patch[status], "MERGED", patch[MergeWW], U$2, patch[AuthorGroup],"BJ And dev", patch[ifCommon], "common")&amp;" vs "&amp; SUMIFS(patch[FI review num], patch[status], "MERGED", patch[MergeWW], U$2, patch[AuthorGroup],"BJ And dev", patch[ifCommon], "common")</f>
        <v>BJ vs FI: 0 vs 0</v>
      </c>
      <c r="V19" s="46" t="str">
        <f>"BJ vs FI: "&amp;SUMIFS(patch[BJ review num], patch[status], "MERGED", patch[MergeWW], V$2, patch[AuthorGroup],"BJ And dev", patch[ifCommon], "common")&amp;" vs "&amp; SUMIFS(patch[FI review num], patch[status], "MERGED", patch[MergeWW], V$2, patch[AuthorGroup],"BJ And dev", patch[ifCommon], "common")</f>
        <v>BJ vs FI: 0 vs 0</v>
      </c>
      <c r="W19" s="46" t="str">
        <f>"BJ vs FI: "&amp;SUMIFS(patch[BJ review num], patch[status], "MERGED", patch[MergeWW], W$2, patch[AuthorGroup],"BJ And dev", patch[ifCommon], "common")&amp;" vs "&amp; SUMIFS(patch[FI review num], patch[status], "MERGED", patch[MergeWW], W$2, patch[AuthorGroup],"BJ And dev", patch[ifCommon], "common")</f>
        <v>BJ vs FI: 0 vs 0</v>
      </c>
      <c r="X19" s="46" t="str">
        <f>"BJ vs FI: "&amp;SUMIFS(patch[BJ review num], patch[status], "MERGED", patch[MergeWW], X$2, patch[AuthorGroup],"BJ And dev", patch[ifCommon], "common")&amp;" vs "&amp; SUMIFS(patch[FI review num], patch[status], "MERGED", patch[MergeWW], X$2, patch[AuthorGroup],"BJ And dev", patch[ifCommon], "common")</f>
        <v>BJ vs FI: 0 vs 0</v>
      </c>
      <c r="Y19" s="46" t="str">
        <f>"BJvsFL: "&amp;SUMIFS(drvlst[BJ review num], drvlst[status], "MERGED", drvlst[AuthorGroup],"BJ And dev")&amp;" vs "&amp; SUMIFS(drvlst[FI review num], drvlst[status], "MERGED", drvlst[AuthorGroup],"BJ And dev")</f>
        <v>BJvsFL: 0 vs 0</v>
      </c>
    </row>
    <row r="20" spans="1:25" ht="50.25" hidden="1" customHeight="1">
      <c r="A20" s="155">
        <v>3</v>
      </c>
      <c r="B20" s="84" t="s">
        <v>2092</v>
      </c>
      <c r="C20" s="157" t="s">
        <v>14</v>
      </c>
      <c r="D20" s="157" t="s">
        <v>15</v>
      </c>
      <c r="E20" s="160">
        <v>0.03</v>
      </c>
      <c r="F20" s="49"/>
      <c r="G20" s="159">
        <v>0.3</v>
      </c>
      <c r="H20" s="48"/>
      <c r="I20" s="154">
        <v>0.5</v>
      </c>
      <c r="J20" s="5"/>
      <c r="K20" s="38" t="str">
        <f>IFERROR(SUMIFS(patch[BJ -1 num], patch[status], "MERGED",  patch[AuthorGroup],"BJ And dev", patch[ifCommon], "common", patch[mergeDate], "&lt;2016-7-1", patch[mergeDate], "&gt;=2016-4-1")/SUM(SUMIFS(patch[BJ -1 num], patch[status], "MERGED",  patch[AuthorGroup],"BJ And dev", patch[ifCommon], "common", patch[mergeDate], "&lt;2016-7-1", patch[mergeDate], "&gt;=2016-4-1"), SUMIFS(patch[FI -1 num], patch[status], "MERGED",  patch[AuthorGroup],"BJ And dev", patch[ifCommon], "common", patch[mergeDate], "&lt;2016-7-1", patch[mergeDate], "&gt;=2016-4-1")), "no -1")</f>
        <v>no -1</v>
      </c>
      <c r="L20" s="28" t="str">
        <f>IFERROR(SUMIFS(patch[BJ -1 num], patch[status], "MERGED", patch[MergeWW], "15'ww53", patch[AuthorGroup],"BJ And dev", patch[ifCommon], "common")/SUM(SUMIFS(patch[BJ -1 num], patch[status], "MERGED", patch[MergeWW], "15'ww53", patch[AuthorGroup],"BJ And dev", patch[ifCommon], "common"), SUMIFS(patch[FI -1 num], patch[status], "MERGED", patch[MergeWW], "15'ww53", patch[AuthorGroup],"BJ And dev", patch[ifCommon], "common")), "no -1")</f>
        <v>no -1</v>
      </c>
      <c r="M20" s="142" t="str">
        <f>IFERROR(SUMIFS(patch[BJ -1 num], patch[status], "MERGED", patch[MergeWW], M$2, patch[AuthorGroup],"BJ And dev", patch[ifCommon], "common")/SUM(SUMIFS(patch[BJ -1 num], patch[status], "MERGED", patch[MergeWW], M$2, patch[AuthorGroup],"BJ And dev", patch[ifCommon], "common"), SUMIFS(patch[FI -1 num], patch[status], "MERGED", patch[MergeWW], M$2, patch[AuthorGroup],"BJ And dev", patch[ifCommon], "common")), "no -1")</f>
        <v>no -1</v>
      </c>
      <c r="N20" s="142" t="str">
        <f>IFERROR(SUMIFS(patch[BJ -1 num], patch[status], "MERGED", patch[MergeWW], N$2, patch[AuthorGroup],"BJ And dev", patch[ifCommon], "common")/SUM(SUMIFS(patch[BJ -1 num], patch[status], "MERGED", patch[MergeWW], N$2, patch[AuthorGroup],"BJ And dev", patch[ifCommon], "common"), SUMIFS(patch[FI -1 num], patch[status], "MERGED", patch[MergeWW], N$2, patch[AuthorGroup],"BJ And dev", patch[ifCommon], "common")), "no -1")</f>
        <v>no -1</v>
      </c>
      <c r="O20" s="142" t="str">
        <f>IFERROR(SUMIFS(patch[BJ -1 num], patch[status], "MERGED", patch[MergeWW], O$2, patch[AuthorGroup],"BJ And dev", patch[ifCommon], "common")/SUM(SUMIFS(patch[BJ -1 num], patch[status], "MERGED", patch[MergeWW], O$2, patch[AuthorGroup],"BJ And dev", patch[ifCommon], "common"), SUMIFS(patch[FI -1 num], patch[status], "MERGED", patch[MergeWW], O$2, patch[AuthorGroup],"BJ And dev", patch[ifCommon], "common")), "no -1")</f>
        <v>no -1</v>
      </c>
      <c r="P20" s="142" t="str">
        <f>IFERROR(SUMIFS(patch[BJ -1 num], patch[status], "MERGED", patch[MergeWW], P$2, patch[AuthorGroup],"BJ And dev", patch[ifCommon], "common")/SUM(SUMIFS(patch[BJ -1 num], patch[status], "MERGED", patch[MergeWW], P$2, patch[AuthorGroup],"BJ And dev", patch[ifCommon], "common"), SUMIFS(patch[FI -1 num], patch[status], "MERGED", patch[MergeWW], P$2, patch[AuthorGroup],"BJ And dev", patch[ifCommon], "common")), "no -1")</f>
        <v>no -1</v>
      </c>
      <c r="Q20" s="142" t="str">
        <f>IFERROR(SUMIFS(patch[BJ -1 num], patch[status], "MERGED", patch[MergeWW], Q$2, patch[AuthorGroup],"BJ And dev", patch[ifCommon], "common")/SUM(SUMIFS(patch[BJ -1 num], patch[status], "MERGED", patch[MergeWW], Q$2, patch[AuthorGroup],"BJ And dev", patch[ifCommon], "common"), SUMIFS(patch[FI -1 num], patch[status], "MERGED", patch[MergeWW], Q$2, patch[AuthorGroup],"BJ And dev", patch[ifCommon], "common")), "no -1")</f>
        <v>no -1</v>
      </c>
      <c r="R20" s="142" t="str">
        <f>IFERROR(SUMIFS(patch[BJ -1 num], patch[status], "MERGED", patch[MergeWW], R$2, patch[AuthorGroup],"BJ And dev", patch[ifCommon], "common")/SUM(SUMIFS(patch[BJ -1 num], patch[status], "MERGED", patch[MergeWW], R$2, patch[AuthorGroup],"BJ And dev", patch[ifCommon], "common"), SUMIFS(patch[FI -1 num], patch[status], "MERGED", patch[MergeWW], R$2, patch[AuthorGroup],"BJ And dev", patch[ifCommon], "common")), "no -1")</f>
        <v>no -1</v>
      </c>
      <c r="S20" s="142" t="str">
        <f>IFERROR(SUMIFS(patch[BJ -1 num], patch[status], "MERGED", patch[MergeWW], S$2, patch[AuthorGroup],"BJ And dev", patch[ifCommon], "common")/SUM(SUMIFS(patch[BJ -1 num], patch[status], "MERGED", patch[MergeWW], S$2, patch[AuthorGroup],"BJ And dev", patch[ifCommon], "common"), SUMIFS(patch[FI -1 num], patch[status], "MERGED", patch[MergeWW], S$2, patch[AuthorGroup],"BJ And dev", patch[ifCommon], "common")), "no -1")</f>
        <v>no -1</v>
      </c>
      <c r="T20" s="142" t="str">
        <f>IFERROR(SUMIFS(patch[BJ -1 num], patch[status], "MERGED", patch[MergeWW], T$2, patch[AuthorGroup],"BJ And dev", patch[ifCommon], "common")/SUM(SUMIFS(patch[BJ -1 num], patch[status], "MERGED", patch[MergeWW], T$2, patch[AuthorGroup],"BJ And dev", patch[ifCommon], "common"), SUMIFS(patch[FI -1 num], patch[status], "MERGED", patch[MergeWW], T$2, patch[AuthorGroup],"BJ And dev", patch[ifCommon], "common")), "no -1")</f>
        <v>no -1</v>
      </c>
      <c r="U20" s="142" t="str">
        <f>IFERROR(SUMIFS(patch[BJ -1 num], patch[status], "MERGED", patch[MergeWW], U$2, patch[AuthorGroup],"BJ And dev", patch[ifCommon], "common")/SUM(SUMIFS(patch[BJ -1 num], patch[status], "MERGED", patch[MergeWW], U$2, patch[AuthorGroup],"BJ And dev", patch[ifCommon], "common"), SUMIFS(patch[FI -1 num], patch[status], "MERGED", patch[MergeWW], U$2, patch[AuthorGroup],"BJ And dev", patch[ifCommon], "common")), "no -1")</f>
        <v>no -1</v>
      </c>
      <c r="V20" s="142" t="str">
        <f>IFERROR(SUMIFS(patch[BJ -1 num], patch[status], "MERGED", patch[MergeWW], V$2, patch[AuthorGroup],"BJ And dev", patch[ifCommon], "common")/SUM(SUMIFS(patch[BJ -1 num], patch[status], "MERGED", patch[MergeWW], V$2, patch[AuthorGroup],"BJ And dev", patch[ifCommon], "common"), SUMIFS(patch[FI -1 num], patch[status], "MERGED", patch[MergeWW], V$2, patch[AuthorGroup],"BJ And dev", patch[ifCommon], "common")), "no -1")</f>
        <v>no -1</v>
      </c>
      <c r="W20" s="142" t="str">
        <f>IFERROR(SUMIFS(patch[BJ -1 num], patch[status], "MERGED", patch[MergeWW], W$2, patch[AuthorGroup],"BJ And dev", patch[ifCommon], "common")/SUM(SUMIFS(patch[BJ -1 num], patch[status], "MERGED", patch[MergeWW], W$2, patch[AuthorGroup],"BJ And dev", patch[ifCommon], "common"), SUMIFS(patch[FI -1 num], patch[status], "MERGED", patch[MergeWW], W$2, patch[AuthorGroup],"BJ And dev", patch[ifCommon], "common")), "no -1")</f>
        <v>no -1</v>
      </c>
      <c r="X20" s="142" t="str">
        <f>IFERROR(SUMIFS(patch[BJ -1 num], patch[status], "MERGED", patch[MergeWW], X$2, patch[AuthorGroup],"BJ And dev", patch[ifCommon], "common")/SUM(SUMIFS(patch[BJ -1 num], patch[status], "MERGED", patch[MergeWW], X$2, patch[AuthorGroup],"BJ And dev", patch[ifCommon], "common"), SUMIFS(patch[FI -1 num], patch[status], "MERGED", patch[MergeWW], X$2, patch[AuthorGroup],"BJ And dev", patch[ifCommon], "common")), "no -1")</f>
        <v>no -1</v>
      </c>
      <c r="Y20" s="142" t="str">
        <f>IFERROR(SUMIFS(drvlst[BJ -1 num], drvlst[status], "MERGED",  drvlst[AuthorGroup],"BJ And dev")/SUM(SUMIFS(drvlst[BJ -1 num], drvlst[status], "MERGED",  drvlst[AuthorGroup],"BJ And dev"), SUMIFS(drvlst[FI -1 num], drvlst[status], "MERGED",  drvlst[AuthorGroup],"BJ And dev")), "no -1")</f>
        <v>no -1</v>
      </c>
    </row>
    <row r="21" spans="1:25" ht="15.75" hidden="1">
      <c r="A21" s="156"/>
      <c r="B21" s="84" t="s">
        <v>7</v>
      </c>
      <c r="C21" s="157"/>
      <c r="D21" s="157"/>
      <c r="E21" s="160"/>
      <c r="F21" s="49"/>
      <c r="G21" s="159"/>
      <c r="H21" s="48"/>
      <c r="I21" s="154"/>
      <c r="J21" s="5"/>
      <c r="K21" s="45" t="str">
        <f>"BJ vs FI: "&amp;SUMIFS(patch[BJ -1 num], patch[status], "MERGED",  patch[AuthorGroup],"BJ And dev", patch[ifCommon], "common", patch[mergeDate], "&lt;2016-7-1", patch[mergeDate], "&gt;=2016-4-1")&amp;" vs "&amp; SUMIFS(patch[FI -1 num], patch[status], "MERGED",  patch[AuthorGroup],"BJ And dev", patch[ifCommon], "common", patch[mergeDate], "&lt;2016-7-1", patch[mergeDate], "&gt;=2016-4-1")</f>
        <v>BJ vs FI: 0 vs 0</v>
      </c>
      <c r="L21" s="46" t="str">
        <f>"BJ vs FI: "&amp;SUMIFS(patch[BJ -1 num], patch[status], "MERGED", patch[MergeWW], "15'ww53", patch[AuthorGroup],"BJ And dev", patch[ifCommon], "common")&amp;" vs "&amp;SUMIFS(patch[FI -1 num], patch[status], "MERGED", patch[MergeWW], "15'ww53", patch[AuthorGroup],"BJ And dev", patch[ifCommon], "common")</f>
        <v>BJ vs FI: 0 vs 0</v>
      </c>
      <c r="M21" s="46" t="str">
        <f>"BJ vs FI: "&amp;SUMIFS(patch[BJ -1 num], patch[status], "MERGED", patch[MergeWW], M$2, patch[AuthorGroup],"BJ And dev", patch[ifCommon], "common")&amp;" vs "&amp; SUMIFS(patch[FI -1 num], patch[status], "MERGED", patch[MergeWW], M$2, patch[AuthorGroup],"BJ And dev", patch[ifCommon], "common")</f>
        <v>BJ vs FI: 0 vs 0</v>
      </c>
      <c r="N21" s="46" t="str">
        <f>"BJ vs FI: "&amp;SUMIFS(patch[BJ -1 num], patch[status], "MERGED", patch[MergeWW], N$2, patch[AuthorGroup],"BJ And dev", patch[ifCommon], "common")&amp;" vs "&amp; SUMIFS(patch[FI -1 num], patch[status], "MERGED", patch[MergeWW], N$2, patch[AuthorGroup],"BJ And dev", patch[ifCommon], "common")</f>
        <v>BJ vs FI: 0 vs 0</v>
      </c>
      <c r="O21" s="46" t="str">
        <f>"BJ vs FI: "&amp;SUMIFS(patch[BJ -1 num], patch[status], "MERGED", patch[MergeWW], O$2, patch[AuthorGroup],"BJ And dev", patch[ifCommon], "common")&amp;" vs "&amp; SUMIFS(patch[FI -1 num], patch[status], "MERGED", patch[MergeWW], O$2, patch[AuthorGroup],"BJ And dev", patch[ifCommon], "common")</f>
        <v>BJ vs FI: 0 vs 0</v>
      </c>
      <c r="P21" s="46" t="str">
        <f>"BJ vs FI: "&amp;SUMIFS(patch[BJ -1 num], patch[status], "MERGED", patch[MergeWW], P$2, patch[AuthorGroup],"BJ And dev", patch[ifCommon], "common")&amp;" vs "&amp; SUMIFS(patch[FI -1 num], patch[status], "MERGED", patch[MergeWW], P$2, patch[AuthorGroup],"BJ And dev", patch[ifCommon], "common")</f>
        <v>BJ vs FI: 0 vs 0</v>
      </c>
      <c r="Q21" s="46" t="str">
        <f>"BJ vs FI: "&amp;SUMIFS(patch[BJ -1 num], patch[status], "MERGED", patch[MergeWW], Q$2, patch[AuthorGroup],"BJ And dev", patch[ifCommon], "common")&amp;" vs "&amp; SUMIFS(patch[FI -1 num], patch[status], "MERGED", patch[MergeWW], Q$2, patch[AuthorGroup],"BJ And dev", patch[ifCommon], "common")</f>
        <v>BJ vs FI: 0 vs 0</v>
      </c>
      <c r="R21" s="46" t="str">
        <f>"BJ vs FI: "&amp;SUMIFS(patch[BJ -1 num], patch[status], "MERGED", patch[MergeWW], R$2, patch[AuthorGroup],"BJ And dev", patch[ifCommon], "common")&amp;" vs "&amp; SUMIFS(patch[FI -1 num], patch[status], "MERGED", patch[MergeWW], R$2, patch[AuthorGroup],"BJ And dev", patch[ifCommon], "common")</f>
        <v>BJ vs FI: 0 vs 0</v>
      </c>
      <c r="S21" s="46" t="str">
        <f>"BJ vs FI: "&amp;SUMIFS(patch[BJ -1 num], patch[status], "MERGED", patch[MergeWW], S$2, patch[AuthorGroup],"BJ And dev", patch[ifCommon], "common")&amp;" vs "&amp; SUMIFS(patch[FI -1 num], patch[status], "MERGED", patch[MergeWW], S$2, patch[AuthorGroup],"BJ And dev", patch[ifCommon], "common")</f>
        <v>BJ vs FI: 0 vs 0</v>
      </c>
      <c r="T21" s="46" t="str">
        <f>"BJ vs FI: "&amp;SUMIFS(patch[BJ -1 num], patch[status], "MERGED", patch[MergeWW], T$2, patch[AuthorGroup],"BJ And dev", patch[ifCommon], "common")&amp;" vs "&amp; SUMIFS(patch[FI -1 num], patch[status], "MERGED", patch[MergeWW], T$2, patch[AuthorGroup],"BJ And dev", patch[ifCommon], "common")</f>
        <v>BJ vs FI: 0 vs 0</v>
      </c>
      <c r="U21" s="46" t="str">
        <f>"BJ vs FI: "&amp;SUMIFS(patch[BJ -1 num], patch[status], "MERGED", patch[MergeWW], U$2, patch[AuthorGroup],"BJ And dev", patch[ifCommon], "common")&amp;" vs "&amp; SUMIFS(patch[FI -1 num], patch[status], "MERGED", patch[MergeWW], U$2, patch[AuthorGroup],"BJ And dev", patch[ifCommon], "common")</f>
        <v>BJ vs FI: 0 vs 0</v>
      </c>
      <c r="V21" s="46" t="str">
        <f>"BJ vs FI: "&amp;SUMIFS(patch[BJ -1 num], patch[status], "MERGED", patch[MergeWW], V$2, patch[AuthorGroup],"BJ And dev", patch[ifCommon], "common")&amp;" vs "&amp; SUMIFS(patch[FI -1 num], patch[status], "MERGED", patch[MergeWW], V$2, patch[AuthorGroup],"BJ And dev", patch[ifCommon], "common")</f>
        <v>BJ vs FI: 0 vs 0</v>
      </c>
      <c r="W21" s="46" t="str">
        <f>"BJ vs FI: "&amp;SUMIFS(patch[BJ -1 num], patch[status], "MERGED", patch[MergeWW], W$2, patch[AuthorGroup],"BJ And dev", patch[ifCommon], "common")&amp;" vs "&amp; SUMIFS(patch[FI -1 num], patch[status], "MERGED", patch[MergeWW], W$2, patch[AuthorGroup],"BJ And dev", patch[ifCommon], "common")</f>
        <v>BJ vs FI: 0 vs 0</v>
      </c>
      <c r="X21" s="46" t="str">
        <f>"BJ vs FI: "&amp;SUMIFS(patch[BJ -1 num], patch[status], "MERGED", patch[MergeWW], X$2, patch[AuthorGroup],"BJ And dev", patch[ifCommon], "common")&amp;" vs "&amp; SUMIFS(patch[FI -1 num], patch[status], "MERGED", patch[MergeWW], X$2, patch[AuthorGroup],"BJ And dev", patch[ifCommon], "common")</f>
        <v>BJ vs FI: 0 vs 0</v>
      </c>
      <c r="Y21" s="46" t="str">
        <f>"BJvsFL: "&amp;SUMIFS(drvlst[BJ -1 num], drvlst[status], "MERGED", drvlst[AuthorGroup],"BJ And dev")&amp;" vs "&amp; SUMIFS(drvlst[FI -1 num], drvlst[status], "MERGED", drvlst[AuthorGroup],"BJ And dev")</f>
        <v>BJvsFL: 0 vs 0</v>
      </c>
    </row>
    <row r="22" spans="1:25" ht="43.5" hidden="1" customHeight="1">
      <c r="A22" s="155">
        <v>4</v>
      </c>
      <c r="B22" s="84" t="s">
        <v>2093</v>
      </c>
      <c r="C22" s="157" t="s">
        <v>18</v>
      </c>
      <c r="D22" s="157" t="s">
        <v>19</v>
      </c>
      <c r="E22" s="158">
        <v>0</v>
      </c>
      <c r="F22" s="47"/>
      <c r="G22" s="159">
        <v>0.2</v>
      </c>
      <c r="H22" s="48"/>
      <c r="I22" s="154">
        <v>0.3</v>
      </c>
      <c r="J22" s="5"/>
      <c r="K22" s="38" t="str">
        <f>IFERROR(COUNTIFS(patch[status], "MERGED",  patch[AuthorGroup],"FL And dev", patch[BJ review num], "&gt;0", patch[ifCommon], "common", patch[mergeDate], "&lt;2016-7-1", patch[mergeDate], "&gt;=2016-4-1")/COUNTIFS(patch[status], "MERGED",  patch[AuthorGroup],"FL And dev", patch[ifCommon], "common", patch[mergeDate], "&lt;2016-7-1", patch[mergeDate], "&gt;=2016-4-1"), "no patch")</f>
        <v>no patch</v>
      </c>
      <c r="L22" s="28" t="str">
        <f>IFERROR(COUNTIFS(patch[status], "MERGED", patch[MergeWW], "15'ww53", patch[AuthorGroup],"FL And dev", patch[BJ review num], "&gt;0", patch[ifCommon], "common")/COUNTIFS(patch[status], "MERGED", patch[MergeWW], "15'ww53", patch[AuthorGroup],"FL And dev", patch[ifCommon], "common"), "no patch")</f>
        <v>no patch</v>
      </c>
      <c r="M22" s="142" t="str">
        <f>IFERROR(COUNTIFS(patch[status], "MERGED", patch[MergeWW], M$2, patch[AuthorGroup],"FL And dev", patch[BJ review num], "&gt;0", patch[ifCommon], "common")/COUNTIFS(patch[status], "MERGED", patch[MergeWW], M$2, patch[AuthorGroup],"FL And dev", patch[ifCommon], "common"), "no patch")</f>
        <v>no patch</v>
      </c>
      <c r="N22" s="142" t="str">
        <f>IFERROR(COUNTIFS(patch[status], "MERGED", patch[MergeWW], N$2, patch[AuthorGroup],"FL And dev", patch[BJ review num], "&gt;0", patch[ifCommon], "common")/COUNTIFS(patch[status], "MERGED", patch[MergeWW], N$2, patch[AuthorGroup],"FL And dev", patch[ifCommon], "common"), "no patch")</f>
        <v>no patch</v>
      </c>
      <c r="O22" s="142" t="str">
        <f>IFERROR(COUNTIFS(patch[status], "MERGED", patch[MergeWW], O$2, patch[AuthorGroup],"FL And dev", patch[BJ review num], "&gt;0", patch[ifCommon], "common")/COUNTIFS(patch[status], "MERGED", patch[MergeWW], O$2, patch[AuthorGroup],"FL And dev", patch[ifCommon], "common"), "no patch")</f>
        <v>no patch</v>
      </c>
      <c r="P22" s="142" t="str">
        <f>IFERROR(COUNTIFS(patch[status], "MERGED", patch[MergeWW], P$2, patch[AuthorGroup],"FL And dev", patch[BJ review num], "&gt;0", patch[ifCommon], "common")/COUNTIFS(patch[status], "MERGED", patch[MergeWW], P$2, patch[AuthorGroup],"FL And dev", patch[ifCommon], "common"), "no patch")</f>
        <v>no patch</v>
      </c>
      <c r="Q22" s="142" t="str">
        <f>IFERROR(COUNTIFS(patch[status], "MERGED", patch[MergeWW], Q$2, patch[AuthorGroup],"FL And dev", patch[BJ review num], "&gt;0", patch[ifCommon], "common")/COUNTIFS(patch[status], "MERGED", patch[MergeWW], Q$2, patch[AuthorGroup],"FL And dev", patch[ifCommon], "common"), "no patch")</f>
        <v>no patch</v>
      </c>
      <c r="R22" s="142" t="str">
        <f>IFERROR(COUNTIFS(patch[status], "MERGED", patch[MergeWW], R$2, patch[AuthorGroup],"FL And dev", patch[BJ review num], "&gt;0", patch[ifCommon], "common")/COUNTIFS(patch[status], "MERGED", patch[MergeWW], R$2, patch[AuthorGroup],"FL And dev", patch[ifCommon], "common"), "no patch")</f>
        <v>no patch</v>
      </c>
      <c r="S22" s="142" t="str">
        <f>IFERROR(COUNTIFS(patch[status], "MERGED", patch[MergeWW], S$2, patch[AuthorGroup],"FL And dev", patch[BJ review num], "&gt;0", patch[ifCommon], "common")/COUNTIFS(patch[status], "MERGED", patch[MergeWW], S$2, patch[AuthorGroup],"FL And dev", patch[ifCommon], "common"), "no patch")</f>
        <v>no patch</v>
      </c>
      <c r="T22" s="142" t="str">
        <f>IFERROR(COUNTIFS(patch[status], "MERGED", patch[MergeWW], T$2, patch[AuthorGroup],"FL And dev", patch[BJ review num], "&gt;0", patch[ifCommon], "common")/COUNTIFS(patch[status], "MERGED", patch[MergeWW], T$2, patch[AuthorGroup],"FL And dev", patch[ifCommon], "common"), "no patch")</f>
        <v>no patch</v>
      </c>
      <c r="U22" s="142" t="str">
        <f>IFERROR(COUNTIFS(patch[status], "MERGED", patch[MergeWW], U$2, patch[AuthorGroup],"FL And dev", patch[BJ review num], "&gt;0", patch[ifCommon], "common")/COUNTIFS(patch[status], "MERGED", patch[MergeWW], U$2, patch[AuthorGroup],"FL And dev", patch[ifCommon], "common"), "no patch")</f>
        <v>no patch</v>
      </c>
      <c r="V22" s="142" t="str">
        <f>IFERROR(COUNTIFS(patch[status], "MERGED", patch[MergeWW], V$2, patch[AuthorGroup],"FL And dev", patch[BJ review num], "&gt;0", patch[ifCommon], "common")/COUNTIFS(patch[status], "MERGED", patch[MergeWW], V$2, patch[AuthorGroup],"FL And dev", patch[ifCommon], "common"), "no patch")</f>
        <v>no patch</v>
      </c>
      <c r="W22" s="142" t="str">
        <f>IFERROR(COUNTIFS(patch[status], "MERGED", patch[MergeWW], W$2, patch[AuthorGroup],"FL And dev", patch[BJ review num], "&gt;0", patch[ifCommon], "common")/COUNTIFS(patch[status], "MERGED", patch[MergeWW], W$2, patch[AuthorGroup],"FL And dev", patch[ifCommon], "common"), "no patch")</f>
        <v>no patch</v>
      </c>
      <c r="X22" s="142" t="str">
        <f>IFERROR(COUNTIFS(patch[status], "MERGED", patch[MergeWW], X$2, patch[AuthorGroup],"FL And dev", patch[BJ review num], "&gt;0", patch[ifCommon], "common")/COUNTIFS(patch[status], "MERGED", patch[MergeWW], X$2, patch[AuthorGroup],"FL And dev", patch[ifCommon], "common"), "no patch")</f>
        <v>no patch</v>
      </c>
      <c r="Y22" s="142" t="str">
        <f>IFERROR(COUNTIFS(drvlst[status], "MERGED",  drvlst[AuthorGroup],"FL And dev", drvlst[BJ review num], "&gt;0")/COUNTIFS(drvlst[status], "MERGED",  drvlst[AuthorGroup],"FL And dev"), "no patch")</f>
        <v>no patch</v>
      </c>
    </row>
    <row r="23" spans="1:25" ht="30" hidden="1">
      <c r="A23" s="156"/>
      <c r="B23" s="84" t="s">
        <v>17</v>
      </c>
      <c r="C23" s="157"/>
      <c r="D23" s="157"/>
      <c r="E23" s="158"/>
      <c r="F23" s="47"/>
      <c r="G23" s="159"/>
      <c r="H23" s="48"/>
      <c r="I23" s="154"/>
      <c r="J23" s="5"/>
      <c r="K23" s="45" t="str">
        <f>"BJ comment: "&amp;COUNTIFS(patch[status], "MERGED",  patch[AuthorGroup],"FL And dev", patch[BJ review num], "&gt;0", patch[ifCommon], "common", patch[mergeDate], "&lt;2016-7-1", patch[mergeDate], "&gt;=2016-4-1")&amp;", total: "&amp;COUNTIFS(patch[status], "MERGED",  patch[AuthorGroup],"FL And dev", patch[ifCommon], "common", patch[mergeDate], "&lt;2016-7-1", patch[mergeDate], "&gt;=2016-4-1")</f>
        <v>BJ comment: 0, total: 0</v>
      </c>
      <c r="L23" s="46" t="str">
        <f>"BJ comment: "&amp;COUNTIFS(patch[status], "MERGED", patch[MergeWW], "15'ww53", patch[AuthorGroup],"FL And dev", patch[BJ review num], "&gt;0", patch[ifCommon], "common")&amp;", total: "&amp;COUNTIFS(patch[status], "MERGED", patch[MergeWW], "15'ww53", patch[AuthorGroup],"FL And dev", patch[ifCommon], "common")</f>
        <v>BJ comment: 0, total: 0</v>
      </c>
      <c r="M23" s="46" t="str">
        <f>"BJ comment: "&amp;COUNTIFS(patch[status], "MERGED", patch[MergeWW], M$2, patch[AuthorGroup],"FL And dev", patch[BJ review num], "&gt;0", patch[ifCommon], "common")&amp;", total: "&amp;COUNTIFS(patch[status], "MERGED", patch[MergeWW], M$2, patch[AuthorGroup],"FL And dev", patch[ifCommon], "common")</f>
        <v>BJ comment: 0, total: 0</v>
      </c>
      <c r="N23" s="46" t="str">
        <f>"BJ comment: "&amp;COUNTIFS(patch[status], "MERGED", patch[MergeWW], N$2, patch[AuthorGroup],"FL And dev", patch[BJ review num], "&gt;0", patch[ifCommon], "common")&amp;", total: "&amp;COUNTIFS(patch[status], "MERGED", patch[MergeWW], N$2, patch[AuthorGroup],"FL And dev", patch[ifCommon], "common")</f>
        <v>BJ comment: 0, total: 0</v>
      </c>
      <c r="O23" s="46" t="str">
        <f>"BJ comment: "&amp;COUNTIFS(patch[status], "MERGED", patch[MergeWW], O$2, patch[AuthorGroup],"FL And dev", patch[BJ review num], "&gt;0", patch[ifCommon], "common")&amp;", total: "&amp;COUNTIFS(patch[status], "MERGED", patch[MergeWW], O$2, patch[AuthorGroup],"FL And dev", patch[ifCommon], "common")</f>
        <v>BJ comment: 0, total: 0</v>
      </c>
      <c r="P23" s="46" t="str">
        <f>"BJ comment: "&amp;COUNTIFS(patch[status], "MERGED", patch[MergeWW], P$2, patch[AuthorGroup],"FL And dev", patch[BJ review num], "&gt;0", patch[ifCommon], "common")&amp;", total: "&amp;COUNTIFS(patch[status], "MERGED", patch[MergeWW], P$2, patch[AuthorGroup],"FL And dev", patch[ifCommon], "common")</f>
        <v>BJ comment: 0, total: 0</v>
      </c>
      <c r="Q23" s="46" t="str">
        <f>"BJ comment: "&amp;COUNTIFS(patch[status], "MERGED", patch[MergeWW], Q$2, patch[AuthorGroup],"FL And dev", patch[BJ review num], "&gt;0", patch[ifCommon], "common")&amp;", total: "&amp;COUNTIFS(patch[status], "MERGED", patch[MergeWW], Q$2, patch[AuthorGroup],"FL And dev", patch[ifCommon], "common")</f>
        <v>BJ comment: 0, total: 0</v>
      </c>
      <c r="R23" s="46" t="str">
        <f>"BJ comment: "&amp;COUNTIFS(patch[status], "MERGED", patch[MergeWW], R$2, patch[AuthorGroup],"FL And dev", patch[BJ review num], "&gt;0", patch[ifCommon], "common")&amp;", total: "&amp;COUNTIFS(patch[status], "MERGED", patch[MergeWW], R$2, patch[AuthorGroup],"FL And dev", patch[ifCommon], "common")</f>
        <v>BJ comment: 0, total: 0</v>
      </c>
      <c r="S23" s="46" t="str">
        <f>"BJ comment: "&amp;COUNTIFS(patch[status], "MERGED", patch[MergeWW], S$2, patch[AuthorGroup],"FL And dev", patch[BJ review num], "&gt;0", patch[ifCommon], "common")&amp;", total: "&amp;COUNTIFS(patch[status], "MERGED", patch[MergeWW], S$2, patch[AuthorGroup],"FL And dev", patch[ifCommon], "common")</f>
        <v>BJ comment: 0, total: 0</v>
      </c>
      <c r="T23" s="46" t="str">
        <f>"BJ comment: "&amp;COUNTIFS(patch[status], "MERGED", patch[MergeWW], T$2, patch[AuthorGroup],"FL And dev", patch[BJ review num], "&gt;0", patch[ifCommon], "common")&amp;", total: "&amp;COUNTIFS(patch[status], "MERGED", patch[MergeWW], T$2, patch[AuthorGroup],"FL And dev", patch[ifCommon], "common")</f>
        <v>BJ comment: 0, total: 0</v>
      </c>
      <c r="U23" s="46" t="str">
        <f>"BJ comment: "&amp;COUNTIFS(patch[status], "MERGED", patch[MergeWW], U$2, patch[AuthorGroup],"FL And dev", patch[BJ review num], "&gt;0", patch[ifCommon], "common")&amp;", total: "&amp;COUNTIFS(patch[status], "MERGED", patch[MergeWW], U$2, patch[AuthorGroup],"FL And dev", patch[ifCommon], "common")</f>
        <v>BJ comment: 0, total: 0</v>
      </c>
      <c r="V23" s="46" t="str">
        <f>"BJ comment: "&amp;COUNTIFS(patch[status], "MERGED", patch[MergeWW], V$2, patch[AuthorGroup],"FL And dev", patch[BJ review num], "&gt;0", patch[ifCommon], "common")&amp;", total: "&amp;COUNTIFS(patch[status], "MERGED", patch[MergeWW], V$2, patch[AuthorGroup],"FL And dev", patch[ifCommon], "common")</f>
        <v>BJ comment: 0, total: 0</v>
      </c>
      <c r="W23" s="46" t="str">
        <f>"BJ comment: "&amp;COUNTIFS(patch[status], "MERGED", patch[MergeWW], W$2, patch[AuthorGroup],"FL And dev", patch[BJ review num], "&gt;0", patch[ifCommon], "common")&amp;", total: "&amp;COUNTIFS(patch[status], "MERGED", patch[MergeWW], W$2, patch[AuthorGroup],"FL And dev", patch[ifCommon], "common")</f>
        <v>BJ comment: 0, total: 0</v>
      </c>
      <c r="X23" s="46" t="str">
        <f>"BJ comment: "&amp;COUNTIFS(patch[status], "MERGED", patch[MergeWW], X$2, patch[AuthorGroup],"FL And dev", patch[BJ review num], "&gt;0", patch[ifCommon], "common")&amp;", total: "&amp;COUNTIFS(patch[status], "MERGED", patch[MergeWW], X$2, patch[AuthorGroup],"FL And dev", patch[ifCommon], "common")</f>
        <v>BJ comment: 0, total: 0</v>
      </c>
      <c r="Y23" s="46" t="str">
        <f>"BJ comment: "&amp;COUNTIFS(drvlst[status], "MERGED",  drvlst[AuthorGroup],"FL And dev", drvlst[BJ review num], "&gt;0")&amp;", total: "&amp;COUNTIFS(drvlst[status], "MERGED",  drvlst[AuthorGroup],"FL And dev")</f>
        <v>BJ comment: 0, total: 0</v>
      </c>
    </row>
    <row r="25" spans="1:25">
      <c r="B25" s="164" t="s">
        <v>0</v>
      </c>
      <c r="C25" s="164"/>
      <c r="D25" s="164"/>
      <c r="E25" s="164"/>
      <c r="F25" s="164"/>
      <c r="G25" s="164"/>
      <c r="H25" s="164"/>
      <c r="I25" s="164"/>
      <c r="J25" s="164"/>
      <c r="L25"/>
    </row>
    <row r="26" spans="1:25" ht="45">
      <c r="B26" s="1" t="s">
        <v>1</v>
      </c>
      <c r="C26" s="1" t="s">
        <v>2</v>
      </c>
      <c r="D26" s="1" t="s">
        <v>3</v>
      </c>
      <c r="E26" s="2" t="s">
        <v>2027</v>
      </c>
      <c r="F26" s="43" t="s">
        <v>2023</v>
      </c>
      <c r="G26" s="3" t="s">
        <v>2024</v>
      </c>
      <c r="H26" s="3" t="s">
        <v>2026</v>
      </c>
      <c r="I26" s="4" t="s">
        <v>2025</v>
      </c>
      <c r="J26" s="5"/>
      <c r="K26" s="27" t="s">
        <v>2020</v>
      </c>
      <c r="L26"/>
    </row>
    <row r="27" spans="1:25" ht="15.75">
      <c r="B27" s="9" t="s">
        <v>6</v>
      </c>
      <c r="C27" s="162" t="s">
        <v>8</v>
      </c>
      <c r="D27" s="162" t="s">
        <v>9</v>
      </c>
      <c r="E27" s="158">
        <v>1.7</v>
      </c>
      <c r="F27" s="165">
        <v>0.86</v>
      </c>
      <c r="G27" s="163">
        <v>1</v>
      </c>
      <c r="H27" s="167">
        <v>0.5</v>
      </c>
      <c r="I27" s="161">
        <v>0.6</v>
      </c>
      <c r="J27" s="5"/>
      <c r="K27" s="29" t="str">
        <f>IFERROR(SUMIFS([2]!drvold[BJFI -1 num], [2]!drvold[status], "MERGED", [2]!drvold[AuthorGroup],"BJ And dev")/COUNTIFS([2]!drvold[status], "MERGED", [2]!drvold[AuthorGroup],"BJ And dev"), "no patch")</f>
        <v>no patch</v>
      </c>
      <c r="L27"/>
    </row>
    <row r="28" spans="1:25" ht="15.75">
      <c r="B28" s="10" t="s">
        <v>7</v>
      </c>
      <c r="C28" s="162"/>
      <c r="D28" s="162"/>
      <c r="E28" s="158"/>
      <c r="F28" s="166"/>
      <c r="G28" s="163"/>
      <c r="H28" s="168"/>
      <c r="I28" s="161"/>
      <c r="J28" s="5"/>
      <c r="K28" s="30" t="e">
        <f>"#"&amp;SUMIFS([2]!drvold[BJFI -1 num], [2]!drvold[status], "MERGED", [2]!drvold[AuthorGroup],"BJ And dev")&amp;" -1, "&amp;COUNTIFS([2]!drvold[status], "MERGED", [2]!drvold[AuthorGroup],"BJ And dev")&amp;"patches"</f>
        <v>#REF!</v>
      </c>
      <c r="L28"/>
    </row>
    <row r="29" spans="1:25" ht="15.75">
      <c r="B29" s="9" t="s">
        <v>10</v>
      </c>
      <c r="C29" s="157" t="s">
        <v>11</v>
      </c>
      <c r="D29" s="157" t="s">
        <v>12</v>
      </c>
      <c r="E29" s="160">
        <v>0.37</v>
      </c>
      <c r="F29" s="169">
        <v>0.5</v>
      </c>
      <c r="G29" s="159">
        <v>0.5</v>
      </c>
      <c r="H29" s="173">
        <v>0.68</v>
      </c>
      <c r="I29" s="154">
        <v>0.6</v>
      </c>
      <c r="J29" s="5"/>
      <c r="K29" s="28" t="str">
        <f>IFERROR(SUMIFS([2]!drvold[BJ review num], [2]!drvold[status], "MERGED", [2]!drvold[AuthorGroup],"BJ And dev")/SUM(SUMIFS([2]!drvold[BJ review num], [2]!drvold[status], "MERGED", [2]!drvold[AuthorGroup],"BJ And dev"), SUMIFS([2]!drvold[FI review num], [2]!drvold[status], "MERGED", [2]!drvold[AuthorGroup],"BJ And dev")), "no patch")</f>
        <v>no patch</v>
      </c>
      <c r="L29"/>
    </row>
    <row r="30" spans="1:25" ht="15.75">
      <c r="B30" s="10" t="s">
        <v>7</v>
      </c>
      <c r="C30" s="157"/>
      <c r="D30" s="157"/>
      <c r="E30" s="160"/>
      <c r="F30" s="172"/>
      <c r="G30" s="159"/>
      <c r="H30" s="174"/>
      <c r="I30" s="154"/>
      <c r="J30" s="5"/>
      <c r="K30" s="30" t="e">
        <f>"BJvsFL: "&amp;SUMIFS([2]!drvold[BJ review num], [2]!drvold[status], "MERGED", [2]!drvold[AuthorGroup],"BJ And dev")&amp;" vs "&amp; SUMIFS([2]!drvold[FI review num], [2]!drvold[status], "MERGED", [2]!drvold[AuthorGroup],"BJ And dev")</f>
        <v>#REF!</v>
      </c>
      <c r="L30"/>
    </row>
    <row r="31" spans="1:25" ht="15.75">
      <c r="B31" s="9" t="s">
        <v>13</v>
      </c>
      <c r="C31" s="157" t="s">
        <v>14</v>
      </c>
      <c r="D31" s="157" t="s">
        <v>15</v>
      </c>
      <c r="E31" s="160">
        <v>0.03</v>
      </c>
      <c r="F31" s="169">
        <v>0.14000000000000001</v>
      </c>
      <c r="G31" s="159">
        <v>0.3</v>
      </c>
      <c r="H31" s="173">
        <v>0.63</v>
      </c>
      <c r="I31" s="154">
        <v>0.5</v>
      </c>
      <c r="J31" s="5"/>
      <c r="K31" s="28" t="str">
        <f>IFERROR(SUMIFS([2]!drvold[BJ -1 num], [2]!drvold[status], "MERGED", [2]!drvold[AuthorGroup],"BJ And dev")/SUM(SUMIFS([2]!drvold[BJ -1 num], [2]!drvold[status], "MERGED", [2]!drvold[AuthorGroup],"BJ And dev"), SUMIFS([2]!drvold[FI -1 num], [2]!drvold[status], "MERGED", [2]!drvold[AuthorGroup],"BJ And dev")), "no -1")</f>
        <v>no -1</v>
      </c>
      <c r="L31"/>
    </row>
    <row r="32" spans="1:25" ht="15.75">
      <c r="B32" s="10" t="s">
        <v>7</v>
      </c>
      <c r="C32" s="157"/>
      <c r="D32" s="157"/>
      <c r="E32" s="160"/>
      <c r="F32" s="172"/>
      <c r="G32" s="159"/>
      <c r="H32" s="174"/>
      <c r="I32" s="154"/>
      <c r="J32" s="5"/>
      <c r="K32" s="30" t="e">
        <f>"BJvsFL: "&amp;SUMIFS([2]!drvold[BJ -1 num], [2]!drvold[status], "MERGED", [2]!drvold[AuthorGroup],"BJ And dev")&amp;" vs "&amp; SUMIFS([2]!drvold[FI -1 num], [2]!drvold[status], "MERGED", [2]!drvold[AuthorGroup],"BJ And dev")</f>
        <v>#REF!</v>
      </c>
      <c r="L32"/>
    </row>
    <row r="33" spans="2:12" ht="31.5">
      <c r="B33" s="9" t="s">
        <v>16</v>
      </c>
      <c r="C33" s="157" t="s">
        <v>18</v>
      </c>
      <c r="D33" s="157" t="s">
        <v>19</v>
      </c>
      <c r="E33" s="158">
        <v>0</v>
      </c>
      <c r="F33" s="169">
        <v>0.11</v>
      </c>
      <c r="G33" s="159">
        <v>0.2</v>
      </c>
      <c r="H33" s="170">
        <v>0.14000000000000001</v>
      </c>
      <c r="I33" s="154">
        <v>0.3</v>
      </c>
      <c r="J33" s="5"/>
      <c r="K33" s="28" t="str">
        <f>IFERROR(COUNTIFS([2]!drvold[status], "MERGED", [2]!drvold[AuthorGroup],"FL And dev", [2]!drvold[BJ review num], "&gt;0")/COUNTIFS([2]!drvold[status], "MERGED", [2]!drvold[AuthorGroup],"FL And dev"), "no patch")</f>
        <v>no patch</v>
      </c>
      <c r="L33"/>
    </row>
    <row r="34" spans="2:12" ht="15.75">
      <c r="B34" s="10" t="s">
        <v>17</v>
      </c>
      <c r="C34" s="157"/>
      <c r="D34" s="157"/>
      <c r="E34" s="158"/>
      <c r="F34" s="166"/>
      <c r="G34" s="159"/>
      <c r="H34" s="171"/>
      <c r="I34" s="154"/>
      <c r="J34" s="5"/>
      <c r="K34" s="30" t="e">
        <f>"BJ comment: "&amp;COUNTIFS([2]!drvold[status], "MERGED", [2]!drvold[AuthorGroup],"FL And dev", [2]!drvold[BJ review num], "&gt;0")&amp;", total: "&amp;COUNTIFS([2]!drvold[status], "MERGED", [2]!drvold[AuthorGroup],"FL And dev")</f>
        <v>#REF!</v>
      </c>
      <c r="L34"/>
    </row>
    <row r="40" spans="2:12">
      <c r="B40" t="s">
        <v>2021</v>
      </c>
    </row>
    <row r="41" spans="2:12">
      <c r="B41" t="s">
        <v>2022</v>
      </c>
    </row>
  </sheetData>
  <mergeCells count="78">
    <mergeCell ref="C9:C10"/>
    <mergeCell ref="D9:D10"/>
    <mergeCell ref="E9:E10"/>
    <mergeCell ref="G9:G10"/>
    <mergeCell ref="I9:I10"/>
    <mergeCell ref="D7:D8"/>
    <mergeCell ref="E7:E8"/>
    <mergeCell ref="G7:G8"/>
    <mergeCell ref="I7:I8"/>
    <mergeCell ref="C5:C6"/>
    <mergeCell ref="D5:D6"/>
    <mergeCell ref="E5:E6"/>
    <mergeCell ref="G5:G6"/>
    <mergeCell ref="I5:I6"/>
    <mergeCell ref="B1:J1"/>
    <mergeCell ref="C3:C4"/>
    <mergeCell ref="D3:D4"/>
    <mergeCell ref="E3:E4"/>
    <mergeCell ref="G3:G4"/>
    <mergeCell ref="I3:I4"/>
    <mergeCell ref="D29:D30"/>
    <mergeCell ref="E29:E30"/>
    <mergeCell ref="G29:G30"/>
    <mergeCell ref="I29:I30"/>
    <mergeCell ref="F29:F30"/>
    <mergeCell ref="H29:H30"/>
    <mergeCell ref="D31:D32"/>
    <mergeCell ref="E31:E32"/>
    <mergeCell ref="G31:G32"/>
    <mergeCell ref="I31:I32"/>
    <mergeCell ref="F31:F32"/>
    <mergeCell ref="H31:H32"/>
    <mergeCell ref="D33:D34"/>
    <mergeCell ref="E33:E34"/>
    <mergeCell ref="G33:G34"/>
    <mergeCell ref="I33:I34"/>
    <mergeCell ref="F33:F34"/>
    <mergeCell ref="H33:H34"/>
    <mergeCell ref="A3:A4"/>
    <mergeCell ref="A5:A6"/>
    <mergeCell ref="A7:A8"/>
    <mergeCell ref="A9:A10"/>
    <mergeCell ref="C33:C34"/>
    <mergeCell ref="C31:C32"/>
    <mergeCell ref="C29:C30"/>
    <mergeCell ref="B25:J25"/>
    <mergeCell ref="C27:C28"/>
    <mergeCell ref="D27:D28"/>
    <mergeCell ref="E27:E28"/>
    <mergeCell ref="G27:G28"/>
    <mergeCell ref="I27:I28"/>
    <mergeCell ref="F27:F28"/>
    <mergeCell ref="H27:H28"/>
    <mergeCell ref="C7:C8"/>
    <mergeCell ref="I16:I17"/>
    <mergeCell ref="A18:A19"/>
    <mergeCell ref="C18:C19"/>
    <mergeCell ref="D18:D19"/>
    <mergeCell ref="E18:E19"/>
    <mergeCell ref="G18:G19"/>
    <mergeCell ref="I18:I19"/>
    <mergeCell ref="A16:A17"/>
    <mergeCell ref="C16:C17"/>
    <mergeCell ref="D16:D17"/>
    <mergeCell ref="E16:E17"/>
    <mergeCell ref="G16:G17"/>
    <mergeCell ref="I20:I21"/>
    <mergeCell ref="A22:A23"/>
    <mergeCell ref="C22:C23"/>
    <mergeCell ref="D22:D23"/>
    <mergeCell ref="E22:E23"/>
    <mergeCell ref="G22:G23"/>
    <mergeCell ref="I22:I23"/>
    <mergeCell ref="A20:A21"/>
    <mergeCell ref="C20:C21"/>
    <mergeCell ref="D20:D21"/>
    <mergeCell ref="E20:E21"/>
    <mergeCell ref="G20:G21"/>
  </mergeCells>
  <phoneticPr fontId="5"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outlinePr summaryBelow="0" summaryRight="0"/>
  </sheetPr>
  <dimension ref="A1:AD74"/>
  <sheetViews>
    <sheetView zoomScale="90" zoomScaleNormal="90" workbookViewId="0">
      <pane xSplit="2" topLeftCell="G1" activePane="topRight" state="frozen"/>
      <selection pane="topRight" activeCell="L2" sqref="L2:N2"/>
    </sheetView>
  </sheetViews>
  <sheetFormatPr defaultRowHeight="15" outlineLevelRow="1"/>
  <cols>
    <col min="2" max="2" width="38.5703125" customWidth="1"/>
    <col min="3" max="4" width="21.85546875" customWidth="1"/>
    <col min="5" max="6" width="17.140625" customWidth="1"/>
    <col min="7" max="7" width="12" customWidth="1"/>
    <col min="8" max="8" width="17.140625" customWidth="1"/>
    <col min="9" max="10" width="9.140625" customWidth="1"/>
    <col min="11" max="11" width="13.85546875" style="97" customWidth="1"/>
    <col min="12" max="12" width="13.28515625" style="26" customWidth="1"/>
    <col min="13" max="13" width="12.5703125" style="26" customWidth="1"/>
    <col min="14" max="14" width="13.7109375" style="26" customWidth="1"/>
    <col min="15" max="25" width="10" style="26" customWidth="1"/>
  </cols>
  <sheetData>
    <row r="1" spans="1:25">
      <c r="B1" s="94" t="s">
        <v>2311</v>
      </c>
      <c r="C1" s="95"/>
      <c r="D1" s="95"/>
      <c r="E1" s="95"/>
      <c r="F1" s="95"/>
      <c r="G1" s="95"/>
      <c r="H1" s="95"/>
      <c r="I1" s="95"/>
      <c r="J1" s="96"/>
      <c r="N1" s="51"/>
    </row>
    <row r="2" spans="1:25" ht="45">
      <c r="A2" s="41" t="s">
        <v>2029</v>
      </c>
      <c r="B2" s="1" t="s">
        <v>2340</v>
      </c>
      <c r="C2" s="1" t="s">
        <v>2</v>
      </c>
      <c r="D2" s="1" t="s">
        <v>3</v>
      </c>
      <c r="E2" s="2" t="s">
        <v>2094</v>
      </c>
      <c r="F2" s="2"/>
      <c r="G2" s="88" t="s">
        <v>2089</v>
      </c>
      <c r="H2" s="88"/>
      <c r="I2" s="88" t="s">
        <v>2088</v>
      </c>
      <c r="J2" s="107" t="s">
        <v>2335</v>
      </c>
      <c r="K2" s="52" t="s">
        <v>2418</v>
      </c>
      <c r="L2" s="108" t="s">
        <v>2411</v>
      </c>
      <c r="M2" s="108" t="s">
        <v>2413</v>
      </c>
      <c r="N2" s="108" t="s">
        <v>2414</v>
      </c>
      <c r="Y2" s="44" t="s">
        <v>2028</v>
      </c>
    </row>
    <row r="3" spans="1:25" ht="15.75">
      <c r="A3" s="155">
        <v>1</v>
      </c>
      <c r="B3" s="84" t="s">
        <v>2090</v>
      </c>
      <c r="C3" s="162" t="s">
        <v>8</v>
      </c>
      <c r="D3" s="162" t="s">
        <v>9</v>
      </c>
      <c r="E3" s="85">
        <v>1.3</v>
      </c>
      <c r="F3" s="55"/>
      <c r="G3" s="176">
        <v>1</v>
      </c>
      <c r="H3" s="89"/>
      <c r="I3" s="176">
        <v>0.6</v>
      </c>
      <c r="J3" s="99">
        <v>0.96551724137931039</v>
      </c>
      <c r="K3" s="99">
        <f>IFERROR(SUMIFS(patch[BJFISH -1 num], patch[status], "MERGED",  patch[AuthorGroup],"BJ And dev", patch[mergeDate], "&lt;2016-10-1", patch[mergeDate], "&gt;=2016-7-1")/COUNTIFS(patch[status], "MERGED",  patch[AuthorGroup],"BJ And dev", patch[mergeDate], "&lt;2016-10-1", patch[mergeDate], "&gt;=2016-7-1"), "no patch")</f>
        <v>0.20666666666666667</v>
      </c>
      <c r="L3" s="29" t="str">
        <f>IFERROR(SUMIFS(patch[BJFISH -1 num], patch[status], "MERGED", patch[MergeMonth], L$2, patch[AuthorGroup],"BJ And dev")/COUNTIFS(patch[status], "MERGED", patch[MergeMonth], L$2, patch[AuthorGroup],"BJ And dev"), "no patch")</f>
        <v>no patch</v>
      </c>
      <c r="M3" s="29" t="str">
        <f>IFERROR(SUMIFS(patch[BJFISH -1 num], patch[status], "MERGED", patch[MergeMonth], M$2, patch[AuthorGroup],"BJ And dev")/COUNTIFS(patch[status], "MERGED", patch[MergeMonth], M$2, patch[AuthorGroup],"BJ And dev"), "no patch")</f>
        <v>no patch</v>
      </c>
      <c r="N3" s="29">
        <f>IFERROR(SUMIFS(patch[BJFISH -1 num], patch[status], "MERGED", patch[MergeMonth], N$2, patch[AuthorGroup],"BJ And dev")/COUNTIFS(patch[status], "MERGED", patch[MergeMonth], N$2, patch[AuthorGroup],"BJ And dev"), "no patch")</f>
        <v>0.20666666666666667</v>
      </c>
      <c r="Y3" s="29" t="e">
        <f>SUMIFS(drvlst[BJFI -1 num], drvlst[status], "MERGED", drvlst[AuthorGroup],"BJ And dev")/COUNTIFS(drvlst[status], "MERGED", drvlst[AuthorGroup],"BJ And dev")</f>
        <v>#DIV/0!</v>
      </c>
    </row>
    <row r="4" spans="1:25" ht="45">
      <c r="A4" s="156"/>
      <c r="B4" s="84" t="s">
        <v>7</v>
      </c>
      <c r="C4" s="162"/>
      <c r="D4" s="162"/>
      <c r="E4" s="85" t="s">
        <v>2095</v>
      </c>
      <c r="F4" s="55"/>
      <c r="G4" s="176"/>
      <c r="H4" s="89"/>
      <c r="I4" s="176"/>
      <c r="J4" s="106" t="s">
        <v>2336</v>
      </c>
      <c r="K4" s="106" t="str">
        <f>"#"&amp;SUMIFS(patch[BJFISH -1 num], patch[status], "MERGED",  patch[AuthorGroup],"BJ And dev", patch[mergeDate], "&lt;2016-10-1", patch[mergeDate], "&gt;=2016-7-1")&amp;" -1, "&amp;COUNTIFS(patch[status], "MERGED", patch[AuthorGroup],"BJ And dev", patch[mergeDate], "&lt;2016-10-1", patch[mergeDate], "&gt;=2016-7-1")&amp;"patches"</f>
        <v>#31 -1, 150patches</v>
      </c>
      <c r="L4" s="46" t="str">
        <f>"#"&amp;SUMIFS(patch[BJFISH -1 num], patch[status], "MERGED", patch[MergeMonth], L$2, patch[AuthorGroup],"BJ And dev")&amp;" -1, "&amp;COUNTIFS(patch[status], "MERGED", patch[MergeMonth],  L$2, patch[AuthorGroup],"BJ And dev")&amp;"patches"</f>
        <v>#0 -1, 0patches</v>
      </c>
      <c r="M4" s="46" t="str">
        <f>"#"&amp;SUMIFS(patch[BJFISH -1 num], patch[status], "MERGED", patch[MergeMonth], M$2, patch[AuthorGroup],"BJ And dev")&amp;" -1, "&amp;COUNTIFS(patch[status], "MERGED", patch[MergeMonth],  M$2, patch[AuthorGroup],"BJ And dev")&amp;"patches"</f>
        <v>#0 -1, 0patches</v>
      </c>
      <c r="N4" s="46" t="str">
        <f>"#"&amp;SUMIFS(patch[BJFISH -1 num], patch[status], "MERGED", patch[MergeMonth], N$2, patch[AuthorGroup],"BJ And dev")&amp;" -1, "&amp;COUNTIFS(patch[status], "MERGED", patch[MergeMonth],  N$2, patch[AuthorGroup],"BJ And dev")&amp;"patches"</f>
        <v>#31 -1, 150patches</v>
      </c>
      <c r="O4" s="63">
        <f>92+57+43</f>
        <v>192</v>
      </c>
      <c r="P4" s="63">
        <f>101+93+78</f>
        <v>272</v>
      </c>
      <c r="Y4" s="46" t="str">
        <f>"#"&amp;SUMIFS(drvlst[BJFI -1 num], drvlst[status], "MERGED",  drvlst[AuthorGroup],"BJ And dev")&amp;" -1, "&amp;COUNTIFS(drvlst[status], "MERGED", drvlst[AuthorGroup],"BJ And dev")&amp;"patches"</f>
        <v>#0 -1, 0patches</v>
      </c>
    </row>
    <row r="5" spans="1:25" ht="43.5" customHeight="1">
      <c r="A5" s="155">
        <v>2</v>
      </c>
      <c r="B5" s="84" t="s">
        <v>2091</v>
      </c>
      <c r="C5" s="157" t="s">
        <v>11</v>
      </c>
      <c r="D5" s="157" t="s">
        <v>12</v>
      </c>
      <c r="E5" s="86">
        <v>0.32</v>
      </c>
      <c r="F5" s="57"/>
      <c r="G5" s="175">
        <v>0.5</v>
      </c>
      <c r="H5" s="90"/>
      <c r="I5" s="175">
        <v>0.6</v>
      </c>
      <c r="J5" s="100">
        <v>0.36796536796536794</v>
      </c>
      <c r="K5" s="100">
        <f>IFERROR(SUMIFS(patch[BJ review num], patch[status], "MERGED",  patch[AuthorGroup],"BJ And dev", patch[mergeDate], "&lt;2016-10-1", patch[mergeDate], "&gt;=2016-7-1")/SUM(SUMIFS(patch[BJ review num], patch[status], "MERGED",  patch[AuthorGroup],"BJ And dev"), SUMIFS(patch[FI review num], patch[status], "MERGED",  patch[AuthorGroup],"BJ And dev", patch[mergeDate], "&lt;2016-10-1", patch[mergeDate], "&gt;=2016-7-1"), SUMIFS(patch[SH review num], patch[status], "MERGED",  patch[AuthorGroup],"BJ And dev", patch[mergeDate], "&lt;2016-10-1", patch[mergeDate], "&gt;=2016-7-1")), "no patch")</f>
        <v>0.997588424437299</v>
      </c>
      <c r="L5" s="28" t="str">
        <f>IFERROR(
   SUMIFS(patch[BJ review num], patch[status], "MERGED", patch[MergeMonth], L$2, patch[AuthorGroup],"BJ And dev")
   /SUM(SUMIFS(patch[BJ review num], patch[status], "MERGED", patch[MergeMonth], L$2, patch[AuthorGroup],"BJ And dev"), SUMIFS(patch[FI review num], patch[status], "MERGED", patch[MergeMonth], L$2, patch[AuthorGroup],"BJ And dev"), SUMIFS(patch[SH review num], patch[status], "MERGED", patch[MergeMonth], L$2, patch[AuthorGroup],"BJ And dev")), "no patch")</f>
        <v>no patch</v>
      </c>
      <c r="M5" s="28" t="str">
        <f>IFERROR(
   SUMIFS(patch[BJ review num], patch[status], "MERGED", patch[MergeMonth], M$2, patch[AuthorGroup],"BJ And dev")
   /SUM(SUMIFS(patch[BJ review num], patch[status], "MERGED", patch[MergeMonth], M$2, patch[AuthorGroup],"BJ And dev"), SUMIFS(patch[FI review num], patch[status], "MERGED", patch[MergeMonth], M$2, patch[AuthorGroup],"BJ And dev"), SUMIFS(patch[SH review num], patch[status], "MERGED", patch[MergeMonth], M$2, patch[AuthorGroup],"BJ And dev")), "no patch")</f>
        <v>no patch</v>
      </c>
      <c r="N5" s="28">
        <f>IFERROR(
   SUMIFS(patch[BJ review num], patch[status], "MERGED", patch[MergeMonth], N$2, patch[AuthorGroup],"BJ And dev")
   /SUM(SUMIFS(patch[BJ review num], patch[status], "MERGED", patch[MergeMonth], N$2, patch[AuthorGroup],"BJ And dev"), SUMIFS(patch[FI review num], patch[status], "MERGED", patch[MergeMonth], N$2, patch[AuthorGroup],"BJ And dev"), SUMIFS(patch[SH review num], patch[status], "MERGED", patch[MergeMonth], N$2, patch[AuthorGroup],"BJ And dev")), "no patch")</f>
        <v>0.997588424437299</v>
      </c>
      <c r="Y5" s="28" t="str">
        <f>IFERROR(SUMIFS(drvlst[BJ review num], drvlst[status], "MERGED",  drvlst[AuthorGroup],"BJ And dev")/SUM(SUMIFS(drvlst[BJ review num], drvlst[status], "MERGED",  drvlst[AuthorGroup],"BJ And dev"), SUMIFS(drvlst[FI review num], drvlst[status], "MERGED",  drvlst[AuthorGroup],"BJ And dev")), "no patch")</f>
        <v>no patch</v>
      </c>
    </row>
    <row r="6" spans="1:25" ht="60">
      <c r="A6" s="156"/>
      <c r="B6" s="84" t="s">
        <v>7</v>
      </c>
      <c r="C6" s="157"/>
      <c r="D6" s="157"/>
      <c r="E6" s="86" t="s">
        <v>2096</v>
      </c>
      <c r="F6" s="57"/>
      <c r="G6" s="175"/>
      <c r="H6" s="90"/>
      <c r="I6" s="175"/>
      <c r="J6" s="106" t="s">
        <v>2337</v>
      </c>
      <c r="K6" s="106" t="str">
        <f>"BJ vs FI vs SH: "&amp;SUMIFS(patch[BJ review num], patch[status], "MERGED",  patch[AuthorGroup],"BJ And dev", patch[mergeDate], "&lt;2016-10-1", patch[mergeDate], "&gt;=2016-7-1")&amp;" vs "&amp; SUMIFS(patch[FI review num], patch[status], "MERGED",  patch[AuthorGroup],"BJ And dev", patch[mergeDate], "&lt;2016-10-1", patch[mergeDate], "&gt;=2016-7-1")&amp; " vs "&amp;SUMIFS(patch[SH review num], patch[status], "MERGED",  patch[AuthorGroup],"BJ And dev", patch[mergeDate], "&lt;2016-10-1", patch[mergeDate], "&gt;=2016-7-1")</f>
        <v>BJ vs FI vs SH: 1241 vs 3 vs 0</v>
      </c>
      <c r="L6" s="46" t="str">
        <f>"BJ vs FI vs SH: "&amp;SUMIFS(patch[BJ review num], patch[status], "MERGED", patch[MergeMonth], L$2, patch[AuthorGroup],"BJ And dev")&amp;" vs "&amp; SUMIFS(patch[FI review num], patch[status], "MERGED", patch[MergeMonth], L$2, patch[AuthorGroup],"BJ And dev")&amp;" vs "&amp; SUMIFS(patch[SH review num], patch[status], "MERGED", patch[MergeMonth], L$2, patch[AuthorGroup],"BJ And dev")</f>
        <v>BJ vs FI vs SH: 0 vs 0 vs 0</v>
      </c>
      <c r="M6" s="46" t="str">
        <f>"BJ vs FI vs SH: "&amp;SUMIFS(patch[BJ review num], patch[status], "MERGED", patch[MergeMonth], M$2, patch[AuthorGroup],"BJ And dev")&amp;" vs "&amp; SUMIFS(patch[FI review num], patch[status], "MERGED", patch[MergeMonth], M$2, patch[AuthorGroup],"BJ And dev")&amp;" vs "&amp; SUMIFS(patch[SH review num], patch[status], "MERGED", patch[MergeMonth], M$2, patch[AuthorGroup],"BJ And dev")</f>
        <v>BJ vs FI vs SH: 0 vs 0 vs 0</v>
      </c>
      <c r="N6" s="46" t="str">
        <f>"BJ vs FI vs SH: "&amp;SUMIFS(patch[BJ review num], patch[status], "MERGED", patch[MergeMonth], N$2, patch[AuthorGroup],"BJ And dev")&amp;" vs "&amp; SUMIFS(patch[FI review num], patch[status], "MERGED", patch[MergeMonth], N$2, patch[AuthorGroup],"BJ And dev")&amp;" vs "&amp; SUMIFS(patch[SH review num], patch[status], "MERGED", patch[MergeMonth], N$2, patch[AuthorGroup],"BJ And dev")</f>
        <v>BJ vs FI vs SH: 1241 vs 3 vs 0</v>
      </c>
      <c r="O6" s="63">
        <f>556+556+443</f>
        <v>1555</v>
      </c>
      <c r="P6" s="63">
        <f>40+18+33</f>
        <v>91</v>
      </c>
      <c r="Y6" s="46" t="str">
        <f>"BJvsFL: "&amp;SUMIFS(drvlst[BJ review num], drvlst[status], "MERGED", drvlst[AuthorGroup],"BJ And dev")&amp;" vs "&amp; SUMIFS(drvlst[FI review num], drvlst[status], "MERGED", drvlst[AuthorGroup],"BJ And dev")</f>
        <v>BJvsFL: 0 vs 0</v>
      </c>
    </row>
    <row r="7" spans="1:25" ht="50.25" customHeight="1">
      <c r="A7" s="155">
        <v>3</v>
      </c>
      <c r="B7" s="84" t="s">
        <v>2092</v>
      </c>
      <c r="C7" s="157" t="s">
        <v>14</v>
      </c>
      <c r="D7" s="157" t="s">
        <v>15</v>
      </c>
      <c r="E7" s="86">
        <v>0.17</v>
      </c>
      <c r="F7" s="57"/>
      <c r="G7" s="175">
        <v>0.3</v>
      </c>
      <c r="H7" s="90"/>
      <c r="I7" s="175">
        <v>0.5</v>
      </c>
      <c r="J7" s="100">
        <v>0.14285714285714285</v>
      </c>
      <c r="K7" s="100">
        <f>IFERROR(
   SUMIFS(patch[BJ -1 num], patch[status], "MERGED",  patch[AuthorGroup],"BJ And dev", patch[mergeDate], "&lt;2016-10-1", patch[mergeDate], "&gt;=2016-7-1")
  /SUM(SUMIFS(patch[BJ -1 num], patch[status], "MERGED",  patch[AuthorGroup],"BJ And dev", patch[mergeDate], "&lt;2016-10-1", patch[mergeDate], "&gt;=2016-7-1"), SUMIFS(patch[FI -1 num], patch[status], "MERGED",  patch[AuthorGroup],"BJ And dev", patch[mergeDate], "&lt;2016-10-1", patch[mergeDate], "&gt;=2016-7-1"), SUMIFS(patch[SH -1 num], patch[status], "MERGED",  patch[AuthorGroup],"BJ And dev", patch[mergeDate], "&lt;2016-10-1", patch[mergeDate], "&gt;=2016-7-1")),
 "no -1")</f>
        <v>1</v>
      </c>
      <c r="L7" s="28" t="str">
        <f>IFERROR(
   SUMIFS(patch[BJ -1 num], patch[status], "MERGED", patch[MergeMonth], L$2, patch[AuthorGroup],"BJ And dev")
  /SUM(SUMIFS(patch[BJ -1 num], patch[status], "MERGED", patch[MergeMonth], L$2, patch[AuthorGroup],"BJ And dev"), SUMIFS(patch[FI -1 num], patch[status], "MERGED", patch[MergeMonth], L$2, patch[AuthorGroup],"BJ And dev"), SUMIFS(patch[SH -1 num], patch[status], "MERGED", patch[MergeMonth], L$2, patch[AuthorGroup],"BJ And dev")),
 "no -1")</f>
        <v>no -1</v>
      </c>
      <c r="M7" s="28" t="str">
        <f>IFERROR(
   SUMIFS(patch[BJ -1 num], patch[status], "MERGED", patch[MergeMonth], M$2, patch[AuthorGroup],"BJ And dev")
  /SUM(SUMIFS(patch[BJ -1 num], patch[status], "MERGED", patch[MergeMonth], M$2, patch[AuthorGroup],"BJ And dev"), SUMIFS(patch[FI -1 num], patch[status], "MERGED", patch[MergeMonth], M$2, patch[AuthorGroup],"BJ And dev"), SUMIFS(patch[SH -1 num], patch[status], "MERGED", patch[MergeMonth], M$2, patch[AuthorGroup],"BJ And dev")),
 "no -1")</f>
        <v>no -1</v>
      </c>
      <c r="N7" s="28">
        <f>IFERROR(
   SUMIFS(patch[BJ -1 num], patch[status], "MERGED", patch[MergeMonth], N$2, patch[AuthorGroup],"BJ And dev")
  /SUM(SUMIFS(patch[BJ -1 num], patch[status], "MERGED", patch[MergeMonth], N$2, patch[AuthorGroup],"BJ And dev"), SUMIFS(patch[FI -1 num], patch[status], "MERGED", patch[MergeMonth], N$2, patch[AuthorGroup],"BJ And dev"), SUMIFS(patch[SH -1 num], patch[status], "MERGED", patch[MergeMonth], N$2, patch[AuthorGroup],"BJ And dev")),
 "no -1")</f>
        <v>1</v>
      </c>
      <c r="Y7" s="28" t="str">
        <f>IFERROR(SUMIFS(drvlst[BJ -1 num], drvlst[status], "MERGED",  drvlst[AuthorGroup],"BJ And dev")/SUM(SUMIFS(drvlst[BJ -1 num], drvlst[status], "MERGED",  drvlst[AuthorGroup],"BJ And dev"), SUMIFS(drvlst[FI -1 num], drvlst[status], "MERGED",  drvlst[AuthorGroup],"BJ And dev")), "no -1")</f>
        <v>no -1</v>
      </c>
    </row>
    <row r="8" spans="1:25" ht="45">
      <c r="A8" s="156"/>
      <c r="B8" s="84" t="s">
        <v>7</v>
      </c>
      <c r="C8" s="157"/>
      <c r="D8" s="157"/>
      <c r="E8" s="86" t="s">
        <v>2097</v>
      </c>
      <c r="F8" s="57"/>
      <c r="G8" s="175"/>
      <c r="H8" s="90"/>
      <c r="I8" s="175"/>
      <c r="J8" s="106" t="s">
        <v>2338</v>
      </c>
      <c r="K8" s="106" t="str">
        <f>"BJ vs FI vs SH: "&amp;SUMIFS(patch[BJ -1 num], patch[status], "MERGED",  patch[AuthorGroup],"BJ And dev", patch[mergeDate], "&lt;2016-10-1", patch[mergeDate], "&gt;=2016-7-1")&amp;" vs "&amp; SUMIFS(patch[FI -1 num], patch[status], "MERGED",  patch[AuthorGroup],"BJ And dev", patch[mergeDate], "&lt;2016-10-1", patch[mergeDate], "&gt;=2016-7-1")&amp;" vs "&amp; SUMIFS(patch[SH -1 num], patch[status], "MERGED",  patch[AuthorGroup],"BJ And dev", patch[mergeDate], "&lt;2016-10-1", patch[mergeDate], "&gt;=2016-7-1")</f>
        <v>BJ vs FI vs SH: 31 vs 0 vs 0</v>
      </c>
      <c r="L8" s="46" t="str">
        <f>"BJ vs FI vs SH: "&amp;SUMIFS(patch[BJ -1 num], patch[status], "MERGED", patch[MergeMonth], L$2, patch[AuthorGroup],"BJ And dev")&amp;" vs "&amp; SUMIFS(patch[FI -1 num], patch[status], "MERGED", patch[MergeMonth], L$2, patch[AuthorGroup],"BJ And dev")&amp;" vs "&amp; SUMIFS(patch[SH -1 num], patch[status], "MERGED", patch[MergeMonth], L$2, patch[AuthorGroup],"BJ And dev")</f>
        <v>BJ vs FI vs SH: 0 vs 0 vs 0</v>
      </c>
      <c r="M8" s="46" t="str">
        <f>"BJ vs FI vs SH: "&amp;SUMIFS(patch[BJ -1 num], patch[status], "MERGED", patch[MergeMonth], M$2, patch[AuthorGroup],"BJ And dev")&amp;" vs "&amp; SUMIFS(patch[FI -1 num], patch[status], "MERGED", patch[MergeMonth], M$2, patch[AuthorGroup],"BJ And dev")&amp;" vs "&amp; SUMIFS(patch[SH -1 num], patch[status], "MERGED", patch[MergeMonth], M$2, patch[AuthorGroup],"BJ And dev")</f>
        <v>BJ vs FI vs SH: 0 vs 0 vs 0</v>
      </c>
      <c r="N8" s="46" t="str">
        <f>"BJ vs FI vs SH: "&amp;SUMIFS(patch[BJ -1 num], patch[status], "MERGED", patch[MergeMonth], N$2, patch[AuthorGroup],"BJ And dev")&amp;" vs "&amp; SUMIFS(patch[FI -1 num], patch[status], "MERGED", patch[MergeMonth], N$2, patch[AuthorGroup],"BJ And dev")&amp;" vs "&amp; SUMIFS(patch[SH -1 num], patch[status], "MERGED", patch[MergeMonth], N$2, patch[AuthorGroup],"BJ And dev")</f>
        <v>BJ vs FI vs SH: 31 vs 0 vs 0</v>
      </c>
      <c r="O8" s="63">
        <f>83+56+38</f>
        <v>177</v>
      </c>
      <c r="P8" s="63"/>
      <c r="Y8" s="46" t="str">
        <f>"BJvsFL: "&amp;SUMIFS(drvlst[BJ -1 num], drvlst[status], "MERGED", drvlst[AuthorGroup],"BJ And dev")&amp;" vs "&amp; SUMIFS(drvlst[FI -1 num], drvlst[status], "MERGED", drvlst[AuthorGroup],"BJ And dev")</f>
        <v>BJvsFL: 0 vs 0</v>
      </c>
    </row>
    <row r="9" spans="1:25" ht="43.5" customHeight="1">
      <c r="A9" s="155">
        <v>4</v>
      </c>
      <c r="B9" s="84" t="s">
        <v>2093</v>
      </c>
      <c r="C9" s="157" t="s">
        <v>2316</v>
      </c>
      <c r="D9" s="157" t="s">
        <v>2317</v>
      </c>
      <c r="E9" s="86">
        <v>0.56999999999999995</v>
      </c>
      <c r="F9" s="55"/>
      <c r="G9" s="175">
        <v>0.2</v>
      </c>
      <c r="H9" s="90"/>
      <c r="I9" s="175">
        <v>0.3</v>
      </c>
      <c r="J9" s="141">
        <v>0.59803921568627449</v>
      </c>
      <c r="K9" s="141">
        <f>IFERROR(
       SUM(COUNTIFS(patch[status], "MERGED",  patch[AuthorGroup],{"FL And dev","SH And dev"}, patch[BJ review num], "&gt;0", patch[mergeDate], "&lt;2016-10-1", patch[mergeDate], "&gt;=2016-7-1"))
      /SUM(COUNTIFS(patch[status], "MERGED",  patch[AuthorGroup],{"FL And dev","SH And dev"}, patch[mergeDate], "&lt;2016-10-1", patch[mergeDate], "&gt;=2016-7-1")),
"no patch")</f>
        <v>1</v>
      </c>
      <c r="L9" s="28" t="str">
        <f t="array" ref="L9">IFERROR(
                   SUM(COUNTIFS(patch[status], "MERGED", patch[MergeMonth], L$2, patch[AuthorGroup],{"FL And dev","SH And dev"}, patch[BJ review num], "&gt;0"))/
                    SUM(COUNTIFS(patch[status], "MERGED", patch[MergeMonth], L$2, patch[AuthorGroup],{"FL And dev","SH And dev"})),
"no patch")</f>
        <v>no patch</v>
      </c>
      <c r="M9" s="28" t="str">
        <f t="array" ref="M9">IFERROR(
                   SUM(COUNTIFS(patch[status], "MERGED", patch[MergeMonth], M$2, patch[AuthorGroup],{"FL And dev","SH And dev"}, patch[BJ review num], "&gt;0"))/
                    SUM(COUNTIFS(patch[status], "MERGED", patch[MergeMonth], M$2, patch[AuthorGroup],{"FL And dev","SH And dev"})),
"no patch")</f>
        <v>no patch</v>
      </c>
      <c r="N9" s="28">
        <f t="array" ref="N9">IFERROR(
                   SUM(COUNTIFS(patch[status], "MERGED", patch[MergeMonth], N$2, patch[AuthorGroup],{"FL And dev","SH And dev"}, patch[BJ review num], "&gt;0"))/
                    SUM(COUNTIFS(patch[status], "MERGED", patch[MergeMonth], N$2, patch[AuthorGroup],{"FL And dev","SH And dev"})),
"no patch")</f>
        <v>1</v>
      </c>
      <c r="Q9" s="139"/>
      <c r="Y9" s="28" t="str">
        <f>IFERROR(COUNTIFS(drvlst[status], "MERGED",  drvlst[AuthorGroup],"FL And dev", drvlst[BJ review num], "&gt;0")/COUNTIFS(drvlst[status], "MERGED",  drvlst[AuthorGroup],"FL And dev"), "no patch")</f>
        <v>no patch</v>
      </c>
    </row>
    <row r="10" spans="1:25" ht="60">
      <c r="A10" s="156"/>
      <c r="B10" s="84" t="s">
        <v>2310</v>
      </c>
      <c r="C10" s="157"/>
      <c r="D10" s="157"/>
      <c r="E10" s="85" t="s">
        <v>2098</v>
      </c>
      <c r="F10" s="55"/>
      <c r="G10" s="175"/>
      <c r="H10" s="90"/>
      <c r="I10" s="175"/>
      <c r="J10" s="106" t="s">
        <v>2339</v>
      </c>
      <c r="K10" s="106" t="str">
        <f>"BJ comment: "&amp;
SUM(COUNTIFS(patch[status], "MERGED",  patch[AuthorGroup],{"FL And dev","SH And dev"}, patch[BJ review num], "&gt;0", patch[mergeDate], "&lt;2016-10-1", patch[mergeDate], "&gt;=2016-7-1"))
&amp;", total: "&amp;
SUM(COUNTIFS(patch[status], "MERGED",  patch[AuthorGroup],{"FL And dev","SH And dev"}, patch[mergeDate], "&lt;2016-10-1", patch[mergeDate], "&gt;=2016-7-1"))</f>
        <v>BJ comment: 17, total: 17</v>
      </c>
      <c r="L10" s="46" t="str">
        <f>"BJ comment: "&amp;
SUM(COUNTIFS(patch[status], "MERGED", patch[MergeMonth], L$2, patch[AuthorGroup],{"FL And dev","SH And dev"}, patch[BJ review num], "&gt;0"))
&amp;", total: "&amp;
SUM(COUNTIFS(patch[status], "MERGED", patch[MergeMonth], L$2, patch[AuthorGroup],{"FL And dev","SH And dev"}))</f>
        <v>BJ comment: 0, total: 0</v>
      </c>
      <c r="M10" s="46" t="str">
        <f t="array" ref="M10">"BJ comment: "&amp;
SUM(COUNTIFS(patch[status], "MERGED", patch[MergeMonth], M$2, patch[AuthorGroup],{"FL And dev","SH And dev"}, patch[BJ review num], "&gt;0"))
&amp;", total: "&amp;
SUM(COUNTIFS(patch[status], "MERGED", patch[MergeMonth], M$2, patch[AuthorGroup],{"FL And dev","SH And dev"}))</f>
        <v>BJ comment: 0, total: 0</v>
      </c>
      <c r="N10" s="46" t="str">
        <f t="array" ref="N10">"BJ comment: "&amp;
SUM(COUNTIFS(patch[status], "MERGED", patch[MergeMonth], N$2, patch[AuthorGroup],{"FL And dev","SH And dev"}, patch[BJ review num], "&gt;0"))
&amp;", total: "&amp;
SUM(COUNTIFS(patch[status], "MERGED", patch[MergeMonth], N$2, patch[AuthorGroup],{"FL And dev","SH And dev"}))</f>
        <v>BJ comment: 17, total: 17</v>
      </c>
      <c r="O10" s="63">
        <f>17+32+11</f>
        <v>60</v>
      </c>
      <c r="P10" s="63">
        <f>103+157+143</f>
        <v>403</v>
      </c>
      <c r="Y10" s="46" t="str">
        <f>"BJ comment: "&amp;COUNTIFS(drvlst[status], "MERGED",  drvlst[AuthorGroup],"FL And dev", drvlst[BJ review num], "&gt;0")&amp;", total: "&amp;COUNTIFS(drvlst[status], "MERGED",  drvlst[AuthorGroup],"FL And dev")</f>
        <v>BJ comment: 0, total: 0</v>
      </c>
    </row>
    <row r="12" spans="1:25" ht="15.75">
      <c r="B12" s="53" t="s">
        <v>2042</v>
      </c>
    </row>
    <row r="13" spans="1:25" ht="15.75">
      <c r="B13" s="53"/>
    </row>
    <row r="14" spans="1:25" ht="15.75" hidden="1">
      <c r="B14" s="91" t="s">
        <v>2044</v>
      </c>
      <c r="C14" s="60"/>
      <c r="D14" s="60"/>
      <c r="E14" s="60"/>
      <c r="F14" s="60"/>
      <c r="G14" s="60"/>
      <c r="H14" s="60"/>
      <c r="I14" s="60"/>
      <c r="J14" s="60"/>
      <c r="K14" s="101"/>
      <c r="L14" s="61"/>
      <c r="M14" s="61"/>
      <c r="N14" s="61"/>
    </row>
    <row r="15" spans="1:25" ht="45" hidden="1">
      <c r="A15" s="41" t="s">
        <v>2029</v>
      </c>
      <c r="B15" s="1" t="s">
        <v>2099</v>
      </c>
      <c r="C15" s="1" t="s">
        <v>2</v>
      </c>
      <c r="D15" s="1" t="s">
        <v>3</v>
      </c>
      <c r="E15" s="2" t="s">
        <v>2094</v>
      </c>
      <c r="F15" s="2"/>
      <c r="G15" s="88" t="s">
        <v>2089</v>
      </c>
      <c r="H15" s="88"/>
      <c r="I15" s="88" t="s">
        <v>2088</v>
      </c>
      <c r="J15" s="5"/>
      <c r="K15" s="98" t="s">
        <v>2041</v>
      </c>
      <c r="L15" s="27" t="s">
        <v>2055</v>
      </c>
      <c r="M15" s="27" t="s">
        <v>2056</v>
      </c>
      <c r="N15" s="27" t="s">
        <v>2057</v>
      </c>
      <c r="Y15" s="44" t="s">
        <v>2028</v>
      </c>
    </row>
    <row r="16" spans="1:25" ht="15.75" hidden="1">
      <c r="A16" s="155">
        <v>1</v>
      </c>
      <c r="B16" s="84" t="s">
        <v>2090</v>
      </c>
      <c r="C16" s="162" t="s">
        <v>8</v>
      </c>
      <c r="D16" s="162" t="s">
        <v>9</v>
      </c>
      <c r="E16" s="85">
        <v>1.3</v>
      </c>
      <c r="F16" s="55"/>
      <c r="G16" s="178">
        <v>1</v>
      </c>
      <c r="H16" s="92"/>
      <c r="I16" s="178">
        <v>0.6</v>
      </c>
      <c r="J16" s="5"/>
      <c r="K16" s="99" t="str">
        <f>IFERROR(SUMIFS(patch[BJFISH -1 num], patch[status], "MERGED",  patch[AuthorGroup],"BJ And dev", patch[ifCommon], "common", patch[mergeDate], "&lt;2016-4-1", patch[mergeDate], "&gt;=2016-1-1")/COUNTIFS(patch[status], "MERGED",  patch[AuthorGroup],"BJ And dev", patch[ifCommon], "common", patch[mergeDate], "&lt;2016-4-1", patch[mergeDate], "&gt;=2016-1-1"), "no patch")</f>
        <v>no patch</v>
      </c>
      <c r="L16" s="29" t="str">
        <f>IFERROR(SUMIFS(patch[BJFISH -1 num], patch[status], "MERGED", patch[MergeMonth], L$2, patch[AuthorGroup],"BJ And dev", patch[ifCommon], "common")/COUNTIFS(patch[status], "MERGED", patch[MergeMonth], L$2, patch[AuthorGroup],"BJ And dev", patch[ifCommon], "common"), "no patch")</f>
        <v>no patch</v>
      </c>
      <c r="M16" s="29" t="str">
        <f>IFERROR(SUMIFS(patch[BJFISH -1 num], patch[status], "MERGED", patch[MergeMonth], M$2, patch[AuthorGroup],"BJ And dev", patch[ifCommon], "common")/COUNTIFS(patch[status], "MERGED", patch[MergeMonth], M$2, patch[AuthorGroup],"BJ And dev", patch[ifCommon], "common"), "no patch")</f>
        <v>no patch</v>
      </c>
      <c r="N16" s="29" t="str">
        <f>IFERROR(SUMIFS(patch[BJFISH -1 num], patch[status], "MERGED", patch[MergeMonth], N$2, patch[AuthorGroup],"BJ And dev", patch[ifCommon], "common")/COUNTIFS(patch[status], "MERGED", patch[MergeMonth], N$2, patch[AuthorGroup],"BJ And dev", patch[ifCommon], "common"), "no patch")</f>
        <v>no patch</v>
      </c>
      <c r="Y16" s="29" t="e">
        <f>SUMIFS(drvlst[BJFI -1 num], drvlst[status], "MERGED", drvlst[AuthorGroup],"BJ And dev")/COUNTIFS(drvlst[status], "MERGED", drvlst[AuthorGroup],"BJ And dev")</f>
        <v>#DIV/0!</v>
      </c>
    </row>
    <row r="17" spans="1:25" ht="30" hidden="1">
      <c r="A17" s="156"/>
      <c r="B17" s="84" t="s">
        <v>7</v>
      </c>
      <c r="C17" s="162"/>
      <c r="D17" s="162"/>
      <c r="E17" s="85"/>
      <c r="F17" s="55"/>
      <c r="G17" s="178"/>
      <c r="H17" s="92"/>
      <c r="I17" s="178"/>
      <c r="J17" s="5"/>
      <c r="K17" s="98" t="str">
        <f>"#"&amp;SUMIFS(patch[BJFISH -1 num], patch[status], "MERGED",  patch[AuthorGroup],"BJ And dev", patch[ifCommon], "common", patch[mergeDate], "&lt;2016-4-1", patch[mergeDate], "&gt;=2016-1-1")&amp;" -1, "&amp;COUNTIFS(patch[status], "MERGED", patch[AuthorGroup],"BJ And dev", patch[ifCommon], "common", patch[mergeDate], "&lt;2016-4-1", patch[mergeDate], "&gt;=2016-1-1")&amp;"patches"</f>
        <v>#0 -1, 0patches</v>
      </c>
      <c r="L17" s="46" t="str">
        <f>"#"&amp;SUMIFS(patch[BJFISH -1 num], patch[status], "MERGED", patch[MergeMonth], L$2, patch[AuthorGroup],"BJ And dev", patch[ifCommon], "common")&amp;" -1, "&amp;COUNTIFS(patch[status], "MERGED", patch[MergeMonth],  L$2, patch[AuthorGroup],"BJ And dev", patch[ifCommon], "common")&amp;"patches"</f>
        <v>#0 -1, 0patches</v>
      </c>
      <c r="M17" s="46" t="str">
        <f>"#"&amp;SUMIFS(patch[BJFISH -1 num], patch[status], "MERGED", patch[MergeMonth], M$2, patch[AuthorGroup],"BJ And dev", patch[ifCommon], "common")&amp;" -1, "&amp;COUNTIFS(patch[status], "MERGED", patch[MergeMonth],  M$2, patch[AuthorGroup],"BJ And dev", patch[ifCommon], "common")&amp;"patches"</f>
        <v>#0 -1, 0patches</v>
      </c>
      <c r="N17" s="46" t="str">
        <f>"#"&amp;SUMIFS(patch[BJFISH -1 num], patch[status], "MERGED", patch[MergeMonth], N$2, patch[AuthorGroup],"BJ And dev", patch[ifCommon], "common")&amp;" -1, "&amp;COUNTIFS(patch[status], "MERGED", patch[MergeMonth],  N$2, patch[AuthorGroup],"BJ And dev", patch[ifCommon], "common")&amp;"patches"</f>
        <v>#0 -1, 0patches</v>
      </c>
      <c r="Y17" s="46" t="str">
        <f>"#"&amp;SUMIFS(drvlst[BJFI -1 num], drvlst[status], "MERGED",  drvlst[AuthorGroup],"BJ And dev")&amp;" -1, "&amp;COUNTIFS(drvlst[status], "MERGED", drvlst[AuthorGroup],"BJ And dev")&amp;"patches"</f>
        <v>#0 -1, 0patches</v>
      </c>
    </row>
    <row r="18" spans="1:25" ht="43.5" hidden="1" customHeight="1">
      <c r="A18" s="155">
        <v>2</v>
      </c>
      <c r="B18" s="84" t="s">
        <v>2091</v>
      </c>
      <c r="C18" s="157" t="s">
        <v>11</v>
      </c>
      <c r="D18" s="157" t="s">
        <v>12</v>
      </c>
      <c r="E18" s="86">
        <v>0.32</v>
      </c>
      <c r="F18" s="57"/>
      <c r="G18" s="177">
        <v>0.5</v>
      </c>
      <c r="H18" s="93"/>
      <c r="I18" s="177">
        <v>0.6</v>
      </c>
      <c r="J18" s="5"/>
      <c r="K18" s="100" t="str">
        <f>IFERROR(SUMIFS(patch[BJ review num], patch[status], "MERGED",  patch[AuthorGroup],"BJ And dev", patch[ifCommon], "common", patch[mergeDate], "&lt;2016-4-1", patch[mergeDate], "&gt;=2016-1-1")/SUM(SUMIFS(patch[BJ review num], patch[status], "MERGED",  patch[AuthorGroup],"BJ And dev", patch[ifCommon], "common", patch[mergeDate], "&lt;2016-4-1", patch[mergeDate], "&gt;=2016-1-1"), SUMIFS(patch[FI review num], patch[status], "MERGED",  patch[AuthorGroup],"BJ And dev", patch[ifCommon], "common", patch[mergeDate], "&lt;2016-4-1", patch[mergeDate], "&gt;=2016-1-1")), "no patch")</f>
        <v>no patch</v>
      </c>
      <c r="L18" s="28" t="str">
        <f>IFERROR(SUMIFS(patch[BJ review num], patch[status], "MERGED", patch[MergeMonth], L$2, patch[AuthorGroup],"BJ And dev", patch[ifCommon], "common")/SUM(SUMIFS(patch[BJ review num], patch[status], "MERGED", patch[MergeMonth], L$2, patch[AuthorGroup],"BJ And dev", patch[ifCommon], "common"), SUMIFS(patch[FI review num], patch[status], "MERGED", patch[MergeMonth], L$2, patch[AuthorGroup],"BJ And dev", patch[ifCommon], "common")), "no patch")</f>
        <v>no patch</v>
      </c>
      <c r="M18" s="28" t="str">
        <f>IFERROR(SUMIFS(patch[BJ review num], patch[status], "MERGED", patch[MergeMonth], M$2, patch[AuthorGroup],"BJ And dev", patch[ifCommon], "common")/SUM(SUMIFS(patch[BJ review num], patch[status], "MERGED", patch[MergeMonth], M$2, patch[AuthorGroup],"BJ And dev", patch[ifCommon], "common"), SUMIFS(patch[FI review num], patch[status], "MERGED", patch[MergeMonth], M$2, patch[AuthorGroup],"BJ And dev", patch[ifCommon], "common")), "no patch")</f>
        <v>no patch</v>
      </c>
      <c r="N18" s="28" t="str">
        <f>IFERROR(SUMIFS(patch[BJ review num], patch[status], "MERGED", patch[MergeMonth], N$2, patch[AuthorGroup],"BJ And dev", patch[ifCommon], "common")/SUM(SUMIFS(patch[BJ review num], patch[status], "MERGED", patch[MergeMonth], N$2, patch[AuthorGroup],"BJ And dev", patch[ifCommon], "common"), SUMIFS(patch[FI review num], patch[status], "MERGED", patch[MergeMonth], N$2, patch[AuthorGroup],"BJ And dev", patch[ifCommon], "common")), "no patch")</f>
        <v>no patch</v>
      </c>
      <c r="Y18" s="28" t="str">
        <f>IFERROR(SUMIFS(drvlst[BJ review num], drvlst[status], "MERGED",  drvlst[AuthorGroup],"BJ And dev")/SUM(SUMIFS(drvlst[BJ review num], drvlst[status], "MERGED",  drvlst[AuthorGroup],"BJ And dev"), SUMIFS(drvlst[FI review num], drvlst[status], "MERGED",  drvlst[AuthorGroup],"BJ And dev")), "no patch")</f>
        <v>no patch</v>
      </c>
    </row>
    <row r="19" spans="1:25" ht="30" hidden="1">
      <c r="A19" s="156"/>
      <c r="B19" s="84" t="s">
        <v>7</v>
      </c>
      <c r="C19" s="157"/>
      <c r="D19" s="157"/>
      <c r="E19" s="86"/>
      <c r="F19" s="57"/>
      <c r="G19" s="177"/>
      <c r="H19" s="93"/>
      <c r="I19" s="177"/>
      <c r="J19" s="5"/>
      <c r="K19" s="98" t="str">
        <f>"BJ vs FI: "&amp;SUMIFS(patch[BJ review num], patch[status], "MERGED",  patch[AuthorGroup],"BJ And dev", patch[ifCommon], "common", patch[mergeDate], "&lt;2016-4-1", patch[mergeDate], "&gt;=2016-1-1")&amp;" vs "&amp; SUMIFS(patch[FI review num], patch[status], "MERGED",  patch[AuthorGroup],"BJ And dev", patch[ifCommon], "common", patch[mergeDate], "&lt;2016-4-1", patch[mergeDate], "&gt;=2016-1-1")</f>
        <v>BJ vs FI: 0 vs 0</v>
      </c>
      <c r="L19" s="46" t="str">
        <f>"BJ vs FI: "&amp;SUMIFS(patch[BJ review num], patch[status], "MERGED", patch[MergeMonth], L$2, patch[AuthorGroup],"BJ And dev", patch[ifCommon], "common")&amp;" vs "&amp; SUMIFS(patch[FI review num], patch[status], "MERGED", patch[MergeMonth], L$2, patch[AuthorGroup],"BJ And dev", patch[ifCommon], "common")</f>
        <v>BJ vs FI: 0 vs 0</v>
      </c>
      <c r="M19" s="46" t="str">
        <f>"BJ vs FI: "&amp;SUMIFS(patch[BJ review num], patch[status], "MERGED", patch[MergeMonth], M$2, patch[AuthorGroup],"BJ And dev", patch[ifCommon], "common")&amp;" vs "&amp; SUMIFS(patch[FI review num], patch[status], "MERGED", patch[MergeMonth], M$2, patch[AuthorGroup],"BJ And dev", patch[ifCommon], "common")</f>
        <v>BJ vs FI: 0 vs 0</v>
      </c>
      <c r="N19" s="46" t="str">
        <f>"BJ vs FI: "&amp;SUMIFS(patch[BJ review num], patch[status], "MERGED", patch[MergeMonth], N$2, patch[AuthorGroup],"BJ And dev", patch[ifCommon], "common")&amp;" vs "&amp; SUMIFS(patch[FI review num], patch[status], "MERGED", patch[MergeMonth], N$2, patch[AuthorGroup],"BJ And dev", patch[ifCommon], "common")</f>
        <v>BJ vs FI: 0 vs 0</v>
      </c>
      <c r="Y19" s="46" t="str">
        <f>"BJvsFL: "&amp;SUMIFS(drvlst[BJ review num], drvlst[status], "MERGED", drvlst[AuthorGroup],"BJ And dev")&amp;" vs "&amp; SUMIFS(drvlst[FI review num], drvlst[status], "MERGED", drvlst[AuthorGroup],"BJ And dev")</f>
        <v>BJvsFL: 0 vs 0</v>
      </c>
    </row>
    <row r="20" spans="1:25" ht="50.25" hidden="1" customHeight="1">
      <c r="A20" s="155">
        <v>3</v>
      </c>
      <c r="B20" s="84" t="s">
        <v>2092</v>
      </c>
      <c r="C20" s="157" t="s">
        <v>14</v>
      </c>
      <c r="D20" s="157" t="s">
        <v>15</v>
      </c>
      <c r="E20" s="86">
        <v>0.17</v>
      </c>
      <c r="F20" s="57"/>
      <c r="G20" s="177">
        <v>0.3</v>
      </c>
      <c r="H20" s="93"/>
      <c r="I20" s="177">
        <v>0.5</v>
      </c>
      <c r="J20" s="5"/>
      <c r="K20" s="100" t="str">
        <f>IFERROR(SUMIFS(patch[BJ -1 num], patch[status], "MERGED",  patch[AuthorGroup],"BJ And dev", patch[ifCommon], "common", patch[mergeDate], "&lt;2016-4-1", patch[mergeDate], "&gt;=2016-1-1")/SUM(SUMIFS(patch[BJ -1 num], patch[status], "MERGED",  patch[AuthorGroup],"BJ And dev", patch[ifCommon], "common", patch[mergeDate], "&lt;2016-4-1", patch[mergeDate], "&gt;=2016-1-1"), SUMIFS(patch[FI -1 num], patch[status], "MERGED",  patch[AuthorGroup],"BJ And dev", patch[ifCommon], "common", patch[mergeDate], "&lt;2016-4-1", patch[mergeDate], "&gt;=2016-1-1")), "no -1")</f>
        <v>no -1</v>
      </c>
      <c r="L20" s="28" t="str">
        <f>IFERROR(SUMIFS(patch[BJ -1 num], patch[status], "MERGED", patch[MergeMonth], L$2, patch[AuthorGroup],"BJ And dev", patch[ifCommon], "common")/SUM(SUMIFS(patch[BJ -1 num], patch[status], "MERGED", patch[MergeMonth], L$2, patch[AuthorGroup],"BJ And dev", patch[ifCommon], "common"), SUMIFS(patch[FI -1 num], patch[status], "MERGED", patch[MergeMonth], L$2, patch[AuthorGroup],"BJ And dev", patch[ifCommon], "common")), "no -1")</f>
        <v>no -1</v>
      </c>
      <c r="M20" s="28" t="str">
        <f>IFERROR(SUMIFS(patch[BJ -1 num], patch[status], "MERGED", patch[MergeMonth], M$2, patch[AuthorGroup],"BJ And dev", patch[ifCommon], "common")/SUM(SUMIFS(patch[BJ -1 num], patch[status], "MERGED", patch[MergeMonth], M$2, patch[AuthorGroup],"BJ And dev", patch[ifCommon], "common"), SUMIFS(patch[FI -1 num], patch[status], "MERGED", patch[MergeMonth], M$2, patch[AuthorGroup],"BJ And dev", patch[ifCommon], "common")), "no -1")</f>
        <v>no -1</v>
      </c>
      <c r="N20" s="28" t="str">
        <f>IFERROR(SUMIFS(patch[BJ -1 num], patch[status], "MERGED", patch[MergeMonth], N$2, patch[AuthorGroup],"BJ And dev", patch[ifCommon], "common")/SUM(SUMIFS(patch[BJ -1 num], patch[status], "MERGED", patch[MergeMonth], N$2, patch[AuthorGroup],"BJ And dev", patch[ifCommon], "common"), SUMIFS(patch[FI -1 num], patch[status], "MERGED", patch[MergeMonth], N$2, patch[AuthorGroup],"BJ And dev", patch[ifCommon], "common")), "no -1")</f>
        <v>no -1</v>
      </c>
      <c r="Y20" s="28" t="str">
        <f>IFERROR(SUMIFS(drvlst[BJ -1 num], drvlst[status], "MERGED",  drvlst[AuthorGroup],"BJ And dev")/SUM(SUMIFS(drvlst[BJ -1 num], drvlst[status], "MERGED",  drvlst[AuthorGroup],"BJ And dev"), SUMIFS(drvlst[FI -1 num], drvlst[status], "MERGED",  drvlst[AuthorGroup],"BJ And dev")), "no -1")</f>
        <v>no -1</v>
      </c>
    </row>
    <row r="21" spans="1:25" ht="30" hidden="1">
      <c r="A21" s="156"/>
      <c r="B21" s="84" t="s">
        <v>7</v>
      </c>
      <c r="C21" s="157"/>
      <c r="D21" s="157"/>
      <c r="E21" s="86"/>
      <c r="F21" s="57"/>
      <c r="G21" s="177"/>
      <c r="H21" s="93"/>
      <c r="I21" s="177"/>
      <c r="J21" s="5"/>
      <c r="K21" s="98" t="str">
        <f>"BJ vs FI: "&amp;SUMIFS(patch[BJ -1 num], patch[status], "MERGED",  patch[AuthorGroup],"BJ And dev", patch[ifCommon], "common", patch[mergeDate], "&lt;2016-4-1", patch[mergeDate], "&gt;=2016-1-1")&amp;" vs "&amp; SUMIFS(patch[FI -1 num], patch[status], "MERGED",  patch[AuthorGroup],"BJ And dev", patch[ifCommon], "common", patch[mergeDate], "&lt;2016-4-1", patch[mergeDate], "&gt;=2016-1-1")</f>
        <v>BJ vs FI: 0 vs 0</v>
      </c>
      <c r="L21" s="46" t="str">
        <f>"BJ vs FI: "&amp;SUMIFS(patch[BJ -1 num], patch[status], "MERGED", patch[MergeMonth], L$2, patch[AuthorGroup],"BJ And dev", patch[ifCommon], "common")&amp;" vs "&amp; SUMIFS(patch[FI -1 num], patch[status], "MERGED", patch[MergeMonth], L$2, patch[AuthorGroup],"BJ And dev", patch[ifCommon], "common")</f>
        <v>BJ vs FI: 0 vs 0</v>
      </c>
      <c r="M21" s="46" t="str">
        <f>"BJ vs FI: "&amp;SUMIFS(patch[BJ -1 num], patch[status], "MERGED", patch[MergeMonth], M$2, patch[AuthorGroup],"BJ And dev", patch[ifCommon], "common")&amp;" vs "&amp; SUMIFS(patch[FI -1 num], patch[status], "MERGED", patch[MergeMonth], M$2, patch[AuthorGroup],"BJ And dev", patch[ifCommon], "common")</f>
        <v>BJ vs FI: 0 vs 0</v>
      </c>
      <c r="N21" s="46" t="str">
        <f>"BJ vs FI: "&amp;SUMIFS(patch[BJ -1 num], patch[status], "MERGED", patch[MergeMonth], N$2, patch[AuthorGroup],"BJ And dev", patch[ifCommon], "common")&amp;" vs "&amp; SUMIFS(patch[FI -1 num], patch[status], "MERGED", patch[MergeMonth], N$2, patch[AuthorGroup],"BJ And dev", patch[ifCommon], "common")</f>
        <v>BJ vs FI: 0 vs 0</v>
      </c>
      <c r="Y21" s="46" t="str">
        <f>"BJvsFL: "&amp;SUMIFS(drvlst[BJ -1 num], drvlst[status], "MERGED", drvlst[AuthorGroup],"BJ And dev")&amp;" vs "&amp; SUMIFS(drvlst[FI -1 num], drvlst[status], "MERGED", drvlst[AuthorGroup],"BJ And dev")</f>
        <v>BJvsFL: 0 vs 0</v>
      </c>
    </row>
    <row r="22" spans="1:25" ht="43.5" hidden="1" customHeight="1">
      <c r="A22" s="155">
        <v>4</v>
      </c>
      <c r="B22" s="84" t="s">
        <v>2093</v>
      </c>
      <c r="C22" s="157" t="s">
        <v>18</v>
      </c>
      <c r="D22" s="157" t="s">
        <v>19</v>
      </c>
      <c r="E22" s="86">
        <v>0.56999999999999995</v>
      </c>
      <c r="F22" s="55"/>
      <c r="G22" s="177">
        <v>0.2</v>
      </c>
      <c r="H22" s="93"/>
      <c r="I22" s="177">
        <v>0.3</v>
      </c>
      <c r="J22" s="5"/>
      <c r="K22" s="100" t="str">
        <f>IFERROR(COUNTIFS(patch[status], "MERGED",  patch[AuthorGroup],"FL And dev", patch[BJ review num], "&gt;0", patch[ifCommon], "common", patch[mergeDate], "&lt;2016-4-1", patch[mergeDate], "&gt;=2016-1-1")/COUNTIFS(patch[status], "MERGED",  patch[AuthorGroup],"FL And dev", patch[ifCommon], "common", patch[mergeDate], "&lt;2016-4-1", patch[mergeDate], "&gt;=2016-1-1"), "no patch")</f>
        <v>no patch</v>
      </c>
      <c r="L22" s="28" t="str">
        <f>IFERROR(COUNTIFS(patch[status], "MERGED", patch[MergeMonth], L$2, patch[AuthorGroup],"FL And dev", patch[BJ review num], "&gt;0", patch[ifCommon], "common")/COUNTIFS(patch[status], "MERGED", patch[MergeMonth], L$2, patch[AuthorGroup],"FL And dev", patch[ifCommon], "common"), "no patch")</f>
        <v>no patch</v>
      </c>
      <c r="M22" s="28" t="str">
        <f>IFERROR(COUNTIFS(patch[status], "MERGED", patch[MergeMonth], M$2, patch[AuthorGroup],"FL And dev", patch[BJ review num], "&gt;0", patch[ifCommon], "common")/COUNTIFS(patch[status], "MERGED", patch[MergeMonth], M$2, patch[AuthorGroup],"FL And dev", patch[ifCommon], "common"), "no patch")</f>
        <v>no patch</v>
      </c>
      <c r="N22" s="28" t="str">
        <f>IFERROR(COUNTIFS(patch[status], "MERGED", patch[MergeMonth], N$2, patch[AuthorGroup],"FL And dev", patch[BJ review num], "&gt;0", patch[ifCommon], "common")/COUNTIFS(patch[status], "MERGED", patch[MergeMonth], N$2, patch[AuthorGroup],"FL And dev", patch[ifCommon], "common"), "no patch")</f>
        <v>no patch</v>
      </c>
      <c r="Y22" s="28" t="str">
        <f>IFERROR(COUNTIFS(drvlst[status], "MERGED",  drvlst[AuthorGroup],"FL And dev", drvlst[BJ review num], "&gt;0")/COUNTIFS(drvlst[status], "MERGED",  drvlst[AuthorGroup],"FL And dev"), "no patch")</f>
        <v>no patch</v>
      </c>
    </row>
    <row r="23" spans="1:25" ht="45" hidden="1">
      <c r="A23" s="156"/>
      <c r="B23" s="84" t="s">
        <v>17</v>
      </c>
      <c r="C23" s="157"/>
      <c r="D23" s="157"/>
      <c r="E23" s="85"/>
      <c r="F23" s="55"/>
      <c r="G23" s="177"/>
      <c r="H23" s="93"/>
      <c r="I23" s="177"/>
      <c r="J23" s="5"/>
      <c r="K23" s="98" t="str">
        <f>"BJ comment: "&amp;COUNTIFS(patch[status], "MERGED",  patch[AuthorGroup],"FL And dev", patch[BJ review num], "&gt;0", patch[ifCommon], "common", patch[mergeDate], "&lt;2016-4-1", patch[mergeDate], "&gt;=2016-1-1")&amp;", total: "&amp;COUNTIFS(patch[status], "MERGED",  patch[AuthorGroup],"FL And dev", patch[ifCommon], "common", patch[mergeDate], "&lt;2016-4-1", patch[mergeDate], "&gt;=2016-1-1")</f>
        <v>BJ comment: 0, total: 0</v>
      </c>
      <c r="L23" s="46" t="str">
        <f>"BJ comment: "&amp;COUNTIFS(patch[status], "MERGED", patch[MergeMonth], L$2, patch[AuthorGroup],"FL And dev", patch[BJ review num], "&gt;0", patch[ifCommon], "common")&amp;", total: "&amp;COUNTIFS(patch[status], "MERGED", patch[MergeMonth], L$2, patch[AuthorGroup],"FL And dev", patch[ifCommon], "common")</f>
        <v>BJ comment: 0, total: 0</v>
      </c>
      <c r="M23" s="46" t="str">
        <f>"BJ comment: "&amp;COUNTIFS(patch[status], "MERGED", patch[MergeMonth], M$2, patch[AuthorGroup],"FL And dev", patch[BJ review num], "&gt;0", patch[ifCommon], "common")&amp;", total: "&amp;COUNTIFS(patch[status], "MERGED", patch[MergeMonth], M$2, patch[AuthorGroup],"FL And dev", patch[ifCommon], "common")</f>
        <v>BJ comment: 0, total: 0</v>
      </c>
      <c r="N23" s="46" t="str">
        <f>"BJ comment: "&amp;COUNTIFS(patch[status], "MERGED", patch[MergeMonth], N$2, patch[AuthorGroup],"FL And dev", patch[BJ review num], "&gt;0", patch[ifCommon], "common")&amp;", total: "&amp;COUNTIFS(patch[status], "MERGED", patch[MergeMonth], N$2, patch[AuthorGroup],"FL And dev", patch[ifCommon], "common")</f>
        <v>BJ comment: 0, total: 0</v>
      </c>
      <c r="Y23" s="46" t="str">
        <f>"BJ comment: "&amp;COUNTIFS(drvlst[status], "MERGED",  drvlst[AuthorGroup],"FL And dev", drvlst[BJ review num], "&gt;0")&amp;", total: "&amp;COUNTIFS(drvlst[status], "MERGED",  drvlst[AuthorGroup],"FL And dev")</f>
        <v>BJ comment: 0, total: 0</v>
      </c>
    </row>
    <row r="24" spans="1:25" hidden="1"/>
    <row r="25" spans="1:25" hidden="1"/>
    <row r="30" spans="1:25">
      <c r="B30" t="s">
        <v>2021</v>
      </c>
    </row>
    <row r="31" spans="1:25">
      <c r="B31" t="s">
        <v>2022</v>
      </c>
    </row>
    <row r="33" spans="1:30">
      <c r="C33" s="181" t="s">
        <v>2412</v>
      </c>
      <c r="D33" s="182"/>
      <c r="E33" s="182"/>
      <c r="F33" s="182"/>
      <c r="G33" s="182"/>
      <c r="H33" s="182"/>
      <c r="I33" s="183"/>
      <c r="J33" s="179" t="s">
        <v>2415</v>
      </c>
      <c r="K33" s="179"/>
      <c r="L33" s="179"/>
      <c r="M33" s="179"/>
      <c r="N33" s="179"/>
      <c r="O33" s="179"/>
      <c r="P33" s="179"/>
      <c r="Q33" s="179" t="s">
        <v>2416</v>
      </c>
      <c r="R33" s="179"/>
      <c r="S33" s="179"/>
      <c r="T33" s="179"/>
      <c r="U33" s="179"/>
      <c r="V33" s="179"/>
      <c r="W33" s="179"/>
      <c r="X33" s="179" t="s">
        <v>2417</v>
      </c>
      <c r="Y33" s="179"/>
      <c r="Z33" s="179"/>
      <c r="AA33" s="179"/>
      <c r="AB33" s="179"/>
      <c r="AC33" s="179"/>
      <c r="AD33" s="179"/>
    </row>
    <row r="34" spans="1:30">
      <c r="C34" s="74"/>
      <c r="D34" s="74"/>
      <c r="E34" s="75"/>
      <c r="F34" s="75"/>
      <c r="G34" s="75"/>
      <c r="H34" s="75"/>
      <c r="I34" s="75"/>
      <c r="J34" t="s">
        <v>2411</v>
      </c>
      <c r="K34" s="102" t="str">
        <f>J34</f>
        <v>16'm7</v>
      </c>
      <c r="L34" t="str">
        <f>K34</f>
        <v>16'm7</v>
      </c>
      <c r="M34" t="str">
        <f t="shared" ref="M34:P34" si="0">L34</f>
        <v>16'm7</v>
      </c>
      <c r="N34" t="str">
        <f t="shared" si="0"/>
        <v>16'm7</v>
      </c>
      <c r="O34" t="str">
        <f t="shared" si="0"/>
        <v>16'm7</v>
      </c>
      <c r="P34" t="str">
        <f t="shared" si="0"/>
        <v>16'm7</v>
      </c>
      <c r="Q34" t="s">
        <v>2413</v>
      </c>
      <c r="R34" t="str">
        <f t="shared" ref="R34:W34" si="1">Q34</f>
        <v>16'm8</v>
      </c>
      <c r="S34" t="str">
        <f t="shared" si="1"/>
        <v>16'm8</v>
      </c>
      <c r="T34" t="str">
        <f t="shared" si="1"/>
        <v>16'm8</v>
      </c>
      <c r="U34" t="str">
        <f t="shared" si="1"/>
        <v>16'm8</v>
      </c>
      <c r="V34" t="str">
        <f t="shared" si="1"/>
        <v>16'm8</v>
      </c>
      <c r="W34" t="str">
        <f t="shared" si="1"/>
        <v>16'm8</v>
      </c>
      <c r="X34" t="s">
        <v>2414</v>
      </c>
      <c r="Y34" t="str">
        <f t="shared" ref="Y34:AD34" si="2">X34</f>
        <v>16'm9</v>
      </c>
      <c r="Z34" t="str">
        <f t="shared" si="2"/>
        <v>16'm9</v>
      </c>
      <c r="AA34" t="str">
        <f t="shared" si="2"/>
        <v>16'm9</v>
      </c>
      <c r="AB34" t="str">
        <f t="shared" si="2"/>
        <v>16'm9</v>
      </c>
      <c r="AC34" t="str">
        <f t="shared" si="2"/>
        <v>16'm9</v>
      </c>
      <c r="AD34" t="str">
        <f t="shared" si="2"/>
        <v>16'm9</v>
      </c>
    </row>
    <row r="35" spans="1:30">
      <c r="B35" s="27"/>
      <c r="C35" s="181" t="s">
        <v>2058</v>
      </c>
      <c r="D35" s="182"/>
      <c r="E35" s="183"/>
      <c r="F35" s="181" t="s">
        <v>2318</v>
      </c>
      <c r="G35" s="182"/>
      <c r="H35" s="183"/>
      <c r="I35" s="75"/>
      <c r="J35" s="179" t="s">
        <v>2058</v>
      </c>
      <c r="K35" s="179"/>
      <c r="L35" s="179"/>
      <c r="M35" s="179" t="s">
        <v>2319</v>
      </c>
      <c r="N35" s="179"/>
      <c r="O35" s="179"/>
      <c r="P35">
        <f>MAX(P37:P54)</f>
        <v>0</v>
      </c>
      <c r="Q35" s="179" t="s">
        <v>2058</v>
      </c>
      <c r="R35" s="179"/>
      <c r="S35" s="179"/>
      <c r="T35" s="179" t="s">
        <v>2319</v>
      </c>
      <c r="U35" s="179"/>
      <c r="V35" s="179"/>
      <c r="W35">
        <f>MAX(W37:W54)</f>
        <v>0</v>
      </c>
      <c r="X35" s="179" t="s">
        <v>2058</v>
      </c>
      <c r="Y35" s="179"/>
      <c r="Z35" s="179"/>
      <c r="AA35" s="179" t="s">
        <v>2319</v>
      </c>
      <c r="AB35" s="179"/>
      <c r="AC35" s="179"/>
      <c r="AD35">
        <f>MAX(AD37:AD54)</f>
        <v>1286.5</v>
      </c>
    </row>
    <row r="36" spans="1:30" s="79" customFormat="1" ht="45">
      <c r="B36" s="80" t="s">
        <v>2074</v>
      </c>
      <c r="C36" s="82" t="s">
        <v>2059</v>
      </c>
      <c r="D36" s="82" t="s">
        <v>2060</v>
      </c>
      <c r="E36" s="82" t="s">
        <v>2061</v>
      </c>
      <c r="F36" s="82" t="s">
        <v>2062</v>
      </c>
      <c r="G36" s="82" t="s">
        <v>2063</v>
      </c>
      <c r="H36" s="82" t="s">
        <v>2064</v>
      </c>
      <c r="I36" s="83" t="s">
        <v>2065</v>
      </c>
      <c r="J36" s="80" t="s">
        <v>2059</v>
      </c>
      <c r="K36" s="103" t="s">
        <v>2060</v>
      </c>
      <c r="L36" s="80" t="s">
        <v>2061</v>
      </c>
      <c r="M36" s="80" t="s">
        <v>2062</v>
      </c>
      <c r="N36" s="80" t="s">
        <v>2063</v>
      </c>
      <c r="O36" s="80" t="s">
        <v>2064</v>
      </c>
      <c r="P36" s="81" t="s">
        <v>2065</v>
      </c>
      <c r="Q36" s="80" t="s">
        <v>2059</v>
      </c>
      <c r="R36" s="80" t="s">
        <v>2060</v>
      </c>
      <c r="S36" s="80" t="s">
        <v>2061</v>
      </c>
      <c r="T36" s="80" t="s">
        <v>2062</v>
      </c>
      <c r="U36" s="80" t="s">
        <v>2063</v>
      </c>
      <c r="V36" s="80" t="s">
        <v>2064</v>
      </c>
      <c r="W36" s="81" t="s">
        <v>2065</v>
      </c>
      <c r="X36" s="80" t="s">
        <v>2059</v>
      </c>
      <c r="Y36" s="80" t="s">
        <v>2060</v>
      </c>
      <c r="Z36" s="80" t="s">
        <v>2061</v>
      </c>
      <c r="AA36" s="80" t="s">
        <v>2062</v>
      </c>
      <c r="AB36" s="80" t="s">
        <v>2063</v>
      </c>
      <c r="AC36" s="80" t="s">
        <v>2064</v>
      </c>
      <c r="AD36" s="81" t="s">
        <v>2065</v>
      </c>
    </row>
    <row r="37" spans="1:30" outlineLevel="1">
      <c r="A37" s="180" t="s">
        <v>2067</v>
      </c>
      <c r="B37" s="27" t="s">
        <v>72</v>
      </c>
      <c r="C37" s="77">
        <f t="shared" ref="C37:C54" si="3">SUM(J37, Q37, X37)</f>
        <v>7</v>
      </c>
      <c r="D37" s="77">
        <f t="shared" ref="D37:D54" si="4">SUM(K37, R37, Y37)</f>
        <v>8</v>
      </c>
      <c r="E37" s="77">
        <f t="shared" ref="E37:E54" si="5">SUM(L37, S37, Z37)</f>
        <v>0</v>
      </c>
      <c r="F37" s="77">
        <f t="shared" ref="F37:F54" si="6">SUM(M37, T37, AA37)</f>
        <v>0</v>
      </c>
      <c r="G37" s="77">
        <f t="shared" ref="G37:G54" si="7">SUM(N37, U37, AB37)</f>
        <v>0</v>
      </c>
      <c r="H37" s="77">
        <f t="shared" ref="H37:H54" si="8">SUM(O37, V37, AC37)</f>
        <v>0</v>
      </c>
      <c r="I37" s="78">
        <f t="shared" ref="I37:I54" si="9">SUMPRODUCT(C37:H37, $C$74:$H$74)</f>
        <v>18.5</v>
      </c>
      <c r="J37" s="67">
        <f>COUNTIFS(patch[all_reviewer], "*"&amp;$B37&amp;"*", patch[AuthorGroup], "BJ And dev", patch[MergeMonth], J$34)</f>
        <v>0</v>
      </c>
      <c r="K37" s="104">
        <f>COUNTIFS(patch[reviewer], $B37, patch[AuthorGroup], "BJ And dev", patch[MergeMonth], K$34, patch[ReviewerGroup], "&lt;&gt;author", patch[Integrator], "&lt;&gt;IntegratorValidationComment")</f>
        <v>0</v>
      </c>
      <c r="L37" s="67">
        <f>COUNTIFS(patch[reviewer], $B37, patch[Review-1], "Review-1", patch[AuthorGroup], "BJ And dev", patch[MergeMonth], L$34, patch[ReviewerGroup], "&lt;&gt;author")</f>
        <v>0</v>
      </c>
      <c r="M37" s="67">
        <f>SUM(COUNTIFS(patch[all_reviewer], "*"&amp;$B37&amp;"*", patch[AuthorGroup], {"FL And dev","SH And dev"}, patch[MergeMonth], M$34))</f>
        <v>0</v>
      </c>
      <c r="N37" s="67">
        <f>SUM(COUNTIFS(patch[reviewer], $B37, patch[AuthorGroup], {"FL And dev","SH And dev"}, patch[MergeMonth], N$34, patch[ReviewerGroup], "&lt;&gt;author", patch[Integrator], "&lt;&gt;IntegratorValidationComment"))</f>
        <v>0</v>
      </c>
      <c r="O37" s="67">
        <f>SUM(COUNTIFS(patch[reviewer], $B37, patch[Review-1], "Review-1", patch[AuthorGroup], {"FL And dev","SH And dev"}, patch[MergeMonth], O$34, patch[ReviewerGroup], "&lt;&gt;author"))</f>
        <v>0</v>
      </c>
      <c r="P37" s="27">
        <f t="shared" ref="P37:P54" si="10">SUMPRODUCT(J37:O37, $C$74:$H$74)</f>
        <v>0</v>
      </c>
      <c r="Q37" s="67">
        <f>COUNTIFS(patch[all_reviewer], "*"&amp;$B37&amp;"*", patch[AuthorGroup], "BJ And dev", patch[MergeMonth], Q$34)</f>
        <v>0</v>
      </c>
      <c r="R37" s="67">
        <f>COUNTIFS(patch[reviewer], $B37, patch[AuthorGroup], "BJ And dev", patch[MergeMonth], R$34, patch[ReviewerGroup], "&lt;&gt;author", patch[Integrator], "&lt;&gt;IntegratorValidationComment")</f>
        <v>0</v>
      </c>
      <c r="S37" s="67">
        <f>COUNTIFS(patch[reviewer], $B37, patch[Review-1], "Review-1", patch[AuthorGroup], "BJ And dev", patch[MergeMonth], S$34, patch[ReviewerGroup], "&lt;&gt;author")</f>
        <v>0</v>
      </c>
      <c r="T37" s="67">
        <f>SUM(COUNTIFS(patch[all_reviewer], "*"&amp;$B37&amp;"*", patch[AuthorGroup], {"FL And dev","SH And dev"}, patch[MergeMonth], T$34))</f>
        <v>0</v>
      </c>
      <c r="U37" s="67">
        <f>SUM(COUNTIFS(patch[reviewer], $B37, patch[AuthorGroup], {"FL And dev","SH And dev"}, patch[MergeMonth], U$34, patch[ReviewerGroup], "&lt;&gt;author", patch[Integrator], "&lt;&gt;IntegratorValidationComment"))</f>
        <v>0</v>
      </c>
      <c r="V37" s="67">
        <f>SUM(COUNTIFS(patch[reviewer], $B37, patch[Review-1], "Review-1", patch[AuthorGroup], {"FL And dev","SH And dev"}, patch[MergeMonth], V$34, patch[ReviewerGroup], "&lt;&gt;author"))</f>
        <v>0</v>
      </c>
      <c r="W37" s="72">
        <f t="shared" ref="W37:W54" si="11">SUMPRODUCT(Q37:V37, $C$74:$H$74)</f>
        <v>0</v>
      </c>
      <c r="X37" s="67">
        <f>COUNTIFS(patch[all_reviewer], "*"&amp;$B37&amp;"*", patch[AuthorGroup], "BJ And dev", patch[MergeMonth], X$34)</f>
        <v>7</v>
      </c>
      <c r="Y37" s="67">
        <f>COUNTIFS(patch[reviewer], $B37, patch[AuthorGroup], "BJ And dev", patch[MergeMonth], Y$34, patch[ReviewerGroup], "&lt;&gt;author", patch[Integrator], "&lt;&gt;IntegratorValidationComment")</f>
        <v>8</v>
      </c>
      <c r="Z37" s="67">
        <f>COUNTIFS(patch[reviewer], $B37, patch[Review-1], "Review-1", patch[AuthorGroup], "BJ And dev", patch[MergeMonth], Z$34, patch[ReviewerGroup], "&lt;&gt;author")</f>
        <v>0</v>
      </c>
      <c r="AA37" s="67">
        <f>SUM(COUNTIFS(patch[all_reviewer], "*"&amp;$B37&amp;"*", patch[AuthorGroup], {"FL And dev","SH And dev"}, patch[MergeMonth], AA$34))</f>
        <v>0</v>
      </c>
      <c r="AB37" s="67">
        <f>SUM(COUNTIFS(patch[reviewer], $B37, patch[AuthorGroup], {"FL And dev","SH And dev"}, patch[MergeMonth], AB$34, patch[ReviewerGroup], "&lt;&gt;author", patch[Integrator], "&lt;&gt;IntegratorValidationComment"))</f>
        <v>0</v>
      </c>
      <c r="AC37" s="67">
        <f>SUM(COUNTIFS(patch[reviewer], $B37, patch[Review-1], "Review-1", patch[AuthorGroup], {"FL And dev","SH And dev"}, patch[MergeMonth], AC$34, patch[ReviewerGroup], "&lt;&gt;author"))</f>
        <v>0</v>
      </c>
      <c r="AD37" s="72">
        <f t="shared" ref="AD37:AD54" si="12">SUMPRODUCT(X37:AC37, $C$74:$H$74)</f>
        <v>18.5</v>
      </c>
    </row>
    <row r="38" spans="1:30" outlineLevel="1">
      <c r="A38" s="180"/>
      <c r="B38" s="72" t="s">
        <v>2077</v>
      </c>
      <c r="C38" s="77">
        <f t="shared" si="3"/>
        <v>16</v>
      </c>
      <c r="D38" s="77">
        <f t="shared" si="4"/>
        <v>19</v>
      </c>
      <c r="E38" s="77">
        <f t="shared" si="5"/>
        <v>0</v>
      </c>
      <c r="F38" s="77">
        <f t="shared" si="6"/>
        <v>0</v>
      </c>
      <c r="G38" s="77">
        <f t="shared" si="7"/>
        <v>0</v>
      </c>
      <c r="H38" s="77">
        <f t="shared" si="8"/>
        <v>0</v>
      </c>
      <c r="I38" s="78">
        <f t="shared" si="9"/>
        <v>43</v>
      </c>
      <c r="J38" s="67">
        <f>COUNTIFS(patch[all_reviewer], "*"&amp;$B38&amp;"*", patch[AuthorGroup], "BJ And dev", patch[MergeMonth], J$34)</f>
        <v>0</v>
      </c>
      <c r="K38" s="104">
        <f>COUNTIFS(patch[reviewer], $B38, patch[AuthorGroup], "BJ And dev", patch[MergeMonth], K$34, patch[ReviewerGroup], "&lt;&gt;author", patch[Integrator], "&lt;&gt;IntegratorValidationComment")</f>
        <v>0</v>
      </c>
      <c r="L38" s="67">
        <f>COUNTIFS(patch[reviewer], $B38, patch[Review-1], "Review-1", patch[AuthorGroup], "BJ And dev", patch[MergeMonth], L$34, patch[ReviewerGroup], "&lt;&gt;author")</f>
        <v>0</v>
      </c>
      <c r="M38" s="67">
        <f>SUM(COUNTIFS(patch[all_reviewer], "*"&amp;$B38&amp;"*", patch[AuthorGroup], {"FL And dev","SH And dev"}, patch[MergeMonth], M$34))</f>
        <v>0</v>
      </c>
      <c r="N38" s="67">
        <f>SUM(COUNTIFS(patch[reviewer], $B38, patch[AuthorGroup], {"FL And dev","SH And dev"}, patch[MergeMonth], N$34, patch[ReviewerGroup], "&lt;&gt;author", patch[Integrator], "&lt;&gt;IntegratorValidationComment"))</f>
        <v>0</v>
      </c>
      <c r="O38" s="67">
        <f>SUM(COUNTIFS(patch[reviewer], $B38, patch[Review-1], "Review-1", patch[AuthorGroup], {"FL And dev","SH And dev"}, patch[MergeMonth], O$34, patch[ReviewerGroup], "&lt;&gt;author"))</f>
        <v>0</v>
      </c>
      <c r="P38" s="72">
        <f t="shared" si="10"/>
        <v>0</v>
      </c>
      <c r="Q38" s="67">
        <f>COUNTIFS(patch[all_reviewer], "*"&amp;$B38&amp;"*", patch[AuthorGroup], "BJ And dev", patch[MergeMonth], Q$34)</f>
        <v>0</v>
      </c>
      <c r="R38" s="67">
        <f>COUNTIFS(patch[reviewer], $B38, patch[AuthorGroup], "BJ And dev", patch[MergeMonth], R$34, patch[ReviewerGroup], "&lt;&gt;author", patch[Integrator], "&lt;&gt;IntegratorValidationComment")</f>
        <v>0</v>
      </c>
      <c r="S38" s="67">
        <f>COUNTIFS(patch[reviewer], $B38, patch[Review-1], "Review-1", patch[AuthorGroup], "BJ And dev", patch[MergeMonth], S$34, patch[ReviewerGroup], "&lt;&gt;author")</f>
        <v>0</v>
      </c>
      <c r="T38" s="67">
        <f>SUM(COUNTIFS(patch[all_reviewer], "*"&amp;$B38&amp;"*", patch[AuthorGroup], {"FL And dev","SH And dev"}, patch[MergeMonth], T$34))</f>
        <v>0</v>
      </c>
      <c r="U38" s="67">
        <f>SUM(COUNTIFS(patch[reviewer], $B38, patch[AuthorGroup], {"FL And dev","SH And dev"}, patch[MergeMonth], U$34, patch[ReviewerGroup], "&lt;&gt;author", patch[Integrator], "&lt;&gt;IntegratorValidationComment"))</f>
        <v>0</v>
      </c>
      <c r="V38" s="67">
        <f>SUM(COUNTIFS(patch[reviewer], $B38, patch[Review-1], "Review-1", patch[AuthorGroup], {"FL And dev","SH And dev"}, patch[MergeMonth], V$34, patch[ReviewerGroup], "&lt;&gt;author"))</f>
        <v>0</v>
      </c>
      <c r="W38" s="72">
        <f t="shared" si="11"/>
        <v>0</v>
      </c>
      <c r="X38" s="67">
        <f>COUNTIFS(patch[all_reviewer], "*"&amp;$B38&amp;"*", patch[AuthorGroup], "BJ And dev", patch[MergeMonth], X$34)</f>
        <v>16</v>
      </c>
      <c r="Y38" s="67">
        <f>COUNTIFS(patch[reviewer], $B38, patch[AuthorGroup], "BJ And dev", patch[MergeMonth], Y$34, patch[ReviewerGroup], "&lt;&gt;author", patch[Integrator], "&lt;&gt;IntegratorValidationComment")</f>
        <v>19</v>
      </c>
      <c r="Z38" s="67">
        <f>COUNTIFS(patch[reviewer], $B38, patch[Review-1], "Review-1", patch[AuthorGroup], "BJ And dev", patch[MergeMonth], Z$34, patch[ReviewerGroup], "&lt;&gt;author")</f>
        <v>0</v>
      </c>
      <c r="AA38" s="67">
        <f>SUM(COUNTIFS(patch[all_reviewer], "*"&amp;$B38&amp;"*", patch[AuthorGroup], {"FL And dev","SH And dev"}, patch[MergeMonth], AA$34))</f>
        <v>0</v>
      </c>
      <c r="AB38" s="67">
        <f>SUM(COUNTIFS(patch[reviewer], $B38, patch[AuthorGroup], {"FL And dev","SH And dev"}, patch[MergeMonth], AB$34, patch[ReviewerGroup], "&lt;&gt;author", patch[Integrator], "&lt;&gt;IntegratorValidationComment"))</f>
        <v>0</v>
      </c>
      <c r="AC38" s="67">
        <f>SUM(COUNTIFS(patch[reviewer], $B38, patch[Review-1], "Review-1", patch[AuthorGroup], {"FL And dev","SH And dev"}, patch[MergeMonth], AC$34, patch[ReviewerGroup], "&lt;&gt;author"))</f>
        <v>0</v>
      </c>
      <c r="AD38" s="72">
        <f t="shared" si="12"/>
        <v>43</v>
      </c>
    </row>
    <row r="39" spans="1:30" outlineLevel="1">
      <c r="A39" s="180"/>
      <c r="B39" s="27" t="s">
        <v>2070</v>
      </c>
      <c r="C39" s="77">
        <f t="shared" si="3"/>
        <v>63</v>
      </c>
      <c r="D39" s="77">
        <f t="shared" si="4"/>
        <v>98</v>
      </c>
      <c r="E39" s="77">
        <f t="shared" si="5"/>
        <v>10</v>
      </c>
      <c r="F39" s="77">
        <f t="shared" si="6"/>
        <v>16</v>
      </c>
      <c r="G39" s="77">
        <f t="shared" si="7"/>
        <v>25</v>
      </c>
      <c r="H39" s="77">
        <f t="shared" si="8"/>
        <v>2</v>
      </c>
      <c r="I39" s="78">
        <f t="shared" si="9"/>
        <v>301</v>
      </c>
      <c r="J39" s="67">
        <f>COUNTIFS(patch[all_reviewer], "*"&amp;$B39&amp;"*", patch[AuthorGroup], "BJ And dev", patch[MergeMonth], J$34)</f>
        <v>0</v>
      </c>
      <c r="K39" s="104">
        <f>COUNTIFS(patch[reviewer], $B39, patch[AuthorGroup], "BJ And dev", patch[MergeMonth], K$34, patch[ReviewerGroup], "&lt;&gt;author", patch[Integrator], "&lt;&gt;IntegratorValidationComment")</f>
        <v>0</v>
      </c>
      <c r="L39" s="67">
        <f>COUNTIFS(patch[reviewer], $B39, patch[Review-1], "Review-1", patch[AuthorGroup], "BJ And dev", patch[MergeMonth], L$34, patch[ReviewerGroup], "&lt;&gt;author")</f>
        <v>0</v>
      </c>
      <c r="M39" s="67">
        <f>SUM(COUNTIFS(patch[all_reviewer], "*"&amp;$B39&amp;"*", patch[AuthorGroup], {"FL And dev","SH And dev"}, patch[MergeMonth], M$34))</f>
        <v>0</v>
      </c>
      <c r="N39" s="67">
        <f>SUM(COUNTIFS(patch[reviewer], $B39, patch[AuthorGroup], {"FL And dev","SH And dev"}, patch[MergeMonth], N$34, patch[ReviewerGroup], "&lt;&gt;author", patch[Integrator], "&lt;&gt;IntegratorValidationComment"))</f>
        <v>0</v>
      </c>
      <c r="O39" s="67">
        <f>SUM(COUNTIFS(patch[reviewer], $B39, patch[Review-1], "Review-1", patch[AuthorGroup], {"FL And dev","SH And dev"}, patch[MergeMonth], O$34, patch[ReviewerGroup], "&lt;&gt;author"))</f>
        <v>0</v>
      </c>
      <c r="P39" s="72">
        <f t="shared" si="10"/>
        <v>0</v>
      </c>
      <c r="Q39" s="67">
        <f>COUNTIFS(patch[all_reviewer], "*"&amp;$B39&amp;"*", patch[AuthorGroup], "BJ And dev", patch[MergeMonth], Q$34)</f>
        <v>0</v>
      </c>
      <c r="R39" s="67">
        <f>COUNTIFS(patch[reviewer], $B39, patch[AuthorGroup], "BJ And dev", patch[MergeMonth], R$34, patch[ReviewerGroup], "&lt;&gt;author", patch[Integrator], "&lt;&gt;IntegratorValidationComment")</f>
        <v>0</v>
      </c>
      <c r="S39" s="67">
        <f>COUNTIFS(patch[reviewer], $B39, patch[Review-1], "Review-1", patch[AuthorGroup], "BJ And dev", patch[MergeMonth], S$34, patch[ReviewerGroup], "&lt;&gt;author")</f>
        <v>0</v>
      </c>
      <c r="T39" s="67">
        <f>SUM(COUNTIFS(patch[all_reviewer], "*"&amp;$B39&amp;"*", patch[AuthorGroup], {"FL And dev","SH And dev"}, patch[MergeMonth], T$34))</f>
        <v>0</v>
      </c>
      <c r="U39" s="67">
        <f>SUM(COUNTIFS(patch[reviewer], $B39, patch[AuthorGroup], {"FL And dev","SH And dev"}, patch[MergeMonth], U$34, patch[ReviewerGroup], "&lt;&gt;author", patch[Integrator], "&lt;&gt;IntegratorValidationComment"))</f>
        <v>0</v>
      </c>
      <c r="V39" s="67">
        <f>SUM(COUNTIFS(patch[reviewer], $B39, patch[Review-1], "Review-1", patch[AuthorGroup], {"FL And dev","SH And dev"}, patch[MergeMonth], V$34, patch[ReviewerGroup], "&lt;&gt;author"))</f>
        <v>0</v>
      </c>
      <c r="W39" s="72">
        <f t="shared" si="11"/>
        <v>0</v>
      </c>
      <c r="X39" s="67">
        <f>COUNTIFS(patch[all_reviewer], "*"&amp;$B39&amp;"*", patch[AuthorGroup], "BJ And dev", patch[MergeMonth], X$34)</f>
        <v>63</v>
      </c>
      <c r="Y39" s="67">
        <f>COUNTIFS(patch[reviewer], $B39, patch[AuthorGroup], "BJ And dev", patch[MergeMonth], Y$34, patch[ReviewerGroup], "&lt;&gt;author", patch[Integrator], "&lt;&gt;IntegratorValidationComment")</f>
        <v>98</v>
      </c>
      <c r="Z39" s="67">
        <f>COUNTIFS(patch[reviewer], $B39, patch[Review-1], "Review-1", patch[AuthorGroup], "BJ And dev", patch[MergeMonth], Z$34, patch[ReviewerGroup], "&lt;&gt;author")</f>
        <v>10</v>
      </c>
      <c r="AA39" s="67">
        <f>SUM(COUNTIFS(patch[all_reviewer], "*"&amp;$B39&amp;"*", patch[AuthorGroup], {"FL And dev","SH And dev"}, patch[MergeMonth], AA$34))</f>
        <v>16</v>
      </c>
      <c r="AB39" s="67">
        <f>SUM(COUNTIFS(patch[reviewer], $B39, patch[AuthorGroup], {"FL And dev","SH And dev"}, patch[MergeMonth], AB$34, patch[ReviewerGroup], "&lt;&gt;author", patch[Integrator], "&lt;&gt;IntegratorValidationComment"))</f>
        <v>25</v>
      </c>
      <c r="AC39" s="67">
        <f>SUM(COUNTIFS(patch[reviewer], $B39, patch[Review-1], "Review-1", patch[AuthorGroup], {"FL And dev","SH And dev"}, patch[MergeMonth], AC$34, patch[ReviewerGroup], "&lt;&gt;author"))</f>
        <v>2</v>
      </c>
      <c r="AD39" s="72">
        <f t="shared" si="12"/>
        <v>301</v>
      </c>
    </row>
    <row r="40" spans="1:30" outlineLevel="1">
      <c r="A40" s="180"/>
      <c r="B40" s="27" t="s">
        <v>52</v>
      </c>
      <c r="C40" s="77">
        <f t="shared" si="3"/>
        <v>0</v>
      </c>
      <c r="D40" s="77">
        <f t="shared" si="4"/>
        <v>0</v>
      </c>
      <c r="E40" s="77">
        <f t="shared" si="5"/>
        <v>0</v>
      </c>
      <c r="F40" s="77">
        <f t="shared" si="6"/>
        <v>0</v>
      </c>
      <c r="G40" s="77">
        <f t="shared" si="7"/>
        <v>0</v>
      </c>
      <c r="H40" s="77">
        <f t="shared" si="8"/>
        <v>0</v>
      </c>
      <c r="I40" s="78">
        <f t="shared" si="9"/>
        <v>0</v>
      </c>
      <c r="J40" s="67">
        <f>COUNTIFS(patch[all_reviewer], "*"&amp;$B40&amp;"*", patch[AuthorGroup], "BJ And dev", patch[MergeMonth], J$34)</f>
        <v>0</v>
      </c>
      <c r="K40" s="104">
        <f>COUNTIFS(patch[reviewer], $B40, patch[AuthorGroup], "BJ And dev", patch[MergeMonth], K$34, patch[ReviewerGroup], "&lt;&gt;author", patch[Integrator], "&lt;&gt;IntegratorValidationComment")</f>
        <v>0</v>
      </c>
      <c r="L40" s="67">
        <f>COUNTIFS(patch[reviewer], $B40, patch[Review-1], "Review-1", patch[AuthorGroup], "BJ And dev", patch[MergeMonth], L$34, patch[ReviewerGroup], "&lt;&gt;author")</f>
        <v>0</v>
      </c>
      <c r="M40" s="67">
        <f>SUM(COUNTIFS(patch[all_reviewer], "*"&amp;$B40&amp;"*", patch[AuthorGroup], {"FL And dev","SH And dev"}, patch[MergeMonth], M$34))</f>
        <v>0</v>
      </c>
      <c r="N40" s="67">
        <f>SUM(COUNTIFS(patch[reviewer], $B40, patch[AuthorGroup], {"FL And dev","SH And dev"}, patch[MergeMonth], N$34, patch[ReviewerGroup], "&lt;&gt;author", patch[Integrator], "&lt;&gt;IntegratorValidationComment"))</f>
        <v>0</v>
      </c>
      <c r="O40" s="67">
        <f>SUM(COUNTIFS(patch[reviewer], $B40, patch[Review-1], "Review-1", patch[AuthorGroup], {"FL And dev","SH And dev"}, patch[MergeMonth], O$34, patch[ReviewerGroup], "&lt;&gt;author"))</f>
        <v>0</v>
      </c>
      <c r="P40" s="72">
        <f t="shared" si="10"/>
        <v>0</v>
      </c>
      <c r="Q40" s="67">
        <f>COUNTIFS(patch[all_reviewer], "*"&amp;$B40&amp;"*", patch[AuthorGroup], "BJ And dev", patch[MergeMonth], Q$34)</f>
        <v>0</v>
      </c>
      <c r="R40" s="67">
        <f>COUNTIFS(patch[reviewer], $B40, patch[AuthorGroup], "BJ And dev", patch[MergeMonth], R$34, patch[ReviewerGroup], "&lt;&gt;author", patch[Integrator], "&lt;&gt;IntegratorValidationComment")</f>
        <v>0</v>
      </c>
      <c r="S40" s="67">
        <f>COUNTIFS(patch[reviewer], $B40, patch[Review-1], "Review-1", patch[AuthorGroup], "BJ And dev", patch[MergeMonth], S$34, patch[ReviewerGroup], "&lt;&gt;author")</f>
        <v>0</v>
      </c>
      <c r="T40" s="67">
        <f>SUM(COUNTIFS(patch[all_reviewer], "*"&amp;$B40&amp;"*", patch[AuthorGroup], {"FL And dev","SH And dev"}, patch[MergeMonth], T$34))</f>
        <v>0</v>
      </c>
      <c r="U40" s="67">
        <f>SUM(COUNTIFS(patch[reviewer], $B40, patch[AuthorGroup], {"FL And dev","SH And dev"}, patch[MergeMonth], U$34, patch[ReviewerGroup], "&lt;&gt;author", patch[Integrator], "&lt;&gt;IntegratorValidationComment"))</f>
        <v>0</v>
      </c>
      <c r="V40" s="67">
        <f>SUM(COUNTIFS(patch[reviewer], $B40, patch[Review-1], "Review-1", patch[AuthorGroup], {"FL And dev","SH And dev"}, patch[MergeMonth], V$34, patch[ReviewerGroup], "&lt;&gt;author"))</f>
        <v>0</v>
      </c>
      <c r="W40" s="72">
        <f t="shared" si="11"/>
        <v>0</v>
      </c>
      <c r="X40" s="67">
        <f>COUNTIFS(patch[all_reviewer], "*"&amp;$B40&amp;"*", patch[AuthorGroup], "BJ And dev", patch[MergeMonth], X$34)</f>
        <v>0</v>
      </c>
      <c r="Y40" s="67">
        <f>COUNTIFS(patch[reviewer], $B40, patch[AuthorGroup], "BJ And dev", patch[MergeMonth], Y$34, patch[ReviewerGroup], "&lt;&gt;author", patch[Integrator], "&lt;&gt;IntegratorValidationComment")</f>
        <v>0</v>
      </c>
      <c r="Z40" s="67">
        <f>COUNTIFS(patch[reviewer], $B40, patch[Review-1], "Review-1", patch[AuthorGroup], "BJ And dev", patch[MergeMonth], Z$34, patch[ReviewerGroup], "&lt;&gt;author")</f>
        <v>0</v>
      </c>
      <c r="AA40" s="67">
        <f>SUM(COUNTIFS(patch[all_reviewer], "*"&amp;$B40&amp;"*", patch[AuthorGroup], {"FL And dev","SH And dev"}, patch[MergeMonth], AA$34))</f>
        <v>0</v>
      </c>
      <c r="AB40" s="67">
        <f>SUM(COUNTIFS(patch[reviewer], $B40, patch[AuthorGroup], {"FL And dev","SH And dev"}, patch[MergeMonth], AB$34, patch[ReviewerGroup], "&lt;&gt;author", patch[Integrator], "&lt;&gt;IntegratorValidationComment"))</f>
        <v>0</v>
      </c>
      <c r="AC40" s="67">
        <f>SUM(COUNTIFS(patch[reviewer], $B40, patch[Review-1], "Review-1", patch[AuthorGroup], {"FL And dev","SH And dev"}, patch[MergeMonth], AC$34, patch[ReviewerGroup], "&lt;&gt;author"))</f>
        <v>0</v>
      </c>
      <c r="AD40" s="72">
        <f t="shared" si="12"/>
        <v>0</v>
      </c>
    </row>
    <row r="41" spans="1:30" outlineLevel="1">
      <c r="A41" s="180"/>
      <c r="B41" s="27" t="s">
        <v>54</v>
      </c>
      <c r="C41" s="77">
        <f t="shared" si="3"/>
        <v>0</v>
      </c>
      <c r="D41" s="77">
        <f t="shared" si="4"/>
        <v>0</v>
      </c>
      <c r="E41" s="77">
        <f t="shared" si="5"/>
        <v>0</v>
      </c>
      <c r="F41" s="77">
        <f t="shared" si="6"/>
        <v>0</v>
      </c>
      <c r="G41" s="77">
        <f t="shared" si="7"/>
        <v>0</v>
      </c>
      <c r="H41" s="77">
        <f t="shared" si="8"/>
        <v>0</v>
      </c>
      <c r="I41" s="78">
        <f t="shared" si="9"/>
        <v>0</v>
      </c>
      <c r="J41" s="67">
        <f>COUNTIFS(patch[all_reviewer], "*"&amp;$B41&amp;"*", patch[AuthorGroup], "BJ And dev", patch[MergeMonth], J$34)</f>
        <v>0</v>
      </c>
      <c r="K41" s="104">
        <f>COUNTIFS(patch[reviewer], $B41, patch[AuthorGroup], "BJ And dev", patch[MergeMonth], K$34, patch[ReviewerGroup], "&lt;&gt;author", patch[Integrator], "&lt;&gt;IntegratorValidationComment")</f>
        <v>0</v>
      </c>
      <c r="L41" s="67">
        <f>COUNTIFS(patch[reviewer], $B41, patch[Review-1], "Review-1", patch[AuthorGroup], "BJ And dev", patch[MergeMonth], L$34, patch[ReviewerGroup], "&lt;&gt;author")</f>
        <v>0</v>
      </c>
      <c r="M41" s="67">
        <f>SUM(COUNTIFS(patch[all_reviewer], "*"&amp;$B41&amp;"*", patch[AuthorGroup], {"FL And dev","SH And dev"}, patch[MergeMonth], M$34))</f>
        <v>0</v>
      </c>
      <c r="N41" s="67">
        <f>SUM(COUNTIFS(patch[reviewer], $B41, patch[AuthorGroup], {"FL And dev","SH And dev"}, patch[MergeMonth], N$34, patch[ReviewerGroup], "&lt;&gt;author", patch[Integrator], "&lt;&gt;IntegratorValidationComment"))</f>
        <v>0</v>
      </c>
      <c r="O41" s="67">
        <f>SUM(COUNTIFS(patch[reviewer], $B41, patch[Review-1], "Review-1", patch[AuthorGroup], {"FL And dev","SH And dev"}, patch[MergeMonth], O$34, patch[ReviewerGroup], "&lt;&gt;author"))</f>
        <v>0</v>
      </c>
      <c r="P41" s="72">
        <f t="shared" si="10"/>
        <v>0</v>
      </c>
      <c r="Q41" s="67">
        <f>COUNTIFS(patch[all_reviewer], "*"&amp;$B41&amp;"*", patch[AuthorGroup], "BJ And dev", patch[MergeMonth], Q$34)</f>
        <v>0</v>
      </c>
      <c r="R41" s="67">
        <f>COUNTIFS(patch[reviewer], $B41, patch[AuthorGroup], "BJ And dev", patch[MergeMonth], R$34, patch[ReviewerGroup], "&lt;&gt;author", patch[Integrator], "&lt;&gt;IntegratorValidationComment")</f>
        <v>0</v>
      </c>
      <c r="S41" s="67">
        <f>COUNTIFS(patch[reviewer], $B41, patch[Review-1], "Review-1", patch[AuthorGroup], "BJ And dev", patch[MergeMonth], S$34, patch[ReviewerGroup], "&lt;&gt;author")</f>
        <v>0</v>
      </c>
      <c r="T41" s="67">
        <f>SUM(COUNTIFS(patch[all_reviewer], "*"&amp;$B41&amp;"*", patch[AuthorGroup], {"FL And dev","SH And dev"}, patch[MergeMonth], T$34))</f>
        <v>0</v>
      </c>
      <c r="U41" s="67">
        <f>SUM(COUNTIFS(patch[reviewer], $B41, patch[AuthorGroup], {"FL And dev","SH And dev"}, patch[MergeMonth], U$34, patch[ReviewerGroup], "&lt;&gt;author", patch[Integrator], "&lt;&gt;IntegratorValidationComment"))</f>
        <v>0</v>
      </c>
      <c r="V41" s="67">
        <f>SUM(COUNTIFS(patch[reviewer], $B41, patch[Review-1], "Review-1", patch[AuthorGroup], {"FL And dev","SH And dev"}, patch[MergeMonth], V$34, patch[ReviewerGroup], "&lt;&gt;author"))</f>
        <v>0</v>
      </c>
      <c r="W41" s="72">
        <f t="shared" si="11"/>
        <v>0</v>
      </c>
      <c r="X41" s="67">
        <f>COUNTIFS(patch[all_reviewer], "*"&amp;$B41&amp;"*", patch[AuthorGroup], "BJ And dev", patch[MergeMonth], X$34)</f>
        <v>0</v>
      </c>
      <c r="Y41" s="67">
        <f>COUNTIFS(patch[reviewer], $B41, patch[AuthorGroup], "BJ And dev", patch[MergeMonth], Y$34, patch[ReviewerGroup], "&lt;&gt;author", patch[Integrator], "&lt;&gt;IntegratorValidationComment")</f>
        <v>0</v>
      </c>
      <c r="Z41" s="67">
        <f>COUNTIFS(patch[reviewer], $B41, patch[Review-1], "Review-1", patch[AuthorGroup], "BJ And dev", patch[MergeMonth], Z$34, patch[ReviewerGroup], "&lt;&gt;author")</f>
        <v>0</v>
      </c>
      <c r="AA41" s="67">
        <f>SUM(COUNTIFS(patch[all_reviewer], "*"&amp;$B41&amp;"*", patch[AuthorGroup], {"FL And dev","SH And dev"}, patch[MergeMonth], AA$34))</f>
        <v>0</v>
      </c>
      <c r="AB41" s="67">
        <f>SUM(COUNTIFS(patch[reviewer], $B41, patch[AuthorGroup], {"FL And dev","SH And dev"}, patch[MergeMonth], AB$34, patch[ReviewerGroup], "&lt;&gt;author", patch[Integrator], "&lt;&gt;IntegratorValidationComment"))</f>
        <v>0</v>
      </c>
      <c r="AC41" s="67">
        <f>SUM(COUNTIFS(patch[reviewer], $B41, patch[Review-1], "Review-1", patch[AuthorGroup], {"FL And dev","SH And dev"}, patch[MergeMonth], AC$34, patch[ReviewerGroup], "&lt;&gt;author"))</f>
        <v>0</v>
      </c>
      <c r="AD41" s="72">
        <f t="shared" si="12"/>
        <v>0</v>
      </c>
    </row>
    <row r="42" spans="1:30" outlineLevel="1">
      <c r="A42" s="180"/>
      <c r="B42" s="27" t="s">
        <v>39</v>
      </c>
      <c r="C42" s="77">
        <f t="shared" si="3"/>
        <v>1</v>
      </c>
      <c r="D42" s="77">
        <f t="shared" si="4"/>
        <v>1</v>
      </c>
      <c r="E42" s="77">
        <f t="shared" si="5"/>
        <v>0</v>
      </c>
      <c r="F42" s="77">
        <f t="shared" si="6"/>
        <v>0</v>
      </c>
      <c r="G42" s="77">
        <f t="shared" si="7"/>
        <v>0</v>
      </c>
      <c r="H42" s="77">
        <f t="shared" si="8"/>
        <v>0</v>
      </c>
      <c r="I42" s="78">
        <f t="shared" si="9"/>
        <v>2.5</v>
      </c>
      <c r="J42" s="67">
        <f>COUNTIFS(patch[all_reviewer], "*"&amp;$B42&amp;"*", patch[AuthorGroup], "BJ And dev", patch[MergeMonth], J$34)</f>
        <v>0</v>
      </c>
      <c r="K42" s="104">
        <f>COUNTIFS(patch[reviewer], $B42, patch[AuthorGroup], "BJ And dev", patch[MergeMonth], K$34, patch[ReviewerGroup], "&lt;&gt;author", patch[Integrator], "&lt;&gt;IntegratorValidationComment")</f>
        <v>0</v>
      </c>
      <c r="L42" s="67">
        <f>COUNTIFS(patch[reviewer], $B42, patch[Review-1], "Review-1", patch[AuthorGroup], "BJ And dev", patch[MergeMonth], L$34, patch[ReviewerGroup], "&lt;&gt;author")</f>
        <v>0</v>
      </c>
      <c r="M42" s="67">
        <f>SUM(COUNTIFS(patch[all_reviewer], "*"&amp;$B42&amp;"*", patch[AuthorGroup], {"FL And dev","SH And dev"}, patch[MergeMonth], M$34))</f>
        <v>0</v>
      </c>
      <c r="N42" s="67">
        <f>SUM(COUNTIFS(patch[reviewer], $B42, patch[AuthorGroup], {"FL And dev","SH And dev"}, patch[MergeMonth], N$34, patch[ReviewerGroup], "&lt;&gt;author", patch[Integrator], "&lt;&gt;IntegratorValidationComment"))</f>
        <v>0</v>
      </c>
      <c r="O42" s="67">
        <f>SUM(COUNTIFS(patch[reviewer], $B42, patch[Review-1], "Review-1", patch[AuthorGroup], {"FL And dev","SH And dev"}, patch[MergeMonth], O$34, patch[ReviewerGroup], "&lt;&gt;author"))</f>
        <v>0</v>
      </c>
      <c r="P42" s="72">
        <f t="shared" si="10"/>
        <v>0</v>
      </c>
      <c r="Q42" s="67">
        <f>COUNTIFS(patch[all_reviewer], "*"&amp;$B42&amp;"*", patch[AuthorGroup], "BJ And dev", patch[MergeMonth], Q$34)</f>
        <v>0</v>
      </c>
      <c r="R42" s="67">
        <f>COUNTIFS(patch[reviewer], $B42, patch[AuthorGroup], "BJ And dev", patch[MergeMonth], R$34, patch[ReviewerGroup], "&lt;&gt;author", patch[Integrator], "&lt;&gt;IntegratorValidationComment")</f>
        <v>0</v>
      </c>
      <c r="S42" s="67">
        <f>COUNTIFS(patch[reviewer], $B42, patch[Review-1], "Review-1", patch[AuthorGroup], "BJ And dev", patch[MergeMonth], S$34, patch[ReviewerGroup], "&lt;&gt;author")</f>
        <v>0</v>
      </c>
      <c r="T42" s="67">
        <f>SUM(COUNTIFS(patch[all_reviewer], "*"&amp;$B42&amp;"*", patch[AuthorGroup], {"FL And dev","SH And dev"}, patch[MergeMonth], T$34))</f>
        <v>0</v>
      </c>
      <c r="U42" s="67">
        <f>SUM(COUNTIFS(patch[reviewer], $B42, patch[AuthorGroup], {"FL And dev","SH And dev"}, patch[MergeMonth], U$34, patch[ReviewerGroup], "&lt;&gt;author", patch[Integrator], "&lt;&gt;IntegratorValidationComment"))</f>
        <v>0</v>
      </c>
      <c r="V42" s="67">
        <f>SUM(COUNTIFS(patch[reviewer], $B42, patch[Review-1], "Review-1", patch[AuthorGroup], {"FL And dev","SH And dev"}, patch[MergeMonth], V$34, patch[ReviewerGroup], "&lt;&gt;author"))</f>
        <v>0</v>
      </c>
      <c r="W42" s="72">
        <f t="shared" si="11"/>
        <v>0</v>
      </c>
      <c r="X42" s="67">
        <f>COUNTIFS(patch[all_reviewer], "*"&amp;$B42&amp;"*", patch[AuthorGroup], "BJ And dev", patch[MergeMonth], X$34)</f>
        <v>1</v>
      </c>
      <c r="Y42" s="67">
        <f>COUNTIFS(patch[reviewer], $B42, patch[AuthorGroup], "BJ And dev", patch[MergeMonth], Y$34, patch[ReviewerGroup], "&lt;&gt;author", patch[Integrator], "&lt;&gt;IntegratorValidationComment")</f>
        <v>1</v>
      </c>
      <c r="Z42" s="67">
        <f>COUNTIFS(patch[reviewer], $B42, patch[Review-1], "Review-1", patch[AuthorGroup], "BJ And dev", patch[MergeMonth], Z$34, patch[ReviewerGroup], "&lt;&gt;author")</f>
        <v>0</v>
      </c>
      <c r="AA42" s="67">
        <f>SUM(COUNTIFS(patch[all_reviewer], "*"&amp;$B42&amp;"*", patch[AuthorGroup], {"FL And dev","SH And dev"}, patch[MergeMonth], AA$34))</f>
        <v>0</v>
      </c>
      <c r="AB42" s="67">
        <f>SUM(COUNTIFS(patch[reviewer], $B42, patch[AuthorGroup], {"FL And dev","SH And dev"}, patch[MergeMonth], AB$34, patch[ReviewerGroup], "&lt;&gt;author", patch[Integrator], "&lt;&gt;IntegratorValidationComment"))</f>
        <v>0</v>
      </c>
      <c r="AC42" s="67">
        <f>SUM(COUNTIFS(patch[reviewer], $B42, patch[Review-1], "Review-1", patch[AuthorGroup], {"FL And dev","SH And dev"}, patch[MergeMonth], AC$34, patch[ReviewerGroup], "&lt;&gt;author"))</f>
        <v>0</v>
      </c>
      <c r="AD42" s="72">
        <f t="shared" si="12"/>
        <v>2.5</v>
      </c>
    </row>
    <row r="43" spans="1:30" outlineLevel="1">
      <c r="A43" s="180"/>
      <c r="B43" s="27" t="s">
        <v>75</v>
      </c>
      <c r="C43" s="77">
        <f t="shared" si="3"/>
        <v>4</v>
      </c>
      <c r="D43" s="77">
        <f t="shared" si="4"/>
        <v>18</v>
      </c>
      <c r="E43" s="77">
        <f t="shared" si="5"/>
        <v>0</v>
      </c>
      <c r="F43" s="77">
        <f t="shared" si="6"/>
        <v>0</v>
      </c>
      <c r="G43" s="77">
        <f t="shared" si="7"/>
        <v>0</v>
      </c>
      <c r="H43" s="77">
        <f t="shared" si="8"/>
        <v>0</v>
      </c>
      <c r="I43" s="78">
        <f t="shared" si="9"/>
        <v>24</v>
      </c>
      <c r="J43" s="67">
        <f>COUNTIFS(patch[all_reviewer], "*"&amp;$B43&amp;"*", patch[AuthorGroup], "BJ And dev", patch[MergeMonth], J$34)</f>
        <v>0</v>
      </c>
      <c r="K43" s="104">
        <f>COUNTIFS(patch[reviewer], $B43, patch[AuthorGroup], "BJ And dev", patch[MergeMonth], K$34, patch[ReviewerGroup], "&lt;&gt;author", patch[Integrator], "&lt;&gt;IntegratorValidationComment")</f>
        <v>0</v>
      </c>
      <c r="L43" s="67">
        <f>COUNTIFS(patch[reviewer], $B43, patch[Review-1], "Review-1", patch[AuthorGroup], "BJ And dev", patch[MergeMonth], L$34, patch[ReviewerGroup], "&lt;&gt;author")</f>
        <v>0</v>
      </c>
      <c r="M43" s="67">
        <f>SUM(COUNTIFS(patch[all_reviewer], "*"&amp;$B43&amp;"*", patch[AuthorGroup], {"FL And dev","SH And dev"}, patch[MergeMonth], M$34))</f>
        <v>0</v>
      </c>
      <c r="N43" s="67">
        <f>SUM(COUNTIFS(patch[reviewer], $B43, patch[AuthorGroup], {"FL And dev","SH And dev"}, patch[MergeMonth], N$34, patch[ReviewerGroup], "&lt;&gt;author", patch[Integrator], "&lt;&gt;IntegratorValidationComment"))</f>
        <v>0</v>
      </c>
      <c r="O43" s="67">
        <f>SUM(COUNTIFS(patch[reviewer], $B43, patch[Review-1], "Review-1", patch[AuthorGroup], {"FL And dev","SH And dev"}, patch[MergeMonth], O$34, patch[ReviewerGroup], "&lt;&gt;author"))</f>
        <v>0</v>
      </c>
      <c r="P43" s="72">
        <f t="shared" si="10"/>
        <v>0</v>
      </c>
      <c r="Q43" s="67">
        <f>COUNTIFS(patch[all_reviewer], "*"&amp;$B43&amp;"*", patch[AuthorGroup], "BJ And dev", patch[MergeMonth], Q$34)</f>
        <v>0</v>
      </c>
      <c r="R43" s="67">
        <f>COUNTIFS(patch[reviewer], $B43, patch[AuthorGroup], "BJ And dev", patch[MergeMonth], R$34, patch[ReviewerGroup], "&lt;&gt;author", patch[Integrator], "&lt;&gt;IntegratorValidationComment")</f>
        <v>0</v>
      </c>
      <c r="S43" s="67">
        <f>COUNTIFS(patch[reviewer], $B43, patch[Review-1], "Review-1", patch[AuthorGroup], "BJ And dev", patch[MergeMonth], S$34, patch[ReviewerGroup], "&lt;&gt;author")</f>
        <v>0</v>
      </c>
      <c r="T43" s="67">
        <f>SUM(COUNTIFS(patch[all_reviewer], "*"&amp;$B43&amp;"*", patch[AuthorGroup], {"FL And dev","SH And dev"}, patch[MergeMonth], T$34))</f>
        <v>0</v>
      </c>
      <c r="U43" s="67">
        <f>SUM(COUNTIFS(patch[reviewer], $B43, patch[AuthorGroup], {"FL And dev","SH And dev"}, patch[MergeMonth], U$34, patch[ReviewerGroup], "&lt;&gt;author", patch[Integrator], "&lt;&gt;IntegratorValidationComment"))</f>
        <v>0</v>
      </c>
      <c r="V43" s="67">
        <f>SUM(COUNTIFS(patch[reviewer], $B43, patch[Review-1], "Review-1", patch[AuthorGroup], {"FL And dev","SH And dev"}, patch[MergeMonth], V$34, patch[ReviewerGroup], "&lt;&gt;author"))</f>
        <v>0</v>
      </c>
      <c r="W43" s="72">
        <f t="shared" si="11"/>
        <v>0</v>
      </c>
      <c r="X43" s="67">
        <f>COUNTIFS(patch[all_reviewer], "*"&amp;$B43&amp;"*", patch[AuthorGroup], "BJ And dev", patch[MergeMonth], X$34)</f>
        <v>4</v>
      </c>
      <c r="Y43" s="67">
        <f>COUNTIFS(patch[reviewer], $B43, patch[AuthorGroup], "BJ And dev", patch[MergeMonth], Y$34, patch[ReviewerGroup], "&lt;&gt;author", patch[Integrator], "&lt;&gt;IntegratorValidationComment")</f>
        <v>18</v>
      </c>
      <c r="Z43" s="67">
        <f>COUNTIFS(patch[reviewer], $B43, patch[Review-1], "Review-1", patch[AuthorGroup], "BJ And dev", patch[MergeMonth], Z$34, patch[ReviewerGroup], "&lt;&gt;author")</f>
        <v>0</v>
      </c>
      <c r="AA43" s="67">
        <f>SUM(COUNTIFS(patch[all_reviewer], "*"&amp;$B43&amp;"*", patch[AuthorGroup], {"FL And dev","SH And dev"}, patch[MergeMonth], AA$34))</f>
        <v>0</v>
      </c>
      <c r="AB43" s="67">
        <f>SUM(COUNTIFS(patch[reviewer], $B43, patch[AuthorGroup], {"FL And dev","SH And dev"}, patch[MergeMonth], AB$34, patch[ReviewerGroup], "&lt;&gt;author", patch[Integrator], "&lt;&gt;IntegratorValidationComment"))</f>
        <v>0</v>
      </c>
      <c r="AC43" s="67">
        <f>SUM(COUNTIFS(patch[reviewer], $B43, patch[Review-1], "Review-1", patch[AuthorGroup], {"FL And dev","SH And dev"}, patch[MergeMonth], AC$34, patch[ReviewerGroup], "&lt;&gt;author"))</f>
        <v>0</v>
      </c>
      <c r="AD43" s="72">
        <f t="shared" si="12"/>
        <v>24</v>
      </c>
    </row>
    <row r="44" spans="1:30" outlineLevel="1">
      <c r="A44" s="180"/>
      <c r="B44" s="27" t="s">
        <v>28</v>
      </c>
      <c r="C44" s="77">
        <f t="shared" si="3"/>
        <v>0</v>
      </c>
      <c r="D44" s="77">
        <f t="shared" si="4"/>
        <v>0</v>
      </c>
      <c r="E44" s="77">
        <f t="shared" si="5"/>
        <v>0</v>
      </c>
      <c r="F44" s="77">
        <f t="shared" si="6"/>
        <v>0</v>
      </c>
      <c r="G44" s="77">
        <f t="shared" si="7"/>
        <v>0</v>
      </c>
      <c r="H44" s="77">
        <f t="shared" si="8"/>
        <v>0</v>
      </c>
      <c r="I44" s="78">
        <f t="shared" si="9"/>
        <v>0</v>
      </c>
      <c r="J44" s="67">
        <f>COUNTIFS(patch[all_reviewer], "*"&amp;$B44&amp;"*", patch[AuthorGroup], "BJ And dev", patch[MergeMonth], J$34)</f>
        <v>0</v>
      </c>
      <c r="K44" s="104">
        <f>COUNTIFS(patch[reviewer], $B44, patch[AuthorGroup], "BJ And dev", patch[MergeMonth], K$34, patch[ReviewerGroup], "&lt;&gt;author", patch[Integrator], "&lt;&gt;IntegratorValidationComment")</f>
        <v>0</v>
      </c>
      <c r="L44" s="67">
        <f>COUNTIFS(patch[reviewer], $B44, patch[Review-1], "Review-1", patch[AuthorGroup], "BJ And dev", patch[MergeMonth], L$34, patch[ReviewerGroup], "&lt;&gt;author")</f>
        <v>0</v>
      </c>
      <c r="M44" s="67">
        <f>SUM(COUNTIFS(patch[all_reviewer], "*"&amp;$B44&amp;"*", patch[AuthorGroup], {"FL And dev","SH And dev"}, patch[MergeMonth], M$34))</f>
        <v>0</v>
      </c>
      <c r="N44" s="67">
        <f>SUM(COUNTIFS(patch[reviewer], $B44, patch[AuthorGroup], {"FL And dev","SH And dev"}, patch[MergeMonth], N$34, patch[ReviewerGroup], "&lt;&gt;author", patch[Integrator], "&lt;&gt;IntegratorValidationComment"))</f>
        <v>0</v>
      </c>
      <c r="O44" s="67">
        <f>SUM(COUNTIFS(patch[reviewer], $B44, patch[Review-1], "Review-1", patch[AuthorGroup], {"FL And dev","SH And dev"}, patch[MergeMonth], O$34, patch[ReviewerGroup], "&lt;&gt;author"))</f>
        <v>0</v>
      </c>
      <c r="P44" s="72">
        <f t="shared" si="10"/>
        <v>0</v>
      </c>
      <c r="Q44" s="67">
        <f>COUNTIFS(patch[all_reviewer], "*"&amp;$B44&amp;"*", patch[AuthorGroup], "BJ And dev", patch[MergeMonth], Q$34)</f>
        <v>0</v>
      </c>
      <c r="R44" s="67">
        <f>COUNTIFS(patch[reviewer], $B44, patch[AuthorGroup], "BJ And dev", patch[MergeMonth], R$34, patch[ReviewerGroup], "&lt;&gt;author", patch[Integrator], "&lt;&gt;IntegratorValidationComment")</f>
        <v>0</v>
      </c>
      <c r="S44" s="67">
        <f>COUNTIFS(patch[reviewer], $B44, patch[Review-1], "Review-1", patch[AuthorGroup], "BJ And dev", patch[MergeMonth], S$34, patch[ReviewerGroup], "&lt;&gt;author")</f>
        <v>0</v>
      </c>
      <c r="T44" s="67">
        <f>SUM(COUNTIFS(patch[all_reviewer], "*"&amp;$B44&amp;"*", patch[AuthorGroup], {"FL And dev","SH And dev"}, patch[MergeMonth], T$34))</f>
        <v>0</v>
      </c>
      <c r="U44" s="67">
        <f>SUM(COUNTIFS(patch[reviewer], $B44, patch[AuthorGroup], {"FL And dev","SH And dev"}, patch[MergeMonth], U$34, patch[ReviewerGroup], "&lt;&gt;author", patch[Integrator], "&lt;&gt;IntegratorValidationComment"))</f>
        <v>0</v>
      </c>
      <c r="V44" s="67">
        <f>SUM(COUNTIFS(patch[reviewer], $B44, patch[Review-1], "Review-1", patch[AuthorGroup], {"FL And dev","SH And dev"}, patch[MergeMonth], V$34, patch[ReviewerGroup], "&lt;&gt;author"))</f>
        <v>0</v>
      </c>
      <c r="W44" s="72">
        <f t="shared" si="11"/>
        <v>0</v>
      </c>
      <c r="X44" s="67">
        <f>COUNTIFS(patch[all_reviewer], "*"&amp;$B44&amp;"*", patch[AuthorGroup], "BJ And dev", patch[MergeMonth], X$34)</f>
        <v>0</v>
      </c>
      <c r="Y44" s="67">
        <f>COUNTIFS(patch[reviewer], $B44, patch[AuthorGroup], "BJ And dev", patch[MergeMonth], Y$34, patch[ReviewerGroup], "&lt;&gt;author", patch[Integrator], "&lt;&gt;IntegratorValidationComment")</f>
        <v>0</v>
      </c>
      <c r="Z44" s="67">
        <f>COUNTIFS(patch[reviewer], $B44, patch[Review-1], "Review-1", patch[AuthorGroup], "BJ And dev", patch[MergeMonth], Z$34, patch[ReviewerGroup], "&lt;&gt;author")</f>
        <v>0</v>
      </c>
      <c r="AA44" s="67">
        <f>SUM(COUNTIFS(patch[all_reviewer], "*"&amp;$B44&amp;"*", patch[AuthorGroup], {"FL And dev","SH And dev"}, patch[MergeMonth], AA$34))</f>
        <v>0</v>
      </c>
      <c r="AB44" s="67">
        <f>SUM(COUNTIFS(patch[reviewer], $B44, patch[AuthorGroup], {"FL And dev","SH And dev"}, patch[MergeMonth], AB$34, patch[ReviewerGroup], "&lt;&gt;author", patch[Integrator], "&lt;&gt;IntegratorValidationComment"))</f>
        <v>0</v>
      </c>
      <c r="AC44" s="67">
        <f>SUM(COUNTIFS(patch[reviewer], $B44, patch[Review-1], "Review-1", patch[AuthorGroup], {"FL And dev","SH And dev"}, patch[MergeMonth], AC$34, patch[ReviewerGroup], "&lt;&gt;author"))</f>
        <v>0</v>
      </c>
      <c r="AD44" s="72">
        <f t="shared" si="12"/>
        <v>0</v>
      </c>
    </row>
    <row r="45" spans="1:30" outlineLevel="1">
      <c r="A45" s="180"/>
      <c r="B45" s="27" t="s">
        <v>55</v>
      </c>
      <c r="C45" s="77">
        <f t="shared" si="3"/>
        <v>32</v>
      </c>
      <c r="D45" s="77">
        <f t="shared" si="4"/>
        <v>59</v>
      </c>
      <c r="E45" s="77">
        <f t="shared" si="5"/>
        <v>5</v>
      </c>
      <c r="F45" s="77">
        <f t="shared" si="6"/>
        <v>5</v>
      </c>
      <c r="G45" s="77">
        <f t="shared" si="7"/>
        <v>8</v>
      </c>
      <c r="H45" s="77">
        <f t="shared" si="8"/>
        <v>1</v>
      </c>
      <c r="I45" s="78">
        <f t="shared" si="9"/>
        <v>148.5</v>
      </c>
      <c r="J45" s="67">
        <f>COUNTIFS(patch[all_reviewer], "*"&amp;$B45&amp;"*", patch[AuthorGroup], "BJ And dev", patch[MergeMonth], J$34)</f>
        <v>0</v>
      </c>
      <c r="K45" s="104">
        <f>COUNTIFS(patch[reviewer], $B45, patch[AuthorGroup], "BJ And dev", patch[MergeMonth], K$34, patch[ReviewerGroup], "&lt;&gt;author", patch[Integrator], "&lt;&gt;IntegratorValidationComment")</f>
        <v>0</v>
      </c>
      <c r="L45" s="67">
        <f>COUNTIFS(patch[reviewer], $B45, patch[Review-1], "Review-1", patch[AuthorGroup], "BJ And dev", patch[MergeMonth], L$34, patch[ReviewerGroup], "&lt;&gt;author")</f>
        <v>0</v>
      </c>
      <c r="M45" s="67">
        <f>SUM(COUNTIFS(patch[all_reviewer], "*"&amp;$B45&amp;"*", patch[AuthorGroup], {"FL And dev","SH And dev"}, patch[MergeMonth], M$34))</f>
        <v>0</v>
      </c>
      <c r="N45" s="67">
        <f>SUM(COUNTIFS(patch[reviewer], $B45, patch[AuthorGroup], {"FL And dev","SH And dev"}, patch[MergeMonth], N$34, patch[ReviewerGroup], "&lt;&gt;author", patch[Integrator], "&lt;&gt;IntegratorValidationComment"))</f>
        <v>0</v>
      </c>
      <c r="O45" s="67">
        <f>SUM(COUNTIFS(patch[reviewer], $B45, patch[Review-1], "Review-1", patch[AuthorGroup], {"FL And dev","SH And dev"}, patch[MergeMonth], O$34, patch[ReviewerGroup], "&lt;&gt;author"))</f>
        <v>0</v>
      </c>
      <c r="P45" s="72">
        <f t="shared" si="10"/>
        <v>0</v>
      </c>
      <c r="Q45" s="67">
        <f>COUNTIFS(patch[all_reviewer], "*"&amp;$B45&amp;"*", patch[AuthorGroup], "BJ And dev", patch[MergeMonth], Q$34)</f>
        <v>0</v>
      </c>
      <c r="R45" s="67">
        <f>COUNTIFS(patch[reviewer], $B45, patch[AuthorGroup], "BJ And dev", patch[MergeMonth], R$34, patch[ReviewerGroup], "&lt;&gt;author", patch[Integrator], "&lt;&gt;IntegratorValidationComment")</f>
        <v>0</v>
      </c>
      <c r="S45" s="67">
        <f>COUNTIFS(patch[reviewer], $B45, patch[Review-1], "Review-1", patch[AuthorGroup], "BJ And dev", patch[MergeMonth], S$34, patch[ReviewerGroup], "&lt;&gt;author")</f>
        <v>0</v>
      </c>
      <c r="T45" s="67">
        <f>SUM(COUNTIFS(patch[all_reviewer], "*"&amp;$B45&amp;"*", patch[AuthorGroup], {"FL And dev","SH And dev"}, patch[MergeMonth], T$34))</f>
        <v>0</v>
      </c>
      <c r="U45" s="67">
        <f>SUM(COUNTIFS(patch[reviewer], $B45, patch[AuthorGroup], {"FL And dev","SH And dev"}, patch[MergeMonth], U$34, patch[ReviewerGroup], "&lt;&gt;author", patch[Integrator], "&lt;&gt;IntegratorValidationComment"))</f>
        <v>0</v>
      </c>
      <c r="V45" s="67">
        <f>SUM(COUNTIFS(patch[reviewer], $B45, patch[Review-1], "Review-1", patch[AuthorGroup], {"FL And dev","SH And dev"}, patch[MergeMonth], V$34, patch[ReviewerGroup], "&lt;&gt;author"))</f>
        <v>0</v>
      </c>
      <c r="W45" s="72">
        <f t="shared" si="11"/>
        <v>0</v>
      </c>
      <c r="X45" s="67">
        <f>COUNTIFS(patch[all_reviewer], "*"&amp;$B45&amp;"*", patch[AuthorGroup], "BJ And dev", patch[MergeMonth], X$34)</f>
        <v>32</v>
      </c>
      <c r="Y45" s="67">
        <f>COUNTIFS(patch[reviewer], $B45, patch[AuthorGroup], "BJ And dev", patch[MergeMonth], Y$34, patch[ReviewerGroup], "&lt;&gt;author", patch[Integrator], "&lt;&gt;IntegratorValidationComment")</f>
        <v>59</v>
      </c>
      <c r="Z45" s="67">
        <f>COUNTIFS(patch[reviewer], $B45, patch[Review-1], "Review-1", patch[AuthorGroup], "BJ And dev", patch[MergeMonth], Z$34, patch[ReviewerGroup], "&lt;&gt;author")</f>
        <v>5</v>
      </c>
      <c r="AA45" s="67">
        <f>SUM(COUNTIFS(patch[all_reviewer], "*"&amp;$B45&amp;"*", patch[AuthorGroup], {"FL And dev","SH And dev"}, patch[MergeMonth], AA$34))</f>
        <v>5</v>
      </c>
      <c r="AB45" s="67">
        <f>SUM(COUNTIFS(patch[reviewer], $B45, patch[AuthorGroup], {"FL And dev","SH And dev"}, patch[MergeMonth], AB$34, patch[ReviewerGroup], "&lt;&gt;author", patch[Integrator], "&lt;&gt;IntegratorValidationComment"))</f>
        <v>8</v>
      </c>
      <c r="AC45" s="67">
        <f>SUM(COUNTIFS(patch[reviewer], $B45, patch[Review-1], "Review-1", patch[AuthorGroup], {"FL And dev","SH And dev"}, patch[MergeMonth], AC$34, patch[ReviewerGroup], "&lt;&gt;author"))</f>
        <v>1</v>
      </c>
      <c r="AD45" s="72">
        <f t="shared" si="12"/>
        <v>148.5</v>
      </c>
    </row>
    <row r="46" spans="1:30" outlineLevel="1">
      <c r="A46" s="180"/>
      <c r="B46" s="27" t="s">
        <v>24</v>
      </c>
      <c r="C46" s="77">
        <f t="shared" si="3"/>
        <v>54</v>
      </c>
      <c r="D46" s="77">
        <f t="shared" si="4"/>
        <v>74</v>
      </c>
      <c r="E46" s="77">
        <f t="shared" si="5"/>
        <v>2</v>
      </c>
      <c r="F46" s="77">
        <f t="shared" si="6"/>
        <v>3</v>
      </c>
      <c r="G46" s="77">
        <f t="shared" si="7"/>
        <v>3</v>
      </c>
      <c r="H46" s="77">
        <f t="shared" si="8"/>
        <v>0</v>
      </c>
      <c r="I46" s="78">
        <f t="shared" si="9"/>
        <v>171.5</v>
      </c>
      <c r="J46" s="67">
        <f>COUNTIFS(patch[all_reviewer], "*"&amp;$B46&amp;"*", patch[AuthorGroup], "BJ And dev", patch[MergeMonth], J$34)</f>
        <v>0</v>
      </c>
      <c r="K46" s="104">
        <f>COUNTIFS(patch[reviewer], $B46, patch[AuthorGroup], "BJ And dev", patch[MergeMonth], K$34, patch[ReviewerGroup], "&lt;&gt;author", patch[Integrator], "&lt;&gt;IntegratorValidationComment")</f>
        <v>0</v>
      </c>
      <c r="L46" s="67">
        <f>COUNTIFS(patch[reviewer], $B46, patch[Review-1], "Review-1", patch[AuthorGroup], "BJ And dev", patch[MergeMonth], L$34, patch[ReviewerGroup], "&lt;&gt;author")</f>
        <v>0</v>
      </c>
      <c r="M46" s="67">
        <f>SUM(COUNTIFS(patch[all_reviewer], "*"&amp;$B46&amp;"*", patch[AuthorGroup], {"FL And dev","SH And dev"}, patch[MergeMonth], M$34))</f>
        <v>0</v>
      </c>
      <c r="N46" s="67">
        <f>SUM(COUNTIFS(patch[reviewer], $B46, patch[AuthorGroup], {"FL And dev","SH And dev"}, patch[MergeMonth], N$34, patch[ReviewerGroup], "&lt;&gt;author", patch[Integrator], "&lt;&gt;IntegratorValidationComment"))</f>
        <v>0</v>
      </c>
      <c r="O46" s="67">
        <f>SUM(COUNTIFS(patch[reviewer], $B46, patch[Review-1], "Review-1", patch[AuthorGroup], {"FL And dev","SH And dev"}, patch[MergeMonth], O$34, patch[ReviewerGroup], "&lt;&gt;author"))</f>
        <v>0</v>
      </c>
      <c r="P46" s="72">
        <f t="shared" si="10"/>
        <v>0</v>
      </c>
      <c r="Q46" s="67">
        <f>COUNTIFS(patch[all_reviewer], "*"&amp;$B46&amp;"*", patch[AuthorGroup], "BJ And dev", patch[MergeMonth], Q$34)</f>
        <v>0</v>
      </c>
      <c r="R46" s="67">
        <f>COUNTIFS(patch[reviewer], $B46, patch[AuthorGroup], "BJ And dev", patch[MergeMonth], R$34, patch[ReviewerGroup], "&lt;&gt;author", patch[Integrator], "&lt;&gt;IntegratorValidationComment")</f>
        <v>0</v>
      </c>
      <c r="S46" s="67">
        <f>COUNTIFS(patch[reviewer], $B46, patch[Review-1], "Review-1", patch[AuthorGroup], "BJ And dev", patch[MergeMonth], S$34, patch[ReviewerGroup], "&lt;&gt;author")</f>
        <v>0</v>
      </c>
      <c r="T46" s="67">
        <f>SUM(COUNTIFS(patch[all_reviewer], "*"&amp;$B46&amp;"*", patch[AuthorGroup], {"FL And dev","SH And dev"}, patch[MergeMonth], T$34))</f>
        <v>0</v>
      </c>
      <c r="U46" s="67">
        <f>SUM(COUNTIFS(patch[reviewer], $B46, patch[AuthorGroup], {"FL And dev","SH And dev"}, patch[MergeMonth], U$34, patch[ReviewerGroup], "&lt;&gt;author", patch[Integrator], "&lt;&gt;IntegratorValidationComment"))</f>
        <v>0</v>
      </c>
      <c r="V46" s="67">
        <f>SUM(COUNTIFS(patch[reviewer], $B46, patch[Review-1], "Review-1", patch[AuthorGroup], {"FL And dev","SH And dev"}, patch[MergeMonth], V$34, patch[ReviewerGroup], "&lt;&gt;author"))</f>
        <v>0</v>
      </c>
      <c r="W46" s="72">
        <f t="shared" si="11"/>
        <v>0</v>
      </c>
      <c r="X46" s="67">
        <f>COUNTIFS(patch[all_reviewer], "*"&amp;$B46&amp;"*", patch[AuthorGroup], "BJ And dev", patch[MergeMonth], X$34)</f>
        <v>54</v>
      </c>
      <c r="Y46" s="67">
        <f>COUNTIFS(patch[reviewer], $B46, patch[AuthorGroup], "BJ And dev", patch[MergeMonth], Y$34, patch[ReviewerGroup], "&lt;&gt;author", patch[Integrator], "&lt;&gt;IntegratorValidationComment")</f>
        <v>74</v>
      </c>
      <c r="Z46" s="67">
        <f>COUNTIFS(patch[reviewer], $B46, patch[Review-1], "Review-1", patch[AuthorGroup], "BJ And dev", patch[MergeMonth], Z$34, patch[ReviewerGroup], "&lt;&gt;author")</f>
        <v>2</v>
      </c>
      <c r="AA46" s="67">
        <f>SUM(COUNTIFS(patch[all_reviewer], "*"&amp;$B46&amp;"*", patch[AuthorGroup], {"FL And dev","SH And dev"}, patch[MergeMonth], AA$34))</f>
        <v>3</v>
      </c>
      <c r="AB46" s="67">
        <f>SUM(COUNTIFS(patch[reviewer], $B46, patch[AuthorGroup], {"FL And dev","SH And dev"}, patch[MergeMonth], AB$34, patch[ReviewerGroup], "&lt;&gt;author", patch[Integrator], "&lt;&gt;IntegratorValidationComment"))</f>
        <v>3</v>
      </c>
      <c r="AC46" s="67">
        <f>SUM(COUNTIFS(patch[reviewer], $B46, patch[Review-1], "Review-1", patch[AuthorGroup], {"FL And dev","SH And dev"}, patch[MergeMonth], AC$34, patch[ReviewerGroup], "&lt;&gt;author"))</f>
        <v>0</v>
      </c>
      <c r="AD46" s="72">
        <f t="shared" si="12"/>
        <v>171.5</v>
      </c>
    </row>
    <row r="47" spans="1:30" outlineLevel="1">
      <c r="A47" s="180"/>
      <c r="B47" s="27" t="s">
        <v>26</v>
      </c>
      <c r="C47" s="77">
        <f t="shared" si="3"/>
        <v>0</v>
      </c>
      <c r="D47" s="77">
        <f t="shared" si="4"/>
        <v>0</v>
      </c>
      <c r="E47" s="77">
        <f t="shared" si="5"/>
        <v>0</v>
      </c>
      <c r="F47" s="77">
        <f t="shared" si="6"/>
        <v>0</v>
      </c>
      <c r="G47" s="77">
        <f t="shared" si="7"/>
        <v>0</v>
      </c>
      <c r="H47" s="77">
        <f t="shared" si="8"/>
        <v>0</v>
      </c>
      <c r="I47" s="78">
        <f t="shared" si="9"/>
        <v>0</v>
      </c>
      <c r="J47" s="67">
        <f>COUNTIFS(patch[all_reviewer], "*"&amp;$B47&amp;"*", patch[AuthorGroup], "BJ And dev", patch[MergeMonth], J$34)</f>
        <v>0</v>
      </c>
      <c r="K47" s="104">
        <f>COUNTIFS(patch[reviewer], $B47, patch[AuthorGroup], "BJ And dev", patch[MergeMonth], K$34, patch[ReviewerGroup], "&lt;&gt;author", patch[Integrator], "&lt;&gt;IntegratorValidationComment")</f>
        <v>0</v>
      </c>
      <c r="L47" s="67">
        <f>COUNTIFS(patch[reviewer], $B47, patch[Review-1], "Review-1", patch[AuthorGroup], "BJ And dev", patch[MergeMonth], L$34, patch[ReviewerGroup], "&lt;&gt;author")</f>
        <v>0</v>
      </c>
      <c r="M47" s="67">
        <f>SUM(COUNTIFS(patch[all_reviewer], "*"&amp;$B47&amp;"*", patch[AuthorGroup], {"FL And dev","SH And dev"}, patch[MergeMonth], M$34))</f>
        <v>0</v>
      </c>
      <c r="N47" s="67">
        <f>SUM(COUNTIFS(patch[reviewer], $B47, patch[AuthorGroup], {"FL And dev","SH And dev"}, patch[MergeMonth], N$34, patch[ReviewerGroup], "&lt;&gt;author", patch[Integrator], "&lt;&gt;IntegratorValidationComment"))</f>
        <v>0</v>
      </c>
      <c r="O47" s="67">
        <f>SUM(COUNTIFS(patch[reviewer], $B47, patch[Review-1], "Review-1", patch[AuthorGroup], {"FL And dev","SH And dev"}, patch[MergeMonth], O$34, patch[ReviewerGroup], "&lt;&gt;author"))</f>
        <v>0</v>
      </c>
      <c r="P47" s="72">
        <f t="shared" si="10"/>
        <v>0</v>
      </c>
      <c r="Q47" s="67">
        <f>COUNTIFS(patch[all_reviewer], "*"&amp;$B47&amp;"*", patch[AuthorGroup], "BJ And dev", patch[MergeMonth], Q$34)</f>
        <v>0</v>
      </c>
      <c r="R47" s="67">
        <f>COUNTIFS(patch[reviewer], $B47, patch[AuthorGroup], "BJ And dev", patch[MergeMonth], R$34, patch[ReviewerGroup], "&lt;&gt;author", patch[Integrator], "&lt;&gt;IntegratorValidationComment")</f>
        <v>0</v>
      </c>
      <c r="S47" s="67">
        <f>COUNTIFS(patch[reviewer], $B47, patch[Review-1], "Review-1", patch[AuthorGroup], "BJ And dev", patch[MergeMonth], S$34, patch[ReviewerGroup], "&lt;&gt;author")</f>
        <v>0</v>
      </c>
      <c r="T47" s="67">
        <f>SUM(COUNTIFS(patch[all_reviewer], "*"&amp;$B47&amp;"*", patch[AuthorGroup], {"FL And dev","SH And dev"}, patch[MergeMonth], T$34))</f>
        <v>0</v>
      </c>
      <c r="U47" s="67">
        <f>SUM(COUNTIFS(patch[reviewer], $B47, patch[AuthorGroup], {"FL And dev","SH And dev"}, patch[MergeMonth], U$34, patch[ReviewerGroup], "&lt;&gt;author", patch[Integrator], "&lt;&gt;IntegratorValidationComment"))</f>
        <v>0</v>
      </c>
      <c r="V47" s="67">
        <f>SUM(COUNTIFS(patch[reviewer], $B47, patch[Review-1], "Review-1", patch[AuthorGroup], {"FL And dev","SH And dev"}, patch[MergeMonth], V$34, patch[ReviewerGroup], "&lt;&gt;author"))</f>
        <v>0</v>
      </c>
      <c r="W47" s="72">
        <f t="shared" si="11"/>
        <v>0</v>
      </c>
      <c r="X47" s="67">
        <f>COUNTIFS(patch[all_reviewer], "*"&amp;$B47&amp;"*", patch[AuthorGroup], "BJ And dev", patch[MergeMonth], X$34)</f>
        <v>0</v>
      </c>
      <c r="Y47" s="67">
        <f>COUNTIFS(patch[reviewer], $B47, patch[AuthorGroup], "BJ And dev", patch[MergeMonth], Y$34, patch[ReviewerGroup], "&lt;&gt;author", patch[Integrator], "&lt;&gt;IntegratorValidationComment")</f>
        <v>0</v>
      </c>
      <c r="Z47" s="67">
        <f>COUNTIFS(patch[reviewer], $B47, patch[Review-1], "Review-1", patch[AuthorGroup], "BJ And dev", patch[MergeMonth], Z$34, patch[ReviewerGroup], "&lt;&gt;author")</f>
        <v>0</v>
      </c>
      <c r="AA47" s="67">
        <f>SUM(COUNTIFS(patch[all_reviewer], "*"&amp;$B47&amp;"*", patch[AuthorGroup], {"FL And dev","SH And dev"}, patch[MergeMonth], AA$34))</f>
        <v>0</v>
      </c>
      <c r="AB47" s="67">
        <f>SUM(COUNTIFS(patch[reviewer], $B47, patch[AuthorGroup], {"FL And dev","SH And dev"}, patch[MergeMonth], AB$34, patch[ReviewerGroup], "&lt;&gt;author", patch[Integrator], "&lt;&gt;IntegratorValidationComment"))</f>
        <v>0</v>
      </c>
      <c r="AC47" s="67">
        <f>SUM(COUNTIFS(patch[reviewer], $B47, patch[Review-1], "Review-1", patch[AuthorGroup], {"FL And dev","SH And dev"}, patch[MergeMonth], AC$34, patch[ReviewerGroup], "&lt;&gt;author"))</f>
        <v>0</v>
      </c>
      <c r="AD47" s="72">
        <f t="shared" si="12"/>
        <v>0</v>
      </c>
    </row>
    <row r="48" spans="1:30" outlineLevel="1">
      <c r="A48" s="180"/>
      <c r="B48" s="27" t="s">
        <v>1203</v>
      </c>
      <c r="C48" s="77">
        <f t="shared" si="3"/>
        <v>7</v>
      </c>
      <c r="D48" s="77">
        <f t="shared" si="4"/>
        <v>13</v>
      </c>
      <c r="E48" s="77">
        <f t="shared" si="5"/>
        <v>2</v>
      </c>
      <c r="F48" s="77">
        <f t="shared" si="6"/>
        <v>1</v>
      </c>
      <c r="G48" s="77">
        <f t="shared" si="7"/>
        <v>1</v>
      </c>
      <c r="H48" s="77">
        <f t="shared" si="8"/>
        <v>0</v>
      </c>
      <c r="I48" s="78">
        <f t="shared" si="9"/>
        <v>33</v>
      </c>
      <c r="J48" s="67">
        <f>COUNTIFS(patch[all_reviewer], "*"&amp;$B48&amp;"*", patch[AuthorGroup], "BJ And dev", patch[MergeMonth], J$34)</f>
        <v>0</v>
      </c>
      <c r="K48" s="104">
        <f>COUNTIFS(patch[reviewer], $B48, patch[AuthorGroup], "BJ And dev", patch[MergeMonth], K$34, patch[ReviewerGroup], "&lt;&gt;author", patch[Integrator], "&lt;&gt;IntegratorValidationComment")</f>
        <v>0</v>
      </c>
      <c r="L48" s="67">
        <f>COUNTIFS(patch[reviewer], $B48, patch[Review-1], "Review-1", patch[AuthorGroup], "BJ And dev", patch[MergeMonth], L$34, patch[ReviewerGroup], "&lt;&gt;author")</f>
        <v>0</v>
      </c>
      <c r="M48" s="67">
        <f>SUM(COUNTIFS(patch[all_reviewer], "*"&amp;$B48&amp;"*", patch[AuthorGroup], {"FL And dev","SH And dev"}, patch[MergeMonth], M$34))</f>
        <v>0</v>
      </c>
      <c r="N48" s="67">
        <f>SUM(COUNTIFS(patch[reviewer], $B48, patch[AuthorGroup], {"FL And dev","SH And dev"}, patch[MergeMonth], N$34, patch[ReviewerGroup], "&lt;&gt;author", patch[Integrator], "&lt;&gt;IntegratorValidationComment"))</f>
        <v>0</v>
      </c>
      <c r="O48" s="67">
        <f>SUM(COUNTIFS(patch[reviewer], $B48, patch[Review-1], "Review-1", patch[AuthorGroup], {"FL And dev","SH And dev"}, patch[MergeMonth], O$34, patch[ReviewerGroup], "&lt;&gt;author"))</f>
        <v>0</v>
      </c>
      <c r="P48" s="72">
        <f t="shared" si="10"/>
        <v>0</v>
      </c>
      <c r="Q48" s="67">
        <f>COUNTIFS(patch[all_reviewer], "*"&amp;$B48&amp;"*", patch[AuthorGroup], "BJ And dev", patch[MergeMonth], Q$34)</f>
        <v>0</v>
      </c>
      <c r="R48" s="67">
        <f>COUNTIFS(patch[reviewer], $B48, patch[AuthorGroup], "BJ And dev", patch[MergeMonth], R$34, patch[ReviewerGroup], "&lt;&gt;author", patch[Integrator], "&lt;&gt;IntegratorValidationComment")</f>
        <v>0</v>
      </c>
      <c r="S48" s="67">
        <f>COUNTIFS(patch[reviewer], $B48, patch[Review-1], "Review-1", patch[AuthorGroup], "BJ And dev", patch[MergeMonth], S$34, patch[ReviewerGroup], "&lt;&gt;author")</f>
        <v>0</v>
      </c>
      <c r="T48" s="67">
        <f>SUM(COUNTIFS(patch[all_reviewer], "*"&amp;$B48&amp;"*", patch[AuthorGroup], {"FL And dev","SH And dev"}, patch[MergeMonth], T$34))</f>
        <v>0</v>
      </c>
      <c r="U48" s="67">
        <f>SUM(COUNTIFS(patch[reviewer], $B48, patch[AuthorGroup], {"FL And dev","SH And dev"}, patch[MergeMonth], U$34, patch[ReviewerGroup], "&lt;&gt;author", patch[Integrator], "&lt;&gt;IntegratorValidationComment"))</f>
        <v>0</v>
      </c>
      <c r="V48" s="67">
        <f>SUM(COUNTIFS(patch[reviewer], $B48, patch[Review-1], "Review-1", patch[AuthorGroup], {"FL And dev","SH And dev"}, patch[MergeMonth], V$34, patch[ReviewerGroup], "&lt;&gt;author"))</f>
        <v>0</v>
      </c>
      <c r="W48" s="72">
        <f t="shared" si="11"/>
        <v>0</v>
      </c>
      <c r="X48" s="67">
        <f>COUNTIFS(patch[all_reviewer], "*"&amp;$B48&amp;"*", patch[AuthorGroup], "BJ And dev", patch[MergeMonth], X$34)</f>
        <v>7</v>
      </c>
      <c r="Y48" s="67">
        <f>COUNTIFS(patch[reviewer], $B48, patch[AuthorGroup], "BJ And dev", patch[MergeMonth], Y$34, patch[ReviewerGroup], "&lt;&gt;author", patch[Integrator], "&lt;&gt;IntegratorValidationComment")</f>
        <v>13</v>
      </c>
      <c r="Z48" s="67">
        <f>COUNTIFS(patch[reviewer], $B48, patch[Review-1], "Review-1", patch[AuthorGroup], "BJ And dev", patch[MergeMonth], Z$34, patch[ReviewerGroup], "&lt;&gt;author")</f>
        <v>2</v>
      </c>
      <c r="AA48" s="67">
        <f>SUM(COUNTIFS(patch[all_reviewer], "*"&amp;$B48&amp;"*", patch[AuthorGroup], {"FL And dev","SH And dev"}, patch[MergeMonth], AA$34))</f>
        <v>1</v>
      </c>
      <c r="AB48" s="67">
        <f>SUM(COUNTIFS(patch[reviewer], $B48, patch[AuthorGroup], {"FL And dev","SH And dev"}, patch[MergeMonth], AB$34, patch[ReviewerGroup], "&lt;&gt;author", patch[Integrator], "&lt;&gt;IntegratorValidationComment"))</f>
        <v>1</v>
      </c>
      <c r="AC48" s="67">
        <f>SUM(COUNTIFS(patch[reviewer], $B48, patch[Review-1], "Review-1", patch[AuthorGroup], {"FL And dev","SH And dev"}, patch[MergeMonth], AC$34, patch[ReviewerGroup], "&lt;&gt;author"))</f>
        <v>0</v>
      </c>
      <c r="AD48" s="72">
        <f t="shared" si="12"/>
        <v>33</v>
      </c>
    </row>
    <row r="49" spans="1:30" outlineLevel="1">
      <c r="A49" s="180"/>
      <c r="B49" s="27" t="s">
        <v>59</v>
      </c>
      <c r="C49" s="77">
        <f t="shared" si="3"/>
        <v>136</v>
      </c>
      <c r="D49" s="77">
        <f t="shared" si="4"/>
        <v>897</v>
      </c>
      <c r="E49" s="77">
        <f t="shared" si="5"/>
        <v>6</v>
      </c>
      <c r="F49" s="77">
        <f t="shared" si="6"/>
        <v>17</v>
      </c>
      <c r="G49" s="77">
        <f t="shared" si="7"/>
        <v>83</v>
      </c>
      <c r="H49" s="77">
        <f t="shared" si="8"/>
        <v>2</v>
      </c>
      <c r="I49" s="78">
        <f t="shared" si="9"/>
        <v>1286.5</v>
      </c>
      <c r="J49" s="67">
        <f>COUNTIFS(patch[all_reviewer], "*"&amp;$B49&amp;"*", patch[AuthorGroup], "BJ And dev", patch[MergeMonth], J$34)</f>
        <v>0</v>
      </c>
      <c r="K49" s="104">
        <f>COUNTIFS(patch[reviewer], $B49, patch[AuthorGroup], "BJ And dev", patch[MergeMonth], K$34, patch[ReviewerGroup], "&lt;&gt;author", patch[Integrator], "&lt;&gt;IntegratorValidationComment")</f>
        <v>0</v>
      </c>
      <c r="L49" s="67">
        <f>COUNTIFS(patch[reviewer], $B49, patch[Review-1], "Review-1", patch[AuthorGroup], "BJ And dev", patch[MergeMonth], L$34, patch[ReviewerGroup], "&lt;&gt;author")</f>
        <v>0</v>
      </c>
      <c r="M49" s="67">
        <f>SUM(COUNTIFS(patch[all_reviewer], "*"&amp;$B49&amp;"*", patch[AuthorGroup], {"FL And dev","SH And dev"}, patch[MergeMonth], M$34))</f>
        <v>0</v>
      </c>
      <c r="N49" s="67">
        <f>SUM(COUNTIFS(patch[reviewer], $B49, patch[AuthorGroup], {"FL And dev","SH And dev"}, patch[MergeMonth], N$34, patch[ReviewerGroup], "&lt;&gt;author", patch[Integrator], "&lt;&gt;IntegratorValidationComment"))</f>
        <v>0</v>
      </c>
      <c r="O49" s="67">
        <f>SUM(COUNTIFS(patch[reviewer], $B49, patch[Review-1], "Review-1", patch[AuthorGroup], {"FL And dev","SH And dev"}, patch[MergeMonth], O$34, patch[ReviewerGroup], "&lt;&gt;author"))</f>
        <v>0</v>
      </c>
      <c r="P49" s="72">
        <f t="shared" si="10"/>
        <v>0</v>
      </c>
      <c r="Q49" s="67">
        <f>COUNTIFS(patch[all_reviewer], "*"&amp;$B49&amp;"*", patch[AuthorGroup], "BJ And dev", patch[MergeMonth], Q$34)</f>
        <v>0</v>
      </c>
      <c r="R49" s="67">
        <f>COUNTIFS(patch[reviewer], $B49, patch[AuthorGroup], "BJ And dev", patch[MergeMonth], R$34, patch[ReviewerGroup], "&lt;&gt;author", patch[Integrator], "&lt;&gt;IntegratorValidationComment")</f>
        <v>0</v>
      </c>
      <c r="S49" s="67">
        <f>COUNTIFS(patch[reviewer], $B49, patch[Review-1], "Review-1", patch[AuthorGroup], "BJ And dev", patch[MergeMonth], S$34, patch[ReviewerGroup], "&lt;&gt;author")</f>
        <v>0</v>
      </c>
      <c r="T49" s="67">
        <f>SUM(COUNTIFS(patch[all_reviewer], "*"&amp;$B49&amp;"*", patch[AuthorGroup], {"FL And dev","SH And dev"}, patch[MergeMonth], T$34))</f>
        <v>0</v>
      </c>
      <c r="U49" s="67">
        <f>SUM(COUNTIFS(patch[reviewer], $B49, patch[AuthorGroup], {"FL And dev","SH And dev"}, patch[MergeMonth], U$34, patch[ReviewerGroup], "&lt;&gt;author", patch[Integrator], "&lt;&gt;IntegratorValidationComment"))</f>
        <v>0</v>
      </c>
      <c r="V49" s="67">
        <f>SUM(COUNTIFS(patch[reviewer], $B49, patch[Review-1], "Review-1", patch[AuthorGroup], {"FL And dev","SH And dev"}, patch[MergeMonth], V$34, patch[ReviewerGroup], "&lt;&gt;author"))</f>
        <v>0</v>
      </c>
      <c r="W49" s="72">
        <f t="shared" si="11"/>
        <v>0</v>
      </c>
      <c r="X49" s="67">
        <f>COUNTIFS(patch[all_reviewer], "*"&amp;$B49&amp;"*", patch[AuthorGroup], "BJ And dev", patch[MergeMonth], X$34)</f>
        <v>136</v>
      </c>
      <c r="Y49" s="67">
        <f>COUNTIFS(patch[reviewer], $B49, patch[AuthorGroup], "BJ And dev", patch[MergeMonth], Y$34, patch[ReviewerGroup], "&lt;&gt;author", patch[Integrator], "&lt;&gt;IntegratorValidationComment")</f>
        <v>897</v>
      </c>
      <c r="Z49" s="67">
        <f>COUNTIFS(patch[reviewer], $B49, patch[Review-1], "Review-1", patch[AuthorGroup], "BJ And dev", patch[MergeMonth], Z$34, patch[ReviewerGroup], "&lt;&gt;author")</f>
        <v>6</v>
      </c>
      <c r="AA49" s="67">
        <f>SUM(COUNTIFS(patch[all_reviewer], "*"&amp;$B49&amp;"*", patch[AuthorGroup], {"FL And dev","SH And dev"}, patch[MergeMonth], AA$34))</f>
        <v>17</v>
      </c>
      <c r="AB49" s="67">
        <f>SUM(COUNTIFS(patch[reviewer], $B49, patch[AuthorGroup], {"FL And dev","SH And dev"}, patch[MergeMonth], AB$34, patch[ReviewerGroup], "&lt;&gt;author", patch[Integrator], "&lt;&gt;IntegratorValidationComment"))</f>
        <v>83</v>
      </c>
      <c r="AC49" s="67">
        <f>SUM(COUNTIFS(patch[reviewer], $B49, patch[Review-1], "Review-1", patch[AuthorGroup], {"FL And dev","SH And dev"}, patch[MergeMonth], AC$34, patch[ReviewerGroup], "&lt;&gt;author"))</f>
        <v>2</v>
      </c>
      <c r="AD49" s="72">
        <f t="shared" si="12"/>
        <v>1286.5</v>
      </c>
    </row>
    <row r="50" spans="1:30" outlineLevel="1">
      <c r="A50" s="180"/>
      <c r="B50" s="27" t="s">
        <v>51</v>
      </c>
      <c r="C50" s="77">
        <f t="shared" si="3"/>
        <v>0</v>
      </c>
      <c r="D50" s="77">
        <f t="shared" si="4"/>
        <v>0</v>
      </c>
      <c r="E50" s="77">
        <f t="shared" si="5"/>
        <v>0</v>
      </c>
      <c r="F50" s="77">
        <f t="shared" si="6"/>
        <v>0</v>
      </c>
      <c r="G50" s="77">
        <f t="shared" si="7"/>
        <v>0</v>
      </c>
      <c r="H50" s="77">
        <f t="shared" si="8"/>
        <v>0</v>
      </c>
      <c r="I50" s="78">
        <f t="shared" si="9"/>
        <v>0</v>
      </c>
      <c r="J50" s="67">
        <f>COUNTIFS(patch[all_reviewer], "*"&amp;$B50&amp;"*", patch[AuthorGroup], "BJ And dev", patch[MergeMonth], J$34)</f>
        <v>0</v>
      </c>
      <c r="K50" s="104">
        <f>COUNTIFS(patch[reviewer], $B50, patch[AuthorGroup], "BJ And dev", patch[MergeMonth], K$34, patch[ReviewerGroup], "&lt;&gt;author", patch[Integrator], "&lt;&gt;IntegratorValidationComment")</f>
        <v>0</v>
      </c>
      <c r="L50" s="67">
        <f>COUNTIFS(patch[reviewer], $B50, patch[Review-1], "Review-1", patch[AuthorGroup], "BJ And dev", patch[MergeMonth], L$34, patch[ReviewerGroup], "&lt;&gt;author")</f>
        <v>0</v>
      </c>
      <c r="M50" s="67">
        <f>SUM(COUNTIFS(patch[all_reviewer], "*"&amp;$B50&amp;"*", patch[AuthorGroup], {"FL And dev","SH And dev"}, patch[MergeMonth], M$34))</f>
        <v>0</v>
      </c>
      <c r="N50" s="67">
        <f>SUM(COUNTIFS(patch[reviewer], $B50, patch[AuthorGroup], {"FL And dev","SH And dev"}, patch[MergeMonth], N$34, patch[ReviewerGroup], "&lt;&gt;author", patch[Integrator], "&lt;&gt;IntegratorValidationComment"))</f>
        <v>0</v>
      </c>
      <c r="O50" s="67">
        <f>SUM(COUNTIFS(patch[reviewer], $B50, patch[Review-1], "Review-1", patch[AuthorGroup], {"FL And dev","SH And dev"}, patch[MergeMonth], O$34, patch[ReviewerGroup], "&lt;&gt;author"))</f>
        <v>0</v>
      </c>
      <c r="P50" s="72">
        <f t="shared" si="10"/>
        <v>0</v>
      </c>
      <c r="Q50" s="67">
        <f>COUNTIFS(patch[all_reviewer], "*"&amp;$B50&amp;"*", patch[AuthorGroup], "BJ And dev", patch[MergeMonth], Q$34)</f>
        <v>0</v>
      </c>
      <c r="R50" s="67">
        <f>COUNTIFS(patch[reviewer], $B50, patch[AuthorGroup], "BJ And dev", patch[MergeMonth], R$34, patch[ReviewerGroup], "&lt;&gt;author", patch[Integrator], "&lt;&gt;IntegratorValidationComment")</f>
        <v>0</v>
      </c>
      <c r="S50" s="67">
        <f>COUNTIFS(patch[reviewer], $B50, patch[Review-1], "Review-1", patch[AuthorGroup], "BJ And dev", patch[MergeMonth], S$34, patch[ReviewerGroup], "&lt;&gt;author")</f>
        <v>0</v>
      </c>
      <c r="T50" s="67">
        <f>SUM(COUNTIFS(patch[all_reviewer], "*"&amp;$B50&amp;"*", patch[AuthorGroup], {"FL And dev","SH And dev"}, patch[MergeMonth], T$34))</f>
        <v>0</v>
      </c>
      <c r="U50" s="67">
        <f>SUM(COUNTIFS(patch[reviewer], $B50, patch[AuthorGroup], {"FL And dev","SH And dev"}, patch[MergeMonth], U$34, patch[ReviewerGroup], "&lt;&gt;author", patch[Integrator], "&lt;&gt;IntegratorValidationComment"))</f>
        <v>0</v>
      </c>
      <c r="V50" s="67">
        <f>SUM(COUNTIFS(patch[reviewer], $B50, patch[Review-1], "Review-1", patch[AuthorGroup], {"FL And dev","SH And dev"}, patch[MergeMonth], V$34, patch[ReviewerGroup], "&lt;&gt;author"))</f>
        <v>0</v>
      </c>
      <c r="W50" s="72">
        <f t="shared" si="11"/>
        <v>0</v>
      </c>
      <c r="X50" s="67">
        <f>COUNTIFS(patch[all_reviewer], "*"&amp;$B50&amp;"*", patch[AuthorGroup], "BJ And dev", patch[MergeMonth], X$34)</f>
        <v>0</v>
      </c>
      <c r="Y50" s="67">
        <f>COUNTIFS(patch[reviewer], $B50, patch[AuthorGroup], "BJ And dev", patch[MergeMonth], Y$34, patch[ReviewerGroup], "&lt;&gt;author", patch[Integrator], "&lt;&gt;IntegratorValidationComment")</f>
        <v>0</v>
      </c>
      <c r="Z50" s="67">
        <f>COUNTIFS(patch[reviewer], $B50, patch[Review-1], "Review-1", patch[AuthorGroup], "BJ And dev", patch[MergeMonth], Z$34, patch[ReviewerGroup], "&lt;&gt;author")</f>
        <v>0</v>
      </c>
      <c r="AA50" s="67">
        <f>SUM(COUNTIFS(patch[all_reviewer], "*"&amp;$B50&amp;"*", patch[AuthorGroup], {"FL And dev","SH And dev"}, patch[MergeMonth], AA$34))</f>
        <v>0</v>
      </c>
      <c r="AB50" s="67">
        <f>SUM(COUNTIFS(patch[reviewer], $B50, patch[AuthorGroup], {"FL And dev","SH And dev"}, patch[MergeMonth], AB$34, patch[ReviewerGroup], "&lt;&gt;author", patch[Integrator], "&lt;&gt;IntegratorValidationComment"))</f>
        <v>0</v>
      </c>
      <c r="AC50" s="67">
        <f>SUM(COUNTIFS(patch[reviewer], $B50, patch[Review-1], "Review-1", patch[AuthorGroup], {"FL And dev","SH And dev"}, patch[MergeMonth], AC$34, patch[ReviewerGroup], "&lt;&gt;author"))</f>
        <v>0</v>
      </c>
      <c r="AD50" s="72">
        <f t="shared" si="12"/>
        <v>0</v>
      </c>
    </row>
    <row r="51" spans="1:30" outlineLevel="1">
      <c r="A51" s="180"/>
      <c r="B51" s="27" t="s">
        <v>63</v>
      </c>
      <c r="C51" s="77">
        <f t="shared" si="3"/>
        <v>17</v>
      </c>
      <c r="D51" s="77">
        <f t="shared" si="4"/>
        <v>25</v>
      </c>
      <c r="E51" s="77">
        <f t="shared" si="5"/>
        <v>2</v>
      </c>
      <c r="F51" s="77">
        <f t="shared" si="6"/>
        <v>0</v>
      </c>
      <c r="G51" s="77">
        <f t="shared" si="7"/>
        <v>0</v>
      </c>
      <c r="H51" s="77">
        <f t="shared" si="8"/>
        <v>0</v>
      </c>
      <c r="I51" s="78">
        <f t="shared" si="9"/>
        <v>56.5</v>
      </c>
      <c r="J51" s="67">
        <f>COUNTIFS(patch[all_reviewer], "*"&amp;$B51&amp;"*", patch[AuthorGroup], "BJ And dev", patch[MergeMonth], J$34)</f>
        <v>0</v>
      </c>
      <c r="K51" s="104">
        <f>COUNTIFS(patch[reviewer], $B51, patch[AuthorGroup], "BJ And dev", patch[MergeMonth], K$34, patch[ReviewerGroup], "&lt;&gt;author", patch[Integrator], "&lt;&gt;IntegratorValidationComment")</f>
        <v>0</v>
      </c>
      <c r="L51" s="67">
        <f>COUNTIFS(patch[reviewer], $B51, patch[Review-1], "Review-1", patch[AuthorGroup], "BJ And dev", patch[MergeMonth], L$34, patch[ReviewerGroup], "&lt;&gt;author")</f>
        <v>0</v>
      </c>
      <c r="M51" s="67">
        <f>SUM(COUNTIFS(patch[all_reviewer], "*"&amp;$B51&amp;"*", patch[AuthorGroup], {"FL And dev","SH And dev"}, patch[MergeMonth], M$34))</f>
        <v>0</v>
      </c>
      <c r="N51" s="67">
        <f>SUM(COUNTIFS(patch[reviewer], $B51, patch[AuthorGroup], {"FL And dev","SH And dev"}, patch[MergeMonth], N$34, patch[ReviewerGroup], "&lt;&gt;author", patch[Integrator], "&lt;&gt;IntegratorValidationComment"))</f>
        <v>0</v>
      </c>
      <c r="O51" s="67">
        <f>SUM(COUNTIFS(patch[reviewer], $B51, patch[Review-1], "Review-1", patch[AuthorGroup], {"FL And dev","SH And dev"}, patch[MergeMonth], O$34, patch[ReviewerGroup], "&lt;&gt;author"))</f>
        <v>0</v>
      </c>
      <c r="P51" s="72">
        <f t="shared" si="10"/>
        <v>0</v>
      </c>
      <c r="Q51" s="67">
        <f>COUNTIFS(patch[all_reviewer], "*"&amp;$B51&amp;"*", patch[AuthorGroup], "BJ And dev", patch[MergeMonth], Q$34)</f>
        <v>0</v>
      </c>
      <c r="R51" s="67">
        <f>COUNTIFS(patch[reviewer], $B51, patch[AuthorGroup], "BJ And dev", patch[MergeMonth], R$34, patch[ReviewerGroup], "&lt;&gt;author", patch[Integrator], "&lt;&gt;IntegratorValidationComment")</f>
        <v>0</v>
      </c>
      <c r="S51" s="67">
        <f>COUNTIFS(patch[reviewer], $B51, patch[Review-1], "Review-1", patch[AuthorGroup], "BJ And dev", patch[MergeMonth], S$34, patch[ReviewerGroup], "&lt;&gt;author")</f>
        <v>0</v>
      </c>
      <c r="T51" s="67">
        <f>SUM(COUNTIFS(patch[all_reviewer], "*"&amp;$B51&amp;"*", patch[AuthorGroup], {"FL And dev","SH And dev"}, patch[MergeMonth], T$34))</f>
        <v>0</v>
      </c>
      <c r="U51" s="67">
        <f>SUM(COUNTIFS(patch[reviewer], $B51, patch[AuthorGroup], {"FL And dev","SH And dev"}, patch[MergeMonth], U$34, patch[ReviewerGroup], "&lt;&gt;author", patch[Integrator], "&lt;&gt;IntegratorValidationComment"))</f>
        <v>0</v>
      </c>
      <c r="V51" s="67">
        <f>SUM(COUNTIFS(patch[reviewer], $B51, patch[Review-1], "Review-1", patch[AuthorGroup], {"FL And dev","SH And dev"}, patch[MergeMonth], V$34, patch[ReviewerGroup], "&lt;&gt;author"))</f>
        <v>0</v>
      </c>
      <c r="W51" s="72">
        <f t="shared" si="11"/>
        <v>0</v>
      </c>
      <c r="X51" s="67">
        <f>COUNTIFS(patch[all_reviewer], "*"&amp;$B51&amp;"*", patch[AuthorGroup], "BJ And dev", patch[MergeMonth], X$34)</f>
        <v>17</v>
      </c>
      <c r="Y51" s="67">
        <f>COUNTIFS(patch[reviewer], $B51, patch[AuthorGroup], "BJ And dev", patch[MergeMonth], Y$34, patch[ReviewerGroup], "&lt;&gt;author", patch[Integrator], "&lt;&gt;IntegratorValidationComment")</f>
        <v>25</v>
      </c>
      <c r="Z51" s="67">
        <f>COUNTIFS(patch[reviewer], $B51, patch[Review-1], "Review-1", patch[AuthorGroup], "BJ And dev", patch[MergeMonth], Z$34, patch[ReviewerGroup], "&lt;&gt;author")</f>
        <v>2</v>
      </c>
      <c r="AA51" s="67">
        <f>SUM(COUNTIFS(patch[all_reviewer], "*"&amp;$B51&amp;"*", patch[AuthorGroup], {"FL And dev","SH And dev"}, patch[MergeMonth], AA$34))</f>
        <v>0</v>
      </c>
      <c r="AB51" s="67">
        <f>SUM(COUNTIFS(patch[reviewer], $B51, patch[AuthorGroup], {"FL And dev","SH And dev"}, patch[MergeMonth], AB$34, patch[ReviewerGroup], "&lt;&gt;author", patch[Integrator], "&lt;&gt;IntegratorValidationComment"))</f>
        <v>0</v>
      </c>
      <c r="AC51" s="67">
        <f>SUM(COUNTIFS(patch[reviewer], $B51, patch[Review-1], "Review-1", patch[AuthorGroup], {"FL And dev","SH And dev"}, patch[MergeMonth], AC$34, patch[ReviewerGroup], "&lt;&gt;author"))</f>
        <v>0</v>
      </c>
      <c r="AD51" s="72">
        <f t="shared" si="12"/>
        <v>56.5</v>
      </c>
    </row>
    <row r="52" spans="1:30" outlineLevel="1">
      <c r="A52" s="180"/>
      <c r="B52" s="27" t="s">
        <v>77</v>
      </c>
      <c r="C52" s="77">
        <f t="shared" si="3"/>
        <v>0</v>
      </c>
      <c r="D52" s="77">
        <f t="shared" si="4"/>
        <v>0</v>
      </c>
      <c r="E52" s="77">
        <f t="shared" si="5"/>
        <v>0</v>
      </c>
      <c r="F52" s="77">
        <f t="shared" si="6"/>
        <v>0</v>
      </c>
      <c r="G52" s="77">
        <f t="shared" si="7"/>
        <v>0</v>
      </c>
      <c r="H52" s="77">
        <f t="shared" si="8"/>
        <v>0</v>
      </c>
      <c r="I52" s="78">
        <f t="shared" si="9"/>
        <v>0</v>
      </c>
      <c r="J52" s="67">
        <f>COUNTIFS(patch[all_reviewer], "*"&amp;$B52&amp;"*", patch[AuthorGroup], "BJ And dev", patch[MergeMonth], J$34)</f>
        <v>0</v>
      </c>
      <c r="K52" s="104">
        <f>COUNTIFS(patch[reviewer], $B52, patch[AuthorGroup], "BJ And dev", patch[MergeMonth], K$34, patch[ReviewerGroup], "&lt;&gt;author", patch[Integrator], "&lt;&gt;IntegratorValidationComment")</f>
        <v>0</v>
      </c>
      <c r="L52" s="67">
        <f>COUNTIFS(patch[reviewer], $B52, patch[Review-1], "Review-1", patch[AuthorGroup], "BJ And dev", patch[MergeMonth], L$34, patch[ReviewerGroup], "&lt;&gt;author")</f>
        <v>0</v>
      </c>
      <c r="M52" s="67">
        <f>SUM(COUNTIFS(patch[all_reviewer], "*"&amp;$B52&amp;"*", patch[AuthorGroup], {"FL And dev","SH And dev"}, patch[MergeMonth], M$34))</f>
        <v>0</v>
      </c>
      <c r="N52" s="67">
        <f>SUM(COUNTIFS(patch[reviewer], $B52, patch[AuthorGroup], {"FL And dev","SH And dev"}, patch[MergeMonth], N$34, patch[ReviewerGroup], "&lt;&gt;author", patch[Integrator], "&lt;&gt;IntegratorValidationComment"))</f>
        <v>0</v>
      </c>
      <c r="O52" s="67">
        <f>SUM(COUNTIFS(patch[reviewer], $B52, patch[Review-1], "Review-1", patch[AuthorGroup], {"FL And dev","SH And dev"}, patch[MergeMonth], O$34, patch[ReviewerGroup], "&lt;&gt;author"))</f>
        <v>0</v>
      </c>
      <c r="P52" s="72">
        <f t="shared" si="10"/>
        <v>0</v>
      </c>
      <c r="Q52" s="67">
        <f>COUNTIFS(patch[all_reviewer], "*"&amp;$B52&amp;"*", patch[AuthorGroup], "BJ And dev", patch[MergeMonth], Q$34)</f>
        <v>0</v>
      </c>
      <c r="R52" s="67">
        <f>COUNTIFS(patch[reviewer], $B52, patch[AuthorGroup], "BJ And dev", patch[MergeMonth], R$34, patch[ReviewerGroup], "&lt;&gt;author", patch[Integrator], "&lt;&gt;IntegratorValidationComment")</f>
        <v>0</v>
      </c>
      <c r="S52" s="67">
        <f>COUNTIFS(patch[reviewer], $B52, patch[Review-1], "Review-1", patch[AuthorGroup], "BJ And dev", patch[MergeMonth], S$34, patch[ReviewerGroup], "&lt;&gt;author")</f>
        <v>0</v>
      </c>
      <c r="T52" s="67">
        <f>SUM(COUNTIFS(patch[all_reviewer], "*"&amp;$B52&amp;"*", patch[AuthorGroup], {"FL And dev","SH And dev"}, patch[MergeMonth], T$34))</f>
        <v>0</v>
      </c>
      <c r="U52" s="67">
        <f>SUM(COUNTIFS(patch[reviewer], $B52, patch[AuthorGroup], {"FL And dev","SH And dev"}, patch[MergeMonth], U$34, patch[ReviewerGroup], "&lt;&gt;author", patch[Integrator], "&lt;&gt;IntegratorValidationComment"))</f>
        <v>0</v>
      </c>
      <c r="V52" s="67">
        <f>SUM(COUNTIFS(patch[reviewer], $B52, patch[Review-1], "Review-1", patch[AuthorGroup], {"FL And dev","SH And dev"}, patch[MergeMonth], V$34, patch[ReviewerGroup], "&lt;&gt;author"))</f>
        <v>0</v>
      </c>
      <c r="W52" s="72">
        <f t="shared" si="11"/>
        <v>0</v>
      </c>
      <c r="X52" s="67">
        <f>COUNTIFS(patch[all_reviewer], "*"&amp;$B52&amp;"*", patch[AuthorGroup], "BJ And dev", patch[MergeMonth], X$34)</f>
        <v>0</v>
      </c>
      <c r="Y52" s="67">
        <f>COUNTIFS(patch[reviewer], $B52, patch[AuthorGroup], "BJ And dev", patch[MergeMonth], Y$34, patch[ReviewerGroup], "&lt;&gt;author", patch[Integrator], "&lt;&gt;IntegratorValidationComment")</f>
        <v>0</v>
      </c>
      <c r="Z52" s="67">
        <f>COUNTIFS(patch[reviewer], $B52, patch[Review-1], "Review-1", patch[AuthorGroup], "BJ And dev", patch[MergeMonth], Z$34, patch[ReviewerGroup], "&lt;&gt;author")</f>
        <v>0</v>
      </c>
      <c r="AA52" s="67">
        <f>SUM(COUNTIFS(patch[all_reviewer], "*"&amp;$B52&amp;"*", patch[AuthorGroup], {"FL And dev","SH And dev"}, patch[MergeMonth], AA$34))</f>
        <v>0</v>
      </c>
      <c r="AB52" s="67">
        <f>SUM(COUNTIFS(patch[reviewer], $B52, patch[AuthorGroup], {"FL And dev","SH And dev"}, patch[MergeMonth], AB$34, patch[ReviewerGroup], "&lt;&gt;author", patch[Integrator], "&lt;&gt;IntegratorValidationComment"))</f>
        <v>0</v>
      </c>
      <c r="AC52" s="67">
        <f>SUM(COUNTIFS(patch[reviewer], $B52, patch[Review-1], "Review-1", patch[AuthorGroup], {"FL And dev","SH And dev"}, patch[MergeMonth], AC$34, patch[ReviewerGroup], "&lt;&gt;author"))</f>
        <v>0</v>
      </c>
      <c r="AD52" s="72">
        <f t="shared" si="12"/>
        <v>0</v>
      </c>
    </row>
    <row r="53" spans="1:30" outlineLevel="1">
      <c r="A53" s="180"/>
      <c r="B53" s="27" t="s">
        <v>1267</v>
      </c>
      <c r="C53" s="77">
        <f t="shared" si="3"/>
        <v>0</v>
      </c>
      <c r="D53" s="77">
        <f t="shared" si="4"/>
        <v>0</v>
      </c>
      <c r="E53" s="77">
        <f t="shared" si="5"/>
        <v>0</v>
      </c>
      <c r="F53" s="77">
        <f t="shared" si="6"/>
        <v>0</v>
      </c>
      <c r="G53" s="77">
        <f t="shared" si="7"/>
        <v>0</v>
      </c>
      <c r="H53" s="77">
        <f t="shared" si="8"/>
        <v>0</v>
      </c>
      <c r="I53" s="78">
        <f t="shared" si="9"/>
        <v>0</v>
      </c>
      <c r="J53" s="67">
        <f>COUNTIFS(patch[all_reviewer], "*"&amp;$B53&amp;"*", patch[AuthorGroup], "BJ And dev", patch[MergeMonth], J$34)</f>
        <v>0</v>
      </c>
      <c r="K53" s="104">
        <f>COUNTIFS(patch[reviewer], $B53, patch[AuthorGroup], "BJ And dev", patch[MergeMonth], K$34, patch[ReviewerGroup], "&lt;&gt;author", patch[Integrator], "&lt;&gt;IntegratorValidationComment")</f>
        <v>0</v>
      </c>
      <c r="L53" s="67">
        <f>COUNTIFS(patch[reviewer], $B53, patch[Review-1], "Review-1", patch[AuthorGroup], "BJ And dev", patch[MergeMonth], L$34, patch[ReviewerGroup], "&lt;&gt;author")</f>
        <v>0</v>
      </c>
      <c r="M53" s="67">
        <f>SUM(COUNTIFS(patch[all_reviewer], "*"&amp;$B53&amp;"*", patch[AuthorGroup], {"FL And dev","SH And dev"}, patch[MergeMonth], M$34))</f>
        <v>0</v>
      </c>
      <c r="N53" s="67">
        <f>SUM(COUNTIFS(patch[reviewer], $B53, patch[AuthorGroup], {"FL And dev","SH And dev"}, patch[MergeMonth], N$34, patch[ReviewerGroup], "&lt;&gt;author", patch[Integrator], "&lt;&gt;IntegratorValidationComment"))</f>
        <v>0</v>
      </c>
      <c r="O53" s="67">
        <f>SUM(COUNTIFS(patch[reviewer], $B53, patch[Review-1], "Review-1", patch[AuthorGroup], {"FL And dev","SH And dev"}, patch[MergeMonth], O$34, patch[ReviewerGroup], "&lt;&gt;author"))</f>
        <v>0</v>
      </c>
      <c r="P53" s="72">
        <f t="shared" si="10"/>
        <v>0</v>
      </c>
      <c r="Q53" s="67">
        <f>COUNTIFS(patch[all_reviewer], "*"&amp;$B53&amp;"*", patch[AuthorGroup], "BJ And dev", patch[MergeMonth], Q$34)</f>
        <v>0</v>
      </c>
      <c r="R53" s="67">
        <f>COUNTIFS(patch[reviewer], $B53, patch[AuthorGroup], "BJ And dev", patch[MergeMonth], R$34, patch[ReviewerGroup], "&lt;&gt;author", patch[Integrator], "&lt;&gt;IntegratorValidationComment")</f>
        <v>0</v>
      </c>
      <c r="S53" s="67">
        <f>COUNTIFS(patch[reviewer], $B53, patch[Review-1], "Review-1", patch[AuthorGroup], "BJ And dev", patch[MergeMonth], S$34, patch[ReviewerGroup], "&lt;&gt;author")</f>
        <v>0</v>
      </c>
      <c r="T53" s="67">
        <f>SUM(COUNTIFS(patch[all_reviewer], "*"&amp;$B53&amp;"*", patch[AuthorGroup], {"FL And dev","SH And dev"}, patch[MergeMonth], T$34))</f>
        <v>0</v>
      </c>
      <c r="U53" s="67">
        <f>SUM(COUNTIFS(patch[reviewer], $B53, patch[AuthorGroup], {"FL And dev","SH And dev"}, patch[MergeMonth], U$34, patch[ReviewerGroup], "&lt;&gt;author", patch[Integrator], "&lt;&gt;IntegratorValidationComment"))</f>
        <v>0</v>
      </c>
      <c r="V53" s="67">
        <f>SUM(COUNTIFS(patch[reviewer], $B53, patch[Review-1], "Review-1", patch[AuthorGroup], {"FL And dev","SH And dev"}, patch[MergeMonth], V$34, patch[ReviewerGroup], "&lt;&gt;author"))</f>
        <v>0</v>
      </c>
      <c r="W53" s="72">
        <f t="shared" si="11"/>
        <v>0</v>
      </c>
      <c r="X53" s="67">
        <f>COUNTIFS(patch[all_reviewer], "*"&amp;$B53&amp;"*", patch[AuthorGroup], "BJ And dev", patch[MergeMonth], X$34)</f>
        <v>0</v>
      </c>
      <c r="Y53" s="67">
        <f>COUNTIFS(patch[reviewer], $B53, patch[AuthorGroup], "BJ And dev", patch[MergeMonth], Y$34, patch[ReviewerGroup], "&lt;&gt;author", patch[Integrator], "&lt;&gt;IntegratorValidationComment")</f>
        <v>0</v>
      </c>
      <c r="Z53" s="67">
        <f>COUNTIFS(patch[reviewer], $B53, patch[Review-1], "Review-1", patch[AuthorGroup], "BJ And dev", patch[MergeMonth], Z$34, patch[ReviewerGroup], "&lt;&gt;author")</f>
        <v>0</v>
      </c>
      <c r="AA53" s="67">
        <f>SUM(COUNTIFS(patch[all_reviewer], "*"&amp;$B53&amp;"*", patch[AuthorGroup], {"FL And dev","SH And dev"}, patch[MergeMonth], AA$34))</f>
        <v>0</v>
      </c>
      <c r="AB53" s="67">
        <f>SUM(COUNTIFS(patch[reviewer], $B53, patch[AuthorGroup], {"FL And dev","SH And dev"}, patch[MergeMonth], AB$34, patch[ReviewerGroup], "&lt;&gt;author", patch[Integrator], "&lt;&gt;IntegratorValidationComment"))</f>
        <v>0</v>
      </c>
      <c r="AC53" s="67">
        <f>SUM(COUNTIFS(patch[reviewer], $B53, patch[Review-1], "Review-1", patch[AuthorGroup], {"FL And dev","SH And dev"}, patch[MergeMonth], AC$34, patch[ReviewerGroup], "&lt;&gt;author"))</f>
        <v>0</v>
      </c>
      <c r="AD53" s="72">
        <f t="shared" si="12"/>
        <v>0</v>
      </c>
    </row>
    <row r="54" spans="1:30" outlineLevel="1">
      <c r="A54" s="180"/>
      <c r="B54" s="27" t="s">
        <v>35</v>
      </c>
      <c r="C54" s="77">
        <f t="shared" si="3"/>
        <v>0</v>
      </c>
      <c r="D54" s="77">
        <f t="shared" si="4"/>
        <v>0</v>
      </c>
      <c r="E54" s="77">
        <f t="shared" si="5"/>
        <v>0</v>
      </c>
      <c r="F54" s="77">
        <f t="shared" si="6"/>
        <v>0</v>
      </c>
      <c r="G54" s="77">
        <f t="shared" si="7"/>
        <v>0</v>
      </c>
      <c r="H54" s="77">
        <f t="shared" si="8"/>
        <v>0</v>
      </c>
      <c r="I54" s="78">
        <f t="shared" si="9"/>
        <v>0</v>
      </c>
      <c r="J54" s="67">
        <f>COUNTIFS(patch[all_reviewer], "*"&amp;$B54&amp;"*", patch[AuthorGroup], "BJ And dev", patch[MergeMonth], J$34)</f>
        <v>0</v>
      </c>
      <c r="K54" s="104">
        <f>COUNTIFS(patch[reviewer], $B54, patch[AuthorGroup], "BJ And dev", patch[MergeMonth], K$34, patch[ReviewerGroup], "&lt;&gt;author", patch[Integrator], "&lt;&gt;IntegratorValidationComment")</f>
        <v>0</v>
      </c>
      <c r="L54" s="67">
        <f>COUNTIFS(patch[reviewer], $B54, patch[Review-1], "Review-1", patch[AuthorGroup], "BJ And dev", patch[MergeMonth], L$34, patch[ReviewerGroup], "&lt;&gt;author")</f>
        <v>0</v>
      </c>
      <c r="M54" s="67">
        <f>SUM(COUNTIFS(patch[all_reviewer], "*"&amp;$B54&amp;"*", patch[AuthorGroup], {"FL And dev","SH And dev"}, patch[MergeMonth], M$34))</f>
        <v>0</v>
      </c>
      <c r="N54" s="67">
        <f>SUM(COUNTIFS(patch[reviewer], $B54, patch[AuthorGroup], {"FL And dev","SH And dev"}, patch[MergeMonth], N$34, patch[ReviewerGroup], "&lt;&gt;author", patch[Integrator], "&lt;&gt;IntegratorValidationComment"))</f>
        <v>0</v>
      </c>
      <c r="O54" s="67">
        <f>SUM(COUNTIFS(patch[reviewer], $B54, patch[Review-1], "Review-1", patch[AuthorGroup], {"FL And dev","SH And dev"}, patch[MergeMonth], O$34, patch[ReviewerGroup], "&lt;&gt;author"))</f>
        <v>0</v>
      </c>
      <c r="P54" s="72">
        <f t="shared" si="10"/>
        <v>0</v>
      </c>
      <c r="Q54" s="67">
        <f>COUNTIFS(patch[all_reviewer], "*"&amp;$B54&amp;"*", patch[AuthorGroup], "BJ And dev", patch[MergeMonth], Q$34)</f>
        <v>0</v>
      </c>
      <c r="R54" s="67">
        <f>COUNTIFS(patch[reviewer], $B54, patch[AuthorGroup], "BJ And dev", patch[MergeMonth], R$34, patch[ReviewerGroup], "&lt;&gt;author", patch[Integrator], "&lt;&gt;IntegratorValidationComment")</f>
        <v>0</v>
      </c>
      <c r="S54" s="67">
        <f>COUNTIFS(patch[reviewer], $B54, patch[Review-1], "Review-1", patch[AuthorGroup], "BJ And dev", patch[MergeMonth], S$34, patch[ReviewerGroup], "&lt;&gt;author")</f>
        <v>0</v>
      </c>
      <c r="T54" s="67">
        <f>SUM(COUNTIFS(patch[all_reviewer], "*"&amp;$B54&amp;"*", patch[AuthorGroup], {"FL And dev","SH And dev"}, patch[MergeMonth], T$34))</f>
        <v>0</v>
      </c>
      <c r="U54" s="67">
        <f>SUM(COUNTIFS(patch[reviewer], $B54, patch[AuthorGroup], {"FL And dev","SH And dev"}, patch[MergeMonth], U$34, patch[ReviewerGroup], "&lt;&gt;author", patch[Integrator], "&lt;&gt;IntegratorValidationComment"))</f>
        <v>0</v>
      </c>
      <c r="V54" s="67">
        <f>SUM(COUNTIFS(patch[reviewer], $B54, patch[Review-1], "Review-1", patch[AuthorGroup], {"FL And dev","SH And dev"}, patch[MergeMonth], V$34, patch[ReviewerGroup], "&lt;&gt;author"))</f>
        <v>0</v>
      </c>
      <c r="W54" s="72">
        <f t="shared" si="11"/>
        <v>0</v>
      </c>
      <c r="X54" s="67">
        <f>COUNTIFS(patch[all_reviewer], "*"&amp;$B54&amp;"*", patch[AuthorGroup], "BJ And dev", patch[MergeMonth], X$34)</f>
        <v>0</v>
      </c>
      <c r="Y54" s="67">
        <f>COUNTIFS(patch[reviewer], $B54, patch[AuthorGroup], "BJ And dev", patch[MergeMonth], Y$34, patch[ReviewerGroup], "&lt;&gt;author", patch[Integrator], "&lt;&gt;IntegratorValidationComment")</f>
        <v>0</v>
      </c>
      <c r="Z54" s="67">
        <f>COUNTIFS(patch[reviewer], $B54, patch[Review-1], "Review-1", patch[AuthorGroup], "BJ And dev", patch[MergeMonth], Z$34, patch[ReviewerGroup], "&lt;&gt;author")</f>
        <v>0</v>
      </c>
      <c r="AA54" s="67">
        <f>SUM(COUNTIFS(patch[all_reviewer], "*"&amp;$B54&amp;"*", patch[AuthorGroup], {"FL And dev","SH And dev"}, patch[MergeMonth], AA$34))</f>
        <v>0</v>
      </c>
      <c r="AB54" s="67">
        <f>SUM(COUNTIFS(patch[reviewer], $B54, patch[AuthorGroup], {"FL And dev","SH And dev"}, patch[MergeMonth], AB$34, patch[ReviewerGroup], "&lt;&gt;author", patch[Integrator], "&lt;&gt;IntegratorValidationComment"))</f>
        <v>0</v>
      </c>
      <c r="AC54" s="67">
        <f>SUM(COUNTIFS(patch[reviewer], $B54, patch[Review-1], "Review-1", patch[AuthorGroup], {"FL And dev","SH And dev"}, patch[MergeMonth], AC$34, patch[ReviewerGroup], "&lt;&gt;author"))</f>
        <v>0</v>
      </c>
      <c r="AD54" s="72">
        <f t="shared" si="12"/>
        <v>0</v>
      </c>
    </row>
    <row r="55" spans="1:30">
      <c r="B55" s="66" t="s">
        <v>2078</v>
      </c>
      <c r="C55" s="76">
        <f>SUM(C37:C54)</f>
        <v>337</v>
      </c>
      <c r="D55" s="76">
        <f>SUM(D37:D54)</f>
        <v>1212</v>
      </c>
      <c r="E55" s="76">
        <f t="shared" ref="E55:I55" si="13">SUM(E37:E54)</f>
        <v>27</v>
      </c>
      <c r="F55" s="76">
        <f t="shared" si="13"/>
        <v>42</v>
      </c>
      <c r="G55" s="76">
        <f t="shared" si="13"/>
        <v>120</v>
      </c>
      <c r="H55" s="76">
        <f t="shared" si="13"/>
        <v>5</v>
      </c>
      <c r="I55" s="76">
        <f t="shared" si="13"/>
        <v>2085</v>
      </c>
      <c r="J55" s="68">
        <f>SUM(J37:J54)</f>
        <v>0</v>
      </c>
      <c r="K55" s="105">
        <f t="shared" ref="K55:P55" si="14">SUM(K37:K54)</f>
        <v>0</v>
      </c>
      <c r="L55" s="68">
        <f t="shared" si="14"/>
        <v>0</v>
      </c>
      <c r="M55" s="68">
        <f t="shared" si="14"/>
        <v>0</v>
      </c>
      <c r="N55" s="68">
        <f t="shared" si="14"/>
        <v>0</v>
      </c>
      <c r="O55" s="68">
        <f t="shared" si="14"/>
        <v>0</v>
      </c>
      <c r="P55" s="68">
        <f t="shared" si="14"/>
        <v>0</v>
      </c>
      <c r="Q55" s="68">
        <f t="shared" ref="Q55:V55" si="15">SUM(Q37:Q54)</f>
        <v>0</v>
      </c>
      <c r="R55" s="68">
        <f t="shared" si="15"/>
        <v>0</v>
      </c>
      <c r="S55" s="68">
        <f t="shared" si="15"/>
        <v>0</v>
      </c>
      <c r="T55" s="68">
        <f t="shared" si="15"/>
        <v>0</v>
      </c>
      <c r="U55" s="68">
        <f t="shared" si="15"/>
        <v>0</v>
      </c>
      <c r="V55" s="68">
        <f t="shared" si="15"/>
        <v>0</v>
      </c>
      <c r="W55" s="68">
        <f t="shared" ref="W55" si="16">SUM(W37:W54)</f>
        <v>0</v>
      </c>
      <c r="X55" s="68">
        <f t="shared" ref="X55:AC55" si="17">SUM(X37:X54)</f>
        <v>337</v>
      </c>
      <c r="Y55" s="68">
        <f t="shared" si="17"/>
        <v>1212</v>
      </c>
      <c r="Z55" s="68">
        <f t="shared" si="17"/>
        <v>27</v>
      </c>
      <c r="AA55" s="68">
        <f t="shared" si="17"/>
        <v>42</v>
      </c>
      <c r="AB55" s="68">
        <f t="shared" si="17"/>
        <v>120</v>
      </c>
      <c r="AC55" s="68">
        <f t="shared" si="17"/>
        <v>5</v>
      </c>
      <c r="AD55" s="68">
        <f t="shared" ref="AD55" si="18">SUM(AD37:AD54)</f>
        <v>2085</v>
      </c>
    </row>
    <row r="56" spans="1:30" outlineLevel="1">
      <c r="A56" s="180" t="s">
        <v>2069</v>
      </c>
      <c r="B56" s="27" t="s">
        <v>1192</v>
      </c>
      <c r="C56" s="77">
        <f t="shared" ref="C56:C69" si="19">SUM(J56, Q56, X56)</f>
        <v>0</v>
      </c>
      <c r="D56" s="77">
        <f t="shared" ref="D56:D69" si="20">SUM(K56, R56, Y56)</f>
        <v>0</v>
      </c>
      <c r="E56" s="77">
        <f t="shared" ref="E56:E69" si="21">SUM(L56, S56, Z56)</f>
        <v>0</v>
      </c>
      <c r="F56" s="77">
        <f t="shared" ref="F56:F69" si="22">SUM(M56, T56, AA56)</f>
        <v>0</v>
      </c>
      <c r="G56" s="77">
        <f t="shared" ref="G56:G69" si="23">SUM(N56, U56, AB56)</f>
        <v>0</v>
      </c>
      <c r="H56" s="77">
        <f t="shared" ref="H56:H69" si="24">SUM(O56, V56, AC56)</f>
        <v>0</v>
      </c>
      <c r="I56" s="78">
        <f t="shared" ref="I56:I70" si="25">SUMPRODUCT(C56:H56, $C$74:$H$74)</f>
        <v>0</v>
      </c>
      <c r="J56" s="67">
        <f>COUNTIFS(patch[all_reviewer], "*"&amp;$B56&amp;"*", patch[AuthorGroup], "BJ And dev", patch[MergeMonth], J$34)</f>
        <v>0</v>
      </c>
      <c r="K56" s="104">
        <f>COUNTIFS(patch[reviewer], $B56, patch[AuthorGroup], "BJ And dev", patch[MergeMonth], K$34, patch[ReviewerGroup], "&lt;&gt;author", patch[Integrator], "&lt;&gt;IntegratorValidationComment")</f>
        <v>0</v>
      </c>
      <c r="L56" s="67">
        <f>COUNTIFS(patch[reviewer], $B56, patch[Review-1], "Review-1", patch[AuthorGroup], "BJ And dev", patch[MergeMonth], L$34, patch[ReviewerGroup], "&lt;&gt;author")</f>
        <v>0</v>
      </c>
      <c r="M56" s="67">
        <f>SUM(COUNTIFS(patch[all_reviewer], "*"&amp;$B56&amp;"*", patch[AuthorGroup], {"FL And dev","SH And dev"}, patch[MergeMonth], M$34))</f>
        <v>0</v>
      </c>
      <c r="N56" s="67">
        <f>SUM(COUNTIFS(patch[reviewer], $B56, patch[AuthorGroup], {"FL And dev","SH And dev"}, patch[MergeMonth], N$34, patch[ReviewerGroup], "&lt;&gt;author", patch[Integrator], "&lt;&gt;IntegratorValidationComment"))</f>
        <v>0</v>
      </c>
      <c r="O56" s="67">
        <f>SUM(COUNTIFS(patch[reviewer], $B56, patch[Review-1], "Review-1", patch[AuthorGroup], {"FL And dev","SH And dev"}, patch[MergeMonth], O$34, patch[ReviewerGroup], "&lt;&gt;author"))</f>
        <v>0</v>
      </c>
      <c r="P56" s="72">
        <f t="shared" ref="P56:P70" si="26">SUMPRODUCT(J56:O56, $C$74:$H$74)</f>
        <v>0</v>
      </c>
      <c r="Q56" s="67">
        <f>COUNTIFS(patch[all_reviewer], "*"&amp;$B56&amp;"*", patch[AuthorGroup], "BJ And dev", patch[MergeMonth], Q$34)</f>
        <v>0</v>
      </c>
      <c r="R56" s="67">
        <f>COUNTIFS(patch[reviewer], $B56, patch[AuthorGroup], "BJ And dev", patch[MergeMonth], R$34, patch[ReviewerGroup], "&lt;&gt;author", patch[Integrator], "&lt;&gt;IntegratorValidationComment")</f>
        <v>0</v>
      </c>
      <c r="S56" s="67">
        <f>COUNTIFS(patch[reviewer], $B56, patch[Review-1], "Review-1", patch[AuthorGroup], "BJ And dev", patch[MergeMonth], S$34, patch[ReviewerGroup], "&lt;&gt;author")</f>
        <v>0</v>
      </c>
      <c r="T56" s="67">
        <f>SUM(COUNTIFS(patch[all_reviewer], "*"&amp;$B56&amp;"*", patch[AuthorGroup], {"FL And dev","SH And dev"}, patch[MergeMonth], T$34))</f>
        <v>0</v>
      </c>
      <c r="U56" s="67">
        <f>SUM(COUNTIFS(patch[reviewer], $B56, patch[AuthorGroup], {"FL And dev","SH And dev"}, patch[MergeMonth], U$34, patch[ReviewerGroup], "&lt;&gt;author", patch[Integrator], "&lt;&gt;IntegratorValidationComment"))</f>
        <v>0</v>
      </c>
      <c r="V56" s="67">
        <f>SUM(COUNTIFS(patch[reviewer], $B56, patch[Review-1], "Review-1", patch[AuthorGroup], {"FL And dev","SH And dev"}, patch[MergeMonth], V$34, patch[ReviewerGroup], "&lt;&gt;author"))</f>
        <v>0</v>
      </c>
      <c r="W56" s="72">
        <f t="shared" ref="W56:W70" si="27">SUMPRODUCT(Q56:V56, $C$74:$H$74)</f>
        <v>0</v>
      </c>
      <c r="X56" s="67">
        <f>COUNTIFS(patch[all_reviewer], "*"&amp;$B56&amp;"*", patch[AuthorGroup], "BJ And dev", patch[MergeMonth], X$34)</f>
        <v>0</v>
      </c>
      <c r="Y56" s="67">
        <f>COUNTIFS(patch[reviewer], $B56, patch[AuthorGroup], "BJ And dev", patch[MergeMonth], Y$34, patch[ReviewerGroup], "&lt;&gt;author", patch[Integrator], "&lt;&gt;IntegratorValidationComment")</f>
        <v>0</v>
      </c>
      <c r="Z56" s="67">
        <f>COUNTIFS(patch[reviewer], $B56, patch[Review-1], "Review-1", patch[AuthorGroup], "BJ And dev", patch[MergeMonth], Z$34, patch[ReviewerGroup], "&lt;&gt;author")</f>
        <v>0</v>
      </c>
      <c r="AA56" s="67">
        <f>SUM(COUNTIFS(patch[all_reviewer], "*"&amp;$B56&amp;"*", patch[AuthorGroup], {"FL And dev","SH And dev"}, patch[MergeMonth], AA$34))</f>
        <v>0</v>
      </c>
      <c r="AB56" s="67">
        <f>SUM(COUNTIFS(patch[reviewer], $B56, patch[AuthorGroup], {"FL And dev","SH And dev"}, patch[MergeMonth], AB$34, patch[ReviewerGroup], "&lt;&gt;author", patch[Integrator], "&lt;&gt;IntegratorValidationComment"))</f>
        <v>0</v>
      </c>
      <c r="AC56" s="67">
        <f>SUM(COUNTIFS(patch[reviewer], $B56, patch[Review-1], "Review-1", patch[AuthorGroup], {"FL And dev","SH And dev"}, patch[MergeMonth], AC$34, patch[ReviewerGroup], "&lt;&gt;author"))</f>
        <v>0</v>
      </c>
      <c r="AD56" s="72">
        <f t="shared" ref="AD56:AD70" si="28">SUMPRODUCT(X56:AC56, $C$74:$H$74)</f>
        <v>0</v>
      </c>
    </row>
    <row r="57" spans="1:30" outlineLevel="1">
      <c r="A57" s="180"/>
      <c r="B57" s="27" t="s">
        <v>66</v>
      </c>
      <c r="C57" s="77">
        <f t="shared" si="19"/>
        <v>0</v>
      </c>
      <c r="D57" s="77">
        <f t="shared" si="20"/>
        <v>0</v>
      </c>
      <c r="E57" s="77">
        <f t="shared" si="21"/>
        <v>0</v>
      </c>
      <c r="F57" s="77">
        <f t="shared" si="22"/>
        <v>0</v>
      </c>
      <c r="G57" s="77">
        <f t="shared" si="23"/>
        <v>0</v>
      </c>
      <c r="H57" s="77">
        <f t="shared" si="24"/>
        <v>0</v>
      </c>
      <c r="I57" s="78">
        <f t="shared" si="25"/>
        <v>0</v>
      </c>
      <c r="J57" s="67">
        <f>COUNTIFS(patch[all_reviewer], "*"&amp;$B57&amp;"*", patch[AuthorGroup], "BJ And dev", patch[MergeMonth], J$34)</f>
        <v>0</v>
      </c>
      <c r="K57" s="104">
        <f>COUNTIFS(patch[reviewer], $B57, patch[AuthorGroup], "BJ And dev", patch[MergeMonth], K$34, patch[ReviewerGroup], "&lt;&gt;author", patch[Integrator], "&lt;&gt;IntegratorValidationComment")</f>
        <v>0</v>
      </c>
      <c r="L57" s="67">
        <f>COUNTIFS(patch[reviewer], $B57, patch[Review-1], "Review-1", patch[AuthorGroup], "BJ And dev", patch[MergeMonth], L$34, patch[ReviewerGroup], "&lt;&gt;author")</f>
        <v>0</v>
      </c>
      <c r="M57" s="67">
        <f>SUM(COUNTIFS(patch[all_reviewer], "*"&amp;$B57&amp;"*", patch[AuthorGroup], {"FL And dev","SH And dev"}, patch[MergeMonth], M$34))</f>
        <v>0</v>
      </c>
      <c r="N57" s="67">
        <f>SUM(COUNTIFS(patch[reviewer], $B57, patch[AuthorGroup], {"FL And dev","SH And dev"}, patch[MergeMonth], N$34, patch[ReviewerGroup], "&lt;&gt;author", patch[Integrator], "&lt;&gt;IntegratorValidationComment"))</f>
        <v>0</v>
      </c>
      <c r="O57" s="67">
        <f>SUM(COUNTIFS(patch[reviewer], $B57, patch[Review-1], "Review-1", patch[AuthorGroup], {"FL And dev","SH And dev"}, patch[MergeMonth], O$34, patch[ReviewerGroup], "&lt;&gt;author"))</f>
        <v>0</v>
      </c>
      <c r="P57" s="72">
        <f t="shared" si="26"/>
        <v>0</v>
      </c>
      <c r="Q57" s="67">
        <f>COUNTIFS(patch[all_reviewer], "*"&amp;$B57&amp;"*", patch[AuthorGroup], "BJ And dev", patch[MergeMonth], Q$34)</f>
        <v>0</v>
      </c>
      <c r="R57" s="67">
        <f>COUNTIFS(patch[reviewer], $B57, patch[AuthorGroup], "BJ And dev", patch[MergeMonth], R$34, patch[ReviewerGroup], "&lt;&gt;author", patch[Integrator], "&lt;&gt;IntegratorValidationComment")</f>
        <v>0</v>
      </c>
      <c r="S57" s="67">
        <f>COUNTIFS(patch[reviewer], $B57, patch[Review-1], "Review-1", patch[AuthorGroup], "BJ And dev", patch[MergeMonth], S$34, patch[ReviewerGroup], "&lt;&gt;author")</f>
        <v>0</v>
      </c>
      <c r="T57" s="67">
        <f>SUM(COUNTIFS(patch[all_reviewer], "*"&amp;$B57&amp;"*", patch[AuthorGroup], {"FL And dev","SH And dev"}, patch[MergeMonth], T$34))</f>
        <v>0</v>
      </c>
      <c r="U57" s="67">
        <f>SUM(COUNTIFS(patch[reviewer], $B57, patch[AuthorGroup], {"FL And dev","SH And dev"}, patch[MergeMonth], U$34, patch[ReviewerGroup], "&lt;&gt;author", patch[Integrator], "&lt;&gt;IntegratorValidationComment"))</f>
        <v>0</v>
      </c>
      <c r="V57" s="67">
        <f>SUM(COUNTIFS(patch[reviewer], $B57, patch[Review-1], "Review-1", patch[AuthorGroup], {"FL And dev","SH And dev"}, patch[MergeMonth], V$34, patch[ReviewerGroup], "&lt;&gt;author"))</f>
        <v>0</v>
      </c>
      <c r="W57" s="72">
        <f t="shared" si="27"/>
        <v>0</v>
      </c>
      <c r="X57" s="67">
        <f>COUNTIFS(patch[all_reviewer], "*"&amp;$B57&amp;"*", patch[AuthorGroup], "BJ And dev", patch[MergeMonth], X$34)</f>
        <v>0</v>
      </c>
      <c r="Y57" s="67">
        <f>COUNTIFS(patch[reviewer], $B57, patch[AuthorGroup], "BJ And dev", patch[MergeMonth], Y$34, patch[ReviewerGroup], "&lt;&gt;author", patch[Integrator], "&lt;&gt;IntegratorValidationComment")</f>
        <v>0</v>
      </c>
      <c r="Z57" s="67">
        <f>COUNTIFS(patch[reviewer], $B57, patch[Review-1], "Review-1", patch[AuthorGroup], "BJ And dev", patch[MergeMonth], Z$34, patch[ReviewerGroup], "&lt;&gt;author")</f>
        <v>0</v>
      </c>
      <c r="AA57" s="67">
        <f>SUM(COUNTIFS(patch[all_reviewer], "*"&amp;$B57&amp;"*", patch[AuthorGroup], {"FL And dev","SH And dev"}, patch[MergeMonth], AA$34))</f>
        <v>0</v>
      </c>
      <c r="AB57" s="67">
        <f>SUM(COUNTIFS(patch[reviewer], $B57, patch[AuthorGroup], {"FL And dev","SH And dev"}, patch[MergeMonth], AB$34, patch[ReviewerGroup], "&lt;&gt;author", patch[Integrator], "&lt;&gt;IntegratorValidationComment"))</f>
        <v>0</v>
      </c>
      <c r="AC57" s="67">
        <f>SUM(COUNTIFS(patch[reviewer], $B57, patch[Review-1], "Review-1", patch[AuthorGroup], {"FL And dev","SH And dev"}, patch[MergeMonth], AC$34, patch[ReviewerGroup], "&lt;&gt;author"))</f>
        <v>0</v>
      </c>
      <c r="AD57" s="72">
        <f t="shared" si="28"/>
        <v>0</v>
      </c>
    </row>
    <row r="58" spans="1:30" outlineLevel="1">
      <c r="A58" s="180"/>
      <c r="B58" s="27" t="s">
        <v>73</v>
      </c>
      <c r="C58" s="77">
        <f t="shared" si="19"/>
        <v>1</v>
      </c>
      <c r="D58" s="77">
        <f t="shared" si="20"/>
        <v>1</v>
      </c>
      <c r="E58" s="77">
        <f t="shared" si="21"/>
        <v>0</v>
      </c>
      <c r="F58" s="77">
        <f t="shared" si="22"/>
        <v>0</v>
      </c>
      <c r="G58" s="77">
        <f t="shared" si="23"/>
        <v>0</v>
      </c>
      <c r="H58" s="77">
        <f t="shared" si="24"/>
        <v>0</v>
      </c>
      <c r="I58" s="78">
        <f t="shared" si="25"/>
        <v>2.5</v>
      </c>
      <c r="J58" s="67">
        <f>COUNTIFS(patch[all_reviewer], "*"&amp;$B58&amp;"*", patch[AuthorGroup], "BJ And dev", patch[MergeMonth], J$34)</f>
        <v>0</v>
      </c>
      <c r="K58" s="104">
        <f>COUNTIFS(patch[reviewer], $B58, patch[AuthorGroup], "BJ And dev", patch[MergeMonth], K$34, patch[ReviewerGroup], "&lt;&gt;author", patch[Integrator], "&lt;&gt;IntegratorValidationComment")</f>
        <v>0</v>
      </c>
      <c r="L58" s="67">
        <f>COUNTIFS(patch[reviewer], $B58, patch[Review-1], "Review-1", patch[AuthorGroup], "BJ And dev", patch[MergeMonth], L$34, patch[ReviewerGroup], "&lt;&gt;author")</f>
        <v>0</v>
      </c>
      <c r="M58" s="67">
        <f>SUM(COUNTIFS(patch[all_reviewer], "*"&amp;$B58&amp;"*", patch[AuthorGroup], {"FL And dev","SH And dev"}, patch[MergeMonth], M$34))</f>
        <v>0</v>
      </c>
      <c r="N58" s="67">
        <f>SUM(COUNTIFS(patch[reviewer], $B58, patch[AuthorGroup], {"FL And dev","SH And dev"}, patch[MergeMonth], N$34, patch[ReviewerGroup], "&lt;&gt;author", patch[Integrator], "&lt;&gt;IntegratorValidationComment"))</f>
        <v>0</v>
      </c>
      <c r="O58" s="67">
        <f>SUM(COUNTIFS(patch[reviewer], $B58, patch[Review-1], "Review-1", patch[AuthorGroup], {"FL And dev","SH And dev"}, patch[MergeMonth], O$34, patch[ReviewerGroup], "&lt;&gt;author"))</f>
        <v>0</v>
      </c>
      <c r="P58" s="72">
        <f t="shared" si="26"/>
        <v>0</v>
      </c>
      <c r="Q58" s="67">
        <f>COUNTIFS(patch[all_reviewer], "*"&amp;$B58&amp;"*", patch[AuthorGroup], "BJ And dev", patch[MergeMonth], Q$34)</f>
        <v>0</v>
      </c>
      <c r="R58" s="67">
        <f>COUNTIFS(patch[reviewer], $B58, patch[AuthorGroup], "BJ And dev", patch[MergeMonth], R$34, patch[ReviewerGroup], "&lt;&gt;author", patch[Integrator], "&lt;&gt;IntegratorValidationComment")</f>
        <v>0</v>
      </c>
      <c r="S58" s="67">
        <f>COUNTIFS(patch[reviewer], $B58, patch[Review-1], "Review-1", patch[AuthorGroup], "BJ And dev", patch[MergeMonth], S$34, patch[ReviewerGroup], "&lt;&gt;author")</f>
        <v>0</v>
      </c>
      <c r="T58" s="67">
        <f>SUM(COUNTIFS(patch[all_reviewer], "*"&amp;$B58&amp;"*", patch[AuthorGroup], {"FL And dev","SH And dev"}, patch[MergeMonth], T$34))</f>
        <v>0</v>
      </c>
      <c r="U58" s="67">
        <f>SUM(COUNTIFS(patch[reviewer], $B58, patch[AuthorGroup], {"FL And dev","SH And dev"}, patch[MergeMonth], U$34, patch[ReviewerGroup], "&lt;&gt;author", patch[Integrator], "&lt;&gt;IntegratorValidationComment"))</f>
        <v>0</v>
      </c>
      <c r="V58" s="67">
        <f>SUM(COUNTIFS(patch[reviewer], $B58, patch[Review-1], "Review-1", patch[AuthorGroup], {"FL And dev","SH And dev"}, patch[MergeMonth], V$34, patch[ReviewerGroup], "&lt;&gt;author"))</f>
        <v>0</v>
      </c>
      <c r="W58" s="72">
        <f t="shared" si="27"/>
        <v>0</v>
      </c>
      <c r="X58" s="67">
        <f>COUNTIFS(patch[all_reviewer], "*"&amp;$B58&amp;"*", patch[AuthorGroup], "BJ And dev", patch[MergeMonth], X$34)</f>
        <v>1</v>
      </c>
      <c r="Y58" s="67">
        <f>COUNTIFS(patch[reviewer], $B58, patch[AuthorGroup], "BJ And dev", patch[MergeMonth], Y$34, patch[ReviewerGroup], "&lt;&gt;author", patch[Integrator], "&lt;&gt;IntegratorValidationComment")</f>
        <v>1</v>
      </c>
      <c r="Z58" s="67">
        <f>COUNTIFS(patch[reviewer], $B58, patch[Review-1], "Review-1", patch[AuthorGroup], "BJ And dev", patch[MergeMonth], Z$34, patch[ReviewerGroup], "&lt;&gt;author")</f>
        <v>0</v>
      </c>
      <c r="AA58" s="67">
        <f>SUM(COUNTIFS(patch[all_reviewer], "*"&amp;$B58&amp;"*", patch[AuthorGroup], {"FL And dev","SH And dev"}, patch[MergeMonth], AA$34))</f>
        <v>0</v>
      </c>
      <c r="AB58" s="67">
        <f>SUM(COUNTIFS(patch[reviewer], $B58, patch[AuthorGroup], {"FL And dev","SH And dev"}, patch[MergeMonth], AB$34, patch[ReviewerGroup], "&lt;&gt;author", patch[Integrator], "&lt;&gt;IntegratorValidationComment"))</f>
        <v>0</v>
      </c>
      <c r="AC58" s="67">
        <f>SUM(COUNTIFS(patch[reviewer], $B58, patch[Review-1], "Review-1", patch[AuthorGroup], {"FL And dev","SH And dev"}, patch[MergeMonth], AC$34, patch[ReviewerGroup], "&lt;&gt;author"))</f>
        <v>0</v>
      </c>
      <c r="AD58" s="72">
        <f t="shared" si="28"/>
        <v>2.5</v>
      </c>
    </row>
    <row r="59" spans="1:30" outlineLevel="1">
      <c r="A59" s="180"/>
      <c r="B59" s="27" t="s">
        <v>97</v>
      </c>
      <c r="C59" s="77">
        <f t="shared" si="19"/>
        <v>0</v>
      </c>
      <c r="D59" s="77">
        <f t="shared" si="20"/>
        <v>0</v>
      </c>
      <c r="E59" s="77">
        <f t="shared" si="21"/>
        <v>0</v>
      </c>
      <c r="F59" s="77">
        <f t="shared" si="22"/>
        <v>0</v>
      </c>
      <c r="G59" s="77">
        <f t="shared" si="23"/>
        <v>0</v>
      </c>
      <c r="H59" s="77">
        <f t="shared" si="24"/>
        <v>0</v>
      </c>
      <c r="I59" s="78">
        <f t="shared" si="25"/>
        <v>0</v>
      </c>
      <c r="J59" s="67">
        <f>COUNTIFS(patch[all_reviewer], "*"&amp;$B59&amp;"*", patch[AuthorGroup], "BJ And dev", patch[MergeMonth], J$34)</f>
        <v>0</v>
      </c>
      <c r="K59" s="104">
        <f>COUNTIFS(patch[reviewer], $B59, patch[AuthorGroup], "BJ And dev", patch[MergeMonth], K$34, patch[ReviewerGroup], "&lt;&gt;author", patch[Integrator], "&lt;&gt;IntegratorValidationComment")</f>
        <v>0</v>
      </c>
      <c r="L59" s="67">
        <f>COUNTIFS(patch[reviewer], $B59, patch[Review-1], "Review-1", patch[AuthorGroup], "BJ And dev", patch[MergeMonth], L$34, patch[ReviewerGroup], "&lt;&gt;author")</f>
        <v>0</v>
      </c>
      <c r="M59" s="67">
        <f>SUM(COUNTIFS(patch[all_reviewer], "*"&amp;$B59&amp;"*", patch[AuthorGroup], {"FL And dev","SH And dev"}, patch[MergeMonth], M$34))</f>
        <v>0</v>
      </c>
      <c r="N59" s="67">
        <f>SUM(COUNTIFS(patch[reviewer], $B59, patch[AuthorGroup], {"FL And dev","SH And dev"}, patch[MergeMonth], N$34, patch[ReviewerGroup], "&lt;&gt;author", patch[Integrator], "&lt;&gt;IntegratorValidationComment"))</f>
        <v>0</v>
      </c>
      <c r="O59" s="67">
        <f>SUM(COUNTIFS(patch[reviewer], $B59, patch[Review-1], "Review-1", patch[AuthorGroup], {"FL And dev","SH And dev"}, patch[MergeMonth], O$34, patch[ReviewerGroup], "&lt;&gt;author"))</f>
        <v>0</v>
      </c>
      <c r="P59" s="72">
        <f t="shared" si="26"/>
        <v>0</v>
      </c>
      <c r="Q59" s="67">
        <f>COUNTIFS(patch[all_reviewer], "*"&amp;$B59&amp;"*", patch[AuthorGroup], "BJ And dev", patch[MergeMonth], Q$34)</f>
        <v>0</v>
      </c>
      <c r="R59" s="67">
        <f>COUNTIFS(patch[reviewer], $B59, patch[AuthorGroup], "BJ And dev", patch[MergeMonth], R$34, patch[ReviewerGroup], "&lt;&gt;author", patch[Integrator], "&lt;&gt;IntegratorValidationComment")</f>
        <v>0</v>
      </c>
      <c r="S59" s="67">
        <f>COUNTIFS(patch[reviewer], $B59, patch[Review-1], "Review-1", patch[AuthorGroup], "BJ And dev", patch[MergeMonth], S$34, patch[ReviewerGroup], "&lt;&gt;author")</f>
        <v>0</v>
      </c>
      <c r="T59" s="67">
        <f>SUM(COUNTIFS(patch[all_reviewer], "*"&amp;$B59&amp;"*", patch[AuthorGroup], {"FL And dev","SH And dev"}, patch[MergeMonth], T$34))</f>
        <v>0</v>
      </c>
      <c r="U59" s="67">
        <f>SUM(COUNTIFS(patch[reviewer], $B59, patch[AuthorGroup], {"FL And dev","SH And dev"}, patch[MergeMonth], U$34, patch[ReviewerGroup], "&lt;&gt;author", patch[Integrator], "&lt;&gt;IntegratorValidationComment"))</f>
        <v>0</v>
      </c>
      <c r="V59" s="67">
        <f>SUM(COUNTIFS(patch[reviewer], $B59, patch[Review-1], "Review-1", patch[AuthorGroup], {"FL And dev","SH And dev"}, patch[MergeMonth], V$34, patch[ReviewerGroup], "&lt;&gt;author"))</f>
        <v>0</v>
      </c>
      <c r="W59" s="72">
        <f t="shared" si="27"/>
        <v>0</v>
      </c>
      <c r="X59" s="67">
        <f>COUNTIFS(patch[all_reviewer], "*"&amp;$B59&amp;"*", patch[AuthorGroup], "BJ And dev", patch[MergeMonth], X$34)</f>
        <v>0</v>
      </c>
      <c r="Y59" s="67">
        <f>COUNTIFS(patch[reviewer], $B59, patch[AuthorGroup], "BJ And dev", patch[MergeMonth], Y$34, patch[ReviewerGroup], "&lt;&gt;author", patch[Integrator], "&lt;&gt;IntegratorValidationComment")</f>
        <v>0</v>
      </c>
      <c r="Z59" s="67">
        <f>COUNTIFS(patch[reviewer], $B59, patch[Review-1], "Review-1", patch[AuthorGroup], "BJ And dev", patch[MergeMonth], Z$34, patch[ReviewerGroup], "&lt;&gt;author")</f>
        <v>0</v>
      </c>
      <c r="AA59" s="67">
        <f>SUM(COUNTIFS(patch[all_reviewer], "*"&amp;$B59&amp;"*", patch[AuthorGroup], {"FL And dev","SH And dev"}, patch[MergeMonth], AA$34))</f>
        <v>0</v>
      </c>
      <c r="AB59" s="67">
        <f>SUM(COUNTIFS(patch[reviewer], $B59, patch[AuthorGroup], {"FL And dev","SH And dev"}, patch[MergeMonth], AB$34, patch[ReviewerGroup], "&lt;&gt;author", patch[Integrator], "&lt;&gt;IntegratorValidationComment"))</f>
        <v>0</v>
      </c>
      <c r="AC59" s="67">
        <f>SUM(COUNTIFS(patch[reviewer], $B59, patch[Review-1], "Review-1", patch[AuthorGroup], {"FL And dev","SH And dev"}, patch[MergeMonth], AC$34, patch[ReviewerGroup], "&lt;&gt;author"))</f>
        <v>0</v>
      </c>
      <c r="AD59" s="72">
        <f t="shared" si="28"/>
        <v>0</v>
      </c>
    </row>
    <row r="60" spans="1:30" outlineLevel="1">
      <c r="A60" s="180"/>
      <c r="B60" s="27" t="s">
        <v>74</v>
      </c>
      <c r="C60" s="77">
        <f t="shared" si="19"/>
        <v>0</v>
      </c>
      <c r="D60" s="77">
        <f t="shared" si="20"/>
        <v>0</v>
      </c>
      <c r="E60" s="77">
        <f t="shared" si="21"/>
        <v>0</v>
      </c>
      <c r="F60" s="77">
        <f t="shared" si="22"/>
        <v>0</v>
      </c>
      <c r="G60" s="77">
        <f t="shared" si="23"/>
        <v>0</v>
      </c>
      <c r="H60" s="77">
        <f t="shared" si="24"/>
        <v>0</v>
      </c>
      <c r="I60" s="78">
        <f t="shared" si="25"/>
        <v>0</v>
      </c>
      <c r="J60" s="67">
        <f>COUNTIFS(patch[all_reviewer], "*"&amp;$B60&amp;"*", patch[AuthorGroup], "BJ And dev", patch[MergeMonth], J$34)</f>
        <v>0</v>
      </c>
      <c r="K60" s="104">
        <f>COUNTIFS(patch[reviewer], $B60, patch[AuthorGroup], "BJ And dev", patch[MergeMonth], K$34, patch[ReviewerGroup], "&lt;&gt;author", patch[Integrator], "&lt;&gt;IntegratorValidationComment")</f>
        <v>0</v>
      </c>
      <c r="L60" s="67">
        <f>COUNTIFS(patch[reviewer], $B60, patch[Review-1], "Review-1", patch[AuthorGroup], "BJ And dev", patch[MergeMonth], L$34, patch[ReviewerGroup], "&lt;&gt;author")</f>
        <v>0</v>
      </c>
      <c r="M60" s="67">
        <f>SUM(COUNTIFS(patch[all_reviewer], "*"&amp;$B60&amp;"*", patch[AuthorGroup], {"FL And dev","SH And dev"}, patch[MergeMonth], M$34))</f>
        <v>0</v>
      </c>
      <c r="N60" s="67">
        <f>SUM(COUNTIFS(patch[reviewer], $B60, patch[AuthorGroup], {"FL And dev","SH And dev"}, patch[MergeMonth], N$34, patch[ReviewerGroup], "&lt;&gt;author", patch[Integrator], "&lt;&gt;IntegratorValidationComment"))</f>
        <v>0</v>
      </c>
      <c r="O60" s="67">
        <f>SUM(COUNTIFS(patch[reviewer], $B60, patch[Review-1], "Review-1", patch[AuthorGroup], {"FL And dev","SH And dev"}, patch[MergeMonth], O$34, patch[ReviewerGroup], "&lt;&gt;author"))</f>
        <v>0</v>
      </c>
      <c r="P60" s="72">
        <f t="shared" si="26"/>
        <v>0</v>
      </c>
      <c r="Q60" s="67">
        <f>COUNTIFS(patch[all_reviewer], "*"&amp;$B60&amp;"*", patch[AuthorGroup], "BJ And dev", patch[MergeMonth], Q$34)</f>
        <v>0</v>
      </c>
      <c r="R60" s="67">
        <f>COUNTIFS(patch[reviewer], $B60, patch[AuthorGroup], "BJ And dev", patch[MergeMonth], R$34, patch[ReviewerGroup], "&lt;&gt;author", patch[Integrator], "&lt;&gt;IntegratorValidationComment")</f>
        <v>0</v>
      </c>
      <c r="S60" s="67">
        <f>COUNTIFS(patch[reviewer], $B60, patch[Review-1], "Review-1", patch[AuthorGroup], "BJ And dev", patch[MergeMonth], S$34, patch[ReviewerGroup], "&lt;&gt;author")</f>
        <v>0</v>
      </c>
      <c r="T60" s="67">
        <f>SUM(COUNTIFS(patch[all_reviewer], "*"&amp;$B60&amp;"*", patch[AuthorGroup], {"FL And dev","SH And dev"}, patch[MergeMonth], T$34))</f>
        <v>0</v>
      </c>
      <c r="U60" s="67">
        <f>SUM(COUNTIFS(patch[reviewer], $B60, patch[AuthorGroup], {"FL And dev","SH And dev"}, patch[MergeMonth], U$34, patch[ReviewerGroup], "&lt;&gt;author", patch[Integrator], "&lt;&gt;IntegratorValidationComment"))</f>
        <v>0</v>
      </c>
      <c r="V60" s="67">
        <f>SUM(COUNTIFS(patch[reviewer], $B60, patch[Review-1], "Review-1", patch[AuthorGroup], {"FL And dev","SH And dev"}, patch[MergeMonth], V$34, patch[ReviewerGroup], "&lt;&gt;author"))</f>
        <v>0</v>
      </c>
      <c r="W60" s="72">
        <f t="shared" si="27"/>
        <v>0</v>
      </c>
      <c r="X60" s="67">
        <f>COUNTIFS(patch[all_reviewer], "*"&amp;$B60&amp;"*", patch[AuthorGroup], "BJ And dev", patch[MergeMonth], X$34)</f>
        <v>0</v>
      </c>
      <c r="Y60" s="67">
        <f>COUNTIFS(patch[reviewer], $B60, patch[AuthorGroup], "BJ And dev", patch[MergeMonth], Y$34, patch[ReviewerGroup], "&lt;&gt;author", patch[Integrator], "&lt;&gt;IntegratorValidationComment")</f>
        <v>0</v>
      </c>
      <c r="Z60" s="67">
        <f>COUNTIFS(patch[reviewer], $B60, patch[Review-1], "Review-1", patch[AuthorGroup], "BJ And dev", patch[MergeMonth], Z$34, patch[ReviewerGroup], "&lt;&gt;author")</f>
        <v>0</v>
      </c>
      <c r="AA60" s="67">
        <f>SUM(COUNTIFS(patch[all_reviewer], "*"&amp;$B60&amp;"*", patch[AuthorGroup], {"FL And dev","SH And dev"}, patch[MergeMonth], AA$34))</f>
        <v>0</v>
      </c>
      <c r="AB60" s="67">
        <f>SUM(COUNTIFS(patch[reviewer], $B60, patch[AuthorGroup], {"FL And dev","SH And dev"}, patch[MergeMonth], AB$34, patch[ReviewerGroup], "&lt;&gt;author", patch[Integrator], "&lt;&gt;IntegratorValidationComment"))</f>
        <v>0</v>
      </c>
      <c r="AC60" s="67">
        <f>SUM(COUNTIFS(patch[reviewer], $B60, patch[Review-1], "Review-1", patch[AuthorGroup], {"FL And dev","SH And dev"}, patch[MergeMonth], AC$34, patch[ReviewerGroup], "&lt;&gt;author"))</f>
        <v>0</v>
      </c>
      <c r="AD60" s="72">
        <f t="shared" si="28"/>
        <v>0</v>
      </c>
    </row>
    <row r="61" spans="1:30" outlineLevel="1">
      <c r="A61" s="180"/>
      <c r="B61" s="27" t="s">
        <v>107</v>
      </c>
      <c r="C61" s="77">
        <f t="shared" si="19"/>
        <v>0</v>
      </c>
      <c r="D61" s="77">
        <f t="shared" si="20"/>
        <v>0</v>
      </c>
      <c r="E61" s="77">
        <f t="shared" si="21"/>
        <v>0</v>
      </c>
      <c r="F61" s="77">
        <f t="shared" si="22"/>
        <v>0</v>
      </c>
      <c r="G61" s="77">
        <f t="shared" si="23"/>
        <v>0</v>
      </c>
      <c r="H61" s="77">
        <f t="shared" si="24"/>
        <v>0</v>
      </c>
      <c r="I61" s="78">
        <f t="shared" si="25"/>
        <v>0</v>
      </c>
      <c r="J61" s="67">
        <f>COUNTIFS(patch[all_reviewer], "*"&amp;$B61&amp;"*", patch[AuthorGroup], "BJ And dev", patch[MergeMonth], J$34)</f>
        <v>0</v>
      </c>
      <c r="K61" s="104">
        <f>COUNTIFS(patch[reviewer], $B61, patch[AuthorGroup], "BJ And dev", patch[MergeMonth], K$34, patch[ReviewerGroup], "&lt;&gt;author", patch[Integrator], "&lt;&gt;IntegratorValidationComment")</f>
        <v>0</v>
      </c>
      <c r="L61" s="67">
        <f>COUNTIFS(patch[reviewer], $B61, patch[Review-1], "Review-1", patch[AuthorGroup], "BJ And dev", patch[MergeMonth], L$34, patch[ReviewerGroup], "&lt;&gt;author")</f>
        <v>0</v>
      </c>
      <c r="M61" s="67">
        <f>SUM(COUNTIFS(patch[all_reviewer], "*"&amp;$B61&amp;"*", patch[AuthorGroup], {"FL And dev","SH And dev"}, patch[MergeMonth], M$34))</f>
        <v>0</v>
      </c>
      <c r="N61" s="67">
        <f>SUM(COUNTIFS(patch[reviewer], $B61, patch[AuthorGroup], {"FL And dev","SH And dev"}, patch[MergeMonth], N$34, patch[ReviewerGroup], "&lt;&gt;author", patch[Integrator], "&lt;&gt;IntegratorValidationComment"))</f>
        <v>0</v>
      </c>
      <c r="O61" s="67">
        <f>SUM(COUNTIFS(patch[reviewer], $B61, patch[Review-1], "Review-1", patch[AuthorGroup], {"FL And dev","SH And dev"}, patch[MergeMonth], O$34, patch[ReviewerGroup], "&lt;&gt;author"))</f>
        <v>0</v>
      </c>
      <c r="P61" s="72">
        <f t="shared" si="26"/>
        <v>0</v>
      </c>
      <c r="Q61" s="67">
        <f>COUNTIFS(patch[all_reviewer], "*"&amp;$B61&amp;"*", patch[AuthorGroup], "BJ And dev", patch[MergeMonth], Q$34)</f>
        <v>0</v>
      </c>
      <c r="R61" s="67">
        <f>COUNTIFS(patch[reviewer], $B61, patch[AuthorGroup], "BJ And dev", patch[MergeMonth], R$34, patch[ReviewerGroup], "&lt;&gt;author", patch[Integrator], "&lt;&gt;IntegratorValidationComment")</f>
        <v>0</v>
      </c>
      <c r="S61" s="67">
        <f>COUNTIFS(patch[reviewer], $B61, patch[Review-1], "Review-1", patch[AuthorGroup], "BJ And dev", patch[MergeMonth], S$34, patch[ReviewerGroup], "&lt;&gt;author")</f>
        <v>0</v>
      </c>
      <c r="T61" s="67">
        <f>SUM(COUNTIFS(patch[all_reviewer], "*"&amp;$B61&amp;"*", patch[AuthorGroup], {"FL And dev","SH And dev"}, patch[MergeMonth], T$34))</f>
        <v>0</v>
      </c>
      <c r="U61" s="67">
        <f>SUM(COUNTIFS(patch[reviewer], $B61, patch[AuthorGroup], {"FL And dev","SH And dev"}, patch[MergeMonth], U$34, patch[ReviewerGroup], "&lt;&gt;author", patch[Integrator], "&lt;&gt;IntegratorValidationComment"))</f>
        <v>0</v>
      </c>
      <c r="V61" s="67">
        <f>SUM(COUNTIFS(patch[reviewer], $B61, patch[Review-1], "Review-1", patch[AuthorGroup], {"FL And dev","SH And dev"}, patch[MergeMonth], V$34, patch[ReviewerGroup], "&lt;&gt;author"))</f>
        <v>0</v>
      </c>
      <c r="W61" s="72">
        <f t="shared" si="27"/>
        <v>0</v>
      </c>
      <c r="X61" s="67">
        <f>COUNTIFS(patch[all_reviewer], "*"&amp;$B61&amp;"*", patch[AuthorGroup], "BJ And dev", patch[MergeMonth], X$34)</f>
        <v>0</v>
      </c>
      <c r="Y61" s="67">
        <f>COUNTIFS(patch[reviewer], $B61, patch[AuthorGroup], "BJ And dev", patch[MergeMonth], Y$34, patch[ReviewerGroup], "&lt;&gt;author", patch[Integrator], "&lt;&gt;IntegratorValidationComment")</f>
        <v>0</v>
      </c>
      <c r="Z61" s="67">
        <f>COUNTIFS(patch[reviewer], $B61, patch[Review-1], "Review-1", patch[AuthorGroup], "BJ And dev", patch[MergeMonth], Z$34, patch[ReviewerGroup], "&lt;&gt;author")</f>
        <v>0</v>
      </c>
      <c r="AA61" s="67">
        <f>SUM(COUNTIFS(patch[all_reviewer], "*"&amp;$B61&amp;"*", patch[AuthorGroup], {"FL And dev","SH And dev"}, patch[MergeMonth], AA$34))</f>
        <v>0</v>
      </c>
      <c r="AB61" s="67">
        <f>SUM(COUNTIFS(patch[reviewer], $B61, patch[AuthorGroup], {"FL And dev","SH And dev"}, patch[MergeMonth], AB$34, patch[ReviewerGroup], "&lt;&gt;author", patch[Integrator], "&lt;&gt;IntegratorValidationComment"))</f>
        <v>0</v>
      </c>
      <c r="AC61" s="67">
        <f>SUM(COUNTIFS(patch[reviewer], $B61, patch[Review-1], "Review-1", patch[AuthorGroup], {"FL And dev","SH And dev"}, patch[MergeMonth], AC$34, patch[ReviewerGroup], "&lt;&gt;author"))</f>
        <v>0</v>
      </c>
      <c r="AD61" s="72">
        <f t="shared" si="28"/>
        <v>0</v>
      </c>
    </row>
    <row r="62" spans="1:30" outlineLevel="1">
      <c r="A62" s="180"/>
      <c r="B62" s="27" t="s">
        <v>53</v>
      </c>
      <c r="C62" s="77">
        <f t="shared" si="19"/>
        <v>0</v>
      </c>
      <c r="D62" s="77">
        <f t="shared" si="20"/>
        <v>0</v>
      </c>
      <c r="E62" s="77">
        <f t="shared" si="21"/>
        <v>0</v>
      </c>
      <c r="F62" s="77">
        <f t="shared" si="22"/>
        <v>0</v>
      </c>
      <c r="G62" s="77">
        <f t="shared" si="23"/>
        <v>0</v>
      </c>
      <c r="H62" s="77">
        <f t="shared" si="24"/>
        <v>0</v>
      </c>
      <c r="I62" s="78">
        <f t="shared" si="25"/>
        <v>0</v>
      </c>
      <c r="J62" s="67">
        <f>COUNTIFS(patch[all_reviewer], "*"&amp;$B62&amp;"*", patch[AuthorGroup], "BJ And dev", patch[MergeMonth], J$34)</f>
        <v>0</v>
      </c>
      <c r="K62" s="104">
        <f>COUNTIFS(patch[reviewer], $B62, patch[AuthorGroup], "BJ And dev", patch[MergeMonth], K$34, patch[ReviewerGroup], "&lt;&gt;author", patch[Integrator], "&lt;&gt;IntegratorValidationComment")</f>
        <v>0</v>
      </c>
      <c r="L62" s="67">
        <f>COUNTIFS(patch[reviewer], $B62, patch[Review-1], "Review-1", patch[AuthorGroup], "BJ And dev", patch[MergeMonth], L$34, patch[ReviewerGroup], "&lt;&gt;author")</f>
        <v>0</v>
      </c>
      <c r="M62" s="67">
        <f>SUM(COUNTIFS(patch[all_reviewer], "*"&amp;$B62&amp;"*", patch[AuthorGroup], {"FL And dev","SH And dev"}, patch[MergeMonth], M$34))</f>
        <v>0</v>
      </c>
      <c r="N62" s="67">
        <f>SUM(COUNTIFS(patch[reviewer], $B62, patch[AuthorGroup], {"FL And dev","SH And dev"}, patch[MergeMonth], N$34, patch[ReviewerGroup], "&lt;&gt;author", patch[Integrator], "&lt;&gt;IntegratorValidationComment"))</f>
        <v>0</v>
      </c>
      <c r="O62" s="67">
        <f>SUM(COUNTIFS(patch[reviewer], $B62, patch[Review-1], "Review-1", patch[AuthorGroup], {"FL And dev","SH And dev"}, patch[MergeMonth], O$34, patch[ReviewerGroup], "&lt;&gt;author"))</f>
        <v>0</v>
      </c>
      <c r="P62" s="72">
        <f t="shared" si="26"/>
        <v>0</v>
      </c>
      <c r="Q62" s="67">
        <f>COUNTIFS(patch[all_reviewer], "*"&amp;$B62&amp;"*", patch[AuthorGroup], "BJ And dev", patch[MergeMonth], Q$34)</f>
        <v>0</v>
      </c>
      <c r="R62" s="67">
        <f>COUNTIFS(patch[reviewer], $B62, patch[AuthorGroup], "BJ And dev", patch[MergeMonth], R$34, patch[ReviewerGroup], "&lt;&gt;author", patch[Integrator], "&lt;&gt;IntegratorValidationComment")</f>
        <v>0</v>
      </c>
      <c r="S62" s="67">
        <f>COUNTIFS(patch[reviewer], $B62, patch[Review-1], "Review-1", patch[AuthorGroup], "BJ And dev", patch[MergeMonth], S$34, patch[ReviewerGroup], "&lt;&gt;author")</f>
        <v>0</v>
      </c>
      <c r="T62" s="67">
        <f>SUM(COUNTIFS(patch[all_reviewer], "*"&amp;$B62&amp;"*", patch[AuthorGroup], {"FL And dev","SH And dev"}, patch[MergeMonth], T$34))</f>
        <v>0</v>
      </c>
      <c r="U62" s="67">
        <f>SUM(COUNTIFS(patch[reviewer], $B62, patch[AuthorGroup], {"FL And dev","SH And dev"}, patch[MergeMonth], U$34, patch[ReviewerGroup], "&lt;&gt;author", patch[Integrator], "&lt;&gt;IntegratorValidationComment"))</f>
        <v>0</v>
      </c>
      <c r="V62" s="67">
        <f>SUM(COUNTIFS(patch[reviewer], $B62, patch[Review-1], "Review-1", patch[AuthorGroup], {"FL And dev","SH And dev"}, patch[MergeMonth], V$34, patch[ReviewerGroup], "&lt;&gt;author"))</f>
        <v>0</v>
      </c>
      <c r="W62" s="72">
        <f t="shared" si="27"/>
        <v>0</v>
      </c>
      <c r="X62" s="67">
        <f>COUNTIFS(patch[all_reviewer], "*"&amp;$B62&amp;"*", patch[AuthorGroup], "BJ And dev", patch[MergeMonth], X$34)</f>
        <v>0</v>
      </c>
      <c r="Y62" s="67">
        <f>COUNTIFS(patch[reviewer], $B62, patch[AuthorGroup], "BJ And dev", patch[MergeMonth], Y$34, patch[ReviewerGroup], "&lt;&gt;author", patch[Integrator], "&lt;&gt;IntegratorValidationComment")</f>
        <v>0</v>
      </c>
      <c r="Z62" s="67">
        <f>COUNTIFS(patch[reviewer], $B62, patch[Review-1], "Review-1", patch[AuthorGroup], "BJ And dev", patch[MergeMonth], Z$34, patch[ReviewerGroup], "&lt;&gt;author")</f>
        <v>0</v>
      </c>
      <c r="AA62" s="67">
        <f>SUM(COUNTIFS(patch[all_reviewer], "*"&amp;$B62&amp;"*", patch[AuthorGroup], {"FL And dev","SH And dev"}, patch[MergeMonth], AA$34))</f>
        <v>0</v>
      </c>
      <c r="AB62" s="67">
        <f>SUM(COUNTIFS(patch[reviewer], $B62, patch[AuthorGroup], {"FL And dev","SH And dev"}, patch[MergeMonth], AB$34, patch[ReviewerGroup], "&lt;&gt;author", patch[Integrator], "&lt;&gt;IntegratorValidationComment"))</f>
        <v>0</v>
      </c>
      <c r="AC62" s="67">
        <f>SUM(COUNTIFS(patch[reviewer], $B62, patch[Review-1], "Review-1", patch[AuthorGroup], {"FL And dev","SH And dev"}, patch[MergeMonth], AC$34, patch[ReviewerGroup], "&lt;&gt;author"))</f>
        <v>0</v>
      </c>
      <c r="AD62" s="72">
        <f t="shared" si="28"/>
        <v>0</v>
      </c>
    </row>
    <row r="63" spans="1:30" outlineLevel="1">
      <c r="A63" s="180"/>
      <c r="B63" s="27" t="s">
        <v>71</v>
      </c>
      <c r="C63" s="77">
        <f t="shared" si="19"/>
        <v>1</v>
      </c>
      <c r="D63" s="77">
        <f t="shared" si="20"/>
        <v>2</v>
      </c>
      <c r="E63" s="77">
        <f t="shared" si="21"/>
        <v>1</v>
      </c>
      <c r="F63" s="77">
        <f t="shared" si="22"/>
        <v>0</v>
      </c>
      <c r="G63" s="77">
        <f t="shared" si="23"/>
        <v>0</v>
      </c>
      <c r="H63" s="77">
        <f t="shared" si="24"/>
        <v>0</v>
      </c>
      <c r="I63" s="78">
        <f t="shared" si="25"/>
        <v>6.5</v>
      </c>
      <c r="J63" s="67">
        <f>COUNTIFS(patch[all_reviewer], "*"&amp;$B63&amp;"*", patch[AuthorGroup], "BJ And dev", patch[MergeMonth], J$34)</f>
        <v>0</v>
      </c>
      <c r="K63" s="104">
        <f>COUNTIFS(patch[reviewer], $B63, patch[AuthorGroup], "BJ And dev", patch[MergeMonth], K$34, patch[ReviewerGroup], "&lt;&gt;author", patch[Integrator], "&lt;&gt;IntegratorValidationComment")</f>
        <v>0</v>
      </c>
      <c r="L63" s="67">
        <f>COUNTIFS(patch[reviewer], $B63, patch[Review-1], "Review-1", patch[AuthorGroup], "BJ And dev", patch[MergeMonth], L$34, patch[ReviewerGroup], "&lt;&gt;author")</f>
        <v>0</v>
      </c>
      <c r="M63" s="67">
        <f>SUM(COUNTIFS(patch[all_reviewer], "*"&amp;$B63&amp;"*", patch[AuthorGroup], {"FL And dev","SH And dev"}, patch[MergeMonth], M$34))</f>
        <v>0</v>
      </c>
      <c r="N63" s="67">
        <f>SUM(COUNTIFS(patch[reviewer], $B63, patch[AuthorGroup], {"FL And dev","SH And dev"}, patch[MergeMonth], N$34, patch[ReviewerGroup], "&lt;&gt;author", patch[Integrator], "&lt;&gt;IntegratorValidationComment"))</f>
        <v>0</v>
      </c>
      <c r="O63" s="67">
        <f>SUM(COUNTIFS(patch[reviewer], $B63, patch[Review-1], "Review-1", patch[AuthorGroup], {"FL And dev","SH And dev"}, patch[MergeMonth], O$34, patch[ReviewerGroup], "&lt;&gt;author"))</f>
        <v>0</v>
      </c>
      <c r="P63" s="72">
        <f t="shared" si="26"/>
        <v>0</v>
      </c>
      <c r="Q63" s="67">
        <f>COUNTIFS(patch[all_reviewer], "*"&amp;$B63&amp;"*", patch[AuthorGroup], "BJ And dev", patch[MergeMonth], Q$34)</f>
        <v>0</v>
      </c>
      <c r="R63" s="67">
        <f>COUNTIFS(patch[reviewer], $B63, patch[AuthorGroup], "BJ And dev", patch[MergeMonth], R$34, patch[ReviewerGroup], "&lt;&gt;author", patch[Integrator], "&lt;&gt;IntegratorValidationComment")</f>
        <v>0</v>
      </c>
      <c r="S63" s="67">
        <f>COUNTIFS(patch[reviewer], $B63, patch[Review-1], "Review-1", patch[AuthorGroup], "BJ And dev", patch[MergeMonth], S$34, patch[ReviewerGroup], "&lt;&gt;author")</f>
        <v>0</v>
      </c>
      <c r="T63" s="67">
        <f>SUM(COUNTIFS(patch[all_reviewer], "*"&amp;$B63&amp;"*", patch[AuthorGroup], {"FL And dev","SH And dev"}, patch[MergeMonth], T$34))</f>
        <v>0</v>
      </c>
      <c r="U63" s="67">
        <f>SUM(COUNTIFS(patch[reviewer], $B63, patch[AuthorGroup], {"FL And dev","SH And dev"}, patch[MergeMonth], U$34, patch[ReviewerGroup], "&lt;&gt;author", patch[Integrator], "&lt;&gt;IntegratorValidationComment"))</f>
        <v>0</v>
      </c>
      <c r="V63" s="67">
        <f>SUM(COUNTIFS(patch[reviewer], $B63, patch[Review-1], "Review-1", patch[AuthorGroup], {"FL And dev","SH And dev"}, patch[MergeMonth], V$34, patch[ReviewerGroup], "&lt;&gt;author"))</f>
        <v>0</v>
      </c>
      <c r="W63" s="72">
        <f t="shared" si="27"/>
        <v>0</v>
      </c>
      <c r="X63" s="67">
        <f>COUNTIFS(patch[all_reviewer], "*"&amp;$B63&amp;"*", patch[AuthorGroup], "BJ And dev", patch[MergeMonth], X$34)</f>
        <v>1</v>
      </c>
      <c r="Y63" s="67">
        <f>COUNTIFS(patch[reviewer], $B63, patch[AuthorGroup], "BJ And dev", patch[MergeMonth], Y$34, patch[ReviewerGroup], "&lt;&gt;author", patch[Integrator], "&lt;&gt;IntegratorValidationComment")</f>
        <v>2</v>
      </c>
      <c r="Z63" s="67">
        <f>COUNTIFS(patch[reviewer], $B63, patch[Review-1], "Review-1", patch[AuthorGroup], "BJ And dev", patch[MergeMonth], Z$34, patch[ReviewerGroup], "&lt;&gt;author")</f>
        <v>1</v>
      </c>
      <c r="AA63" s="67">
        <f>SUM(COUNTIFS(patch[all_reviewer], "*"&amp;$B63&amp;"*", patch[AuthorGroup], {"FL And dev","SH And dev"}, patch[MergeMonth], AA$34))</f>
        <v>0</v>
      </c>
      <c r="AB63" s="67">
        <f>SUM(COUNTIFS(patch[reviewer], $B63, patch[AuthorGroup], {"FL And dev","SH And dev"}, patch[MergeMonth], AB$34, patch[ReviewerGroup], "&lt;&gt;author", patch[Integrator], "&lt;&gt;IntegratorValidationComment"))</f>
        <v>0</v>
      </c>
      <c r="AC63" s="67">
        <f>SUM(COUNTIFS(patch[reviewer], $B63, patch[Review-1], "Review-1", patch[AuthorGroup], {"FL And dev","SH And dev"}, patch[MergeMonth], AC$34, patch[ReviewerGroup], "&lt;&gt;author"))</f>
        <v>0</v>
      </c>
      <c r="AD63" s="72">
        <f t="shared" si="28"/>
        <v>6.5</v>
      </c>
    </row>
    <row r="64" spans="1:30" outlineLevel="1">
      <c r="A64" s="180"/>
      <c r="B64" s="27" t="s">
        <v>113</v>
      </c>
      <c r="C64" s="77">
        <f t="shared" si="19"/>
        <v>0</v>
      </c>
      <c r="D64" s="77">
        <f t="shared" si="20"/>
        <v>0</v>
      </c>
      <c r="E64" s="77">
        <f t="shared" si="21"/>
        <v>0</v>
      </c>
      <c r="F64" s="77">
        <f t="shared" si="22"/>
        <v>0</v>
      </c>
      <c r="G64" s="77">
        <f t="shared" si="23"/>
        <v>0</v>
      </c>
      <c r="H64" s="77">
        <f t="shared" si="24"/>
        <v>0</v>
      </c>
      <c r="I64" s="78">
        <f t="shared" si="25"/>
        <v>0</v>
      </c>
      <c r="J64" s="67">
        <f>COUNTIFS(patch[all_reviewer], "*"&amp;$B64&amp;"*", patch[AuthorGroup], "BJ And dev", patch[MergeMonth], J$34)</f>
        <v>0</v>
      </c>
      <c r="K64" s="104">
        <f>COUNTIFS(patch[reviewer], $B64, patch[AuthorGroup], "BJ And dev", patch[MergeMonth], K$34, patch[ReviewerGroup], "&lt;&gt;author", patch[Integrator], "&lt;&gt;IntegratorValidationComment")</f>
        <v>0</v>
      </c>
      <c r="L64" s="67">
        <f>COUNTIFS(patch[reviewer], $B64, patch[Review-1], "Review-1", patch[AuthorGroup], "BJ And dev", patch[MergeMonth], L$34, patch[ReviewerGroup], "&lt;&gt;author")</f>
        <v>0</v>
      </c>
      <c r="M64" s="67">
        <f>SUM(COUNTIFS(patch[all_reviewer], "*"&amp;$B64&amp;"*", patch[AuthorGroup], {"FL And dev","SH And dev"}, patch[MergeMonth], M$34))</f>
        <v>0</v>
      </c>
      <c r="N64" s="67">
        <f>SUM(COUNTIFS(patch[reviewer], $B64, patch[AuthorGroup], {"FL And dev","SH And dev"}, patch[MergeMonth], N$34, patch[ReviewerGroup], "&lt;&gt;author", patch[Integrator], "&lt;&gt;IntegratorValidationComment"))</f>
        <v>0</v>
      </c>
      <c r="O64" s="67">
        <f>SUM(COUNTIFS(patch[reviewer], $B64, patch[Review-1], "Review-1", patch[AuthorGroup], {"FL And dev","SH And dev"}, patch[MergeMonth], O$34, patch[ReviewerGroup], "&lt;&gt;author"))</f>
        <v>0</v>
      </c>
      <c r="P64" s="72">
        <f t="shared" si="26"/>
        <v>0</v>
      </c>
      <c r="Q64" s="67">
        <f>COUNTIFS(patch[all_reviewer], "*"&amp;$B64&amp;"*", patch[AuthorGroup], "BJ And dev", patch[MergeMonth], Q$34)</f>
        <v>0</v>
      </c>
      <c r="R64" s="67">
        <f>COUNTIFS(patch[reviewer], $B64, patch[AuthorGroup], "BJ And dev", patch[MergeMonth], R$34, patch[ReviewerGroup], "&lt;&gt;author", patch[Integrator], "&lt;&gt;IntegratorValidationComment")</f>
        <v>0</v>
      </c>
      <c r="S64" s="67">
        <f>COUNTIFS(patch[reviewer], $B64, patch[Review-1], "Review-1", patch[AuthorGroup], "BJ And dev", patch[MergeMonth], S$34, patch[ReviewerGroup], "&lt;&gt;author")</f>
        <v>0</v>
      </c>
      <c r="T64" s="67">
        <f>SUM(COUNTIFS(patch[all_reviewer], "*"&amp;$B64&amp;"*", patch[AuthorGroup], {"FL And dev","SH And dev"}, patch[MergeMonth], T$34))</f>
        <v>0</v>
      </c>
      <c r="U64" s="67">
        <f>SUM(COUNTIFS(patch[reviewer], $B64, patch[AuthorGroup], {"FL And dev","SH And dev"}, patch[MergeMonth], U$34, patch[ReviewerGroup], "&lt;&gt;author", patch[Integrator], "&lt;&gt;IntegratorValidationComment"))</f>
        <v>0</v>
      </c>
      <c r="V64" s="67">
        <f>SUM(COUNTIFS(patch[reviewer], $B64, patch[Review-1], "Review-1", patch[AuthorGroup], {"FL And dev","SH And dev"}, patch[MergeMonth], V$34, patch[ReviewerGroup], "&lt;&gt;author"))</f>
        <v>0</v>
      </c>
      <c r="W64" s="72">
        <f t="shared" si="27"/>
        <v>0</v>
      </c>
      <c r="X64" s="67">
        <f>COUNTIFS(patch[all_reviewer], "*"&amp;$B64&amp;"*", patch[AuthorGroup], "BJ And dev", patch[MergeMonth], X$34)</f>
        <v>0</v>
      </c>
      <c r="Y64" s="67">
        <f>COUNTIFS(patch[reviewer], $B64, patch[AuthorGroup], "BJ And dev", patch[MergeMonth], Y$34, patch[ReviewerGroup], "&lt;&gt;author", patch[Integrator], "&lt;&gt;IntegratorValidationComment")</f>
        <v>0</v>
      </c>
      <c r="Z64" s="67">
        <f>COUNTIFS(patch[reviewer], $B64, patch[Review-1], "Review-1", patch[AuthorGroup], "BJ And dev", patch[MergeMonth], Z$34, patch[ReviewerGroup], "&lt;&gt;author")</f>
        <v>0</v>
      </c>
      <c r="AA64" s="67">
        <f>SUM(COUNTIFS(patch[all_reviewer], "*"&amp;$B64&amp;"*", patch[AuthorGroup], {"FL And dev","SH And dev"}, patch[MergeMonth], AA$34))</f>
        <v>0</v>
      </c>
      <c r="AB64" s="67">
        <f>SUM(COUNTIFS(patch[reviewer], $B64, patch[AuthorGroup], {"FL And dev","SH And dev"}, patch[MergeMonth], AB$34, patch[ReviewerGroup], "&lt;&gt;author", patch[Integrator], "&lt;&gt;IntegratorValidationComment"))</f>
        <v>0</v>
      </c>
      <c r="AC64" s="67">
        <f>SUM(COUNTIFS(patch[reviewer], $B64, patch[Review-1], "Review-1", patch[AuthorGroup], {"FL And dev","SH And dev"}, patch[MergeMonth], AC$34, patch[ReviewerGroup], "&lt;&gt;author"))</f>
        <v>0</v>
      </c>
      <c r="AD64" s="72">
        <f t="shared" si="28"/>
        <v>0</v>
      </c>
    </row>
    <row r="65" spans="1:30" outlineLevel="1">
      <c r="A65" s="180"/>
      <c r="B65" s="27" t="s">
        <v>38</v>
      </c>
      <c r="C65" s="77">
        <f t="shared" si="19"/>
        <v>0</v>
      </c>
      <c r="D65" s="77">
        <f t="shared" si="20"/>
        <v>0</v>
      </c>
      <c r="E65" s="77">
        <f t="shared" si="21"/>
        <v>0</v>
      </c>
      <c r="F65" s="77">
        <f t="shared" si="22"/>
        <v>0</v>
      </c>
      <c r="G65" s="77">
        <f t="shared" si="23"/>
        <v>0</v>
      </c>
      <c r="H65" s="77">
        <f t="shared" si="24"/>
        <v>0</v>
      </c>
      <c r="I65" s="78">
        <f t="shared" si="25"/>
        <v>0</v>
      </c>
      <c r="J65" s="67">
        <f>COUNTIFS(patch[all_reviewer], "*"&amp;$B65&amp;"*", patch[AuthorGroup], "BJ And dev", patch[MergeMonth], J$34)</f>
        <v>0</v>
      </c>
      <c r="K65" s="104">
        <f>COUNTIFS(patch[reviewer], $B65, patch[AuthorGroup], "BJ And dev", patch[MergeMonth], K$34, patch[ReviewerGroup], "&lt;&gt;author", patch[Integrator], "&lt;&gt;IntegratorValidationComment")</f>
        <v>0</v>
      </c>
      <c r="L65" s="67">
        <f>COUNTIFS(patch[reviewer], $B65, patch[Review-1], "Review-1", patch[AuthorGroup], "BJ And dev", patch[MergeMonth], L$34, patch[ReviewerGroup], "&lt;&gt;author")</f>
        <v>0</v>
      </c>
      <c r="M65" s="67">
        <f>SUM(COUNTIFS(patch[all_reviewer], "*"&amp;$B65&amp;"*", patch[AuthorGroup], {"FL And dev","SH And dev"}, patch[MergeMonth], M$34))</f>
        <v>0</v>
      </c>
      <c r="N65" s="67">
        <f>SUM(COUNTIFS(patch[reviewer], $B65, patch[AuthorGroup], {"FL And dev","SH And dev"}, patch[MergeMonth], N$34, patch[ReviewerGroup], "&lt;&gt;author", patch[Integrator], "&lt;&gt;IntegratorValidationComment"))</f>
        <v>0</v>
      </c>
      <c r="O65" s="67">
        <f>SUM(COUNTIFS(patch[reviewer], $B65, patch[Review-1], "Review-1", patch[AuthorGroup], {"FL And dev","SH And dev"}, patch[MergeMonth], O$34, patch[ReviewerGroup], "&lt;&gt;author"))</f>
        <v>0</v>
      </c>
      <c r="P65" s="72">
        <f t="shared" si="26"/>
        <v>0</v>
      </c>
      <c r="Q65" s="67">
        <f>COUNTIFS(patch[all_reviewer], "*"&amp;$B65&amp;"*", patch[AuthorGroup], "BJ And dev", patch[MergeMonth], Q$34)</f>
        <v>0</v>
      </c>
      <c r="R65" s="67">
        <f>COUNTIFS(patch[reviewer], $B65, patch[AuthorGroup], "BJ And dev", patch[MergeMonth], R$34, patch[ReviewerGroup], "&lt;&gt;author", patch[Integrator], "&lt;&gt;IntegratorValidationComment")</f>
        <v>0</v>
      </c>
      <c r="S65" s="67">
        <f>COUNTIFS(patch[reviewer], $B65, patch[Review-1], "Review-1", patch[AuthorGroup], "BJ And dev", patch[MergeMonth], S$34, patch[ReviewerGroup], "&lt;&gt;author")</f>
        <v>0</v>
      </c>
      <c r="T65" s="67">
        <f>SUM(COUNTIFS(patch[all_reviewer], "*"&amp;$B65&amp;"*", patch[AuthorGroup], {"FL And dev","SH And dev"}, patch[MergeMonth], T$34))</f>
        <v>0</v>
      </c>
      <c r="U65" s="67">
        <f>SUM(COUNTIFS(patch[reviewer], $B65, patch[AuthorGroup], {"FL And dev","SH And dev"}, patch[MergeMonth], U$34, patch[ReviewerGroup], "&lt;&gt;author", patch[Integrator], "&lt;&gt;IntegratorValidationComment"))</f>
        <v>0</v>
      </c>
      <c r="V65" s="67">
        <f>SUM(COUNTIFS(patch[reviewer], $B65, patch[Review-1], "Review-1", patch[AuthorGroup], {"FL And dev","SH And dev"}, patch[MergeMonth], V$34, patch[ReviewerGroup], "&lt;&gt;author"))</f>
        <v>0</v>
      </c>
      <c r="W65" s="72">
        <f t="shared" si="27"/>
        <v>0</v>
      </c>
      <c r="X65" s="67">
        <f>COUNTIFS(patch[all_reviewer], "*"&amp;$B65&amp;"*", patch[AuthorGroup], "BJ And dev", patch[MergeMonth], X$34)</f>
        <v>0</v>
      </c>
      <c r="Y65" s="67">
        <f>COUNTIFS(patch[reviewer], $B65, patch[AuthorGroup], "BJ And dev", patch[MergeMonth], Y$34, patch[ReviewerGroup], "&lt;&gt;author", patch[Integrator], "&lt;&gt;IntegratorValidationComment")</f>
        <v>0</v>
      </c>
      <c r="Z65" s="67">
        <f>COUNTIFS(patch[reviewer], $B65, patch[Review-1], "Review-1", patch[AuthorGroup], "BJ And dev", patch[MergeMonth], Z$34, patch[ReviewerGroup], "&lt;&gt;author")</f>
        <v>0</v>
      </c>
      <c r="AA65" s="67">
        <f>SUM(COUNTIFS(patch[all_reviewer], "*"&amp;$B65&amp;"*", patch[AuthorGroup], {"FL And dev","SH And dev"}, patch[MergeMonth], AA$34))</f>
        <v>0</v>
      </c>
      <c r="AB65" s="67">
        <f>SUM(COUNTIFS(patch[reviewer], $B65, patch[AuthorGroup], {"FL And dev","SH And dev"}, patch[MergeMonth], AB$34, patch[ReviewerGroup], "&lt;&gt;author", patch[Integrator], "&lt;&gt;IntegratorValidationComment"))</f>
        <v>0</v>
      </c>
      <c r="AC65" s="67">
        <f>SUM(COUNTIFS(patch[reviewer], $B65, patch[Review-1], "Review-1", patch[AuthorGroup], {"FL And dev","SH And dev"}, patch[MergeMonth], AC$34, patch[ReviewerGroup], "&lt;&gt;author"))</f>
        <v>0</v>
      </c>
      <c r="AD65" s="72">
        <f t="shared" si="28"/>
        <v>0</v>
      </c>
    </row>
    <row r="66" spans="1:30" outlineLevel="1">
      <c r="A66" s="180"/>
      <c r="B66" s="27" t="s">
        <v>82</v>
      </c>
      <c r="C66" s="77">
        <f t="shared" si="19"/>
        <v>0</v>
      </c>
      <c r="D66" s="77">
        <f t="shared" si="20"/>
        <v>0</v>
      </c>
      <c r="E66" s="77">
        <f t="shared" si="21"/>
        <v>0</v>
      </c>
      <c r="F66" s="77">
        <f t="shared" si="22"/>
        <v>0</v>
      </c>
      <c r="G66" s="77">
        <f t="shared" si="23"/>
        <v>0</v>
      </c>
      <c r="H66" s="77">
        <f t="shared" si="24"/>
        <v>0</v>
      </c>
      <c r="I66" s="78">
        <f t="shared" si="25"/>
        <v>0</v>
      </c>
      <c r="J66" s="67">
        <f>COUNTIFS(patch[all_reviewer], "*"&amp;$B66&amp;"*", patch[AuthorGroup], "BJ And dev", patch[MergeMonth], J$34)</f>
        <v>0</v>
      </c>
      <c r="K66" s="104">
        <f>COUNTIFS(patch[reviewer], $B66, patch[AuthorGroup], "BJ And dev", patch[MergeMonth], K$34, patch[ReviewerGroup], "&lt;&gt;author", patch[Integrator], "&lt;&gt;IntegratorValidationComment")</f>
        <v>0</v>
      </c>
      <c r="L66" s="67">
        <f>COUNTIFS(patch[reviewer], $B66, patch[Review-1], "Review-1", patch[AuthorGroup], "BJ And dev", patch[MergeMonth], L$34, patch[ReviewerGroup], "&lt;&gt;author")</f>
        <v>0</v>
      </c>
      <c r="M66" s="67">
        <f>SUM(COUNTIFS(patch[all_reviewer], "*"&amp;$B66&amp;"*", patch[AuthorGroup], {"FL And dev","SH And dev"}, patch[MergeMonth], M$34))</f>
        <v>0</v>
      </c>
      <c r="N66" s="67">
        <f>SUM(COUNTIFS(patch[reviewer], $B66, patch[AuthorGroup], {"FL And dev","SH And dev"}, patch[MergeMonth], N$34, patch[ReviewerGroup], "&lt;&gt;author", patch[Integrator], "&lt;&gt;IntegratorValidationComment"))</f>
        <v>0</v>
      </c>
      <c r="O66" s="67">
        <f>SUM(COUNTIFS(patch[reviewer], $B66, patch[Review-1], "Review-1", patch[AuthorGroup], {"FL And dev","SH And dev"}, patch[MergeMonth], O$34, patch[ReviewerGroup], "&lt;&gt;author"))</f>
        <v>0</v>
      </c>
      <c r="P66" s="72">
        <f t="shared" si="26"/>
        <v>0</v>
      </c>
      <c r="Q66" s="67">
        <f>COUNTIFS(patch[all_reviewer], "*"&amp;$B66&amp;"*", patch[AuthorGroup], "BJ And dev", patch[MergeMonth], Q$34)</f>
        <v>0</v>
      </c>
      <c r="R66" s="67">
        <f>COUNTIFS(patch[reviewer], $B66, patch[AuthorGroup], "BJ And dev", patch[MergeMonth], R$34, patch[ReviewerGroup], "&lt;&gt;author", patch[Integrator], "&lt;&gt;IntegratorValidationComment")</f>
        <v>0</v>
      </c>
      <c r="S66" s="67">
        <f>COUNTIFS(patch[reviewer], $B66, patch[Review-1], "Review-1", patch[AuthorGroup], "BJ And dev", patch[MergeMonth], S$34, patch[ReviewerGroup], "&lt;&gt;author")</f>
        <v>0</v>
      </c>
      <c r="T66" s="67">
        <f>SUM(COUNTIFS(patch[all_reviewer], "*"&amp;$B66&amp;"*", patch[AuthorGroup], {"FL And dev","SH And dev"}, patch[MergeMonth], T$34))</f>
        <v>0</v>
      </c>
      <c r="U66" s="67">
        <f>SUM(COUNTIFS(patch[reviewer], $B66, patch[AuthorGroup], {"FL And dev","SH And dev"}, patch[MergeMonth], U$34, patch[ReviewerGroup], "&lt;&gt;author", patch[Integrator], "&lt;&gt;IntegratorValidationComment"))</f>
        <v>0</v>
      </c>
      <c r="V66" s="67">
        <f>SUM(COUNTIFS(patch[reviewer], $B66, patch[Review-1], "Review-1", patch[AuthorGroup], {"FL And dev","SH And dev"}, patch[MergeMonth], V$34, patch[ReviewerGroup], "&lt;&gt;author"))</f>
        <v>0</v>
      </c>
      <c r="W66" s="72">
        <f t="shared" si="27"/>
        <v>0</v>
      </c>
      <c r="X66" s="67">
        <f>COUNTIFS(patch[all_reviewer], "*"&amp;$B66&amp;"*", patch[AuthorGroup], "BJ And dev", patch[MergeMonth], X$34)</f>
        <v>0</v>
      </c>
      <c r="Y66" s="67">
        <f>COUNTIFS(patch[reviewer], $B66, patch[AuthorGroup], "BJ And dev", patch[MergeMonth], Y$34, patch[ReviewerGroup], "&lt;&gt;author", patch[Integrator], "&lt;&gt;IntegratorValidationComment")</f>
        <v>0</v>
      </c>
      <c r="Z66" s="67">
        <f>COUNTIFS(patch[reviewer], $B66, patch[Review-1], "Review-1", patch[AuthorGroup], "BJ And dev", patch[MergeMonth], Z$34, patch[ReviewerGroup], "&lt;&gt;author")</f>
        <v>0</v>
      </c>
      <c r="AA66" s="67">
        <f>SUM(COUNTIFS(patch[all_reviewer], "*"&amp;$B66&amp;"*", patch[AuthorGroup], {"FL And dev","SH And dev"}, patch[MergeMonth], AA$34))</f>
        <v>0</v>
      </c>
      <c r="AB66" s="67">
        <f>SUM(COUNTIFS(patch[reviewer], $B66, patch[AuthorGroup], {"FL And dev","SH And dev"}, patch[MergeMonth], AB$34, patch[ReviewerGroup], "&lt;&gt;author", patch[Integrator], "&lt;&gt;IntegratorValidationComment"))</f>
        <v>0</v>
      </c>
      <c r="AC66" s="67">
        <f>SUM(COUNTIFS(patch[reviewer], $B66, patch[Review-1], "Review-1", patch[AuthorGroup], {"FL And dev","SH And dev"}, patch[MergeMonth], AC$34, patch[ReviewerGroup], "&lt;&gt;author"))</f>
        <v>0</v>
      </c>
      <c r="AD66" s="72">
        <f t="shared" si="28"/>
        <v>0</v>
      </c>
    </row>
    <row r="67" spans="1:30" outlineLevel="1">
      <c r="A67" s="180"/>
      <c r="B67" s="27" t="s">
        <v>1188</v>
      </c>
      <c r="C67" s="77">
        <f t="shared" si="19"/>
        <v>0</v>
      </c>
      <c r="D67" s="77">
        <f t="shared" si="20"/>
        <v>0</v>
      </c>
      <c r="E67" s="77">
        <f t="shared" si="21"/>
        <v>0</v>
      </c>
      <c r="F67" s="77">
        <f t="shared" si="22"/>
        <v>0</v>
      </c>
      <c r="G67" s="77">
        <f t="shared" si="23"/>
        <v>0</v>
      </c>
      <c r="H67" s="77">
        <f t="shared" si="24"/>
        <v>0</v>
      </c>
      <c r="I67" s="78">
        <f t="shared" si="25"/>
        <v>0</v>
      </c>
      <c r="J67" s="67">
        <f>COUNTIFS(patch[all_reviewer], "*"&amp;$B67&amp;"*", patch[AuthorGroup], "BJ And dev", patch[MergeMonth], J$34)</f>
        <v>0</v>
      </c>
      <c r="K67" s="104">
        <f>COUNTIFS(patch[reviewer], $B67, patch[AuthorGroup], "BJ And dev", patch[MergeMonth], K$34, patch[ReviewerGroup], "&lt;&gt;author", patch[Integrator], "&lt;&gt;IntegratorValidationComment")</f>
        <v>0</v>
      </c>
      <c r="L67" s="67">
        <f>COUNTIFS(patch[reviewer], $B67, patch[Review-1], "Review-1", patch[AuthorGroup], "BJ And dev", patch[MergeMonth], L$34, patch[ReviewerGroup], "&lt;&gt;author")</f>
        <v>0</v>
      </c>
      <c r="M67" s="67">
        <f>SUM(COUNTIFS(patch[all_reviewer], "*"&amp;$B67&amp;"*", patch[AuthorGroup], {"FL And dev","SH And dev"}, patch[MergeMonth], M$34))</f>
        <v>0</v>
      </c>
      <c r="N67" s="67">
        <f>SUM(COUNTIFS(patch[reviewer], $B67, patch[AuthorGroup], {"FL And dev","SH And dev"}, patch[MergeMonth], N$34, patch[ReviewerGroup], "&lt;&gt;author", patch[Integrator], "&lt;&gt;IntegratorValidationComment"))</f>
        <v>0</v>
      </c>
      <c r="O67" s="67">
        <f>SUM(COUNTIFS(patch[reviewer], $B67, patch[Review-1], "Review-1", patch[AuthorGroup], {"FL And dev","SH And dev"}, patch[MergeMonth], O$34, patch[ReviewerGroup], "&lt;&gt;author"))</f>
        <v>0</v>
      </c>
      <c r="P67" s="72">
        <f t="shared" si="26"/>
        <v>0</v>
      </c>
      <c r="Q67" s="67">
        <f>COUNTIFS(patch[all_reviewer], "*"&amp;$B67&amp;"*", patch[AuthorGroup], "BJ And dev", patch[MergeMonth], Q$34)</f>
        <v>0</v>
      </c>
      <c r="R67" s="67">
        <f>COUNTIFS(patch[reviewer], $B67, patch[AuthorGroup], "BJ And dev", patch[MergeMonth], R$34, patch[ReviewerGroup], "&lt;&gt;author", patch[Integrator], "&lt;&gt;IntegratorValidationComment")</f>
        <v>0</v>
      </c>
      <c r="S67" s="67">
        <f>COUNTIFS(patch[reviewer], $B67, patch[Review-1], "Review-1", patch[AuthorGroup], "BJ And dev", patch[MergeMonth], S$34, patch[ReviewerGroup], "&lt;&gt;author")</f>
        <v>0</v>
      </c>
      <c r="T67" s="67">
        <f>SUM(COUNTIFS(patch[all_reviewer], "*"&amp;$B67&amp;"*", patch[AuthorGroup], {"FL And dev","SH And dev"}, patch[MergeMonth], T$34))</f>
        <v>0</v>
      </c>
      <c r="U67" s="67">
        <f>SUM(COUNTIFS(patch[reviewer], $B67, patch[AuthorGroup], {"FL And dev","SH And dev"}, patch[MergeMonth], U$34, patch[ReviewerGroup], "&lt;&gt;author", patch[Integrator], "&lt;&gt;IntegratorValidationComment"))</f>
        <v>0</v>
      </c>
      <c r="V67" s="67">
        <f>SUM(COUNTIFS(patch[reviewer], $B67, patch[Review-1], "Review-1", patch[AuthorGroup], {"FL And dev","SH And dev"}, patch[MergeMonth], V$34, patch[ReviewerGroup], "&lt;&gt;author"))</f>
        <v>0</v>
      </c>
      <c r="W67" s="72">
        <f t="shared" si="27"/>
        <v>0</v>
      </c>
      <c r="X67" s="67">
        <f>COUNTIFS(patch[all_reviewer], "*"&amp;$B67&amp;"*", patch[AuthorGroup], "BJ And dev", patch[MergeMonth], X$34)</f>
        <v>0</v>
      </c>
      <c r="Y67" s="67">
        <f>COUNTIFS(patch[reviewer], $B67, patch[AuthorGroup], "BJ And dev", patch[MergeMonth], Y$34, patch[ReviewerGroup], "&lt;&gt;author", patch[Integrator], "&lt;&gt;IntegratorValidationComment")</f>
        <v>0</v>
      </c>
      <c r="Z67" s="67">
        <f>COUNTIFS(patch[reviewer], $B67, patch[Review-1], "Review-1", patch[AuthorGroup], "BJ And dev", patch[MergeMonth], Z$34, patch[ReviewerGroup], "&lt;&gt;author")</f>
        <v>0</v>
      </c>
      <c r="AA67" s="67">
        <f>SUM(COUNTIFS(patch[all_reviewer], "*"&amp;$B67&amp;"*", patch[AuthorGroup], {"FL And dev","SH And dev"}, patch[MergeMonth], AA$34))</f>
        <v>0</v>
      </c>
      <c r="AB67" s="67">
        <f>SUM(COUNTIFS(patch[reviewer], $B67, patch[AuthorGroup], {"FL And dev","SH And dev"}, patch[MergeMonth], AB$34, patch[ReviewerGroup], "&lt;&gt;author", patch[Integrator], "&lt;&gt;IntegratorValidationComment"))</f>
        <v>0</v>
      </c>
      <c r="AC67" s="67">
        <f>SUM(COUNTIFS(patch[reviewer], $B67, patch[Review-1], "Review-1", patch[AuthorGroup], {"FL And dev","SH And dev"}, patch[MergeMonth], AC$34, patch[ReviewerGroup], "&lt;&gt;author"))</f>
        <v>0</v>
      </c>
      <c r="AD67" s="72">
        <f t="shared" si="28"/>
        <v>0</v>
      </c>
    </row>
    <row r="68" spans="1:30" outlineLevel="1">
      <c r="A68" s="180"/>
      <c r="B68" s="27" t="s">
        <v>1159</v>
      </c>
      <c r="C68" s="77">
        <f t="shared" si="19"/>
        <v>0</v>
      </c>
      <c r="D68" s="77">
        <f t="shared" si="20"/>
        <v>0</v>
      </c>
      <c r="E68" s="77">
        <f t="shared" si="21"/>
        <v>0</v>
      </c>
      <c r="F68" s="77">
        <f t="shared" si="22"/>
        <v>0</v>
      </c>
      <c r="G68" s="77">
        <f t="shared" si="23"/>
        <v>0</v>
      </c>
      <c r="H68" s="77">
        <f t="shared" si="24"/>
        <v>0</v>
      </c>
      <c r="I68" s="78">
        <f t="shared" si="25"/>
        <v>0</v>
      </c>
      <c r="J68" s="67">
        <f>COUNTIFS(patch[all_reviewer], "*"&amp;$B68&amp;"*", patch[AuthorGroup], "BJ And dev", patch[MergeMonth], J$34)</f>
        <v>0</v>
      </c>
      <c r="K68" s="104">
        <f>COUNTIFS(patch[reviewer], $B68, patch[AuthorGroup], "BJ And dev", patch[MergeMonth], K$34, patch[ReviewerGroup], "&lt;&gt;author", patch[Integrator], "&lt;&gt;IntegratorValidationComment")</f>
        <v>0</v>
      </c>
      <c r="L68" s="67">
        <f>COUNTIFS(patch[reviewer], $B68, patch[Review-1], "Review-1", patch[AuthorGroup], "BJ And dev", patch[MergeMonth], L$34, patch[ReviewerGroup], "&lt;&gt;author")</f>
        <v>0</v>
      </c>
      <c r="M68" s="67">
        <f>SUM(COUNTIFS(patch[all_reviewer], "*"&amp;$B68&amp;"*", patch[AuthorGroup], {"FL And dev","SH And dev"}, patch[MergeMonth], M$34))</f>
        <v>0</v>
      </c>
      <c r="N68" s="67">
        <f>SUM(COUNTIFS(patch[reviewer], $B68, patch[AuthorGroup], {"FL And dev","SH And dev"}, patch[MergeMonth], N$34, patch[ReviewerGroup], "&lt;&gt;author", patch[Integrator], "&lt;&gt;IntegratorValidationComment"))</f>
        <v>0</v>
      </c>
      <c r="O68" s="67">
        <f>SUM(COUNTIFS(patch[reviewer], $B68, patch[Review-1], "Review-1", patch[AuthorGroup], {"FL And dev","SH And dev"}, patch[MergeMonth], O$34, patch[ReviewerGroup], "&lt;&gt;author"))</f>
        <v>0</v>
      </c>
      <c r="P68" s="72">
        <f t="shared" si="26"/>
        <v>0</v>
      </c>
      <c r="Q68" s="67">
        <f>COUNTIFS(patch[all_reviewer], "*"&amp;$B68&amp;"*", patch[AuthorGroup], "BJ And dev", patch[MergeMonth], Q$34)</f>
        <v>0</v>
      </c>
      <c r="R68" s="67">
        <f>COUNTIFS(patch[reviewer], $B68, patch[AuthorGroup], "BJ And dev", patch[MergeMonth], R$34, patch[ReviewerGroup], "&lt;&gt;author", patch[Integrator], "&lt;&gt;IntegratorValidationComment")</f>
        <v>0</v>
      </c>
      <c r="S68" s="67">
        <f>COUNTIFS(patch[reviewer], $B68, patch[Review-1], "Review-1", patch[AuthorGroup], "BJ And dev", patch[MergeMonth], S$34, patch[ReviewerGroup], "&lt;&gt;author")</f>
        <v>0</v>
      </c>
      <c r="T68" s="67">
        <f>SUM(COUNTIFS(patch[all_reviewer], "*"&amp;$B68&amp;"*", patch[AuthorGroup], {"FL And dev","SH And dev"}, patch[MergeMonth], T$34))</f>
        <v>0</v>
      </c>
      <c r="U68" s="67">
        <f>SUM(COUNTIFS(patch[reviewer], $B68, patch[AuthorGroup], {"FL And dev","SH And dev"}, patch[MergeMonth], U$34, patch[ReviewerGroup], "&lt;&gt;author", patch[Integrator], "&lt;&gt;IntegratorValidationComment"))</f>
        <v>0</v>
      </c>
      <c r="V68" s="67">
        <f>SUM(COUNTIFS(patch[reviewer], $B68, patch[Review-1], "Review-1", patch[AuthorGroup], {"FL And dev","SH And dev"}, patch[MergeMonth], V$34, patch[ReviewerGroup], "&lt;&gt;author"))</f>
        <v>0</v>
      </c>
      <c r="W68" s="72">
        <f t="shared" si="27"/>
        <v>0</v>
      </c>
      <c r="X68" s="67">
        <f>COUNTIFS(patch[all_reviewer], "*"&amp;$B68&amp;"*", patch[AuthorGroup], "BJ And dev", patch[MergeMonth], X$34)</f>
        <v>0</v>
      </c>
      <c r="Y68" s="67">
        <f>COUNTIFS(patch[reviewer], $B68, patch[AuthorGroup], "BJ And dev", patch[MergeMonth], Y$34, patch[ReviewerGroup], "&lt;&gt;author", patch[Integrator], "&lt;&gt;IntegratorValidationComment")</f>
        <v>0</v>
      </c>
      <c r="Z68" s="67">
        <f>COUNTIFS(patch[reviewer], $B68, patch[Review-1], "Review-1", patch[AuthorGroup], "BJ And dev", patch[MergeMonth], Z$34, patch[ReviewerGroup], "&lt;&gt;author")</f>
        <v>0</v>
      </c>
      <c r="AA68" s="67">
        <f>SUM(COUNTIFS(patch[all_reviewer], "*"&amp;$B68&amp;"*", patch[AuthorGroup], {"FL And dev","SH And dev"}, patch[MergeMonth], AA$34))</f>
        <v>0</v>
      </c>
      <c r="AB68" s="67">
        <f>SUM(COUNTIFS(patch[reviewer], $B68, patch[AuthorGroup], {"FL And dev","SH And dev"}, patch[MergeMonth], AB$34, patch[ReviewerGroup], "&lt;&gt;author", patch[Integrator], "&lt;&gt;IntegratorValidationComment"))</f>
        <v>0</v>
      </c>
      <c r="AC68" s="67">
        <f>SUM(COUNTIFS(patch[reviewer], $B68, patch[Review-1], "Review-1", patch[AuthorGroup], {"FL And dev","SH And dev"}, patch[MergeMonth], AC$34, patch[ReviewerGroup], "&lt;&gt;author"))</f>
        <v>0</v>
      </c>
      <c r="AD68" s="72">
        <f t="shared" si="28"/>
        <v>0</v>
      </c>
    </row>
    <row r="69" spans="1:30" outlineLevel="1">
      <c r="A69" s="180"/>
      <c r="B69" s="27" t="s">
        <v>64</v>
      </c>
      <c r="C69" s="77">
        <f t="shared" si="19"/>
        <v>0</v>
      </c>
      <c r="D69" s="77">
        <f t="shared" si="20"/>
        <v>0</v>
      </c>
      <c r="E69" s="77">
        <f t="shared" si="21"/>
        <v>0</v>
      </c>
      <c r="F69" s="77">
        <f t="shared" si="22"/>
        <v>0</v>
      </c>
      <c r="G69" s="77">
        <f t="shared" si="23"/>
        <v>0</v>
      </c>
      <c r="H69" s="77">
        <f t="shared" si="24"/>
        <v>0</v>
      </c>
      <c r="I69" s="78">
        <f t="shared" si="25"/>
        <v>0</v>
      </c>
      <c r="J69" s="67">
        <f>COUNTIFS(patch[all_reviewer], "*"&amp;$B69&amp;"*", patch[AuthorGroup], "BJ And dev", patch[MergeMonth], J$34)</f>
        <v>0</v>
      </c>
      <c r="K69" s="104">
        <f>COUNTIFS(patch[reviewer], $B69, patch[AuthorGroup], "BJ And dev", patch[MergeMonth], K$34, patch[ReviewerGroup], "&lt;&gt;author", patch[Integrator], "&lt;&gt;IntegratorValidationComment")</f>
        <v>0</v>
      </c>
      <c r="L69" s="67">
        <f>COUNTIFS(patch[reviewer], $B69, patch[Review-1], "Review-1", patch[AuthorGroup], "BJ And dev", patch[MergeMonth], L$34, patch[ReviewerGroup], "&lt;&gt;author")</f>
        <v>0</v>
      </c>
      <c r="M69" s="67">
        <f>SUM(COUNTIFS(patch[all_reviewer], "*"&amp;$B69&amp;"*", patch[AuthorGroup], {"FL And dev","SH And dev"}, patch[MergeMonth], M$34))</f>
        <v>0</v>
      </c>
      <c r="N69" s="67">
        <f>SUM(COUNTIFS(patch[reviewer], $B69, patch[AuthorGroup], {"FL And dev","SH And dev"}, patch[MergeMonth], N$34, patch[ReviewerGroup], "&lt;&gt;author", patch[Integrator], "&lt;&gt;IntegratorValidationComment"))</f>
        <v>0</v>
      </c>
      <c r="O69" s="67">
        <f>SUM(COUNTIFS(patch[reviewer], $B69, patch[Review-1], "Review-1", patch[AuthorGroup], {"FL And dev","SH And dev"}, patch[MergeMonth], O$34, patch[ReviewerGroup], "&lt;&gt;author"))</f>
        <v>0</v>
      </c>
      <c r="P69" s="72">
        <f t="shared" si="26"/>
        <v>0</v>
      </c>
      <c r="Q69" s="67">
        <f>COUNTIFS(patch[all_reviewer], "*"&amp;$B69&amp;"*", patch[AuthorGroup], "BJ And dev", patch[MergeMonth], Q$34)</f>
        <v>0</v>
      </c>
      <c r="R69" s="67">
        <f>COUNTIFS(patch[reviewer], $B69, patch[AuthorGroup], "BJ And dev", patch[MergeMonth], R$34, patch[ReviewerGroup], "&lt;&gt;author", patch[Integrator], "&lt;&gt;IntegratorValidationComment")</f>
        <v>0</v>
      </c>
      <c r="S69" s="67">
        <f>COUNTIFS(patch[reviewer], $B69, patch[Review-1], "Review-1", patch[AuthorGroup], "BJ And dev", patch[MergeMonth], S$34, patch[ReviewerGroup], "&lt;&gt;author")</f>
        <v>0</v>
      </c>
      <c r="T69" s="67">
        <f>SUM(COUNTIFS(patch[all_reviewer], "*"&amp;$B69&amp;"*", patch[AuthorGroup], {"FL And dev","SH And dev"}, patch[MergeMonth], T$34))</f>
        <v>0</v>
      </c>
      <c r="U69" s="67">
        <f>SUM(COUNTIFS(patch[reviewer], $B69, patch[AuthorGroup], {"FL And dev","SH And dev"}, patch[MergeMonth], U$34, patch[ReviewerGroup], "&lt;&gt;author", patch[Integrator], "&lt;&gt;IntegratorValidationComment"))</f>
        <v>0</v>
      </c>
      <c r="V69" s="67">
        <f>SUM(COUNTIFS(patch[reviewer], $B69, patch[Review-1], "Review-1", patch[AuthorGroup], {"FL And dev","SH And dev"}, patch[MergeMonth], V$34, patch[ReviewerGroup], "&lt;&gt;author"))</f>
        <v>0</v>
      </c>
      <c r="W69" s="72">
        <f t="shared" si="27"/>
        <v>0</v>
      </c>
      <c r="X69" s="67">
        <f>COUNTIFS(patch[all_reviewer], "*"&amp;$B69&amp;"*", patch[AuthorGroup], "BJ And dev", patch[MergeMonth], X$34)</f>
        <v>0</v>
      </c>
      <c r="Y69" s="67">
        <f>COUNTIFS(patch[reviewer], $B69, patch[AuthorGroup], "BJ And dev", patch[MergeMonth], Y$34, patch[ReviewerGroup], "&lt;&gt;author", patch[Integrator], "&lt;&gt;IntegratorValidationComment")</f>
        <v>0</v>
      </c>
      <c r="Z69" s="67">
        <f>COUNTIFS(patch[reviewer], $B69, patch[Review-1], "Review-1", patch[AuthorGroup], "BJ And dev", patch[MergeMonth], Z$34, patch[ReviewerGroup], "&lt;&gt;author")</f>
        <v>0</v>
      </c>
      <c r="AA69" s="67">
        <f>SUM(COUNTIFS(patch[all_reviewer], "*"&amp;$B69&amp;"*", patch[AuthorGroup], {"FL And dev","SH And dev"}, patch[MergeMonth], AA$34))</f>
        <v>0</v>
      </c>
      <c r="AB69" s="67">
        <f>SUM(COUNTIFS(patch[reviewer], $B69, patch[AuthorGroup], {"FL And dev","SH And dev"}, patch[MergeMonth], AB$34, patch[ReviewerGroup], "&lt;&gt;author", patch[Integrator], "&lt;&gt;IntegratorValidationComment"))</f>
        <v>0</v>
      </c>
      <c r="AC69" s="67">
        <f>SUM(COUNTIFS(patch[reviewer], $B69, patch[Review-1], "Review-1", patch[AuthorGroup], {"FL And dev","SH And dev"}, patch[MergeMonth], AC$34, patch[ReviewerGroup], "&lt;&gt;author"))</f>
        <v>0</v>
      </c>
      <c r="AD69" s="72">
        <f t="shared" si="28"/>
        <v>0</v>
      </c>
    </row>
    <row r="70" spans="1:30" outlineLevel="1">
      <c r="A70" s="180"/>
      <c r="B70" s="147" t="s">
        <v>2332</v>
      </c>
      <c r="C70" s="77">
        <f t="shared" ref="C70" si="29">SUM(J70, Q70, X70)</f>
        <v>0</v>
      </c>
      <c r="D70" s="77">
        <f t="shared" ref="D70" si="30">SUM(K70, R70, Y70)</f>
        <v>0</v>
      </c>
      <c r="E70" s="77">
        <f t="shared" ref="E70" si="31">SUM(L70, S70, Z70)</f>
        <v>0</v>
      </c>
      <c r="F70" s="77">
        <f t="shared" ref="F70" si="32">SUM(M70, T70, AA70)</f>
        <v>0</v>
      </c>
      <c r="G70" s="77">
        <f t="shared" ref="G70" si="33">SUM(N70, U70, AB70)</f>
        <v>0</v>
      </c>
      <c r="H70" s="77">
        <f t="shared" ref="H70" si="34">SUM(O70, V70, AC70)</f>
        <v>0</v>
      </c>
      <c r="I70" s="78">
        <f t="shared" si="25"/>
        <v>0</v>
      </c>
      <c r="J70" s="67">
        <f>COUNTIFS(patch[all_reviewer], "*"&amp;$B70&amp;"*", patch[AuthorGroup], "BJ And dev", patch[MergeMonth], J$34)</f>
        <v>0</v>
      </c>
      <c r="K70" s="104">
        <f>COUNTIFS(patch[reviewer], $B70, patch[AuthorGroup], "BJ And dev", patch[MergeMonth], K$34, patch[ReviewerGroup], "&lt;&gt;author", patch[Integrator], "&lt;&gt;IntegratorValidationComment")</f>
        <v>0</v>
      </c>
      <c r="L70" s="67">
        <f>COUNTIFS(patch[reviewer], $B70, patch[Review-1], "Review-1", patch[AuthorGroup], "BJ And dev", patch[MergeMonth], L$34, patch[ReviewerGroup], "&lt;&gt;author")</f>
        <v>0</v>
      </c>
      <c r="M70" s="67">
        <f>SUM(COUNTIFS(patch[all_reviewer], "*"&amp;$B70&amp;"*", patch[AuthorGroup], {"FL And dev","SH And dev"}, patch[MergeMonth], M$34))</f>
        <v>0</v>
      </c>
      <c r="N70" s="67">
        <f>SUM(COUNTIFS(patch[reviewer], $B70, patch[AuthorGroup], {"FL And dev","SH And dev"}, patch[MergeMonth], N$34, patch[ReviewerGroup], "&lt;&gt;author", patch[Integrator], "&lt;&gt;IntegratorValidationComment"))</f>
        <v>0</v>
      </c>
      <c r="O70" s="67">
        <f>SUM(COUNTIFS(patch[reviewer], $B70, patch[Review-1], "Review-1", patch[AuthorGroup], {"FL And dev","SH And dev"}, patch[MergeMonth], O$34, patch[ReviewerGroup], "&lt;&gt;author"))</f>
        <v>0</v>
      </c>
      <c r="P70" s="147">
        <f t="shared" si="26"/>
        <v>0</v>
      </c>
      <c r="Q70" s="67">
        <f>COUNTIFS(patch[all_reviewer], "*"&amp;$B70&amp;"*", patch[AuthorGroup], "BJ And dev", patch[MergeMonth], Q$34)</f>
        <v>0</v>
      </c>
      <c r="R70" s="67">
        <f>COUNTIFS(patch[reviewer], $B70, patch[AuthorGroup], "BJ And dev", patch[MergeMonth], R$34, patch[ReviewerGroup], "&lt;&gt;author", patch[Integrator], "&lt;&gt;IntegratorValidationComment")</f>
        <v>0</v>
      </c>
      <c r="S70" s="67">
        <f>COUNTIFS(patch[reviewer], $B70, patch[Review-1], "Review-1", patch[AuthorGroup], "BJ And dev", patch[MergeMonth], S$34, patch[ReviewerGroup], "&lt;&gt;author")</f>
        <v>0</v>
      </c>
      <c r="T70" s="67">
        <f>SUM(COUNTIFS(patch[all_reviewer], "*"&amp;$B70&amp;"*", patch[AuthorGroup], {"FL And dev","SH And dev"}, patch[MergeMonth], T$34))</f>
        <v>0</v>
      </c>
      <c r="U70" s="67">
        <f>SUM(COUNTIFS(patch[reviewer], $B70, patch[AuthorGroup], {"FL And dev","SH And dev"}, patch[MergeMonth], U$34, patch[ReviewerGroup], "&lt;&gt;author", patch[Integrator], "&lt;&gt;IntegratorValidationComment"))</f>
        <v>0</v>
      </c>
      <c r="V70" s="67">
        <f>SUM(COUNTIFS(patch[reviewer], $B70, patch[Review-1], "Review-1", patch[AuthorGroup], {"FL And dev","SH And dev"}, patch[MergeMonth], V$34, patch[ReviewerGroup], "&lt;&gt;author"))</f>
        <v>0</v>
      </c>
      <c r="W70" s="147">
        <f t="shared" si="27"/>
        <v>0</v>
      </c>
      <c r="X70" s="67">
        <f>COUNTIFS(patch[all_reviewer], "*"&amp;$B70&amp;"*", patch[AuthorGroup], "BJ And dev", patch[MergeMonth], X$34)</f>
        <v>0</v>
      </c>
      <c r="Y70" s="67">
        <f>COUNTIFS(patch[reviewer], $B70, patch[AuthorGroup], "BJ And dev", patch[MergeMonth], Y$34, patch[ReviewerGroup], "&lt;&gt;author", patch[Integrator], "&lt;&gt;IntegratorValidationComment")</f>
        <v>0</v>
      </c>
      <c r="Z70" s="67">
        <f>COUNTIFS(patch[reviewer], $B70, patch[Review-1], "Review-1", patch[AuthorGroup], "BJ And dev", patch[MergeMonth], Z$34, patch[ReviewerGroup], "&lt;&gt;author")</f>
        <v>0</v>
      </c>
      <c r="AA70" s="67">
        <f>SUM(COUNTIFS(patch[all_reviewer], "*"&amp;$B70&amp;"*", patch[AuthorGroup], {"FL And dev","SH And dev"}, patch[MergeMonth], AA$34))</f>
        <v>0</v>
      </c>
      <c r="AB70" s="67">
        <f>SUM(COUNTIFS(patch[reviewer], $B70, patch[AuthorGroup], {"FL And dev","SH And dev"}, patch[MergeMonth], AB$34, patch[ReviewerGroup], "&lt;&gt;author", patch[Integrator], "&lt;&gt;IntegratorValidationComment"))</f>
        <v>0</v>
      </c>
      <c r="AC70" s="67">
        <f>SUM(COUNTIFS(patch[reviewer], $B70, patch[Review-1], "Review-1", patch[AuthorGroup], {"FL And dev","SH And dev"}, patch[MergeMonth], AC$34, patch[ReviewerGroup], "&lt;&gt;author"))</f>
        <v>0</v>
      </c>
      <c r="AD70" s="147">
        <f t="shared" si="28"/>
        <v>0</v>
      </c>
    </row>
    <row r="71" spans="1:30">
      <c r="B71" s="66" t="s">
        <v>2079</v>
      </c>
      <c r="C71" s="76">
        <f>SUM(C56:C69)</f>
        <v>2</v>
      </c>
      <c r="D71" s="76">
        <f t="shared" ref="D71:H71" si="35">SUM(D56:D69)</f>
        <v>3</v>
      </c>
      <c r="E71" s="76">
        <f t="shared" si="35"/>
        <v>1</v>
      </c>
      <c r="F71" s="76">
        <f t="shared" si="35"/>
        <v>0</v>
      </c>
      <c r="G71" s="76">
        <f t="shared" si="35"/>
        <v>0</v>
      </c>
      <c r="H71" s="76">
        <f t="shared" si="35"/>
        <v>0</v>
      </c>
      <c r="I71" s="76">
        <f>SUM(I56:I69)</f>
        <v>9</v>
      </c>
      <c r="J71" s="68">
        <f>SUM(J56:J69)</f>
        <v>0</v>
      </c>
      <c r="K71" s="105">
        <f t="shared" ref="K71:P71" si="36">SUM(K56:K69)</f>
        <v>0</v>
      </c>
      <c r="L71" s="68">
        <f t="shared" si="36"/>
        <v>0</v>
      </c>
      <c r="M71" s="68">
        <f t="shared" si="36"/>
        <v>0</v>
      </c>
      <c r="N71" s="68">
        <f t="shared" si="36"/>
        <v>0</v>
      </c>
      <c r="O71" s="68">
        <f t="shared" si="36"/>
        <v>0</v>
      </c>
      <c r="P71" s="68">
        <f t="shared" si="36"/>
        <v>0</v>
      </c>
      <c r="Q71" s="68">
        <f>SUM(Q56:Q69)</f>
        <v>0</v>
      </c>
      <c r="R71" s="68">
        <f t="shared" ref="R71" si="37">SUM(R56:R69)</f>
        <v>0</v>
      </c>
      <c r="S71" s="68">
        <f t="shared" ref="S71:W71" si="38">SUM(S56:S69)</f>
        <v>0</v>
      </c>
      <c r="T71" s="68">
        <f t="shared" si="38"/>
        <v>0</v>
      </c>
      <c r="U71" s="68">
        <f t="shared" si="38"/>
        <v>0</v>
      </c>
      <c r="V71" s="68">
        <f t="shared" si="38"/>
        <v>0</v>
      </c>
      <c r="W71" s="68">
        <f t="shared" si="38"/>
        <v>0</v>
      </c>
      <c r="X71" s="68">
        <f>SUM(X56:X69)</f>
        <v>2</v>
      </c>
      <c r="Y71" s="68">
        <f t="shared" ref="Y71" si="39">SUM(Y56:Y69)</f>
        <v>3</v>
      </c>
      <c r="Z71" s="68">
        <f t="shared" ref="Z71:AD71" si="40">SUM(Z56:Z69)</f>
        <v>1</v>
      </c>
      <c r="AA71" s="68">
        <f t="shared" si="40"/>
        <v>0</v>
      </c>
      <c r="AB71" s="68">
        <f t="shared" si="40"/>
        <v>0</v>
      </c>
      <c r="AC71" s="68">
        <f t="shared" si="40"/>
        <v>0</v>
      </c>
      <c r="AD71" s="68">
        <f t="shared" si="40"/>
        <v>9</v>
      </c>
    </row>
    <row r="72" spans="1:30">
      <c r="B72" s="66" t="s">
        <v>2080</v>
      </c>
      <c r="C72" s="76">
        <f>C55+C71</f>
        <v>339</v>
      </c>
      <c r="D72" s="76">
        <f t="shared" ref="D72:AD72" si="41">D55+D71</f>
        <v>1215</v>
      </c>
      <c r="E72" s="76">
        <f t="shared" si="41"/>
        <v>28</v>
      </c>
      <c r="F72" s="76">
        <f t="shared" si="41"/>
        <v>42</v>
      </c>
      <c r="G72" s="76">
        <f t="shared" si="41"/>
        <v>120</v>
      </c>
      <c r="H72" s="76">
        <f t="shared" si="41"/>
        <v>5</v>
      </c>
      <c r="I72" s="76">
        <f t="shared" si="41"/>
        <v>2094</v>
      </c>
      <c r="J72" s="68">
        <f t="shared" si="41"/>
        <v>0</v>
      </c>
      <c r="K72" s="105">
        <f t="shared" si="41"/>
        <v>0</v>
      </c>
      <c r="L72" s="68">
        <f t="shared" si="41"/>
        <v>0</v>
      </c>
      <c r="M72" s="68">
        <f t="shared" si="41"/>
        <v>0</v>
      </c>
      <c r="N72" s="68">
        <f t="shared" si="41"/>
        <v>0</v>
      </c>
      <c r="O72" s="68">
        <f t="shared" si="41"/>
        <v>0</v>
      </c>
      <c r="P72" s="68">
        <f t="shared" si="41"/>
        <v>0</v>
      </c>
      <c r="Q72" s="68">
        <f t="shared" si="41"/>
        <v>0</v>
      </c>
      <c r="R72" s="68">
        <f t="shared" ref="R72" si="42">R55+R71</f>
        <v>0</v>
      </c>
      <c r="S72" s="68">
        <f t="shared" si="41"/>
        <v>0</v>
      </c>
      <c r="T72" s="68">
        <f t="shared" ref="T72:V72" si="43">T55+T71</f>
        <v>0</v>
      </c>
      <c r="U72" s="68">
        <f t="shared" si="43"/>
        <v>0</v>
      </c>
      <c r="V72" s="68">
        <f t="shared" si="43"/>
        <v>0</v>
      </c>
      <c r="W72" s="68">
        <f t="shared" si="41"/>
        <v>0</v>
      </c>
      <c r="X72" s="68">
        <f t="shared" si="41"/>
        <v>339</v>
      </c>
      <c r="Y72" s="68">
        <f t="shared" ref="Y72" si="44">Y55+Y71</f>
        <v>1215</v>
      </c>
      <c r="Z72" s="68">
        <f t="shared" si="41"/>
        <v>28</v>
      </c>
      <c r="AA72" s="68">
        <f t="shared" ref="AA72:AC72" si="45">AA55+AA71</f>
        <v>42</v>
      </c>
      <c r="AB72" s="68">
        <f t="shared" si="45"/>
        <v>120</v>
      </c>
      <c r="AC72" s="68">
        <f t="shared" si="45"/>
        <v>5</v>
      </c>
      <c r="AD72" s="68">
        <f t="shared" si="41"/>
        <v>2094</v>
      </c>
    </row>
    <row r="74" spans="1:30">
      <c r="B74" s="69" t="s">
        <v>2066</v>
      </c>
      <c r="C74" s="69">
        <v>1.5</v>
      </c>
      <c r="D74" s="70">
        <v>1</v>
      </c>
      <c r="E74" s="70">
        <v>3</v>
      </c>
      <c r="F74" s="69">
        <v>2</v>
      </c>
      <c r="G74" s="69">
        <v>1.5</v>
      </c>
      <c r="H74" s="69">
        <v>4.5</v>
      </c>
      <c r="I74" s="69"/>
      <c r="K74" s="102"/>
      <c r="L74"/>
      <c r="M74"/>
      <c r="N74"/>
      <c r="O74"/>
      <c r="P74"/>
      <c r="Q74"/>
      <c r="R74"/>
      <c r="S74"/>
      <c r="T74"/>
      <c r="U74"/>
      <c r="V74"/>
      <c r="W74"/>
      <c r="X74"/>
      <c r="Y74"/>
    </row>
  </sheetData>
  <mergeCells count="54">
    <mergeCell ref="A56:A70"/>
    <mergeCell ref="C33:I33"/>
    <mergeCell ref="C35:E35"/>
    <mergeCell ref="F35:H35"/>
    <mergeCell ref="J33:P33"/>
    <mergeCell ref="A37:A54"/>
    <mergeCell ref="J35:L35"/>
    <mergeCell ref="M35:O35"/>
    <mergeCell ref="Q33:W33"/>
    <mergeCell ref="X33:AD33"/>
    <mergeCell ref="Q35:S35"/>
    <mergeCell ref="T35:V35"/>
    <mergeCell ref="X35:Z35"/>
    <mergeCell ref="AA35:AC35"/>
    <mergeCell ref="I22:I23"/>
    <mergeCell ref="A20:A21"/>
    <mergeCell ref="C20:C21"/>
    <mergeCell ref="D20:D21"/>
    <mergeCell ref="G20:G21"/>
    <mergeCell ref="I20:I21"/>
    <mergeCell ref="A22:A23"/>
    <mergeCell ref="C22:C23"/>
    <mergeCell ref="D22:D23"/>
    <mergeCell ref="G22:G23"/>
    <mergeCell ref="I18:I19"/>
    <mergeCell ref="A16:A17"/>
    <mergeCell ref="C16:C17"/>
    <mergeCell ref="D16:D17"/>
    <mergeCell ref="G16:G17"/>
    <mergeCell ref="I16:I17"/>
    <mergeCell ref="A18:A19"/>
    <mergeCell ref="C18:C19"/>
    <mergeCell ref="D18:D19"/>
    <mergeCell ref="G18:G19"/>
    <mergeCell ref="A3:A4"/>
    <mergeCell ref="C3:C4"/>
    <mergeCell ref="D3:D4"/>
    <mergeCell ref="G3:G4"/>
    <mergeCell ref="I3:I4"/>
    <mergeCell ref="C9:C10"/>
    <mergeCell ref="D9:D10"/>
    <mergeCell ref="G9:G10"/>
    <mergeCell ref="A7:A8"/>
    <mergeCell ref="I5:I6"/>
    <mergeCell ref="A5:A6"/>
    <mergeCell ref="C5:C6"/>
    <mergeCell ref="D5:D6"/>
    <mergeCell ref="G5:G6"/>
    <mergeCell ref="C7:C8"/>
    <mergeCell ref="D7:D8"/>
    <mergeCell ref="G7:G8"/>
    <mergeCell ref="I9:I10"/>
    <mergeCell ref="I7:I8"/>
    <mergeCell ref="A9:A10"/>
  </mergeCells>
  <phoneticPr fontId="5" type="noConversion"/>
  <conditionalFormatting sqref="P37:P54">
    <cfRule type="cellIs" dxfId="24" priority="3" operator="equal">
      <formula>$P$35</formula>
    </cfRule>
  </conditionalFormatting>
  <conditionalFormatting sqref="W37:W54">
    <cfRule type="cellIs" dxfId="23" priority="2" operator="equal">
      <formula>$W$35</formula>
    </cfRule>
  </conditionalFormatting>
  <conditionalFormatting sqref="AD37:AD54">
    <cfRule type="cellIs" dxfId="22" priority="1" operator="equal">
      <formula>$AD$35</formula>
    </cfRule>
  </conditionalFormatting>
  <hyperlinks>
    <hyperlink ref="B38" r:id="rId1"/>
  </hyperlinks>
  <pageMargins left="0.7" right="0.7" top="0.75" bottom="0.75" header="0.3" footer="0.3"/>
  <pageSetup paperSize="9" orientation="portrait" r:id="rId2"/>
  <drawing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Z41"/>
  <sheetViews>
    <sheetView workbookViewId="0">
      <selection activeCell="K24" sqref="K24"/>
    </sheetView>
  </sheetViews>
  <sheetFormatPr defaultRowHeight="15"/>
  <cols>
    <col min="2" max="2" width="38.5703125" customWidth="1"/>
    <col min="3" max="3" width="38.7109375" hidden="1" customWidth="1"/>
    <col min="4" max="4" width="34.42578125" hidden="1" customWidth="1"/>
    <col min="5" max="5" width="24" hidden="1" customWidth="1"/>
    <col min="6" max="6" width="18.28515625" hidden="1" customWidth="1"/>
    <col min="7" max="10" width="9.140625" hidden="1" customWidth="1"/>
    <col min="11" max="11" width="15.85546875" style="26" customWidth="1"/>
    <col min="12" max="12" width="13.28515625" style="26" customWidth="1"/>
    <col min="13" max="24" width="12.42578125" style="26" customWidth="1"/>
  </cols>
  <sheetData>
    <row r="1" spans="1:26">
      <c r="B1" s="164" t="s">
        <v>2043</v>
      </c>
      <c r="C1" s="164"/>
      <c r="D1" s="164"/>
      <c r="E1" s="164"/>
      <c r="F1" s="164"/>
      <c r="G1" s="164"/>
      <c r="H1" s="164"/>
      <c r="I1" s="164"/>
      <c r="J1" s="164"/>
      <c r="X1" s="51"/>
    </row>
    <row r="2" spans="1:26" ht="45">
      <c r="A2" s="41" t="s">
        <v>2029</v>
      </c>
      <c r="B2" s="1" t="s">
        <v>2102</v>
      </c>
      <c r="C2" s="1" t="s">
        <v>2</v>
      </c>
      <c r="D2" s="1" t="s">
        <v>3</v>
      </c>
      <c r="E2" s="2" t="s">
        <v>2019</v>
      </c>
      <c r="F2" s="2"/>
      <c r="G2" s="3" t="s">
        <v>4</v>
      </c>
      <c r="H2" s="3"/>
      <c r="I2" s="4" t="s">
        <v>5</v>
      </c>
      <c r="J2" s="5"/>
      <c r="K2" s="98" t="s">
        <v>2418</v>
      </c>
      <c r="L2" s="150" t="s">
        <v>2343</v>
      </c>
      <c r="M2" s="150" t="s">
        <v>2407</v>
      </c>
      <c r="N2" s="150" t="s">
        <v>2408</v>
      </c>
      <c r="O2" s="150" t="s">
        <v>2409</v>
      </c>
      <c r="P2" s="150" t="s">
        <v>2410</v>
      </c>
      <c r="Q2" s="150" t="s">
        <v>2419</v>
      </c>
      <c r="R2" s="150" t="s">
        <v>2420</v>
      </c>
      <c r="S2" s="150" t="s">
        <v>2421</v>
      </c>
      <c r="T2" s="150" t="s">
        <v>2422</v>
      </c>
      <c r="U2" s="150" t="s">
        <v>2423</v>
      </c>
      <c r="V2" s="150" t="s">
        <v>2424</v>
      </c>
      <c r="W2" s="150" t="s">
        <v>2425</v>
      </c>
      <c r="X2" s="150" t="s">
        <v>2426</v>
      </c>
    </row>
    <row r="3" spans="1:26" ht="15.75">
      <c r="A3" s="155">
        <v>1</v>
      </c>
      <c r="B3" s="54" t="str">
        <f>'BJ-byM'!B3</f>
        <v>Review-1 # per patch (BJ patch)</v>
      </c>
      <c r="C3" s="162" t="s">
        <v>8</v>
      </c>
      <c r="D3" s="162" t="s">
        <v>9</v>
      </c>
      <c r="E3" s="158">
        <v>1.7</v>
      </c>
      <c r="F3" s="55"/>
      <c r="G3" s="163">
        <v>1</v>
      </c>
      <c r="H3" s="58"/>
      <c r="I3" s="161">
        <v>0.6</v>
      </c>
      <c r="J3" s="5"/>
      <c r="K3" s="99">
        <f>IFERROR(SUMIFS(patch[BJFISH -1 num], patch[status], "MERGED",  patch[AuthorGroup],"FL And dev", patch[mergeDate], "&lt;2016-10-1", patch[mergeDate], "&gt;=2016-7-1")/COUNTIFS(patch[status], "MERGED",  patch[AuthorGroup],"FL And dev", patch[mergeDate], "&lt;2016-10-1", patch[mergeDate], "&gt;=2016-7-1"), "no patch")</f>
        <v>0.29411764705882354</v>
      </c>
      <c r="L3" s="29" t="str">
        <f>IFERROR(SUMIFS(patch[BJFISH -1 num], patch[status], "MERGED", patch[MergeWW], L$2, patch[AuthorGroup],"FL And dev")/COUNTIFS(patch[status], "MERGED", patch[MergeWW], L$2, patch[AuthorGroup],"FL And dev"), "no patch")</f>
        <v>no patch</v>
      </c>
      <c r="M3" s="29" t="str">
        <f>IFERROR(SUMIFS(patch[BJFISH -1 num], patch[status], "MERGED", patch[MergeWW], M$2, patch[AuthorGroup],"FL And dev")/COUNTIFS(patch[status], "MERGED", patch[MergeWW], M$2, patch[AuthorGroup],"FL And dev"), "no patch")</f>
        <v>no patch</v>
      </c>
      <c r="N3" s="29" t="str">
        <f>IFERROR(SUMIFS(patch[BJFISH -1 num], patch[status], "MERGED", patch[MergeWW], N$2, patch[AuthorGroup],"FL And dev")/COUNTIFS(patch[status], "MERGED", patch[MergeWW], N$2, patch[AuthorGroup],"FL And dev"), "no patch")</f>
        <v>no patch</v>
      </c>
      <c r="O3" s="29" t="str">
        <f>IFERROR(SUMIFS(patch[BJFISH -1 num], patch[status], "MERGED", patch[MergeWW], O$2, patch[AuthorGroup],"FL And dev")/COUNTIFS(patch[status], "MERGED", patch[MergeWW], O$2, patch[AuthorGroup],"FL And dev"), "no patch")</f>
        <v>no patch</v>
      </c>
      <c r="P3" s="29" t="str">
        <f>IFERROR(SUMIFS(patch[BJFISH -1 num], patch[status], "MERGED", patch[MergeWW], P$2, patch[AuthorGroup],"FL And dev")/COUNTIFS(patch[status], "MERGED", patch[MergeWW], P$2, patch[AuthorGroup],"FL And dev"), "no patch")</f>
        <v>no patch</v>
      </c>
      <c r="Q3" s="29" t="str">
        <f>IFERROR(SUMIFS(patch[BJFISH -1 num], patch[status], "MERGED", patch[MergeWW], Q$2, patch[AuthorGroup],"FL And dev")/COUNTIFS(patch[status], "MERGED", patch[MergeWW], Q$2, patch[AuthorGroup],"FL And dev"), "no patch")</f>
        <v>no patch</v>
      </c>
      <c r="R3" s="29" t="str">
        <f>IFERROR(SUMIFS(patch[BJFISH -1 num], patch[status], "MERGED", patch[MergeWW], R$2, patch[AuthorGroup],"FL And dev")/COUNTIFS(patch[status], "MERGED", patch[MergeWW], R$2, patch[AuthorGroup],"FL And dev"), "no patch")</f>
        <v>no patch</v>
      </c>
      <c r="S3" s="29" t="str">
        <f>IFERROR(SUMIFS(patch[BJFISH -1 num], patch[status], "MERGED", patch[MergeWW], S$2, patch[AuthorGroup],"FL And dev")/COUNTIFS(patch[status], "MERGED", patch[MergeWW], S$2, patch[AuthorGroup],"FL And dev"), "no patch")</f>
        <v>no patch</v>
      </c>
      <c r="T3" s="29">
        <f>IFERROR(SUMIFS(patch[BJFISH -1 num], patch[status], "MERGED", patch[MergeWW], T$2, patch[AuthorGroup],"FL And dev")/COUNTIFS(patch[status], "MERGED", patch[MergeWW], T$2, patch[AuthorGroup],"FL And dev"), "no patch")</f>
        <v>0</v>
      </c>
      <c r="U3" s="29">
        <f>IFERROR(SUMIFS(patch[BJFISH -1 num], patch[status], "MERGED", patch[MergeWW], U$2, patch[AuthorGroup],"FL And dev")/COUNTIFS(patch[status], "MERGED", patch[MergeWW], U$2, patch[AuthorGroup],"FL And dev"), "no patch")</f>
        <v>0</v>
      </c>
      <c r="V3" s="29">
        <f>IFERROR(SUMIFS(patch[BJFISH -1 num], patch[status], "MERGED", patch[MergeWW], V$2, patch[AuthorGroup],"FL And dev")/COUNTIFS(patch[status], "MERGED", patch[MergeWW], V$2, patch[AuthorGroup],"FL And dev"), "no patch")</f>
        <v>0.33333333333333331</v>
      </c>
      <c r="W3" s="29">
        <f>IFERROR(SUMIFS(patch[BJFISH -1 num], patch[status], "MERGED", patch[MergeWW], W$2, patch[AuthorGroup],"FL And dev")/COUNTIFS(patch[status], "MERGED", patch[MergeWW], W$2, patch[AuthorGroup],"FL And dev"), "no patch")</f>
        <v>0.6</v>
      </c>
      <c r="X3" s="29">
        <f>IFERROR(SUMIFS(patch[BJFISH -1 num], patch[status], "MERGED", patch[MergeWW], X$2, patch[AuthorGroup],"FL And dev")/COUNTIFS(patch[status], "MERGED", patch[MergeWW], X$2, patch[AuthorGroup],"FL And dev"), "no patch")</f>
        <v>0.2</v>
      </c>
    </row>
    <row r="4" spans="1:26" ht="30">
      <c r="A4" s="156"/>
      <c r="B4" s="54" t="s">
        <v>17</v>
      </c>
      <c r="C4" s="162"/>
      <c r="D4" s="162"/>
      <c r="E4" s="158"/>
      <c r="F4" s="55"/>
      <c r="G4" s="163"/>
      <c r="H4" s="58"/>
      <c r="I4" s="161"/>
      <c r="J4" s="5"/>
      <c r="K4" s="106" t="str">
        <f>"#"&amp;SUMIFS(patch[BJFISH -1 num], patch[status], "MERGED",  patch[AuthorGroup],"FL And dev", patch[mergeDate], "&lt;2016-10-1", patch[mergeDate], "&gt;=2016-7-1")&amp;" -1, "&amp;COUNTIFS(patch[status], "MERGED", patch[AuthorGroup],"FL And dev", patch[mergeDate], "&lt;2016-10-1", patch[mergeDate], "&gt;=2016-7-1")&amp;"patches"</f>
        <v>#5 -1, 17patches</v>
      </c>
      <c r="L4" s="46" t="str">
        <f>"#"&amp;SUMIFS(patch[BJFISH -1 num], patch[status], "MERGED", patch[MergeWW], L$2, patch[AuthorGroup],"FL And dev")&amp;" -1, "&amp;COUNTIFS(patch[status], "MERGED", patch[MergeWW],  L$2, patch[AuthorGroup],"FL And dev")&amp;"patches"</f>
        <v>#0 -1, 0patches</v>
      </c>
      <c r="M4" s="46" t="str">
        <f>"#"&amp;SUMIFS(patch[BJFISH -1 num], patch[status], "MERGED", patch[MergeWW], M$2, patch[AuthorGroup],"FL And dev")&amp;" -1, "&amp;COUNTIFS(patch[status], "MERGED", patch[MergeWW],  M$2, patch[AuthorGroup],"FL And dev")&amp;"patches"</f>
        <v>#0 -1, 0patches</v>
      </c>
      <c r="N4" s="46" t="str">
        <f>"#"&amp;SUMIFS(patch[BJFISH -1 num], patch[status], "MERGED", patch[MergeWW], N$2, patch[AuthorGroup],"FL And dev")&amp;" -1, "&amp;COUNTIFS(patch[status], "MERGED", patch[MergeWW],  N$2, patch[AuthorGroup],"FL And dev")&amp;"patches"</f>
        <v>#0 -1, 0patches</v>
      </c>
      <c r="O4" s="46" t="str">
        <f>"#"&amp;SUMIFS(patch[BJFISH -1 num], patch[status], "MERGED", patch[MergeWW], O$2, patch[AuthorGroup],"FL And dev")&amp;" -1, "&amp;COUNTIFS(patch[status], "MERGED", patch[MergeWW],  O$2, patch[AuthorGroup],"FL And dev")&amp;"patches"</f>
        <v>#0 -1, 0patches</v>
      </c>
      <c r="P4" s="46" t="str">
        <f>"#"&amp;SUMIFS(patch[BJFISH -1 num], patch[status], "MERGED", patch[MergeWW], P$2, patch[AuthorGroup],"FL And dev")&amp;" -1, "&amp;COUNTIFS(patch[status], "MERGED", patch[MergeWW],  P$2, patch[AuthorGroup],"FL And dev")&amp;"patches"</f>
        <v>#0 -1, 0patches</v>
      </c>
      <c r="Q4" s="46" t="str">
        <f>"#"&amp;SUMIFS(patch[BJFISH -1 num], patch[status], "MERGED", patch[MergeWW], Q$2, patch[AuthorGroup],"FL And dev")&amp;" -1, "&amp;COUNTIFS(patch[status], "MERGED", patch[MergeWW],  Q$2, patch[AuthorGroup],"FL And dev")&amp;"patches"</f>
        <v>#0 -1, 0patches</v>
      </c>
      <c r="R4" s="46" t="str">
        <f>"#"&amp;SUMIFS(patch[BJFISH -1 num], patch[status], "MERGED", patch[MergeWW], R$2, patch[AuthorGroup],"FL And dev")&amp;" -1, "&amp;COUNTIFS(patch[status], "MERGED", patch[MergeWW],  R$2, patch[AuthorGroup],"FL And dev")&amp;"patches"</f>
        <v>#0 -1, 0patches</v>
      </c>
      <c r="S4" s="46" t="str">
        <f>"#"&amp;SUMIFS(patch[BJFISH -1 num], patch[status], "MERGED", patch[MergeWW], S$2, patch[AuthorGroup],"FL And dev")&amp;" -1, "&amp;COUNTIFS(patch[status], "MERGED", patch[MergeWW],  S$2, patch[AuthorGroup],"FL And dev")&amp;"patches"</f>
        <v>#0 -1, 0patches</v>
      </c>
      <c r="T4" s="46" t="str">
        <f>"#"&amp;SUMIFS(patch[BJFISH -1 num], patch[status], "MERGED", patch[MergeWW], T$2, patch[AuthorGroup],"FL And dev")&amp;" -1, "&amp;COUNTIFS(patch[status], "MERGED", patch[MergeWW],  T$2, patch[AuthorGroup],"FL And dev")&amp;"patches"</f>
        <v>#0 -1, 1patches</v>
      </c>
      <c r="U4" s="46" t="str">
        <f>"#"&amp;SUMIFS(patch[BJFISH -1 num], patch[status], "MERGED", patch[MergeWW], U$2, patch[AuthorGroup],"FL And dev")&amp;" -1, "&amp;COUNTIFS(patch[status], "MERGED", patch[MergeWW],  U$2, patch[AuthorGroup],"FL And dev")&amp;"patches"</f>
        <v>#0 -1, 3patches</v>
      </c>
      <c r="V4" s="46" t="str">
        <f>"#"&amp;SUMIFS(patch[BJFISH -1 num], patch[status], "MERGED", patch[MergeWW], V$2, patch[AuthorGroup],"FL And dev")&amp;" -1, "&amp;COUNTIFS(patch[status], "MERGED", patch[MergeWW],  V$2, patch[AuthorGroup],"FL And dev")&amp;"patches"</f>
        <v>#1 -1, 3patches</v>
      </c>
      <c r="W4" s="46" t="str">
        <f>"#"&amp;SUMIFS(patch[BJFISH -1 num], patch[status], "MERGED", patch[MergeWW], W$2, patch[AuthorGroup],"FL And dev")&amp;" -1, "&amp;COUNTIFS(patch[status], "MERGED", patch[MergeWW],  W$2, patch[AuthorGroup],"FL And dev")&amp;"patches"</f>
        <v>#3 -1, 5patches</v>
      </c>
      <c r="X4" s="46" t="str">
        <f>"#"&amp;SUMIFS(patch[BJFISH -1 num], patch[status], "MERGED", patch[MergeWW], X$2, patch[AuthorGroup],"FL And dev")&amp;" -1, "&amp;COUNTIFS(patch[status], "MERGED", patch[MergeWW],  X$2, patch[AuthorGroup],"FL And dev")&amp;"patches"</f>
        <v>#1 -1, 5patches</v>
      </c>
      <c r="Y4" s="63">
        <f>20+10+11+18+56+12+41+34+33+35+54+39+9</f>
        <v>372</v>
      </c>
      <c r="Z4" s="63"/>
    </row>
    <row r="5" spans="1:26" ht="43.5" customHeight="1">
      <c r="A5" s="155">
        <v>2</v>
      </c>
      <c r="B5" s="84" t="str">
        <f>'BJ-byM'!B5</f>
        <v>Review # from local (%)</v>
      </c>
      <c r="C5" s="157" t="s">
        <v>11</v>
      </c>
      <c r="D5" s="157" t="s">
        <v>12</v>
      </c>
      <c r="E5" s="160">
        <v>0.37</v>
      </c>
      <c r="F5" s="57"/>
      <c r="G5" s="159">
        <v>0.5</v>
      </c>
      <c r="H5" s="56"/>
      <c r="I5" s="154">
        <v>0.6</v>
      </c>
      <c r="J5" s="5"/>
      <c r="K5" s="100">
        <f>IFERROR(
  SUMIFS(patch[FI review num], patch[status], "MERGED",  patch[AuthorGroup],"FL And dev", patch[mergeDate], "&lt;2016-10-1", patch[mergeDate], "&gt;=2016-7-1")
 /SUM(SUMIFS(patch[BJ review num], patch[status], "MERGED",  patch[AuthorGroup],"FL And dev"), SUMIFS(patch[FI review num], patch[status], "MERGED",  patch[AuthorGroup],"FL And dev", patch[mergeDate], "&lt;2016-10-1", patch[mergeDate], "&gt;=2016-7-1"), SUMIFS(patch[SH review num], patch[status], "MERGED",  patch[AuthorGroup],"FL And dev", patch[mergeDate], "&lt;2016-10-1", patch[mergeDate], "&gt;=2016-7-1")),
 "no patch")</f>
        <v>8.2644628099173556E-3</v>
      </c>
      <c r="L5" s="28" t="str">
        <f>IFERROR(
   SUMIFS(patch[FI review num], patch[status], "MERGED", patch[MergeWW], L$2, patch[AuthorGroup],"FL And dev")
   /SUM(SUMIFS(patch[BJ review num], patch[status], "MERGED", patch[MergeWW], L$2, patch[AuthorGroup],"FL And dev"), SUMIFS(patch[FI review num], patch[status], "MERGED", patch[MergeWW], L$2, patch[AuthorGroup],"FL And dev"), SUMIFS(patch[SH review num], patch[status], "MERGED", patch[MergeWW], L$2, patch[AuthorGroup],"FL And dev")), "no patch")</f>
        <v>no patch</v>
      </c>
      <c r="M5" s="28" t="str">
        <f>IFERROR(
   SUMIFS(patch[FI review num], patch[status], "MERGED", patch[MergeWW], M$2, patch[AuthorGroup],"FL And dev")
   /SUM(SUMIFS(patch[BJ review num], patch[status], "MERGED", patch[MergeWW], M$2, patch[AuthorGroup],"FL And dev"), SUMIFS(patch[FI review num], patch[status], "MERGED", patch[MergeWW], M$2, patch[AuthorGroup],"FL And dev"), SUMIFS(patch[SH review num], patch[status], "MERGED", patch[MergeWW], M$2, patch[AuthorGroup],"FL And dev")), "no patch")</f>
        <v>no patch</v>
      </c>
      <c r="N5" s="28" t="str">
        <f>IFERROR(
   SUMIFS(patch[FI review num], patch[status], "MERGED", patch[MergeWW], N$2, patch[AuthorGroup],"FL And dev")
   /SUM(SUMIFS(patch[BJ review num], patch[status], "MERGED", patch[MergeWW], N$2, patch[AuthorGroup],"FL And dev"), SUMIFS(patch[FI review num], patch[status], "MERGED", patch[MergeWW], N$2, patch[AuthorGroup],"FL And dev"), SUMIFS(patch[SH review num], patch[status], "MERGED", patch[MergeWW], N$2, patch[AuthorGroup],"FL And dev")), "no patch")</f>
        <v>no patch</v>
      </c>
      <c r="O5" s="28" t="str">
        <f>IFERROR(
   SUMIFS(patch[FI review num], patch[status], "MERGED", patch[MergeWW], O$2, patch[AuthorGroup],"FL And dev")
   /SUM(SUMIFS(patch[BJ review num], patch[status], "MERGED", patch[MergeWW], O$2, patch[AuthorGroup],"FL And dev"), SUMIFS(patch[FI review num], patch[status], "MERGED", patch[MergeWW], O$2, patch[AuthorGroup],"FL And dev"), SUMIFS(patch[SH review num], patch[status], "MERGED", patch[MergeWW], O$2, patch[AuthorGroup],"FL And dev")), "no patch")</f>
        <v>no patch</v>
      </c>
      <c r="P5" s="28" t="str">
        <f>IFERROR(
   SUMIFS(patch[FI review num], patch[status], "MERGED", patch[MergeWW], P$2, patch[AuthorGroup],"FL And dev")
   /SUM(SUMIFS(patch[BJ review num], patch[status], "MERGED", patch[MergeWW], P$2, patch[AuthorGroup],"FL And dev"), SUMIFS(patch[FI review num], patch[status], "MERGED", patch[MergeWW], P$2, patch[AuthorGroup],"FL And dev"), SUMIFS(patch[SH review num], patch[status], "MERGED", patch[MergeWW], P$2, patch[AuthorGroup],"FL And dev")), "no patch")</f>
        <v>no patch</v>
      </c>
      <c r="Q5" s="28" t="str">
        <f>IFERROR(
   SUMIFS(patch[FI review num], patch[status], "MERGED", patch[MergeWW], Q$2, patch[AuthorGroup],"FL And dev")
   /SUM(SUMIFS(patch[BJ review num], patch[status], "MERGED", patch[MergeWW], Q$2, patch[AuthorGroup],"FL And dev"), SUMIFS(patch[FI review num], patch[status], "MERGED", patch[MergeWW], Q$2, patch[AuthorGroup],"FL And dev"), SUMIFS(patch[SH review num], patch[status], "MERGED", patch[MergeWW], Q$2, patch[AuthorGroup],"FL And dev")), "no patch")</f>
        <v>no patch</v>
      </c>
      <c r="R5" s="28" t="str">
        <f>IFERROR(
   SUMIFS(patch[FI review num], patch[status], "MERGED", patch[MergeWW], R$2, patch[AuthorGroup],"FL And dev")
   /SUM(SUMIFS(patch[BJ review num], patch[status], "MERGED", patch[MergeWW], R$2, patch[AuthorGroup],"FL And dev"), SUMIFS(patch[FI review num], patch[status], "MERGED", patch[MergeWW], R$2, patch[AuthorGroup],"FL And dev"), SUMIFS(patch[SH review num], patch[status], "MERGED", patch[MergeWW], R$2, patch[AuthorGroup],"FL And dev")), "no patch")</f>
        <v>no patch</v>
      </c>
      <c r="S5" s="28" t="str">
        <f>IFERROR(
   SUMIFS(patch[FI review num], patch[status], "MERGED", patch[MergeWW], S$2, patch[AuthorGroup],"FL And dev")
   /SUM(SUMIFS(patch[BJ review num], patch[status], "MERGED", patch[MergeWW], S$2, patch[AuthorGroup],"FL And dev"), SUMIFS(patch[FI review num], patch[status], "MERGED", patch[MergeWW], S$2, patch[AuthorGroup],"FL And dev"), SUMIFS(patch[SH review num], patch[status], "MERGED", patch[MergeWW], S$2, patch[AuthorGroup],"FL And dev")), "no patch")</f>
        <v>no patch</v>
      </c>
      <c r="T5" s="28">
        <f>IFERROR(
   SUMIFS(patch[FI review num], patch[status], "MERGED", patch[MergeWW], T$2, patch[AuthorGroup],"FL And dev")
   /SUM(SUMIFS(patch[BJ review num], patch[status], "MERGED", patch[MergeWW], T$2, patch[AuthorGroup],"FL And dev"), SUMIFS(patch[FI review num], patch[status], "MERGED", patch[MergeWW], T$2, patch[AuthorGroup],"FL And dev"), SUMIFS(patch[SH review num], patch[status], "MERGED", patch[MergeWW], T$2, patch[AuthorGroup],"FL And dev")), "no patch")</f>
        <v>0</v>
      </c>
      <c r="U5" s="28">
        <f>IFERROR(
   SUMIFS(patch[FI review num], patch[status], "MERGED", patch[MergeWW], U$2, patch[AuthorGroup],"FL And dev")
   /SUM(SUMIFS(patch[BJ review num], patch[status], "MERGED", patch[MergeWW], U$2, patch[AuthorGroup],"FL And dev"), SUMIFS(patch[FI review num], patch[status], "MERGED", patch[MergeWW], U$2, patch[AuthorGroup],"FL And dev"), SUMIFS(patch[SH review num], patch[status], "MERGED", patch[MergeWW], U$2, patch[AuthorGroup],"FL And dev")), "no patch")</f>
        <v>0</v>
      </c>
      <c r="V5" s="28">
        <f>IFERROR(
   SUMIFS(patch[FI review num], patch[status], "MERGED", patch[MergeWW], V$2, patch[AuthorGroup],"FL And dev")
   /SUM(SUMIFS(patch[BJ review num], patch[status], "MERGED", patch[MergeWW], V$2, patch[AuthorGroup],"FL And dev"), SUMIFS(patch[FI review num], patch[status], "MERGED", patch[MergeWW], V$2, patch[AuthorGroup],"FL And dev"), SUMIFS(patch[SH review num], patch[status], "MERGED", patch[MergeWW], V$2, patch[AuthorGroup],"FL And dev")), "no patch")</f>
        <v>0</v>
      </c>
      <c r="W5" s="28">
        <f>IFERROR(
   SUMIFS(patch[FI review num], patch[status], "MERGED", patch[MergeWW], W$2, patch[AuthorGroup],"FL And dev")
   /SUM(SUMIFS(patch[BJ review num], patch[status], "MERGED", patch[MergeWW], W$2, patch[AuthorGroup],"FL And dev"), SUMIFS(patch[FI review num], patch[status], "MERGED", patch[MergeWW], W$2, patch[AuthorGroup],"FL And dev"), SUMIFS(patch[SH review num], patch[status], "MERGED", patch[MergeWW], W$2, patch[AuthorGroup],"FL And dev")), "no patch")</f>
        <v>1.8181818181818181E-2</v>
      </c>
      <c r="X5" s="28">
        <f>IFERROR(
   SUMIFS(patch[FI review num], patch[status], "MERGED", patch[MergeWW], X$2, patch[AuthorGroup],"FL And dev")
   /SUM(SUMIFS(patch[BJ review num], patch[status], "MERGED", patch[MergeWW], X$2, patch[AuthorGroup],"FL And dev"), SUMIFS(patch[FI review num], patch[status], "MERGED", patch[MergeWW], X$2, patch[AuthorGroup],"FL And dev"), SUMIFS(patch[SH review num], patch[status], "MERGED", patch[MergeWW], X$2, patch[AuthorGroup],"FL And dev")), "no patch")</f>
        <v>0</v>
      </c>
    </row>
    <row r="6" spans="1:26" ht="45">
      <c r="A6" s="156"/>
      <c r="B6" s="54" t="s">
        <v>17</v>
      </c>
      <c r="C6" s="157"/>
      <c r="D6" s="157"/>
      <c r="E6" s="160"/>
      <c r="F6" s="57"/>
      <c r="G6" s="159"/>
      <c r="H6" s="56"/>
      <c r="I6" s="154"/>
      <c r="J6" s="5"/>
      <c r="K6" s="106" t="str">
        <f>"BJ vs FI vs SH: "&amp;SUMIFS(patch[BJ review num], patch[status], "MERGED",  patch[AuthorGroup],"FL And dev", patch[mergeDate], "&lt;2016-10-1", patch[mergeDate], "&gt;=2016-7-1")&amp;" vs "&amp; SUMIFS(patch[FI review num], patch[status], "MERGED",  patch[AuthorGroup],"FL And dev", patch[mergeDate], "&lt;2016-10-1", patch[mergeDate], "&gt;=2016-7-1")&amp; " vs "&amp;SUMIFS(patch[SH review num], patch[status], "MERGED",  patch[AuthorGroup],"FL And dev", patch[mergeDate], "&lt;2016-10-1", patch[mergeDate], "&gt;=2016-7-1")</f>
        <v>BJ vs FI vs SH: 120 vs 1 vs 0</v>
      </c>
      <c r="L6" s="46" t="str">
        <f>"BJ vs FI vs SH: "&amp;SUMIFS(patch[BJ review num], patch[status], "MERGED", patch[MergeWW], L$2, patch[AuthorGroup],"FL And dev")&amp;" vs "&amp; SUMIFS(patch[FI review num], patch[status], "MERGED", patch[MergeWW], L$2, patch[AuthorGroup],"FL And dev")&amp;" vs "&amp; SUMIFS(patch[SH review num], patch[status], "MERGED", patch[MergeWW], L$2, patch[AuthorGroup],"FL And dev")</f>
        <v>BJ vs FI vs SH: 0 vs 0 vs 0</v>
      </c>
      <c r="M6" s="46" t="str">
        <f>"BJ vs FI vs SH: "&amp;SUMIFS(patch[BJ review num], patch[status], "MERGED", patch[MergeWW], M$2, patch[AuthorGroup],"FL And dev")&amp;" vs "&amp; SUMIFS(patch[FI review num], patch[status], "MERGED", patch[MergeWW], M$2, patch[AuthorGroup],"FL And dev")&amp;" vs "&amp; SUMIFS(patch[SH review num], patch[status], "MERGED", patch[MergeWW], M$2, patch[AuthorGroup],"FL And dev")</f>
        <v>BJ vs FI vs SH: 0 vs 0 vs 0</v>
      </c>
      <c r="N6" s="46" t="str">
        <f>"BJ vs FI vs SH: "&amp;SUMIFS(patch[BJ review num], patch[status], "MERGED", patch[MergeWW], N$2, patch[AuthorGroup],"FL And dev")&amp;" vs "&amp; SUMIFS(patch[FI review num], patch[status], "MERGED", patch[MergeWW], N$2, patch[AuthorGroup],"FL And dev")&amp;" vs "&amp; SUMIFS(patch[SH review num], patch[status], "MERGED", patch[MergeWW], N$2, patch[AuthorGroup],"FL And dev")</f>
        <v>BJ vs FI vs SH: 0 vs 0 vs 0</v>
      </c>
      <c r="O6" s="46" t="str">
        <f>"BJ vs FI vs SH: "&amp;SUMIFS(patch[BJ review num], patch[status], "MERGED", patch[MergeWW], O$2, patch[AuthorGroup],"FL And dev")&amp;" vs "&amp; SUMIFS(patch[FI review num], patch[status], "MERGED", patch[MergeWW], O$2, patch[AuthorGroup],"FL And dev")&amp;" vs "&amp; SUMIFS(patch[SH review num], patch[status], "MERGED", patch[MergeWW], O$2, patch[AuthorGroup],"FL And dev")</f>
        <v>BJ vs FI vs SH: 0 vs 0 vs 0</v>
      </c>
      <c r="P6" s="46" t="str">
        <f>"BJ vs FI vs SH: "&amp;SUMIFS(patch[BJ review num], patch[status], "MERGED", patch[MergeWW], P$2, patch[AuthorGroup],"FL And dev")&amp;" vs "&amp; SUMIFS(patch[FI review num], patch[status], "MERGED", patch[MergeWW], P$2, patch[AuthorGroup],"FL And dev")&amp;" vs "&amp; SUMIFS(patch[SH review num], patch[status], "MERGED", patch[MergeWW], P$2, patch[AuthorGroup],"FL And dev")</f>
        <v>BJ vs FI vs SH: 0 vs 0 vs 0</v>
      </c>
      <c r="Q6" s="46" t="str">
        <f>"BJ vs FI vs SH: "&amp;SUMIFS(patch[BJ review num], patch[status], "MERGED", patch[MergeWW], Q$2, patch[AuthorGroup],"FL And dev")&amp;" vs "&amp; SUMIFS(patch[FI review num], patch[status], "MERGED", patch[MergeWW], Q$2, patch[AuthorGroup],"FL And dev")&amp;" vs "&amp; SUMIFS(patch[SH review num], patch[status], "MERGED", patch[MergeWW], Q$2, patch[AuthorGroup],"FL And dev")</f>
        <v>BJ vs FI vs SH: 0 vs 0 vs 0</v>
      </c>
      <c r="R6" s="46" t="str">
        <f>"BJ vs FI vs SH: "&amp;SUMIFS(patch[BJ review num], patch[status], "MERGED", patch[MergeWW], R$2, patch[AuthorGroup],"FL And dev")&amp;" vs "&amp; SUMIFS(patch[FI review num], patch[status], "MERGED", patch[MergeWW], R$2, patch[AuthorGroup],"FL And dev")&amp;" vs "&amp; SUMIFS(patch[SH review num], patch[status], "MERGED", patch[MergeWW], R$2, patch[AuthorGroup],"FL And dev")</f>
        <v>BJ vs FI vs SH: 0 vs 0 vs 0</v>
      </c>
      <c r="S6" s="46" t="str">
        <f>"BJ vs FI vs SH: "&amp;SUMIFS(patch[BJ review num], patch[status], "MERGED", patch[MergeWW], S$2, patch[AuthorGroup],"FL And dev")&amp;" vs "&amp; SUMIFS(patch[FI review num], patch[status], "MERGED", patch[MergeWW], S$2, patch[AuthorGroup],"FL And dev")&amp;" vs "&amp; SUMIFS(patch[SH review num], patch[status], "MERGED", patch[MergeWW], S$2, patch[AuthorGroup],"FL And dev")</f>
        <v>BJ vs FI vs SH: 0 vs 0 vs 0</v>
      </c>
      <c r="T6" s="46" t="str">
        <f>"BJ vs FI vs SH: "&amp;SUMIFS(patch[BJ review num], patch[status], "MERGED", patch[MergeWW], T$2, patch[AuthorGroup],"FL And dev")&amp;" vs "&amp; SUMIFS(patch[FI review num], patch[status], "MERGED", patch[MergeWW], T$2, patch[AuthorGroup],"FL And dev")&amp;" vs "&amp; SUMIFS(patch[SH review num], patch[status], "MERGED", patch[MergeWW], T$2, patch[AuthorGroup],"FL And dev")</f>
        <v>BJ vs FI vs SH: 5 vs 0 vs 0</v>
      </c>
      <c r="U6" s="46" t="str">
        <f>"BJ vs FI vs SH: "&amp;SUMIFS(patch[BJ review num], patch[status], "MERGED", patch[MergeWW], U$2, patch[AuthorGroup],"FL And dev")&amp;" vs "&amp; SUMIFS(patch[FI review num], patch[status], "MERGED", patch[MergeWW], U$2, patch[AuthorGroup],"FL And dev")&amp;" vs "&amp; SUMIFS(patch[SH review num], patch[status], "MERGED", patch[MergeWW], U$2, patch[AuthorGroup],"FL And dev")</f>
        <v>BJ vs FI vs SH: 13 vs 0 vs 0</v>
      </c>
      <c r="V6" s="46" t="str">
        <f>"BJ vs FI vs SH: "&amp;SUMIFS(patch[BJ review num], patch[status], "MERGED", patch[MergeWW], V$2, patch[AuthorGroup],"FL And dev")&amp;" vs "&amp; SUMIFS(patch[FI review num], patch[status], "MERGED", patch[MergeWW], V$2, patch[AuthorGroup],"FL And dev")&amp;" vs "&amp; SUMIFS(patch[SH review num], patch[status], "MERGED", patch[MergeWW], V$2, patch[AuthorGroup],"FL And dev")</f>
        <v>BJ vs FI vs SH: 17 vs 0 vs 0</v>
      </c>
      <c r="W6" s="46" t="str">
        <f>"BJ vs FI vs SH: "&amp;SUMIFS(patch[BJ review num], patch[status], "MERGED", patch[MergeWW], W$2, patch[AuthorGroup],"FL And dev")&amp;" vs "&amp; SUMIFS(patch[FI review num], patch[status], "MERGED", patch[MergeWW], W$2, patch[AuthorGroup],"FL And dev")&amp;" vs "&amp; SUMIFS(patch[SH review num], patch[status], "MERGED", patch[MergeWW], W$2, patch[AuthorGroup],"FL And dev")</f>
        <v>BJ vs FI vs SH: 54 vs 1 vs 0</v>
      </c>
      <c r="X6" s="46" t="str">
        <f>"BJ vs FI vs SH: "&amp;SUMIFS(patch[BJ review num], patch[status], "MERGED", patch[MergeWW], X$2, patch[AuthorGroup],"FL And dev")&amp;" vs "&amp; SUMIFS(patch[FI review num], patch[status], "MERGED", patch[MergeWW], X$2, patch[AuthorGroup],"FL And dev")&amp;" vs "&amp; SUMIFS(patch[SH review num], patch[status], "MERGED", patch[MergeWW], X$2, patch[AuthorGroup],"FL And dev")</f>
        <v>BJ vs FI vs SH: 31 vs 0 vs 0</v>
      </c>
      <c r="Y6" s="63">
        <f>233+217+100+279+434+116+395+231+377+450+658+530+100</f>
        <v>4120</v>
      </c>
      <c r="Z6" s="63"/>
    </row>
    <row r="7" spans="1:26" ht="50.25" customHeight="1">
      <c r="A7" s="155">
        <v>3</v>
      </c>
      <c r="B7" s="84" t="str">
        <f>'BJ-byM'!B7</f>
        <v>Review-1 # given locally (%)  (BJ patch)</v>
      </c>
      <c r="C7" s="157" t="s">
        <v>14</v>
      </c>
      <c r="D7" s="157" t="s">
        <v>15</v>
      </c>
      <c r="E7" s="160">
        <v>0.03</v>
      </c>
      <c r="F7" s="57"/>
      <c r="G7" s="159">
        <v>0.3</v>
      </c>
      <c r="H7" s="56"/>
      <c r="I7" s="154">
        <v>0.5</v>
      </c>
      <c r="J7" s="5"/>
      <c r="K7" s="100">
        <f>IFERROR(
   SUMIFS(patch[FI -1 num], patch[status], "MERGED",  patch[AuthorGroup],"FL And dev", patch[mergeDate], "&lt;2016-10-1", patch[mergeDate], "&gt;=2016-7-1")
  /SUM(SUMIFS(patch[BJ -1 num], patch[status], "MERGED",  patch[AuthorGroup],"FL And dev", patch[mergeDate], "&lt;2016-10-1", patch[mergeDate], "&gt;=2016-7-1"), SUMIFS(patch[FI -1 num], patch[status], "MERGED",  patch[AuthorGroup],"FL And dev", patch[mergeDate], "&lt;2016-10-1", patch[mergeDate], "&gt;=2016-7-1"), SUMIFS(patch[SH -1 num], patch[status], "MERGED",  patch[AuthorGroup],"FL And dev", patch[mergeDate], "&lt;2016-10-1", patch[mergeDate], "&gt;=2016-7-1")),
 "no -1")</f>
        <v>0</v>
      </c>
      <c r="L7" s="28" t="str">
        <f>IFERROR(
   SUMIFS(patch[FI -1 num], patch[status], "MERGED", patch[MergeWW], L$2, patch[AuthorGroup],"FL And dev")
  /SUM(SUMIFS(patch[BJ -1 num], patch[status], "MERGED", patch[MergeWW], L$2, patch[AuthorGroup],"FL And dev"), SUMIFS(patch[FI -1 num], patch[status], "MERGED", patch[MergeWW], L$2, patch[AuthorGroup],"FL And dev"), SUMIFS(patch[SH -1 num], patch[status], "MERGED", patch[MergeWW], L$2, patch[AuthorGroup],"FL And dev")),
 "no -1")</f>
        <v>no -1</v>
      </c>
      <c r="M7" s="28" t="str">
        <f>IFERROR(
   SUMIFS(patch[FI -1 num], patch[status], "MERGED", patch[MergeWW], M$2, patch[AuthorGroup],"FL And dev")
  /SUM(SUMIFS(patch[BJ -1 num], patch[status], "MERGED", patch[MergeWW], M$2, patch[AuthorGroup],"FL And dev"), SUMIFS(patch[FI -1 num], patch[status], "MERGED", patch[MergeWW], M$2, patch[AuthorGroup],"FL And dev"), SUMIFS(patch[SH -1 num], patch[status], "MERGED", patch[MergeWW], M$2, patch[AuthorGroup],"FL And dev")),
 "no -1")</f>
        <v>no -1</v>
      </c>
      <c r="N7" s="28" t="str">
        <f>IFERROR(
   SUMIFS(patch[FI -1 num], patch[status], "MERGED", patch[MergeWW], N$2, patch[AuthorGroup],"FL And dev")
  /SUM(SUMIFS(patch[BJ -1 num], patch[status], "MERGED", patch[MergeWW], N$2, patch[AuthorGroup],"FL And dev"), SUMIFS(patch[FI -1 num], patch[status], "MERGED", patch[MergeWW], N$2, patch[AuthorGroup],"FL And dev"), SUMIFS(patch[SH -1 num], patch[status], "MERGED", patch[MergeWW], N$2, patch[AuthorGroup],"FL And dev")),
 "no -1")</f>
        <v>no -1</v>
      </c>
      <c r="O7" s="28" t="str">
        <f>IFERROR(
   SUMIFS(patch[FI -1 num], patch[status], "MERGED", patch[MergeWW], O$2, patch[AuthorGroup],"FL And dev")
  /SUM(SUMIFS(patch[BJ -1 num], patch[status], "MERGED", patch[MergeWW], O$2, patch[AuthorGroup],"FL And dev"), SUMIFS(patch[FI -1 num], patch[status], "MERGED", patch[MergeWW], O$2, patch[AuthorGroup],"FL And dev"), SUMIFS(patch[SH -1 num], patch[status], "MERGED", patch[MergeWW], O$2, patch[AuthorGroup],"FL And dev")),
 "no -1")</f>
        <v>no -1</v>
      </c>
      <c r="P7" s="28" t="str">
        <f>IFERROR(
   SUMIFS(patch[FI -1 num], patch[status], "MERGED", patch[MergeWW], P$2, patch[AuthorGroup],"FL And dev")
  /SUM(SUMIFS(patch[BJ -1 num], patch[status], "MERGED", patch[MergeWW], P$2, patch[AuthorGroup],"FL And dev"), SUMIFS(patch[FI -1 num], patch[status], "MERGED", patch[MergeWW], P$2, patch[AuthorGroup],"FL And dev"), SUMIFS(patch[SH -1 num], patch[status], "MERGED", patch[MergeWW], P$2, patch[AuthorGroup],"FL And dev")),
 "no -1")</f>
        <v>no -1</v>
      </c>
      <c r="Q7" s="28" t="str">
        <f>IFERROR(
   SUMIFS(patch[FI -1 num], patch[status], "MERGED", patch[MergeWW], Q$2, patch[AuthorGroup],"FL And dev")
  /SUM(SUMIFS(patch[BJ -1 num], patch[status], "MERGED", patch[MergeWW], Q$2, patch[AuthorGroup],"FL And dev"), SUMIFS(patch[FI -1 num], patch[status], "MERGED", patch[MergeWW], Q$2, patch[AuthorGroup],"FL And dev"), SUMIFS(patch[SH -1 num], patch[status], "MERGED", patch[MergeWW], Q$2, patch[AuthorGroup],"FL And dev")),
 "no -1")</f>
        <v>no -1</v>
      </c>
      <c r="R7" s="28" t="str">
        <f>IFERROR(
   SUMIFS(patch[FI -1 num], patch[status], "MERGED", patch[MergeWW], R$2, patch[AuthorGroup],"FL And dev")
  /SUM(SUMIFS(patch[BJ -1 num], patch[status], "MERGED", patch[MergeWW], R$2, patch[AuthorGroup],"FL And dev"), SUMIFS(patch[FI -1 num], patch[status], "MERGED", patch[MergeWW], R$2, patch[AuthorGroup],"FL And dev"), SUMIFS(patch[SH -1 num], patch[status], "MERGED", patch[MergeWW], R$2, patch[AuthorGroup],"FL And dev")),
 "no -1")</f>
        <v>no -1</v>
      </c>
      <c r="S7" s="28" t="str">
        <f>IFERROR(
   SUMIFS(patch[FI -1 num], patch[status], "MERGED", patch[MergeWW], S$2, patch[AuthorGroup],"FL And dev")
  /SUM(SUMIFS(patch[BJ -1 num], patch[status], "MERGED", patch[MergeWW], S$2, patch[AuthorGroup],"FL And dev"), SUMIFS(patch[FI -1 num], patch[status], "MERGED", patch[MergeWW], S$2, patch[AuthorGroup],"FL And dev"), SUMIFS(patch[SH -1 num], patch[status], "MERGED", patch[MergeWW], S$2, patch[AuthorGroup],"FL And dev")),
 "no -1")</f>
        <v>no -1</v>
      </c>
      <c r="T7" s="28" t="str">
        <f>IFERROR(
   SUMIFS(patch[FI -1 num], patch[status], "MERGED", patch[MergeWW], T$2, patch[AuthorGroup],"FL And dev")
  /SUM(SUMIFS(patch[BJ -1 num], patch[status], "MERGED", patch[MergeWW], T$2, patch[AuthorGroup],"FL And dev"), SUMIFS(patch[FI -1 num], patch[status], "MERGED", patch[MergeWW], T$2, patch[AuthorGroup],"FL And dev"), SUMIFS(patch[SH -1 num], patch[status], "MERGED", patch[MergeWW], T$2, patch[AuthorGroup],"FL And dev")),
 "no -1")</f>
        <v>no -1</v>
      </c>
      <c r="U7" s="28" t="str">
        <f>IFERROR(
   SUMIFS(patch[FI -1 num], patch[status], "MERGED", patch[MergeWW], U$2, patch[AuthorGroup],"FL And dev")
  /SUM(SUMIFS(patch[BJ -1 num], patch[status], "MERGED", patch[MergeWW], U$2, patch[AuthorGroup],"FL And dev"), SUMIFS(patch[FI -1 num], patch[status], "MERGED", patch[MergeWW], U$2, patch[AuthorGroup],"FL And dev"), SUMIFS(patch[SH -1 num], patch[status], "MERGED", patch[MergeWW], U$2, patch[AuthorGroup],"FL And dev")),
 "no -1")</f>
        <v>no -1</v>
      </c>
      <c r="V7" s="28">
        <f>IFERROR(
   SUMIFS(patch[FI -1 num], patch[status], "MERGED", patch[MergeWW], V$2, patch[AuthorGroup],"FL And dev")
  /SUM(SUMIFS(patch[BJ -1 num], patch[status], "MERGED", patch[MergeWW], V$2, patch[AuthorGroup],"FL And dev"), SUMIFS(patch[FI -1 num], patch[status], "MERGED", patch[MergeWW], V$2, patch[AuthorGroup],"FL And dev"), SUMIFS(patch[SH -1 num], patch[status], "MERGED", patch[MergeWW], V$2, patch[AuthorGroup],"FL And dev")),
 "no -1")</f>
        <v>0</v>
      </c>
      <c r="W7" s="28">
        <f>IFERROR(
   SUMIFS(patch[FI -1 num], patch[status], "MERGED", patch[MergeWW], W$2, patch[AuthorGroup],"FL And dev")
  /SUM(SUMIFS(patch[BJ -1 num], patch[status], "MERGED", patch[MergeWW], W$2, patch[AuthorGroup],"FL And dev"), SUMIFS(patch[FI -1 num], patch[status], "MERGED", patch[MergeWW], W$2, patch[AuthorGroup],"FL And dev"), SUMIFS(patch[SH -1 num], patch[status], "MERGED", patch[MergeWW], W$2, patch[AuthorGroup],"FL And dev")),
 "no -1")</f>
        <v>0</v>
      </c>
      <c r="X7" s="28">
        <f>IFERROR(
   SUMIFS(patch[FI -1 num], patch[status], "MERGED", patch[MergeWW], X$2, patch[AuthorGroup],"FL And dev")
  /SUM(SUMIFS(patch[BJ -1 num], patch[status], "MERGED", patch[MergeWW], X$2, patch[AuthorGroup],"FL And dev"), SUMIFS(patch[FI -1 num], patch[status], "MERGED", patch[MergeWW], X$2, patch[AuthorGroup],"FL And dev"), SUMIFS(patch[SH -1 num], patch[status], "MERGED", patch[MergeWW], X$2, patch[AuthorGroup],"FL And dev")),
 "no -1")</f>
        <v>0</v>
      </c>
    </row>
    <row r="8" spans="1:26" ht="45">
      <c r="A8" s="156"/>
      <c r="B8" s="54" t="s">
        <v>17</v>
      </c>
      <c r="C8" s="157"/>
      <c r="D8" s="157"/>
      <c r="E8" s="160"/>
      <c r="F8" s="57"/>
      <c r="G8" s="159"/>
      <c r="H8" s="56"/>
      <c r="I8" s="154"/>
      <c r="J8" s="5"/>
      <c r="K8" s="106" t="str">
        <f>"BJ vs FI vs SH: "&amp;SUMIFS(patch[BJ -1 num], patch[status], "MERGED",  patch[AuthorGroup],"FL And dev", patch[mergeDate], "&lt;2016-10-1", patch[mergeDate], "&gt;=2016-7-1")&amp;" vs "&amp; SUMIFS(patch[FI -1 num], patch[status], "MERGED",  patch[AuthorGroup],"FL And dev", patch[mergeDate], "&lt;2016-10-1", patch[mergeDate], "&gt;=2016-7-1")&amp;" vs "&amp; SUMIFS(patch[SH -1 num], patch[status], "MERGED",  patch[AuthorGroup],"FL And dev", patch[mergeDate], "&lt;2016-10-1", patch[mergeDate], "&gt;=2016-7-1")</f>
        <v>BJ vs FI vs SH: 5 vs 0 vs 0</v>
      </c>
      <c r="L8" s="46" t="str">
        <f>"BJ vs FI vs SH: "&amp;SUMIFS(patch[BJ -1 num], patch[status], "MERGED", patch[MergeWW], L$2, patch[AuthorGroup],"FL And dev")&amp;" vs "&amp; SUMIFS(patch[FI -1 num], patch[status], "MERGED", patch[MergeWW], L$2, patch[AuthorGroup],"FL And dev")&amp;" vs "&amp; SUMIFS(patch[SH -1 num], patch[status], "MERGED", patch[MergeWW], L$2, patch[AuthorGroup],"FL And dev")</f>
        <v>BJ vs FI vs SH: 0 vs 0 vs 0</v>
      </c>
      <c r="M8" s="46" t="str">
        <f>"BJ vs FI vs SH: "&amp;SUMIFS(patch[BJ -1 num], patch[status], "MERGED", patch[MergeWW], M$2, patch[AuthorGroup],"FL And dev")&amp;" vs "&amp; SUMIFS(patch[FI -1 num], patch[status], "MERGED", patch[MergeWW], M$2, patch[AuthorGroup],"FL And dev")&amp;" vs "&amp; SUMIFS(patch[SH -1 num], patch[status], "MERGED", patch[MergeWW], M$2, patch[AuthorGroup],"FL And dev")</f>
        <v>BJ vs FI vs SH: 0 vs 0 vs 0</v>
      </c>
      <c r="N8" s="46" t="str">
        <f>"BJ vs FI vs SH: "&amp;SUMIFS(patch[BJ -1 num], patch[status], "MERGED", patch[MergeWW], N$2, patch[AuthorGroup],"FL And dev")&amp;" vs "&amp; SUMIFS(patch[FI -1 num], patch[status], "MERGED", patch[MergeWW], N$2, patch[AuthorGroup],"FL And dev")&amp;" vs "&amp; SUMIFS(patch[SH -1 num], patch[status], "MERGED", patch[MergeWW], N$2, patch[AuthorGroup],"FL And dev")</f>
        <v>BJ vs FI vs SH: 0 vs 0 vs 0</v>
      </c>
      <c r="O8" s="46" t="str">
        <f>"BJ vs FI vs SH: "&amp;SUMIFS(patch[BJ -1 num], patch[status], "MERGED", patch[MergeWW], O$2, patch[AuthorGroup],"FL And dev")&amp;" vs "&amp; SUMIFS(patch[FI -1 num], patch[status], "MERGED", patch[MergeWW], O$2, patch[AuthorGroup],"FL And dev")&amp;" vs "&amp; SUMIFS(patch[SH -1 num], patch[status], "MERGED", patch[MergeWW], O$2, patch[AuthorGroup],"FL And dev")</f>
        <v>BJ vs FI vs SH: 0 vs 0 vs 0</v>
      </c>
      <c r="P8" s="46" t="str">
        <f>"BJ vs FI vs SH: "&amp;SUMIFS(patch[BJ -1 num], patch[status], "MERGED", patch[MergeWW], P$2, patch[AuthorGroup],"FL And dev")&amp;" vs "&amp; SUMIFS(patch[FI -1 num], patch[status], "MERGED", patch[MergeWW], P$2, patch[AuthorGroup],"FL And dev")&amp;" vs "&amp; SUMIFS(patch[SH -1 num], patch[status], "MERGED", patch[MergeWW], P$2, patch[AuthorGroup],"FL And dev")</f>
        <v>BJ vs FI vs SH: 0 vs 0 vs 0</v>
      </c>
      <c r="Q8" s="46" t="str">
        <f>"BJ vs FI vs SH: "&amp;SUMIFS(patch[BJ -1 num], patch[status], "MERGED", patch[MergeWW], Q$2, patch[AuthorGroup],"FL And dev")&amp;" vs "&amp; SUMIFS(patch[FI -1 num], patch[status], "MERGED", patch[MergeWW], Q$2, patch[AuthorGroup],"FL And dev")&amp;" vs "&amp; SUMIFS(patch[SH -1 num], patch[status], "MERGED", patch[MergeWW], Q$2, patch[AuthorGroup],"FL And dev")</f>
        <v>BJ vs FI vs SH: 0 vs 0 vs 0</v>
      </c>
      <c r="R8" s="46" t="str">
        <f>"BJ vs FI vs SH: "&amp;SUMIFS(patch[BJ -1 num], patch[status], "MERGED", patch[MergeWW], R$2, patch[AuthorGroup],"FL And dev")&amp;" vs "&amp; SUMIFS(patch[FI -1 num], patch[status], "MERGED", patch[MergeWW], R$2, patch[AuthorGroup],"FL And dev")&amp;" vs "&amp; SUMIFS(patch[SH -1 num], patch[status], "MERGED", patch[MergeWW], R$2, patch[AuthorGroup],"FL And dev")</f>
        <v>BJ vs FI vs SH: 0 vs 0 vs 0</v>
      </c>
      <c r="S8" s="46" t="str">
        <f>"BJ vs FI vs SH: "&amp;SUMIFS(patch[BJ -1 num], patch[status], "MERGED", patch[MergeWW], S$2, patch[AuthorGroup],"FL And dev")&amp;" vs "&amp; SUMIFS(patch[FI -1 num], patch[status], "MERGED", patch[MergeWW], S$2, patch[AuthorGroup],"FL And dev")&amp;" vs "&amp; SUMIFS(patch[SH -1 num], patch[status], "MERGED", patch[MergeWW], S$2, patch[AuthorGroup],"FL And dev")</f>
        <v>BJ vs FI vs SH: 0 vs 0 vs 0</v>
      </c>
      <c r="T8" s="46" t="str">
        <f>"BJ vs FI vs SH: "&amp;SUMIFS(patch[BJ -1 num], patch[status], "MERGED", patch[MergeWW], T$2, patch[AuthorGroup],"FL And dev")&amp;" vs "&amp; SUMIFS(patch[FI -1 num], patch[status], "MERGED", patch[MergeWW], T$2, patch[AuthorGroup],"FL And dev")&amp;" vs "&amp; SUMIFS(patch[SH -1 num], patch[status], "MERGED", patch[MergeWW], T$2, patch[AuthorGroup],"FL And dev")</f>
        <v>BJ vs FI vs SH: 0 vs 0 vs 0</v>
      </c>
      <c r="U8" s="46" t="str">
        <f>"BJ vs FI vs SH: "&amp;SUMIFS(patch[BJ -1 num], patch[status], "MERGED", patch[MergeWW], U$2, patch[AuthorGroup],"FL And dev")&amp;" vs "&amp; SUMIFS(patch[FI -1 num], patch[status], "MERGED", patch[MergeWW], U$2, patch[AuthorGroup],"FL And dev")&amp;" vs "&amp; SUMIFS(patch[SH -1 num], patch[status], "MERGED", patch[MergeWW], U$2, patch[AuthorGroup],"FL And dev")</f>
        <v>BJ vs FI vs SH: 0 vs 0 vs 0</v>
      </c>
      <c r="V8" s="46" t="str">
        <f>"BJ vs FI vs SH: "&amp;SUMIFS(patch[BJ -1 num], patch[status], "MERGED", patch[MergeWW], V$2, patch[AuthorGroup],"FL And dev")&amp;" vs "&amp; SUMIFS(patch[FI -1 num], patch[status], "MERGED", patch[MergeWW], V$2, patch[AuthorGroup],"FL And dev")&amp;" vs "&amp; SUMIFS(patch[SH -1 num], patch[status], "MERGED", patch[MergeWW], V$2, patch[AuthorGroup],"FL And dev")</f>
        <v>BJ vs FI vs SH: 1 vs 0 vs 0</v>
      </c>
      <c r="W8" s="46" t="str">
        <f>"BJ vs FI vs SH: "&amp;SUMIFS(patch[BJ -1 num], patch[status], "MERGED", patch[MergeWW], W$2, patch[AuthorGroup],"FL And dev")&amp;" vs "&amp; SUMIFS(patch[FI -1 num], patch[status], "MERGED", patch[MergeWW], W$2, patch[AuthorGroup],"FL And dev")&amp;" vs "&amp; SUMIFS(patch[SH -1 num], patch[status], "MERGED", patch[MergeWW], W$2, patch[AuthorGroup],"FL And dev")</f>
        <v>BJ vs FI vs SH: 3 vs 0 vs 0</v>
      </c>
      <c r="X8" s="46" t="str">
        <f>"BJ vs FI vs SH: "&amp;SUMIFS(patch[BJ -1 num], patch[status], "MERGED", patch[MergeWW], X$2, patch[AuthorGroup],"FL And dev")&amp;" vs "&amp; SUMIFS(patch[FI -1 num], patch[status], "MERGED", patch[MergeWW], X$2, patch[AuthorGroup],"FL And dev")&amp;" vs "&amp; SUMIFS(patch[SH -1 num], patch[status], "MERGED", patch[MergeWW], X$2, patch[AuthorGroup],"FL And dev")</f>
        <v>BJ vs FI vs SH: 1 vs 0 vs 0</v>
      </c>
      <c r="Y8" s="63">
        <f>20+10+11+18+52+12+41+34+33+35+53+39+9</f>
        <v>367</v>
      </c>
      <c r="Z8" s="63"/>
    </row>
    <row r="9" spans="1:26" ht="43.5" customHeight="1">
      <c r="A9" s="155">
        <v>4</v>
      </c>
      <c r="B9" s="84" t="str">
        <f>'BJ-byM'!B9</f>
        <v>Cross site review(%)</v>
      </c>
      <c r="C9" s="157" t="s">
        <v>18</v>
      </c>
      <c r="D9" s="157" t="s">
        <v>19</v>
      </c>
      <c r="E9" s="158">
        <v>0</v>
      </c>
      <c r="F9" s="55"/>
      <c r="G9" s="159">
        <v>0.2</v>
      </c>
      <c r="H9" s="56"/>
      <c r="I9" s="154">
        <v>0.3</v>
      </c>
      <c r="J9" s="5"/>
      <c r="K9" s="141">
        <f>IFERROR(
       SUM(COUNTIFS(patch[status], "MERGED",  patch[AuthorGroup],{"BJ And dev","SH And dev"}, patch[FI review num], "&gt;0", patch[mergeDate], "&lt;2016-10-1", patch[mergeDate], "&gt;=2016-7-1"))
      /SUM(COUNTIFS(patch[status], "MERGED",  patch[AuthorGroup],{"BJ And dev","SH And dev"}, patch[mergeDate], "&lt;2016-10-1", patch[mergeDate], "&gt;=2016-7-1")),
"no patch")</f>
        <v>1.3333333333333334E-2</v>
      </c>
      <c r="L9" s="28" t="str">
        <f>IFERROR(
                   SUM(COUNTIFS(patch[status], "MERGED", patch[MergeWW], L$2, patch[AuthorGroup],{"BJ And dev","SH And dev"}, patch[FI review num], "&gt;0"))/
                    SUM(COUNTIFS(patch[status], "MERGED", patch[MergeWW], L$2, patch[AuthorGroup],{"BJ And dev","SH And dev"})),
"no patch")</f>
        <v>no patch</v>
      </c>
      <c r="M9" s="28" t="str">
        <f>IFERROR(
                   SUM(COUNTIFS(patch[status], "MERGED", patch[MergeWW], M$2, patch[AuthorGroup],{"BJ And dev","SH And dev"}, patch[FI review num], "&gt;0"))/
                    SUM(COUNTIFS(patch[status], "MERGED", patch[MergeWW], M$2, patch[AuthorGroup],{"BJ And dev","SH And dev"})),
"no patch")</f>
        <v>no patch</v>
      </c>
      <c r="N9" s="28" t="str">
        <f>IFERROR(
                   SUM(COUNTIFS(patch[status], "MERGED", patch[MergeWW], N$2, patch[AuthorGroup],{"BJ And dev","SH And dev"}, patch[FI review num], "&gt;0"))/
                    SUM(COUNTIFS(patch[status], "MERGED", patch[MergeWW], N$2, patch[AuthorGroup],{"BJ And dev","SH And dev"})),
"no patch")</f>
        <v>no patch</v>
      </c>
      <c r="O9" s="28" t="str">
        <f>IFERROR(
                   SUM(COUNTIFS(patch[status], "MERGED", patch[MergeWW], O$2, patch[AuthorGroup],{"BJ And dev","SH And dev"}, patch[FI review num], "&gt;0"))/
                    SUM(COUNTIFS(patch[status], "MERGED", patch[MergeWW], O$2, patch[AuthorGroup],{"BJ And dev","SH And dev"})),
"no patch")</f>
        <v>no patch</v>
      </c>
      <c r="P9" s="28" t="str">
        <f>IFERROR(
                   SUM(COUNTIFS(patch[status], "MERGED", patch[MergeWW], P$2, patch[AuthorGroup],{"BJ And dev","SH And dev"}, patch[FI review num], "&gt;0"))/
                    SUM(COUNTIFS(patch[status], "MERGED", patch[MergeWW], P$2, patch[AuthorGroup],{"BJ And dev","SH And dev"})),
"no patch")</f>
        <v>no patch</v>
      </c>
      <c r="Q9" s="28" t="str">
        <f>IFERROR(
                   SUM(COUNTIFS(patch[status], "MERGED", patch[MergeWW], Q$2, patch[AuthorGroup],{"BJ And dev","SH And dev"}, patch[FI review num], "&gt;0"))/
                    SUM(COUNTIFS(patch[status], "MERGED", patch[MergeWW], Q$2, patch[AuthorGroup],{"BJ And dev","SH And dev"})),
"no patch")</f>
        <v>no patch</v>
      </c>
      <c r="R9" s="28" t="str">
        <f>IFERROR(
                   SUM(COUNTIFS(patch[status], "MERGED", patch[MergeWW], R$2, patch[AuthorGroup],{"BJ And dev","SH And dev"}, patch[FI review num], "&gt;0"))/
                    SUM(COUNTIFS(patch[status], "MERGED", patch[MergeWW], R$2, patch[AuthorGroup],{"BJ And dev","SH And dev"})),
"no patch")</f>
        <v>no patch</v>
      </c>
      <c r="S9" s="28" t="str">
        <f>IFERROR(
                   SUM(COUNTIFS(patch[status], "MERGED", patch[MergeWW], S$2, patch[AuthorGroup],{"BJ And dev","SH And dev"}, patch[FI review num], "&gt;0"))/
                    SUM(COUNTIFS(patch[status], "MERGED", patch[MergeWW], S$2, patch[AuthorGroup],{"BJ And dev","SH And dev"})),
"no patch")</f>
        <v>no patch</v>
      </c>
      <c r="T9" s="28">
        <f>IFERROR(
                   SUM(COUNTIFS(patch[status], "MERGED", patch[MergeWW], T$2, patch[AuthorGroup],{"BJ And dev","SH And dev"}, patch[FI review num], "&gt;0"))/
                    SUM(COUNTIFS(patch[status], "MERGED", patch[MergeWW], T$2, patch[AuthorGroup],{"BJ And dev","SH And dev"})),
"no patch")</f>
        <v>0</v>
      </c>
      <c r="U9" s="28">
        <f>IFERROR(
                   SUM(COUNTIFS(patch[status], "MERGED", patch[MergeWW], U$2, patch[AuthorGroup],{"BJ And dev","SH And dev"}, patch[FI review num], "&gt;0"))/
                    SUM(COUNTIFS(patch[status], "MERGED", patch[MergeWW], U$2, patch[AuthorGroup],{"BJ And dev","SH And dev"})),
"no patch")</f>
        <v>0</v>
      </c>
      <c r="V9" s="28">
        <f>IFERROR(
                   SUM(COUNTIFS(patch[status], "MERGED", patch[MergeWW], V$2, patch[AuthorGroup],{"BJ And dev","SH And dev"}, patch[FI review num], "&gt;0"))/
                    SUM(COUNTIFS(patch[status], "MERGED", patch[MergeWW], V$2, patch[AuthorGroup],{"BJ And dev","SH And dev"})),
"no patch")</f>
        <v>0</v>
      </c>
      <c r="W9" s="28">
        <f>IFERROR(
                   SUM(COUNTIFS(patch[status], "MERGED", patch[MergeWW], W$2, patch[AuthorGroup],{"BJ And dev","SH And dev"}, patch[FI review num], "&gt;0"))/
                    SUM(COUNTIFS(patch[status], "MERGED", patch[MergeWW], W$2, patch[AuthorGroup],{"BJ And dev","SH And dev"})),
"no patch")</f>
        <v>2.5316455696202531E-2</v>
      </c>
      <c r="X9" s="28">
        <f>IFERROR(
                   SUM(COUNTIFS(patch[status], "MERGED", patch[MergeWW], X$2, patch[AuthorGroup],{"BJ And dev","SH And dev"}, patch[FI review num], "&gt;0"))/
                    SUM(COUNTIFS(patch[status], "MERGED", patch[MergeWW], X$2, patch[AuthorGroup],{"BJ And dev","SH And dev"})),
"no patch")</f>
        <v>0</v>
      </c>
    </row>
    <row r="10" spans="1:26" ht="30">
      <c r="A10" s="156"/>
      <c r="B10" s="54" t="s">
        <v>2046</v>
      </c>
      <c r="C10" s="157"/>
      <c r="D10" s="157"/>
      <c r="E10" s="158"/>
      <c r="F10" s="55"/>
      <c r="G10" s="159"/>
      <c r="H10" s="56"/>
      <c r="I10" s="154"/>
      <c r="J10" s="5"/>
      <c r="K10" s="106" t="str">
        <f>"FI comment: "&amp;
SUM(COUNTIFS(patch[status], "MERGED",  patch[AuthorGroup],{"BJ And dev","SH And dev"}, patch[FI review num], "&gt;0", patch[mergeDate], "&lt;2016-10-1", patch[mergeDate], "&gt;=2016-7-1"))
&amp;", total: "&amp;
SUM(COUNTIFS(patch[status], "MERGED",  patch[AuthorGroup],{"BJ And dev","SH And dev"}, patch[mergeDate], "&lt;2016-10-1", patch[mergeDate], "&gt;=2016-7-1"))</f>
        <v>FI comment: 2, total: 150</v>
      </c>
      <c r="L10" s="46" t="str">
        <f>"FI comment: "&amp;
SUM(COUNTIFS(patch[status], "MERGED", patch[MergeWW], L$2, patch[AuthorGroup],{"BJ And dev","SH And dev"}, patch[FI review num], "&gt;0"))
&amp;", total: "&amp;
SUM(COUNTIFS(patch[status], "MERGED", patch[MergeWW], L$2, patch[AuthorGroup],{"BJ And dev","SH And dev"}))</f>
        <v>FI comment: 0, total: 0</v>
      </c>
      <c r="M10" s="46" t="str">
        <f>"FI comment: "&amp;
SUM(COUNTIFS(patch[status], "MERGED", patch[MergeWW], M$2, patch[AuthorGroup],{"BJ And dev","SH And dev"}, patch[FI review num], "&gt;0"))
&amp;", total: "&amp;
SUM(COUNTIFS(patch[status], "MERGED", patch[MergeWW], M$2, patch[AuthorGroup],{"BJ And dev","SH And dev"}))</f>
        <v>FI comment: 0, total: 0</v>
      </c>
      <c r="N10" s="46" t="str">
        <f>"FI comment: "&amp;
SUM(COUNTIFS(patch[status], "MERGED", patch[MergeWW], N$2, patch[AuthorGroup],{"BJ And dev","SH And dev"}, patch[FI review num], "&gt;0"))
&amp;", total: "&amp;
SUM(COUNTIFS(patch[status], "MERGED", patch[MergeWW], N$2, patch[AuthorGroup],{"BJ And dev","SH And dev"}))</f>
        <v>FI comment: 0, total: 0</v>
      </c>
      <c r="O10" s="46" t="str">
        <f>"FI comment: "&amp;
SUM(COUNTIFS(patch[status], "MERGED", patch[MergeWW], O$2, patch[AuthorGroup],{"BJ And dev","SH And dev"}, patch[FI review num], "&gt;0"))
&amp;", total: "&amp;
SUM(COUNTIFS(patch[status], "MERGED", patch[MergeWW], O$2, patch[AuthorGroup],{"BJ And dev","SH And dev"}))</f>
        <v>FI comment: 0, total: 0</v>
      </c>
      <c r="P10" s="46" t="str">
        <f>"FI comment: "&amp;
SUM(COUNTIFS(patch[status], "MERGED", patch[MergeWW], P$2, patch[AuthorGroup],{"BJ And dev","SH And dev"}, patch[FI review num], "&gt;0"))
&amp;", total: "&amp;
SUM(COUNTIFS(patch[status], "MERGED", patch[MergeWW], P$2, patch[AuthorGroup],{"BJ And dev","SH And dev"}))</f>
        <v>FI comment: 0, total: 0</v>
      </c>
      <c r="Q10" s="46" t="str">
        <f>"FI comment: "&amp;
SUM(COUNTIFS(patch[status], "MERGED", patch[MergeWW], Q$2, patch[AuthorGroup],{"BJ And dev","SH And dev"}, patch[FI review num], "&gt;0"))
&amp;", total: "&amp;
SUM(COUNTIFS(patch[status], "MERGED", patch[MergeWW], Q$2, patch[AuthorGroup],{"BJ And dev","SH And dev"}))</f>
        <v>FI comment: 0, total: 0</v>
      </c>
      <c r="R10" s="46" t="str">
        <f>"FI comment: "&amp;
SUM(COUNTIFS(patch[status], "MERGED", patch[MergeWW], R$2, patch[AuthorGroup],{"BJ And dev","SH And dev"}, patch[FI review num], "&gt;0"))
&amp;", total: "&amp;
SUM(COUNTIFS(patch[status], "MERGED", patch[MergeWW], R$2, patch[AuthorGroup],{"BJ And dev","SH And dev"}))</f>
        <v>FI comment: 0, total: 0</v>
      </c>
      <c r="S10" s="46" t="str">
        <f>"FI comment: "&amp;
SUM(COUNTIFS(patch[status], "MERGED", patch[MergeWW], S$2, patch[AuthorGroup],{"BJ And dev","SH And dev"}, patch[FI review num], "&gt;0"))
&amp;", total: "&amp;
SUM(COUNTIFS(patch[status], "MERGED", patch[MergeWW], S$2, patch[AuthorGroup],{"BJ And dev","SH And dev"}))</f>
        <v>FI comment: 0, total: 0</v>
      </c>
      <c r="T10" s="46" t="str">
        <f>"FI comment: "&amp;
SUM(COUNTIFS(patch[status], "MERGED", patch[MergeWW], T$2, patch[AuthorGroup],{"BJ And dev","SH And dev"}, patch[FI review num], "&gt;0"))
&amp;", total: "&amp;
SUM(COUNTIFS(patch[status], "MERGED", patch[MergeWW], T$2, patch[AuthorGroup],{"BJ And dev","SH And dev"}))</f>
        <v>FI comment: 0, total: 14</v>
      </c>
      <c r="U10" s="46" t="str">
        <f>"FI comment: "&amp;
SUM(COUNTIFS(patch[status], "MERGED", patch[MergeWW], U$2, patch[AuthorGroup],{"BJ And dev","SH And dev"}, patch[FI review num], "&gt;0"))
&amp;", total: "&amp;
SUM(COUNTIFS(patch[status], "MERGED", patch[MergeWW], U$2, patch[AuthorGroup],{"BJ And dev","SH And dev"}))</f>
        <v>FI comment: 0, total: 21</v>
      </c>
      <c r="V10" s="46" t="str">
        <f>"FI comment: "&amp;
SUM(COUNTIFS(patch[status], "MERGED", patch[MergeWW], V$2, patch[AuthorGroup],{"BJ And dev","SH And dev"}, patch[FI review num], "&gt;0"))
&amp;", total: "&amp;
SUM(COUNTIFS(patch[status], "MERGED", patch[MergeWW], V$2, patch[AuthorGroup],{"BJ And dev","SH And dev"}))</f>
        <v>FI comment: 0, total: 12</v>
      </c>
      <c r="W10" s="46" t="str">
        <f>"FI comment: "&amp;
SUM(COUNTIFS(patch[status], "MERGED", patch[MergeWW], W$2, patch[AuthorGroup],{"BJ And dev","SH And dev"}, patch[FI review num], "&gt;0"))
&amp;", total: "&amp;
SUM(COUNTIFS(patch[status], "MERGED", patch[MergeWW], W$2, patch[AuthorGroup],{"BJ And dev","SH And dev"}))</f>
        <v>FI comment: 2, total: 79</v>
      </c>
      <c r="X10" s="46" t="str">
        <f>"FI comment: "&amp;
SUM(COUNTIFS(patch[status], "MERGED", patch[MergeWW], X$2, patch[AuthorGroup],{"BJ And dev","SH And dev"}, patch[FI review num], "&gt;0"))
&amp;", total: "&amp;
SUM(COUNTIFS(patch[status], "MERGED", patch[MergeWW], X$2, patch[AuthorGroup],{"BJ And dev","SH And dev"}))</f>
        <v>FI comment: 0, total: 24</v>
      </c>
      <c r="Z10" s="63"/>
    </row>
    <row r="12" spans="1:26" ht="15.75">
      <c r="B12" s="53" t="s">
        <v>2042</v>
      </c>
    </row>
    <row r="13" spans="1:26" ht="15.75">
      <c r="B13" s="53"/>
    </row>
    <row r="14" spans="1:26" ht="15.75" hidden="1">
      <c r="B14" s="59" t="s">
        <v>2044</v>
      </c>
      <c r="C14" s="60"/>
      <c r="D14" s="60"/>
      <c r="E14" s="60"/>
      <c r="F14" s="60"/>
      <c r="G14" s="60"/>
      <c r="H14" s="60"/>
      <c r="I14" s="60"/>
      <c r="J14" s="60"/>
      <c r="K14" s="61"/>
      <c r="L14" s="61"/>
      <c r="M14" s="61"/>
      <c r="N14" s="61"/>
      <c r="O14" s="61"/>
      <c r="P14" s="61"/>
      <c r="Q14" s="61"/>
      <c r="R14" s="61"/>
      <c r="S14" s="61"/>
      <c r="T14" s="61"/>
      <c r="U14" s="61"/>
      <c r="V14" s="61"/>
      <c r="W14" s="61"/>
      <c r="X14" s="61"/>
    </row>
    <row r="15" spans="1:26" ht="45" hidden="1">
      <c r="A15" s="41" t="s">
        <v>2029</v>
      </c>
      <c r="B15" s="1" t="s">
        <v>2101</v>
      </c>
      <c r="C15" s="1" t="s">
        <v>2</v>
      </c>
      <c r="D15" s="1" t="s">
        <v>3</v>
      </c>
      <c r="E15" s="2" t="s">
        <v>2019</v>
      </c>
      <c r="F15" s="2"/>
      <c r="G15" s="3" t="s">
        <v>4</v>
      </c>
      <c r="H15" s="3"/>
      <c r="I15" s="4" t="s">
        <v>5</v>
      </c>
      <c r="J15" s="5"/>
      <c r="K15" s="52" t="s">
        <v>2041</v>
      </c>
      <c r="L15" s="27" t="s">
        <v>1876</v>
      </c>
      <c r="M15" s="27" t="s">
        <v>1875</v>
      </c>
      <c r="N15" s="27" t="s">
        <v>1877</v>
      </c>
      <c r="O15" s="27" t="s">
        <v>1878</v>
      </c>
      <c r="P15" s="27" t="s">
        <v>2030</v>
      </c>
      <c r="Q15" s="27" t="s">
        <v>2031</v>
      </c>
      <c r="R15" s="27" t="s">
        <v>2032</v>
      </c>
      <c r="S15" s="27" t="s">
        <v>2033</v>
      </c>
      <c r="T15" s="27" t="s">
        <v>2034</v>
      </c>
      <c r="U15" s="27" t="s">
        <v>2035</v>
      </c>
      <c r="V15" s="27" t="s">
        <v>2036</v>
      </c>
      <c r="W15" s="27" t="s">
        <v>2037</v>
      </c>
      <c r="X15" s="27" t="s">
        <v>2038</v>
      </c>
    </row>
    <row r="16" spans="1:26" ht="15.75" hidden="1">
      <c r="A16" s="155">
        <v>1</v>
      </c>
      <c r="B16" s="54" t="str">
        <f>B3</f>
        <v>Review-1 # per patch (BJ patch)</v>
      </c>
      <c r="C16" s="162" t="s">
        <v>8</v>
      </c>
      <c r="D16" s="162" t="s">
        <v>9</v>
      </c>
      <c r="E16" s="158">
        <v>1.7</v>
      </c>
      <c r="F16" s="55"/>
      <c r="G16" s="163">
        <v>1</v>
      </c>
      <c r="H16" s="58"/>
      <c r="I16" s="161">
        <v>0.6</v>
      </c>
      <c r="J16" s="5"/>
      <c r="K16" s="37" t="str">
        <f>IFERROR(SUMIFS(patch[BJFISH -1 num], patch[status], "MERGED",  patch[AuthorGroup],"FL And dev", patch[mergeDate], "&lt;2016-4-1", patch[mergeDate], "&gt;=2016-1-1", patch[ifCommon], "common")/COUNTIFS(patch[status], "MERGED",  patch[AuthorGroup],"FL And dev", patch[mergeDate], "&lt;2016-4-1", patch[mergeDate], "&gt;=2016-1-1", patch[ifCommon], "common"), "no patch")</f>
        <v>no patch</v>
      </c>
      <c r="L16" s="29" t="str">
        <f>IFERROR(SUMIFS(patch[BJFISH -1 num], patch[status], "MERGED", patch[MergeWW], "15'ww53", patch[AuthorGroup],"FL And dev", patch[ifCommon], "common")/COUNTIFS(patch[status], "MERGED", patch[MergeWW],  "15'ww53", patch[AuthorGroup],"FL And dev", patch[ifCommon], "common"), "no patch")</f>
        <v>no patch</v>
      </c>
      <c r="M16" s="29" t="str">
        <f>IFERROR(SUMIFS(patch[BJFISH -1 num], patch[status], "MERGED", patch[MergeWW], M$2, patch[AuthorGroup],"FL And dev", patch[ifCommon], "common")/COUNTIFS(patch[status], "MERGED", patch[MergeWW], M$2, patch[AuthorGroup],"FL And dev", patch[ifCommon], "common"), "no patch")</f>
        <v>no patch</v>
      </c>
      <c r="N16" s="29" t="str">
        <f>IFERROR(SUMIFS(patch[BJFISH -1 num], patch[status], "MERGED", patch[MergeWW], N$2, patch[AuthorGroup],"FL And dev", patch[ifCommon], "common")/COUNTIFS(patch[status], "MERGED", patch[MergeWW], N$2, patch[AuthorGroup],"FL And dev", patch[ifCommon], "common"), "no patch")</f>
        <v>no patch</v>
      </c>
      <c r="O16" s="29" t="str">
        <f>IFERROR(SUMIFS(patch[BJFISH -1 num], patch[status], "MERGED", patch[MergeWW], O$2, patch[AuthorGroup],"FL And dev", patch[ifCommon], "common")/COUNTIFS(patch[status], "MERGED", patch[MergeWW], O$2, patch[AuthorGroup],"FL And dev", patch[ifCommon], "common"), "no patch")</f>
        <v>no patch</v>
      </c>
      <c r="P16" s="29" t="str">
        <f>IFERROR(SUMIFS(patch[BJFISH -1 num], patch[status], "MERGED", patch[MergeWW], P$2, patch[AuthorGroup],"FL And dev", patch[ifCommon], "common")/COUNTIFS(patch[status], "MERGED", patch[MergeWW], P$2, patch[AuthorGroup],"FL And dev", patch[ifCommon], "common"), "no patch")</f>
        <v>no patch</v>
      </c>
      <c r="Q16" s="29" t="str">
        <f>IFERROR(SUMIFS(patch[BJFISH -1 num], patch[status], "MERGED", patch[MergeWW], Q$2, patch[AuthorGroup],"FL And dev", patch[ifCommon], "common")/COUNTIFS(patch[status], "MERGED", patch[MergeWW], Q$2, patch[AuthorGroup],"FL And dev", patch[ifCommon], "common"), "no patch")</f>
        <v>no patch</v>
      </c>
      <c r="R16" s="29" t="str">
        <f>IFERROR(SUMIFS(patch[BJFISH -1 num], patch[status], "MERGED", patch[MergeWW], R$2, patch[AuthorGroup],"FL And dev", patch[ifCommon], "common")/COUNTIFS(patch[status], "MERGED", patch[MergeWW], R$2, patch[AuthorGroup],"FL And dev", patch[ifCommon], "common"), "no patch")</f>
        <v>no patch</v>
      </c>
      <c r="S16" s="29" t="str">
        <f>IFERROR(SUMIFS(patch[BJFISH -1 num], patch[status], "MERGED", patch[MergeWW], S$2, patch[AuthorGroup],"FL And dev", patch[ifCommon], "common")/COUNTIFS(patch[status], "MERGED", patch[MergeWW], S$2, patch[AuthorGroup],"FL And dev", patch[ifCommon], "common"), "no patch")</f>
        <v>no patch</v>
      </c>
      <c r="T16" s="29" t="str">
        <f>IFERROR(SUMIFS(patch[BJFISH -1 num], patch[status], "MERGED", patch[MergeWW], T$2, patch[AuthorGroup],"FL And dev", patch[ifCommon], "common")/COUNTIFS(patch[status], "MERGED", patch[MergeWW], T$2, patch[AuthorGroup],"FL And dev", patch[ifCommon], "common"), "no patch")</f>
        <v>no patch</v>
      </c>
      <c r="U16" s="29" t="str">
        <f>IFERROR(SUMIFS(patch[BJFISH -1 num], patch[status], "MERGED", patch[MergeWW], U$2, patch[AuthorGroup],"FL And dev", patch[ifCommon], "common")/COUNTIFS(patch[status], "MERGED", patch[MergeWW], U$2, patch[AuthorGroup],"FL And dev", patch[ifCommon], "common"), "no patch")</f>
        <v>no patch</v>
      </c>
      <c r="V16" s="29" t="str">
        <f>IFERROR(SUMIFS(patch[BJFISH -1 num], patch[status], "MERGED", patch[MergeWW], V$2, patch[AuthorGroup],"FL And dev", patch[ifCommon], "common")/COUNTIFS(patch[status], "MERGED", patch[MergeWW], V$2, patch[AuthorGroup],"FL And dev", patch[ifCommon], "common"), "no patch")</f>
        <v>no patch</v>
      </c>
      <c r="W16" s="29" t="str">
        <f>IFERROR(SUMIFS(patch[BJFISH -1 num], patch[status], "MERGED", patch[MergeWW], W$2, patch[AuthorGroup],"FL And dev", patch[ifCommon], "common")/COUNTIFS(patch[status], "MERGED", patch[MergeWW], W$2, patch[AuthorGroup],"FL And dev", patch[ifCommon], "common"), "no patch")</f>
        <v>no patch</v>
      </c>
      <c r="X16" s="29" t="str">
        <f>IFERROR(SUMIFS(patch[BJFISH -1 num], patch[status], "MERGED", patch[MergeWW], X$2, patch[AuthorGroup],"FL And dev", patch[ifCommon], "common")/COUNTIFS(patch[status], "MERGED", patch[MergeWW], X$2, patch[AuthorGroup],"FL And dev", patch[ifCommon], "common"), "no patch")</f>
        <v>no patch</v>
      </c>
    </row>
    <row r="17" spans="1:24" ht="30" hidden="1">
      <c r="A17" s="156"/>
      <c r="B17" s="84" t="str">
        <f t="shared" ref="B17:B23" si="0">B4</f>
        <v>(FI Patch)</v>
      </c>
      <c r="C17" s="162"/>
      <c r="D17" s="162"/>
      <c r="E17" s="158"/>
      <c r="F17" s="55"/>
      <c r="G17" s="163"/>
      <c r="H17" s="58"/>
      <c r="I17" s="161"/>
      <c r="J17" s="5"/>
      <c r="K17" s="45" t="str">
        <f>"#"&amp;SUMIFS(patch[BJFISH -1 num], patch[status], "MERGED", patch[AuthorGroup],"FL And dev", patch[mergeDate], "&lt;2016-4-1", patch[mergeDate], "&gt;=2016-1-1", patch[ifCommon], "common")&amp;" -1, "&amp;COUNTIFS(patch[status], "MERGED", patch[AuthorGroup],"FL And dev", patch[mergeDate], "&lt;2016-4-1", patch[mergeDate], "&gt;=2016-1-1", patch[ifCommon], "common")&amp;"patches"</f>
        <v>#0 -1, 0patches</v>
      </c>
      <c r="L17" s="46" t="str">
        <f>"#"&amp;SUMIFS(patch[BJFISH -1 num], patch[status], "MERGED", patch[MergeWW], "15'ww53", patch[AuthorGroup],"FL And dev", patch[ifCommon], "common")&amp;" -1, "&amp;COUNTIFS(patch[status], "MERGED", patch[MergeWW],  "15'ww53", patch[AuthorGroup],"FL And dev", patch[ifCommon], "common")&amp;"patches"</f>
        <v>#0 -1, 0patches</v>
      </c>
      <c r="M17" s="46" t="str">
        <f>"#"&amp;SUMIFS(patch[BJFISH -1 num], patch[status], "MERGED", patch[MergeWW], M$2, patch[AuthorGroup],"FL And dev", patch[ifCommon], "common")&amp;" -1, "&amp;COUNTIFS(patch[status], "MERGED", patch[MergeWW],  M$2, patch[AuthorGroup],"FL And dev", patch[ifCommon], "common")&amp;"patches"</f>
        <v>#0 -1, 0patches</v>
      </c>
      <c r="N17" s="46" t="str">
        <f>"#"&amp;SUMIFS(patch[BJFISH -1 num], patch[status], "MERGED", patch[MergeWW], N$2, patch[AuthorGroup],"FL And dev", patch[ifCommon], "common")&amp;" -1, "&amp;COUNTIFS(patch[status], "MERGED", patch[MergeWW],  N$2, patch[AuthorGroup],"FL And dev", patch[ifCommon], "common")&amp;"patches"</f>
        <v>#0 -1, 0patches</v>
      </c>
      <c r="O17" s="46" t="str">
        <f>"#"&amp;SUMIFS(patch[BJFISH -1 num], patch[status], "MERGED", patch[MergeWW], O$2, patch[AuthorGroup],"FL And dev", patch[ifCommon], "common")&amp;" -1, "&amp;COUNTIFS(patch[status], "MERGED", patch[MergeWW],  O$2, patch[AuthorGroup],"FL And dev", patch[ifCommon], "common")&amp;"patches"</f>
        <v>#0 -1, 0patches</v>
      </c>
      <c r="P17" s="46" t="str">
        <f>"#"&amp;SUMIFS(patch[BJFISH -1 num], patch[status], "MERGED", patch[MergeWW], P$2, patch[AuthorGroup],"FL And dev", patch[ifCommon], "common")&amp;" -1, "&amp;COUNTIFS(patch[status], "MERGED", patch[MergeWW],  P$2, patch[AuthorGroup],"FL And dev", patch[ifCommon], "common")&amp;"patches"</f>
        <v>#0 -1, 0patches</v>
      </c>
      <c r="Q17" s="46" t="str">
        <f>"#"&amp;SUMIFS(patch[BJFISH -1 num], patch[status], "MERGED", patch[MergeWW], Q$2, patch[AuthorGroup],"FL And dev", patch[ifCommon], "common")&amp;" -1, "&amp;COUNTIFS(patch[status], "MERGED", patch[MergeWW],  Q$2, patch[AuthorGroup],"FL And dev", patch[ifCommon], "common")&amp;"patches"</f>
        <v>#0 -1, 0patches</v>
      </c>
      <c r="R17" s="46" t="str">
        <f>"#"&amp;SUMIFS(patch[BJFISH -1 num], patch[status], "MERGED", patch[MergeWW], R$2, patch[AuthorGroup],"FL And dev", patch[ifCommon], "common")&amp;" -1, "&amp;COUNTIFS(patch[status], "MERGED", patch[MergeWW],  R$2, patch[AuthorGroup],"FL And dev", patch[ifCommon], "common")&amp;"patches"</f>
        <v>#0 -1, 0patches</v>
      </c>
      <c r="S17" s="46" t="str">
        <f>"#"&amp;SUMIFS(patch[BJFISH -1 num], patch[status], "MERGED", patch[MergeWW], S$2, patch[AuthorGroup],"FL And dev", patch[ifCommon], "common")&amp;" -1, "&amp;COUNTIFS(patch[status], "MERGED", patch[MergeWW],  S$2, patch[AuthorGroup],"FL And dev", patch[ifCommon], "common")&amp;"patches"</f>
        <v>#0 -1, 0patches</v>
      </c>
      <c r="T17" s="46" t="str">
        <f>"#"&amp;SUMIFS(patch[BJFISH -1 num], patch[status], "MERGED", patch[MergeWW], T$2, patch[AuthorGroup],"FL And dev", patch[ifCommon], "common")&amp;" -1, "&amp;COUNTIFS(patch[status], "MERGED", patch[MergeWW],  T$2, patch[AuthorGroup],"FL And dev", patch[ifCommon], "common")&amp;"patches"</f>
        <v>#0 -1, 0patches</v>
      </c>
      <c r="U17" s="46" t="str">
        <f>"#"&amp;SUMIFS(patch[BJFISH -1 num], patch[status], "MERGED", patch[MergeWW], U$2, patch[AuthorGroup],"FL And dev", patch[ifCommon], "common")&amp;" -1, "&amp;COUNTIFS(patch[status], "MERGED", patch[MergeWW],  U$2, patch[AuthorGroup],"FL And dev", patch[ifCommon], "common")&amp;"patches"</f>
        <v>#0 -1, 0patches</v>
      </c>
      <c r="V17" s="46" t="str">
        <f>"#"&amp;SUMIFS(patch[BJFISH -1 num], patch[status], "MERGED", patch[MergeWW], V$2, patch[AuthorGroup],"FL And dev", patch[ifCommon], "common")&amp;" -1, "&amp;COUNTIFS(patch[status], "MERGED", patch[MergeWW],  V$2, patch[AuthorGroup],"FL And dev", patch[ifCommon], "common")&amp;"patches"</f>
        <v>#0 -1, 0patches</v>
      </c>
      <c r="W17" s="46" t="str">
        <f>"#"&amp;SUMIFS(patch[BJFISH -1 num], patch[status], "MERGED", patch[MergeWW], W$2, patch[AuthorGroup],"FL And dev", patch[ifCommon], "common")&amp;" -1, "&amp;COUNTIFS(patch[status], "MERGED", patch[MergeWW],  W$2, patch[AuthorGroup],"FL And dev", patch[ifCommon], "common")&amp;"patches"</f>
        <v>#0 -1, 0patches</v>
      </c>
      <c r="X17" s="46" t="str">
        <f>"#"&amp;SUMIFS(patch[BJFISH -1 num], patch[status], "MERGED", patch[MergeWW], X$2, patch[AuthorGroup],"FL And dev", patch[ifCommon], "common")&amp;" -1, "&amp;COUNTIFS(patch[status], "MERGED", patch[MergeWW],  X$2, patch[AuthorGroup],"FL And dev", patch[ifCommon], "common")&amp;"patches"</f>
        <v>#0 -1, 0patches</v>
      </c>
    </row>
    <row r="18" spans="1:24" ht="43.5" hidden="1" customHeight="1">
      <c r="A18" s="155">
        <v>2</v>
      </c>
      <c r="B18" s="84" t="str">
        <f t="shared" si="0"/>
        <v>Review # from local (%)</v>
      </c>
      <c r="C18" s="157" t="s">
        <v>11</v>
      </c>
      <c r="D18" s="157" t="s">
        <v>12</v>
      </c>
      <c r="E18" s="160">
        <v>0.37</v>
      </c>
      <c r="F18" s="57"/>
      <c r="G18" s="159">
        <v>0.5</v>
      </c>
      <c r="H18" s="56"/>
      <c r="I18" s="154">
        <v>0.6</v>
      </c>
      <c r="J18" s="5"/>
      <c r="K18" s="38" t="str">
        <f>IFERROR(SUMIFS(patch[FI review num], patch[status], "MERGED",  patch[AuthorGroup],"FL And dev", patch[mergeDate], "&lt;2016-4-1", patch[mergeDate], "&gt;=2016-1-1", patch[ifCommon], "common")/SUM(SUMIFS(patch[BJ review num], patch[status], "MERGED",  patch[AuthorGroup],"FL And dev", patch[mergeDate], "&lt;2016-4-1", patch[mergeDate], "&gt;=2016-1-1", patch[ifCommon], "common"), SUMIFS(patch[FI review num], patch[status], "MERGED",  patch[AuthorGroup],"FL And dev", patch[mergeDate], "&lt;2016-4-1", patch[mergeDate], "&gt;=2016-1-1", patch[ifCommon], "common")), "no patch")</f>
        <v>no patch</v>
      </c>
      <c r="L18" s="28" t="str">
        <f>IFERROR(SUMIFS(patch[FI review num], patch[status], "MERGED", patch[MergeWW], "15'ww53", patch[AuthorGroup],"FL And dev", patch[ifCommon], "common")/SUM(SUMIFS(patch[BJ review num], patch[status], "MERGED", patch[MergeWW], "15'ww53", patch[AuthorGroup],"FL And dev", patch[ifCommon], "common"), SUMIFS(patch[FI review num], patch[status], "MERGED", patch[MergeWW], "15'ww53", patch[AuthorGroup],"FL And dev", patch[ifCommon], "common")), "no patch")</f>
        <v>no patch</v>
      </c>
      <c r="M18" s="28" t="str">
        <f>IFERROR(SUMIFS(patch[FI review num], patch[status], "MERGED", patch[MergeWW], M$2, patch[AuthorGroup],"FL And dev", patch[ifCommon], "common")/SUM(SUMIFS(patch[BJ review num], patch[status], "MERGED", patch[MergeWW], M$2, patch[AuthorGroup],"FL And dev", patch[ifCommon], "common"), SUMIFS(patch[FI review num], patch[status], "MERGED", patch[MergeWW], M$2, patch[AuthorGroup],"FL And dev", patch[ifCommon], "common")), "no patch")</f>
        <v>no patch</v>
      </c>
      <c r="N18" s="28" t="str">
        <f>IFERROR(SUMIFS(patch[FI review num], patch[status], "MERGED", patch[MergeWW], N$2, patch[AuthorGroup],"FL And dev", patch[ifCommon], "common")/SUM(SUMIFS(patch[BJ review num], patch[status], "MERGED", patch[MergeWW], N$2, patch[AuthorGroup],"FL And dev", patch[ifCommon], "common"), SUMIFS(patch[FI review num], patch[status], "MERGED", patch[MergeWW], N$2, patch[AuthorGroup],"FL And dev", patch[ifCommon], "common")), "no patch")</f>
        <v>no patch</v>
      </c>
      <c r="O18" s="28" t="str">
        <f>IFERROR(SUMIFS(patch[FI review num], patch[status], "MERGED", patch[MergeWW], O$2, patch[AuthorGroup],"FL And dev", patch[ifCommon], "common")/SUM(SUMIFS(patch[BJ review num], patch[status], "MERGED", patch[MergeWW], O$2, patch[AuthorGroup],"FL And dev", patch[ifCommon], "common"), SUMIFS(patch[FI review num], patch[status], "MERGED", patch[MergeWW], O$2, patch[AuthorGroup],"FL And dev", patch[ifCommon], "common")), "no patch")</f>
        <v>no patch</v>
      </c>
      <c r="P18" s="28" t="str">
        <f>IFERROR(SUMIFS(patch[FI review num], patch[status], "MERGED", patch[MergeWW], P$2, patch[AuthorGroup],"FL And dev", patch[ifCommon], "common")/SUM(SUMIFS(patch[BJ review num], patch[status], "MERGED", patch[MergeWW], P$2, patch[AuthorGroup],"FL And dev", patch[ifCommon], "common"), SUMIFS(patch[FI review num], patch[status], "MERGED", patch[MergeWW], P$2, patch[AuthorGroup],"FL And dev", patch[ifCommon], "common")), "no patch")</f>
        <v>no patch</v>
      </c>
      <c r="Q18" s="28" t="str">
        <f>IFERROR(SUMIFS(patch[FI review num], patch[status], "MERGED", patch[MergeWW], Q$2, patch[AuthorGroup],"FL And dev", patch[ifCommon], "common")/SUM(SUMIFS(patch[BJ review num], patch[status], "MERGED", patch[MergeWW], Q$2, patch[AuthorGroup],"FL And dev", patch[ifCommon], "common"), SUMIFS(patch[FI review num], patch[status], "MERGED", patch[MergeWW], Q$2, patch[AuthorGroup],"FL And dev", patch[ifCommon], "common")), "no patch")</f>
        <v>no patch</v>
      </c>
      <c r="R18" s="28" t="str">
        <f>IFERROR(SUMIFS(patch[FI review num], patch[status], "MERGED", patch[MergeWW], R$2, patch[AuthorGroup],"FL And dev", patch[ifCommon], "common")/SUM(SUMIFS(patch[BJ review num], patch[status], "MERGED", patch[MergeWW], R$2, patch[AuthorGroup],"FL And dev", patch[ifCommon], "common"), SUMIFS(patch[FI review num], patch[status], "MERGED", patch[MergeWW], R$2, patch[AuthorGroup],"FL And dev", patch[ifCommon], "common")), "no patch")</f>
        <v>no patch</v>
      </c>
      <c r="S18" s="28" t="str">
        <f>IFERROR(SUMIFS(patch[FI review num], patch[status], "MERGED", patch[MergeWW], S$2, patch[AuthorGroup],"FL And dev", patch[ifCommon], "common")/SUM(SUMIFS(patch[BJ review num], patch[status], "MERGED", patch[MergeWW], S$2, patch[AuthorGroup],"FL And dev", patch[ifCommon], "common"), SUMIFS(patch[FI review num], patch[status], "MERGED", patch[MergeWW], S$2, patch[AuthorGroup],"FL And dev", patch[ifCommon], "common")), "no patch")</f>
        <v>no patch</v>
      </c>
      <c r="T18" s="28" t="str">
        <f>IFERROR(SUMIFS(patch[FI review num], patch[status], "MERGED", patch[MergeWW], T$2, patch[AuthorGroup],"FL And dev", patch[ifCommon], "common")/SUM(SUMIFS(patch[BJ review num], patch[status], "MERGED", patch[MergeWW], T$2, patch[AuthorGroup],"FL And dev", patch[ifCommon], "common"), SUMIFS(patch[FI review num], patch[status], "MERGED", patch[MergeWW], T$2, patch[AuthorGroup],"FL And dev", patch[ifCommon], "common")), "no patch")</f>
        <v>no patch</v>
      </c>
      <c r="U18" s="28" t="str">
        <f>IFERROR(SUMIFS(patch[FI review num], patch[status], "MERGED", patch[MergeWW], U$2, patch[AuthorGroup],"FL And dev", patch[ifCommon], "common")/SUM(SUMIFS(patch[BJ review num], patch[status], "MERGED", patch[MergeWW], U$2, patch[AuthorGroup],"FL And dev", patch[ifCommon], "common"), SUMIFS(patch[FI review num], patch[status], "MERGED", patch[MergeWW], U$2, patch[AuthorGroup],"FL And dev", patch[ifCommon], "common")), "no patch")</f>
        <v>no patch</v>
      </c>
      <c r="V18" s="28" t="str">
        <f>IFERROR(SUMIFS(patch[FI review num], patch[status], "MERGED", patch[MergeWW], V$2, patch[AuthorGroup],"FL And dev", patch[ifCommon], "common")/SUM(SUMIFS(patch[BJ review num], patch[status], "MERGED", patch[MergeWW], V$2, patch[AuthorGroup],"FL And dev", patch[ifCommon], "common"), SUMIFS(patch[FI review num], patch[status], "MERGED", patch[MergeWW], V$2, patch[AuthorGroup],"FL And dev", patch[ifCommon], "common")), "no patch")</f>
        <v>no patch</v>
      </c>
      <c r="W18" s="28" t="str">
        <f>IFERROR(SUMIFS(patch[FI review num], patch[status], "MERGED", patch[MergeWW], W$2, patch[AuthorGroup],"FL And dev", patch[ifCommon], "common")/SUM(SUMIFS(patch[BJ review num], patch[status], "MERGED", patch[MergeWW], W$2, patch[AuthorGroup],"FL And dev", patch[ifCommon], "common"), SUMIFS(patch[FI review num], patch[status], "MERGED", patch[MergeWW], W$2, patch[AuthorGroup],"FL And dev", patch[ifCommon], "common")), "no patch")</f>
        <v>no patch</v>
      </c>
      <c r="X18" s="28" t="str">
        <f>IFERROR(SUMIFS(patch[FI review num], patch[status], "MERGED", patch[MergeWW], X$2, patch[AuthorGroup],"FL And dev", patch[ifCommon], "common")/SUM(SUMIFS(patch[BJ review num], patch[status], "MERGED", patch[MergeWW], X$2, patch[AuthorGroup],"FL And dev", patch[ifCommon], "common"), SUMIFS(patch[FI review num], patch[status], "MERGED", patch[MergeWW], X$2, patch[AuthorGroup],"FL And dev", patch[ifCommon], "common")), "no patch")</f>
        <v>no patch</v>
      </c>
    </row>
    <row r="19" spans="1:24" ht="30" hidden="1">
      <c r="A19" s="156"/>
      <c r="B19" s="84" t="str">
        <f t="shared" si="0"/>
        <v>(FI Patch)</v>
      </c>
      <c r="C19" s="157"/>
      <c r="D19" s="157"/>
      <c r="E19" s="160"/>
      <c r="F19" s="57"/>
      <c r="G19" s="159"/>
      <c r="H19" s="56"/>
      <c r="I19" s="154"/>
      <c r="J19" s="5"/>
      <c r="K19" s="45" t="str">
        <f>"BJ vs FI: "&amp;SUMIFS(patch[BJ review num], patch[status], "MERGED",  patch[AuthorGroup],"FL And dev", patch[mergeDate], "&lt;2016-4-1", patch[mergeDate], "&gt;=2016-1-1", patch[ifCommon], "common")&amp;" vs "&amp; SUMIFS(patch[FI review num], patch[status], "MERGED",  patch[AuthorGroup],"FL And dev", patch[mergeDate], "&lt;2016-4-1", patch[mergeDate], "&gt;=2016-1-1", patch[ifCommon], "common")</f>
        <v>BJ vs FI: 0 vs 0</v>
      </c>
      <c r="L19" s="46" t="str">
        <f>"BJ vs FI: "&amp;SUMIFS(patch[BJ review num], patch[status], "MERGED", patch[MergeWW], "15'ww53", patch[AuthorGroup],"FL And dev", patch[ifCommon], "common")&amp;" vs "&amp;SUMIFS(patch[FI review num], patch[status], "MERGED", patch[MergeWW], "15'ww53", patch[AuthorGroup],"FL And dev", patch[ifCommon], "common")</f>
        <v>BJ vs FI: 0 vs 0</v>
      </c>
      <c r="M19" s="46" t="str">
        <f>"BJ vs FI: "&amp;SUMIFS(patch[BJ review num], patch[status], "MERGED", patch[MergeWW], M$2, patch[AuthorGroup],"FL And dev", patch[ifCommon], "common")&amp;" vs "&amp; SUMIFS(patch[FI review num], patch[status], "MERGED", patch[MergeWW], M$2, patch[AuthorGroup],"FL And dev", patch[ifCommon], "common")</f>
        <v>BJ vs FI: 0 vs 0</v>
      </c>
      <c r="N19" s="46" t="str">
        <f>"BJ vs FI: "&amp;SUMIFS(patch[BJ review num], patch[status], "MERGED", patch[MergeWW], N$2, patch[AuthorGroup],"FL And dev", patch[ifCommon], "common")&amp;" vs "&amp; SUMIFS(patch[FI review num], patch[status], "MERGED", patch[MergeWW], N$2, patch[AuthorGroup],"FL And dev", patch[ifCommon], "common")</f>
        <v>BJ vs FI: 0 vs 0</v>
      </c>
      <c r="O19" s="46" t="str">
        <f>"BJ vs FI: "&amp;SUMIFS(patch[BJ review num], patch[status], "MERGED", patch[MergeWW], O$2, patch[AuthorGroup],"FL And dev", patch[ifCommon], "common")&amp;" vs "&amp; SUMIFS(patch[FI review num], patch[status], "MERGED", patch[MergeWW], O$2, patch[AuthorGroup],"FL And dev", patch[ifCommon], "common")</f>
        <v>BJ vs FI: 0 vs 0</v>
      </c>
      <c r="P19" s="46" t="str">
        <f>"BJ vs FI: "&amp;SUMIFS(patch[BJ review num], patch[status], "MERGED", patch[MergeWW], P$2, patch[AuthorGroup],"FL And dev", patch[ifCommon], "common")&amp;" vs "&amp; SUMIFS(patch[FI review num], patch[status], "MERGED", patch[MergeWW], P$2, patch[AuthorGroup],"FL And dev", patch[ifCommon], "common")</f>
        <v>BJ vs FI: 0 vs 0</v>
      </c>
      <c r="Q19" s="46" t="str">
        <f>"BJ vs FI: "&amp;SUMIFS(patch[BJ review num], patch[status], "MERGED", patch[MergeWW], Q$2, patch[AuthorGroup],"FL And dev", patch[ifCommon], "common")&amp;" vs "&amp; SUMIFS(patch[FI review num], patch[status], "MERGED", patch[MergeWW], Q$2, patch[AuthorGroup],"FL And dev", patch[ifCommon], "common")</f>
        <v>BJ vs FI: 0 vs 0</v>
      </c>
      <c r="R19" s="46" t="str">
        <f>"BJ vs FI: "&amp;SUMIFS(patch[BJ review num], patch[status], "MERGED", patch[MergeWW], R$2, patch[AuthorGroup],"FL And dev", patch[ifCommon], "common")&amp;" vs "&amp; SUMIFS(patch[FI review num], patch[status], "MERGED", patch[MergeWW], R$2, patch[AuthorGroup],"FL And dev", patch[ifCommon], "common")</f>
        <v>BJ vs FI: 0 vs 0</v>
      </c>
      <c r="S19" s="46" t="str">
        <f>"BJ vs FI: "&amp;SUMIFS(patch[BJ review num], patch[status], "MERGED", patch[MergeWW], S$2, patch[AuthorGroup],"FL And dev", patch[ifCommon], "common")&amp;" vs "&amp; SUMIFS(patch[FI review num], patch[status], "MERGED", patch[MergeWW], S$2, patch[AuthorGroup],"FL And dev", patch[ifCommon], "common")</f>
        <v>BJ vs FI: 0 vs 0</v>
      </c>
      <c r="T19" s="46" t="str">
        <f>"BJ vs FI: "&amp;SUMIFS(patch[BJ review num], patch[status], "MERGED", patch[MergeWW], T$2, patch[AuthorGroup],"FL And dev", patch[ifCommon], "common")&amp;" vs "&amp; SUMIFS(patch[FI review num], patch[status], "MERGED", patch[MergeWW], T$2, patch[AuthorGroup],"FL And dev", patch[ifCommon], "common")</f>
        <v>BJ vs FI: 0 vs 0</v>
      </c>
      <c r="U19" s="46" t="str">
        <f>"BJ vs FI: "&amp;SUMIFS(patch[BJ review num], patch[status], "MERGED", patch[MergeWW], U$2, patch[AuthorGroup],"FL And dev", patch[ifCommon], "common")&amp;" vs "&amp; SUMIFS(patch[FI review num], patch[status], "MERGED", patch[MergeWW], U$2, patch[AuthorGroup],"FL And dev", patch[ifCommon], "common")</f>
        <v>BJ vs FI: 0 vs 0</v>
      </c>
      <c r="V19" s="46" t="str">
        <f>"BJ vs FI: "&amp;SUMIFS(patch[BJ review num], patch[status], "MERGED", patch[MergeWW], V$2, patch[AuthorGroup],"FL And dev", patch[ifCommon], "common")&amp;" vs "&amp; SUMIFS(patch[FI review num], patch[status], "MERGED", patch[MergeWW], V$2, patch[AuthorGroup],"FL And dev", patch[ifCommon], "common")</f>
        <v>BJ vs FI: 0 vs 0</v>
      </c>
      <c r="W19" s="46" t="str">
        <f>"BJ vs FI: "&amp;SUMIFS(patch[BJ review num], patch[status], "MERGED", patch[MergeWW], W$2, patch[AuthorGroup],"FL And dev", patch[ifCommon], "common")&amp;" vs "&amp; SUMIFS(patch[FI review num], patch[status], "MERGED", patch[MergeWW], W$2, patch[AuthorGroup],"FL And dev", patch[ifCommon], "common")</f>
        <v>BJ vs FI: 0 vs 0</v>
      </c>
      <c r="X19" s="46" t="str">
        <f>"BJ vs FI: "&amp;SUMIFS(patch[BJ review num], patch[status], "MERGED", patch[MergeWW], X$2, patch[AuthorGroup],"FL And dev", patch[ifCommon], "common")&amp;" vs "&amp; SUMIFS(patch[FI review num], patch[status], "MERGED", patch[MergeWW], X$2, patch[AuthorGroup],"FL And dev", patch[ifCommon], "common")</f>
        <v>BJ vs FI: 0 vs 0</v>
      </c>
    </row>
    <row r="20" spans="1:24" ht="50.25" hidden="1" customHeight="1">
      <c r="A20" s="155">
        <v>3</v>
      </c>
      <c r="B20" s="84" t="str">
        <f t="shared" si="0"/>
        <v>Review-1 # given locally (%)  (BJ patch)</v>
      </c>
      <c r="C20" s="157" t="s">
        <v>14</v>
      </c>
      <c r="D20" s="157" t="s">
        <v>15</v>
      </c>
      <c r="E20" s="160">
        <v>0.03</v>
      </c>
      <c r="F20" s="57"/>
      <c r="G20" s="159">
        <v>0.3</v>
      </c>
      <c r="H20" s="56"/>
      <c r="I20" s="154">
        <v>0.5</v>
      </c>
      <c r="J20" s="5"/>
      <c r="K20" s="38" t="str">
        <f>IFERROR(SUMIFS(patch[FI -1 num], patch[status], "MERGED",  patch[AuthorGroup],"FL And dev", patch[mergeDate], "&lt;2016-4-1", patch[mergeDate], "&gt;=2016-1-1", patch[ifCommon], "common")/SUM(SUMIFS(patch[BJ -1 num], patch[status], "MERGED",  patch[AuthorGroup],"FL And dev", patch[mergeDate], "&lt;2016-4-1", patch[mergeDate], "&gt;=2016-1-1", patch[ifCommon], "common"), SUMIFS(patch[FI -1 num], patch[status], "MERGED",  patch[AuthorGroup],"FL And dev", patch[mergeDate], "&lt;2016-4-1", patch[mergeDate], "&gt;=2016-1-1", patch[ifCommon], "common")), "no -1")</f>
        <v>no -1</v>
      </c>
      <c r="L20" s="28" t="str">
        <f>IFERROR(SUMIFS(patch[FI -1 num], patch[status], "MERGED", patch[MergeWW], "15'ww53", patch[AuthorGroup],"FL And dev", patch[ifCommon], "common")/SUM(SUMIFS(patch[BJ -1 num], patch[status], "MERGED", patch[MergeWW], "15'ww53", patch[AuthorGroup],"FL And dev", patch[ifCommon], "common"), SUMIFS(patch[FI -1 num], patch[status], "MERGED", patch[MergeWW], "15'ww53", patch[AuthorGroup],"FL And dev", patch[ifCommon], "common")), "no -1")</f>
        <v>no -1</v>
      </c>
      <c r="M20" s="28" t="str">
        <f>IFERROR(SUMIFS(patch[FI -1 num], patch[status], "MERGED", patch[MergeWW], M$2, patch[AuthorGroup],"FL And dev", patch[ifCommon], "common")/SUM(SUMIFS(patch[BJ -1 num], patch[status], "MERGED", patch[MergeWW], M$2, patch[AuthorGroup],"FL And dev", patch[ifCommon], "common"), SUMIFS(patch[FI -1 num], patch[status], "MERGED", patch[MergeWW], M$2, patch[AuthorGroup],"FL And dev", patch[ifCommon], "common")), "no -1")</f>
        <v>no -1</v>
      </c>
      <c r="N20" s="28" t="str">
        <f>IFERROR(SUMIFS(patch[FI -1 num], patch[status], "MERGED", patch[MergeWW], N$2, patch[AuthorGroup],"FL And dev", patch[ifCommon], "common")/SUM(SUMIFS(patch[BJ -1 num], patch[status], "MERGED", patch[MergeWW], N$2, patch[AuthorGroup],"FL And dev", patch[ifCommon], "common"), SUMIFS(patch[FI -1 num], patch[status], "MERGED", patch[MergeWW], N$2, patch[AuthorGroup],"FL And dev", patch[ifCommon], "common")), "no -1")</f>
        <v>no -1</v>
      </c>
      <c r="O20" s="28" t="str">
        <f>IFERROR(SUMIFS(patch[FI -1 num], patch[status], "MERGED", patch[MergeWW], O$2, patch[AuthorGroup],"FL And dev", patch[ifCommon], "common")/SUM(SUMIFS(patch[BJ -1 num], patch[status], "MERGED", patch[MergeWW], O$2, patch[AuthorGroup],"FL And dev", patch[ifCommon], "common"), SUMIFS(patch[FI -1 num], patch[status], "MERGED", patch[MergeWW], O$2, patch[AuthorGroup],"FL And dev", patch[ifCommon], "common")), "no -1")</f>
        <v>no -1</v>
      </c>
      <c r="P20" s="28" t="str">
        <f>IFERROR(SUMIFS(patch[FI -1 num], patch[status], "MERGED", patch[MergeWW], P$2, patch[AuthorGroup],"FL And dev", patch[ifCommon], "common")/SUM(SUMIFS(patch[BJ -1 num], patch[status], "MERGED", patch[MergeWW], P$2, patch[AuthorGroup],"FL And dev", patch[ifCommon], "common"), SUMIFS(patch[FI -1 num], patch[status], "MERGED", patch[MergeWW], P$2, patch[AuthorGroup],"FL And dev", patch[ifCommon], "common")), "no -1")</f>
        <v>no -1</v>
      </c>
      <c r="Q20" s="28" t="str">
        <f>IFERROR(SUMIFS(patch[FI -1 num], patch[status], "MERGED", patch[MergeWW], Q$2, patch[AuthorGroup],"FL And dev", patch[ifCommon], "common")/SUM(SUMIFS(patch[BJ -1 num], patch[status], "MERGED", patch[MergeWW], Q$2, patch[AuthorGroup],"FL And dev", patch[ifCommon], "common"), SUMIFS(patch[FI -1 num], patch[status], "MERGED", patch[MergeWW], Q$2, patch[AuthorGroup],"FL And dev", patch[ifCommon], "common")), "no -1")</f>
        <v>no -1</v>
      </c>
      <c r="R20" s="28" t="str">
        <f>IFERROR(SUMIFS(patch[FI -1 num], patch[status], "MERGED", patch[MergeWW], R$2, patch[AuthorGroup],"FL And dev", patch[ifCommon], "common")/SUM(SUMIFS(patch[BJ -1 num], patch[status], "MERGED", patch[MergeWW], R$2, patch[AuthorGroup],"FL And dev", patch[ifCommon], "common"), SUMIFS(patch[FI -1 num], patch[status], "MERGED", patch[MergeWW], R$2, patch[AuthorGroup],"FL And dev", patch[ifCommon], "common")), "no -1")</f>
        <v>no -1</v>
      </c>
      <c r="S20" s="28" t="str">
        <f>IFERROR(SUMIFS(patch[FI -1 num], patch[status], "MERGED", patch[MergeWW], S$2, patch[AuthorGroup],"FL And dev", patch[ifCommon], "common")/SUM(SUMIFS(patch[BJ -1 num], patch[status], "MERGED", patch[MergeWW], S$2, patch[AuthorGroup],"FL And dev", patch[ifCommon], "common"), SUMIFS(patch[FI -1 num], patch[status], "MERGED", patch[MergeWW], S$2, patch[AuthorGroup],"FL And dev", patch[ifCommon], "common")), "no -1")</f>
        <v>no -1</v>
      </c>
      <c r="T20" s="28" t="str">
        <f>IFERROR(SUMIFS(patch[FI -1 num], patch[status], "MERGED", patch[MergeWW], T$2, patch[AuthorGroup],"FL And dev", patch[ifCommon], "common")/SUM(SUMIFS(patch[BJ -1 num], patch[status], "MERGED", patch[MergeWW], T$2, patch[AuthorGroup],"FL And dev", patch[ifCommon], "common"), SUMIFS(patch[FI -1 num], patch[status], "MERGED", patch[MergeWW], T$2, patch[AuthorGroup],"FL And dev", patch[ifCommon], "common")), "no -1")</f>
        <v>no -1</v>
      </c>
      <c r="U20" s="28" t="str">
        <f>IFERROR(SUMIFS(patch[FI -1 num], patch[status], "MERGED", patch[MergeWW], U$2, patch[AuthorGroup],"FL And dev", patch[ifCommon], "common")/SUM(SUMIFS(patch[BJ -1 num], patch[status], "MERGED", patch[MergeWW], U$2, patch[AuthorGroup],"FL And dev", patch[ifCommon], "common"), SUMIFS(patch[FI -1 num], patch[status], "MERGED", patch[MergeWW], U$2, patch[AuthorGroup],"FL And dev", patch[ifCommon], "common")), "no -1")</f>
        <v>no -1</v>
      </c>
      <c r="V20" s="28" t="str">
        <f>IFERROR(SUMIFS(patch[FI -1 num], patch[status], "MERGED", patch[MergeWW], V$2, patch[AuthorGroup],"FL And dev", patch[ifCommon], "common")/SUM(SUMIFS(patch[BJ -1 num], patch[status], "MERGED", patch[MergeWW], V$2, patch[AuthorGroup],"FL And dev", patch[ifCommon], "common"), SUMIFS(patch[FI -1 num], patch[status], "MERGED", patch[MergeWW], V$2, patch[AuthorGroup],"FL And dev", patch[ifCommon], "common")), "no -1")</f>
        <v>no -1</v>
      </c>
      <c r="W20" s="28" t="str">
        <f>IFERROR(SUMIFS(patch[FI -1 num], patch[status], "MERGED", patch[MergeWW], W$2, patch[AuthorGroup],"FL And dev", patch[ifCommon], "common")/SUM(SUMIFS(patch[BJ -1 num], patch[status], "MERGED", patch[MergeWW], W$2, patch[AuthorGroup],"FL And dev", patch[ifCommon], "common"), SUMIFS(patch[FI -1 num], patch[status], "MERGED", patch[MergeWW], W$2, patch[AuthorGroup],"FL And dev", patch[ifCommon], "common")), "no -1")</f>
        <v>no -1</v>
      </c>
      <c r="X20" s="28" t="str">
        <f>IFERROR(SUMIFS(patch[FI -1 num], patch[status], "MERGED", patch[MergeWW], X$2, patch[AuthorGroup],"FL And dev", patch[ifCommon], "common")/SUM(SUMIFS(patch[BJ -1 num], patch[status], "MERGED", patch[MergeWW], X$2, patch[AuthorGroup],"FL And dev", patch[ifCommon], "common"), SUMIFS(patch[FI -1 num], patch[status], "MERGED", patch[MergeWW], X$2, patch[AuthorGroup],"FL And dev", patch[ifCommon], "common")), "no -1")</f>
        <v>no -1</v>
      </c>
    </row>
    <row r="21" spans="1:24" ht="30" hidden="1">
      <c r="A21" s="156"/>
      <c r="B21" s="84" t="str">
        <f t="shared" si="0"/>
        <v>(FI Patch)</v>
      </c>
      <c r="C21" s="157"/>
      <c r="D21" s="157"/>
      <c r="E21" s="160"/>
      <c r="F21" s="57"/>
      <c r="G21" s="159"/>
      <c r="H21" s="56"/>
      <c r="I21" s="154"/>
      <c r="J21" s="5"/>
      <c r="K21" s="45" t="str">
        <f>"BJ vs FI: "&amp;SUMIFS(patch[BJ -1 num], patch[status], "MERGED",  patch[AuthorGroup],"FL And dev", patch[mergeDate], "&lt;2016-4-1", patch[mergeDate], "&gt;=2016-1-1", patch[ifCommon], "common")&amp;" vs "&amp; SUMIFS(patch[FI -1 num], patch[status], "MERGED",  patch[AuthorGroup],"FL And dev", patch[mergeDate], "&lt;2016-4-1", patch[mergeDate], "&gt;=2016-1-1", patch[ifCommon], "common")</f>
        <v>BJ vs FI: 0 vs 0</v>
      </c>
      <c r="L21" s="46" t="str">
        <f>"BJ vs FI: "&amp;SUMIFS(patch[BJ -1 num], patch[status], "MERGED", patch[MergeWW], "15'ww53", patch[AuthorGroup],"FL And dev", patch[ifCommon], "common")&amp;" vs "&amp;SUMIFS(patch[FI -1 num], patch[status], "MERGED", patch[MergeWW], "15'ww53", patch[AuthorGroup],"FL And dev", patch[ifCommon], "common")</f>
        <v>BJ vs FI: 0 vs 0</v>
      </c>
      <c r="M21" s="46" t="str">
        <f>"BJ vs FI: "&amp;SUMIFS(patch[BJ -1 num], patch[status], "MERGED", patch[MergeWW], M$2, patch[AuthorGroup],"FL And dev", patch[ifCommon], "common")&amp;" vs "&amp; SUMIFS(patch[FI -1 num], patch[status], "MERGED", patch[MergeWW], M$2, patch[AuthorGroup],"FL And dev", patch[ifCommon], "common")</f>
        <v>BJ vs FI: 0 vs 0</v>
      </c>
      <c r="N21" s="46" t="str">
        <f>"BJ vs FI: "&amp;SUMIFS(patch[BJ -1 num], patch[status], "MERGED", patch[MergeWW], N$2, patch[AuthorGroup],"FL And dev", patch[ifCommon], "common")&amp;" vs "&amp; SUMIFS(patch[FI -1 num], patch[status], "MERGED", patch[MergeWW], N$2, patch[AuthorGroup],"FL And dev", patch[ifCommon], "common")</f>
        <v>BJ vs FI: 0 vs 0</v>
      </c>
      <c r="O21" s="46" t="str">
        <f>"BJ vs FI: "&amp;SUMIFS(patch[BJ -1 num], patch[status], "MERGED", patch[MergeWW], O$2, patch[AuthorGroup],"FL And dev", patch[ifCommon], "common")&amp;" vs "&amp; SUMIFS(patch[FI -1 num], patch[status], "MERGED", patch[MergeWW], O$2, patch[AuthorGroup],"FL And dev", patch[ifCommon], "common")</f>
        <v>BJ vs FI: 0 vs 0</v>
      </c>
      <c r="P21" s="46" t="str">
        <f>"BJ vs FI: "&amp;SUMIFS(patch[BJ -1 num], patch[status], "MERGED", patch[MergeWW], P$2, patch[AuthorGroup],"FL And dev", patch[ifCommon], "common")&amp;" vs "&amp; SUMIFS(patch[FI -1 num], patch[status], "MERGED", patch[MergeWW], P$2, patch[AuthorGroup],"FL And dev", patch[ifCommon], "common")</f>
        <v>BJ vs FI: 0 vs 0</v>
      </c>
      <c r="Q21" s="46" t="str">
        <f>"BJ vs FI: "&amp;SUMIFS(patch[BJ -1 num], patch[status], "MERGED", patch[MergeWW], Q$2, patch[AuthorGroup],"FL And dev", patch[ifCommon], "common")&amp;" vs "&amp; SUMIFS(patch[FI -1 num], patch[status], "MERGED", patch[MergeWW], Q$2, patch[AuthorGroup],"FL And dev", patch[ifCommon], "common")</f>
        <v>BJ vs FI: 0 vs 0</v>
      </c>
      <c r="R21" s="46" t="str">
        <f>"BJ vs FI: "&amp;SUMIFS(patch[BJ -1 num], patch[status], "MERGED", patch[MergeWW], R$2, patch[AuthorGroup],"FL And dev", patch[ifCommon], "common")&amp;" vs "&amp; SUMIFS(patch[FI -1 num], patch[status], "MERGED", patch[MergeWW], R$2, patch[AuthorGroup],"FL And dev", patch[ifCommon], "common")</f>
        <v>BJ vs FI: 0 vs 0</v>
      </c>
      <c r="S21" s="46" t="str">
        <f>"BJ vs FI: "&amp;SUMIFS(patch[BJ -1 num], patch[status], "MERGED", patch[MergeWW], S$2, patch[AuthorGroup],"FL And dev", patch[ifCommon], "common")&amp;" vs "&amp; SUMIFS(patch[FI -1 num], patch[status], "MERGED", patch[MergeWW], S$2, patch[AuthorGroup],"FL And dev", patch[ifCommon], "common")</f>
        <v>BJ vs FI: 0 vs 0</v>
      </c>
      <c r="T21" s="46" t="str">
        <f>"BJ vs FI: "&amp;SUMIFS(patch[BJ -1 num], patch[status], "MERGED", patch[MergeWW], T$2, patch[AuthorGroup],"FL And dev", patch[ifCommon], "common")&amp;" vs "&amp; SUMIFS(patch[FI -1 num], patch[status], "MERGED", patch[MergeWW], T$2, patch[AuthorGroup],"FL And dev", patch[ifCommon], "common")</f>
        <v>BJ vs FI: 0 vs 0</v>
      </c>
      <c r="U21" s="46" t="str">
        <f>"BJ vs FI: "&amp;SUMIFS(patch[BJ -1 num], patch[status], "MERGED", patch[MergeWW], U$2, patch[AuthorGroup],"FL And dev", patch[ifCommon], "common")&amp;" vs "&amp; SUMIFS(patch[FI -1 num], patch[status], "MERGED", patch[MergeWW], U$2, patch[AuthorGroup],"FL And dev", patch[ifCommon], "common")</f>
        <v>BJ vs FI: 0 vs 0</v>
      </c>
      <c r="V21" s="46" t="str">
        <f>"BJ vs FI: "&amp;SUMIFS(patch[BJ -1 num], patch[status], "MERGED", patch[MergeWW], V$2, patch[AuthorGroup],"FL And dev", patch[ifCommon], "common")&amp;" vs "&amp; SUMIFS(patch[FI -1 num], patch[status], "MERGED", patch[MergeWW], V$2, patch[AuthorGroup],"FL And dev", patch[ifCommon], "common")</f>
        <v>BJ vs FI: 0 vs 0</v>
      </c>
      <c r="W21" s="46" t="str">
        <f>"BJ vs FI: "&amp;SUMIFS(patch[BJ -1 num], patch[status], "MERGED", patch[MergeWW], W$2, patch[AuthorGroup],"FL And dev", patch[ifCommon], "common")&amp;" vs "&amp; SUMIFS(patch[FI -1 num], patch[status], "MERGED", patch[MergeWW], W$2, patch[AuthorGroup],"FL And dev", patch[ifCommon], "common")</f>
        <v>BJ vs FI: 0 vs 0</v>
      </c>
      <c r="X21" s="46" t="str">
        <f>"BJ vs FI: "&amp;SUMIFS(patch[BJ -1 num], patch[status], "MERGED", patch[MergeWW], X$2, patch[AuthorGroup],"FL And dev", patch[ifCommon], "common")&amp;" vs "&amp; SUMIFS(patch[FI -1 num], patch[status], "MERGED", patch[MergeWW], X$2, patch[AuthorGroup],"FL And dev", patch[ifCommon], "common")</f>
        <v>BJ vs FI: 0 vs 0</v>
      </c>
    </row>
    <row r="22" spans="1:24" ht="43.5" hidden="1" customHeight="1">
      <c r="A22" s="155">
        <v>4</v>
      </c>
      <c r="B22" s="84" t="str">
        <f t="shared" si="0"/>
        <v>Cross site review(%)</v>
      </c>
      <c r="C22" s="157" t="s">
        <v>18</v>
      </c>
      <c r="D22" s="157" t="s">
        <v>19</v>
      </c>
      <c r="E22" s="158">
        <v>0</v>
      </c>
      <c r="F22" s="55"/>
      <c r="G22" s="159">
        <v>0.2</v>
      </c>
      <c r="H22" s="56"/>
      <c r="I22" s="154">
        <v>0.3</v>
      </c>
      <c r="J22" s="5"/>
      <c r="K22" s="38" t="str">
        <f>IFERROR(COUNTIFS(patch[status], "MERGED",  patch[AuthorGroup],"BJ And dev", patch[FI review num], "&gt;0", patch[mergeDate], "&lt;2016-4-1", patch[mergeDate], "&gt;=2016-1-1", patch[ifCommon], "common")/COUNTIFS(patch[status], "MERGED",  patch[AuthorGroup],"BJ And dev", patch[mergeDate], "&lt;2016-4-1", patch[mergeDate], "&gt;=2016-1-1", patch[ifCommon], "common"), "no patch")</f>
        <v>no patch</v>
      </c>
      <c r="L22" s="28" t="str">
        <f>IFERROR(COUNTIFS(patch[status], "MERGED", patch[MergeWW], "15'ww53", patch[AuthorGroup],"BJ And dev", patch[FI review num], "&gt;0", patch[ifCommon], "common")/COUNTIFS(patch[status], "MERGED", patch[MergeWW], "15'ww53", patch[AuthorGroup],"BJ And dev", patch[ifCommon], "common"), "no patch")</f>
        <v>no patch</v>
      </c>
      <c r="M22" s="28" t="str">
        <f>IFERROR(COUNTIFS(patch[status], "MERGED", patch[MergeWW], M$2, patch[AuthorGroup],"BJ And dev", patch[FI review num], "&gt;0", patch[ifCommon], "common")/COUNTIFS(patch[status], "MERGED", patch[MergeWW], M$2, patch[AuthorGroup],"BJ And dev", patch[ifCommon], "common"), "no patch")</f>
        <v>no patch</v>
      </c>
      <c r="N22" s="28" t="str">
        <f>IFERROR(COUNTIFS(patch[status], "MERGED", patch[MergeWW], N$2, patch[AuthorGroup],"BJ And dev", patch[FI review num], "&gt;0", patch[ifCommon], "common")/COUNTIFS(patch[status], "MERGED", patch[MergeWW], N$2, patch[AuthorGroup],"BJ And dev", patch[ifCommon], "common"), "no patch")</f>
        <v>no patch</v>
      </c>
      <c r="O22" s="28" t="str">
        <f>IFERROR(COUNTIFS(patch[status], "MERGED", patch[MergeWW], O$2, patch[AuthorGroup],"BJ And dev", patch[FI review num], "&gt;0", patch[ifCommon], "common")/COUNTIFS(patch[status], "MERGED", patch[MergeWW], O$2, patch[AuthorGroup],"BJ And dev", patch[ifCommon], "common"), "no patch")</f>
        <v>no patch</v>
      </c>
      <c r="P22" s="28" t="str">
        <f>IFERROR(COUNTIFS(patch[status], "MERGED", patch[MergeWW], P$2, patch[AuthorGroup],"BJ And dev", patch[FI review num], "&gt;0", patch[ifCommon], "common")/COUNTIFS(patch[status], "MERGED", patch[MergeWW], P$2, patch[AuthorGroup],"BJ And dev", patch[ifCommon], "common"), "no patch")</f>
        <v>no patch</v>
      </c>
      <c r="Q22" s="28" t="str">
        <f>IFERROR(COUNTIFS(patch[status], "MERGED", patch[MergeWW], Q$2, patch[AuthorGroup],"BJ And dev", patch[FI review num], "&gt;0", patch[ifCommon], "common")/COUNTIFS(patch[status], "MERGED", patch[MergeWW], Q$2, patch[AuthorGroup],"BJ And dev", patch[ifCommon], "common"), "no patch")</f>
        <v>no patch</v>
      </c>
      <c r="R22" s="28" t="str">
        <f>IFERROR(COUNTIFS(patch[status], "MERGED", patch[MergeWW], R$2, patch[AuthorGroup],"BJ And dev", patch[FI review num], "&gt;0", patch[ifCommon], "common")/COUNTIFS(patch[status], "MERGED", patch[MergeWW], R$2, patch[AuthorGroup],"BJ And dev", patch[ifCommon], "common"), "no patch")</f>
        <v>no patch</v>
      </c>
      <c r="S22" s="28" t="str">
        <f>IFERROR(COUNTIFS(patch[status], "MERGED", patch[MergeWW], S$2, patch[AuthorGroup],"BJ And dev", patch[FI review num], "&gt;0", patch[ifCommon], "common")/COUNTIFS(patch[status], "MERGED", patch[MergeWW], S$2, patch[AuthorGroup],"BJ And dev", patch[ifCommon], "common"), "no patch")</f>
        <v>no patch</v>
      </c>
      <c r="T22" s="28" t="str">
        <f>IFERROR(COUNTIFS(patch[status], "MERGED", patch[MergeWW], T$2, patch[AuthorGroup],"BJ And dev", patch[FI review num], "&gt;0", patch[ifCommon], "common")/COUNTIFS(patch[status], "MERGED", patch[MergeWW], T$2, patch[AuthorGroup],"BJ And dev", patch[ifCommon], "common"), "no patch")</f>
        <v>no patch</v>
      </c>
      <c r="U22" s="28" t="str">
        <f>IFERROR(COUNTIFS(patch[status], "MERGED", patch[MergeWW], U$2, patch[AuthorGroup],"BJ And dev", patch[FI review num], "&gt;0", patch[ifCommon], "common")/COUNTIFS(patch[status], "MERGED", patch[MergeWW], U$2, patch[AuthorGroup],"BJ And dev", patch[ifCommon], "common"), "no patch")</f>
        <v>no patch</v>
      </c>
      <c r="V22" s="28" t="str">
        <f>IFERROR(COUNTIFS(patch[status], "MERGED", patch[MergeWW], V$2, patch[AuthorGroup],"BJ And dev", patch[FI review num], "&gt;0", patch[ifCommon], "common")/COUNTIFS(patch[status], "MERGED", patch[MergeWW], V$2, patch[AuthorGroup],"BJ And dev", patch[ifCommon], "common"), "no patch")</f>
        <v>no patch</v>
      </c>
      <c r="W22" s="28" t="str">
        <f>IFERROR(COUNTIFS(patch[status], "MERGED", patch[MergeWW], W$2, patch[AuthorGroup],"BJ And dev", patch[FI review num], "&gt;0", patch[ifCommon], "common")/COUNTIFS(patch[status], "MERGED", patch[MergeWW], W$2, patch[AuthorGroup],"BJ And dev", patch[ifCommon], "common"), "no patch")</f>
        <v>no patch</v>
      </c>
      <c r="X22" s="28" t="str">
        <f>IFERROR(COUNTIFS(patch[status], "MERGED", patch[MergeWW], X$2, patch[AuthorGroup],"BJ And dev", patch[FI review num], "&gt;0", patch[ifCommon], "common")/COUNTIFS(patch[status], "MERGED", patch[MergeWW], X$2, patch[AuthorGroup],"BJ And dev", patch[ifCommon], "common"), "no patch")</f>
        <v>no patch</v>
      </c>
    </row>
    <row r="23" spans="1:24" ht="30" hidden="1">
      <c r="A23" s="156"/>
      <c r="B23" s="84" t="str">
        <f t="shared" si="0"/>
        <v>(BJ Patch)</v>
      </c>
      <c r="C23" s="157"/>
      <c r="D23" s="157"/>
      <c r="E23" s="158"/>
      <c r="F23" s="55"/>
      <c r="G23" s="159"/>
      <c r="H23" s="56"/>
      <c r="I23" s="154"/>
      <c r="J23" s="5"/>
      <c r="K23" s="45" t="str">
        <f>"FI comment: "&amp;COUNTIFS(patch[status], "MERGED",  patch[AuthorGroup],"BJ And dev", patch[FI review num], "&gt;0", patch[mergeDate], "&lt;2016-4-1", patch[mergeDate], "&gt;=2016-1-1", patch[ifCommon], "common")&amp;", total: "&amp;COUNTIFS(patch[status], "MERGED",  patch[AuthorGroup],"BJ And dev", patch[mergeDate], "&lt;2016-4-1", patch[mergeDate], "&gt;=2016-1-1", patch[ifCommon], "common")</f>
        <v>FI comment: 0, total: 0</v>
      </c>
      <c r="L23" s="46" t="str">
        <f>"FI comment: "&amp;COUNTIFS(patch[status], "MERGED", patch[MergeWW], "15'ww53", patch[AuthorGroup],"BJ And dev", patch[FI review num], "&gt;0", patch[ifCommon], "common")&amp;", total: "&amp;COUNTIFS(patch[status], "MERGED", patch[MergeWW], "15'ww53", patch[AuthorGroup],"BJ And dev", patch[ifCommon], "common")</f>
        <v>FI comment: 0, total: 0</v>
      </c>
      <c r="M23" s="46" t="str">
        <f>"FI comment: "&amp;COUNTIFS(patch[status], "MERGED", patch[MergeWW], M$2, patch[AuthorGroup],"BJ And dev", patch[FI review num], "&gt;0", patch[ifCommon], "common")&amp;", total: "&amp;COUNTIFS(patch[status], "MERGED", patch[MergeWW], M$2, patch[AuthorGroup],"BJ And dev", patch[ifCommon], "common")</f>
        <v>FI comment: 0, total: 0</v>
      </c>
      <c r="N23" s="46" t="str">
        <f>"FI comment: "&amp;COUNTIFS(patch[status], "MERGED", patch[MergeWW], N$2, patch[AuthorGroup],"BJ And dev", patch[FI review num], "&gt;0", patch[ifCommon], "common")&amp;", total: "&amp;COUNTIFS(patch[status], "MERGED", patch[MergeWW], N$2, patch[AuthorGroup],"BJ And dev", patch[ifCommon], "common")</f>
        <v>FI comment: 0, total: 0</v>
      </c>
      <c r="O23" s="46" t="str">
        <f>"FI comment: "&amp;COUNTIFS(patch[status], "MERGED", patch[MergeWW], O$2, patch[AuthorGroup],"BJ And dev", patch[FI review num], "&gt;0", patch[ifCommon], "common")&amp;", total: "&amp;COUNTIFS(patch[status], "MERGED", patch[MergeWW], O$2, patch[AuthorGroup],"BJ And dev", patch[ifCommon], "common")</f>
        <v>FI comment: 0, total: 0</v>
      </c>
      <c r="P23" s="46" t="str">
        <f>"FI comment: "&amp;COUNTIFS(patch[status], "MERGED", patch[MergeWW], P$2, patch[AuthorGroup],"BJ And dev", patch[FI review num], "&gt;0", patch[ifCommon], "common")&amp;", total: "&amp;COUNTIFS(patch[status], "MERGED", patch[MergeWW], P$2, patch[AuthorGroup],"BJ And dev", patch[ifCommon], "common")</f>
        <v>FI comment: 0, total: 0</v>
      </c>
      <c r="Q23" s="46" t="str">
        <f>"FI comment: "&amp;COUNTIFS(patch[status], "MERGED", patch[MergeWW], Q$2, patch[AuthorGroup],"BJ And dev", patch[FI review num], "&gt;0", patch[ifCommon], "common")&amp;", total: "&amp;COUNTIFS(patch[status], "MERGED", patch[MergeWW], Q$2, patch[AuthorGroup],"BJ And dev", patch[ifCommon], "common")</f>
        <v>FI comment: 0, total: 0</v>
      </c>
      <c r="R23" s="46" t="str">
        <f>"FI comment: "&amp;COUNTIFS(patch[status], "MERGED", patch[MergeWW], R$2, patch[AuthorGroup],"BJ And dev", patch[FI review num], "&gt;0", patch[ifCommon], "common")&amp;", total: "&amp;COUNTIFS(patch[status], "MERGED", patch[MergeWW], R$2, patch[AuthorGroup],"BJ And dev", patch[ifCommon], "common")</f>
        <v>FI comment: 0, total: 0</v>
      </c>
      <c r="S23" s="46" t="str">
        <f>"FI comment: "&amp;COUNTIFS(patch[status], "MERGED", patch[MergeWW], S$2, patch[AuthorGroup],"BJ And dev", patch[FI review num], "&gt;0", patch[ifCommon], "common")&amp;", total: "&amp;COUNTIFS(patch[status], "MERGED", patch[MergeWW], S$2, patch[AuthorGroup],"BJ And dev", patch[ifCommon], "common")</f>
        <v>FI comment: 0, total: 0</v>
      </c>
      <c r="T23" s="46" t="str">
        <f>"FI comment: "&amp;COUNTIFS(patch[status], "MERGED", patch[MergeWW], T$2, patch[AuthorGroup],"BJ And dev", patch[FI review num], "&gt;0", patch[ifCommon], "common")&amp;", total: "&amp;COUNTIFS(patch[status], "MERGED", patch[MergeWW], T$2, patch[AuthorGroup],"BJ And dev", patch[ifCommon], "common")</f>
        <v>FI comment: 0, total: 0</v>
      </c>
      <c r="U23" s="46" t="str">
        <f>"FI comment: "&amp;COUNTIFS(patch[status], "MERGED", patch[MergeWW], U$2, patch[AuthorGroup],"BJ And dev", patch[FI review num], "&gt;0", patch[ifCommon], "common")&amp;", total: "&amp;COUNTIFS(patch[status], "MERGED", patch[MergeWW], U$2, patch[AuthorGroup],"BJ And dev", patch[ifCommon], "common")</f>
        <v>FI comment: 0, total: 0</v>
      </c>
      <c r="V23" s="46" t="str">
        <f>"FI comment: "&amp;COUNTIFS(patch[status], "MERGED", patch[MergeWW], V$2, patch[AuthorGroup],"BJ And dev", patch[FI review num], "&gt;0", patch[ifCommon], "common")&amp;", total: "&amp;COUNTIFS(patch[status], "MERGED", patch[MergeWW], V$2, patch[AuthorGroup],"BJ And dev", patch[ifCommon], "common")</f>
        <v>FI comment: 0, total: 0</v>
      </c>
      <c r="W23" s="46" t="str">
        <f>"FI comment: "&amp;COUNTIFS(patch[status], "MERGED", patch[MergeWW], W$2, patch[AuthorGroup],"BJ And dev", patch[FI review num], "&gt;0", patch[ifCommon], "common")&amp;", total: "&amp;COUNTIFS(patch[status], "MERGED", patch[MergeWW], W$2, patch[AuthorGroup],"BJ And dev", patch[ifCommon], "common")</f>
        <v>FI comment: 0, total: 0</v>
      </c>
      <c r="X23" s="46" t="str">
        <f>"FI comment: "&amp;COUNTIFS(patch[status], "MERGED", patch[MergeWW], X$2, patch[AuthorGroup],"BJ And dev", patch[FI review num], "&gt;0", patch[ifCommon], "common")&amp;", total: "&amp;COUNTIFS(patch[status], "MERGED", patch[MergeWW], X$2, patch[AuthorGroup],"BJ And dev", patch[ifCommon], "common")</f>
        <v>FI comment: 0, total: 0</v>
      </c>
    </row>
    <row r="25" spans="1:24">
      <c r="B25" s="164" t="s">
        <v>0</v>
      </c>
      <c r="C25" s="164"/>
      <c r="D25" s="164"/>
      <c r="E25" s="164"/>
      <c r="F25" s="164"/>
      <c r="G25" s="164"/>
      <c r="H25" s="164"/>
      <c r="I25" s="164"/>
      <c r="J25" s="164"/>
      <c r="L25"/>
    </row>
    <row r="26" spans="1:24" ht="45">
      <c r="B26" s="1" t="s">
        <v>1</v>
      </c>
      <c r="C26" s="1" t="s">
        <v>2</v>
      </c>
      <c r="D26" s="1" t="s">
        <v>3</v>
      </c>
      <c r="E26" s="2" t="s">
        <v>2027</v>
      </c>
      <c r="F26" s="43" t="s">
        <v>2023</v>
      </c>
      <c r="G26" s="3" t="s">
        <v>2024</v>
      </c>
      <c r="H26" s="3" t="s">
        <v>2026</v>
      </c>
      <c r="I26" s="4" t="s">
        <v>2025</v>
      </c>
      <c r="J26" s="5"/>
      <c r="K26" s="27" t="s">
        <v>2020</v>
      </c>
      <c r="L26"/>
    </row>
    <row r="27" spans="1:24" ht="15.75">
      <c r="B27" s="9" t="s">
        <v>6</v>
      </c>
      <c r="C27" s="162" t="s">
        <v>8</v>
      </c>
      <c r="D27" s="162" t="s">
        <v>9</v>
      </c>
      <c r="E27" s="158">
        <v>1.7</v>
      </c>
      <c r="F27" s="165">
        <v>0.86</v>
      </c>
      <c r="G27" s="163">
        <v>1</v>
      </c>
      <c r="H27" s="167">
        <v>0.5</v>
      </c>
      <c r="I27" s="161">
        <v>0.6</v>
      </c>
      <c r="J27" s="5"/>
      <c r="K27" s="29" t="str">
        <f>IFERROR(SUMIFS([2]!drvold[BJFI -1 num], [2]!drvold[status], "MERGED", [2]!drvold[AuthorGroup],"BJ And dev")/COUNTIFS([2]!drvold[status], "MERGED", [2]!drvold[AuthorGroup],"BJ And dev"), "no patch")</f>
        <v>no patch</v>
      </c>
      <c r="L27"/>
    </row>
    <row r="28" spans="1:24" ht="15.75">
      <c r="B28" s="10" t="s">
        <v>7</v>
      </c>
      <c r="C28" s="162"/>
      <c r="D28" s="162"/>
      <c r="E28" s="158"/>
      <c r="F28" s="166"/>
      <c r="G28" s="163"/>
      <c r="H28" s="168"/>
      <c r="I28" s="161"/>
      <c r="J28" s="5"/>
      <c r="K28" s="30" t="e">
        <f>"#"&amp;SUMIFS([2]!drvold[BJFI -1 num], [2]!drvold[status], "MERGED", [2]!drvold[AuthorGroup],"BJ And dev")&amp;" -1, "&amp;COUNTIFS([2]!drvold[status], "MERGED", [2]!drvold[AuthorGroup],"BJ And dev")&amp;"patches"</f>
        <v>#REF!</v>
      </c>
      <c r="L28"/>
    </row>
    <row r="29" spans="1:24" ht="15.75">
      <c r="B29" s="9" t="s">
        <v>10</v>
      </c>
      <c r="C29" s="157" t="s">
        <v>11</v>
      </c>
      <c r="D29" s="157" t="s">
        <v>12</v>
      </c>
      <c r="E29" s="160">
        <v>0.37</v>
      </c>
      <c r="F29" s="169">
        <v>0.5</v>
      </c>
      <c r="G29" s="159">
        <v>0.5</v>
      </c>
      <c r="H29" s="173">
        <v>0.68</v>
      </c>
      <c r="I29" s="154">
        <v>0.6</v>
      </c>
      <c r="J29" s="5"/>
      <c r="K29" s="28" t="str">
        <f>IFERROR(SUMIFS([2]!drvold[BJ review num], [2]!drvold[status], "MERGED", [2]!drvold[AuthorGroup],"BJ And dev")/SUM(SUMIFS([2]!drvold[BJ review num], [2]!drvold[status], "MERGED", [2]!drvold[AuthorGroup],"BJ And dev"), SUMIFS([2]!drvold[FI review num], [2]!drvold[status], "MERGED", [2]!drvold[AuthorGroup],"BJ And dev")), "no patch")</f>
        <v>no patch</v>
      </c>
      <c r="L29"/>
    </row>
    <row r="30" spans="1:24" ht="15.75">
      <c r="B30" s="10" t="s">
        <v>7</v>
      </c>
      <c r="C30" s="157"/>
      <c r="D30" s="157"/>
      <c r="E30" s="160"/>
      <c r="F30" s="172"/>
      <c r="G30" s="159"/>
      <c r="H30" s="174"/>
      <c r="I30" s="154"/>
      <c r="J30" s="5"/>
      <c r="K30" s="30" t="e">
        <f>"BJvsFL: "&amp;SUMIFS([2]!drvold[BJ review num], [2]!drvold[status], "MERGED", [2]!drvold[AuthorGroup],"BJ And dev")&amp;" vs "&amp; SUMIFS([2]!drvold[FI review num], [2]!drvold[status], "MERGED", [2]!drvold[AuthorGroup],"BJ And dev")</f>
        <v>#REF!</v>
      </c>
      <c r="L30"/>
    </row>
    <row r="31" spans="1:24" ht="15.75">
      <c r="B31" s="9" t="s">
        <v>13</v>
      </c>
      <c r="C31" s="157" t="s">
        <v>14</v>
      </c>
      <c r="D31" s="157" t="s">
        <v>15</v>
      </c>
      <c r="E31" s="160">
        <v>0.03</v>
      </c>
      <c r="F31" s="169">
        <v>0.14000000000000001</v>
      </c>
      <c r="G31" s="159">
        <v>0.3</v>
      </c>
      <c r="H31" s="173">
        <v>0.63</v>
      </c>
      <c r="I31" s="154">
        <v>0.5</v>
      </c>
      <c r="J31" s="5"/>
      <c r="K31" s="28" t="str">
        <f>IFERROR(SUMIFS([2]!drvold[BJ -1 num], [2]!drvold[status], "MERGED", [2]!drvold[AuthorGroup],"BJ And dev")/SUM(SUMIFS([2]!drvold[BJ -1 num], [2]!drvold[status], "MERGED", [2]!drvold[AuthorGroup],"BJ And dev"), SUMIFS([2]!drvold[FI -1 num], [2]!drvold[status], "MERGED", [2]!drvold[AuthorGroup],"BJ And dev")), "no -1")</f>
        <v>no -1</v>
      </c>
      <c r="L31"/>
    </row>
    <row r="32" spans="1:24" ht="15.75">
      <c r="B32" s="10" t="s">
        <v>7</v>
      </c>
      <c r="C32" s="157"/>
      <c r="D32" s="157"/>
      <c r="E32" s="160"/>
      <c r="F32" s="172"/>
      <c r="G32" s="159"/>
      <c r="H32" s="174"/>
      <c r="I32" s="154"/>
      <c r="J32" s="5"/>
      <c r="K32" s="30" t="e">
        <f>"BJvsFL: "&amp;SUMIFS([2]!drvold[BJ -1 num], [2]!drvold[status], "MERGED", [2]!drvold[AuthorGroup],"BJ And dev")&amp;" vs "&amp; SUMIFS([2]!drvold[FI -1 num], [2]!drvold[status], "MERGED", [2]!drvold[AuthorGroup],"BJ And dev")</f>
        <v>#REF!</v>
      </c>
      <c r="L32"/>
    </row>
    <row r="33" spans="2:12" ht="31.5">
      <c r="B33" s="9" t="s">
        <v>16</v>
      </c>
      <c r="C33" s="157" t="s">
        <v>18</v>
      </c>
      <c r="D33" s="157" t="s">
        <v>19</v>
      </c>
      <c r="E33" s="158">
        <v>0</v>
      </c>
      <c r="F33" s="169">
        <v>0.11</v>
      </c>
      <c r="G33" s="159">
        <v>0.2</v>
      </c>
      <c r="H33" s="170">
        <v>0.14000000000000001</v>
      </c>
      <c r="I33" s="154">
        <v>0.3</v>
      </c>
      <c r="J33" s="5"/>
      <c r="K33" s="28" t="str">
        <f>IFERROR(COUNTIFS([2]!drvold[status], "MERGED", [2]!drvold[AuthorGroup],"FL And dev", [2]!drvold[BJ review num], "&gt;0")/COUNTIFS([2]!drvold[status], "MERGED", [2]!drvold[AuthorGroup],"FL And dev"), "no patch")</f>
        <v>no patch</v>
      </c>
      <c r="L33"/>
    </row>
    <row r="34" spans="2:12" ht="15.75">
      <c r="B34" s="10" t="s">
        <v>17</v>
      </c>
      <c r="C34" s="157"/>
      <c r="D34" s="157"/>
      <c r="E34" s="158"/>
      <c r="F34" s="166"/>
      <c r="G34" s="159"/>
      <c r="H34" s="171"/>
      <c r="I34" s="154"/>
      <c r="J34" s="5"/>
      <c r="K34" s="30" t="e">
        <f>"BJ comment: "&amp;COUNTIFS([2]!drvold[status], "MERGED", [2]!drvold[AuthorGroup],"FL And dev", [2]!drvold[BJ review num], "&gt;0")&amp;", total: "&amp;COUNTIFS([2]!drvold[status], "MERGED", [2]!drvold[AuthorGroup],"FL And dev")</f>
        <v>#REF!</v>
      </c>
      <c r="L34"/>
    </row>
    <row r="40" spans="2:12">
      <c r="B40" t="s">
        <v>2021</v>
      </c>
    </row>
    <row r="41" spans="2:12">
      <c r="B41" t="s">
        <v>2022</v>
      </c>
    </row>
  </sheetData>
  <mergeCells count="78">
    <mergeCell ref="I33:I34"/>
    <mergeCell ref="C33:C34"/>
    <mergeCell ref="D33:D34"/>
    <mergeCell ref="E33:E34"/>
    <mergeCell ref="F33:F34"/>
    <mergeCell ref="G33:G34"/>
    <mergeCell ref="H33:H34"/>
    <mergeCell ref="I29:I30"/>
    <mergeCell ref="C31:C32"/>
    <mergeCell ref="D31:D32"/>
    <mergeCell ref="E31:E32"/>
    <mergeCell ref="F31:F32"/>
    <mergeCell ref="G31:G32"/>
    <mergeCell ref="H31:H32"/>
    <mergeCell ref="I31:I32"/>
    <mergeCell ref="C29:C30"/>
    <mergeCell ref="D29:D30"/>
    <mergeCell ref="E29:E30"/>
    <mergeCell ref="F29:F30"/>
    <mergeCell ref="G29:G30"/>
    <mergeCell ref="H29:H30"/>
    <mergeCell ref="B25:J25"/>
    <mergeCell ref="C27:C28"/>
    <mergeCell ref="D27:D28"/>
    <mergeCell ref="E27:E28"/>
    <mergeCell ref="F27:F28"/>
    <mergeCell ref="G27:G28"/>
    <mergeCell ref="H27:H28"/>
    <mergeCell ref="I27:I28"/>
    <mergeCell ref="I22:I23"/>
    <mergeCell ref="A20:A21"/>
    <mergeCell ref="C20:C21"/>
    <mergeCell ref="D20:D21"/>
    <mergeCell ref="E20:E21"/>
    <mergeCell ref="G20:G21"/>
    <mergeCell ref="I20:I21"/>
    <mergeCell ref="A22:A23"/>
    <mergeCell ref="C22:C23"/>
    <mergeCell ref="D22:D23"/>
    <mergeCell ref="E22:E23"/>
    <mergeCell ref="G22:G23"/>
    <mergeCell ref="I18:I19"/>
    <mergeCell ref="A16:A17"/>
    <mergeCell ref="C16:C17"/>
    <mergeCell ref="D16:D17"/>
    <mergeCell ref="E16:E17"/>
    <mergeCell ref="G16:G17"/>
    <mergeCell ref="I16:I17"/>
    <mergeCell ref="A18:A19"/>
    <mergeCell ref="C18:C19"/>
    <mergeCell ref="D18:D19"/>
    <mergeCell ref="E18:E19"/>
    <mergeCell ref="G18:G19"/>
    <mergeCell ref="I9:I10"/>
    <mergeCell ref="A7:A8"/>
    <mergeCell ref="C7:C8"/>
    <mergeCell ref="D7:D8"/>
    <mergeCell ref="E7:E8"/>
    <mergeCell ref="G7:G8"/>
    <mergeCell ref="I7:I8"/>
    <mergeCell ref="A9:A10"/>
    <mergeCell ref="C9:C10"/>
    <mergeCell ref="D9:D10"/>
    <mergeCell ref="E9:E10"/>
    <mergeCell ref="G9:G10"/>
    <mergeCell ref="I5:I6"/>
    <mergeCell ref="B1:J1"/>
    <mergeCell ref="A3:A4"/>
    <mergeCell ref="C3:C4"/>
    <mergeCell ref="D3:D4"/>
    <mergeCell ref="E3:E4"/>
    <mergeCell ref="G3:G4"/>
    <mergeCell ref="I3:I4"/>
    <mergeCell ref="A5:A6"/>
    <mergeCell ref="C5:C6"/>
    <mergeCell ref="D5:D6"/>
    <mergeCell ref="E5:E6"/>
    <mergeCell ref="G5:G6"/>
  </mergeCells>
  <phoneticPr fontId="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Z31"/>
  <sheetViews>
    <sheetView workbookViewId="0">
      <selection activeCell="L27" sqref="L27"/>
    </sheetView>
  </sheetViews>
  <sheetFormatPr defaultRowHeight="15"/>
  <cols>
    <col min="2" max="2" width="38.5703125" customWidth="1"/>
    <col min="3" max="3" width="38.7109375" hidden="1" customWidth="1"/>
    <col min="4" max="4" width="34.42578125" hidden="1" customWidth="1"/>
    <col min="5" max="5" width="24" hidden="1" customWidth="1"/>
    <col min="6" max="6" width="18.28515625" hidden="1" customWidth="1"/>
    <col min="7" max="9" width="9.140625" hidden="1" customWidth="1"/>
    <col min="10" max="10" width="9.140625" customWidth="1"/>
    <col min="11" max="11" width="15.85546875" style="97" customWidth="1"/>
    <col min="12" max="14" width="13.140625" style="26" customWidth="1"/>
    <col min="15" max="23" width="10" style="26" customWidth="1"/>
    <col min="24" max="24" width="10" style="26" hidden="1" customWidth="1"/>
  </cols>
  <sheetData>
    <row r="1" spans="1:26">
      <c r="B1" s="164" t="s">
        <v>2043</v>
      </c>
      <c r="C1" s="164"/>
      <c r="D1" s="164"/>
      <c r="E1" s="164"/>
      <c r="F1" s="164"/>
      <c r="G1" s="164"/>
      <c r="H1" s="164"/>
      <c r="I1" s="164"/>
      <c r="J1" s="164"/>
      <c r="N1" s="51"/>
      <c r="Y1" s="26"/>
    </row>
    <row r="2" spans="1:26" ht="45">
      <c r="A2" s="41" t="s">
        <v>2029</v>
      </c>
      <c r="B2" s="1" t="s">
        <v>2102</v>
      </c>
      <c r="C2" s="1" t="s">
        <v>2</v>
      </c>
      <c r="D2" s="1" t="s">
        <v>3</v>
      </c>
      <c r="E2" s="2"/>
      <c r="F2" s="2"/>
      <c r="G2" s="3" t="s">
        <v>4</v>
      </c>
      <c r="H2" s="3"/>
      <c r="I2" s="4" t="s">
        <v>5</v>
      </c>
      <c r="J2" s="107" t="s">
        <v>2334</v>
      </c>
      <c r="K2" s="98" t="s">
        <v>2418</v>
      </c>
      <c r="L2" s="149" t="s">
        <v>2411</v>
      </c>
      <c r="M2" s="149" t="s">
        <v>2413</v>
      </c>
      <c r="N2" s="149" t="s">
        <v>2414</v>
      </c>
      <c r="Y2" s="44" t="s">
        <v>2028</v>
      </c>
    </row>
    <row r="3" spans="1:26" ht="15.75">
      <c r="A3" s="155">
        <v>1</v>
      </c>
      <c r="B3" s="54" t="s">
        <v>2341</v>
      </c>
      <c r="C3" s="162" t="s">
        <v>8</v>
      </c>
      <c r="D3" s="162" t="s">
        <v>9</v>
      </c>
      <c r="E3" s="158"/>
      <c r="F3" s="55"/>
      <c r="G3" s="163">
        <v>1</v>
      </c>
      <c r="H3" s="58"/>
      <c r="I3" s="161">
        <v>0.6</v>
      </c>
      <c r="J3" s="99" t="str">
        <f>IFERROR(SUMIFS([3]!patch[BJFISH -1 num], [3]!patch[status], "MERGED",  [3]!patch[AuthorGroup],"FL And dev", [3]!patch[MergeDate], "&lt;2016-1-1", [3]!patch[MergeDate], "&gt;=2015-10-1")/COUNTIFS([3]!patch[status], "MERGED",  [3]!patch[AuthorGroup],"FL And dev", [3]!patch[MergeDate], "&lt;2016-1-1", [3]!patch[MergeDate], "&gt;=2015-10-1"), "no patch")</f>
        <v>no patch</v>
      </c>
      <c r="K3" s="99">
        <f>IFERROR(SUMIFS(patch[BJFISH -1 num], patch[status], "MERGED",  patch[AuthorGroup],"FL And dev", patch[mergeDate], "&lt;2016-10-1", patch[mergeDate], "&gt;=2016-7-1")/COUNTIFS(patch[status], "MERGED",  patch[AuthorGroup],"FL And dev", patch[mergeDate], "&lt;2016-10-1", patch[mergeDate], "&gt;=2016-7-1"), "no patch")</f>
        <v>0.29411764705882354</v>
      </c>
      <c r="L3" s="29" t="str">
        <f>IFERROR(SUMIFS(patch[BJFISH -1 num], patch[status], "MERGED", patch[MergeMonth], L$2, patch[AuthorGroup],"FL And dev")/COUNTIFS(patch[status], "MERGED", patch[MergeMonth], L$2, patch[AuthorGroup],"FL And dev"), "no patch")</f>
        <v>no patch</v>
      </c>
      <c r="M3" s="29" t="str">
        <f>IFERROR(SUMIFS(patch[BJFISH -1 num], patch[status], "MERGED", patch[MergeMonth], M$2, patch[AuthorGroup],"FL And dev")/COUNTIFS(patch[status], "MERGED", patch[MergeMonth], M$2, patch[AuthorGroup],"FL And dev"), "no patch")</f>
        <v>no patch</v>
      </c>
      <c r="N3" s="29">
        <f>IFERROR(SUMIFS(patch[BJFISH -1 num], patch[status], "MERGED", patch[MergeMonth], N$2, patch[AuthorGroup],"FL And dev")/COUNTIFS(patch[status], "MERGED", patch[MergeMonth], N$2, patch[AuthorGroup],"FL And dev"), "no patch")</f>
        <v>0.29411764705882354</v>
      </c>
      <c r="Y3" s="29" t="e">
        <f>SUMIFS(drvlst[BJFI -1 num], drvlst[status], "MERGED", drvlst[AuthorGroup],"BJ And dev")/COUNTIFS(drvlst[status], "MERGED", drvlst[AuthorGroup],"BJ And dev")</f>
        <v>#DIV/0!</v>
      </c>
    </row>
    <row r="4" spans="1:26" ht="30">
      <c r="A4" s="156"/>
      <c r="B4" s="54" t="s">
        <v>17</v>
      </c>
      <c r="C4" s="162"/>
      <c r="D4" s="162"/>
      <c r="E4" s="158"/>
      <c r="F4" s="55"/>
      <c r="G4" s="163"/>
      <c r="H4" s="58"/>
      <c r="I4" s="161"/>
      <c r="J4" s="106" t="e">
        <f>"#"&amp;SUMIFS([3]!patch[BJFISH -1 num], [3]!patch[status], "MERGED",  [3]!patch[AuthorGroup],"FL And dev", [3]!patch[MergeDate], "&lt;2016-1-1", [3]!patch[MergeDate], "&gt;=2015-10-1")&amp;" -1, "&amp;COUNTIFS([3]!patch[status], "MERGED", [3]!patch[AuthorGroup],"FL And dev", [3]!patch[MergeDate], "&lt;2016-1-1", [3]!patch[MergeDate], "&gt;=2015-10-1")&amp;"patches"</f>
        <v>#REF!</v>
      </c>
      <c r="K4" s="106" t="str">
        <f>"#"&amp;SUMIFS(patch[BJFISH -1 num], patch[status], "MERGED",  patch[AuthorGroup],"FL And dev", patch[mergeDate], "&lt;2016-10-1", patch[mergeDate], "&gt;=2016-7-1")&amp;" -1, "&amp;COUNTIFS(patch[status], "MERGED", patch[AuthorGroup],"FL And dev", patch[mergeDate], "&lt;2016-10-1", patch[mergeDate], "&gt;=2016-7-1")&amp;"patches"</f>
        <v>#5 -1, 17patches</v>
      </c>
      <c r="L4" s="46" t="str">
        <f>"#"&amp;SUMIFS(patch[BJFISH -1 num], patch[status], "MERGED", patch[MergeMonth], L$2, patch[AuthorGroup],"FL And dev")&amp;" -1, "&amp;COUNTIFS(patch[status], "MERGED", patch[MergeMonth],  L$2, patch[AuthorGroup],"FL And dev")&amp;"patches"</f>
        <v>#0 -1, 0patches</v>
      </c>
      <c r="M4" s="46" t="str">
        <f>"#"&amp;SUMIFS(patch[BJFISH -1 num], patch[status], "MERGED", patch[MergeMonth], M$2, patch[AuthorGroup],"FL And dev")&amp;" -1, "&amp;COUNTIFS(patch[status], "MERGED", patch[MergeMonth],  M$2, patch[AuthorGroup],"FL And dev")&amp;"patches"</f>
        <v>#0 -1, 0patches</v>
      </c>
      <c r="N4" s="46" t="str">
        <f>"#"&amp;SUMIFS(patch[BJFISH -1 num], patch[status], "MERGED", patch[MergeMonth], N$2, patch[AuthorGroup],"FL And dev")&amp;" -1, "&amp;COUNTIFS(patch[status], "MERGED", patch[MergeMonth],  N$2, patch[AuthorGroup],"FL And dev")&amp;"patches"</f>
        <v>#5 -1, 17patches</v>
      </c>
      <c r="O4" s="63"/>
      <c r="P4" s="63"/>
      <c r="Y4" s="62" t="str">
        <f>"#"&amp;SUMIFS(drvlst[BJFI -1 num], drvlst[status], "MERGED",  drvlst[AuthorGroup],"BJ And dev")&amp;" -1, "&amp;COUNTIFS(drvlst[status], "MERGED", drvlst[AuthorGroup],"BJ And dev")&amp;"patches"</f>
        <v>#0 -1, 0patches</v>
      </c>
    </row>
    <row r="5" spans="1:26" ht="43.5" customHeight="1">
      <c r="A5" s="155">
        <v>2</v>
      </c>
      <c r="B5" s="84" t="s">
        <v>2091</v>
      </c>
      <c r="C5" s="157" t="s">
        <v>2324</v>
      </c>
      <c r="D5" s="157" t="s">
        <v>2325</v>
      </c>
      <c r="E5" s="160"/>
      <c r="F5" s="57"/>
      <c r="G5" s="159">
        <v>0.5</v>
      </c>
      <c r="H5" s="56"/>
      <c r="I5" s="154">
        <v>0.6</v>
      </c>
      <c r="J5" s="100" t="str">
        <f>IFERROR(
  SUMIFS([3]!patch[FI review num], [3]!patch[status], "MERGED",  [3]!patch[AuthorGroup],"FL And dev", [3]!patch[MergeDate], "&lt;2016-1-1", [3]!patch[MergeDate], "&gt;=2015-10-1")
 /SUM(SUMIFS([3]!patch[BJ review num], [3]!patch[status], "MERGED",  [3]!patch[AuthorGroup],"FL And dev"), SUMIFS([3]!patch[FI review num], [3]!patch[status], "MERGED",  [3]!patch[AuthorGroup],"FL And dev", [3]!patch[MergeDate], "&lt;2016-1-1", [3]!patch[MergeDate], "&gt;=2015-10-1"), SUMIFS([3]!patch[SH review num], [3]!patch[status], "MERGED",  [3]!patch[AuthorGroup],"FL And dev", [3]!patch[MergeDate], "&lt;2016-1-1", [3]!patch[MergeDate], "&gt;=2015-10-1")),
 "no patch")</f>
        <v>no patch</v>
      </c>
      <c r="K5" s="100">
        <f>IFERROR(
  SUMIFS(patch[FI review num], patch[status], "MERGED",  patch[AuthorGroup],"FL And dev", patch[mergeDate], "&lt;2016-10-1", patch[mergeDate], "&gt;=2016-7-1")
 /SUM(SUMIFS(patch[BJ review num], patch[status], "MERGED",  patch[AuthorGroup],"FL And dev"), SUMIFS(patch[FI review num], patch[status], "MERGED",  patch[AuthorGroup],"FL And dev", patch[mergeDate], "&lt;2016-10-1", patch[mergeDate], "&gt;=2016-7-1"), SUMIFS(patch[SH review num], patch[status], "MERGED",  patch[AuthorGroup],"FL And dev", patch[mergeDate], "&lt;2016-10-1", patch[mergeDate], "&gt;=2016-7-1")),
 "no patch")</f>
        <v>8.2644628099173556E-3</v>
      </c>
      <c r="L5" s="28" t="str">
        <f>IFERROR(
   SUMIFS(patch[FI review num], patch[status], "MERGED", patch[MergeMonth], L$2, patch[AuthorGroup],"FL And dev")
   /SUM(SUMIFS(patch[BJ review num], patch[status], "MERGED", patch[MergeMonth], L$2, patch[AuthorGroup],"FL And dev"), SUMIFS(patch[FI review num], patch[status], "MERGED", patch[MergeMonth], L$2, patch[AuthorGroup],"FL And dev"), SUMIFS(patch[SH review num], patch[status], "MERGED", patch[MergeMonth], L$2, patch[AuthorGroup],"FL And dev")), "no patch")</f>
        <v>no patch</v>
      </c>
      <c r="M5" s="28" t="str">
        <f>IFERROR(
   SUMIFS(patch[FI review num], patch[status], "MERGED", patch[MergeMonth], M$2, patch[AuthorGroup],"FL And dev")
   /SUM(SUMIFS(patch[BJ review num], patch[status], "MERGED", patch[MergeMonth], M$2, patch[AuthorGroup],"FL And dev"), SUMIFS(patch[FI review num], patch[status], "MERGED", patch[MergeMonth], M$2, patch[AuthorGroup],"FL And dev"), SUMIFS(patch[SH review num], patch[status], "MERGED", patch[MergeMonth], M$2, patch[AuthorGroup],"FL And dev")), "no patch")</f>
        <v>no patch</v>
      </c>
      <c r="N5" s="28">
        <f>IFERROR(
   SUMIFS(patch[FI review num], patch[status], "MERGED", patch[MergeMonth], N$2, patch[AuthorGroup],"FL And dev")
   /SUM(SUMIFS(patch[BJ review num], patch[status], "MERGED", patch[MergeMonth], N$2, patch[AuthorGroup],"FL And dev"), SUMIFS(patch[FI review num], patch[status], "MERGED", patch[MergeMonth], N$2, patch[AuthorGroup],"FL And dev"), SUMIFS(patch[SH review num], patch[status], "MERGED", patch[MergeMonth], N$2, patch[AuthorGroup],"FL And dev")), "no patch")</f>
        <v>8.2644628099173556E-3</v>
      </c>
      <c r="Y5" s="28" t="str">
        <f>IFERROR(SUMIFS(drvlst[BJ review num], drvlst[status], "MERGED",  drvlst[AuthorGroup],"BJ And dev")/SUM(SUMIFS(drvlst[BJ review num], drvlst[status], "MERGED",  drvlst[AuthorGroup],"BJ And dev"), SUMIFS(drvlst[FI review num], drvlst[status], "MERGED",  drvlst[AuthorGroup],"BJ And dev")), "no patch")</f>
        <v>no patch</v>
      </c>
    </row>
    <row r="6" spans="1:26" ht="30">
      <c r="A6" s="156"/>
      <c r="B6" s="54" t="s">
        <v>17</v>
      </c>
      <c r="C6" s="157"/>
      <c r="D6" s="157"/>
      <c r="E6" s="160"/>
      <c r="F6" s="57"/>
      <c r="G6" s="159"/>
      <c r="H6" s="56"/>
      <c r="I6" s="154"/>
      <c r="J6" s="106" t="e">
        <f>"BJ vs FI vs SH: "&amp;SUMIFS([3]!patch[BJ review num], [3]!patch[status], "MERGED",  [3]!patch[AuthorGroup],"FL And dev", [3]!patch[MergeDate], "&lt;2016-1-1", [3]!patch[MergeDate], "&gt;=2015-10-1")&amp;" vs "&amp; SUMIFS([3]!patch[FI review num], [3]!patch[status], "MERGED",  [3]!patch[AuthorGroup],"FL And dev", [3]!patch[MergeDate], "&lt;2016-1-1", [3]!patch[MergeDate], "&gt;=2015-10-1")&amp; " vs "&amp;SUMIFS([3]!patch[SH review num], [3]!patch[status], "MERGED",  [3]!patch[AuthorGroup],"FL And dev", [3]!patch[MergeDate], "&lt;2016-1-1", [3]!patch[MergeDate], "&gt;=2015-10-1")</f>
        <v>#REF!</v>
      </c>
      <c r="K6" s="106" t="str">
        <f>"BJ vs FI vs SH: "&amp;SUMIFS(patch[BJ review num], patch[status], "MERGED",  patch[AuthorGroup],"FL And dev", patch[mergeDate], "&lt;2016-10-1", patch[mergeDate], "&gt;=2016-7-1")&amp;" vs "&amp; SUMIFS(patch[FI review num], patch[status], "MERGED",  patch[AuthorGroup],"FL And dev", patch[mergeDate], "&lt;2016-10-1", patch[mergeDate], "&gt;=2016-7-1")&amp; " vs "&amp;SUMIFS(patch[SH review num], patch[status], "MERGED",  patch[AuthorGroup],"FL And dev", patch[mergeDate], "&lt;2016-10-1", patch[mergeDate], "&gt;=2016-7-1")</f>
        <v>BJ vs FI vs SH: 120 vs 1 vs 0</v>
      </c>
      <c r="L6" s="46" t="str">
        <f>"BJ vs FI vs SH: "&amp;SUMIFS(patch[BJ review num], patch[status], "MERGED", patch[MergeMonth], L$2, patch[AuthorGroup],"FL And dev")&amp;" vs "&amp; SUMIFS(patch[FI review num], patch[status], "MERGED", patch[MergeMonth], L$2, patch[AuthorGroup],"FL And dev")&amp;" vs "&amp; SUMIFS(patch[SH review num], patch[status], "MERGED", patch[MergeMonth], L$2, patch[AuthorGroup],"FL And dev")</f>
        <v>BJ vs FI vs SH: 0 vs 0 vs 0</v>
      </c>
      <c r="M6" s="46" t="str">
        <f>"BJ vs FI vs SH: "&amp;SUMIFS(patch[BJ review num], patch[status], "MERGED", patch[MergeMonth], M$2, patch[AuthorGroup],"FL And dev")&amp;" vs "&amp; SUMIFS(patch[FI review num], patch[status], "MERGED", patch[MergeMonth], M$2, patch[AuthorGroup],"FL And dev")&amp;" vs "&amp; SUMIFS(patch[SH review num], patch[status], "MERGED", patch[MergeMonth], M$2, patch[AuthorGroup],"FL And dev")</f>
        <v>BJ vs FI vs SH: 0 vs 0 vs 0</v>
      </c>
      <c r="N6" s="46" t="str">
        <f>"BJ vs FI vs SH: "&amp;SUMIFS(patch[BJ review num], patch[status], "MERGED", patch[MergeMonth], N$2, patch[AuthorGroup],"FL And dev")&amp;" vs "&amp; SUMIFS(patch[FI review num], patch[status], "MERGED", patch[MergeMonth], N$2, patch[AuthorGroup],"FL And dev")&amp;" vs "&amp; SUMIFS(patch[SH review num], patch[status], "MERGED", patch[MergeMonth], N$2, patch[AuthorGroup],"FL And dev")</f>
        <v>BJ vs FI vs SH: 120 vs 1 vs 0</v>
      </c>
      <c r="O6" s="63"/>
      <c r="P6" s="63">
        <f>969+1404+1603</f>
        <v>3976</v>
      </c>
      <c r="Y6" s="46" t="str">
        <f>"BJvsFL: "&amp;SUMIFS(drvlst[BJ review num], drvlst[status], "MERGED", drvlst[AuthorGroup],"BJ And dev")&amp;" vs "&amp; SUMIFS(drvlst[FI review num], drvlst[status], "MERGED", drvlst[AuthorGroup],"BJ And dev")</f>
        <v>BJvsFL: 0 vs 0</v>
      </c>
    </row>
    <row r="7" spans="1:26" ht="50.25" customHeight="1">
      <c r="A7" s="155">
        <v>3</v>
      </c>
      <c r="B7" s="84" t="s">
        <v>2342</v>
      </c>
      <c r="C7" s="157" t="s">
        <v>2323</v>
      </c>
      <c r="D7" s="157" t="s">
        <v>2326</v>
      </c>
      <c r="E7" s="160"/>
      <c r="F7" s="57"/>
      <c r="G7" s="159">
        <v>0.3</v>
      </c>
      <c r="H7" s="56"/>
      <c r="I7" s="154">
        <v>0.5</v>
      </c>
      <c r="J7" s="100" t="str">
        <f>IFERROR(
   SUMIFS([3]!patch[FI -1 num], [3]!patch[status], "MERGED",  [3]!patch[AuthorGroup],"FL And dev", [3]!patch[MergeDate], "&lt;2016-1-1", [3]!patch[MergeDate], "&gt;=2015-10-1")
  /SUM(SUMIFS([3]!patch[BJ -1 num], [3]!patch[status], "MERGED",  [3]!patch[AuthorGroup],"FL And dev", [3]!patch[MergeDate], "&lt;2016-1-1", [3]!patch[MergeDate], "&gt;=2015-10-1"), SUMIFS([3]!patch[FI -1 num], [3]!patch[status], "MERGED",  [3]!patch[AuthorGroup],"FL And dev", [3]!patch[MergeDate], "&lt;2016-1-1", [3]!patch[MergeDate], "&gt;=2015-10-1"), SUMIFS([3]!patch[SH -1 num], [3]!patch[status], "MERGED",  [3]!patch[AuthorGroup],"FL And dev", [3]!patch[MergeDate], "&lt;2016-1-1", [3]!patch[MergeDate], "&gt;=2015-10-1")),
 "no -1")</f>
        <v>no -1</v>
      </c>
      <c r="K7" s="100">
        <f>IFERROR(
   SUMIFS(patch[FI -1 num], patch[status], "MERGED",  patch[AuthorGroup],"FL And dev", patch[mergeDate], "&lt;2016-10-1", patch[mergeDate], "&gt;=2016-7-1")
  /SUM(SUMIFS(patch[BJ -1 num], patch[status], "MERGED",  patch[AuthorGroup],"FL And dev", patch[mergeDate], "&lt;2016-10-1", patch[mergeDate], "&gt;=2016-7-1"), SUMIFS(patch[FI -1 num], patch[status], "MERGED",  patch[AuthorGroup],"FL And dev", patch[mergeDate], "&lt;2016-10-1", patch[mergeDate], "&gt;=2016-7-1"), SUMIFS(patch[SH -1 num], patch[status], "MERGED",  patch[AuthorGroup],"FL And dev", patch[mergeDate], "&lt;2016-10-1", patch[mergeDate], "&gt;=2016-7-1")),
 "no -1")</f>
        <v>0</v>
      </c>
      <c r="L7" s="28" t="str">
        <f>IFERROR(
   SUMIFS(patch[FI -1 num], patch[status], "MERGED", patch[MergeMonth], L$2, patch[AuthorGroup],"FL And dev")
  /SUM(SUMIFS(patch[BJ -1 num], patch[status], "MERGED", patch[MergeMonth], L$2, patch[AuthorGroup],"FL And dev"), SUMIFS(patch[FI -1 num], patch[status], "MERGED", patch[MergeMonth], L$2, patch[AuthorGroup],"FL And dev"), SUMIFS(patch[SH -1 num], patch[status], "MERGED", patch[MergeMonth], L$2, patch[AuthorGroup],"FL And dev")),
 "no -1")</f>
        <v>no -1</v>
      </c>
      <c r="M7" s="28" t="str">
        <f>IFERROR(
   SUMIFS(patch[FI -1 num], patch[status], "MERGED", patch[MergeMonth], M$2, patch[AuthorGroup],"FL And dev")
  /SUM(SUMIFS(patch[BJ -1 num], patch[status], "MERGED", patch[MergeMonth], M$2, patch[AuthorGroup],"FL And dev"), SUMIFS(patch[FI -1 num], patch[status], "MERGED", patch[MergeMonth], M$2, patch[AuthorGroup],"FL And dev"), SUMIFS(patch[SH -1 num], patch[status], "MERGED", patch[MergeMonth], M$2, patch[AuthorGroup],"FL And dev")),
 "no -1")</f>
        <v>no -1</v>
      </c>
      <c r="N7" s="28">
        <f>IFERROR(
   SUMIFS(patch[FI -1 num], patch[status], "MERGED", patch[MergeMonth], N$2, patch[AuthorGroup],"FL And dev")
  /SUM(SUMIFS(patch[BJ -1 num], patch[status], "MERGED", patch[MergeMonth], N$2, patch[AuthorGroup],"FL And dev"), SUMIFS(patch[FI -1 num], patch[status], "MERGED", patch[MergeMonth], N$2, patch[AuthorGroup],"FL And dev"), SUMIFS(patch[SH -1 num], patch[status], "MERGED", patch[MergeMonth], N$2, patch[AuthorGroup],"FL And dev")),
 "no -1")</f>
        <v>0</v>
      </c>
      <c r="Y7" s="28" t="str">
        <f>IFERROR(SUMIFS(drvlst[BJ -1 num], drvlst[status], "MERGED",  drvlst[AuthorGroup],"BJ And dev")/SUM(SUMIFS(drvlst[BJ -1 num], drvlst[status], "MERGED",  drvlst[AuthorGroup],"BJ And dev"), SUMIFS(drvlst[FI -1 num], drvlst[status], "MERGED",  drvlst[AuthorGroup],"BJ And dev")), "no -1")</f>
        <v>no -1</v>
      </c>
    </row>
    <row r="8" spans="1:26" ht="30">
      <c r="A8" s="156"/>
      <c r="B8" s="54" t="s">
        <v>17</v>
      </c>
      <c r="C8" s="157"/>
      <c r="D8" s="157"/>
      <c r="E8" s="160"/>
      <c r="F8" s="57"/>
      <c r="G8" s="159"/>
      <c r="H8" s="56"/>
      <c r="I8" s="154"/>
      <c r="J8" s="106" t="e">
        <f>"BJ vs FI vs SH: "&amp;SUMIFS([3]!patch[BJ -1 num], [3]!patch[status], "MERGED",  [3]!patch[AuthorGroup],"FL And dev", [3]!patch[MergeDate], "&lt;2016-1-1", [3]!patch[MergeDate], "&gt;=2015-10-1")&amp;" vs "&amp; SUMIFS([3]!patch[FI -1 num], [3]!patch[status], "MERGED",  [3]!patch[AuthorGroup],"FL And dev", [3]!patch[MergeDate], "&lt;2016-1-1", [3]!patch[MergeDate], "&gt;=2015-10-1")&amp;" vs "&amp; SUMIFS([3]!patch[SH -1 num], [3]!patch[status], "MERGED",  [3]!patch[AuthorGroup],"FL And dev", [3]!patch[MergeDate], "&lt;2016-1-1", [3]!patch[MergeDate], "&gt;=2015-10-1")</f>
        <v>#REF!</v>
      </c>
      <c r="K8" s="106" t="str">
        <f>"BJ vs FI vs SH: "&amp;SUMIFS(patch[BJ -1 num], patch[status], "MERGED",  patch[AuthorGroup],"FL And dev", patch[mergeDate], "&lt;2016-10-1", patch[mergeDate], "&gt;=2016-7-1")&amp;" vs "&amp; SUMIFS(patch[FI -1 num], patch[status], "MERGED",  patch[AuthorGroup],"FL And dev", patch[mergeDate], "&lt;2016-10-1", patch[mergeDate], "&gt;=2016-7-1")&amp;" vs "&amp; SUMIFS(patch[SH -1 num], patch[status], "MERGED",  patch[AuthorGroup],"FL And dev", patch[mergeDate], "&lt;2016-10-1", patch[mergeDate], "&gt;=2016-7-1")</f>
        <v>BJ vs FI vs SH: 5 vs 0 vs 0</v>
      </c>
      <c r="L8" s="46" t="str">
        <f>"BJ vs FI vs SH: "&amp;SUMIFS(patch[BJ -1 num], patch[status], "MERGED", patch[MergeMonth], L$2, patch[AuthorGroup],"FL And dev")&amp;" vs "&amp; SUMIFS(patch[FI -1 num], patch[status], "MERGED", patch[MergeMonth], L$2, patch[AuthorGroup],"FL And dev")&amp;" vs "&amp; SUMIFS(patch[SH -1 num], patch[status], "MERGED", patch[MergeMonth], L$2, patch[AuthorGroup],"FL And dev")</f>
        <v>BJ vs FI vs SH: 0 vs 0 vs 0</v>
      </c>
      <c r="M8" s="46" t="str">
        <f>"BJ vs FI vs SH: "&amp;SUMIFS(patch[BJ -1 num], patch[status], "MERGED", patch[MergeMonth], M$2, patch[AuthorGroup],"FL And dev")&amp;" vs "&amp; SUMIFS(patch[FI -1 num], patch[status], "MERGED", patch[MergeMonth], M$2, patch[AuthorGroup],"FL And dev")&amp;" vs "&amp; SUMIFS(patch[SH -1 num], patch[status], "MERGED", patch[MergeMonth], M$2, patch[AuthorGroup],"FL And dev")</f>
        <v>BJ vs FI vs SH: 0 vs 0 vs 0</v>
      </c>
      <c r="N8" s="46" t="str">
        <f>"BJ vs FI vs SH: "&amp;SUMIFS(patch[BJ -1 num], patch[status], "MERGED", patch[MergeMonth], N$2, patch[AuthorGroup],"FL And dev")&amp;" vs "&amp; SUMIFS(patch[FI -1 num], patch[status], "MERGED", patch[MergeMonth], N$2, patch[AuthorGroup],"FL And dev")&amp;" vs "&amp; SUMIFS(patch[SH -1 num], patch[status], "MERGED", patch[MergeMonth], N$2, patch[AuthorGroup],"FL And dev")</f>
        <v>BJ vs FI vs SH: 5 vs 0 vs 0</v>
      </c>
      <c r="P8" s="63"/>
      <c r="Y8" s="46" t="str">
        <f>"BJvsFL: "&amp;SUMIFS(drvlst[BJ -1 num], drvlst[status], "MERGED", drvlst[AuthorGroup],"BJ And dev")&amp;" vs "&amp; SUMIFS(drvlst[FI -1 num], drvlst[status], "MERGED", drvlst[AuthorGroup],"BJ And dev")</f>
        <v>BJvsFL: 0 vs 0</v>
      </c>
      <c r="Z8" s="63"/>
    </row>
    <row r="9" spans="1:26" ht="43.5" customHeight="1">
      <c r="A9" s="155">
        <v>4</v>
      </c>
      <c r="B9" s="84" t="s">
        <v>2093</v>
      </c>
      <c r="C9" s="157" t="s">
        <v>2322</v>
      </c>
      <c r="D9" s="157" t="s">
        <v>2327</v>
      </c>
      <c r="E9" s="158"/>
      <c r="F9" s="55"/>
      <c r="G9" s="159">
        <v>0.2</v>
      </c>
      <c r="H9" s="56"/>
      <c r="I9" s="154">
        <v>0.3</v>
      </c>
      <c r="J9" s="141" t="str">
        <f>IFERROR(
       SUM(COUNTIFS([3]!patch[status], "MERGED",  [3]!patch[AuthorGroup],{"BJ And dev","SH And dev"}, [3]!patch[FI review num], "&gt;0", [3]!patch[MergeDate], "&lt;2016-1-1", [3]!patch[MergeDate], "&gt;=2015-10-1"))
      /SUM(COUNTIFS([3]!patch[status], "MERGED",  [3]!patch[AuthorGroup],{"BJ And dev","SH And dev"}, [3]!patch[MergeDate], "&lt;2016-1-1", [3]!patch[MergeDate], "&gt;=2015-10-1")),
"no patch")</f>
        <v>no patch</v>
      </c>
      <c r="K9" s="141">
        <f>IFERROR(
       SUM(COUNTIFS(patch[status], "MERGED",  patch[AuthorGroup],{"BJ And dev","SH And dev"}, patch[FI review num], "&gt;0", patch[mergeDate], "&lt;2016-10-1", patch[mergeDate], "&gt;=2016-7-1"))
      /SUM(COUNTIFS(patch[status], "MERGED",  patch[AuthorGroup],{"BJ And dev","SH And dev"}, patch[mergeDate], "&lt;2016-10-1", patch[mergeDate], "&gt;=2016-7-1")),
"no patch")</f>
        <v>1.3333333333333334E-2</v>
      </c>
      <c r="L9" s="28" t="str">
        <f>IFERROR(
                   SUM(COUNTIFS(patch[status], "MERGED", patch[MergeMonth], L$2, patch[AuthorGroup],{"BJ And dev","SH And dev"}, patch[FI review num], "&gt;0"))/
                    SUM(COUNTIFS(patch[status], "MERGED", patch[MergeMonth], L$2, patch[AuthorGroup],{"BJ And dev","SH And dev"})),
"no patch")</f>
        <v>no patch</v>
      </c>
      <c r="M9" s="28" t="str">
        <f>IFERROR(
                   SUM(COUNTIFS(patch[status], "MERGED", patch[MergeMonth], M$2, patch[AuthorGroup],{"BJ And dev","SH And dev"}, patch[FI review num], "&gt;0"))/
                    SUM(COUNTIFS(patch[status], "MERGED", patch[MergeMonth], M$2, patch[AuthorGroup],{"BJ And dev","SH And dev"})),
"no patch")</f>
        <v>no patch</v>
      </c>
      <c r="N9" s="28">
        <f>IFERROR(
                   SUM(COUNTIFS(patch[status], "MERGED", patch[MergeMonth], N$2, patch[AuthorGroup],{"BJ And dev","SH And dev"}, patch[FI review num], "&gt;0"))/
                    SUM(COUNTIFS(patch[status], "MERGED", patch[MergeMonth], N$2, patch[AuthorGroup],{"BJ And dev","SH And dev"})),
"no patch")</f>
        <v>1.3333333333333334E-2</v>
      </c>
      <c r="Y9" s="28" t="str">
        <f>IFERROR(COUNTIFS(drvlst[status], "MERGED",  drvlst[AuthorGroup],"FL And dev", drvlst[BJ review num], "&gt;0")/COUNTIFS(drvlst[status], "MERGED",  drvlst[AuthorGroup],"FL And dev"), "no patch")</f>
        <v>no patch</v>
      </c>
    </row>
    <row r="10" spans="1:26" ht="60">
      <c r="A10" s="156"/>
      <c r="B10" s="54" t="s">
        <v>2321</v>
      </c>
      <c r="C10" s="157"/>
      <c r="D10" s="157"/>
      <c r="E10" s="158"/>
      <c r="F10" s="55"/>
      <c r="G10" s="159"/>
      <c r="H10" s="56"/>
      <c r="I10" s="154"/>
      <c r="J10" s="106" t="e">
        <f>"FI comment: "&amp;
SUM(COUNTIFS([3]!patch[status], "MERGED",  [3]!patch[AuthorGroup],{"BJ And dev","SH And dev"}, [3]!patch[FI review num], "&gt;0", [3]!patch[MergeDate], "&lt;2016-1-1", [3]!patch[MergeDate], "&gt;=2015-10-1"))
&amp;", total: "&amp;
SUM(COUNTIFS([3]!patch[status], "MERGED",  [3]!patch[AuthorGroup],{"BJ And dev","SH And dev"}, [3]!patch[MergeDate], "&lt;2016-1-1", [3]!patch[MergeDate], "&gt;=2015-10-1"))</f>
        <v>#REF!</v>
      </c>
      <c r="K10" s="106" t="str">
        <f>"FI comment: "&amp;
SUM(COUNTIFS(patch[status], "MERGED",  patch[AuthorGroup],{"BJ And dev","SH And dev"}, patch[FI review num], "&gt;0", patch[mergeDate], "&lt;2016-10-1", patch[mergeDate], "&gt;=2016-7-1"))
&amp;", total: "&amp;
SUM(COUNTIFS(patch[status], "MERGED",  patch[AuthorGroup],{"BJ And dev","SH And dev"}, patch[mergeDate], "&lt;2016-10-1", patch[mergeDate], "&gt;=2016-7-1"))</f>
        <v>FI comment: 2, total: 150</v>
      </c>
      <c r="L10" s="46" t="str">
        <f>"FI comment: "&amp;
SUM(COUNTIFS(patch[status], "MERGED", patch[MergeMonth], L$2, patch[AuthorGroup],{"BJ And dev","SH And dev"}, patch[FI review num], "&gt;0"))
&amp;", total: "&amp;
SUM(COUNTIFS(patch[status], "MERGED", patch[MergeMonth], L$2, patch[AuthorGroup],{"BJ And dev","SH And dev"}))</f>
        <v>FI comment: 0, total: 0</v>
      </c>
      <c r="M10" s="46" t="str">
        <f>"FI comment: "&amp;
SUM(COUNTIFS(patch[status], "MERGED", patch[MergeMonth], M$2, patch[AuthorGroup],{"BJ And dev","SH And dev"}, patch[FI review num], "&gt;0"))
&amp;", total: "&amp;
SUM(COUNTIFS(patch[status], "MERGED", patch[MergeMonth], M$2, patch[AuthorGroup],{"BJ And dev","SH And dev"}))</f>
        <v>FI comment: 0, total: 0</v>
      </c>
      <c r="N10" s="46" t="str">
        <f>"FI comment: "&amp;
SUM(COUNTIFS(patch[status], "MERGED", patch[MergeMonth], N$2, patch[AuthorGroup],{"BJ And dev","SH And dev"}, patch[FI review num], "&gt;0"))
&amp;", total: "&amp;
SUM(COUNTIFS(patch[status], "MERGED", patch[MergeMonth], N$2, patch[AuthorGroup],{"BJ And dev","SH And dev"}))</f>
        <v>FI comment: 2, total: 150</v>
      </c>
      <c r="P10" s="63">
        <f>19+32+19+31+25+1+39+27+18+25+28+8</f>
        <v>272</v>
      </c>
      <c r="Y10" s="46" t="str">
        <f>"BJ comment: "&amp;COUNTIFS(drvlst[status], "MERGED",  drvlst[AuthorGroup],"FL And dev", drvlst[BJ review num], "&gt;0")&amp;", total: "&amp;COUNTIFS(drvlst[status], "MERGED",  drvlst[AuthorGroup],"FL And dev")</f>
        <v>BJ comment: 0, total: 0</v>
      </c>
    </row>
    <row r="11" spans="1:26">
      <c r="Y11" s="26"/>
    </row>
    <row r="12" spans="1:26" ht="15.75">
      <c r="B12" s="53" t="s">
        <v>2042</v>
      </c>
      <c r="Y12" s="26"/>
    </row>
    <row r="13" spans="1:26" ht="15.75">
      <c r="B13" s="53"/>
      <c r="Y13" s="26"/>
    </row>
    <row r="14" spans="1:26" ht="15.75" hidden="1">
      <c r="B14" s="59" t="s">
        <v>2044</v>
      </c>
      <c r="C14" s="60"/>
      <c r="D14" s="60"/>
      <c r="E14" s="60"/>
      <c r="F14" s="60"/>
      <c r="G14" s="60"/>
      <c r="H14" s="60"/>
      <c r="I14" s="60"/>
      <c r="J14" s="60"/>
      <c r="K14" s="101"/>
      <c r="L14" s="61"/>
      <c r="M14" s="61"/>
      <c r="N14" s="61"/>
      <c r="Y14" s="26"/>
    </row>
    <row r="15" spans="1:26" ht="45" hidden="1">
      <c r="A15" s="41" t="s">
        <v>2029</v>
      </c>
      <c r="B15" s="1" t="s">
        <v>2101</v>
      </c>
      <c r="C15" s="1" t="s">
        <v>2</v>
      </c>
      <c r="D15" s="1" t="s">
        <v>3</v>
      </c>
      <c r="E15" s="2" t="s">
        <v>2019</v>
      </c>
      <c r="F15" s="2"/>
      <c r="G15" s="3" t="s">
        <v>4</v>
      </c>
      <c r="H15" s="3"/>
      <c r="I15" s="4" t="s">
        <v>5</v>
      </c>
      <c r="J15" s="5"/>
      <c r="K15" s="98" t="s">
        <v>2041</v>
      </c>
      <c r="L15" s="27" t="s">
        <v>2055</v>
      </c>
      <c r="M15" s="27" t="s">
        <v>2056</v>
      </c>
      <c r="N15" s="27" t="s">
        <v>2057</v>
      </c>
      <c r="Y15" s="44" t="s">
        <v>2028</v>
      </c>
    </row>
    <row r="16" spans="1:26" ht="15.75" hidden="1">
      <c r="A16" s="155">
        <v>1</v>
      </c>
      <c r="B16" s="54" t="str">
        <f>B3</f>
        <v>Review-1 # per patch</v>
      </c>
      <c r="C16" s="162" t="s">
        <v>8</v>
      </c>
      <c r="D16" s="162" t="s">
        <v>9</v>
      </c>
      <c r="E16" s="158">
        <v>1.7</v>
      </c>
      <c r="F16" s="55"/>
      <c r="G16" s="163">
        <v>1</v>
      </c>
      <c r="H16" s="58"/>
      <c r="I16" s="161">
        <v>0.6</v>
      </c>
      <c r="J16" s="5"/>
      <c r="K16" s="99" t="str">
        <f>IFERROR(SUMIFS(patch[BJFISH -1 num], patch[status], "MERGED",  patch[AuthorGroup],"FL And dev", patch[mergeDate], "&lt;2016-4-1", patch[mergeDate], "&gt;=2016-1-1", patch[ifCommon], "common")/COUNTIFS(patch[status], "MERGED",  patch[AuthorGroup],"FL And dev", patch[mergeDate], "&lt;2016-4-1", patch[mergeDate], "&gt;=2016-1-1", patch[ifCommon], "common"), "no patch")</f>
        <v>no patch</v>
      </c>
      <c r="L16" s="29" t="str">
        <f>IFERROR(SUMIFS(patch[BJFISH -1 num], patch[status], "MERGED", patch[MergeMonth], L$2, patch[AuthorGroup],"FL And dev", patch[ifCommon], "common")/COUNTIFS(patch[status], "MERGED", patch[MergeMonth], L$2, patch[AuthorGroup],"FL And dev", patch[ifCommon], "common"), "no patch")</f>
        <v>no patch</v>
      </c>
      <c r="M16" s="29" t="str">
        <f>IFERROR(SUMIFS(patch[BJFISH -1 num], patch[status], "MERGED", patch[MergeMonth], M$2, patch[AuthorGroup],"FL And dev", patch[ifCommon], "common")/COUNTIFS(patch[status], "MERGED", patch[MergeMonth], M$2, patch[AuthorGroup],"FL And dev", patch[ifCommon], "common"), "no patch")</f>
        <v>no patch</v>
      </c>
      <c r="N16" s="29" t="str">
        <f>IFERROR(SUMIFS(patch[BJFISH -1 num], patch[status], "MERGED", patch[MergeMonth], N$2, patch[AuthorGroup],"FL And dev", patch[ifCommon], "common")/COUNTIFS(patch[status], "MERGED", patch[MergeMonth], N$2, patch[AuthorGroup],"FL And dev", patch[ifCommon], "common"), "no patch")</f>
        <v>no patch</v>
      </c>
      <c r="Y16" s="29" t="e">
        <f>SUMIFS(drvlst[BJFI -1 num], drvlst[status], "MERGED", drvlst[AuthorGroup],"BJ And dev")/COUNTIFS(drvlst[status], "MERGED", drvlst[AuthorGroup],"BJ And dev")</f>
        <v>#DIV/0!</v>
      </c>
    </row>
    <row r="17" spans="1:25" ht="30" hidden="1">
      <c r="A17" s="156"/>
      <c r="B17" s="84" t="str">
        <f t="shared" ref="B17:B23" si="0">B4</f>
        <v>(FI Patch)</v>
      </c>
      <c r="C17" s="162"/>
      <c r="D17" s="162"/>
      <c r="E17" s="158"/>
      <c r="F17" s="55"/>
      <c r="G17" s="163"/>
      <c r="H17" s="58"/>
      <c r="I17" s="161"/>
      <c r="J17" s="5"/>
      <c r="K17" s="106" t="str">
        <f>"#"&amp;SUMIFS(patch[BJFISH -1 num], patch[status], "MERGED", patch[AuthorGroup],"FL And dev", patch[mergeDate], "&lt;2016-4-1", patch[mergeDate], "&gt;=2016-1-1", patch[ifCommon], "common")&amp;" -1, "&amp;COUNTIFS(patch[status], "MERGED", patch[AuthorGroup],"FL And dev", patch[mergeDate], "&lt;2016-4-1", patch[mergeDate], "&gt;=2016-1-1", patch[ifCommon], "common")&amp;"patches"</f>
        <v>#0 -1, 0patches</v>
      </c>
      <c r="L17" s="46" t="str">
        <f>"#"&amp;SUMIFS(patch[BJFISH -1 num], patch[status], "MERGED", patch[MergeMonth], L$2, patch[AuthorGroup],"FL And dev", patch[ifCommon], "common")&amp;" -1, "&amp;COUNTIFS(patch[status], "MERGED", patch[MergeMonth],  L$2, patch[AuthorGroup],"FL And dev", patch[ifCommon], "common")&amp;"patches"</f>
        <v>#0 -1, 0patches</v>
      </c>
      <c r="M17" s="46" t="str">
        <f>"#"&amp;SUMIFS(patch[BJFISH -1 num], patch[status], "MERGED", patch[MergeMonth], M$2, patch[AuthorGroup],"FL And dev", patch[ifCommon], "common")&amp;" -1, "&amp;COUNTIFS(patch[status], "MERGED", patch[MergeMonth],  M$2, patch[AuthorGroup],"FL And dev", patch[ifCommon], "common")&amp;"patches"</f>
        <v>#0 -1, 0patches</v>
      </c>
      <c r="N17" s="46" t="str">
        <f>"#"&amp;SUMIFS(patch[BJFISH -1 num], patch[status], "MERGED", patch[MergeMonth], N$2, patch[AuthorGroup],"FL And dev", patch[ifCommon], "common")&amp;" -1, "&amp;COUNTIFS(patch[status], "MERGED", patch[MergeMonth],  N$2, patch[AuthorGroup],"FL And dev", patch[ifCommon], "common")&amp;"patches"</f>
        <v>#0 -1, 0patches</v>
      </c>
      <c r="Y17" s="46" t="str">
        <f>"#"&amp;SUMIFS(drvlst[BJFI -1 num], drvlst[status], "MERGED",  drvlst[AuthorGroup],"BJ And dev")&amp;" -1, "&amp;COUNTIFS(drvlst[status], "MERGED", drvlst[AuthorGroup],"BJ And dev")&amp;"patches"</f>
        <v>#0 -1, 0patches</v>
      </c>
    </row>
    <row r="18" spans="1:25" ht="43.5" hidden="1" customHeight="1">
      <c r="A18" s="155">
        <v>2</v>
      </c>
      <c r="B18" s="84" t="str">
        <f t="shared" si="0"/>
        <v>Review # from local (%)</v>
      </c>
      <c r="C18" s="157" t="s">
        <v>11</v>
      </c>
      <c r="D18" s="157" t="s">
        <v>12</v>
      </c>
      <c r="E18" s="160">
        <v>0.37</v>
      </c>
      <c r="F18" s="57"/>
      <c r="G18" s="159">
        <v>0.5</v>
      </c>
      <c r="H18" s="56"/>
      <c r="I18" s="154">
        <v>0.6</v>
      </c>
      <c r="J18" s="5"/>
      <c r="K18" s="100" t="str">
        <f>IFERROR(SUMIFS(patch[FI review num], patch[status], "MERGED",  patch[AuthorGroup],"FL And dev", patch[mergeDate], "&lt;2016-4-1", patch[mergeDate], "&gt;=2016-1-1", patch[ifCommon], "common")/SUM(SUMIFS(patch[BJ review num], patch[status], "MERGED",  patch[AuthorGroup],"FL And dev", patch[mergeDate], "&lt;2016-4-1", patch[mergeDate], "&gt;=2016-1-1", patch[ifCommon], "common"), SUMIFS(patch[FI review num], patch[status], "MERGED",  patch[AuthorGroup],"FL And dev", patch[mergeDate], "&lt;2016-4-1", patch[mergeDate], "&gt;=2016-1-1", patch[ifCommon], "common")), "no patch")</f>
        <v>no patch</v>
      </c>
      <c r="L18" s="28" t="str">
        <f>IFERROR(SUMIFS(patch[FI review num], patch[status], "MERGED", patch[MergeMonth], L$2, patch[AuthorGroup],"FL And dev", patch[ifCommon], "common")/SUM(SUMIFS(patch[BJ review num], patch[status], "MERGED", patch[MergeMonth], L$2, patch[AuthorGroup],"FL And dev", patch[ifCommon], "common"), SUMIFS(patch[FI review num], patch[status], "MERGED", patch[MergeMonth], L$2, patch[AuthorGroup],"FL And dev", patch[ifCommon], "common")), "no patch")</f>
        <v>no patch</v>
      </c>
      <c r="M18" s="28" t="str">
        <f>IFERROR(SUMIFS(patch[FI review num], patch[status], "MERGED", patch[MergeMonth], M$2, patch[AuthorGroup],"FL And dev", patch[ifCommon], "common")/SUM(SUMIFS(patch[BJ review num], patch[status], "MERGED", patch[MergeMonth], M$2, patch[AuthorGroup],"FL And dev", patch[ifCommon], "common"), SUMIFS(patch[FI review num], patch[status], "MERGED", patch[MergeMonth], M$2, patch[AuthorGroup],"FL And dev", patch[ifCommon], "common")), "no patch")</f>
        <v>no patch</v>
      </c>
      <c r="N18" s="28" t="str">
        <f>IFERROR(SUMIFS(patch[FI review num], patch[status], "MERGED", patch[MergeMonth], N$2, patch[AuthorGroup],"FL And dev", patch[ifCommon], "common")/SUM(SUMIFS(patch[BJ review num], patch[status], "MERGED", patch[MergeMonth], N$2, patch[AuthorGroup],"FL And dev", patch[ifCommon], "common"), SUMIFS(patch[FI review num], patch[status], "MERGED", patch[MergeMonth], N$2, patch[AuthorGroup],"FL And dev", patch[ifCommon], "common")), "no patch")</f>
        <v>no patch</v>
      </c>
      <c r="Y18" s="28" t="str">
        <f>IFERROR(SUMIFS(drvlst[BJ review num], drvlst[status], "MERGED",  drvlst[AuthorGroup],"BJ And dev")/SUM(SUMIFS(drvlst[BJ review num], drvlst[status], "MERGED",  drvlst[AuthorGroup],"BJ And dev"), SUMIFS(drvlst[FI review num], drvlst[status], "MERGED",  drvlst[AuthorGroup],"BJ And dev")), "no patch")</f>
        <v>no patch</v>
      </c>
    </row>
    <row r="19" spans="1:25" ht="30" hidden="1">
      <c r="A19" s="156"/>
      <c r="B19" s="84" t="str">
        <f t="shared" si="0"/>
        <v>(FI Patch)</v>
      </c>
      <c r="C19" s="157"/>
      <c r="D19" s="157"/>
      <c r="E19" s="160"/>
      <c r="F19" s="57"/>
      <c r="G19" s="159"/>
      <c r="H19" s="56"/>
      <c r="I19" s="154"/>
      <c r="J19" s="5"/>
      <c r="K19" s="106" t="str">
        <f>"BJ vs FI: "&amp;SUMIFS(patch[BJ review num], patch[status], "MERGED",  patch[AuthorGroup],"FL And dev", patch[mergeDate], "&lt;2016-4-1", patch[mergeDate], "&gt;=2016-1-1", patch[ifCommon], "common")&amp;" vs "&amp; SUMIFS(patch[FI review num], patch[status], "MERGED",  patch[AuthorGroup],"FL And dev", patch[mergeDate], "&lt;2016-4-1", patch[mergeDate], "&gt;=2016-1-1", patch[ifCommon], "common")</f>
        <v>BJ vs FI: 0 vs 0</v>
      </c>
      <c r="L19" s="46" t="str">
        <f>"BJ vs FI: "&amp;SUMIFS(patch[BJ review num], patch[status], "MERGED", patch[MergeMonth], L$2, patch[AuthorGroup],"FL And dev", patch[ifCommon], "common")&amp;" vs "&amp; SUMIFS(patch[FI review num], patch[status], "MERGED", patch[MergeMonth], L$2, patch[AuthorGroup],"FL And dev", patch[ifCommon], "common")</f>
        <v>BJ vs FI: 0 vs 0</v>
      </c>
      <c r="M19" s="46" t="str">
        <f>"BJ vs FI: "&amp;SUMIFS(patch[BJ review num], patch[status], "MERGED", patch[MergeMonth], M$2, patch[AuthorGroup],"FL And dev", patch[ifCommon], "common")&amp;" vs "&amp; SUMIFS(patch[FI review num], patch[status], "MERGED", patch[MergeMonth], M$2, patch[AuthorGroup],"FL And dev", patch[ifCommon], "common")</f>
        <v>BJ vs FI: 0 vs 0</v>
      </c>
      <c r="N19" s="46" t="str">
        <f>"BJ vs FI: "&amp;SUMIFS(patch[BJ review num], patch[status], "MERGED", patch[MergeMonth], N$2, patch[AuthorGroup],"FL And dev", patch[ifCommon], "common")&amp;" vs "&amp; SUMIFS(patch[FI review num], patch[status], "MERGED", patch[MergeMonth], N$2, patch[AuthorGroup],"FL And dev", patch[ifCommon], "common")</f>
        <v>BJ vs FI: 0 vs 0</v>
      </c>
      <c r="Y19" s="46" t="str">
        <f>"BJvsFL: "&amp;SUMIFS(drvlst[BJ review num], drvlst[status], "MERGED", drvlst[AuthorGroup],"BJ And dev")&amp;" vs "&amp; SUMIFS(drvlst[FI review num], drvlst[status], "MERGED", drvlst[AuthorGroup],"BJ And dev")</f>
        <v>BJvsFL: 0 vs 0</v>
      </c>
    </row>
    <row r="20" spans="1:25" ht="50.25" hidden="1" customHeight="1">
      <c r="A20" s="155">
        <v>3</v>
      </c>
      <c r="B20" s="84" t="str">
        <f t="shared" si="0"/>
        <v>Review-1 # given locally (%)</v>
      </c>
      <c r="C20" s="157" t="s">
        <v>14</v>
      </c>
      <c r="D20" s="157" t="s">
        <v>15</v>
      </c>
      <c r="E20" s="160">
        <v>0.03</v>
      </c>
      <c r="F20" s="57"/>
      <c r="G20" s="159">
        <v>0.3</v>
      </c>
      <c r="H20" s="56"/>
      <c r="I20" s="154">
        <v>0.5</v>
      </c>
      <c r="J20" s="5"/>
      <c r="K20" s="100" t="str">
        <f>IFERROR(SUMIFS(patch[FI -1 num], patch[status], "MERGED",  patch[AuthorGroup],"FL And dev", patch[mergeDate], "&lt;2016-4-1", patch[mergeDate], "&gt;=2016-1-1", patch[ifCommon], "common")/SUM(SUMIFS(patch[BJ -1 num], patch[status], "MERGED",  patch[AuthorGroup],"FL And dev", patch[mergeDate], "&lt;2016-4-1", patch[mergeDate], "&gt;=2016-1-1", patch[ifCommon], "common"), SUMIFS(patch[FI -1 num], patch[status], "MERGED",  patch[AuthorGroup],"FL And dev", patch[mergeDate], "&lt;2016-4-1", patch[mergeDate], "&gt;=2016-1-1", patch[ifCommon], "common")), "no -1")</f>
        <v>no -1</v>
      </c>
      <c r="L20" s="28" t="str">
        <f>IFERROR(SUMIFS(patch[FI -1 num], patch[status], "MERGED", patch[MergeMonth], L$2, patch[AuthorGroup],"FL And dev", patch[ifCommon], "common")/SUM(SUMIFS(patch[BJ -1 num], patch[status], "MERGED", patch[MergeMonth], L$2, patch[AuthorGroup],"FL And dev", patch[ifCommon], "common"), SUMIFS(patch[FI -1 num], patch[status], "MERGED", patch[MergeMonth], L$2, patch[AuthorGroup],"FL And dev", patch[ifCommon], "common")), "no -1")</f>
        <v>no -1</v>
      </c>
      <c r="M20" s="28" t="str">
        <f>IFERROR(SUMIFS(patch[FI -1 num], patch[status], "MERGED", patch[MergeMonth], M$2, patch[AuthorGroup],"FL And dev", patch[ifCommon], "common")/SUM(SUMIFS(patch[BJ -1 num], patch[status], "MERGED", patch[MergeMonth], M$2, patch[AuthorGroup],"FL And dev", patch[ifCommon], "common"), SUMIFS(patch[FI -1 num], patch[status], "MERGED", patch[MergeMonth], M$2, patch[AuthorGroup],"FL And dev", patch[ifCommon], "common")), "no -1")</f>
        <v>no -1</v>
      </c>
      <c r="N20" s="28" t="str">
        <f>IFERROR(SUMIFS(patch[FI -1 num], patch[status], "MERGED", patch[MergeMonth], N$2, patch[AuthorGroup],"FL And dev", patch[ifCommon], "common")/SUM(SUMIFS(patch[BJ -1 num], patch[status], "MERGED", patch[MergeMonth], N$2, patch[AuthorGroup],"FL And dev", patch[ifCommon], "common"), SUMIFS(patch[FI -1 num], patch[status], "MERGED", patch[MergeMonth], N$2, patch[AuthorGroup],"FL And dev", patch[ifCommon], "common")), "no -1")</f>
        <v>no -1</v>
      </c>
      <c r="Y20" s="28" t="str">
        <f>IFERROR(SUMIFS(drvlst[BJ -1 num], drvlst[status], "MERGED",  drvlst[AuthorGroup],"BJ And dev")/SUM(SUMIFS(drvlst[BJ -1 num], drvlst[status], "MERGED",  drvlst[AuthorGroup],"BJ And dev"), SUMIFS(drvlst[FI -1 num], drvlst[status], "MERGED",  drvlst[AuthorGroup],"BJ And dev")), "no -1")</f>
        <v>no -1</v>
      </c>
    </row>
    <row r="21" spans="1:25" ht="30" hidden="1">
      <c r="A21" s="156"/>
      <c r="B21" s="84" t="str">
        <f t="shared" si="0"/>
        <v>(FI Patch)</v>
      </c>
      <c r="C21" s="157"/>
      <c r="D21" s="157"/>
      <c r="E21" s="160"/>
      <c r="F21" s="57"/>
      <c r="G21" s="159"/>
      <c r="H21" s="56"/>
      <c r="I21" s="154"/>
      <c r="J21" s="5"/>
      <c r="K21" s="106" t="str">
        <f>"BJ vs FI: "&amp;SUMIFS(patch[BJ -1 num], patch[status], "MERGED",  patch[AuthorGroup],"FL And dev", patch[mergeDate], "&lt;2016-4-1", patch[mergeDate], "&gt;=2016-1-1", patch[ifCommon], "common")&amp;" vs "&amp; SUMIFS(patch[FI -1 num], patch[status], "MERGED",  patch[AuthorGroup],"FL And dev", patch[mergeDate], "&lt;2016-4-1", patch[mergeDate], "&gt;=2016-1-1", patch[ifCommon], "common")</f>
        <v>BJ vs FI: 0 vs 0</v>
      </c>
      <c r="L21" s="46" t="str">
        <f>"BJ vs FI: "&amp;SUMIFS(patch[BJ -1 num], patch[status], "MERGED", patch[MergeMonth], L$2, patch[AuthorGroup],"FL And dev", patch[ifCommon], "common")&amp;" vs "&amp; SUMIFS(patch[FI -1 num], patch[status], "MERGED", patch[MergeMonth], L$2, patch[AuthorGroup],"FL And dev", patch[ifCommon], "common")</f>
        <v>BJ vs FI: 0 vs 0</v>
      </c>
      <c r="M21" s="46" t="str">
        <f>"BJ vs FI: "&amp;SUMIFS(patch[BJ -1 num], patch[status], "MERGED", patch[MergeMonth], M$2, patch[AuthorGroup],"FL And dev", patch[ifCommon], "common")&amp;" vs "&amp; SUMIFS(patch[FI -1 num], patch[status], "MERGED", patch[MergeMonth], M$2, patch[AuthorGroup],"FL And dev", patch[ifCommon], "common")</f>
        <v>BJ vs FI: 0 vs 0</v>
      </c>
      <c r="N21" s="46" t="str">
        <f>"BJ vs FI: "&amp;SUMIFS(patch[BJ -1 num], patch[status], "MERGED", patch[MergeMonth], N$2, patch[AuthorGroup],"FL And dev", patch[ifCommon], "common")&amp;" vs "&amp; SUMIFS(patch[FI -1 num], patch[status], "MERGED", patch[MergeMonth], N$2, patch[AuthorGroup],"FL And dev", patch[ifCommon], "common")</f>
        <v>BJ vs FI: 0 vs 0</v>
      </c>
      <c r="Y21" s="46" t="str">
        <f>"BJvsFL: "&amp;SUMIFS(drvlst[BJ -1 num], drvlst[status], "MERGED", drvlst[AuthorGroup],"BJ And dev")&amp;" vs "&amp; SUMIFS(drvlst[FI -1 num], drvlst[status], "MERGED", drvlst[AuthorGroup],"BJ And dev")</f>
        <v>BJvsFL: 0 vs 0</v>
      </c>
    </row>
    <row r="22" spans="1:25" ht="43.5" hidden="1" customHeight="1">
      <c r="A22" s="155">
        <v>4</v>
      </c>
      <c r="B22" s="84" t="str">
        <f t="shared" si="0"/>
        <v>Cross site review(%)</v>
      </c>
      <c r="C22" s="157" t="s">
        <v>18</v>
      </c>
      <c r="D22" s="157" t="s">
        <v>19</v>
      </c>
      <c r="E22" s="158">
        <v>0</v>
      </c>
      <c r="F22" s="55"/>
      <c r="G22" s="159">
        <v>0.2</v>
      </c>
      <c r="H22" s="56"/>
      <c r="I22" s="154">
        <v>0.3</v>
      </c>
      <c r="J22" s="5"/>
      <c r="K22" s="100" t="str">
        <f>IFERROR(COUNTIFS(patch[status], "MERGED",  patch[AuthorGroup],"BJ And dev", patch[FI review num], "&gt;0", patch[mergeDate], "&lt;2016-4-1", patch[mergeDate], "&gt;=2016-1-1", patch[ifCommon], "common")/COUNTIFS(patch[status], "MERGED",  patch[AuthorGroup],"BJ And dev", patch[mergeDate], "&lt;2016-4-1", patch[mergeDate], "&gt;=2016-1-1", patch[ifCommon], "common"), "no patch")</f>
        <v>no patch</v>
      </c>
      <c r="L22" s="28" t="str">
        <f>IFERROR(COUNTIFS(patch[status], "MERGED", patch[MergeMonth], L$2, patch[AuthorGroup],"BJ And dev", patch[FI review num], "&gt;0", patch[ifCommon], "common")/COUNTIFS(patch[status], "MERGED", patch[MergeMonth], L$2, patch[AuthorGroup],"BJ And dev", patch[ifCommon], "common"), "no patch")</f>
        <v>no patch</v>
      </c>
      <c r="M22" s="28" t="str">
        <f>IFERROR(COUNTIFS(patch[status], "MERGED", patch[MergeMonth], M$2, patch[AuthorGroup],"BJ And dev", patch[FI review num], "&gt;0", patch[ifCommon], "common")/COUNTIFS(patch[status], "MERGED", patch[MergeMonth], M$2, patch[AuthorGroup],"BJ And dev", patch[ifCommon], "common"), "no patch")</f>
        <v>no patch</v>
      </c>
      <c r="N22" s="28" t="str">
        <f>IFERROR(COUNTIFS(patch[status], "MERGED", patch[MergeMonth], N$2, patch[AuthorGroup],"BJ And dev", patch[FI review num], "&gt;0", patch[ifCommon], "common")/COUNTIFS(patch[status], "MERGED", patch[MergeMonth], N$2, patch[AuthorGroup],"BJ And dev", patch[ifCommon], "common"), "no patch")</f>
        <v>no patch</v>
      </c>
      <c r="Y22" s="28" t="str">
        <f>IFERROR(COUNTIFS(drvlst[status], "MERGED",  drvlst[AuthorGroup],"FL And dev", drvlst[BJ review num], "&gt;0")/COUNTIFS(drvlst[status], "MERGED",  drvlst[AuthorGroup],"FL And dev"), "no patch")</f>
        <v>no patch</v>
      </c>
    </row>
    <row r="23" spans="1:25" ht="60" hidden="1">
      <c r="A23" s="156"/>
      <c r="B23" s="84" t="str">
        <f t="shared" si="0"/>
        <v>(BJ/SH Patch)</v>
      </c>
      <c r="C23" s="157"/>
      <c r="D23" s="157"/>
      <c r="E23" s="158"/>
      <c r="F23" s="55"/>
      <c r="G23" s="159"/>
      <c r="H23" s="56"/>
      <c r="I23" s="154"/>
      <c r="J23" s="5"/>
      <c r="K23" s="106" t="str">
        <f>"FI comment: "&amp;COUNTIFS(patch[status], "MERGED",  patch[AuthorGroup],"BJ And dev", patch[FI review num], "&gt;0", patch[mergeDate], "&lt;2016-4-1", patch[mergeDate], "&gt;=2016-1-1", patch[ifCommon], "common")&amp;", total: "&amp;COUNTIFS(patch[status], "MERGED",  patch[AuthorGroup],"BJ And dev", patch[mergeDate], "&lt;2016-4-1", patch[mergeDate], "&gt;=2016-1-1", patch[ifCommon], "common")</f>
        <v>FI comment: 0, total: 0</v>
      </c>
      <c r="L23" s="46" t="str">
        <f>"FI comment: "&amp;COUNTIFS(patch[status], "MERGED", patch[MergeMonth], L$2, patch[AuthorGroup],"BJ And dev", patch[FI review num], "&gt;0", patch[ifCommon], "common")&amp;", total: "&amp;COUNTIFS(patch[status], "MERGED", patch[MergeMonth], L$2, patch[AuthorGroup],"BJ And dev", patch[ifCommon], "common")</f>
        <v>FI comment: 0, total: 0</v>
      </c>
      <c r="M23" s="46" t="str">
        <f>"FI comment: "&amp;COUNTIFS(patch[status], "MERGED", patch[MergeMonth], M$2, patch[AuthorGroup],"BJ And dev", patch[FI review num], "&gt;0", patch[ifCommon], "common")&amp;", total: "&amp;COUNTIFS(patch[status], "MERGED", patch[MergeMonth], M$2, patch[AuthorGroup],"BJ And dev", patch[ifCommon], "common")</f>
        <v>FI comment: 0, total: 0</v>
      </c>
      <c r="N23" s="46" t="str">
        <f>"FI comment: "&amp;COUNTIFS(patch[status], "MERGED", patch[MergeMonth], N$2, patch[AuthorGroup],"BJ And dev", patch[FI review num], "&gt;0", patch[ifCommon], "common")&amp;", total: "&amp;COUNTIFS(patch[status], "MERGED", patch[MergeMonth], N$2, patch[AuthorGroup],"BJ And dev", patch[ifCommon], "common")</f>
        <v>FI comment: 0, total: 0</v>
      </c>
      <c r="Y23" s="46" t="str">
        <f>"BJ comment: "&amp;COUNTIFS(drvlst[status], "MERGED",  drvlst[AuthorGroup],"FL And dev", drvlst[BJ review num], "&gt;0")&amp;", total: "&amp;COUNTIFS(drvlst[status], "MERGED",  drvlst[AuthorGroup],"FL And dev")</f>
        <v>BJ comment: 0, total: 0</v>
      </c>
    </row>
    <row r="24" spans="1:25" hidden="1">
      <c r="Y24" s="26"/>
    </row>
    <row r="25" spans="1:25">
      <c r="Y25" s="26"/>
    </row>
    <row r="30" spans="1:25">
      <c r="B30" t="s">
        <v>2021</v>
      </c>
    </row>
    <row r="31" spans="1:25">
      <c r="B31" t="s">
        <v>2022</v>
      </c>
    </row>
  </sheetData>
  <mergeCells count="49">
    <mergeCell ref="I22:I23"/>
    <mergeCell ref="A20:A21"/>
    <mergeCell ref="C20:C21"/>
    <mergeCell ref="D20:D21"/>
    <mergeCell ref="E20:E21"/>
    <mergeCell ref="G20:G21"/>
    <mergeCell ref="I20:I21"/>
    <mergeCell ref="A22:A23"/>
    <mergeCell ref="C22:C23"/>
    <mergeCell ref="D22:D23"/>
    <mergeCell ref="E22:E23"/>
    <mergeCell ref="G22:G23"/>
    <mergeCell ref="I18:I19"/>
    <mergeCell ref="A16:A17"/>
    <mergeCell ref="C16:C17"/>
    <mergeCell ref="D16:D17"/>
    <mergeCell ref="E16:E17"/>
    <mergeCell ref="G16:G17"/>
    <mergeCell ref="I16:I17"/>
    <mergeCell ref="A18:A19"/>
    <mergeCell ref="C18:C19"/>
    <mergeCell ref="D18:D19"/>
    <mergeCell ref="E18:E19"/>
    <mergeCell ref="G18:G19"/>
    <mergeCell ref="I9:I10"/>
    <mergeCell ref="A7:A8"/>
    <mergeCell ref="C7:C8"/>
    <mergeCell ref="D7:D8"/>
    <mergeCell ref="E7:E8"/>
    <mergeCell ref="G7:G8"/>
    <mergeCell ref="I7:I8"/>
    <mergeCell ref="A9:A10"/>
    <mergeCell ref="C9:C10"/>
    <mergeCell ref="D9:D10"/>
    <mergeCell ref="E9:E10"/>
    <mergeCell ref="G9:G10"/>
    <mergeCell ref="I5:I6"/>
    <mergeCell ref="B1:J1"/>
    <mergeCell ref="A3:A4"/>
    <mergeCell ref="C3:C4"/>
    <mergeCell ref="D3:D4"/>
    <mergeCell ref="E3:E4"/>
    <mergeCell ref="G3:G4"/>
    <mergeCell ref="I3:I4"/>
    <mergeCell ref="A5:A6"/>
    <mergeCell ref="C5:C6"/>
    <mergeCell ref="D5:D6"/>
    <mergeCell ref="E5:E6"/>
    <mergeCell ref="G5:G6"/>
  </mergeCells>
  <phoneticPr fontId="5"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Z3392"/>
  <sheetViews>
    <sheetView workbookViewId="0">
      <selection activeCell="I30" sqref="I30"/>
    </sheetView>
  </sheetViews>
  <sheetFormatPr defaultRowHeight="15"/>
  <cols>
    <col min="2" max="2" width="24.5703125" customWidth="1"/>
    <col min="3" max="4" width="10.28515625" customWidth="1"/>
    <col min="5" max="6" width="6.85546875" customWidth="1"/>
    <col min="7" max="8" width="7" customWidth="1"/>
    <col min="10" max="10" width="32.28515625" customWidth="1"/>
    <col min="11" max="11" width="15.5703125" style="26" customWidth="1"/>
    <col min="12" max="12" width="17.42578125" style="26" bestFit="1" customWidth="1"/>
    <col min="13" max="13" width="11.42578125" style="26" bestFit="1" customWidth="1"/>
    <col min="14" max="14" width="15.28515625" style="26" bestFit="1" customWidth="1"/>
    <col min="15" max="15" width="4.5703125" customWidth="1"/>
    <col min="16" max="16" width="11.85546875" customWidth="1"/>
    <col min="17" max="18" width="12.28515625" customWidth="1"/>
    <col min="19" max="19" width="4.5703125" customWidth="1"/>
    <col min="20" max="20" width="30.42578125" customWidth="1"/>
    <col min="21" max="21" width="17.42578125" style="26" customWidth="1"/>
    <col min="22" max="22" width="11.42578125" style="26" customWidth="1"/>
    <col min="23" max="23" width="15.28515625" style="26" customWidth="1"/>
    <col min="24" max="24" width="4.5703125" style="26" customWidth="1"/>
    <col min="25" max="25" width="11.85546875" customWidth="1"/>
    <col min="26" max="26" width="12.28515625" customWidth="1"/>
    <col min="27" max="27" width="12.28515625" bestFit="1" customWidth="1"/>
  </cols>
  <sheetData>
    <row r="1" spans="1:26">
      <c r="J1" s="31" t="s">
        <v>2013</v>
      </c>
      <c r="K1" t="s">
        <v>2333</v>
      </c>
      <c r="T1" s="31" t="s">
        <v>2013</v>
      </c>
      <c r="U1" t="s">
        <v>2333</v>
      </c>
    </row>
    <row r="2" spans="1:26">
      <c r="J2" s="31" t="s">
        <v>2014</v>
      </c>
      <c r="K2"/>
      <c r="T2" s="31" t="s">
        <v>2014</v>
      </c>
      <c r="U2"/>
    </row>
    <row r="3" spans="1:26">
      <c r="J3" s="31" t="s">
        <v>2015</v>
      </c>
      <c r="K3" t="s">
        <v>1144</v>
      </c>
      <c r="T3" s="31" t="s">
        <v>2015</v>
      </c>
      <c r="U3" t="s">
        <v>1144</v>
      </c>
    </row>
    <row r="5" spans="1:26">
      <c r="J5" s="31" t="s">
        <v>2016</v>
      </c>
      <c r="K5"/>
      <c r="L5" s="31" t="s">
        <v>1903</v>
      </c>
      <c r="M5"/>
      <c r="N5"/>
      <c r="T5" s="31" t="s">
        <v>2016</v>
      </c>
      <c r="U5" s="31" t="s">
        <v>1903</v>
      </c>
      <c r="V5"/>
      <c r="W5"/>
      <c r="X5"/>
    </row>
    <row r="6" spans="1:26" ht="45">
      <c r="B6" s="41"/>
      <c r="C6" s="42" t="s">
        <v>2018</v>
      </c>
      <c r="D6" s="42" t="s">
        <v>2320</v>
      </c>
      <c r="J6" s="31" t="s">
        <v>1901</v>
      </c>
      <c r="K6" s="31" t="s">
        <v>2017</v>
      </c>
      <c r="L6" s="26" t="s">
        <v>1144</v>
      </c>
      <c r="M6" s="26" t="s">
        <v>838</v>
      </c>
      <c r="N6" t="s">
        <v>2068</v>
      </c>
      <c r="O6" s="26" t="s">
        <v>498</v>
      </c>
      <c r="P6" t="s">
        <v>2315</v>
      </c>
      <c r="Q6" s="26" t="s">
        <v>1902</v>
      </c>
      <c r="S6" s="26"/>
      <c r="T6" s="31" t="s">
        <v>1901</v>
      </c>
      <c r="U6" s="26" t="s">
        <v>1144</v>
      </c>
      <c r="V6" s="26" t="s">
        <v>838</v>
      </c>
      <c r="W6" t="s">
        <v>2068</v>
      </c>
      <c r="X6" s="26" t="s">
        <v>498</v>
      </c>
      <c r="Y6" t="s">
        <v>2315</v>
      </c>
      <c r="Z6" s="26" t="s">
        <v>1902</v>
      </c>
    </row>
    <row r="7" spans="1:26">
      <c r="A7" s="180" t="s">
        <v>2067</v>
      </c>
      <c r="B7" s="140" t="s">
        <v>72</v>
      </c>
      <c r="C7" s="27">
        <f>COUNTIFS($J:$J, $B7,$L:$L, "&gt;0")</f>
        <v>0</v>
      </c>
      <c r="D7" s="27">
        <f>COUNTIFS($J:$J, $B7,$P:$P, "&gt;0")+COUNTIFS($J:$J, $B7,$M:$M, "&gt;0")</f>
        <v>0</v>
      </c>
      <c r="E7" s="26">
        <v>0</v>
      </c>
      <c r="F7" s="26">
        <v>0</v>
      </c>
      <c r="G7" s="26" t="b">
        <f>C7=E7</f>
        <v>1</v>
      </c>
      <c r="H7" s="26" t="b">
        <f>D7=F7</f>
        <v>1</v>
      </c>
      <c r="I7" s="26"/>
      <c r="J7" t="s">
        <v>32</v>
      </c>
      <c r="K7">
        <v>107469</v>
      </c>
      <c r="L7" s="40"/>
      <c r="M7" s="40">
        <v>1</v>
      </c>
      <c r="N7" s="40"/>
      <c r="O7" s="40"/>
      <c r="P7" s="40"/>
      <c r="Q7" s="40">
        <v>1</v>
      </c>
      <c r="S7" s="40"/>
      <c r="T7" t="s">
        <v>32</v>
      </c>
      <c r="U7" s="40">
        <v>4</v>
      </c>
      <c r="V7" s="40">
        <v>17</v>
      </c>
      <c r="W7" s="40">
        <v>1</v>
      </c>
      <c r="X7" s="40"/>
      <c r="Y7" s="40"/>
      <c r="Z7" s="40">
        <v>22</v>
      </c>
    </row>
    <row r="8" spans="1:26">
      <c r="A8" s="180"/>
      <c r="B8" s="140" t="s">
        <v>2077</v>
      </c>
      <c r="C8" s="27">
        <f t="shared" ref="C8:C24" si="0">COUNTIFS($J:$J, $B8,$L:$L, "&gt;0")</f>
        <v>0</v>
      </c>
      <c r="D8" s="148">
        <f t="shared" ref="D8:D40" si="1">COUNTIFS($J:$J, $B8,$P:$P, "&gt;0")+COUNTIFS($J:$J, $B8,$M:$M, "&gt;0")</f>
        <v>0</v>
      </c>
      <c r="E8" s="26">
        <v>0</v>
      </c>
      <c r="F8" s="26">
        <v>0</v>
      </c>
      <c r="G8" s="26" t="b">
        <f t="shared" ref="G8:H39" si="2">C8=E8</f>
        <v>1</v>
      </c>
      <c r="H8" s="26" t="b">
        <f t="shared" si="2"/>
        <v>1</v>
      </c>
      <c r="I8" s="26"/>
      <c r="J8" t="s">
        <v>32</v>
      </c>
      <c r="K8">
        <v>106172</v>
      </c>
      <c r="L8" s="40">
        <v>4</v>
      </c>
      <c r="M8" s="40"/>
      <c r="N8" s="40"/>
      <c r="O8" s="40"/>
      <c r="P8" s="40"/>
      <c r="Q8" s="40">
        <v>4</v>
      </c>
      <c r="S8" s="40"/>
      <c r="T8" t="s">
        <v>54</v>
      </c>
      <c r="U8" s="40">
        <v>2</v>
      </c>
      <c r="V8" s="40">
        <v>31</v>
      </c>
      <c r="W8" s="40">
        <v>2</v>
      </c>
      <c r="X8" s="40">
        <v>1</v>
      </c>
      <c r="Y8" s="40">
        <v>1</v>
      </c>
      <c r="Z8" s="40">
        <v>37</v>
      </c>
    </row>
    <row r="9" spans="1:26">
      <c r="A9" s="180"/>
      <c r="B9" s="140" t="s">
        <v>2070</v>
      </c>
      <c r="C9" s="27">
        <f t="shared" si="0"/>
        <v>1</v>
      </c>
      <c r="D9" s="148">
        <f t="shared" si="1"/>
        <v>16</v>
      </c>
      <c r="E9" s="26">
        <v>1</v>
      </c>
      <c r="F9" s="26">
        <v>16</v>
      </c>
      <c r="G9" s="26" t="b">
        <f t="shared" si="2"/>
        <v>1</v>
      </c>
      <c r="H9" s="26" t="b">
        <f t="shared" si="2"/>
        <v>1</v>
      </c>
      <c r="I9" s="26"/>
      <c r="J9" t="s">
        <v>32</v>
      </c>
      <c r="K9">
        <v>103136</v>
      </c>
      <c r="L9" s="40"/>
      <c r="M9" s="40">
        <v>1</v>
      </c>
      <c r="N9" s="40"/>
      <c r="O9" s="40"/>
      <c r="P9" s="40"/>
      <c r="Q9" s="40">
        <v>1</v>
      </c>
      <c r="S9" s="40"/>
      <c r="T9" t="s">
        <v>24</v>
      </c>
      <c r="U9" s="40">
        <v>3</v>
      </c>
      <c r="V9" s="40"/>
      <c r="W9" s="40"/>
      <c r="X9" s="40"/>
      <c r="Y9" s="40"/>
      <c r="Z9" s="40">
        <v>3</v>
      </c>
    </row>
    <row r="10" spans="1:26">
      <c r="A10" s="180"/>
      <c r="B10" s="140" t="s">
        <v>52</v>
      </c>
      <c r="C10" s="27">
        <f t="shared" si="0"/>
        <v>0</v>
      </c>
      <c r="D10" s="148">
        <f t="shared" si="1"/>
        <v>0</v>
      </c>
      <c r="E10" s="26">
        <v>0</v>
      </c>
      <c r="F10" s="26">
        <v>0</v>
      </c>
      <c r="G10" s="26" t="b">
        <f t="shared" si="2"/>
        <v>1</v>
      </c>
      <c r="H10" s="26" t="b">
        <f t="shared" si="2"/>
        <v>1</v>
      </c>
      <c r="I10" s="26"/>
      <c r="J10" t="s">
        <v>32</v>
      </c>
      <c r="K10">
        <v>106057</v>
      </c>
      <c r="L10" s="40"/>
      <c r="M10" s="40"/>
      <c r="N10" s="40">
        <v>1</v>
      </c>
      <c r="O10" s="40"/>
      <c r="P10" s="40"/>
      <c r="Q10" s="40">
        <v>1</v>
      </c>
      <c r="S10" s="40"/>
      <c r="T10" t="s">
        <v>77</v>
      </c>
      <c r="U10" s="40">
        <v>5</v>
      </c>
      <c r="V10" s="40"/>
      <c r="W10" s="40"/>
      <c r="X10" s="40"/>
      <c r="Y10" s="40"/>
      <c r="Z10" s="40">
        <v>5</v>
      </c>
    </row>
    <row r="11" spans="1:26">
      <c r="A11" s="180"/>
      <c r="B11" s="140" t="s">
        <v>54</v>
      </c>
      <c r="C11" s="27">
        <f t="shared" si="0"/>
        <v>2</v>
      </c>
      <c r="D11" s="148">
        <f t="shared" si="1"/>
        <v>27</v>
      </c>
      <c r="E11" s="26">
        <v>2</v>
      </c>
      <c r="F11" s="26">
        <v>27</v>
      </c>
      <c r="G11" s="26" t="b">
        <f t="shared" si="2"/>
        <v>1</v>
      </c>
      <c r="H11" s="26" t="b">
        <f t="shared" si="2"/>
        <v>1</v>
      </c>
      <c r="I11" s="26"/>
      <c r="J11" t="s">
        <v>32</v>
      </c>
      <c r="K11">
        <v>106604</v>
      </c>
      <c r="L11" s="40"/>
      <c r="M11" s="40">
        <v>1</v>
      </c>
      <c r="N11" s="40"/>
      <c r="O11" s="40"/>
      <c r="P11" s="40"/>
      <c r="Q11" s="40">
        <v>1</v>
      </c>
      <c r="S11" s="40"/>
      <c r="T11" t="s">
        <v>28</v>
      </c>
      <c r="U11" s="40">
        <v>6</v>
      </c>
      <c r="V11" s="40">
        <v>29</v>
      </c>
      <c r="W11" s="40">
        <v>4</v>
      </c>
      <c r="X11" s="40"/>
      <c r="Y11" s="40">
        <v>5</v>
      </c>
      <c r="Z11" s="40">
        <v>44</v>
      </c>
    </row>
    <row r="12" spans="1:26">
      <c r="A12" s="180"/>
      <c r="B12" s="140" t="s">
        <v>39</v>
      </c>
      <c r="C12" s="27">
        <f t="shared" si="0"/>
        <v>0</v>
      </c>
      <c r="D12" s="148">
        <f t="shared" si="1"/>
        <v>15</v>
      </c>
      <c r="E12" s="26">
        <v>0</v>
      </c>
      <c r="F12" s="26">
        <v>15</v>
      </c>
      <c r="G12" s="26" t="b">
        <f t="shared" si="2"/>
        <v>1</v>
      </c>
      <c r="H12" s="26" t="b">
        <f t="shared" si="2"/>
        <v>1</v>
      </c>
      <c r="I12" s="26"/>
      <c r="J12" t="s">
        <v>32</v>
      </c>
      <c r="K12">
        <v>101615</v>
      </c>
      <c r="L12" s="40"/>
      <c r="M12" s="40">
        <v>1</v>
      </c>
      <c r="N12" s="40"/>
      <c r="O12" s="40"/>
      <c r="P12" s="40"/>
      <c r="Q12" s="40">
        <v>1</v>
      </c>
      <c r="S12" s="40"/>
      <c r="T12" t="s">
        <v>39</v>
      </c>
      <c r="U12" s="40"/>
      <c r="V12" s="40">
        <v>15</v>
      </c>
      <c r="W12" s="40">
        <v>3</v>
      </c>
      <c r="X12" s="40"/>
      <c r="Y12" s="40">
        <v>1</v>
      </c>
      <c r="Z12" s="40">
        <v>19</v>
      </c>
    </row>
    <row r="13" spans="1:26">
      <c r="A13" s="180"/>
      <c r="B13" s="140" t="s">
        <v>75</v>
      </c>
      <c r="C13" s="27">
        <f t="shared" si="0"/>
        <v>1</v>
      </c>
      <c r="D13" s="148">
        <f t="shared" si="1"/>
        <v>0</v>
      </c>
      <c r="E13" s="26">
        <v>1</v>
      </c>
      <c r="F13" s="26">
        <v>0</v>
      </c>
      <c r="G13" s="26" t="b">
        <f t="shared" si="2"/>
        <v>1</v>
      </c>
      <c r="H13" s="26" t="b">
        <f t="shared" si="2"/>
        <v>1</v>
      </c>
      <c r="I13" s="26"/>
      <c r="J13" t="s">
        <v>32</v>
      </c>
      <c r="K13">
        <v>104194</v>
      </c>
      <c r="L13" s="40"/>
      <c r="M13" s="40">
        <v>1</v>
      </c>
      <c r="N13" s="40"/>
      <c r="O13" s="40"/>
      <c r="P13" s="40"/>
      <c r="Q13" s="40">
        <v>1</v>
      </c>
      <c r="S13" s="40"/>
      <c r="T13" t="s">
        <v>75</v>
      </c>
      <c r="U13" s="40">
        <v>2</v>
      </c>
      <c r="V13" s="40"/>
      <c r="W13" s="40"/>
      <c r="X13" s="40"/>
      <c r="Y13" s="40"/>
      <c r="Z13" s="40">
        <v>2</v>
      </c>
    </row>
    <row r="14" spans="1:26">
      <c r="A14" s="180"/>
      <c r="B14" s="140" t="s">
        <v>28</v>
      </c>
      <c r="C14" s="27">
        <f t="shared" si="0"/>
        <v>2</v>
      </c>
      <c r="D14" s="148">
        <f t="shared" si="1"/>
        <v>24</v>
      </c>
      <c r="E14" s="26">
        <v>2</v>
      </c>
      <c r="F14" s="26">
        <v>24</v>
      </c>
      <c r="G14" s="26" t="b">
        <f t="shared" si="2"/>
        <v>1</v>
      </c>
      <c r="H14" s="26" t="b">
        <f t="shared" si="2"/>
        <v>1</v>
      </c>
      <c r="I14" s="26"/>
      <c r="J14" t="s">
        <v>32</v>
      </c>
      <c r="K14">
        <v>102420</v>
      </c>
      <c r="L14" s="40"/>
      <c r="M14" s="40">
        <v>1</v>
      </c>
      <c r="N14" s="40"/>
      <c r="O14" s="40"/>
      <c r="P14" s="40"/>
      <c r="Q14" s="40">
        <v>1</v>
      </c>
      <c r="S14" s="40"/>
      <c r="T14" t="s">
        <v>26</v>
      </c>
      <c r="U14" s="40">
        <v>1</v>
      </c>
      <c r="V14" s="40">
        <v>1</v>
      </c>
      <c r="W14" s="40"/>
      <c r="X14" s="40"/>
      <c r="Y14" s="40"/>
      <c r="Z14" s="40">
        <v>2</v>
      </c>
    </row>
    <row r="15" spans="1:26">
      <c r="A15" s="180"/>
      <c r="B15" s="140" t="s">
        <v>55</v>
      </c>
      <c r="C15" s="27">
        <f t="shared" si="0"/>
        <v>0</v>
      </c>
      <c r="D15" s="148">
        <f t="shared" si="1"/>
        <v>0</v>
      </c>
      <c r="E15" s="26">
        <v>0</v>
      </c>
      <c r="F15" s="26">
        <v>0</v>
      </c>
      <c r="G15" s="26" t="b">
        <f t="shared" si="2"/>
        <v>1</v>
      </c>
      <c r="H15" s="26" t="b">
        <f t="shared" si="2"/>
        <v>1</v>
      </c>
      <c r="I15" s="26"/>
      <c r="J15" t="s">
        <v>32</v>
      </c>
      <c r="K15">
        <v>101171</v>
      </c>
      <c r="L15" s="40"/>
      <c r="M15" s="40">
        <v>1</v>
      </c>
      <c r="N15" s="40"/>
      <c r="O15" s="40"/>
      <c r="P15" s="40"/>
      <c r="Q15" s="40">
        <v>1</v>
      </c>
      <c r="S15" s="40"/>
      <c r="T15" t="s">
        <v>1902</v>
      </c>
      <c r="U15" s="40">
        <v>23</v>
      </c>
      <c r="V15" s="40">
        <v>93</v>
      </c>
      <c r="W15" s="40">
        <v>10</v>
      </c>
      <c r="X15" s="40">
        <v>1</v>
      </c>
      <c r="Y15" s="40">
        <v>7</v>
      </c>
      <c r="Z15" s="40">
        <v>134</v>
      </c>
    </row>
    <row r="16" spans="1:26">
      <c r="A16" s="180"/>
      <c r="B16" s="140" t="s">
        <v>24</v>
      </c>
      <c r="C16" s="27">
        <f t="shared" si="0"/>
        <v>1</v>
      </c>
      <c r="D16" s="148">
        <f t="shared" si="1"/>
        <v>0</v>
      </c>
      <c r="E16" s="26">
        <v>1</v>
      </c>
      <c r="F16" s="26">
        <v>0</v>
      </c>
      <c r="G16" s="26" t="b">
        <f t="shared" si="2"/>
        <v>1</v>
      </c>
      <c r="H16" s="26" t="b">
        <f t="shared" si="2"/>
        <v>1</v>
      </c>
      <c r="I16" s="26"/>
      <c r="J16" t="s">
        <v>32</v>
      </c>
      <c r="K16">
        <v>99270</v>
      </c>
      <c r="L16" s="40"/>
      <c r="M16" s="40">
        <v>1</v>
      </c>
      <c r="N16" s="40"/>
      <c r="O16" s="40"/>
      <c r="P16" s="40"/>
      <c r="Q16" s="40">
        <v>1</v>
      </c>
      <c r="S16" s="40"/>
      <c r="U16"/>
      <c r="V16"/>
      <c r="W16"/>
      <c r="X16"/>
    </row>
    <row r="17" spans="1:24">
      <c r="A17" s="180"/>
      <c r="B17" s="140" t="s">
        <v>26</v>
      </c>
      <c r="C17" s="27">
        <f t="shared" si="0"/>
        <v>1</v>
      </c>
      <c r="D17" s="148">
        <f t="shared" si="1"/>
        <v>1</v>
      </c>
      <c r="E17" s="26">
        <v>1</v>
      </c>
      <c r="F17" s="26">
        <v>1</v>
      </c>
      <c r="G17" s="26" t="b">
        <f t="shared" si="2"/>
        <v>1</v>
      </c>
      <c r="H17" s="26" t="b">
        <f t="shared" si="2"/>
        <v>1</v>
      </c>
      <c r="I17" s="26"/>
      <c r="J17" t="s">
        <v>32</v>
      </c>
      <c r="K17">
        <v>95493</v>
      </c>
      <c r="L17" s="40"/>
      <c r="M17" s="40">
        <v>1</v>
      </c>
      <c r="N17" s="40"/>
      <c r="O17" s="40"/>
      <c r="P17" s="40"/>
      <c r="Q17" s="40">
        <v>1</v>
      </c>
      <c r="S17" s="40"/>
      <c r="U17"/>
      <c r="V17"/>
      <c r="W17"/>
      <c r="X17"/>
    </row>
    <row r="18" spans="1:24">
      <c r="A18" s="180"/>
      <c r="B18" s="140" t="s">
        <v>1203</v>
      </c>
      <c r="C18" s="27">
        <f t="shared" si="0"/>
        <v>0</v>
      </c>
      <c r="D18" s="148">
        <f t="shared" si="1"/>
        <v>0</v>
      </c>
      <c r="E18" s="26">
        <v>0</v>
      </c>
      <c r="F18" s="26">
        <v>0</v>
      </c>
      <c r="G18" s="26" t="b">
        <f t="shared" si="2"/>
        <v>1</v>
      </c>
      <c r="H18" s="26" t="b">
        <f t="shared" si="2"/>
        <v>1</v>
      </c>
      <c r="I18" s="26"/>
      <c r="J18" t="s">
        <v>32</v>
      </c>
      <c r="K18">
        <v>96189</v>
      </c>
      <c r="L18" s="40"/>
      <c r="M18" s="40">
        <v>1</v>
      </c>
      <c r="N18" s="40"/>
      <c r="O18" s="40"/>
      <c r="P18" s="40"/>
      <c r="Q18" s="40">
        <v>1</v>
      </c>
      <c r="S18" s="40"/>
      <c r="U18"/>
      <c r="V18"/>
      <c r="W18"/>
      <c r="X18"/>
    </row>
    <row r="19" spans="1:24">
      <c r="A19" s="180"/>
      <c r="B19" s="140" t="s">
        <v>59</v>
      </c>
      <c r="C19" s="140">
        <f t="shared" si="0"/>
        <v>0</v>
      </c>
      <c r="D19" s="148">
        <f t="shared" si="1"/>
        <v>0</v>
      </c>
      <c r="E19" s="26">
        <v>0</v>
      </c>
      <c r="F19" s="26">
        <v>0</v>
      </c>
      <c r="G19" s="26" t="b">
        <f t="shared" si="2"/>
        <v>1</v>
      </c>
      <c r="H19" s="26" t="b">
        <f t="shared" si="2"/>
        <v>1</v>
      </c>
      <c r="I19" s="26"/>
      <c r="J19" t="s">
        <v>32</v>
      </c>
      <c r="K19">
        <v>97744</v>
      </c>
      <c r="L19" s="40"/>
      <c r="M19" s="40">
        <v>1</v>
      </c>
      <c r="N19" s="40"/>
      <c r="O19" s="40"/>
      <c r="P19" s="40"/>
      <c r="Q19" s="40">
        <v>1</v>
      </c>
      <c r="S19" s="40"/>
      <c r="U19"/>
      <c r="V19"/>
      <c r="W19"/>
      <c r="X19"/>
    </row>
    <row r="20" spans="1:24">
      <c r="A20" s="180"/>
      <c r="B20" s="140" t="s">
        <v>51</v>
      </c>
      <c r="C20" s="140">
        <f t="shared" si="0"/>
        <v>0</v>
      </c>
      <c r="D20" s="148">
        <f t="shared" si="1"/>
        <v>0</v>
      </c>
      <c r="E20" s="26">
        <v>0</v>
      </c>
      <c r="F20" s="26">
        <v>0</v>
      </c>
      <c r="G20" s="26" t="b">
        <f t="shared" si="2"/>
        <v>1</v>
      </c>
      <c r="H20" s="26" t="b">
        <f t="shared" si="2"/>
        <v>1</v>
      </c>
      <c r="I20" s="26"/>
      <c r="J20" t="s">
        <v>32</v>
      </c>
      <c r="K20">
        <v>98640</v>
      </c>
      <c r="L20" s="40"/>
      <c r="M20" s="40">
        <v>1</v>
      </c>
      <c r="N20" s="40"/>
      <c r="O20" s="40"/>
      <c r="P20" s="40"/>
      <c r="Q20" s="40">
        <v>1</v>
      </c>
      <c r="S20" s="40"/>
      <c r="U20"/>
      <c r="V20"/>
      <c r="W20"/>
      <c r="X20"/>
    </row>
    <row r="21" spans="1:24">
      <c r="A21" s="180"/>
      <c r="B21" s="140" t="s">
        <v>63</v>
      </c>
      <c r="C21" s="140">
        <f t="shared" si="0"/>
        <v>0</v>
      </c>
      <c r="D21" s="148">
        <f t="shared" si="1"/>
        <v>0</v>
      </c>
      <c r="E21" s="26">
        <v>0</v>
      </c>
      <c r="F21" s="26">
        <v>0</v>
      </c>
      <c r="G21" s="26" t="b">
        <f t="shared" si="2"/>
        <v>1</v>
      </c>
      <c r="H21" s="26" t="b">
        <f t="shared" si="2"/>
        <v>1</v>
      </c>
      <c r="I21" s="26"/>
      <c r="J21" t="s">
        <v>32</v>
      </c>
      <c r="K21">
        <v>109581</v>
      </c>
      <c r="L21" s="40"/>
      <c r="M21" s="40">
        <v>2</v>
      </c>
      <c r="N21" s="40"/>
      <c r="O21" s="40"/>
      <c r="P21" s="40"/>
      <c r="Q21" s="40">
        <v>2</v>
      </c>
      <c r="S21" s="40"/>
      <c r="U21"/>
      <c r="V21"/>
      <c r="W21"/>
      <c r="X21"/>
    </row>
    <row r="22" spans="1:24">
      <c r="A22" s="180"/>
      <c r="B22" s="140" t="s">
        <v>77</v>
      </c>
      <c r="C22" s="140">
        <f t="shared" si="0"/>
        <v>1</v>
      </c>
      <c r="D22" s="148">
        <f t="shared" si="1"/>
        <v>0</v>
      </c>
      <c r="E22" s="26">
        <v>1</v>
      </c>
      <c r="F22" s="26">
        <v>0</v>
      </c>
      <c r="G22" s="26" t="b">
        <f t="shared" si="2"/>
        <v>1</v>
      </c>
      <c r="H22" s="26" t="b">
        <f t="shared" si="2"/>
        <v>1</v>
      </c>
      <c r="I22" s="26"/>
      <c r="J22" t="s">
        <v>32</v>
      </c>
      <c r="K22">
        <v>108411</v>
      </c>
      <c r="L22" s="40"/>
      <c r="M22" s="40">
        <v>1</v>
      </c>
      <c r="N22" s="40"/>
      <c r="O22" s="40"/>
      <c r="P22" s="40"/>
      <c r="Q22" s="40">
        <v>1</v>
      </c>
      <c r="S22" s="40"/>
      <c r="U22"/>
      <c r="V22"/>
      <c r="W22"/>
      <c r="X22"/>
    </row>
    <row r="23" spans="1:24">
      <c r="A23" s="180"/>
      <c r="B23" s="140" t="s">
        <v>1267</v>
      </c>
      <c r="C23" s="140">
        <f t="shared" si="0"/>
        <v>0</v>
      </c>
      <c r="D23" s="148">
        <f t="shared" si="1"/>
        <v>0</v>
      </c>
      <c r="E23" s="26">
        <v>0</v>
      </c>
      <c r="F23" s="26">
        <v>0</v>
      </c>
      <c r="G23" s="26" t="b">
        <f t="shared" si="2"/>
        <v>1</v>
      </c>
      <c r="H23" s="26" t="b">
        <f t="shared" si="2"/>
        <v>1</v>
      </c>
      <c r="I23" s="26"/>
      <c r="J23" t="s">
        <v>32</v>
      </c>
      <c r="K23">
        <v>107489</v>
      </c>
      <c r="L23" s="40"/>
      <c r="M23" s="40">
        <v>1</v>
      </c>
      <c r="N23" s="40"/>
      <c r="O23" s="40"/>
      <c r="P23" s="40"/>
      <c r="Q23" s="40">
        <v>1</v>
      </c>
      <c r="S23" s="40"/>
      <c r="U23"/>
      <c r="V23"/>
      <c r="W23"/>
      <c r="X23"/>
    </row>
    <row r="24" spans="1:24">
      <c r="A24" s="180"/>
      <c r="B24" s="140" t="s">
        <v>35</v>
      </c>
      <c r="C24" s="140">
        <f t="shared" si="0"/>
        <v>0</v>
      </c>
      <c r="D24" s="148">
        <f t="shared" si="1"/>
        <v>0</v>
      </c>
      <c r="E24" s="26">
        <v>0</v>
      </c>
      <c r="F24" s="26">
        <v>0</v>
      </c>
      <c r="G24" s="26" t="b">
        <f t="shared" si="2"/>
        <v>1</v>
      </c>
      <c r="H24" s="26" t="b">
        <f t="shared" si="2"/>
        <v>1</v>
      </c>
      <c r="I24" s="26"/>
      <c r="J24" t="s">
        <v>32</v>
      </c>
      <c r="K24">
        <v>109162</v>
      </c>
      <c r="L24" s="40"/>
      <c r="M24" s="40">
        <v>1</v>
      </c>
      <c r="N24" s="40"/>
      <c r="O24" s="40"/>
      <c r="P24" s="40"/>
      <c r="Q24" s="40">
        <v>1</v>
      </c>
      <c r="S24" s="40"/>
      <c r="U24"/>
      <c r="V24"/>
      <c r="W24"/>
      <c r="X24"/>
    </row>
    <row r="25" spans="1:24">
      <c r="B25" s="66" t="s">
        <v>2078</v>
      </c>
      <c r="C25" s="140">
        <f>SUM(C7:C24)</f>
        <v>9</v>
      </c>
      <c r="D25" s="148">
        <f>SUM(D7:D24)</f>
        <v>83</v>
      </c>
      <c r="E25" s="26">
        <v>9</v>
      </c>
      <c r="F25" s="26">
        <v>83</v>
      </c>
      <c r="G25" s="26" t="b">
        <f t="shared" si="2"/>
        <v>1</v>
      </c>
      <c r="H25" s="26" t="b">
        <f t="shared" si="2"/>
        <v>1</v>
      </c>
      <c r="I25" s="26"/>
      <c r="J25" t="s">
        <v>54</v>
      </c>
      <c r="K25">
        <v>108095</v>
      </c>
      <c r="L25" s="40"/>
      <c r="M25" s="40">
        <v>2</v>
      </c>
      <c r="N25" s="40"/>
      <c r="O25" s="40"/>
      <c r="P25" s="40"/>
      <c r="Q25" s="40">
        <v>2</v>
      </c>
      <c r="S25" s="40"/>
      <c r="U25"/>
      <c r="V25"/>
      <c r="W25"/>
      <c r="X25"/>
    </row>
    <row r="26" spans="1:24">
      <c r="A26" s="180" t="s">
        <v>2069</v>
      </c>
      <c r="B26" s="140" t="s">
        <v>1192</v>
      </c>
      <c r="C26" s="140">
        <f t="shared" ref="C26:C40" si="3">COUNTIFS($J:$J, $B26,$L:$L, "&gt;0")</f>
        <v>0</v>
      </c>
      <c r="D26" s="148">
        <f t="shared" si="1"/>
        <v>0</v>
      </c>
      <c r="E26" s="26">
        <v>0</v>
      </c>
      <c r="F26" s="26">
        <v>0</v>
      </c>
      <c r="G26" s="26" t="b">
        <f t="shared" si="2"/>
        <v>1</v>
      </c>
      <c r="H26" s="26" t="b">
        <f t="shared" si="2"/>
        <v>1</v>
      </c>
      <c r="I26" s="26"/>
      <c r="J26" t="s">
        <v>54</v>
      </c>
      <c r="K26">
        <v>106172</v>
      </c>
      <c r="L26" s="40">
        <v>1</v>
      </c>
      <c r="M26" s="40"/>
      <c r="N26" s="40"/>
      <c r="O26" s="40"/>
      <c r="P26" s="40"/>
      <c r="Q26" s="40">
        <v>1</v>
      </c>
      <c r="S26" s="40"/>
      <c r="U26"/>
      <c r="V26"/>
      <c r="W26"/>
      <c r="X26"/>
    </row>
    <row r="27" spans="1:24">
      <c r="A27" s="180"/>
      <c r="B27" s="140" t="s">
        <v>66</v>
      </c>
      <c r="C27" s="140">
        <f t="shared" si="3"/>
        <v>0</v>
      </c>
      <c r="D27" s="148">
        <f t="shared" si="1"/>
        <v>0</v>
      </c>
      <c r="E27" s="26">
        <v>0</v>
      </c>
      <c r="F27" s="26">
        <v>0</v>
      </c>
      <c r="G27" s="26" t="b">
        <f t="shared" si="2"/>
        <v>1</v>
      </c>
      <c r="H27" s="26" t="b">
        <f t="shared" si="2"/>
        <v>1</v>
      </c>
      <c r="I27" s="26"/>
      <c r="J27" t="s">
        <v>54</v>
      </c>
      <c r="K27">
        <v>107267</v>
      </c>
      <c r="L27" s="40"/>
      <c r="M27" s="40"/>
      <c r="N27" s="40"/>
      <c r="O27" s="40"/>
      <c r="P27" s="40">
        <v>1</v>
      </c>
      <c r="Q27" s="40">
        <v>1</v>
      </c>
      <c r="S27" s="40"/>
      <c r="U27"/>
      <c r="V27"/>
      <c r="W27"/>
      <c r="X27"/>
    </row>
    <row r="28" spans="1:24">
      <c r="A28" s="180"/>
      <c r="B28" s="140" t="s">
        <v>73</v>
      </c>
      <c r="C28" s="140">
        <f t="shared" si="3"/>
        <v>0</v>
      </c>
      <c r="D28" s="148">
        <f t="shared" si="1"/>
        <v>0</v>
      </c>
      <c r="E28" s="26">
        <v>0</v>
      </c>
      <c r="F28" s="26">
        <v>0</v>
      </c>
      <c r="G28" s="26" t="b">
        <f t="shared" si="2"/>
        <v>1</v>
      </c>
      <c r="H28" s="26" t="b">
        <f t="shared" si="2"/>
        <v>1</v>
      </c>
      <c r="I28" s="26"/>
      <c r="J28" t="s">
        <v>54</v>
      </c>
      <c r="K28">
        <v>106057</v>
      </c>
      <c r="L28" s="40"/>
      <c r="M28" s="40"/>
      <c r="N28" s="40">
        <v>1</v>
      </c>
      <c r="O28" s="40"/>
      <c r="P28" s="40"/>
      <c r="Q28" s="40">
        <v>1</v>
      </c>
      <c r="S28" s="40"/>
      <c r="U28"/>
      <c r="V28"/>
      <c r="W28"/>
      <c r="X28"/>
    </row>
    <row r="29" spans="1:24">
      <c r="A29" s="180"/>
      <c r="B29" s="140" t="s">
        <v>97</v>
      </c>
      <c r="C29" s="140">
        <f t="shared" si="3"/>
        <v>0</v>
      </c>
      <c r="D29" s="148">
        <f t="shared" si="1"/>
        <v>0</v>
      </c>
      <c r="E29" s="26">
        <v>0</v>
      </c>
      <c r="F29" s="26">
        <v>0</v>
      </c>
      <c r="G29" s="26" t="b">
        <f t="shared" si="2"/>
        <v>1</v>
      </c>
      <c r="H29" s="26" t="b">
        <f t="shared" si="2"/>
        <v>1</v>
      </c>
      <c r="I29" s="26"/>
      <c r="J29" t="s">
        <v>54</v>
      </c>
      <c r="K29">
        <v>104719</v>
      </c>
      <c r="L29" s="40"/>
      <c r="M29" s="40"/>
      <c r="N29" s="40">
        <v>1</v>
      </c>
      <c r="O29" s="40"/>
      <c r="P29" s="40"/>
      <c r="Q29" s="40">
        <v>1</v>
      </c>
      <c r="S29" s="40"/>
      <c r="U29"/>
      <c r="V29"/>
      <c r="W29"/>
      <c r="X29"/>
    </row>
    <row r="30" spans="1:24">
      <c r="A30" s="180"/>
      <c r="B30" s="140" t="s">
        <v>74</v>
      </c>
      <c r="C30" s="140">
        <f t="shared" si="3"/>
        <v>0</v>
      </c>
      <c r="D30" s="148">
        <f t="shared" si="1"/>
        <v>0</v>
      </c>
      <c r="E30" s="26">
        <v>0</v>
      </c>
      <c r="F30" s="26">
        <v>0</v>
      </c>
      <c r="G30" s="26" t="b">
        <f t="shared" si="2"/>
        <v>1</v>
      </c>
      <c r="H30" s="26" t="b">
        <f t="shared" si="2"/>
        <v>1</v>
      </c>
      <c r="I30" s="26"/>
      <c r="J30" t="s">
        <v>54</v>
      </c>
      <c r="K30">
        <v>106604</v>
      </c>
      <c r="L30" s="40"/>
      <c r="M30" s="40">
        <v>1</v>
      </c>
      <c r="N30" s="40"/>
      <c r="O30" s="40"/>
      <c r="P30" s="40"/>
      <c r="Q30" s="40">
        <v>1</v>
      </c>
      <c r="S30" s="40"/>
      <c r="U30"/>
      <c r="V30"/>
      <c r="W30"/>
      <c r="X30"/>
    </row>
    <row r="31" spans="1:24">
      <c r="A31" s="180"/>
      <c r="B31" s="140" t="s">
        <v>107</v>
      </c>
      <c r="C31" s="140">
        <f t="shared" si="3"/>
        <v>0</v>
      </c>
      <c r="D31" s="148">
        <f t="shared" si="1"/>
        <v>0</v>
      </c>
      <c r="E31" s="26">
        <v>0</v>
      </c>
      <c r="F31" s="26">
        <v>0</v>
      </c>
      <c r="G31" s="26" t="b">
        <f t="shared" si="2"/>
        <v>1</v>
      </c>
      <c r="H31" s="26" t="b">
        <f t="shared" si="2"/>
        <v>1</v>
      </c>
      <c r="I31" s="26"/>
      <c r="J31" t="s">
        <v>54</v>
      </c>
      <c r="K31">
        <v>105719</v>
      </c>
      <c r="L31" s="40"/>
      <c r="M31" s="40">
        <v>2</v>
      </c>
      <c r="N31" s="40"/>
      <c r="O31" s="40"/>
      <c r="P31" s="40"/>
      <c r="Q31" s="40">
        <v>2</v>
      </c>
      <c r="S31" s="40"/>
      <c r="U31"/>
      <c r="V31"/>
      <c r="W31"/>
      <c r="X31"/>
    </row>
    <row r="32" spans="1:24">
      <c r="A32" s="180"/>
      <c r="B32" s="140" t="s">
        <v>53</v>
      </c>
      <c r="C32" s="140">
        <f t="shared" si="3"/>
        <v>0</v>
      </c>
      <c r="D32" s="148">
        <f t="shared" si="1"/>
        <v>0</v>
      </c>
      <c r="E32" s="26">
        <v>0</v>
      </c>
      <c r="F32" s="26">
        <v>0</v>
      </c>
      <c r="G32" s="26" t="b">
        <f t="shared" si="2"/>
        <v>1</v>
      </c>
      <c r="H32" s="26" t="b">
        <f t="shared" si="2"/>
        <v>1</v>
      </c>
      <c r="I32" s="26"/>
      <c r="J32" t="s">
        <v>54</v>
      </c>
      <c r="K32">
        <v>104966</v>
      </c>
      <c r="L32" s="40"/>
      <c r="M32" s="40">
        <v>1</v>
      </c>
      <c r="N32" s="40"/>
      <c r="O32" s="40"/>
      <c r="P32" s="40"/>
      <c r="Q32" s="40">
        <v>1</v>
      </c>
      <c r="S32" s="40"/>
      <c r="U32"/>
      <c r="V32"/>
      <c r="W32"/>
      <c r="X32"/>
    </row>
    <row r="33" spans="1:24">
      <c r="A33" s="180"/>
      <c r="B33" s="140" t="s">
        <v>71</v>
      </c>
      <c r="C33" s="140">
        <f t="shared" si="3"/>
        <v>0</v>
      </c>
      <c r="D33" s="148">
        <f t="shared" si="1"/>
        <v>0</v>
      </c>
      <c r="E33" s="26">
        <v>0</v>
      </c>
      <c r="F33" s="26">
        <v>0</v>
      </c>
      <c r="G33" s="26" t="b">
        <f t="shared" si="2"/>
        <v>1</v>
      </c>
      <c r="H33" s="26" t="b">
        <f t="shared" si="2"/>
        <v>1</v>
      </c>
      <c r="I33" s="26"/>
      <c r="J33" t="s">
        <v>54</v>
      </c>
      <c r="K33">
        <v>101615</v>
      </c>
      <c r="L33" s="40"/>
      <c r="M33" s="40">
        <v>1</v>
      </c>
      <c r="N33" s="40"/>
      <c r="O33" s="40"/>
      <c r="P33" s="40"/>
      <c r="Q33" s="40">
        <v>1</v>
      </c>
      <c r="S33" s="40"/>
      <c r="U33"/>
      <c r="V33"/>
      <c r="W33"/>
      <c r="X33"/>
    </row>
    <row r="34" spans="1:24">
      <c r="A34" s="180"/>
      <c r="B34" s="140" t="s">
        <v>113</v>
      </c>
      <c r="C34" s="140">
        <f t="shared" si="3"/>
        <v>0</v>
      </c>
      <c r="D34" s="148">
        <f t="shared" si="1"/>
        <v>0</v>
      </c>
      <c r="E34" s="26">
        <v>0</v>
      </c>
      <c r="F34" s="26">
        <v>0</v>
      </c>
      <c r="G34" s="26" t="b">
        <f t="shared" si="2"/>
        <v>1</v>
      </c>
      <c r="H34" s="26" t="b">
        <f t="shared" si="2"/>
        <v>1</v>
      </c>
      <c r="I34" s="26"/>
      <c r="J34" t="s">
        <v>54</v>
      </c>
      <c r="K34">
        <v>104194</v>
      </c>
      <c r="L34" s="40"/>
      <c r="M34" s="40">
        <v>1</v>
      </c>
      <c r="N34" s="40"/>
      <c r="O34" s="40"/>
      <c r="P34" s="40"/>
      <c r="Q34" s="40">
        <v>1</v>
      </c>
      <c r="S34" s="40"/>
      <c r="U34"/>
      <c r="V34"/>
      <c r="W34"/>
      <c r="X34"/>
    </row>
    <row r="35" spans="1:24">
      <c r="A35" s="180"/>
      <c r="B35" s="140" t="s">
        <v>38</v>
      </c>
      <c r="C35" s="140">
        <f t="shared" si="3"/>
        <v>0</v>
      </c>
      <c r="D35" s="148">
        <f t="shared" si="1"/>
        <v>0</v>
      </c>
      <c r="E35" s="26">
        <v>0</v>
      </c>
      <c r="F35" s="26">
        <v>0</v>
      </c>
      <c r="G35" s="26" t="b">
        <f t="shared" si="2"/>
        <v>1</v>
      </c>
      <c r="H35" s="26" t="b">
        <f t="shared" si="2"/>
        <v>1</v>
      </c>
      <c r="I35" s="26"/>
      <c r="J35" t="s">
        <v>54</v>
      </c>
      <c r="K35">
        <v>103471</v>
      </c>
      <c r="L35" s="40"/>
      <c r="M35" s="40">
        <v>1</v>
      </c>
      <c r="N35" s="40"/>
      <c r="O35" s="40"/>
      <c r="P35" s="40"/>
      <c r="Q35" s="40">
        <v>1</v>
      </c>
      <c r="S35" s="40"/>
      <c r="U35"/>
      <c r="V35"/>
      <c r="W35"/>
      <c r="X35"/>
    </row>
    <row r="36" spans="1:24">
      <c r="A36" s="180"/>
      <c r="B36" s="140" t="s">
        <v>82</v>
      </c>
      <c r="C36" s="140">
        <f t="shared" si="3"/>
        <v>0</v>
      </c>
      <c r="D36" s="148">
        <f t="shared" si="1"/>
        <v>0</v>
      </c>
      <c r="E36" s="26">
        <v>0</v>
      </c>
      <c r="F36" s="26">
        <v>0</v>
      </c>
      <c r="G36" s="26" t="b">
        <f t="shared" si="2"/>
        <v>1</v>
      </c>
      <c r="H36" s="26" t="b">
        <f t="shared" si="2"/>
        <v>1</v>
      </c>
      <c r="I36" s="26"/>
      <c r="J36" t="s">
        <v>54</v>
      </c>
      <c r="K36">
        <v>96212</v>
      </c>
      <c r="L36" s="40"/>
      <c r="M36" s="40">
        <v>1</v>
      </c>
      <c r="N36" s="40"/>
      <c r="O36" s="40"/>
      <c r="P36" s="40"/>
      <c r="Q36" s="40">
        <v>1</v>
      </c>
      <c r="S36" s="40"/>
      <c r="U36"/>
      <c r="V36"/>
      <c r="W36"/>
      <c r="X36"/>
    </row>
    <row r="37" spans="1:24">
      <c r="A37" s="180"/>
      <c r="B37" s="140" t="s">
        <v>1188</v>
      </c>
      <c r="C37" s="140">
        <f t="shared" si="3"/>
        <v>0</v>
      </c>
      <c r="D37" s="148">
        <f t="shared" si="1"/>
        <v>0</v>
      </c>
      <c r="E37" s="26">
        <v>0</v>
      </c>
      <c r="F37" s="26">
        <v>0</v>
      </c>
      <c r="G37" s="26" t="b">
        <f t="shared" si="2"/>
        <v>1</v>
      </c>
      <c r="H37" s="26" t="b">
        <f t="shared" si="2"/>
        <v>1</v>
      </c>
      <c r="I37" s="26"/>
      <c r="J37" t="s">
        <v>54</v>
      </c>
      <c r="K37">
        <v>101218</v>
      </c>
      <c r="L37" s="40"/>
      <c r="M37" s="40">
        <v>2</v>
      </c>
      <c r="N37" s="40"/>
      <c r="O37" s="40"/>
      <c r="P37" s="40"/>
      <c r="Q37" s="40">
        <v>2</v>
      </c>
      <c r="S37" s="40"/>
      <c r="U37"/>
      <c r="V37"/>
      <c r="W37"/>
      <c r="X37"/>
    </row>
    <row r="38" spans="1:24">
      <c r="A38" s="180"/>
      <c r="B38" s="140" t="s">
        <v>1159</v>
      </c>
      <c r="C38" s="140">
        <f t="shared" si="3"/>
        <v>0</v>
      </c>
      <c r="D38" s="148">
        <f t="shared" si="1"/>
        <v>0</v>
      </c>
      <c r="E38" s="26">
        <v>0</v>
      </c>
      <c r="F38" s="26">
        <v>0</v>
      </c>
      <c r="G38" s="26" t="b">
        <f t="shared" si="2"/>
        <v>1</v>
      </c>
      <c r="H38" s="26" t="b">
        <f t="shared" si="2"/>
        <v>1</v>
      </c>
      <c r="I38" s="26"/>
      <c r="J38" t="s">
        <v>54</v>
      </c>
      <c r="K38">
        <v>102411</v>
      </c>
      <c r="L38" s="40"/>
      <c r="M38" s="40">
        <v>1</v>
      </c>
      <c r="N38" s="40"/>
      <c r="O38" s="40"/>
      <c r="P38" s="40"/>
      <c r="Q38" s="40">
        <v>1</v>
      </c>
      <c r="S38" s="40"/>
      <c r="U38"/>
      <c r="V38"/>
      <c r="W38"/>
      <c r="X38"/>
    </row>
    <row r="39" spans="1:24">
      <c r="A39" s="180"/>
      <c r="B39" s="140" t="s">
        <v>64</v>
      </c>
      <c r="C39" s="140">
        <f t="shared" si="3"/>
        <v>0</v>
      </c>
      <c r="D39" s="148">
        <f t="shared" si="1"/>
        <v>0</v>
      </c>
      <c r="E39" s="26">
        <v>0</v>
      </c>
      <c r="F39" s="26">
        <v>0</v>
      </c>
      <c r="G39" s="26" t="b">
        <f t="shared" si="2"/>
        <v>1</v>
      </c>
      <c r="H39" s="26" t="b">
        <f t="shared" si="2"/>
        <v>1</v>
      </c>
      <c r="I39" s="26"/>
      <c r="J39" t="s">
        <v>54</v>
      </c>
      <c r="K39">
        <v>102410</v>
      </c>
      <c r="L39" s="40"/>
      <c r="M39" s="40">
        <v>1</v>
      </c>
      <c r="N39" s="40"/>
      <c r="O39" s="40"/>
      <c r="P39" s="40"/>
      <c r="Q39" s="40">
        <v>1</v>
      </c>
      <c r="S39" s="40"/>
      <c r="U39"/>
      <c r="V39"/>
      <c r="W39"/>
      <c r="X39"/>
    </row>
    <row r="40" spans="1:24">
      <c r="B40" s="147" t="s">
        <v>2332</v>
      </c>
      <c r="C40" s="147">
        <f t="shared" si="3"/>
        <v>0</v>
      </c>
      <c r="D40" s="148">
        <f t="shared" si="1"/>
        <v>0</v>
      </c>
      <c r="E40" s="26">
        <v>0</v>
      </c>
      <c r="F40" s="26">
        <v>0</v>
      </c>
      <c r="G40" s="26" t="b">
        <f t="shared" ref="G40:G41" si="4">C40=E40</f>
        <v>1</v>
      </c>
      <c r="H40" s="26" t="b">
        <f t="shared" ref="H40:H41" si="5">D40=F40</f>
        <v>1</v>
      </c>
      <c r="I40" s="26"/>
      <c r="J40" t="s">
        <v>54</v>
      </c>
      <c r="K40">
        <v>102409</v>
      </c>
      <c r="L40" s="40"/>
      <c r="M40" s="40">
        <v>1</v>
      </c>
      <c r="N40" s="40"/>
      <c r="O40" s="40"/>
      <c r="P40" s="40"/>
      <c r="Q40" s="40">
        <v>1</v>
      </c>
      <c r="S40" s="40"/>
      <c r="U40"/>
      <c r="V40"/>
      <c r="W40"/>
      <c r="X40"/>
    </row>
    <row r="41" spans="1:24">
      <c r="B41" s="66" t="s">
        <v>2079</v>
      </c>
      <c r="C41" s="140">
        <f>SUM(C26:C39)</f>
        <v>0</v>
      </c>
      <c r="D41" s="148">
        <f>SUM(D26:D39)</f>
        <v>0</v>
      </c>
      <c r="E41">
        <v>0</v>
      </c>
      <c r="F41">
        <v>0</v>
      </c>
      <c r="G41" s="26" t="b">
        <f t="shared" si="4"/>
        <v>1</v>
      </c>
      <c r="H41" s="26" t="b">
        <f t="shared" si="5"/>
        <v>1</v>
      </c>
      <c r="J41" t="s">
        <v>54</v>
      </c>
      <c r="K41">
        <v>102408</v>
      </c>
      <c r="L41" s="40"/>
      <c r="M41" s="40">
        <v>1</v>
      </c>
      <c r="N41" s="40"/>
      <c r="O41" s="40"/>
      <c r="P41" s="40"/>
      <c r="Q41" s="40">
        <v>1</v>
      </c>
      <c r="S41" s="40"/>
      <c r="U41"/>
      <c r="V41"/>
      <c r="W41"/>
      <c r="X41"/>
    </row>
    <row r="42" spans="1:24">
      <c r="E42">
        <v>22</v>
      </c>
      <c r="F42">
        <v>32</v>
      </c>
      <c r="J42" t="s">
        <v>54</v>
      </c>
      <c r="K42">
        <v>102407</v>
      </c>
      <c r="L42" s="40"/>
      <c r="M42" s="40">
        <v>1</v>
      </c>
      <c r="N42" s="40"/>
      <c r="O42" s="40"/>
      <c r="P42" s="40"/>
      <c r="Q42" s="40">
        <v>1</v>
      </c>
      <c r="S42" s="40"/>
      <c r="U42"/>
      <c r="V42"/>
      <c r="W42"/>
      <c r="X42"/>
    </row>
    <row r="43" spans="1:24">
      <c r="J43" t="s">
        <v>54</v>
      </c>
      <c r="K43">
        <v>102406</v>
      </c>
      <c r="L43" s="40"/>
      <c r="M43" s="40">
        <v>1</v>
      </c>
      <c r="N43" s="40"/>
      <c r="O43" s="40"/>
      <c r="P43" s="40"/>
      <c r="Q43" s="40">
        <v>1</v>
      </c>
      <c r="S43" s="40"/>
      <c r="U43"/>
      <c r="V43"/>
      <c r="W43"/>
      <c r="X43"/>
    </row>
    <row r="44" spans="1:24">
      <c r="J44" t="s">
        <v>54</v>
      </c>
      <c r="K44">
        <v>102405</v>
      </c>
      <c r="L44" s="40"/>
      <c r="M44" s="40">
        <v>1</v>
      </c>
      <c r="N44" s="40"/>
      <c r="O44" s="40"/>
      <c r="P44" s="40"/>
      <c r="Q44" s="40">
        <v>1</v>
      </c>
      <c r="S44" s="40"/>
      <c r="U44"/>
      <c r="V44"/>
      <c r="W44"/>
      <c r="X44"/>
    </row>
    <row r="45" spans="1:24">
      <c r="J45" t="s">
        <v>54</v>
      </c>
      <c r="K45">
        <v>101171</v>
      </c>
      <c r="L45" s="40"/>
      <c r="M45" s="40">
        <v>1</v>
      </c>
      <c r="N45" s="40"/>
      <c r="O45" s="40"/>
      <c r="P45" s="40"/>
      <c r="Q45" s="40">
        <v>1</v>
      </c>
      <c r="S45" s="40"/>
      <c r="U45"/>
      <c r="V45"/>
      <c r="W45"/>
      <c r="X45"/>
    </row>
    <row r="46" spans="1:24">
      <c r="J46" t="s">
        <v>54</v>
      </c>
      <c r="K46">
        <v>99753</v>
      </c>
      <c r="L46" s="40">
        <v>1</v>
      </c>
      <c r="M46" s="40"/>
      <c r="N46" s="40"/>
      <c r="O46" s="40"/>
      <c r="P46" s="40"/>
      <c r="Q46" s="40">
        <v>1</v>
      </c>
      <c r="S46" s="40"/>
      <c r="U46"/>
      <c r="V46"/>
      <c r="W46"/>
      <c r="X46"/>
    </row>
    <row r="47" spans="1:24">
      <c r="J47" t="s">
        <v>54</v>
      </c>
      <c r="K47">
        <v>96189</v>
      </c>
      <c r="L47" s="40"/>
      <c r="M47" s="40">
        <v>2</v>
      </c>
      <c r="N47" s="40"/>
      <c r="O47" s="40"/>
      <c r="P47" s="40"/>
      <c r="Q47" s="40">
        <v>2</v>
      </c>
      <c r="S47" s="40"/>
      <c r="U47"/>
      <c r="V47"/>
      <c r="W47"/>
      <c r="X47"/>
    </row>
    <row r="48" spans="1:24">
      <c r="J48" t="s">
        <v>54</v>
      </c>
      <c r="K48">
        <v>97744</v>
      </c>
      <c r="L48" s="40"/>
      <c r="M48" s="40">
        <v>1</v>
      </c>
      <c r="N48" s="40"/>
      <c r="O48" s="40"/>
      <c r="P48" s="40"/>
      <c r="Q48" s="40">
        <v>1</v>
      </c>
      <c r="S48" s="40"/>
      <c r="U48"/>
      <c r="V48"/>
      <c r="W48"/>
      <c r="X48"/>
    </row>
    <row r="49" spans="10:24">
      <c r="J49" t="s">
        <v>54</v>
      </c>
      <c r="K49">
        <v>95501</v>
      </c>
      <c r="L49" s="40"/>
      <c r="M49" s="40">
        <v>1</v>
      </c>
      <c r="N49" s="40"/>
      <c r="O49" s="40"/>
      <c r="P49" s="40"/>
      <c r="Q49" s="40">
        <v>1</v>
      </c>
      <c r="S49" s="40"/>
      <c r="U49"/>
      <c r="V49"/>
      <c r="W49"/>
      <c r="X49"/>
    </row>
    <row r="50" spans="10:24">
      <c r="J50" t="s">
        <v>54</v>
      </c>
      <c r="K50">
        <v>91583</v>
      </c>
      <c r="L50" s="40"/>
      <c r="M50" s="40">
        <v>1</v>
      </c>
      <c r="N50" s="40"/>
      <c r="O50" s="40"/>
      <c r="P50" s="40"/>
      <c r="Q50" s="40">
        <v>1</v>
      </c>
      <c r="S50" s="40"/>
      <c r="U50"/>
      <c r="V50"/>
      <c r="W50"/>
      <c r="X50"/>
    </row>
    <row r="51" spans="10:24">
      <c r="J51" t="s">
        <v>54</v>
      </c>
      <c r="K51">
        <v>91582</v>
      </c>
      <c r="L51" s="40"/>
      <c r="M51" s="40">
        <v>1</v>
      </c>
      <c r="N51" s="40"/>
      <c r="O51" s="40"/>
      <c r="P51" s="40"/>
      <c r="Q51" s="40">
        <v>1</v>
      </c>
      <c r="S51" s="40"/>
      <c r="U51"/>
      <c r="V51"/>
      <c r="W51"/>
      <c r="X51"/>
    </row>
    <row r="52" spans="10:24">
      <c r="J52" t="s">
        <v>54</v>
      </c>
      <c r="K52">
        <v>91581</v>
      </c>
      <c r="L52" s="40"/>
      <c r="M52" s="40">
        <v>2</v>
      </c>
      <c r="N52" s="40"/>
      <c r="O52" s="40"/>
      <c r="P52" s="40"/>
      <c r="Q52" s="40">
        <v>2</v>
      </c>
      <c r="S52" s="40"/>
      <c r="U52"/>
      <c r="V52"/>
      <c r="W52"/>
      <c r="X52"/>
    </row>
    <row r="53" spans="10:24">
      <c r="J53" t="s">
        <v>54</v>
      </c>
      <c r="K53">
        <v>90604</v>
      </c>
      <c r="L53" s="40"/>
      <c r="M53" s="40"/>
      <c r="N53" s="40"/>
      <c r="O53" s="40">
        <v>1</v>
      </c>
      <c r="P53" s="40"/>
      <c r="Q53" s="40">
        <v>1</v>
      </c>
      <c r="S53" s="40"/>
      <c r="U53"/>
      <c r="V53"/>
      <c r="W53"/>
      <c r="X53"/>
    </row>
    <row r="54" spans="10:24">
      <c r="J54" t="s">
        <v>54</v>
      </c>
      <c r="K54">
        <v>109581</v>
      </c>
      <c r="L54" s="40"/>
      <c r="M54" s="40">
        <v>1</v>
      </c>
      <c r="N54" s="40"/>
      <c r="O54" s="40"/>
      <c r="P54" s="40"/>
      <c r="Q54" s="40">
        <v>1</v>
      </c>
      <c r="S54" s="40"/>
      <c r="U54"/>
      <c r="V54"/>
      <c r="W54"/>
      <c r="X54"/>
    </row>
    <row r="55" spans="10:24">
      <c r="J55" t="s">
        <v>54</v>
      </c>
      <c r="K55">
        <v>107489</v>
      </c>
      <c r="L55" s="40"/>
      <c r="M55" s="40">
        <v>1</v>
      </c>
      <c r="N55" s="40"/>
      <c r="O55" s="40"/>
      <c r="P55" s="40"/>
      <c r="Q55" s="40">
        <v>1</v>
      </c>
      <c r="S55" s="40"/>
      <c r="U55"/>
      <c r="V55"/>
      <c r="W55"/>
      <c r="X55"/>
    </row>
    <row r="56" spans="10:24">
      <c r="J56" t="s">
        <v>54</v>
      </c>
      <c r="K56">
        <v>109162</v>
      </c>
      <c r="L56" s="40"/>
      <c r="M56" s="40">
        <v>1</v>
      </c>
      <c r="N56" s="40"/>
      <c r="O56" s="40"/>
      <c r="P56" s="40"/>
      <c r="Q56" s="40">
        <v>1</v>
      </c>
      <c r="S56" s="40"/>
      <c r="U56"/>
      <c r="V56"/>
      <c r="W56"/>
      <c r="X56"/>
    </row>
    <row r="57" spans="10:24">
      <c r="J57" t="s">
        <v>24</v>
      </c>
      <c r="K57">
        <v>91736</v>
      </c>
      <c r="L57" s="40">
        <v>3</v>
      </c>
      <c r="M57" s="40"/>
      <c r="N57" s="40"/>
      <c r="O57" s="40"/>
      <c r="P57" s="40"/>
      <c r="Q57" s="40">
        <v>3</v>
      </c>
      <c r="S57" s="40"/>
      <c r="U57"/>
      <c r="V57"/>
      <c r="W57"/>
      <c r="X57"/>
    </row>
    <row r="58" spans="10:24">
      <c r="J58" t="s">
        <v>77</v>
      </c>
      <c r="K58">
        <v>106172</v>
      </c>
      <c r="L58" s="40">
        <v>5</v>
      </c>
      <c r="M58" s="40"/>
      <c r="N58" s="40"/>
      <c r="O58" s="40"/>
      <c r="P58" s="40"/>
      <c r="Q58" s="40">
        <v>5</v>
      </c>
      <c r="S58" s="40"/>
      <c r="U58"/>
      <c r="V58"/>
      <c r="W58"/>
      <c r="X58"/>
    </row>
    <row r="59" spans="10:24">
      <c r="J59" t="s">
        <v>28</v>
      </c>
      <c r="K59">
        <v>108095</v>
      </c>
      <c r="L59" s="40"/>
      <c r="M59" s="40">
        <v>2</v>
      </c>
      <c r="N59" s="40"/>
      <c r="O59" s="40"/>
      <c r="P59" s="40"/>
      <c r="Q59" s="40">
        <v>2</v>
      </c>
      <c r="S59" s="40"/>
      <c r="U59"/>
      <c r="V59"/>
      <c r="W59"/>
      <c r="X59"/>
    </row>
    <row r="60" spans="10:24">
      <c r="J60" t="s">
        <v>28</v>
      </c>
      <c r="K60">
        <v>106172</v>
      </c>
      <c r="L60" s="40">
        <v>2</v>
      </c>
      <c r="M60" s="40"/>
      <c r="N60" s="40"/>
      <c r="O60" s="40"/>
      <c r="P60" s="40"/>
      <c r="Q60" s="40">
        <v>2</v>
      </c>
      <c r="S60" s="40"/>
      <c r="U60"/>
      <c r="V60"/>
      <c r="W60"/>
      <c r="X60"/>
    </row>
    <row r="61" spans="10:24">
      <c r="J61" t="s">
        <v>28</v>
      </c>
      <c r="K61">
        <v>107267</v>
      </c>
      <c r="L61" s="40"/>
      <c r="M61" s="40"/>
      <c r="N61" s="40"/>
      <c r="O61" s="40"/>
      <c r="P61" s="40">
        <v>2</v>
      </c>
      <c r="Q61" s="40">
        <v>2</v>
      </c>
      <c r="S61" s="40"/>
      <c r="U61"/>
      <c r="V61"/>
      <c r="W61"/>
      <c r="X61"/>
    </row>
    <row r="62" spans="10:24">
      <c r="J62" t="s">
        <v>28</v>
      </c>
      <c r="K62">
        <v>106057</v>
      </c>
      <c r="L62" s="40"/>
      <c r="M62" s="40"/>
      <c r="N62" s="40">
        <v>1</v>
      </c>
      <c r="O62" s="40"/>
      <c r="P62" s="40"/>
      <c r="Q62" s="40">
        <v>1</v>
      </c>
      <c r="S62" s="40"/>
      <c r="U62"/>
      <c r="V62"/>
      <c r="W62"/>
      <c r="X62"/>
    </row>
    <row r="63" spans="10:24">
      <c r="J63" t="s">
        <v>28</v>
      </c>
      <c r="K63">
        <v>106604</v>
      </c>
      <c r="L63" s="40"/>
      <c r="M63" s="40">
        <v>1</v>
      </c>
      <c r="N63" s="40"/>
      <c r="O63" s="40"/>
      <c r="P63" s="40"/>
      <c r="Q63" s="40">
        <v>1</v>
      </c>
      <c r="S63" s="40"/>
      <c r="U63"/>
      <c r="V63"/>
      <c r="W63"/>
      <c r="X63"/>
    </row>
    <row r="64" spans="10:24">
      <c r="J64" t="s">
        <v>28</v>
      </c>
      <c r="K64">
        <v>105719</v>
      </c>
      <c r="L64" s="40"/>
      <c r="M64" s="40">
        <v>1</v>
      </c>
      <c r="N64" s="40"/>
      <c r="O64" s="40"/>
      <c r="P64" s="40"/>
      <c r="Q64" s="40">
        <v>1</v>
      </c>
      <c r="S64" s="40"/>
      <c r="U64"/>
      <c r="V64"/>
      <c r="W64"/>
      <c r="X64"/>
    </row>
    <row r="65" spans="10:24">
      <c r="J65" t="s">
        <v>28</v>
      </c>
      <c r="K65">
        <v>104966</v>
      </c>
      <c r="L65" s="40"/>
      <c r="M65" s="40">
        <v>1</v>
      </c>
      <c r="N65" s="40"/>
      <c r="O65" s="40"/>
      <c r="P65" s="40"/>
      <c r="Q65" s="40">
        <v>1</v>
      </c>
      <c r="S65" s="40"/>
      <c r="U65"/>
      <c r="V65"/>
      <c r="W65"/>
      <c r="X65"/>
    </row>
    <row r="66" spans="10:24">
      <c r="J66" t="s">
        <v>28</v>
      </c>
      <c r="K66">
        <v>102410</v>
      </c>
      <c r="L66" s="40"/>
      <c r="M66" s="40">
        <v>1</v>
      </c>
      <c r="N66" s="40"/>
      <c r="O66" s="40"/>
      <c r="P66" s="40"/>
      <c r="Q66" s="40">
        <v>1</v>
      </c>
      <c r="S66" s="40"/>
      <c r="U66"/>
      <c r="V66"/>
      <c r="W66"/>
      <c r="X66"/>
    </row>
    <row r="67" spans="10:24">
      <c r="J67" t="s">
        <v>28</v>
      </c>
      <c r="K67">
        <v>102420</v>
      </c>
      <c r="L67" s="40"/>
      <c r="M67" s="40">
        <v>1</v>
      </c>
      <c r="N67" s="40"/>
      <c r="O67" s="40"/>
      <c r="P67" s="40"/>
      <c r="Q67" s="40">
        <v>1</v>
      </c>
      <c r="S67" s="40"/>
      <c r="U67"/>
      <c r="V67"/>
      <c r="W67"/>
      <c r="X67"/>
    </row>
    <row r="68" spans="10:24">
      <c r="J68" t="s">
        <v>28</v>
      </c>
      <c r="K68">
        <v>102409</v>
      </c>
      <c r="L68" s="40"/>
      <c r="M68" s="40">
        <v>1</v>
      </c>
      <c r="N68" s="40"/>
      <c r="O68" s="40"/>
      <c r="P68" s="40"/>
      <c r="Q68" s="40">
        <v>1</v>
      </c>
      <c r="S68" s="40"/>
      <c r="U68"/>
      <c r="V68"/>
      <c r="W68"/>
      <c r="X68"/>
    </row>
    <row r="69" spans="10:24">
      <c r="J69" t="s">
        <v>28</v>
      </c>
      <c r="K69">
        <v>102408</v>
      </c>
      <c r="L69" s="40"/>
      <c r="M69" s="40">
        <v>1</v>
      </c>
      <c r="N69" s="40"/>
      <c r="O69" s="40"/>
      <c r="P69" s="40"/>
      <c r="Q69" s="40">
        <v>1</v>
      </c>
      <c r="S69" s="40"/>
      <c r="U69"/>
      <c r="V69"/>
      <c r="W69"/>
      <c r="X69"/>
    </row>
    <row r="70" spans="10:24">
      <c r="J70" t="s">
        <v>28</v>
      </c>
      <c r="K70">
        <v>102406</v>
      </c>
      <c r="L70" s="40"/>
      <c r="M70" s="40">
        <v>1</v>
      </c>
      <c r="N70" s="40"/>
      <c r="O70" s="40"/>
      <c r="P70" s="40"/>
      <c r="Q70" s="40">
        <v>1</v>
      </c>
      <c r="S70" s="40"/>
      <c r="U70"/>
      <c r="V70"/>
      <c r="W70"/>
      <c r="X70"/>
    </row>
    <row r="71" spans="10:24">
      <c r="J71" t="s">
        <v>28</v>
      </c>
      <c r="K71">
        <v>102405</v>
      </c>
      <c r="L71" s="40"/>
      <c r="M71" s="40">
        <v>2</v>
      </c>
      <c r="N71" s="40"/>
      <c r="O71" s="40"/>
      <c r="P71" s="40"/>
      <c r="Q71" s="40">
        <v>2</v>
      </c>
      <c r="S71" s="40"/>
      <c r="U71"/>
      <c r="V71"/>
      <c r="W71"/>
      <c r="X71"/>
    </row>
    <row r="72" spans="10:24">
      <c r="J72" t="s">
        <v>28</v>
      </c>
      <c r="K72">
        <v>95493</v>
      </c>
      <c r="L72" s="40"/>
      <c r="M72" s="40">
        <v>2</v>
      </c>
      <c r="N72" s="40"/>
      <c r="O72" s="40"/>
      <c r="P72" s="40"/>
      <c r="Q72" s="40">
        <v>2</v>
      </c>
      <c r="S72" s="40"/>
      <c r="U72"/>
      <c r="V72"/>
      <c r="W72"/>
      <c r="X72"/>
    </row>
    <row r="73" spans="10:24">
      <c r="J73" t="s">
        <v>28</v>
      </c>
      <c r="K73">
        <v>97744</v>
      </c>
      <c r="L73" s="40"/>
      <c r="M73" s="40">
        <v>1</v>
      </c>
      <c r="N73" s="40"/>
      <c r="O73" s="40"/>
      <c r="P73" s="40"/>
      <c r="Q73" s="40">
        <v>1</v>
      </c>
      <c r="S73" s="40"/>
      <c r="U73"/>
      <c r="V73"/>
      <c r="W73"/>
      <c r="X73"/>
    </row>
    <row r="74" spans="10:24">
      <c r="J74" t="s">
        <v>28</v>
      </c>
      <c r="K74">
        <v>92111</v>
      </c>
      <c r="L74" s="40"/>
      <c r="M74" s="40"/>
      <c r="N74" s="40"/>
      <c r="O74" s="40"/>
      <c r="P74" s="40">
        <v>3</v>
      </c>
      <c r="Q74" s="40">
        <v>3</v>
      </c>
      <c r="S74" s="40"/>
      <c r="U74"/>
      <c r="V74"/>
      <c r="W74"/>
      <c r="X74"/>
    </row>
    <row r="75" spans="10:24">
      <c r="J75" t="s">
        <v>28</v>
      </c>
      <c r="K75">
        <v>90027</v>
      </c>
      <c r="L75" s="40"/>
      <c r="M75" s="40"/>
      <c r="N75" s="40">
        <v>3</v>
      </c>
      <c r="O75" s="40"/>
      <c r="P75" s="40"/>
      <c r="Q75" s="40">
        <v>3</v>
      </c>
      <c r="S75" s="40"/>
      <c r="U75"/>
      <c r="V75"/>
      <c r="W75"/>
      <c r="X75"/>
    </row>
    <row r="76" spans="10:24">
      <c r="J76" t="s">
        <v>28</v>
      </c>
      <c r="K76">
        <v>91583</v>
      </c>
      <c r="L76" s="40"/>
      <c r="M76" s="40">
        <v>1</v>
      </c>
      <c r="N76" s="40"/>
      <c r="O76" s="40"/>
      <c r="P76" s="40"/>
      <c r="Q76" s="40">
        <v>1</v>
      </c>
      <c r="S76" s="40"/>
      <c r="U76"/>
      <c r="V76"/>
      <c r="W76"/>
      <c r="X76"/>
    </row>
    <row r="77" spans="10:24">
      <c r="J77" t="s">
        <v>28</v>
      </c>
      <c r="K77">
        <v>91582</v>
      </c>
      <c r="L77" s="40"/>
      <c r="M77" s="40">
        <v>1</v>
      </c>
      <c r="N77" s="40"/>
      <c r="O77" s="40"/>
      <c r="P77" s="40"/>
      <c r="Q77" s="40">
        <v>1</v>
      </c>
      <c r="S77" s="40"/>
      <c r="U77"/>
      <c r="V77"/>
      <c r="W77"/>
      <c r="X77"/>
    </row>
    <row r="78" spans="10:24">
      <c r="J78" t="s">
        <v>28</v>
      </c>
      <c r="K78">
        <v>91581</v>
      </c>
      <c r="L78" s="40"/>
      <c r="M78" s="40">
        <v>3</v>
      </c>
      <c r="N78" s="40"/>
      <c r="O78" s="40"/>
      <c r="P78" s="40"/>
      <c r="Q78" s="40">
        <v>3</v>
      </c>
      <c r="S78" s="40"/>
      <c r="U78"/>
      <c r="V78"/>
      <c r="W78"/>
      <c r="X78"/>
    </row>
    <row r="79" spans="10:24">
      <c r="J79" t="s">
        <v>28</v>
      </c>
      <c r="K79">
        <v>92518</v>
      </c>
      <c r="L79" s="40"/>
      <c r="M79" s="40">
        <v>1</v>
      </c>
      <c r="N79" s="40"/>
      <c r="O79" s="40"/>
      <c r="P79" s="40"/>
      <c r="Q79" s="40">
        <v>1</v>
      </c>
      <c r="S79" s="40"/>
      <c r="U79"/>
      <c r="V79"/>
      <c r="W79"/>
      <c r="X79"/>
    </row>
    <row r="80" spans="10:24">
      <c r="J80" t="s">
        <v>28</v>
      </c>
      <c r="K80">
        <v>91736</v>
      </c>
      <c r="L80" s="40">
        <v>4</v>
      </c>
      <c r="M80" s="40"/>
      <c r="N80" s="40"/>
      <c r="O80" s="40"/>
      <c r="P80" s="40"/>
      <c r="Q80" s="40">
        <v>4</v>
      </c>
      <c r="S80" s="40"/>
      <c r="U80"/>
      <c r="V80"/>
      <c r="W80"/>
      <c r="X80"/>
    </row>
    <row r="81" spans="10:24">
      <c r="J81" t="s">
        <v>28</v>
      </c>
      <c r="K81">
        <v>92968</v>
      </c>
      <c r="L81" s="40"/>
      <c r="M81" s="40">
        <v>1</v>
      </c>
      <c r="N81" s="40"/>
      <c r="O81" s="40"/>
      <c r="P81" s="40"/>
      <c r="Q81" s="40">
        <v>1</v>
      </c>
      <c r="S81" s="40"/>
      <c r="U81"/>
      <c r="V81"/>
      <c r="W81"/>
      <c r="X81"/>
    </row>
    <row r="82" spans="10:24">
      <c r="J82" t="s">
        <v>28</v>
      </c>
      <c r="K82">
        <v>92496</v>
      </c>
      <c r="L82" s="40"/>
      <c r="M82" s="40">
        <v>3</v>
      </c>
      <c r="N82" s="40"/>
      <c r="O82" s="40"/>
      <c r="P82" s="40"/>
      <c r="Q82" s="40">
        <v>3</v>
      </c>
      <c r="S82" s="40"/>
      <c r="U82"/>
      <c r="V82"/>
      <c r="W82"/>
      <c r="X82"/>
    </row>
    <row r="83" spans="10:24">
      <c r="J83" t="s">
        <v>28</v>
      </c>
      <c r="K83">
        <v>92983</v>
      </c>
      <c r="L83" s="40"/>
      <c r="M83" s="40">
        <v>1</v>
      </c>
      <c r="N83" s="40"/>
      <c r="O83" s="40"/>
      <c r="P83" s="40"/>
      <c r="Q83" s="40">
        <v>1</v>
      </c>
      <c r="S83" s="40"/>
      <c r="U83"/>
      <c r="V83"/>
      <c r="W83"/>
      <c r="X83"/>
    </row>
    <row r="84" spans="10:24">
      <c r="J84" t="s">
        <v>28</v>
      </c>
      <c r="K84">
        <v>92969</v>
      </c>
      <c r="L84" s="40"/>
      <c r="M84" s="40">
        <v>1</v>
      </c>
      <c r="N84" s="40"/>
      <c r="O84" s="40"/>
      <c r="P84" s="40"/>
      <c r="Q84" s="40">
        <v>1</v>
      </c>
      <c r="S84" s="40"/>
      <c r="U84"/>
      <c r="V84"/>
      <c r="W84"/>
      <c r="X84"/>
    </row>
    <row r="85" spans="10:24">
      <c r="J85" t="s">
        <v>28</v>
      </c>
      <c r="K85">
        <v>108411</v>
      </c>
      <c r="L85" s="40"/>
      <c r="M85" s="40">
        <v>1</v>
      </c>
      <c r="N85" s="40"/>
      <c r="O85" s="40"/>
      <c r="P85" s="40"/>
      <c r="Q85" s="40">
        <v>1</v>
      </c>
      <c r="U85"/>
      <c r="V85"/>
      <c r="W85"/>
      <c r="X85"/>
    </row>
    <row r="86" spans="10:24">
      <c r="J86" t="s">
        <v>28</v>
      </c>
      <c r="K86">
        <v>107489</v>
      </c>
      <c r="L86" s="40"/>
      <c r="M86" s="40">
        <v>1</v>
      </c>
      <c r="N86" s="40"/>
      <c r="O86" s="40"/>
      <c r="P86" s="40"/>
      <c r="Q86" s="40">
        <v>1</v>
      </c>
      <c r="U86"/>
      <c r="V86"/>
      <c r="W86"/>
      <c r="X86"/>
    </row>
    <row r="87" spans="10:24">
      <c r="J87" t="s">
        <v>39</v>
      </c>
      <c r="K87">
        <v>108095</v>
      </c>
      <c r="L87" s="40"/>
      <c r="M87" s="40">
        <v>2</v>
      </c>
      <c r="N87" s="40"/>
      <c r="O87" s="40"/>
      <c r="P87" s="40"/>
      <c r="Q87" s="40">
        <v>2</v>
      </c>
      <c r="U87"/>
      <c r="V87"/>
      <c r="W87"/>
      <c r="X87"/>
    </row>
    <row r="88" spans="10:24">
      <c r="J88" t="s">
        <v>39</v>
      </c>
      <c r="K88">
        <v>107469</v>
      </c>
      <c r="L88" s="40"/>
      <c r="M88" s="40">
        <v>1</v>
      </c>
      <c r="N88" s="40"/>
      <c r="O88" s="40"/>
      <c r="P88" s="40"/>
      <c r="Q88" s="40">
        <v>1</v>
      </c>
      <c r="U88"/>
      <c r="V88"/>
      <c r="W88"/>
      <c r="X88"/>
    </row>
    <row r="89" spans="10:24">
      <c r="J89" t="s">
        <v>39</v>
      </c>
      <c r="K89">
        <v>104719</v>
      </c>
      <c r="L89" s="40"/>
      <c r="M89" s="40"/>
      <c r="N89" s="40">
        <v>1</v>
      </c>
      <c r="O89" s="40"/>
      <c r="P89" s="40"/>
      <c r="Q89" s="40">
        <v>1</v>
      </c>
      <c r="U89"/>
      <c r="V89"/>
      <c r="W89"/>
      <c r="X89"/>
    </row>
    <row r="90" spans="10:24">
      <c r="J90" t="s">
        <v>39</v>
      </c>
      <c r="K90">
        <v>106604</v>
      </c>
      <c r="L90" s="40"/>
      <c r="M90" s="40">
        <v>1</v>
      </c>
      <c r="N90" s="40"/>
      <c r="O90" s="40"/>
      <c r="P90" s="40"/>
      <c r="Q90" s="40">
        <v>1</v>
      </c>
      <c r="U90"/>
      <c r="V90"/>
      <c r="W90"/>
      <c r="X90"/>
    </row>
    <row r="91" spans="10:24">
      <c r="J91" t="s">
        <v>39</v>
      </c>
      <c r="K91">
        <v>98105</v>
      </c>
      <c r="L91" s="40"/>
      <c r="M91" s="40">
        <v>1</v>
      </c>
      <c r="N91" s="40"/>
      <c r="O91" s="40"/>
      <c r="P91" s="40"/>
      <c r="Q91" s="40">
        <v>1</v>
      </c>
      <c r="U91"/>
      <c r="V91"/>
      <c r="W91"/>
      <c r="X91"/>
    </row>
    <row r="92" spans="10:24">
      <c r="J92" t="s">
        <v>39</v>
      </c>
      <c r="K92">
        <v>100087</v>
      </c>
      <c r="L92" s="40"/>
      <c r="M92" s="40">
        <v>1</v>
      </c>
      <c r="N92" s="40"/>
      <c r="O92" s="40"/>
      <c r="P92" s="40"/>
      <c r="Q92" s="40">
        <v>1</v>
      </c>
      <c r="U92"/>
      <c r="V92"/>
      <c r="W92"/>
      <c r="X92"/>
    </row>
    <row r="93" spans="10:24">
      <c r="J93" t="s">
        <v>39</v>
      </c>
      <c r="K93">
        <v>95493</v>
      </c>
      <c r="L93" s="40"/>
      <c r="M93" s="40">
        <v>1</v>
      </c>
      <c r="N93" s="40"/>
      <c r="O93" s="40"/>
      <c r="P93" s="40"/>
      <c r="Q93" s="40">
        <v>1</v>
      </c>
      <c r="U93"/>
      <c r="V93"/>
      <c r="W93"/>
      <c r="X93"/>
    </row>
    <row r="94" spans="10:24">
      <c r="J94" t="s">
        <v>39</v>
      </c>
      <c r="K94">
        <v>96189</v>
      </c>
      <c r="L94" s="40"/>
      <c r="M94" s="40">
        <v>1</v>
      </c>
      <c r="N94" s="40"/>
      <c r="O94" s="40"/>
      <c r="P94" s="40"/>
      <c r="Q94" s="40">
        <v>1</v>
      </c>
      <c r="U94"/>
      <c r="V94"/>
      <c r="W94"/>
      <c r="X94"/>
    </row>
    <row r="95" spans="10:24">
      <c r="J95" t="s">
        <v>39</v>
      </c>
      <c r="K95">
        <v>97744</v>
      </c>
      <c r="L95" s="40"/>
      <c r="M95" s="40">
        <v>1</v>
      </c>
      <c r="N95" s="40"/>
      <c r="O95" s="40"/>
      <c r="P95" s="40"/>
      <c r="Q95" s="40">
        <v>1</v>
      </c>
      <c r="U95"/>
      <c r="V95"/>
      <c r="W95"/>
      <c r="X95"/>
    </row>
    <row r="96" spans="10:24">
      <c r="J96" t="s">
        <v>39</v>
      </c>
      <c r="K96">
        <v>98031</v>
      </c>
      <c r="L96" s="40"/>
      <c r="M96" s="40">
        <v>1</v>
      </c>
      <c r="N96" s="40"/>
      <c r="O96" s="40"/>
      <c r="P96" s="40"/>
      <c r="Q96" s="40">
        <v>1</v>
      </c>
      <c r="U96"/>
      <c r="V96"/>
      <c r="W96"/>
      <c r="X96"/>
    </row>
    <row r="97" spans="10:24">
      <c r="J97" t="s">
        <v>39</v>
      </c>
      <c r="K97">
        <v>92111</v>
      </c>
      <c r="L97" s="40"/>
      <c r="M97" s="40"/>
      <c r="N97" s="40"/>
      <c r="O97" s="40"/>
      <c r="P97" s="40">
        <v>1</v>
      </c>
      <c r="Q97" s="40">
        <v>1</v>
      </c>
      <c r="U97"/>
      <c r="V97"/>
      <c r="W97"/>
      <c r="X97"/>
    </row>
    <row r="98" spans="10:24">
      <c r="J98" t="s">
        <v>39</v>
      </c>
      <c r="K98">
        <v>88208</v>
      </c>
      <c r="L98" s="40"/>
      <c r="M98" s="40"/>
      <c r="N98" s="40">
        <v>2</v>
      </c>
      <c r="O98" s="40"/>
      <c r="P98" s="40"/>
      <c r="Q98" s="40">
        <v>2</v>
      </c>
      <c r="U98"/>
      <c r="V98"/>
      <c r="W98"/>
      <c r="X98"/>
    </row>
    <row r="99" spans="10:24">
      <c r="J99" t="s">
        <v>39</v>
      </c>
      <c r="K99">
        <v>91583</v>
      </c>
      <c r="L99" s="40"/>
      <c r="M99" s="40">
        <v>1</v>
      </c>
      <c r="N99" s="40"/>
      <c r="O99" s="40"/>
      <c r="P99" s="40"/>
      <c r="Q99" s="40">
        <v>1</v>
      </c>
      <c r="U99"/>
      <c r="V99"/>
      <c r="W99"/>
      <c r="X99"/>
    </row>
    <row r="100" spans="10:24">
      <c r="J100" t="s">
        <v>39</v>
      </c>
      <c r="K100">
        <v>91582</v>
      </c>
      <c r="L100" s="40"/>
      <c r="M100" s="40">
        <v>1</v>
      </c>
      <c r="N100" s="40"/>
      <c r="O100" s="40"/>
      <c r="P100" s="40"/>
      <c r="Q100" s="40">
        <v>1</v>
      </c>
      <c r="U100"/>
      <c r="V100"/>
      <c r="W100"/>
      <c r="X100"/>
    </row>
    <row r="101" spans="10:24">
      <c r="J101" t="s">
        <v>39</v>
      </c>
      <c r="K101">
        <v>91581</v>
      </c>
      <c r="L101" s="40"/>
      <c r="M101" s="40">
        <v>1</v>
      </c>
      <c r="N101" s="40"/>
      <c r="O101" s="40"/>
      <c r="P101" s="40"/>
      <c r="Q101" s="40">
        <v>1</v>
      </c>
      <c r="U101"/>
      <c r="V101"/>
      <c r="W101"/>
      <c r="X101"/>
    </row>
    <row r="102" spans="10:24">
      <c r="J102" t="s">
        <v>39</v>
      </c>
      <c r="K102">
        <v>92993</v>
      </c>
      <c r="L102" s="40"/>
      <c r="M102" s="40">
        <v>1</v>
      </c>
      <c r="N102" s="40"/>
      <c r="O102" s="40"/>
      <c r="P102" s="40"/>
      <c r="Q102" s="40">
        <v>1</v>
      </c>
      <c r="U102"/>
      <c r="V102"/>
      <c r="W102"/>
      <c r="X102"/>
    </row>
    <row r="103" spans="10:24">
      <c r="J103" t="s">
        <v>39</v>
      </c>
      <c r="K103">
        <v>109390</v>
      </c>
      <c r="L103" s="40"/>
      <c r="M103" s="40">
        <v>1</v>
      </c>
      <c r="N103" s="40"/>
      <c r="O103" s="40"/>
      <c r="P103" s="40"/>
      <c r="Q103" s="40">
        <v>1</v>
      </c>
      <c r="U103"/>
      <c r="V103"/>
      <c r="W103"/>
      <c r="X103"/>
    </row>
    <row r="104" spans="10:24">
      <c r="J104" t="s">
        <v>75</v>
      </c>
      <c r="K104">
        <v>99753</v>
      </c>
      <c r="L104" s="40">
        <v>2</v>
      </c>
      <c r="M104" s="40"/>
      <c r="N104" s="40"/>
      <c r="O104" s="40"/>
      <c r="P104" s="40"/>
      <c r="Q104" s="40">
        <v>2</v>
      </c>
      <c r="U104"/>
      <c r="V104"/>
      <c r="W104"/>
      <c r="X104"/>
    </row>
    <row r="105" spans="10:24">
      <c r="J105" t="s">
        <v>26</v>
      </c>
      <c r="K105">
        <v>93300</v>
      </c>
      <c r="L105" s="40"/>
      <c r="M105" s="40">
        <v>1</v>
      </c>
      <c r="N105" s="40"/>
      <c r="O105" s="40"/>
      <c r="P105" s="40"/>
      <c r="Q105" s="40">
        <v>1</v>
      </c>
      <c r="U105"/>
      <c r="V105"/>
      <c r="W105"/>
      <c r="X105"/>
    </row>
    <row r="106" spans="10:24">
      <c r="J106" t="s">
        <v>26</v>
      </c>
      <c r="K106">
        <v>91736</v>
      </c>
      <c r="L106" s="40">
        <v>1</v>
      </c>
      <c r="M106" s="40"/>
      <c r="N106" s="40"/>
      <c r="O106" s="40"/>
      <c r="P106" s="40"/>
      <c r="Q106" s="40">
        <v>1</v>
      </c>
      <c r="U106"/>
      <c r="V106"/>
      <c r="W106"/>
      <c r="X106"/>
    </row>
    <row r="107" spans="10:24">
      <c r="J107" t="s">
        <v>1902</v>
      </c>
      <c r="K107"/>
      <c r="L107" s="40">
        <v>23</v>
      </c>
      <c r="M107" s="40">
        <v>93</v>
      </c>
      <c r="N107" s="40">
        <v>10</v>
      </c>
      <c r="O107" s="40">
        <v>1</v>
      </c>
      <c r="P107" s="40">
        <v>7</v>
      </c>
      <c r="Q107" s="40">
        <v>134</v>
      </c>
      <c r="U107"/>
      <c r="V107"/>
      <c r="W107"/>
      <c r="X107"/>
    </row>
    <row r="108" spans="10:24">
      <c r="K108"/>
      <c r="L108"/>
      <c r="M108"/>
      <c r="N108"/>
      <c r="U108"/>
      <c r="V108"/>
      <c r="W108"/>
      <c r="X108"/>
    </row>
    <row r="109" spans="10:24">
      <c r="K109"/>
      <c r="L109"/>
      <c r="M109"/>
      <c r="N109"/>
      <c r="U109"/>
      <c r="V109"/>
      <c r="W109"/>
      <c r="X109"/>
    </row>
    <row r="110" spans="10:24">
      <c r="K110"/>
      <c r="L110"/>
      <c r="M110"/>
      <c r="N110"/>
      <c r="U110"/>
      <c r="V110"/>
      <c r="W110"/>
      <c r="X110"/>
    </row>
    <row r="111" spans="10:24">
      <c r="K111"/>
      <c r="L111"/>
      <c r="M111"/>
      <c r="N111"/>
      <c r="U111"/>
      <c r="V111"/>
      <c r="W111"/>
      <c r="X111"/>
    </row>
    <row r="112" spans="10:24">
      <c r="K112"/>
      <c r="L112"/>
      <c r="M112"/>
      <c r="N112"/>
      <c r="U112"/>
      <c r="V112"/>
      <c r="W112"/>
      <c r="X112"/>
    </row>
    <row r="113" spans="11:24">
      <c r="K113"/>
      <c r="L113"/>
      <c r="M113"/>
      <c r="N113"/>
      <c r="U113"/>
      <c r="V113"/>
      <c r="W113"/>
      <c r="X113"/>
    </row>
    <row r="114" spans="11:24">
      <c r="K114"/>
      <c r="L114"/>
      <c r="M114"/>
      <c r="N114"/>
      <c r="U114"/>
      <c r="V114"/>
      <c r="W114"/>
      <c r="X114"/>
    </row>
    <row r="115" spans="11:24">
      <c r="K115"/>
      <c r="L115"/>
      <c r="M115"/>
      <c r="N115"/>
      <c r="U115"/>
      <c r="V115"/>
      <c r="W115"/>
      <c r="X115"/>
    </row>
    <row r="116" spans="11:24">
      <c r="K116"/>
      <c r="L116"/>
      <c r="M116"/>
      <c r="N116"/>
      <c r="U116"/>
      <c r="V116"/>
      <c r="W116"/>
      <c r="X116"/>
    </row>
    <row r="117" spans="11:24">
      <c r="K117"/>
      <c r="L117"/>
      <c r="M117"/>
      <c r="N117"/>
      <c r="U117"/>
      <c r="V117"/>
      <c r="W117"/>
      <c r="X117"/>
    </row>
    <row r="118" spans="11:24">
      <c r="K118"/>
      <c r="L118"/>
      <c r="M118"/>
      <c r="N118"/>
      <c r="U118"/>
      <c r="V118"/>
      <c r="W118"/>
      <c r="X118"/>
    </row>
    <row r="119" spans="11:24">
      <c r="K119"/>
      <c r="L119"/>
      <c r="M119"/>
      <c r="N119"/>
      <c r="U119"/>
      <c r="V119"/>
      <c r="W119"/>
      <c r="X119"/>
    </row>
    <row r="120" spans="11:24">
      <c r="K120"/>
      <c r="L120"/>
      <c r="M120"/>
      <c r="N120"/>
      <c r="U120"/>
      <c r="V120"/>
      <c r="W120"/>
      <c r="X120"/>
    </row>
    <row r="121" spans="11:24">
      <c r="K121"/>
      <c r="L121"/>
      <c r="M121"/>
      <c r="N121"/>
      <c r="U121"/>
      <c r="V121"/>
      <c r="W121"/>
      <c r="X121"/>
    </row>
    <row r="122" spans="11:24">
      <c r="K122"/>
      <c r="L122"/>
      <c r="M122"/>
      <c r="N122"/>
      <c r="U122"/>
      <c r="V122"/>
      <c r="W122"/>
      <c r="X122"/>
    </row>
    <row r="123" spans="11:24">
      <c r="K123"/>
      <c r="L123"/>
      <c r="M123"/>
      <c r="N123"/>
      <c r="U123"/>
      <c r="V123"/>
      <c r="W123"/>
      <c r="X123"/>
    </row>
    <row r="124" spans="11:24">
      <c r="K124"/>
      <c r="L124"/>
      <c r="M124"/>
      <c r="N124"/>
      <c r="U124"/>
      <c r="V124"/>
      <c r="W124"/>
      <c r="X124"/>
    </row>
    <row r="125" spans="11:24">
      <c r="K125"/>
      <c r="L125"/>
      <c r="M125"/>
      <c r="N125"/>
      <c r="U125"/>
      <c r="V125"/>
      <c r="W125"/>
      <c r="X125"/>
    </row>
    <row r="126" spans="11:24">
      <c r="K126"/>
      <c r="L126"/>
      <c r="M126"/>
      <c r="N126"/>
      <c r="U126"/>
      <c r="V126"/>
      <c r="W126"/>
      <c r="X126"/>
    </row>
    <row r="127" spans="11:24">
      <c r="K127"/>
      <c r="L127"/>
      <c r="M127"/>
      <c r="N127"/>
      <c r="U127"/>
      <c r="V127"/>
      <c r="W127"/>
      <c r="X127"/>
    </row>
    <row r="128" spans="11:24">
      <c r="K128"/>
      <c r="L128"/>
      <c r="M128"/>
      <c r="N128"/>
      <c r="U128"/>
      <c r="V128"/>
      <c r="W128"/>
      <c r="X128"/>
    </row>
    <row r="129" spans="11:24">
      <c r="K129"/>
      <c r="L129"/>
      <c r="M129"/>
      <c r="N129"/>
      <c r="U129"/>
      <c r="V129"/>
      <c r="W129"/>
      <c r="X129"/>
    </row>
    <row r="130" spans="11:24">
      <c r="K130"/>
      <c r="L130"/>
      <c r="M130"/>
      <c r="N130"/>
      <c r="U130"/>
      <c r="V130"/>
      <c r="W130"/>
      <c r="X130"/>
    </row>
    <row r="131" spans="11:24">
      <c r="K131"/>
      <c r="L131"/>
      <c r="M131"/>
      <c r="N131"/>
      <c r="U131"/>
      <c r="V131"/>
      <c r="W131"/>
      <c r="X131"/>
    </row>
    <row r="132" spans="11:24">
      <c r="K132"/>
      <c r="L132"/>
      <c r="M132"/>
      <c r="N132"/>
      <c r="U132"/>
      <c r="V132"/>
      <c r="W132"/>
      <c r="X132"/>
    </row>
    <row r="133" spans="11:24">
      <c r="K133"/>
      <c r="L133"/>
      <c r="M133"/>
      <c r="N133"/>
      <c r="U133"/>
      <c r="V133"/>
      <c r="W133"/>
      <c r="X133"/>
    </row>
    <row r="134" spans="11:24">
      <c r="K134"/>
      <c r="L134"/>
      <c r="M134"/>
      <c r="N134"/>
      <c r="U134"/>
      <c r="V134"/>
      <c r="W134"/>
      <c r="X134"/>
    </row>
    <row r="135" spans="11:24">
      <c r="K135"/>
      <c r="L135"/>
      <c r="M135"/>
      <c r="N135"/>
      <c r="U135"/>
      <c r="V135"/>
      <c r="W135"/>
      <c r="X135"/>
    </row>
    <row r="136" spans="11:24">
      <c r="K136"/>
      <c r="L136"/>
      <c r="M136"/>
      <c r="N136"/>
      <c r="U136"/>
      <c r="V136"/>
      <c r="W136"/>
      <c r="X136"/>
    </row>
    <row r="137" spans="11:24">
      <c r="K137"/>
      <c r="L137"/>
      <c r="M137"/>
      <c r="N137"/>
      <c r="U137"/>
      <c r="V137"/>
      <c r="W137"/>
      <c r="X137"/>
    </row>
    <row r="138" spans="11:24">
      <c r="K138"/>
      <c r="L138"/>
      <c r="M138"/>
      <c r="N138"/>
      <c r="U138"/>
      <c r="V138"/>
      <c r="W138"/>
      <c r="X138"/>
    </row>
    <row r="139" spans="11:24">
      <c r="K139"/>
      <c r="L139"/>
      <c r="M139"/>
      <c r="N139"/>
      <c r="U139"/>
      <c r="V139"/>
      <c r="W139"/>
      <c r="X139"/>
    </row>
    <row r="140" spans="11:24">
      <c r="K140"/>
      <c r="L140"/>
      <c r="M140"/>
      <c r="N140"/>
      <c r="U140"/>
      <c r="V140"/>
      <c r="W140"/>
      <c r="X140"/>
    </row>
    <row r="141" spans="11:24">
      <c r="K141"/>
      <c r="L141"/>
      <c r="M141"/>
      <c r="N141"/>
      <c r="U141"/>
      <c r="V141"/>
      <c r="W141"/>
      <c r="X141"/>
    </row>
    <row r="142" spans="11:24">
      <c r="K142"/>
      <c r="L142"/>
      <c r="M142"/>
      <c r="N142"/>
      <c r="U142"/>
      <c r="V142"/>
      <c r="W142"/>
      <c r="X142"/>
    </row>
    <row r="143" spans="11:24">
      <c r="K143"/>
      <c r="L143"/>
      <c r="M143"/>
      <c r="N143"/>
      <c r="U143"/>
      <c r="V143"/>
      <c r="W143"/>
      <c r="X143"/>
    </row>
    <row r="144" spans="11:24">
      <c r="K144"/>
      <c r="L144"/>
      <c r="M144"/>
      <c r="N144"/>
      <c r="U144"/>
      <c r="V144"/>
      <c r="W144"/>
      <c r="X144"/>
    </row>
    <row r="145" spans="11:24">
      <c r="K145"/>
      <c r="L145"/>
      <c r="M145"/>
      <c r="N145"/>
      <c r="U145"/>
      <c r="V145"/>
      <c r="W145"/>
      <c r="X145"/>
    </row>
    <row r="146" spans="11:24">
      <c r="K146"/>
      <c r="L146"/>
      <c r="M146"/>
      <c r="N146"/>
      <c r="U146"/>
      <c r="V146"/>
      <c r="W146"/>
      <c r="X146"/>
    </row>
    <row r="147" spans="11:24">
      <c r="K147"/>
      <c r="L147"/>
      <c r="M147"/>
      <c r="N147"/>
      <c r="U147"/>
      <c r="V147"/>
      <c r="W147"/>
      <c r="X147"/>
    </row>
    <row r="148" spans="11:24">
      <c r="K148"/>
      <c r="L148"/>
      <c r="M148"/>
      <c r="N148"/>
      <c r="U148"/>
      <c r="V148"/>
      <c r="W148"/>
      <c r="X148"/>
    </row>
    <row r="149" spans="11:24">
      <c r="K149"/>
      <c r="L149"/>
      <c r="M149"/>
      <c r="N149"/>
      <c r="U149"/>
      <c r="V149"/>
      <c r="W149"/>
      <c r="X149"/>
    </row>
    <row r="150" spans="11:24">
      <c r="K150"/>
      <c r="L150"/>
      <c r="M150"/>
      <c r="N150"/>
      <c r="U150"/>
      <c r="V150"/>
      <c r="W150"/>
      <c r="X150"/>
    </row>
    <row r="151" spans="11:24">
      <c r="K151"/>
      <c r="L151"/>
      <c r="M151"/>
      <c r="N151"/>
      <c r="U151"/>
      <c r="V151"/>
      <c r="W151"/>
      <c r="X151"/>
    </row>
    <row r="152" spans="11:24">
      <c r="K152"/>
      <c r="L152"/>
      <c r="M152"/>
      <c r="N152"/>
      <c r="U152"/>
      <c r="V152"/>
      <c r="W152"/>
      <c r="X152"/>
    </row>
    <row r="153" spans="11:24">
      <c r="K153"/>
      <c r="L153"/>
      <c r="M153"/>
      <c r="N153"/>
      <c r="U153"/>
      <c r="V153"/>
      <c r="W153"/>
      <c r="X153"/>
    </row>
    <row r="154" spans="11:24">
      <c r="K154"/>
      <c r="L154"/>
      <c r="M154"/>
      <c r="N154"/>
      <c r="U154"/>
      <c r="V154"/>
      <c r="W154"/>
      <c r="X154"/>
    </row>
    <row r="155" spans="11:24">
      <c r="K155"/>
      <c r="L155"/>
      <c r="M155"/>
      <c r="N155"/>
      <c r="U155"/>
      <c r="V155"/>
      <c r="W155"/>
      <c r="X155"/>
    </row>
    <row r="156" spans="11:24">
      <c r="K156"/>
      <c r="L156"/>
      <c r="M156"/>
      <c r="N156"/>
      <c r="U156"/>
      <c r="V156"/>
      <c r="W156"/>
      <c r="X156"/>
    </row>
    <row r="157" spans="11:24">
      <c r="K157"/>
      <c r="L157"/>
      <c r="M157"/>
      <c r="N157"/>
      <c r="U157"/>
      <c r="V157"/>
      <c r="W157"/>
      <c r="X157"/>
    </row>
    <row r="158" spans="11:24">
      <c r="K158"/>
      <c r="L158"/>
      <c r="M158"/>
      <c r="N158"/>
      <c r="U158"/>
      <c r="V158"/>
      <c r="W158"/>
      <c r="X158"/>
    </row>
    <row r="159" spans="11:24">
      <c r="K159"/>
      <c r="L159"/>
      <c r="M159"/>
      <c r="N159"/>
      <c r="U159"/>
      <c r="V159"/>
      <c r="W159"/>
      <c r="X159"/>
    </row>
    <row r="160" spans="11:24">
      <c r="K160"/>
      <c r="L160"/>
      <c r="M160"/>
      <c r="N160"/>
      <c r="U160"/>
      <c r="V160"/>
      <c r="W160"/>
      <c r="X160"/>
    </row>
    <row r="161" spans="11:24">
      <c r="K161"/>
      <c r="L161"/>
      <c r="M161"/>
      <c r="N161"/>
      <c r="U161"/>
      <c r="V161"/>
      <c r="W161"/>
      <c r="X161"/>
    </row>
    <row r="162" spans="11:24">
      <c r="K162"/>
      <c r="L162"/>
      <c r="M162"/>
      <c r="N162"/>
      <c r="U162"/>
      <c r="V162"/>
      <c r="W162"/>
      <c r="X162"/>
    </row>
    <row r="163" spans="11:24">
      <c r="K163"/>
      <c r="L163"/>
      <c r="M163"/>
      <c r="N163"/>
      <c r="U163"/>
      <c r="V163"/>
      <c r="W163"/>
      <c r="X163"/>
    </row>
    <row r="164" spans="11:24">
      <c r="K164"/>
      <c r="L164"/>
      <c r="M164"/>
      <c r="N164"/>
      <c r="U164"/>
      <c r="V164"/>
      <c r="W164"/>
      <c r="X164"/>
    </row>
    <row r="165" spans="11:24">
      <c r="K165"/>
      <c r="L165"/>
      <c r="M165"/>
      <c r="N165"/>
      <c r="U165"/>
      <c r="V165"/>
      <c r="W165"/>
      <c r="X165"/>
    </row>
    <row r="166" spans="11:24">
      <c r="K166"/>
      <c r="L166"/>
      <c r="M166"/>
      <c r="N166"/>
      <c r="U166"/>
      <c r="V166"/>
      <c r="W166"/>
      <c r="X166"/>
    </row>
    <row r="167" spans="11:24">
      <c r="K167"/>
      <c r="L167"/>
      <c r="M167"/>
      <c r="N167"/>
      <c r="U167"/>
      <c r="V167"/>
      <c r="W167"/>
      <c r="X167"/>
    </row>
    <row r="168" spans="11:24">
      <c r="K168"/>
      <c r="L168"/>
      <c r="M168"/>
      <c r="N168"/>
      <c r="U168"/>
      <c r="V168"/>
      <c r="W168"/>
      <c r="X168"/>
    </row>
    <row r="169" spans="11:24">
      <c r="K169"/>
      <c r="L169"/>
      <c r="M169"/>
      <c r="N169"/>
      <c r="U169"/>
      <c r="V169"/>
      <c r="W169"/>
      <c r="X169"/>
    </row>
    <row r="170" spans="11:24">
      <c r="K170"/>
      <c r="L170"/>
      <c r="M170"/>
      <c r="N170"/>
      <c r="U170"/>
      <c r="V170"/>
      <c r="W170"/>
      <c r="X170"/>
    </row>
    <row r="171" spans="11:24">
      <c r="K171"/>
      <c r="L171"/>
      <c r="M171"/>
      <c r="N171"/>
      <c r="U171"/>
      <c r="V171"/>
      <c r="W171"/>
      <c r="X171"/>
    </row>
    <row r="172" spans="11:24">
      <c r="K172"/>
      <c r="L172"/>
      <c r="M172"/>
      <c r="N172"/>
      <c r="U172"/>
      <c r="V172"/>
      <c r="W172"/>
      <c r="X172"/>
    </row>
    <row r="173" spans="11:24">
      <c r="K173"/>
      <c r="L173"/>
      <c r="M173"/>
      <c r="N173"/>
      <c r="U173"/>
      <c r="V173"/>
      <c r="W173"/>
      <c r="X173"/>
    </row>
    <row r="174" spans="11:24">
      <c r="K174"/>
      <c r="L174"/>
      <c r="M174"/>
      <c r="N174"/>
      <c r="U174"/>
      <c r="V174"/>
      <c r="W174"/>
      <c r="X174"/>
    </row>
    <row r="175" spans="11:24">
      <c r="K175"/>
      <c r="L175"/>
      <c r="M175"/>
      <c r="N175"/>
      <c r="U175"/>
      <c r="V175"/>
      <c r="W175"/>
      <c r="X175"/>
    </row>
    <row r="176" spans="11:24">
      <c r="K176"/>
      <c r="L176"/>
      <c r="M176"/>
      <c r="N176"/>
      <c r="U176"/>
      <c r="V176"/>
      <c r="W176"/>
      <c r="X176"/>
    </row>
    <row r="177" spans="11:24">
      <c r="K177"/>
      <c r="L177"/>
      <c r="M177"/>
      <c r="N177"/>
      <c r="U177"/>
      <c r="V177"/>
      <c r="W177"/>
      <c r="X177"/>
    </row>
    <row r="178" spans="11:24">
      <c r="K178"/>
      <c r="L178"/>
      <c r="M178"/>
      <c r="N178"/>
      <c r="U178"/>
      <c r="V178"/>
      <c r="W178"/>
      <c r="X178"/>
    </row>
    <row r="179" spans="11:24">
      <c r="K179"/>
      <c r="L179"/>
      <c r="M179"/>
      <c r="N179"/>
      <c r="U179"/>
      <c r="V179"/>
      <c r="W179"/>
      <c r="X179"/>
    </row>
    <row r="180" spans="11:24">
      <c r="K180"/>
      <c r="L180"/>
      <c r="M180"/>
      <c r="N180"/>
      <c r="U180"/>
      <c r="V180"/>
      <c r="W180"/>
      <c r="X180"/>
    </row>
    <row r="181" spans="11:24">
      <c r="K181"/>
      <c r="L181"/>
      <c r="M181"/>
      <c r="N181"/>
      <c r="U181"/>
      <c r="V181"/>
      <c r="W181"/>
      <c r="X181"/>
    </row>
    <row r="182" spans="11:24">
      <c r="K182"/>
      <c r="L182"/>
      <c r="M182"/>
      <c r="N182"/>
      <c r="U182"/>
      <c r="V182"/>
      <c r="W182"/>
      <c r="X182"/>
    </row>
    <row r="183" spans="11:24">
      <c r="K183"/>
      <c r="L183"/>
      <c r="M183"/>
      <c r="N183"/>
      <c r="U183"/>
      <c r="V183"/>
      <c r="W183"/>
      <c r="X183"/>
    </row>
    <row r="184" spans="11:24">
      <c r="K184"/>
      <c r="L184"/>
      <c r="M184"/>
      <c r="N184"/>
      <c r="U184"/>
      <c r="V184"/>
      <c r="W184"/>
      <c r="X184"/>
    </row>
    <row r="185" spans="11:24">
      <c r="K185"/>
      <c r="L185"/>
      <c r="M185"/>
      <c r="N185"/>
      <c r="U185"/>
      <c r="V185"/>
      <c r="W185"/>
      <c r="X185"/>
    </row>
    <row r="186" spans="11:24">
      <c r="K186"/>
      <c r="L186"/>
      <c r="M186"/>
      <c r="N186"/>
      <c r="U186"/>
      <c r="V186"/>
      <c r="W186"/>
      <c r="X186"/>
    </row>
    <row r="187" spans="11:24">
      <c r="K187"/>
      <c r="L187"/>
      <c r="M187"/>
      <c r="N187"/>
      <c r="U187"/>
      <c r="V187"/>
      <c r="W187"/>
      <c r="X187"/>
    </row>
    <row r="188" spans="11:24">
      <c r="K188"/>
      <c r="L188"/>
      <c r="M188"/>
      <c r="N188"/>
      <c r="U188"/>
      <c r="V188"/>
      <c r="W188"/>
      <c r="X188"/>
    </row>
    <row r="189" spans="11:24">
      <c r="K189"/>
      <c r="L189"/>
      <c r="M189"/>
      <c r="N189"/>
      <c r="U189"/>
      <c r="V189"/>
      <c r="W189"/>
      <c r="X189"/>
    </row>
    <row r="190" spans="11:24">
      <c r="K190"/>
      <c r="L190"/>
      <c r="M190"/>
      <c r="N190"/>
      <c r="U190"/>
      <c r="V190"/>
      <c r="W190"/>
      <c r="X190"/>
    </row>
    <row r="191" spans="11:24">
      <c r="K191"/>
      <c r="L191"/>
      <c r="M191"/>
      <c r="N191"/>
      <c r="U191"/>
      <c r="V191"/>
      <c r="W191"/>
      <c r="X191"/>
    </row>
    <row r="192" spans="11:24">
      <c r="K192"/>
      <c r="L192"/>
      <c r="M192"/>
      <c r="N192"/>
      <c r="U192"/>
      <c r="V192"/>
      <c r="W192"/>
      <c r="X192"/>
    </row>
    <row r="193" spans="11:24">
      <c r="K193"/>
      <c r="L193"/>
      <c r="M193"/>
      <c r="N193"/>
      <c r="U193"/>
      <c r="V193"/>
      <c r="W193"/>
      <c r="X193"/>
    </row>
    <row r="194" spans="11:24">
      <c r="K194"/>
      <c r="L194"/>
      <c r="M194"/>
      <c r="N194"/>
      <c r="U194"/>
      <c r="V194"/>
      <c r="W194"/>
      <c r="X194"/>
    </row>
    <row r="195" spans="11:24">
      <c r="K195"/>
      <c r="L195"/>
      <c r="M195"/>
      <c r="N195"/>
      <c r="U195"/>
      <c r="V195"/>
      <c r="W195"/>
      <c r="X195"/>
    </row>
    <row r="196" spans="11:24">
      <c r="K196"/>
      <c r="L196"/>
      <c r="M196"/>
      <c r="N196"/>
      <c r="U196"/>
      <c r="V196"/>
      <c r="W196"/>
      <c r="X196"/>
    </row>
    <row r="197" spans="11:24">
      <c r="K197"/>
      <c r="L197"/>
      <c r="M197"/>
      <c r="N197"/>
      <c r="U197"/>
      <c r="V197"/>
      <c r="W197"/>
      <c r="X197"/>
    </row>
    <row r="198" spans="11:24">
      <c r="K198"/>
      <c r="L198"/>
      <c r="M198"/>
      <c r="N198"/>
      <c r="U198"/>
      <c r="V198"/>
      <c r="W198"/>
      <c r="X198"/>
    </row>
    <row r="199" spans="11:24">
      <c r="K199"/>
      <c r="L199"/>
      <c r="M199"/>
      <c r="N199"/>
      <c r="U199"/>
      <c r="V199"/>
      <c r="W199"/>
      <c r="X199"/>
    </row>
    <row r="200" spans="11:24">
      <c r="K200"/>
      <c r="L200"/>
      <c r="M200"/>
      <c r="N200"/>
      <c r="U200"/>
      <c r="V200"/>
      <c r="W200"/>
      <c r="X200"/>
    </row>
    <row r="201" spans="11:24">
      <c r="K201"/>
      <c r="L201"/>
      <c r="M201"/>
      <c r="N201"/>
      <c r="U201"/>
      <c r="V201"/>
      <c r="W201"/>
      <c r="X201"/>
    </row>
    <row r="202" spans="11:24">
      <c r="K202"/>
      <c r="L202"/>
      <c r="M202"/>
      <c r="N202"/>
      <c r="U202"/>
      <c r="V202"/>
      <c r="W202"/>
      <c r="X202"/>
    </row>
    <row r="203" spans="11:24">
      <c r="K203"/>
      <c r="L203"/>
      <c r="M203"/>
      <c r="N203"/>
      <c r="U203"/>
      <c r="V203"/>
      <c r="W203"/>
      <c r="X203"/>
    </row>
    <row r="204" spans="11:24">
      <c r="K204"/>
      <c r="L204"/>
      <c r="M204"/>
      <c r="N204"/>
      <c r="U204"/>
      <c r="V204"/>
      <c r="W204"/>
      <c r="X204"/>
    </row>
    <row r="205" spans="11:24">
      <c r="K205"/>
      <c r="L205"/>
      <c r="M205"/>
      <c r="N205"/>
      <c r="U205"/>
      <c r="V205"/>
      <c r="W205"/>
      <c r="X205"/>
    </row>
    <row r="206" spans="11:24">
      <c r="K206"/>
      <c r="L206"/>
      <c r="M206"/>
      <c r="N206"/>
      <c r="U206"/>
      <c r="V206"/>
      <c r="W206"/>
      <c r="X206"/>
    </row>
    <row r="207" spans="11:24">
      <c r="K207"/>
      <c r="L207"/>
      <c r="M207"/>
      <c r="N207"/>
      <c r="U207"/>
      <c r="V207"/>
      <c r="W207"/>
      <c r="X207"/>
    </row>
    <row r="208" spans="11:24">
      <c r="K208"/>
      <c r="L208"/>
      <c r="M208"/>
      <c r="N208"/>
      <c r="U208"/>
      <c r="V208"/>
      <c r="W208"/>
      <c r="X208"/>
    </row>
    <row r="209" spans="11:24">
      <c r="K209"/>
      <c r="L209"/>
      <c r="M209"/>
      <c r="N209"/>
      <c r="U209"/>
      <c r="V209"/>
      <c r="W209"/>
      <c r="X209"/>
    </row>
    <row r="210" spans="11:24">
      <c r="K210"/>
      <c r="L210"/>
      <c r="M210"/>
      <c r="N210"/>
      <c r="U210"/>
      <c r="V210"/>
      <c r="W210"/>
      <c r="X210"/>
    </row>
    <row r="211" spans="11:24">
      <c r="K211"/>
      <c r="L211"/>
      <c r="M211"/>
      <c r="N211"/>
      <c r="U211"/>
      <c r="V211"/>
      <c r="W211"/>
      <c r="X211"/>
    </row>
    <row r="212" spans="11:24">
      <c r="K212"/>
      <c r="L212"/>
      <c r="M212"/>
      <c r="N212"/>
      <c r="U212"/>
      <c r="V212"/>
      <c r="W212"/>
      <c r="X212"/>
    </row>
    <row r="213" spans="11:24">
      <c r="K213"/>
      <c r="L213"/>
      <c r="M213"/>
      <c r="N213"/>
      <c r="U213"/>
      <c r="V213"/>
      <c r="W213"/>
      <c r="X213"/>
    </row>
    <row r="214" spans="11:24">
      <c r="K214"/>
      <c r="L214"/>
      <c r="M214"/>
      <c r="N214"/>
      <c r="U214"/>
      <c r="V214"/>
      <c r="W214"/>
      <c r="X214"/>
    </row>
    <row r="215" spans="11:24">
      <c r="K215"/>
      <c r="L215"/>
      <c r="M215"/>
      <c r="N215"/>
      <c r="U215"/>
      <c r="V215"/>
      <c r="W215"/>
      <c r="X215"/>
    </row>
    <row r="216" spans="11:24">
      <c r="K216"/>
      <c r="L216"/>
      <c r="M216"/>
      <c r="N216"/>
      <c r="U216"/>
      <c r="V216"/>
      <c r="W216"/>
      <c r="X216"/>
    </row>
    <row r="217" spans="11:24">
      <c r="K217"/>
      <c r="L217"/>
      <c r="M217"/>
      <c r="N217"/>
      <c r="U217"/>
      <c r="V217"/>
      <c r="W217"/>
      <c r="X217"/>
    </row>
    <row r="218" spans="11:24">
      <c r="K218"/>
      <c r="L218"/>
      <c r="M218"/>
      <c r="N218"/>
      <c r="U218"/>
      <c r="V218"/>
      <c r="W218"/>
      <c r="X218"/>
    </row>
    <row r="219" spans="11:24">
      <c r="K219"/>
      <c r="L219"/>
      <c r="M219"/>
      <c r="N219"/>
      <c r="U219"/>
      <c r="V219"/>
      <c r="W219"/>
      <c r="X219"/>
    </row>
    <row r="220" spans="11:24">
      <c r="K220"/>
      <c r="L220"/>
      <c r="M220"/>
      <c r="N220"/>
      <c r="U220"/>
      <c r="V220"/>
      <c r="W220"/>
      <c r="X220"/>
    </row>
    <row r="221" spans="11:24">
      <c r="K221"/>
      <c r="L221"/>
      <c r="M221"/>
      <c r="N221"/>
      <c r="U221"/>
      <c r="V221"/>
      <c r="W221"/>
      <c r="X221"/>
    </row>
    <row r="222" spans="11:24">
      <c r="K222"/>
      <c r="L222"/>
      <c r="M222"/>
      <c r="N222"/>
      <c r="U222"/>
      <c r="V222"/>
      <c r="W222"/>
      <c r="X222"/>
    </row>
    <row r="223" spans="11:24">
      <c r="K223"/>
      <c r="L223"/>
      <c r="M223"/>
      <c r="N223"/>
      <c r="U223"/>
      <c r="V223"/>
      <c r="W223"/>
      <c r="X223"/>
    </row>
    <row r="224" spans="11:24">
      <c r="K224"/>
      <c r="L224"/>
      <c r="M224"/>
      <c r="N224"/>
      <c r="U224"/>
      <c r="V224"/>
      <c r="W224"/>
      <c r="X224"/>
    </row>
    <row r="225" spans="11:24">
      <c r="K225"/>
      <c r="L225"/>
      <c r="M225"/>
      <c r="N225"/>
      <c r="U225"/>
      <c r="V225"/>
      <c r="W225"/>
      <c r="X225"/>
    </row>
    <row r="226" spans="11:24">
      <c r="K226"/>
      <c r="L226"/>
      <c r="M226"/>
      <c r="N226"/>
      <c r="U226"/>
      <c r="V226"/>
      <c r="W226"/>
      <c r="X226"/>
    </row>
    <row r="227" spans="11:24">
      <c r="K227"/>
      <c r="L227"/>
      <c r="M227"/>
      <c r="N227"/>
      <c r="U227"/>
      <c r="V227"/>
      <c r="W227"/>
      <c r="X227"/>
    </row>
    <row r="228" spans="11:24">
      <c r="K228"/>
      <c r="L228"/>
      <c r="M228"/>
      <c r="N228"/>
      <c r="U228"/>
      <c r="V228"/>
      <c r="W228"/>
      <c r="X228"/>
    </row>
    <row r="229" spans="11:24">
      <c r="K229"/>
      <c r="L229"/>
      <c r="M229"/>
      <c r="N229"/>
      <c r="U229"/>
      <c r="V229"/>
      <c r="W229"/>
      <c r="X229"/>
    </row>
    <row r="230" spans="11:24">
      <c r="K230"/>
      <c r="L230"/>
      <c r="M230"/>
      <c r="N230"/>
      <c r="U230"/>
      <c r="V230"/>
      <c r="W230"/>
      <c r="X230"/>
    </row>
    <row r="231" spans="11:24">
      <c r="K231"/>
      <c r="L231"/>
      <c r="M231"/>
      <c r="N231"/>
      <c r="U231"/>
      <c r="V231"/>
      <c r="W231"/>
      <c r="X231"/>
    </row>
    <row r="232" spans="11:24">
      <c r="K232"/>
      <c r="L232"/>
      <c r="M232"/>
      <c r="N232"/>
      <c r="U232"/>
      <c r="V232"/>
      <c r="W232"/>
      <c r="X232"/>
    </row>
    <row r="233" spans="11:24">
      <c r="K233"/>
      <c r="L233"/>
      <c r="M233"/>
      <c r="N233"/>
      <c r="U233"/>
      <c r="V233"/>
      <c r="W233"/>
      <c r="X233"/>
    </row>
    <row r="234" spans="11:24">
      <c r="K234"/>
      <c r="L234"/>
      <c r="M234"/>
      <c r="N234"/>
      <c r="U234"/>
      <c r="V234"/>
      <c r="W234"/>
      <c r="X234"/>
    </row>
    <row r="235" spans="11:24">
      <c r="K235"/>
      <c r="L235"/>
      <c r="M235"/>
      <c r="N235"/>
      <c r="U235"/>
      <c r="V235"/>
      <c r="W235"/>
      <c r="X235"/>
    </row>
    <row r="236" spans="11:24">
      <c r="K236"/>
      <c r="L236"/>
      <c r="M236"/>
      <c r="N236"/>
      <c r="U236"/>
      <c r="V236"/>
      <c r="W236"/>
      <c r="X236"/>
    </row>
    <row r="237" spans="11:24">
      <c r="K237"/>
      <c r="L237"/>
      <c r="M237"/>
      <c r="N237"/>
      <c r="U237"/>
      <c r="V237"/>
      <c r="W237"/>
      <c r="X237"/>
    </row>
    <row r="238" spans="11:24">
      <c r="K238"/>
      <c r="L238"/>
      <c r="M238"/>
      <c r="N238"/>
      <c r="U238"/>
      <c r="V238"/>
      <c r="W238"/>
      <c r="X238"/>
    </row>
    <row r="239" spans="11:24">
      <c r="K239"/>
      <c r="L239"/>
      <c r="M239"/>
      <c r="N239"/>
      <c r="U239"/>
      <c r="V239"/>
      <c r="W239"/>
      <c r="X239"/>
    </row>
    <row r="240" spans="11:24">
      <c r="K240"/>
      <c r="L240"/>
      <c r="M240"/>
      <c r="N240"/>
      <c r="U240"/>
      <c r="V240"/>
      <c r="W240"/>
      <c r="X240"/>
    </row>
    <row r="241" spans="11:24">
      <c r="K241"/>
      <c r="L241"/>
      <c r="M241"/>
      <c r="N241"/>
      <c r="U241"/>
      <c r="V241"/>
      <c r="W241"/>
      <c r="X241"/>
    </row>
    <row r="242" spans="11:24">
      <c r="K242"/>
      <c r="L242"/>
      <c r="M242"/>
      <c r="N242"/>
      <c r="U242"/>
      <c r="V242"/>
      <c r="W242"/>
      <c r="X242"/>
    </row>
    <row r="243" spans="11:24">
      <c r="K243"/>
      <c r="L243"/>
      <c r="M243"/>
      <c r="N243"/>
      <c r="U243"/>
      <c r="V243"/>
      <c r="W243"/>
      <c r="X243"/>
    </row>
    <row r="244" spans="11:24">
      <c r="K244"/>
      <c r="L244"/>
      <c r="M244"/>
      <c r="N244"/>
      <c r="U244"/>
      <c r="V244"/>
      <c r="W244"/>
      <c r="X244"/>
    </row>
    <row r="245" spans="11:24">
      <c r="K245"/>
      <c r="L245"/>
      <c r="M245"/>
      <c r="N245"/>
      <c r="U245"/>
      <c r="V245"/>
      <c r="W245"/>
      <c r="X245"/>
    </row>
    <row r="246" spans="11:24">
      <c r="K246"/>
      <c r="L246"/>
      <c r="M246"/>
      <c r="N246"/>
      <c r="U246"/>
      <c r="V246"/>
      <c r="W246"/>
      <c r="X246"/>
    </row>
    <row r="247" spans="11:24">
      <c r="K247"/>
      <c r="L247"/>
      <c r="M247"/>
      <c r="N247"/>
      <c r="U247"/>
      <c r="V247"/>
      <c r="W247"/>
      <c r="X247"/>
    </row>
    <row r="248" spans="11:24">
      <c r="K248"/>
      <c r="L248"/>
      <c r="M248"/>
      <c r="N248"/>
      <c r="U248"/>
      <c r="V248"/>
      <c r="W248"/>
      <c r="X248"/>
    </row>
    <row r="249" spans="11:24">
      <c r="K249"/>
      <c r="L249"/>
      <c r="M249"/>
      <c r="N249"/>
      <c r="U249"/>
      <c r="V249"/>
      <c r="W249"/>
      <c r="X249"/>
    </row>
    <row r="250" spans="11:24">
      <c r="K250"/>
      <c r="L250"/>
      <c r="M250"/>
      <c r="N250"/>
      <c r="U250"/>
      <c r="V250"/>
      <c r="W250"/>
      <c r="X250"/>
    </row>
    <row r="251" spans="11:24">
      <c r="K251"/>
      <c r="L251"/>
      <c r="M251"/>
      <c r="N251"/>
      <c r="U251"/>
      <c r="V251"/>
      <c r="W251"/>
      <c r="X251"/>
    </row>
    <row r="252" spans="11:24">
      <c r="K252"/>
      <c r="L252"/>
      <c r="M252"/>
      <c r="N252"/>
      <c r="U252"/>
      <c r="V252"/>
      <c r="W252"/>
      <c r="X252"/>
    </row>
    <row r="253" spans="11:24">
      <c r="K253"/>
      <c r="L253"/>
      <c r="M253"/>
      <c r="N253"/>
      <c r="U253"/>
      <c r="V253"/>
      <c r="W253"/>
      <c r="X253"/>
    </row>
    <row r="254" spans="11:24">
      <c r="K254"/>
      <c r="L254"/>
      <c r="M254"/>
      <c r="N254"/>
      <c r="U254"/>
      <c r="V254"/>
      <c r="W254"/>
      <c r="X254"/>
    </row>
    <row r="255" spans="11:24">
      <c r="K255"/>
      <c r="L255"/>
      <c r="M255"/>
      <c r="N255"/>
      <c r="U255"/>
      <c r="V255"/>
      <c r="W255"/>
      <c r="X255"/>
    </row>
    <row r="256" spans="11:24">
      <c r="K256"/>
      <c r="L256"/>
      <c r="M256"/>
      <c r="N256"/>
      <c r="U256"/>
      <c r="V256"/>
      <c r="W256"/>
      <c r="X256"/>
    </row>
    <row r="257" spans="11:24">
      <c r="K257"/>
      <c r="L257"/>
      <c r="M257"/>
      <c r="N257"/>
      <c r="U257"/>
      <c r="V257"/>
      <c r="W257"/>
      <c r="X257"/>
    </row>
    <row r="258" spans="11:24">
      <c r="K258"/>
      <c r="L258"/>
      <c r="M258"/>
      <c r="N258"/>
      <c r="U258"/>
      <c r="V258"/>
      <c r="W258"/>
      <c r="X258"/>
    </row>
    <row r="259" spans="11:24">
      <c r="K259"/>
      <c r="L259"/>
      <c r="M259"/>
      <c r="N259"/>
      <c r="U259"/>
      <c r="V259"/>
      <c r="W259"/>
      <c r="X259"/>
    </row>
    <row r="260" spans="11:24">
      <c r="K260"/>
      <c r="L260"/>
      <c r="M260"/>
      <c r="N260"/>
      <c r="U260"/>
      <c r="V260"/>
      <c r="W260"/>
      <c r="X260"/>
    </row>
    <row r="261" spans="11:24">
      <c r="K261"/>
      <c r="L261"/>
      <c r="M261"/>
      <c r="N261"/>
      <c r="U261"/>
      <c r="V261"/>
      <c r="W261"/>
      <c r="X261"/>
    </row>
    <row r="262" spans="11:24">
      <c r="K262"/>
      <c r="L262"/>
      <c r="M262"/>
      <c r="N262"/>
      <c r="U262"/>
      <c r="V262"/>
      <c r="W262"/>
      <c r="X262"/>
    </row>
    <row r="263" spans="11:24">
      <c r="K263"/>
      <c r="L263"/>
      <c r="M263"/>
      <c r="N263"/>
      <c r="U263"/>
      <c r="V263"/>
      <c r="W263"/>
      <c r="X263"/>
    </row>
    <row r="264" spans="11:24">
      <c r="K264"/>
      <c r="L264"/>
      <c r="M264"/>
      <c r="N264"/>
      <c r="U264"/>
      <c r="V264"/>
      <c r="W264"/>
      <c r="X264"/>
    </row>
    <row r="265" spans="11:24">
      <c r="K265"/>
      <c r="L265"/>
      <c r="M265"/>
      <c r="N265"/>
      <c r="U265"/>
      <c r="V265"/>
      <c r="W265"/>
      <c r="X265"/>
    </row>
    <row r="266" spans="11:24">
      <c r="K266"/>
      <c r="L266"/>
      <c r="M266"/>
      <c r="N266"/>
      <c r="U266"/>
      <c r="V266"/>
      <c r="W266"/>
      <c r="X266"/>
    </row>
    <row r="267" spans="11:24">
      <c r="K267"/>
      <c r="L267"/>
      <c r="M267"/>
      <c r="N267"/>
      <c r="U267"/>
      <c r="V267"/>
      <c r="W267"/>
      <c r="X267"/>
    </row>
    <row r="268" spans="11:24">
      <c r="K268"/>
      <c r="L268"/>
      <c r="M268"/>
      <c r="N268"/>
      <c r="U268"/>
      <c r="V268"/>
      <c r="W268"/>
      <c r="X268"/>
    </row>
    <row r="269" spans="11:24">
      <c r="K269"/>
      <c r="L269"/>
      <c r="M269"/>
      <c r="N269"/>
      <c r="U269"/>
      <c r="V269"/>
      <c r="W269"/>
      <c r="X269"/>
    </row>
    <row r="270" spans="11:24">
      <c r="K270"/>
      <c r="L270"/>
      <c r="M270"/>
      <c r="N270"/>
      <c r="U270"/>
      <c r="V270"/>
      <c r="W270"/>
      <c r="X270"/>
    </row>
    <row r="271" spans="11:24">
      <c r="K271"/>
      <c r="L271"/>
      <c r="M271"/>
      <c r="N271"/>
      <c r="U271"/>
      <c r="V271"/>
      <c r="W271"/>
      <c r="X271"/>
    </row>
    <row r="272" spans="11:24">
      <c r="K272"/>
      <c r="L272"/>
      <c r="M272"/>
      <c r="N272"/>
      <c r="U272"/>
      <c r="V272"/>
      <c r="W272"/>
      <c r="X272"/>
    </row>
    <row r="273" spans="11:24">
      <c r="K273"/>
      <c r="L273"/>
      <c r="M273"/>
      <c r="N273"/>
      <c r="U273"/>
      <c r="V273"/>
      <c r="W273"/>
      <c r="X273"/>
    </row>
    <row r="274" spans="11:24">
      <c r="K274"/>
      <c r="L274"/>
      <c r="M274"/>
      <c r="N274"/>
      <c r="U274"/>
      <c r="V274"/>
      <c r="W274"/>
      <c r="X274"/>
    </row>
    <row r="275" spans="11:24">
      <c r="K275"/>
      <c r="L275"/>
      <c r="M275"/>
      <c r="N275"/>
      <c r="U275"/>
      <c r="V275"/>
      <c r="W275"/>
      <c r="X275"/>
    </row>
    <row r="276" spans="11:24">
      <c r="K276"/>
      <c r="L276"/>
      <c r="M276"/>
      <c r="N276"/>
      <c r="U276"/>
      <c r="V276"/>
      <c r="W276"/>
      <c r="X276"/>
    </row>
    <row r="277" spans="11:24">
      <c r="K277"/>
      <c r="L277"/>
      <c r="M277"/>
      <c r="N277"/>
      <c r="U277"/>
      <c r="V277"/>
      <c r="W277"/>
      <c r="X277"/>
    </row>
    <row r="278" spans="11:24">
      <c r="K278"/>
      <c r="L278"/>
      <c r="M278"/>
      <c r="N278"/>
      <c r="U278"/>
      <c r="V278"/>
      <c r="W278"/>
      <c r="X278"/>
    </row>
    <row r="279" spans="11:24">
      <c r="K279"/>
      <c r="L279"/>
      <c r="M279"/>
      <c r="N279"/>
      <c r="U279"/>
      <c r="V279"/>
      <c r="W279"/>
      <c r="X279"/>
    </row>
    <row r="280" spans="11:24">
      <c r="K280"/>
      <c r="L280"/>
      <c r="M280"/>
      <c r="N280"/>
      <c r="U280"/>
      <c r="V280"/>
      <c r="W280"/>
      <c r="X280"/>
    </row>
    <row r="281" spans="11:24">
      <c r="K281"/>
      <c r="L281"/>
      <c r="M281"/>
      <c r="N281"/>
      <c r="U281"/>
      <c r="V281"/>
      <c r="W281"/>
      <c r="X281"/>
    </row>
    <row r="282" spans="11:24">
      <c r="K282"/>
      <c r="L282"/>
      <c r="M282"/>
      <c r="N282"/>
      <c r="U282"/>
      <c r="V282"/>
      <c r="W282"/>
      <c r="X282"/>
    </row>
    <row r="283" spans="11:24">
      <c r="K283"/>
      <c r="L283"/>
      <c r="M283"/>
      <c r="N283"/>
      <c r="U283"/>
      <c r="V283"/>
      <c r="W283"/>
      <c r="X283"/>
    </row>
    <row r="284" spans="11:24">
      <c r="K284"/>
      <c r="L284"/>
      <c r="M284"/>
      <c r="N284"/>
      <c r="U284"/>
      <c r="V284"/>
      <c r="W284"/>
      <c r="X284"/>
    </row>
    <row r="285" spans="11:24">
      <c r="K285"/>
      <c r="L285"/>
      <c r="M285"/>
      <c r="N285"/>
      <c r="U285"/>
      <c r="V285"/>
      <c r="W285"/>
      <c r="X285"/>
    </row>
    <row r="286" spans="11:24">
      <c r="K286"/>
      <c r="L286"/>
      <c r="M286"/>
      <c r="N286"/>
      <c r="U286"/>
      <c r="V286"/>
      <c r="W286"/>
      <c r="X286"/>
    </row>
    <row r="287" spans="11:24">
      <c r="K287"/>
      <c r="L287"/>
      <c r="M287"/>
      <c r="N287"/>
      <c r="U287"/>
      <c r="V287"/>
      <c r="W287"/>
      <c r="X287"/>
    </row>
    <row r="288" spans="11:24">
      <c r="K288"/>
      <c r="L288"/>
      <c r="M288"/>
      <c r="N288"/>
      <c r="U288"/>
      <c r="V288"/>
      <c r="W288"/>
      <c r="X288"/>
    </row>
    <row r="289" spans="11:24">
      <c r="K289"/>
      <c r="L289"/>
      <c r="M289"/>
      <c r="N289"/>
      <c r="U289"/>
      <c r="V289"/>
      <c r="W289"/>
      <c r="X289"/>
    </row>
    <row r="290" spans="11:24">
      <c r="K290"/>
      <c r="L290"/>
      <c r="M290"/>
      <c r="N290"/>
      <c r="U290"/>
      <c r="V290"/>
      <c r="W290"/>
      <c r="X290"/>
    </row>
    <row r="291" spans="11:24">
      <c r="K291"/>
      <c r="L291"/>
      <c r="M291"/>
      <c r="N291"/>
      <c r="U291"/>
      <c r="V291"/>
      <c r="W291"/>
      <c r="X291"/>
    </row>
    <row r="292" spans="11:24">
      <c r="K292"/>
      <c r="L292"/>
      <c r="M292"/>
      <c r="N292"/>
      <c r="U292"/>
      <c r="V292"/>
      <c r="W292"/>
      <c r="X292"/>
    </row>
    <row r="293" spans="11:24">
      <c r="K293"/>
      <c r="L293"/>
      <c r="M293"/>
      <c r="N293"/>
      <c r="U293"/>
      <c r="V293"/>
      <c r="W293"/>
      <c r="X293"/>
    </row>
    <row r="294" spans="11:24">
      <c r="K294"/>
      <c r="L294"/>
      <c r="M294"/>
      <c r="N294"/>
      <c r="U294"/>
      <c r="V294"/>
      <c r="W294"/>
      <c r="X294"/>
    </row>
    <row r="295" spans="11:24">
      <c r="K295"/>
      <c r="L295"/>
      <c r="M295"/>
      <c r="N295"/>
      <c r="U295"/>
      <c r="V295"/>
      <c r="W295"/>
      <c r="X295"/>
    </row>
    <row r="296" spans="11:24">
      <c r="K296"/>
      <c r="L296"/>
      <c r="M296"/>
      <c r="N296"/>
      <c r="U296"/>
      <c r="V296"/>
      <c r="W296"/>
      <c r="X296"/>
    </row>
    <row r="297" spans="11:24">
      <c r="K297"/>
      <c r="L297"/>
      <c r="M297"/>
      <c r="N297"/>
      <c r="U297"/>
      <c r="V297"/>
      <c r="W297"/>
      <c r="X297"/>
    </row>
    <row r="298" spans="11:24">
      <c r="K298"/>
      <c r="L298"/>
      <c r="M298"/>
      <c r="N298"/>
      <c r="U298"/>
      <c r="V298"/>
      <c r="W298"/>
      <c r="X298"/>
    </row>
    <row r="299" spans="11:24">
      <c r="K299"/>
      <c r="L299"/>
      <c r="M299"/>
      <c r="N299"/>
      <c r="U299"/>
      <c r="V299"/>
      <c r="W299"/>
      <c r="X299"/>
    </row>
    <row r="300" spans="11:24">
      <c r="K300"/>
      <c r="L300"/>
      <c r="M300"/>
      <c r="N300"/>
      <c r="U300"/>
      <c r="V300"/>
      <c r="W300"/>
      <c r="X300"/>
    </row>
    <row r="301" spans="11:24">
      <c r="K301"/>
      <c r="L301"/>
      <c r="M301"/>
      <c r="N301"/>
      <c r="U301"/>
      <c r="V301"/>
      <c r="W301"/>
      <c r="X301"/>
    </row>
    <row r="302" spans="11:24">
      <c r="K302"/>
      <c r="L302"/>
      <c r="M302"/>
      <c r="N302"/>
      <c r="U302"/>
      <c r="V302"/>
      <c r="W302"/>
      <c r="X302"/>
    </row>
    <row r="303" spans="11:24">
      <c r="K303"/>
      <c r="L303"/>
      <c r="M303"/>
      <c r="N303"/>
      <c r="U303"/>
      <c r="V303"/>
      <c r="W303"/>
      <c r="X303"/>
    </row>
    <row r="304" spans="11:24">
      <c r="K304"/>
      <c r="L304"/>
      <c r="M304"/>
      <c r="N304"/>
      <c r="U304"/>
      <c r="V304"/>
      <c r="W304"/>
      <c r="X304"/>
    </row>
    <row r="305" spans="11:24">
      <c r="K305"/>
      <c r="L305"/>
      <c r="M305"/>
      <c r="N305"/>
      <c r="U305"/>
      <c r="V305"/>
      <c r="W305"/>
      <c r="X305"/>
    </row>
    <row r="306" spans="11:24">
      <c r="K306"/>
      <c r="L306"/>
      <c r="M306"/>
      <c r="N306"/>
      <c r="U306"/>
      <c r="V306"/>
      <c r="W306"/>
      <c r="X306"/>
    </row>
    <row r="307" spans="11:24">
      <c r="K307"/>
      <c r="L307"/>
      <c r="M307"/>
      <c r="N307"/>
      <c r="U307"/>
      <c r="V307"/>
      <c r="W307"/>
      <c r="X307"/>
    </row>
    <row r="308" spans="11:24">
      <c r="K308"/>
      <c r="L308"/>
      <c r="M308"/>
      <c r="N308"/>
      <c r="U308"/>
      <c r="V308"/>
      <c r="W308"/>
      <c r="X308"/>
    </row>
    <row r="309" spans="11:24">
      <c r="K309"/>
      <c r="L309"/>
      <c r="M309"/>
      <c r="N309"/>
      <c r="U309"/>
      <c r="V309"/>
      <c r="W309"/>
      <c r="X309"/>
    </row>
    <row r="310" spans="11:24">
      <c r="K310"/>
      <c r="L310"/>
      <c r="M310"/>
      <c r="N310"/>
      <c r="U310"/>
      <c r="V310"/>
      <c r="W310"/>
      <c r="X310"/>
    </row>
    <row r="311" spans="11:24">
      <c r="K311"/>
      <c r="L311"/>
      <c r="M311"/>
      <c r="N311"/>
      <c r="U311"/>
      <c r="V311"/>
      <c r="W311"/>
      <c r="X311"/>
    </row>
    <row r="312" spans="11:24">
      <c r="K312"/>
      <c r="L312"/>
      <c r="M312"/>
      <c r="N312"/>
      <c r="U312"/>
      <c r="V312"/>
      <c r="W312"/>
      <c r="X312"/>
    </row>
    <row r="313" spans="11:24">
      <c r="K313"/>
      <c r="L313"/>
      <c r="M313"/>
      <c r="N313"/>
      <c r="U313"/>
      <c r="V313"/>
      <c r="W313"/>
      <c r="X313"/>
    </row>
    <row r="314" spans="11:24">
      <c r="K314"/>
      <c r="L314"/>
      <c r="M314"/>
      <c r="N314"/>
      <c r="U314"/>
      <c r="V314"/>
      <c r="W314"/>
      <c r="X314"/>
    </row>
    <row r="315" spans="11:24">
      <c r="K315"/>
      <c r="L315"/>
      <c r="M315"/>
      <c r="N315"/>
      <c r="U315"/>
      <c r="V315"/>
      <c r="W315"/>
      <c r="X315"/>
    </row>
    <row r="316" spans="11:24">
      <c r="K316"/>
      <c r="L316"/>
      <c r="M316"/>
      <c r="N316"/>
      <c r="U316"/>
      <c r="V316"/>
      <c r="W316"/>
      <c r="X316"/>
    </row>
    <row r="317" spans="11:24">
      <c r="K317"/>
      <c r="L317"/>
      <c r="M317"/>
      <c r="N317"/>
      <c r="U317"/>
      <c r="V317"/>
      <c r="W317"/>
      <c r="X317"/>
    </row>
    <row r="318" spans="11:24">
      <c r="K318"/>
      <c r="L318"/>
      <c r="M318"/>
      <c r="N318"/>
      <c r="U318"/>
      <c r="V318"/>
      <c r="W318"/>
      <c r="X318"/>
    </row>
    <row r="319" spans="11:24">
      <c r="K319"/>
      <c r="L319"/>
      <c r="M319"/>
      <c r="N319"/>
      <c r="U319"/>
      <c r="V319"/>
      <c r="W319"/>
      <c r="X319"/>
    </row>
    <row r="320" spans="11:24">
      <c r="K320"/>
      <c r="L320"/>
      <c r="M320"/>
      <c r="N320"/>
      <c r="U320"/>
      <c r="V320"/>
      <c r="W320"/>
      <c r="X320"/>
    </row>
    <row r="321" spans="11:24">
      <c r="K321"/>
      <c r="L321"/>
      <c r="M321"/>
      <c r="N321"/>
      <c r="U321"/>
      <c r="V321"/>
      <c r="W321"/>
      <c r="X321"/>
    </row>
    <row r="322" spans="11:24">
      <c r="K322"/>
      <c r="L322"/>
      <c r="M322"/>
      <c r="N322"/>
      <c r="U322"/>
      <c r="V322"/>
      <c r="W322"/>
      <c r="X322"/>
    </row>
    <row r="323" spans="11:24">
      <c r="K323"/>
      <c r="L323"/>
      <c r="M323"/>
      <c r="N323"/>
      <c r="U323"/>
      <c r="V323"/>
      <c r="W323"/>
      <c r="X323"/>
    </row>
    <row r="324" spans="11:24">
      <c r="K324"/>
      <c r="L324"/>
      <c r="M324"/>
      <c r="N324"/>
      <c r="U324"/>
      <c r="V324"/>
      <c r="W324"/>
      <c r="X324"/>
    </row>
    <row r="325" spans="11:24">
      <c r="K325"/>
      <c r="L325"/>
      <c r="M325"/>
      <c r="N325"/>
      <c r="U325"/>
      <c r="V325"/>
      <c r="W325"/>
      <c r="X325"/>
    </row>
    <row r="326" spans="11:24">
      <c r="K326"/>
      <c r="L326"/>
      <c r="M326"/>
      <c r="N326"/>
      <c r="U326"/>
      <c r="V326"/>
      <c r="W326"/>
      <c r="X326"/>
    </row>
    <row r="327" spans="11:24">
      <c r="K327"/>
      <c r="L327"/>
      <c r="M327"/>
      <c r="N327"/>
      <c r="U327"/>
      <c r="V327"/>
      <c r="W327"/>
      <c r="X327"/>
    </row>
    <row r="328" spans="11:24">
      <c r="K328"/>
      <c r="L328"/>
      <c r="M328"/>
      <c r="N328"/>
      <c r="U328"/>
      <c r="V328"/>
      <c r="W328"/>
      <c r="X328"/>
    </row>
    <row r="329" spans="11:24">
      <c r="K329"/>
      <c r="L329"/>
      <c r="M329"/>
      <c r="N329"/>
      <c r="U329"/>
      <c r="V329"/>
      <c r="W329"/>
      <c r="X329"/>
    </row>
    <row r="330" spans="11:24">
      <c r="K330"/>
      <c r="L330"/>
      <c r="M330"/>
      <c r="N330"/>
      <c r="U330"/>
      <c r="V330"/>
      <c r="W330"/>
      <c r="X330"/>
    </row>
    <row r="331" spans="11:24">
      <c r="K331"/>
      <c r="L331"/>
      <c r="M331"/>
      <c r="N331"/>
      <c r="U331"/>
      <c r="V331"/>
      <c r="W331"/>
      <c r="X331"/>
    </row>
    <row r="332" spans="11:24">
      <c r="K332"/>
      <c r="L332"/>
      <c r="M332"/>
      <c r="N332"/>
      <c r="U332"/>
      <c r="V332"/>
      <c r="W332"/>
      <c r="X332"/>
    </row>
    <row r="333" spans="11:24">
      <c r="K333"/>
      <c r="L333"/>
      <c r="M333"/>
      <c r="N333"/>
      <c r="U333"/>
      <c r="V333"/>
      <c r="W333"/>
      <c r="X333"/>
    </row>
    <row r="334" spans="11:24">
      <c r="K334"/>
      <c r="L334"/>
      <c r="M334"/>
      <c r="N334"/>
      <c r="U334"/>
      <c r="V334"/>
      <c r="W334"/>
      <c r="X334"/>
    </row>
    <row r="335" spans="11:24">
      <c r="K335"/>
      <c r="L335"/>
      <c r="M335"/>
      <c r="N335"/>
      <c r="U335"/>
      <c r="V335"/>
      <c r="W335"/>
      <c r="X335"/>
    </row>
    <row r="336" spans="11:24">
      <c r="K336"/>
      <c r="L336"/>
      <c r="M336"/>
      <c r="N336"/>
      <c r="U336"/>
      <c r="V336"/>
      <c r="W336"/>
      <c r="X336"/>
    </row>
    <row r="337" spans="11:24">
      <c r="K337"/>
      <c r="L337"/>
      <c r="M337"/>
      <c r="N337"/>
      <c r="U337"/>
      <c r="V337"/>
      <c r="W337"/>
      <c r="X337"/>
    </row>
    <row r="338" spans="11:24">
      <c r="K338"/>
      <c r="L338"/>
      <c r="M338"/>
      <c r="N338"/>
      <c r="U338"/>
      <c r="V338"/>
      <c r="W338"/>
      <c r="X338"/>
    </row>
    <row r="339" spans="11:24">
      <c r="K339"/>
      <c r="L339"/>
      <c r="M339"/>
      <c r="N339"/>
      <c r="U339"/>
      <c r="V339"/>
      <c r="W339"/>
      <c r="X339"/>
    </row>
    <row r="340" spans="11:24">
      <c r="K340"/>
      <c r="L340"/>
      <c r="M340"/>
      <c r="N340"/>
      <c r="U340"/>
      <c r="V340"/>
      <c r="W340"/>
      <c r="X340"/>
    </row>
    <row r="341" spans="11:24">
      <c r="K341"/>
      <c r="L341"/>
      <c r="M341"/>
      <c r="N341"/>
      <c r="U341"/>
      <c r="V341"/>
      <c r="W341"/>
      <c r="X341"/>
    </row>
    <row r="342" spans="11:24">
      <c r="K342"/>
      <c r="L342"/>
      <c r="M342"/>
      <c r="N342"/>
      <c r="U342"/>
      <c r="V342"/>
      <c r="W342"/>
      <c r="X342"/>
    </row>
    <row r="343" spans="11:24">
      <c r="K343"/>
      <c r="L343"/>
      <c r="M343"/>
      <c r="N343"/>
      <c r="U343"/>
      <c r="V343"/>
      <c r="W343"/>
      <c r="X343"/>
    </row>
    <row r="344" spans="11:24">
      <c r="K344"/>
      <c r="L344"/>
      <c r="M344"/>
      <c r="N344"/>
      <c r="U344"/>
      <c r="V344"/>
      <c r="W344"/>
      <c r="X344"/>
    </row>
    <row r="345" spans="11:24">
      <c r="K345"/>
      <c r="L345"/>
      <c r="M345"/>
      <c r="N345"/>
      <c r="U345"/>
      <c r="V345"/>
      <c r="W345"/>
      <c r="X345"/>
    </row>
    <row r="346" spans="11:24">
      <c r="K346"/>
      <c r="L346"/>
      <c r="M346"/>
      <c r="N346"/>
      <c r="U346"/>
      <c r="V346"/>
      <c r="W346"/>
      <c r="X346"/>
    </row>
    <row r="347" spans="11:24">
      <c r="K347"/>
      <c r="L347"/>
      <c r="M347"/>
      <c r="N347"/>
      <c r="U347"/>
      <c r="V347"/>
      <c r="W347"/>
      <c r="X347"/>
    </row>
    <row r="348" spans="11:24">
      <c r="K348"/>
      <c r="L348"/>
      <c r="M348"/>
      <c r="N348"/>
      <c r="U348"/>
      <c r="V348"/>
      <c r="W348"/>
      <c r="X348"/>
    </row>
    <row r="349" spans="11:24">
      <c r="K349"/>
      <c r="L349"/>
      <c r="M349"/>
      <c r="N349"/>
      <c r="U349"/>
      <c r="V349"/>
      <c r="W349"/>
      <c r="X349"/>
    </row>
    <row r="350" spans="11:24">
      <c r="K350"/>
      <c r="L350"/>
      <c r="M350"/>
      <c r="N350"/>
      <c r="U350"/>
      <c r="V350"/>
      <c r="W350"/>
      <c r="X350"/>
    </row>
    <row r="351" spans="11:24">
      <c r="K351"/>
      <c r="L351"/>
      <c r="M351"/>
      <c r="N351"/>
      <c r="U351"/>
      <c r="V351"/>
      <c r="W351"/>
      <c r="X351"/>
    </row>
    <row r="352" spans="11:24">
      <c r="K352"/>
      <c r="L352"/>
      <c r="M352"/>
      <c r="N352"/>
      <c r="U352"/>
      <c r="V352"/>
      <c r="W352"/>
      <c r="X352"/>
    </row>
    <row r="353" spans="11:24">
      <c r="K353"/>
      <c r="L353"/>
      <c r="M353"/>
      <c r="N353"/>
      <c r="U353"/>
      <c r="V353"/>
      <c r="W353"/>
      <c r="X353"/>
    </row>
    <row r="354" spans="11:24">
      <c r="K354"/>
      <c r="L354"/>
      <c r="M354"/>
      <c r="N354"/>
      <c r="U354"/>
      <c r="V354"/>
      <c r="W354"/>
      <c r="X354"/>
    </row>
    <row r="355" spans="11:24">
      <c r="K355"/>
      <c r="L355"/>
      <c r="M355"/>
      <c r="N355"/>
      <c r="U355"/>
      <c r="V355"/>
      <c r="W355"/>
      <c r="X355"/>
    </row>
    <row r="356" spans="11:24">
      <c r="K356"/>
      <c r="L356"/>
      <c r="M356"/>
      <c r="N356"/>
      <c r="U356"/>
      <c r="V356"/>
      <c r="W356"/>
      <c r="X356"/>
    </row>
    <row r="357" spans="11:24">
      <c r="K357"/>
      <c r="L357"/>
      <c r="M357"/>
      <c r="N357"/>
      <c r="U357"/>
      <c r="V357"/>
      <c r="W357"/>
      <c r="X357"/>
    </row>
    <row r="358" spans="11:24">
      <c r="K358"/>
      <c r="L358"/>
      <c r="M358"/>
      <c r="N358"/>
      <c r="U358"/>
      <c r="V358"/>
      <c r="W358"/>
      <c r="X358"/>
    </row>
    <row r="359" spans="11:24">
      <c r="K359"/>
      <c r="L359"/>
      <c r="M359"/>
      <c r="N359"/>
      <c r="U359"/>
      <c r="V359"/>
      <c r="W359"/>
      <c r="X359"/>
    </row>
    <row r="360" spans="11:24">
      <c r="K360"/>
      <c r="L360"/>
      <c r="M360"/>
      <c r="N360"/>
      <c r="U360"/>
      <c r="V360"/>
      <c r="W360"/>
      <c r="X360"/>
    </row>
    <row r="361" spans="11:24">
      <c r="K361"/>
      <c r="L361"/>
      <c r="M361"/>
      <c r="N361"/>
      <c r="U361"/>
      <c r="V361"/>
      <c r="W361"/>
      <c r="X361"/>
    </row>
    <row r="362" spans="11:24">
      <c r="K362"/>
      <c r="L362"/>
      <c r="M362"/>
      <c r="N362"/>
      <c r="U362"/>
      <c r="V362"/>
      <c r="W362"/>
      <c r="X362"/>
    </row>
    <row r="363" spans="11:24">
      <c r="K363"/>
      <c r="L363"/>
      <c r="M363"/>
      <c r="N363"/>
      <c r="U363"/>
      <c r="V363"/>
      <c r="W363"/>
      <c r="X363"/>
    </row>
    <row r="364" spans="11:24">
      <c r="K364"/>
      <c r="L364"/>
      <c r="M364"/>
      <c r="N364"/>
      <c r="U364"/>
      <c r="V364"/>
      <c r="W364"/>
      <c r="X364"/>
    </row>
    <row r="365" spans="11:24">
      <c r="K365"/>
      <c r="L365"/>
      <c r="M365"/>
      <c r="N365"/>
      <c r="U365"/>
      <c r="V365"/>
      <c r="W365"/>
      <c r="X365"/>
    </row>
    <row r="366" spans="11:24">
      <c r="K366"/>
      <c r="L366"/>
      <c r="M366"/>
      <c r="N366"/>
      <c r="U366"/>
      <c r="V366"/>
      <c r="W366"/>
      <c r="X366"/>
    </row>
    <row r="367" spans="11:24">
      <c r="K367"/>
      <c r="L367"/>
      <c r="M367"/>
      <c r="N367"/>
      <c r="U367"/>
      <c r="V367"/>
      <c r="W367"/>
      <c r="X367"/>
    </row>
    <row r="368" spans="11:24">
      <c r="K368"/>
      <c r="L368"/>
      <c r="M368"/>
      <c r="N368"/>
      <c r="U368"/>
      <c r="V368"/>
      <c r="W368"/>
      <c r="X368"/>
    </row>
    <row r="369" spans="11:24">
      <c r="K369"/>
      <c r="L369"/>
      <c r="M369"/>
      <c r="N369"/>
      <c r="U369"/>
      <c r="V369"/>
      <c r="W369"/>
      <c r="X369"/>
    </row>
    <row r="370" spans="11:24">
      <c r="K370"/>
      <c r="L370"/>
      <c r="M370"/>
      <c r="N370"/>
      <c r="U370"/>
      <c r="V370"/>
      <c r="W370"/>
      <c r="X370"/>
    </row>
    <row r="371" spans="11:24">
      <c r="K371"/>
      <c r="L371"/>
      <c r="M371"/>
      <c r="N371"/>
      <c r="U371"/>
      <c r="V371"/>
      <c r="W371"/>
      <c r="X371"/>
    </row>
    <row r="372" spans="11:24">
      <c r="K372"/>
      <c r="L372"/>
      <c r="M372"/>
      <c r="N372"/>
      <c r="U372"/>
      <c r="V372"/>
      <c r="W372"/>
      <c r="X372"/>
    </row>
    <row r="373" spans="11:24">
      <c r="K373"/>
      <c r="L373"/>
      <c r="M373"/>
      <c r="N373"/>
      <c r="U373"/>
      <c r="V373"/>
      <c r="W373"/>
      <c r="X373"/>
    </row>
    <row r="374" spans="11:24">
      <c r="K374"/>
      <c r="L374"/>
      <c r="M374"/>
      <c r="N374"/>
      <c r="U374"/>
      <c r="V374"/>
      <c r="W374"/>
      <c r="X374"/>
    </row>
    <row r="375" spans="11:24">
      <c r="K375"/>
      <c r="L375"/>
      <c r="M375"/>
      <c r="N375"/>
      <c r="U375"/>
      <c r="V375"/>
      <c r="W375"/>
      <c r="X375"/>
    </row>
    <row r="376" spans="11:24">
      <c r="K376"/>
      <c r="L376"/>
      <c r="M376"/>
      <c r="N376"/>
      <c r="U376"/>
      <c r="V376"/>
      <c r="W376"/>
      <c r="X376"/>
    </row>
    <row r="377" spans="11:24">
      <c r="K377"/>
      <c r="L377"/>
      <c r="M377"/>
      <c r="N377"/>
      <c r="U377"/>
      <c r="V377"/>
      <c r="W377"/>
      <c r="X377"/>
    </row>
    <row r="378" spans="11:24">
      <c r="K378"/>
      <c r="L378"/>
      <c r="M378"/>
      <c r="N378"/>
      <c r="U378"/>
      <c r="V378"/>
      <c r="W378"/>
      <c r="X378"/>
    </row>
    <row r="379" spans="11:24">
      <c r="K379"/>
      <c r="L379"/>
      <c r="M379"/>
      <c r="N379"/>
      <c r="U379"/>
      <c r="V379"/>
      <c r="W379"/>
      <c r="X379"/>
    </row>
    <row r="380" spans="11:24">
      <c r="K380"/>
      <c r="L380"/>
      <c r="M380"/>
      <c r="N380"/>
      <c r="U380"/>
      <c r="V380"/>
      <c r="W380"/>
      <c r="X380"/>
    </row>
    <row r="381" spans="11:24">
      <c r="K381"/>
      <c r="L381"/>
      <c r="M381"/>
      <c r="N381"/>
      <c r="U381"/>
      <c r="V381"/>
      <c r="W381"/>
      <c r="X381"/>
    </row>
    <row r="382" spans="11:24">
      <c r="K382"/>
      <c r="L382"/>
      <c r="M382"/>
      <c r="N382"/>
      <c r="U382"/>
      <c r="V382"/>
      <c r="W382"/>
      <c r="X382"/>
    </row>
    <row r="383" spans="11:24">
      <c r="K383"/>
      <c r="L383"/>
      <c r="M383"/>
      <c r="N383"/>
      <c r="U383"/>
      <c r="V383"/>
      <c r="W383"/>
      <c r="X383"/>
    </row>
    <row r="384" spans="11:24">
      <c r="K384"/>
      <c r="L384"/>
      <c r="M384"/>
      <c r="N384"/>
      <c r="U384"/>
      <c r="V384"/>
      <c r="W384"/>
      <c r="X384"/>
    </row>
    <row r="385" spans="11:24">
      <c r="K385"/>
      <c r="L385"/>
      <c r="M385"/>
      <c r="N385"/>
      <c r="U385"/>
      <c r="V385"/>
      <c r="W385"/>
      <c r="X385"/>
    </row>
    <row r="386" spans="11:24">
      <c r="K386"/>
      <c r="L386"/>
      <c r="M386"/>
      <c r="N386"/>
      <c r="U386"/>
      <c r="V386"/>
      <c r="W386"/>
      <c r="X386"/>
    </row>
    <row r="387" spans="11:24">
      <c r="K387"/>
      <c r="L387"/>
      <c r="M387"/>
      <c r="N387"/>
      <c r="U387"/>
      <c r="V387"/>
      <c r="W387"/>
      <c r="X387"/>
    </row>
    <row r="388" spans="11:24">
      <c r="K388"/>
      <c r="L388"/>
      <c r="M388"/>
      <c r="N388"/>
      <c r="U388"/>
      <c r="V388"/>
      <c r="W388"/>
      <c r="X388"/>
    </row>
    <row r="389" spans="11:24">
      <c r="K389"/>
      <c r="L389"/>
      <c r="M389"/>
      <c r="N389"/>
      <c r="U389"/>
      <c r="V389"/>
      <c r="W389"/>
      <c r="X389"/>
    </row>
    <row r="390" spans="11:24">
      <c r="K390"/>
      <c r="L390"/>
      <c r="M390"/>
      <c r="N390"/>
      <c r="U390"/>
      <c r="V390"/>
      <c r="W390"/>
      <c r="X390"/>
    </row>
    <row r="391" spans="11:24">
      <c r="K391"/>
      <c r="L391"/>
      <c r="M391"/>
      <c r="N391"/>
      <c r="U391"/>
      <c r="V391"/>
      <c r="W391"/>
      <c r="X391"/>
    </row>
    <row r="392" spans="11:24">
      <c r="K392"/>
      <c r="L392"/>
      <c r="M392"/>
      <c r="N392"/>
      <c r="U392"/>
      <c r="V392"/>
      <c r="W392"/>
      <c r="X392"/>
    </row>
    <row r="393" spans="11:24">
      <c r="K393"/>
      <c r="L393"/>
      <c r="M393"/>
      <c r="N393"/>
      <c r="U393"/>
      <c r="V393"/>
      <c r="W393"/>
      <c r="X393"/>
    </row>
    <row r="394" spans="11:24">
      <c r="K394"/>
      <c r="L394"/>
      <c r="M394"/>
      <c r="N394"/>
      <c r="U394"/>
      <c r="V394"/>
      <c r="W394"/>
      <c r="X394"/>
    </row>
    <row r="395" spans="11:24">
      <c r="K395"/>
      <c r="L395"/>
      <c r="M395"/>
      <c r="N395"/>
      <c r="U395"/>
      <c r="V395"/>
      <c r="W395"/>
      <c r="X395"/>
    </row>
    <row r="396" spans="11:24">
      <c r="K396"/>
      <c r="L396"/>
      <c r="M396"/>
      <c r="N396"/>
      <c r="U396"/>
      <c r="V396"/>
      <c r="W396"/>
      <c r="X396"/>
    </row>
    <row r="397" spans="11:24">
      <c r="K397"/>
      <c r="L397"/>
      <c r="M397"/>
      <c r="N397"/>
      <c r="U397"/>
      <c r="V397"/>
      <c r="W397"/>
      <c r="X397"/>
    </row>
    <row r="398" spans="11:24">
      <c r="K398"/>
      <c r="L398"/>
      <c r="M398"/>
      <c r="N398"/>
      <c r="U398"/>
      <c r="V398"/>
      <c r="W398"/>
      <c r="X398"/>
    </row>
    <row r="399" spans="11:24">
      <c r="K399"/>
      <c r="L399"/>
      <c r="M399"/>
      <c r="N399"/>
      <c r="U399"/>
      <c r="V399"/>
      <c r="W399"/>
      <c r="X399"/>
    </row>
    <row r="400" spans="11:24">
      <c r="K400"/>
      <c r="L400"/>
      <c r="M400"/>
      <c r="N400"/>
      <c r="U400"/>
      <c r="V400"/>
      <c r="W400"/>
      <c r="X400"/>
    </row>
    <row r="401" spans="11:24">
      <c r="K401"/>
      <c r="L401"/>
      <c r="M401"/>
      <c r="N401"/>
      <c r="U401"/>
      <c r="V401"/>
      <c r="W401"/>
      <c r="X401"/>
    </row>
    <row r="402" spans="11:24">
      <c r="K402"/>
      <c r="L402"/>
      <c r="M402"/>
      <c r="N402"/>
      <c r="U402"/>
      <c r="V402"/>
      <c r="W402"/>
      <c r="X402"/>
    </row>
    <row r="403" spans="11:24">
      <c r="K403"/>
      <c r="L403"/>
      <c r="M403"/>
      <c r="N403"/>
      <c r="U403"/>
      <c r="V403"/>
      <c r="W403"/>
      <c r="X403"/>
    </row>
    <row r="404" spans="11:24">
      <c r="K404"/>
      <c r="L404"/>
      <c r="M404"/>
      <c r="N404"/>
      <c r="U404"/>
      <c r="V404"/>
      <c r="W404"/>
      <c r="X404"/>
    </row>
    <row r="405" spans="11:24">
      <c r="K405"/>
      <c r="L405"/>
      <c r="M405"/>
      <c r="N405"/>
      <c r="U405"/>
      <c r="V405"/>
      <c r="W405"/>
      <c r="X405"/>
    </row>
    <row r="406" spans="11:24">
      <c r="K406"/>
      <c r="L406"/>
      <c r="M406"/>
      <c r="N406"/>
      <c r="U406"/>
      <c r="V406"/>
      <c r="W406"/>
      <c r="X406"/>
    </row>
    <row r="407" spans="11:24">
      <c r="K407"/>
      <c r="L407"/>
      <c r="M407"/>
      <c r="N407"/>
      <c r="U407"/>
      <c r="V407"/>
      <c r="W407"/>
      <c r="X407"/>
    </row>
    <row r="408" spans="11:24">
      <c r="K408"/>
      <c r="L408"/>
      <c r="M408"/>
      <c r="N408"/>
      <c r="U408"/>
      <c r="V408"/>
      <c r="W408"/>
      <c r="X408"/>
    </row>
    <row r="409" spans="11:24">
      <c r="K409"/>
      <c r="L409"/>
      <c r="M409"/>
      <c r="N409"/>
      <c r="U409"/>
      <c r="V409"/>
      <c r="W409"/>
      <c r="X409"/>
    </row>
    <row r="410" spans="11:24">
      <c r="K410"/>
      <c r="L410"/>
      <c r="M410"/>
      <c r="N410"/>
      <c r="U410"/>
      <c r="V410"/>
      <c r="W410"/>
      <c r="X410"/>
    </row>
    <row r="411" spans="11:24">
      <c r="K411"/>
      <c r="L411"/>
      <c r="M411"/>
      <c r="N411"/>
      <c r="U411"/>
      <c r="V411"/>
      <c r="W411"/>
      <c r="X411"/>
    </row>
    <row r="412" spans="11:24">
      <c r="K412"/>
      <c r="L412"/>
      <c r="M412"/>
      <c r="N412"/>
      <c r="U412"/>
      <c r="V412"/>
      <c r="W412"/>
      <c r="X412"/>
    </row>
    <row r="413" spans="11:24">
      <c r="K413"/>
      <c r="L413"/>
      <c r="M413"/>
      <c r="N413"/>
      <c r="U413"/>
      <c r="V413"/>
      <c r="W413"/>
      <c r="X413"/>
    </row>
    <row r="414" spans="11:24">
      <c r="K414"/>
      <c r="L414"/>
      <c r="M414"/>
      <c r="N414"/>
      <c r="U414"/>
      <c r="V414"/>
      <c r="W414"/>
      <c r="X414"/>
    </row>
    <row r="415" spans="11:24">
      <c r="K415"/>
      <c r="L415"/>
      <c r="M415"/>
      <c r="N415"/>
      <c r="U415"/>
      <c r="V415"/>
      <c r="W415"/>
      <c r="X415"/>
    </row>
    <row r="416" spans="11:24">
      <c r="K416"/>
      <c r="L416"/>
      <c r="M416"/>
      <c r="N416"/>
      <c r="U416"/>
      <c r="V416"/>
      <c r="W416"/>
      <c r="X416"/>
    </row>
    <row r="417" spans="11:24">
      <c r="K417"/>
      <c r="L417"/>
      <c r="M417"/>
      <c r="N417"/>
      <c r="U417"/>
      <c r="V417"/>
      <c r="W417"/>
      <c r="X417"/>
    </row>
    <row r="418" spans="11:24">
      <c r="K418"/>
      <c r="L418"/>
      <c r="M418"/>
      <c r="N418"/>
      <c r="U418"/>
      <c r="V418"/>
      <c r="W418"/>
      <c r="X418"/>
    </row>
    <row r="419" spans="11:24">
      <c r="K419"/>
      <c r="L419"/>
      <c r="M419"/>
      <c r="N419"/>
      <c r="U419"/>
      <c r="V419"/>
      <c r="W419"/>
      <c r="X419"/>
    </row>
    <row r="420" spans="11:24">
      <c r="K420"/>
      <c r="L420"/>
      <c r="M420"/>
      <c r="N420"/>
      <c r="U420"/>
      <c r="V420"/>
      <c r="W420"/>
      <c r="X420"/>
    </row>
    <row r="421" spans="11:24">
      <c r="K421"/>
      <c r="L421"/>
      <c r="M421"/>
      <c r="N421"/>
      <c r="U421"/>
      <c r="V421"/>
      <c r="W421"/>
      <c r="X421"/>
    </row>
    <row r="422" spans="11:24">
      <c r="K422"/>
      <c r="L422"/>
      <c r="M422"/>
      <c r="N422"/>
      <c r="U422"/>
      <c r="V422"/>
      <c r="W422"/>
      <c r="X422"/>
    </row>
    <row r="423" spans="11:24">
      <c r="K423"/>
      <c r="L423"/>
      <c r="M423"/>
      <c r="N423"/>
      <c r="U423"/>
      <c r="V423"/>
      <c r="W423"/>
      <c r="X423"/>
    </row>
    <row r="424" spans="11:24">
      <c r="K424"/>
      <c r="L424"/>
      <c r="M424"/>
      <c r="N424"/>
      <c r="U424"/>
      <c r="V424"/>
      <c r="W424"/>
      <c r="X424"/>
    </row>
    <row r="425" spans="11:24">
      <c r="K425"/>
      <c r="L425"/>
      <c r="M425"/>
      <c r="N425"/>
      <c r="U425"/>
      <c r="V425"/>
      <c r="W425"/>
      <c r="X425"/>
    </row>
    <row r="426" spans="11:24">
      <c r="K426"/>
      <c r="L426"/>
      <c r="M426"/>
      <c r="N426"/>
      <c r="U426"/>
      <c r="V426"/>
      <c r="W426"/>
      <c r="X426"/>
    </row>
    <row r="427" spans="11:24">
      <c r="K427"/>
      <c r="L427"/>
      <c r="M427"/>
      <c r="N427"/>
      <c r="U427"/>
      <c r="V427"/>
      <c r="W427"/>
      <c r="X427"/>
    </row>
    <row r="428" spans="11:24">
      <c r="K428"/>
      <c r="L428"/>
      <c r="M428"/>
      <c r="N428"/>
      <c r="U428"/>
      <c r="V428"/>
      <c r="W428"/>
      <c r="X428"/>
    </row>
    <row r="429" spans="11:24">
      <c r="K429"/>
      <c r="L429"/>
      <c r="M429"/>
      <c r="N429"/>
      <c r="U429"/>
      <c r="V429"/>
      <c r="W429"/>
      <c r="X429"/>
    </row>
    <row r="430" spans="11:24">
      <c r="K430"/>
      <c r="L430"/>
      <c r="M430"/>
      <c r="N430"/>
      <c r="U430"/>
      <c r="V430"/>
      <c r="W430"/>
      <c r="X430"/>
    </row>
    <row r="431" spans="11:24">
      <c r="K431"/>
      <c r="L431"/>
      <c r="M431"/>
      <c r="N431"/>
      <c r="U431"/>
      <c r="V431"/>
      <c r="W431"/>
      <c r="X431"/>
    </row>
    <row r="432" spans="11:24">
      <c r="K432"/>
      <c r="L432"/>
      <c r="M432"/>
      <c r="N432"/>
      <c r="U432"/>
      <c r="V432"/>
      <c r="W432"/>
      <c r="X432"/>
    </row>
    <row r="433" spans="11:24">
      <c r="K433"/>
      <c r="L433"/>
      <c r="M433"/>
      <c r="N433"/>
      <c r="U433"/>
      <c r="V433"/>
      <c r="W433"/>
      <c r="X433"/>
    </row>
    <row r="434" spans="11:24">
      <c r="K434"/>
      <c r="L434"/>
      <c r="M434"/>
      <c r="N434"/>
      <c r="U434"/>
      <c r="V434"/>
      <c r="W434"/>
      <c r="X434"/>
    </row>
    <row r="435" spans="11:24">
      <c r="K435"/>
      <c r="L435"/>
      <c r="M435"/>
      <c r="N435"/>
      <c r="U435"/>
      <c r="V435"/>
      <c r="W435"/>
      <c r="X435"/>
    </row>
    <row r="436" spans="11:24">
      <c r="K436"/>
      <c r="L436"/>
      <c r="M436"/>
      <c r="N436"/>
      <c r="U436"/>
      <c r="V436"/>
      <c r="W436"/>
      <c r="X436"/>
    </row>
    <row r="437" spans="11:24">
      <c r="K437"/>
      <c r="L437"/>
      <c r="M437"/>
      <c r="N437"/>
      <c r="U437"/>
      <c r="V437"/>
      <c r="W437"/>
      <c r="X437"/>
    </row>
    <row r="438" spans="11:24">
      <c r="K438"/>
      <c r="L438"/>
      <c r="M438"/>
      <c r="N438"/>
      <c r="U438"/>
      <c r="V438"/>
      <c r="W438"/>
      <c r="X438"/>
    </row>
    <row r="439" spans="11:24">
      <c r="K439"/>
      <c r="L439"/>
      <c r="M439"/>
      <c r="N439"/>
      <c r="U439"/>
      <c r="V439"/>
      <c r="W439"/>
      <c r="X439"/>
    </row>
    <row r="440" spans="11:24">
      <c r="K440"/>
      <c r="L440"/>
      <c r="M440"/>
      <c r="N440"/>
      <c r="U440"/>
      <c r="V440"/>
      <c r="W440"/>
      <c r="X440"/>
    </row>
    <row r="441" spans="11:24">
      <c r="K441"/>
      <c r="L441"/>
      <c r="M441"/>
      <c r="N441"/>
      <c r="U441"/>
      <c r="V441"/>
      <c r="W441"/>
      <c r="X441"/>
    </row>
    <row r="442" spans="11:24">
      <c r="K442"/>
      <c r="L442"/>
      <c r="M442"/>
      <c r="N442"/>
      <c r="U442"/>
      <c r="V442"/>
      <c r="W442"/>
      <c r="X442"/>
    </row>
    <row r="443" spans="11:24">
      <c r="K443"/>
      <c r="L443"/>
      <c r="M443"/>
      <c r="N443"/>
      <c r="U443"/>
      <c r="V443"/>
      <c r="W443"/>
      <c r="X443"/>
    </row>
    <row r="444" spans="11:24">
      <c r="K444"/>
      <c r="L444"/>
      <c r="M444"/>
      <c r="N444"/>
      <c r="U444"/>
      <c r="V444"/>
      <c r="W444"/>
      <c r="X444"/>
    </row>
    <row r="445" spans="11:24">
      <c r="K445"/>
      <c r="L445"/>
      <c r="M445"/>
      <c r="N445"/>
      <c r="U445"/>
      <c r="V445"/>
      <c r="W445"/>
      <c r="X445"/>
    </row>
    <row r="446" spans="11:24">
      <c r="K446"/>
      <c r="L446"/>
      <c r="M446"/>
      <c r="N446"/>
      <c r="U446"/>
      <c r="V446"/>
      <c r="W446"/>
      <c r="X446"/>
    </row>
    <row r="447" spans="11:24">
      <c r="K447"/>
      <c r="L447"/>
      <c r="M447"/>
      <c r="N447"/>
      <c r="U447"/>
      <c r="V447"/>
      <c r="W447"/>
      <c r="X447"/>
    </row>
    <row r="448" spans="11:24">
      <c r="K448"/>
      <c r="L448"/>
      <c r="M448"/>
      <c r="N448"/>
      <c r="U448"/>
      <c r="V448"/>
      <c r="W448"/>
      <c r="X448"/>
    </row>
    <row r="449" spans="11:24">
      <c r="K449"/>
      <c r="L449"/>
      <c r="M449"/>
      <c r="N449"/>
      <c r="U449"/>
      <c r="V449"/>
      <c r="W449"/>
      <c r="X449"/>
    </row>
    <row r="450" spans="11:24">
      <c r="K450"/>
      <c r="L450"/>
      <c r="M450"/>
      <c r="N450"/>
      <c r="U450"/>
      <c r="V450"/>
      <c r="W450"/>
      <c r="X450"/>
    </row>
    <row r="451" spans="11:24">
      <c r="K451"/>
      <c r="L451"/>
      <c r="M451"/>
      <c r="N451"/>
      <c r="U451"/>
      <c r="V451"/>
      <c r="W451"/>
      <c r="X451"/>
    </row>
    <row r="452" spans="11:24">
      <c r="K452"/>
      <c r="L452"/>
      <c r="M452"/>
      <c r="N452"/>
      <c r="U452"/>
      <c r="V452"/>
      <c r="W452"/>
      <c r="X452"/>
    </row>
    <row r="453" spans="11:24">
      <c r="K453"/>
      <c r="L453"/>
      <c r="M453"/>
      <c r="N453"/>
      <c r="U453"/>
      <c r="V453"/>
      <c r="W453"/>
      <c r="X453"/>
    </row>
    <row r="454" spans="11:24">
      <c r="K454"/>
      <c r="L454"/>
      <c r="M454"/>
      <c r="N454"/>
      <c r="U454"/>
      <c r="V454"/>
      <c r="W454"/>
      <c r="X454"/>
    </row>
    <row r="455" spans="11:24">
      <c r="K455"/>
      <c r="L455"/>
      <c r="M455"/>
      <c r="N455"/>
      <c r="U455"/>
      <c r="V455"/>
      <c r="W455"/>
      <c r="X455"/>
    </row>
    <row r="456" spans="11:24">
      <c r="K456"/>
      <c r="L456"/>
      <c r="M456"/>
      <c r="N456"/>
      <c r="U456"/>
      <c r="V456"/>
      <c r="W456"/>
      <c r="X456"/>
    </row>
    <row r="457" spans="11:24">
      <c r="K457"/>
      <c r="L457"/>
      <c r="M457"/>
      <c r="N457"/>
      <c r="U457"/>
      <c r="V457"/>
      <c r="W457"/>
      <c r="X457"/>
    </row>
    <row r="458" spans="11:24">
      <c r="K458"/>
      <c r="L458"/>
      <c r="M458"/>
      <c r="N458"/>
      <c r="U458"/>
      <c r="V458"/>
      <c r="W458"/>
      <c r="X458"/>
    </row>
    <row r="459" spans="11:24">
      <c r="K459"/>
      <c r="L459"/>
      <c r="M459"/>
      <c r="N459"/>
      <c r="U459"/>
      <c r="V459"/>
      <c r="W459"/>
      <c r="X459"/>
    </row>
    <row r="460" spans="11:24">
      <c r="K460"/>
      <c r="L460"/>
      <c r="M460"/>
      <c r="N460"/>
      <c r="U460"/>
      <c r="V460"/>
      <c r="W460"/>
      <c r="X460"/>
    </row>
    <row r="461" spans="11:24">
      <c r="K461"/>
      <c r="L461"/>
      <c r="M461"/>
      <c r="N461"/>
      <c r="U461"/>
      <c r="V461"/>
      <c r="W461"/>
      <c r="X461"/>
    </row>
    <row r="462" spans="11:24">
      <c r="K462"/>
      <c r="L462"/>
      <c r="M462"/>
      <c r="N462"/>
      <c r="U462"/>
      <c r="V462"/>
      <c r="W462"/>
      <c r="X462"/>
    </row>
    <row r="463" spans="11:24">
      <c r="K463"/>
      <c r="L463"/>
      <c r="M463"/>
      <c r="N463"/>
      <c r="U463"/>
      <c r="V463"/>
      <c r="W463"/>
      <c r="X463"/>
    </row>
    <row r="464" spans="11:24">
      <c r="K464"/>
      <c r="L464"/>
      <c r="M464"/>
      <c r="N464"/>
      <c r="U464"/>
      <c r="V464"/>
      <c r="W464"/>
      <c r="X464"/>
    </row>
    <row r="465" spans="11:24">
      <c r="K465"/>
      <c r="L465"/>
      <c r="M465"/>
      <c r="N465"/>
      <c r="U465"/>
      <c r="V465"/>
      <c r="W465"/>
      <c r="X465"/>
    </row>
    <row r="466" spans="11:24">
      <c r="K466"/>
      <c r="L466"/>
      <c r="M466"/>
      <c r="N466"/>
      <c r="U466"/>
      <c r="V466"/>
      <c r="W466"/>
      <c r="X466"/>
    </row>
    <row r="467" spans="11:24">
      <c r="K467"/>
      <c r="L467"/>
      <c r="M467"/>
      <c r="N467"/>
      <c r="U467"/>
      <c r="V467"/>
      <c r="W467"/>
      <c r="X467"/>
    </row>
    <row r="468" spans="11:24">
      <c r="K468"/>
      <c r="L468"/>
      <c r="M468"/>
      <c r="N468"/>
      <c r="U468"/>
      <c r="V468"/>
      <c r="W468"/>
      <c r="X468"/>
    </row>
    <row r="469" spans="11:24">
      <c r="K469"/>
      <c r="L469"/>
      <c r="M469"/>
      <c r="N469"/>
      <c r="U469"/>
      <c r="V469"/>
      <c r="W469"/>
      <c r="X469"/>
    </row>
    <row r="470" spans="11:24">
      <c r="K470"/>
      <c r="L470"/>
      <c r="M470"/>
      <c r="N470"/>
      <c r="U470"/>
      <c r="V470"/>
      <c r="W470"/>
      <c r="X470"/>
    </row>
    <row r="471" spans="11:24">
      <c r="K471"/>
      <c r="L471"/>
      <c r="M471"/>
      <c r="N471"/>
      <c r="U471"/>
      <c r="V471"/>
      <c r="W471"/>
      <c r="X471"/>
    </row>
    <row r="472" spans="11:24">
      <c r="K472"/>
      <c r="L472"/>
      <c r="M472"/>
      <c r="N472"/>
      <c r="U472"/>
      <c r="V472"/>
      <c r="W472"/>
      <c r="X472"/>
    </row>
    <row r="473" spans="11:24">
      <c r="K473"/>
      <c r="L473"/>
      <c r="M473"/>
      <c r="N473"/>
      <c r="U473"/>
      <c r="V473"/>
      <c r="W473"/>
      <c r="X473"/>
    </row>
    <row r="474" spans="11:24">
      <c r="K474"/>
      <c r="L474"/>
      <c r="M474"/>
      <c r="N474"/>
      <c r="U474"/>
      <c r="V474"/>
      <c r="W474"/>
      <c r="X474"/>
    </row>
    <row r="475" spans="11:24">
      <c r="K475"/>
      <c r="L475"/>
      <c r="M475"/>
      <c r="N475"/>
      <c r="U475"/>
      <c r="V475"/>
      <c r="W475"/>
      <c r="X475"/>
    </row>
    <row r="476" spans="11:24">
      <c r="K476"/>
      <c r="L476"/>
      <c r="M476"/>
      <c r="N476"/>
      <c r="U476"/>
      <c r="V476"/>
      <c r="W476"/>
      <c r="X476"/>
    </row>
    <row r="477" spans="11:24">
      <c r="K477"/>
      <c r="L477"/>
      <c r="M477"/>
      <c r="N477"/>
      <c r="U477"/>
      <c r="V477"/>
      <c r="W477"/>
      <c r="X477"/>
    </row>
    <row r="478" spans="11:24">
      <c r="K478"/>
      <c r="L478"/>
      <c r="M478"/>
      <c r="N478"/>
      <c r="U478"/>
      <c r="V478"/>
      <c r="W478"/>
      <c r="X478"/>
    </row>
    <row r="479" spans="11:24">
      <c r="K479"/>
      <c r="L479"/>
      <c r="M479"/>
      <c r="N479"/>
      <c r="U479"/>
      <c r="V479"/>
      <c r="W479"/>
      <c r="X479"/>
    </row>
    <row r="480" spans="11:24">
      <c r="K480"/>
      <c r="L480"/>
      <c r="M480"/>
      <c r="N480"/>
      <c r="U480"/>
      <c r="V480"/>
      <c r="W480"/>
      <c r="X480"/>
    </row>
    <row r="481" spans="11:24">
      <c r="K481"/>
      <c r="L481"/>
      <c r="M481"/>
      <c r="N481"/>
      <c r="U481"/>
      <c r="V481"/>
      <c r="W481"/>
      <c r="X481"/>
    </row>
    <row r="482" spans="11:24">
      <c r="K482"/>
      <c r="L482"/>
      <c r="M482"/>
      <c r="N482"/>
      <c r="U482"/>
      <c r="V482"/>
      <c r="W482"/>
      <c r="X482"/>
    </row>
    <row r="483" spans="11:24">
      <c r="K483"/>
      <c r="L483"/>
      <c r="M483"/>
      <c r="N483"/>
      <c r="U483"/>
      <c r="V483"/>
      <c r="W483"/>
      <c r="X483"/>
    </row>
    <row r="484" spans="11:24">
      <c r="K484"/>
      <c r="L484"/>
      <c r="M484"/>
      <c r="N484"/>
      <c r="U484"/>
      <c r="V484"/>
      <c r="W484"/>
      <c r="X484"/>
    </row>
    <row r="485" spans="11:24">
      <c r="K485"/>
      <c r="L485"/>
      <c r="M485"/>
      <c r="N485"/>
      <c r="U485"/>
      <c r="V485"/>
      <c r="W485"/>
      <c r="X485"/>
    </row>
    <row r="486" spans="11:24">
      <c r="K486"/>
      <c r="L486"/>
      <c r="M486"/>
      <c r="N486"/>
      <c r="U486"/>
      <c r="V486"/>
      <c r="W486"/>
      <c r="X486"/>
    </row>
    <row r="487" spans="11:24">
      <c r="K487"/>
      <c r="L487"/>
      <c r="M487"/>
      <c r="N487"/>
      <c r="U487"/>
      <c r="V487"/>
      <c r="W487"/>
      <c r="X487"/>
    </row>
    <row r="488" spans="11:24">
      <c r="K488"/>
      <c r="L488"/>
      <c r="M488"/>
      <c r="N488"/>
      <c r="U488"/>
      <c r="V488"/>
      <c r="W488"/>
      <c r="X488"/>
    </row>
    <row r="489" spans="11:24">
      <c r="K489"/>
      <c r="L489"/>
      <c r="M489"/>
      <c r="N489"/>
      <c r="U489"/>
      <c r="V489"/>
      <c r="W489"/>
      <c r="X489"/>
    </row>
    <row r="490" spans="11:24">
      <c r="K490"/>
      <c r="L490"/>
      <c r="M490"/>
      <c r="N490"/>
      <c r="U490"/>
      <c r="V490"/>
      <c r="W490"/>
      <c r="X490"/>
    </row>
    <row r="491" spans="11:24">
      <c r="K491"/>
      <c r="L491"/>
      <c r="M491"/>
      <c r="N491"/>
      <c r="U491"/>
      <c r="V491"/>
      <c r="W491"/>
      <c r="X491"/>
    </row>
    <row r="492" spans="11:24">
      <c r="K492"/>
      <c r="L492"/>
      <c r="M492"/>
      <c r="N492"/>
      <c r="U492"/>
      <c r="V492"/>
      <c r="W492"/>
      <c r="X492"/>
    </row>
    <row r="493" spans="11:24">
      <c r="K493"/>
      <c r="L493"/>
      <c r="M493"/>
      <c r="N493"/>
      <c r="U493"/>
      <c r="V493"/>
      <c r="W493"/>
      <c r="X493"/>
    </row>
    <row r="494" spans="11:24">
      <c r="K494"/>
      <c r="L494"/>
      <c r="M494"/>
      <c r="N494"/>
      <c r="U494"/>
      <c r="V494"/>
      <c r="W494"/>
      <c r="X494"/>
    </row>
    <row r="495" spans="11:24">
      <c r="K495"/>
      <c r="L495"/>
      <c r="M495"/>
      <c r="N495"/>
      <c r="U495"/>
      <c r="V495"/>
      <c r="W495"/>
      <c r="X495"/>
    </row>
    <row r="496" spans="11:24">
      <c r="K496"/>
      <c r="L496"/>
      <c r="M496"/>
      <c r="N496"/>
      <c r="U496"/>
      <c r="V496"/>
      <c r="W496"/>
      <c r="X496"/>
    </row>
    <row r="497" spans="11:24">
      <c r="K497"/>
      <c r="L497"/>
      <c r="M497"/>
      <c r="N497"/>
      <c r="U497"/>
      <c r="V497"/>
      <c r="W497"/>
      <c r="X497"/>
    </row>
    <row r="498" spans="11:24">
      <c r="K498"/>
      <c r="L498"/>
      <c r="M498"/>
      <c r="N498"/>
      <c r="U498"/>
      <c r="V498"/>
      <c r="W498"/>
      <c r="X498"/>
    </row>
    <row r="499" spans="11:24">
      <c r="K499"/>
      <c r="L499"/>
      <c r="M499"/>
      <c r="N499"/>
      <c r="U499"/>
      <c r="V499"/>
      <c r="W499"/>
      <c r="X499"/>
    </row>
    <row r="500" spans="11:24">
      <c r="K500"/>
      <c r="L500"/>
      <c r="M500"/>
      <c r="N500"/>
      <c r="U500"/>
      <c r="V500"/>
      <c r="W500"/>
      <c r="X500"/>
    </row>
    <row r="501" spans="11:24">
      <c r="K501"/>
      <c r="L501"/>
      <c r="M501"/>
      <c r="N501"/>
      <c r="U501"/>
      <c r="V501"/>
      <c r="W501"/>
      <c r="X501"/>
    </row>
    <row r="502" spans="11:24">
      <c r="K502"/>
      <c r="L502"/>
      <c r="M502"/>
      <c r="N502"/>
      <c r="U502"/>
      <c r="V502"/>
      <c r="W502"/>
      <c r="X502"/>
    </row>
    <row r="503" spans="11:24">
      <c r="K503"/>
      <c r="L503"/>
      <c r="M503"/>
      <c r="N503"/>
      <c r="U503"/>
      <c r="V503"/>
      <c r="W503"/>
      <c r="X503"/>
    </row>
    <row r="504" spans="11:24">
      <c r="K504"/>
      <c r="L504"/>
      <c r="M504"/>
      <c r="N504"/>
      <c r="U504"/>
      <c r="V504"/>
      <c r="W504"/>
      <c r="X504"/>
    </row>
    <row r="505" spans="11:24">
      <c r="K505"/>
      <c r="L505"/>
      <c r="M505"/>
      <c r="N505"/>
      <c r="U505"/>
      <c r="V505"/>
      <c r="W505"/>
      <c r="X505"/>
    </row>
    <row r="506" spans="11:24">
      <c r="K506"/>
      <c r="L506"/>
      <c r="M506"/>
      <c r="N506"/>
      <c r="U506"/>
      <c r="V506"/>
      <c r="W506"/>
      <c r="X506"/>
    </row>
    <row r="507" spans="11:24">
      <c r="K507"/>
      <c r="L507"/>
      <c r="M507"/>
      <c r="N507"/>
      <c r="U507"/>
      <c r="V507"/>
      <c r="W507"/>
      <c r="X507"/>
    </row>
    <row r="508" spans="11:24">
      <c r="K508"/>
      <c r="L508"/>
      <c r="M508"/>
      <c r="N508"/>
      <c r="U508"/>
      <c r="V508"/>
      <c r="W508"/>
      <c r="X508"/>
    </row>
    <row r="509" spans="11:24">
      <c r="K509"/>
      <c r="L509"/>
      <c r="M509"/>
      <c r="N509"/>
      <c r="U509"/>
      <c r="V509"/>
      <c r="W509"/>
      <c r="X509"/>
    </row>
    <row r="510" spans="11:24">
      <c r="K510"/>
      <c r="L510"/>
      <c r="M510"/>
      <c r="N510"/>
      <c r="U510"/>
      <c r="V510"/>
      <c r="W510"/>
      <c r="X510"/>
    </row>
    <row r="511" spans="11:24">
      <c r="K511"/>
      <c r="L511"/>
      <c r="M511"/>
      <c r="N511"/>
      <c r="U511"/>
      <c r="V511"/>
      <c r="W511"/>
      <c r="X511"/>
    </row>
    <row r="512" spans="11:24">
      <c r="K512"/>
      <c r="L512"/>
      <c r="M512"/>
      <c r="N512"/>
      <c r="U512"/>
      <c r="V512"/>
      <c r="W512"/>
      <c r="X512"/>
    </row>
    <row r="513" spans="11:24">
      <c r="K513"/>
      <c r="L513"/>
      <c r="M513"/>
      <c r="N513"/>
      <c r="U513"/>
      <c r="V513"/>
      <c r="W513"/>
      <c r="X513"/>
    </row>
    <row r="514" spans="11:24">
      <c r="K514"/>
      <c r="L514"/>
      <c r="M514"/>
      <c r="N514"/>
      <c r="U514"/>
      <c r="V514"/>
      <c r="W514"/>
      <c r="X514"/>
    </row>
    <row r="515" spans="11:24">
      <c r="K515"/>
      <c r="L515"/>
      <c r="M515"/>
      <c r="N515"/>
      <c r="U515"/>
      <c r="V515"/>
      <c r="W515"/>
      <c r="X515"/>
    </row>
    <row r="516" spans="11:24">
      <c r="K516"/>
      <c r="L516"/>
      <c r="M516"/>
      <c r="N516"/>
      <c r="U516"/>
      <c r="V516"/>
      <c r="W516"/>
      <c r="X516"/>
    </row>
    <row r="517" spans="11:24">
      <c r="K517"/>
      <c r="L517"/>
      <c r="M517"/>
      <c r="N517"/>
      <c r="U517"/>
      <c r="V517"/>
      <c r="W517"/>
      <c r="X517"/>
    </row>
    <row r="518" spans="11:24">
      <c r="K518"/>
      <c r="L518"/>
      <c r="M518"/>
      <c r="N518"/>
      <c r="U518"/>
      <c r="V518"/>
      <c r="W518"/>
      <c r="X518"/>
    </row>
    <row r="519" spans="11:24">
      <c r="K519"/>
      <c r="L519"/>
      <c r="M519"/>
      <c r="N519"/>
      <c r="U519"/>
      <c r="V519"/>
      <c r="W519"/>
      <c r="X519"/>
    </row>
    <row r="520" spans="11:24">
      <c r="K520"/>
      <c r="L520"/>
      <c r="M520"/>
      <c r="N520"/>
      <c r="U520"/>
      <c r="V520"/>
      <c r="W520"/>
      <c r="X520"/>
    </row>
    <row r="521" spans="11:24">
      <c r="K521"/>
      <c r="L521"/>
      <c r="M521"/>
      <c r="N521"/>
      <c r="U521"/>
      <c r="V521"/>
      <c r="W521"/>
      <c r="X521"/>
    </row>
    <row r="522" spans="11:24">
      <c r="K522"/>
      <c r="L522"/>
      <c r="M522"/>
      <c r="N522"/>
      <c r="U522"/>
      <c r="V522"/>
      <c r="W522"/>
      <c r="X522"/>
    </row>
    <row r="523" spans="11:24">
      <c r="K523"/>
      <c r="L523"/>
      <c r="M523"/>
      <c r="N523"/>
      <c r="U523"/>
      <c r="V523"/>
      <c r="W523"/>
      <c r="X523"/>
    </row>
    <row r="524" spans="11:24">
      <c r="K524"/>
      <c r="L524"/>
      <c r="M524"/>
      <c r="N524"/>
      <c r="U524"/>
      <c r="V524"/>
      <c r="W524"/>
      <c r="X524"/>
    </row>
    <row r="525" spans="11:24">
      <c r="K525"/>
      <c r="L525"/>
      <c r="M525"/>
      <c r="N525"/>
      <c r="U525"/>
      <c r="V525"/>
      <c r="W525"/>
      <c r="X525"/>
    </row>
    <row r="526" spans="11:24">
      <c r="K526"/>
      <c r="L526"/>
      <c r="M526"/>
      <c r="N526"/>
      <c r="U526"/>
      <c r="V526"/>
      <c r="W526"/>
      <c r="X526"/>
    </row>
    <row r="527" spans="11:24">
      <c r="K527"/>
      <c r="L527"/>
      <c r="M527"/>
      <c r="N527"/>
      <c r="U527"/>
      <c r="V527"/>
      <c r="W527"/>
      <c r="X527"/>
    </row>
    <row r="528" spans="11:24">
      <c r="K528"/>
      <c r="L528"/>
      <c r="M528"/>
      <c r="N528"/>
      <c r="U528"/>
      <c r="V528"/>
      <c r="W528"/>
      <c r="X528"/>
    </row>
    <row r="529" spans="11:24">
      <c r="K529"/>
      <c r="L529"/>
      <c r="M529"/>
      <c r="N529"/>
      <c r="U529"/>
      <c r="V529"/>
      <c r="W529"/>
      <c r="X529"/>
    </row>
    <row r="530" spans="11:24">
      <c r="K530"/>
      <c r="L530"/>
      <c r="M530"/>
      <c r="N530"/>
      <c r="U530"/>
      <c r="V530"/>
      <c r="W530"/>
      <c r="X530"/>
    </row>
    <row r="531" spans="11:24">
      <c r="K531"/>
      <c r="L531"/>
      <c r="M531"/>
      <c r="N531"/>
      <c r="U531"/>
      <c r="V531"/>
      <c r="W531"/>
      <c r="X531"/>
    </row>
    <row r="532" spans="11:24">
      <c r="K532"/>
      <c r="L532"/>
      <c r="M532"/>
      <c r="N532"/>
      <c r="U532"/>
      <c r="V532"/>
      <c r="W532"/>
      <c r="X532"/>
    </row>
    <row r="533" spans="11:24">
      <c r="K533"/>
      <c r="L533"/>
      <c r="M533"/>
      <c r="N533"/>
      <c r="U533"/>
      <c r="V533"/>
      <c r="W533"/>
      <c r="X533"/>
    </row>
    <row r="534" spans="11:24">
      <c r="K534"/>
      <c r="L534"/>
      <c r="M534"/>
      <c r="N534"/>
      <c r="U534"/>
      <c r="V534"/>
      <c r="W534"/>
      <c r="X534"/>
    </row>
    <row r="535" spans="11:24">
      <c r="K535"/>
      <c r="L535"/>
      <c r="M535"/>
      <c r="N535"/>
      <c r="U535"/>
      <c r="V535"/>
      <c r="W535"/>
      <c r="X535"/>
    </row>
    <row r="536" spans="11:24">
      <c r="K536"/>
      <c r="L536"/>
      <c r="M536"/>
      <c r="N536"/>
      <c r="U536"/>
      <c r="V536"/>
      <c r="W536"/>
      <c r="X536"/>
    </row>
    <row r="537" spans="11:24">
      <c r="K537"/>
      <c r="L537"/>
      <c r="M537"/>
      <c r="N537"/>
      <c r="U537"/>
      <c r="V537"/>
      <c r="W537"/>
      <c r="X537"/>
    </row>
    <row r="538" spans="11:24">
      <c r="K538"/>
      <c r="L538"/>
      <c r="M538"/>
      <c r="N538"/>
      <c r="U538"/>
      <c r="V538"/>
      <c r="W538"/>
      <c r="X538"/>
    </row>
    <row r="539" spans="11:24">
      <c r="K539"/>
      <c r="L539"/>
      <c r="M539"/>
      <c r="N539"/>
      <c r="U539"/>
      <c r="V539"/>
      <c r="W539"/>
      <c r="X539"/>
    </row>
    <row r="540" spans="11:24">
      <c r="K540"/>
      <c r="L540"/>
      <c r="M540"/>
      <c r="N540"/>
      <c r="U540"/>
      <c r="V540"/>
      <c r="W540"/>
      <c r="X540"/>
    </row>
    <row r="541" spans="11:24">
      <c r="K541"/>
      <c r="L541"/>
      <c r="M541"/>
      <c r="N541"/>
      <c r="U541"/>
      <c r="V541"/>
      <c r="W541"/>
      <c r="X541"/>
    </row>
    <row r="542" spans="11:24">
      <c r="K542"/>
      <c r="L542"/>
      <c r="M542"/>
      <c r="N542"/>
      <c r="U542"/>
      <c r="V542"/>
      <c r="W542"/>
      <c r="X542"/>
    </row>
    <row r="543" spans="11:24">
      <c r="K543"/>
      <c r="L543"/>
      <c r="M543"/>
      <c r="N543"/>
      <c r="U543"/>
      <c r="V543"/>
      <c r="W543"/>
      <c r="X543"/>
    </row>
    <row r="544" spans="11:24">
      <c r="K544"/>
      <c r="L544"/>
      <c r="M544"/>
      <c r="N544"/>
      <c r="U544"/>
      <c r="V544"/>
      <c r="W544"/>
      <c r="X544"/>
    </row>
    <row r="545" spans="11:24">
      <c r="K545"/>
      <c r="L545"/>
      <c r="M545"/>
      <c r="N545"/>
      <c r="U545"/>
      <c r="V545"/>
      <c r="W545"/>
      <c r="X545"/>
    </row>
    <row r="546" spans="11:24">
      <c r="K546"/>
      <c r="L546"/>
      <c r="M546"/>
      <c r="N546"/>
      <c r="U546"/>
      <c r="V546"/>
      <c r="W546"/>
      <c r="X546"/>
    </row>
    <row r="547" spans="11:24">
      <c r="K547"/>
      <c r="L547"/>
      <c r="M547"/>
      <c r="N547"/>
      <c r="U547"/>
      <c r="V547"/>
      <c r="W547"/>
      <c r="X547"/>
    </row>
    <row r="548" spans="11:24">
      <c r="K548"/>
      <c r="L548"/>
      <c r="M548"/>
      <c r="N548"/>
      <c r="U548"/>
      <c r="V548"/>
      <c r="W548"/>
      <c r="X548"/>
    </row>
    <row r="549" spans="11:24">
      <c r="K549"/>
      <c r="L549"/>
      <c r="M549"/>
      <c r="N549"/>
      <c r="U549"/>
      <c r="V549"/>
      <c r="W549"/>
      <c r="X549"/>
    </row>
    <row r="550" spans="11:24">
      <c r="K550"/>
      <c r="L550"/>
      <c r="M550"/>
      <c r="N550"/>
      <c r="U550"/>
      <c r="V550"/>
      <c r="W550"/>
      <c r="X550"/>
    </row>
    <row r="551" spans="11:24">
      <c r="K551"/>
      <c r="L551"/>
      <c r="M551"/>
      <c r="N551"/>
      <c r="U551"/>
      <c r="V551"/>
      <c r="W551"/>
      <c r="X551"/>
    </row>
    <row r="552" spans="11:24">
      <c r="K552"/>
      <c r="L552"/>
      <c r="M552"/>
      <c r="N552"/>
      <c r="U552"/>
      <c r="V552"/>
      <c r="W552"/>
      <c r="X552"/>
    </row>
    <row r="553" spans="11:24">
      <c r="K553"/>
      <c r="L553"/>
      <c r="M553"/>
      <c r="N553"/>
      <c r="U553"/>
      <c r="V553"/>
      <c r="W553"/>
      <c r="X553"/>
    </row>
    <row r="554" spans="11:24">
      <c r="K554"/>
      <c r="L554"/>
      <c r="M554"/>
      <c r="N554"/>
      <c r="U554"/>
      <c r="V554"/>
      <c r="W554"/>
      <c r="X554"/>
    </row>
    <row r="555" spans="11:24">
      <c r="K555"/>
      <c r="L555"/>
      <c r="M555"/>
      <c r="N555"/>
      <c r="U555"/>
      <c r="V555"/>
      <c r="W555"/>
      <c r="X555"/>
    </row>
    <row r="556" spans="11:24">
      <c r="K556"/>
      <c r="L556"/>
      <c r="M556"/>
      <c r="N556"/>
      <c r="U556"/>
      <c r="V556"/>
      <c r="W556"/>
      <c r="X556"/>
    </row>
    <row r="557" spans="11:24">
      <c r="K557"/>
      <c r="L557"/>
      <c r="M557"/>
      <c r="N557"/>
      <c r="U557"/>
      <c r="V557"/>
      <c r="W557"/>
      <c r="X557"/>
    </row>
    <row r="558" spans="11:24">
      <c r="K558"/>
      <c r="L558"/>
      <c r="M558"/>
      <c r="N558"/>
      <c r="U558"/>
      <c r="V558"/>
      <c r="W558"/>
      <c r="X558"/>
    </row>
    <row r="559" spans="11:24">
      <c r="K559"/>
      <c r="L559"/>
      <c r="M559"/>
      <c r="N559"/>
      <c r="U559"/>
      <c r="V559"/>
      <c r="W559"/>
      <c r="X559"/>
    </row>
    <row r="560" spans="11:24">
      <c r="K560"/>
      <c r="L560"/>
      <c r="M560"/>
      <c r="N560"/>
      <c r="U560"/>
      <c r="V560"/>
      <c r="W560"/>
      <c r="X560"/>
    </row>
    <row r="561" spans="11:24">
      <c r="K561"/>
      <c r="L561"/>
      <c r="M561"/>
      <c r="N561"/>
      <c r="U561"/>
      <c r="V561"/>
      <c r="W561"/>
      <c r="X561"/>
    </row>
    <row r="562" spans="11:24">
      <c r="K562"/>
      <c r="L562"/>
      <c r="M562"/>
      <c r="N562"/>
      <c r="U562"/>
      <c r="V562"/>
      <c r="W562"/>
      <c r="X562"/>
    </row>
    <row r="563" spans="11:24">
      <c r="K563"/>
      <c r="L563"/>
      <c r="M563"/>
      <c r="N563"/>
      <c r="U563"/>
      <c r="V563"/>
      <c r="W563"/>
      <c r="X563"/>
    </row>
    <row r="564" spans="11:24">
      <c r="K564"/>
      <c r="L564"/>
      <c r="M564"/>
      <c r="N564"/>
      <c r="U564"/>
      <c r="V564"/>
      <c r="W564"/>
      <c r="X564"/>
    </row>
    <row r="565" spans="11:24">
      <c r="K565"/>
      <c r="L565"/>
      <c r="M565"/>
      <c r="N565"/>
      <c r="U565"/>
      <c r="V565"/>
      <c r="W565"/>
      <c r="X565"/>
    </row>
    <row r="566" spans="11:24">
      <c r="K566"/>
      <c r="L566"/>
      <c r="M566"/>
      <c r="N566"/>
      <c r="U566"/>
      <c r="V566"/>
      <c r="W566"/>
      <c r="X566"/>
    </row>
    <row r="567" spans="11:24">
      <c r="K567"/>
      <c r="L567"/>
      <c r="M567"/>
      <c r="N567"/>
      <c r="U567"/>
      <c r="V567"/>
      <c r="W567"/>
      <c r="X567"/>
    </row>
    <row r="568" spans="11:24">
      <c r="K568"/>
      <c r="L568"/>
      <c r="M568"/>
      <c r="N568"/>
      <c r="U568"/>
      <c r="V568"/>
      <c r="W568"/>
      <c r="X568"/>
    </row>
    <row r="569" spans="11:24">
      <c r="K569"/>
      <c r="L569"/>
      <c r="M569"/>
      <c r="N569"/>
      <c r="U569"/>
      <c r="V569"/>
      <c r="W569"/>
      <c r="X569"/>
    </row>
    <row r="570" spans="11:24">
      <c r="K570"/>
      <c r="L570"/>
      <c r="M570"/>
      <c r="N570"/>
      <c r="U570"/>
      <c r="V570"/>
      <c r="W570"/>
      <c r="X570"/>
    </row>
    <row r="571" spans="11:24">
      <c r="K571"/>
      <c r="L571"/>
      <c r="M571"/>
      <c r="N571"/>
      <c r="U571"/>
      <c r="V571"/>
      <c r="W571"/>
      <c r="X571"/>
    </row>
    <row r="572" spans="11:24">
      <c r="K572"/>
      <c r="L572"/>
      <c r="M572"/>
      <c r="N572"/>
      <c r="U572"/>
      <c r="V572"/>
      <c r="W572"/>
      <c r="X572"/>
    </row>
    <row r="573" spans="11:24">
      <c r="K573"/>
      <c r="L573"/>
      <c r="M573"/>
      <c r="N573"/>
      <c r="U573"/>
      <c r="V573"/>
      <c r="W573"/>
      <c r="X573"/>
    </row>
    <row r="574" spans="11:24">
      <c r="K574"/>
      <c r="L574"/>
      <c r="M574"/>
      <c r="N574"/>
      <c r="U574"/>
      <c r="V574"/>
      <c r="W574"/>
      <c r="X574"/>
    </row>
    <row r="575" spans="11:24">
      <c r="K575"/>
      <c r="L575"/>
      <c r="M575"/>
      <c r="N575"/>
      <c r="U575"/>
      <c r="V575"/>
      <c r="W575"/>
      <c r="X575"/>
    </row>
    <row r="576" spans="11:24">
      <c r="K576"/>
      <c r="L576"/>
      <c r="M576"/>
      <c r="N576"/>
      <c r="U576"/>
      <c r="V576"/>
      <c r="W576"/>
      <c r="X576"/>
    </row>
    <row r="577" spans="11:24">
      <c r="K577"/>
      <c r="L577"/>
      <c r="M577"/>
      <c r="N577"/>
      <c r="U577"/>
      <c r="V577"/>
      <c r="W577"/>
      <c r="X577"/>
    </row>
    <row r="578" spans="11:24">
      <c r="K578"/>
      <c r="L578"/>
      <c r="M578"/>
      <c r="N578"/>
      <c r="U578"/>
      <c r="V578"/>
      <c r="W578"/>
      <c r="X578"/>
    </row>
    <row r="579" spans="11:24">
      <c r="K579"/>
      <c r="L579"/>
      <c r="M579"/>
      <c r="N579"/>
      <c r="U579"/>
      <c r="V579"/>
      <c r="W579"/>
      <c r="X579"/>
    </row>
    <row r="580" spans="11:24">
      <c r="K580"/>
      <c r="L580"/>
      <c r="M580"/>
      <c r="N580"/>
      <c r="U580"/>
      <c r="V580"/>
      <c r="W580"/>
      <c r="X580"/>
    </row>
    <row r="581" spans="11:24">
      <c r="K581"/>
      <c r="L581"/>
      <c r="M581"/>
      <c r="N581"/>
      <c r="U581"/>
      <c r="V581"/>
      <c r="W581"/>
      <c r="X581"/>
    </row>
    <row r="582" spans="11:24">
      <c r="K582"/>
      <c r="L582"/>
      <c r="M582"/>
      <c r="N582"/>
      <c r="U582"/>
      <c r="V582"/>
      <c r="W582"/>
      <c r="X582"/>
    </row>
    <row r="583" spans="11:24">
      <c r="K583"/>
      <c r="L583"/>
      <c r="M583"/>
      <c r="N583"/>
      <c r="U583"/>
      <c r="V583"/>
      <c r="W583"/>
      <c r="X583"/>
    </row>
    <row r="584" spans="11:24">
      <c r="K584"/>
      <c r="L584"/>
      <c r="M584"/>
      <c r="N584"/>
      <c r="U584"/>
      <c r="V584"/>
      <c r="W584"/>
      <c r="X584"/>
    </row>
    <row r="585" spans="11:24">
      <c r="K585"/>
      <c r="L585"/>
      <c r="M585"/>
      <c r="N585"/>
      <c r="U585"/>
      <c r="V585"/>
      <c r="W585"/>
      <c r="X585"/>
    </row>
    <row r="586" spans="11:24">
      <c r="K586"/>
      <c r="L586"/>
      <c r="M586"/>
      <c r="N586"/>
      <c r="U586"/>
      <c r="V586"/>
      <c r="W586"/>
      <c r="X586"/>
    </row>
    <row r="587" spans="11:24">
      <c r="K587"/>
      <c r="L587"/>
      <c r="M587"/>
      <c r="N587"/>
      <c r="U587"/>
      <c r="V587"/>
      <c r="W587"/>
      <c r="X587"/>
    </row>
    <row r="588" spans="11:24">
      <c r="K588"/>
      <c r="L588"/>
      <c r="M588"/>
      <c r="N588"/>
      <c r="U588"/>
      <c r="V588"/>
      <c r="W588"/>
      <c r="X588"/>
    </row>
    <row r="589" spans="11:24">
      <c r="K589"/>
      <c r="L589"/>
      <c r="M589"/>
      <c r="N589"/>
      <c r="U589"/>
      <c r="V589"/>
      <c r="W589"/>
      <c r="X589"/>
    </row>
    <row r="590" spans="11:24">
      <c r="K590"/>
      <c r="L590"/>
      <c r="M590"/>
      <c r="N590"/>
      <c r="U590"/>
      <c r="V590"/>
      <c r="W590"/>
      <c r="X590"/>
    </row>
    <row r="591" spans="11:24">
      <c r="K591"/>
      <c r="L591"/>
      <c r="M591"/>
      <c r="N591"/>
      <c r="U591"/>
      <c r="V591"/>
      <c r="W591"/>
      <c r="X591"/>
    </row>
    <row r="592" spans="11:24">
      <c r="K592"/>
      <c r="L592"/>
      <c r="M592"/>
      <c r="N592"/>
      <c r="U592"/>
      <c r="V592"/>
      <c r="W592"/>
      <c r="X592"/>
    </row>
    <row r="593" spans="11:24">
      <c r="K593"/>
      <c r="L593"/>
      <c r="M593"/>
      <c r="N593"/>
      <c r="U593"/>
      <c r="V593"/>
      <c r="W593"/>
      <c r="X593"/>
    </row>
    <row r="594" spans="11:24">
      <c r="K594"/>
      <c r="L594"/>
      <c r="M594"/>
      <c r="N594"/>
      <c r="U594"/>
      <c r="V594"/>
      <c r="W594"/>
      <c r="X594"/>
    </row>
    <row r="595" spans="11:24">
      <c r="K595"/>
      <c r="L595"/>
      <c r="M595"/>
      <c r="N595"/>
      <c r="U595"/>
      <c r="V595"/>
      <c r="W595"/>
      <c r="X595"/>
    </row>
    <row r="596" spans="11:24">
      <c r="K596"/>
      <c r="L596"/>
      <c r="M596"/>
      <c r="N596"/>
      <c r="U596"/>
      <c r="V596"/>
      <c r="W596"/>
      <c r="X596"/>
    </row>
    <row r="597" spans="11:24">
      <c r="K597"/>
      <c r="L597"/>
      <c r="M597"/>
      <c r="N597"/>
      <c r="U597"/>
      <c r="V597"/>
      <c r="W597"/>
      <c r="X597"/>
    </row>
    <row r="598" spans="11:24">
      <c r="K598"/>
      <c r="L598"/>
      <c r="M598"/>
      <c r="N598"/>
      <c r="U598"/>
      <c r="V598"/>
      <c r="W598"/>
      <c r="X598"/>
    </row>
    <row r="599" spans="11:24">
      <c r="K599"/>
      <c r="L599"/>
      <c r="M599"/>
      <c r="N599"/>
      <c r="U599"/>
      <c r="V599"/>
      <c r="W599"/>
      <c r="X599"/>
    </row>
    <row r="600" spans="11:24">
      <c r="K600"/>
      <c r="L600"/>
      <c r="M600"/>
      <c r="N600"/>
      <c r="U600"/>
      <c r="V600"/>
      <c r="W600"/>
      <c r="X600"/>
    </row>
    <row r="601" spans="11:24">
      <c r="K601"/>
      <c r="L601"/>
      <c r="M601"/>
      <c r="N601"/>
      <c r="U601"/>
      <c r="V601"/>
      <c r="W601"/>
      <c r="X601"/>
    </row>
    <row r="602" spans="11:24">
      <c r="K602"/>
      <c r="L602"/>
      <c r="M602"/>
      <c r="N602"/>
      <c r="U602"/>
      <c r="V602"/>
      <c r="W602"/>
      <c r="X602"/>
    </row>
    <row r="603" spans="11:24">
      <c r="K603"/>
      <c r="L603"/>
      <c r="M603"/>
      <c r="N603"/>
      <c r="U603"/>
      <c r="V603"/>
      <c r="W603"/>
      <c r="X603"/>
    </row>
    <row r="604" spans="11:24">
      <c r="K604"/>
      <c r="L604"/>
      <c r="M604"/>
      <c r="N604"/>
      <c r="U604"/>
      <c r="V604"/>
      <c r="W604"/>
      <c r="X604"/>
    </row>
    <row r="605" spans="11:24">
      <c r="K605"/>
      <c r="L605"/>
      <c r="M605"/>
      <c r="N605"/>
      <c r="U605"/>
      <c r="V605"/>
      <c r="W605"/>
      <c r="X605"/>
    </row>
    <row r="606" spans="11:24">
      <c r="K606"/>
      <c r="L606"/>
      <c r="M606"/>
      <c r="N606"/>
      <c r="U606"/>
      <c r="V606"/>
      <c r="W606"/>
      <c r="X606"/>
    </row>
    <row r="607" spans="11:24">
      <c r="K607"/>
      <c r="L607"/>
      <c r="M607"/>
      <c r="N607"/>
      <c r="U607"/>
      <c r="V607"/>
      <c r="W607"/>
      <c r="X607"/>
    </row>
    <row r="608" spans="11:24">
      <c r="K608"/>
      <c r="L608"/>
      <c r="M608"/>
      <c r="N608"/>
      <c r="U608"/>
      <c r="V608"/>
      <c r="W608"/>
      <c r="X608"/>
    </row>
    <row r="609" spans="11:24">
      <c r="K609"/>
      <c r="L609"/>
      <c r="M609"/>
      <c r="N609"/>
      <c r="U609"/>
      <c r="V609"/>
      <c r="W609"/>
      <c r="X609"/>
    </row>
    <row r="610" spans="11:24">
      <c r="K610"/>
      <c r="L610"/>
      <c r="M610"/>
      <c r="N610"/>
      <c r="U610"/>
      <c r="V610"/>
      <c r="W610"/>
      <c r="X610"/>
    </row>
    <row r="611" spans="11:24">
      <c r="K611"/>
      <c r="L611"/>
      <c r="M611"/>
      <c r="N611"/>
      <c r="U611"/>
      <c r="V611"/>
      <c r="W611"/>
      <c r="X611"/>
    </row>
    <row r="612" spans="11:24">
      <c r="K612"/>
      <c r="L612"/>
      <c r="M612"/>
      <c r="N612"/>
      <c r="U612"/>
      <c r="V612"/>
      <c r="W612"/>
      <c r="X612"/>
    </row>
    <row r="613" spans="11:24">
      <c r="K613"/>
      <c r="L613"/>
      <c r="M613"/>
      <c r="N613"/>
      <c r="U613"/>
      <c r="V613"/>
      <c r="W613"/>
      <c r="X613"/>
    </row>
    <row r="614" spans="11:24">
      <c r="K614"/>
      <c r="L614"/>
      <c r="M614"/>
      <c r="N614"/>
      <c r="U614"/>
      <c r="V614"/>
      <c r="W614"/>
      <c r="X614"/>
    </row>
    <row r="615" spans="11:24">
      <c r="K615"/>
      <c r="L615"/>
      <c r="M615"/>
      <c r="N615"/>
      <c r="U615"/>
      <c r="V615"/>
      <c r="W615"/>
      <c r="X615"/>
    </row>
    <row r="616" spans="11:24">
      <c r="K616"/>
      <c r="L616"/>
      <c r="M616"/>
      <c r="N616"/>
      <c r="U616"/>
      <c r="V616"/>
      <c r="W616"/>
      <c r="X616"/>
    </row>
    <row r="617" spans="11:24">
      <c r="K617"/>
      <c r="L617"/>
      <c r="M617"/>
      <c r="N617"/>
      <c r="U617"/>
      <c r="V617"/>
      <c r="W617"/>
      <c r="X617"/>
    </row>
    <row r="618" spans="11:24">
      <c r="K618"/>
      <c r="L618"/>
      <c r="M618"/>
      <c r="N618"/>
      <c r="U618"/>
      <c r="V618"/>
      <c r="W618"/>
      <c r="X618"/>
    </row>
    <row r="619" spans="11:24">
      <c r="K619"/>
      <c r="L619"/>
      <c r="M619"/>
      <c r="N619"/>
      <c r="U619"/>
      <c r="V619"/>
      <c r="W619"/>
      <c r="X619"/>
    </row>
    <row r="620" spans="11:24">
      <c r="K620"/>
      <c r="L620"/>
      <c r="M620"/>
      <c r="N620"/>
      <c r="U620"/>
      <c r="V620"/>
      <c r="W620"/>
      <c r="X620"/>
    </row>
    <row r="621" spans="11:24">
      <c r="K621"/>
      <c r="L621"/>
      <c r="M621"/>
      <c r="N621"/>
      <c r="U621"/>
      <c r="V621"/>
      <c r="W621"/>
      <c r="X621"/>
    </row>
    <row r="622" spans="11:24">
      <c r="K622"/>
      <c r="L622"/>
      <c r="M622"/>
      <c r="N622"/>
      <c r="U622"/>
      <c r="V622"/>
      <c r="W622"/>
      <c r="X622"/>
    </row>
    <row r="623" spans="11:24">
      <c r="K623"/>
      <c r="L623"/>
      <c r="M623"/>
      <c r="N623"/>
      <c r="U623"/>
      <c r="V623"/>
      <c r="W623"/>
      <c r="X623"/>
    </row>
    <row r="624" spans="11:24">
      <c r="K624"/>
      <c r="L624"/>
      <c r="M624"/>
      <c r="N624"/>
      <c r="U624"/>
      <c r="V624"/>
      <c r="W624"/>
      <c r="X624"/>
    </row>
    <row r="625" spans="11:24">
      <c r="K625"/>
      <c r="L625"/>
      <c r="M625"/>
      <c r="N625"/>
      <c r="U625"/>
      <c r="V625"/>
      <c r="W625"/>
      <c r="X625"/>
    </row>
    <row r="626" spans="11:24">
      <c r="K626"/>
      <c r="L626"/>
      <c r="M626"/>
      <c r="N626"/>
      <c r="U626"/>
      <c r="V626"/>
      <c r="W626"/>
      <c r="X626"/>
    </row>
    <row r="627" spans="11:24">
      <c r="K627"/>
      <c r="L627"/>
      <c r="M627"/>
      <c r="N627"/>
      <c r="U627"/>
      <c r="V627"/>
      <c r="W627"/>
      <c r="X627"/>
    </row>
    <row r="628" spans="11:24">
      <c r="K628"/>
      <c r="L628"/>
      <c r="M628"/>
      <c r="N628"/>
      <c r="U628"/>
      <c r="V628"/>
      <c r="W628"/>
      <c r="X628"/>
    </row>
    <row r="629" spans="11:24">
      <c r="K629"/>
      <c r="L629"/>
      <c r="M629"/>
      <c r="N629"/>
      <c r="U629"/>
      <c r="V629"/>
      <c r="W629"/>
      <c r="X629"/>
    </row>
    <row r="630" spans="11:24">
      <c r="K630"/>
      <c r="L630"/>
      <c r="M630"/>
      <c r="N630"/>
      <c r="U630"/>
      <c r="V630"/>
      <c r="W630"/>
      <c r="X630"/>
    </row>
    <row r="631" spans="11:24">
      <c r="K631"/>
      <c r="L631"/>
      <c r="M631"/>
      <c r="N631"/>
      <c r="U631"/>
      <c r="V631"/>
      <c r="W631"/>
      <c r="X631"/>
    </row>
    <row r="632" spans="11:24">
      <c r="K632"/>
      <c r="L632"/>
      <c r="M632"/>
      <c r="N632"/>
      <c r="U632"/>
      <c r="V632"/>
      <c r="W632"/>
      <c r="X632"/>
    </row>
    <row r="633" spans="11:24">
      <c r="K633"/>
      <c r="L633"/>
      <c r="M633"/>
      <c r="N633"/>
      <c r="U633"/>
      <c r="V633"/>
      <c r="W633"/>
      <c r="X633"/>
    </row>
    <row r="634" spans="11:24">
      <c r="K634"/>
      <c r="L634"/>
      <c r="M634"/>
      <c r="N634"/>
      <c r="U634"/>
      <c r="V634"/>
      <c r="W634"/>
      <c r="X634"/>
    </row>
    <row r="635" spans="11:24">
      <c r="K635"/>
      <c r="L635"/>
      <c r="M635"/>
      <c r="N635"/>
      <c r="U635"/>
      <c r="V635"/>
      <c r="W635"/>
      <c r="X635"/>
    </row>
    <row r="636" spans="11:24">
      <c r="K636"/>
      <c r="L636"/>
      <c r="M636"/>
      <c r="N636"/>
      <c r="U636"/>
      <c r="V636"/>
      <c r="W636"/>
      <c r="X636"/>
    </row>
    <row r="637" spans="11:24">
      <c r="K637"/>
      <c r="L637"/>
      <c r="M637"/>
      <c r="N637"/>
      <c r="U637"/>
      <c r="V637"/>
      <c r="W637"/>
      <c r="X637"/>
    </row>
    <row r="638" spans="11:24">
      <c r="K638"/>
      <c r="L638"/>
      <c r="M638"/>
      <c r="N638"/>
      <c r="U638"/>
      <c r="V638"/>
      <c r="W638"/>
      <c r="X638"/>
    </row>
    <row r="639" spans="11:24">
      <c r="K639"/>
      <c r="L639"/>
      <c r="M639"/>
      <c r="N639"/>
      <c r="U639"/>
      <c r="V639"/>
      <c r="W639"/>
      <c r="X639"/>
    </row>
    <row r="640" spans="11:24">
      <c r="K640"/>
      <c r="L640"/>
      <c r="M640"/>
      <c r="N640"/>
      <c r="U640"/>
      <c r="V640"/>
      <c r="W640"/>
      <c r="X640"/>
    </row>
    <row r="641" spans="11:24">
      <c r="K641"/>
      <c r="L641"/>
      <c r="M641"/>
      <c r="N641"/>
      <c r="U641"/>
      <c r="V641"/>
      <c r="W641"/>
      <c r="X641"/>
    </row>
    <row r="642" spans="11:24">
      <c r="K642"/>
      <c r="L642"/>
      <c r="M642"/>
      <c r="N642"/>
      <c r="U642"/>
      <c r="V642"/>
      <c r="W642"/>
      <c r="X642"/>
    </row>
    <row r="643" spans="11:24">
      <c r="K643"/>
      <c r="L643"/>
      <c r="M643"/>
      <c r="N643"/>
      <c r="U643"/>
      <c r="V643"/>
      <c r="W643"/>
      <c r="X643"/>
    </row>
    <row r="644" spans="11:24">
      <c r="K644"/>
      <c r="L644"/>
      <c r="M644"/>
      <c r="N644"/>
      <c r="U644"/>
      <c r="V644"/>
      <c r="W644"/>
      <c r="X644"/>
    </row>
    <row r="645" spans="11:24">
      <c r="K645"/>
      <c r="L645"/>
      <c r="M645"/>
      <c r="N645"/>
      <c r="U645"/>
      <c r="V645"/>
      <c r="W645"/>
      <c r="X645"/>
    </row>
    <row r="646" spans="11:24">
      <c r="K646"/>
      <c r="L646"/>
      <c r="M646"/>
      <c r="N646"/>
      <c r="U646"/>
      <c r="V646"/>
      <c r="W646"/>
      <c r="X646"/>
    </row>
    <row r="647" spans="11:24">
      <c r="K647"/>
      <c r="L647"/>
      <c r="M647"/>
      <c r="N647"/>
      <c r="U647"/>
      <c r="V647"/>
      <c r="W647"/>
      <c r="X647"/>
    </row>
    <row r="648" spans="11:24">
      <c r="K648"/>
      <c r="L648"/>
      <c r="M648"/>
      <c r="N648"/>
      <c r="U648"/>
      <c r="V648"/>
      <c r="W648"/>
      <c r="X648"/>
    </row>
    <row r="649" spans="11:24">
      <c r="K649"/>
      <c r="L649"/>
      <c r="M649"/>
      <c r="N649"/>
      <c r="U649"/>
      <c r="V649"/>
      <c r="W649"/>
      <c r="X649"/>
    </row>
    <row r="650" spans="11:24">
      <c r="K650"/>
      <c r="L650"/>
      <c r="M650"/>
      <c r="N650"/>
      <c r="U650"/>
      <c r="V650"/>
      <c r="W650"/>
      <c r="X650"/>
    </row>
    <row r="651" spans="11:24">
      <c r="K651"/>
      <c r="L651"/>
      <c r="M651"/>
      <c r="N651"/>
      <c r="U651"/>
      <c r="V651"/>
      <c r="W651"/>
      <c r="X651"/>
    </row>
    <row r="652" spans="11:24">
      <c r="K652"/>
      <c r="L652"/>
      <c r="M652"/>
      <c r="N652"/>
      <c r="U652"/>
      <c r="V652"/>
      <c r="W652"/>
      <c r="X652"/>
    </row>
    <row r="653" spans="11:24">
      <c r="K653"/>
      <c r="L653"/>
      <c r="M653"/>
      <c r="N653"/>
      <c r="U653"/>
      <c r="V653"/>
      <c r="W653"/>
      <c r="X653"/>
    </row>
    <row r="654" spans="11:24">
      <c r="K654"/>
      <c r="L654"/>
      <c r="M654"/>
      <c r="N654"/>
      <c r="U654"/>
      <c r="V654"/>
      <c r="W654"/>
      <c r="X654"/>
    </row>
    <row r="655" spans="11:24">
      <c r="K655"/>
      <c r="L655"/>
      <c r="M655"/>
      <c r="N655"/>
      <c r="U655"/>
      <c r="V655"/>
      <c r="W655"/>
      <c r="X655"/>
    </row>
    <row r="656" spans="11:24">
      <c r="K656"/>
      <c r="L656"/>
      <c r="M656"/>
      <c r="N656"/>
      <c r="U656"/>
      <c r="V656"/>
      <c r="W656"/>
      <c r="X656"/>
    </row>
    <row r="657" spans="11:24">
      <c r="K657"/>
      <c r="L657"/>
      <c r="M657"/>
      <c r="N657"/>
      <c r="U657"/>
      <c r="V657"/>
      <c r="W657"/>
      <c r="X657"/>
    </row>
    <row r="658" spans="11:24">
      <c r="K658"/>
      <c r="L658"/>
      <c r="M658"/>
      <c r="N658"/>
      <c r="U658"/>
      <c r="V658"/>
      <c r="W658"/>
      <c r="X658"/>
    </row>
    <row r="659" spans="11:24">
      <c r="K659"/>
      <c r="L659"/>
      <c r="M659"/>
      <c r="N659"/>
      <c r="U659"/>
      <c r="V659"/>
      <c r="W659"/>
      <c r="X659"/>
    </row>
    <row r="660" spans="11:24">
      <c r="K660"/>
      <c r="L660"/>
      <c r="M660"/>
      <c r="N660"/>
      <c r="U660"/>
      <c r="V660"/>
      <c r="W660"/>
      <c r="X660"/>
    </row>
    <row r="661" spans="11:24">
      <c r="K661"/>
      <c r="L661"/>
      <c r="M661"/>
      <c r="N661"/>
      <c r="U661"/>
      <c r="V661"/>
      <c r="W661"/>
      <c r="X661"/>
    </row>
    <row r="662" spans="11:24">
      <c r="K662"/>
      <c r="L662"/>
      <c r="M662"/>
      <c r="N662"/>
      <c r="U662"/>
      <c r="V662"/>
      <c r="W662"/>
      <c r="X662"/>
    </row>
    <row r="663" spans="11:24">
      <c r="K663"/>
      <c r="L663"/>
      <c r="M663"/>
      <c r="N663"/>
      <c r="U663"/>
      <c r="V663"/>
      <c r="W663"/>
      <c r="X663"/>
    </row>
    <row r="664" spans="11:24">
      <c r="K664"/>
      <c r="L664"/>
      <c r="M664"/>
      <c r="N664"/>
      <c r="U664"/>
      <c r="V664"/>
      <c r="W664"/>
      <c r="X664"/>
    </row>
    <row r="665" spans="11:24">
      <c r="K665"/>
      <c r="L665"/>
      <c r="M665"/>
      <c r="N665"/>
      <c r="U665"/>
      <c r="V665"/>
      <c r="W665"/>
      <c r="X665"/>
    </row>
    <row r="666" spans="11:24">
      <c r="K666"/>
      <c r="L666"/>
      <c r="M666"/>
      <c r="N666"/>
      <c r="U666"/>
      <c r="V666"/>
      <c r="W666"/>
      <c r="X666"/>
    </row>
    <row r="667" spans="11:24">
      <c r="K667"/>
      <c r="L667"/>
      <c r="M667"/>
      <c r="N667"/>
      <c r="U667"/>
      <c r="V667"/>
      <c r="W667"/>
      <c r="X667"/>
    </row>
    <row r="668" spans="11:24">
      <c r="K668"/>
      <c r="L668"/>
      <c r="M668"/>
      <c r="N668"/>
      <c r="U668"/>
      <c r="V668"/>
      <c r="W668"/>
      <c r="X668"/>
    </row>
    <row r="669" spans="11:24">
      <c r="K669"/>
      <c r="L669"/>
      <c r="M669"/>
      <c r="N669"/>
      <c r="U669"/>
      <c r="V669"/>
      <c r="W669"/>
      <c r="X669"/>
    </row>
    <row r="670" spans="11:24">
      <c r="K670"/>
      <c r="L670"/>
      <c r="M670"/>
      <c r="N670"/>
      <c r="U670"/>
      <c r="V670"/>
      <c r="W670"/>
      <c r="X670"/>
    </row>
    <row r="671" spans="11:24">
      <c r="K671"/>
      <c r="L671"/>
      <c r="M671"/>
      <c r="N671"/>
      <c r="U671"/>
      <c r="V671"/>
      <c r="W671"/>
      <c r="X671"/>
    </row>
    <row r="672" spans="11:24">
      <c r="K672"/>
      <c r="L672"/>
      <c r="M672"/>
      <c r="N672"/>
      <c r="U672"/>
      <c r="V672"/>
      <c r="W672"/>
      <c r="X672"/>
    </row>
    <row r="673" spans="11:24">
      <c r="K673"/>
      <c r="L673"/>
      <c r="M673"/>
      <c r="N673"/>
      <c r="U673"/>
      <c r="V673"/>
      <c r="W673"/>
      <c r="X673"/>
    </row>
    <row r="674" spans="11:24">
      <c r="K674"/>
      <c r="L674"/>
      <c r="M674"/>
      <c r="N674"/>
      <c r="U674"/>
      <c r="V674"/>
      <c r="W674"/>
      <c r="X674"/>
    </row>
    <row r="675" spans="11:24">
      <c r="K675"/>
      <c r="L675"/>
      <c r="M675"/>
      <c r="N675"/>
      <c r="U675"/>
      <c r="V675"/>
      <c r="W675"/>
      <c r="X675"/>
    </row>
    <row r="676" spans="11:24">
      <c r="K676"/>
      <c r="L676"/>
      <c r="M676"/>
      <c r="N676"/>
      <c r="U676"/>
      <c r="V676"/>
      <c r="W676"/>
      <c r="X676"/>
    </row>
    <row r="677" spans="11:24">
      <c r="K677"/>
      <c r="L677"/>
      <c r="M677"/>
      <c r="N677"/>
      <c r="U677"/>
      <c r="V677"/>
      <c r="W677"/>
      <c r="X677"/>
    </row>
    <row r="678" spans="11:24">
      <c r="K678"/>
      <c r="L678"/>
      <c r="M678"/>
      <c r="N678"/>
      <c r="U678"/>
      <c r="V678"/>
      <c r="W678"/>
      <c r="X678"/>
    </row>
    <row r="679" spans="11:24">
      <c r="K679"/>
      <c r="L679"/>
      <c r="M679"/>
      <c r="N679"/>
      <c r="U679"/>
      <c r="V679"/>
      <c r="W679"/>
      <c r="X679"/>
    </row>
    <row r="680" spans="11:24">
      <c r="K680"/>
      <c r="L680"/>
      <c r="M680"/>
      <c r="N680"/>
      <c r="U680"/>
      <c r="V680"/>
      <c r="W680"/>
      <c r="X680"/>
    </row>
    <row r="681" spans="11:24">
      <c r="K681"/>
      <c r="L681"/>
      <c r="M681"/>
      <c r="N681"/>
      <c r="U681"/>
      <c r="V681"/>
      <c r="W681"/>
      <c r="X681"/>
    </row>
    <row r="682" spans="11:24">
      <c r="K682"/>
      <c r="L682"/>
      <c r="M682"/>
      <c r="N682"/>
      <c r="U682"/>
      <c r="V682"/>
      <c r="W682"/>
      <c r="X682"/>
    </row>
    <row r="683" spans="11:24">
      <c r="K683"/>
      <c r="L683"/>
      <c r="M683"/>
      <c r="N683"/>
      <c r="U683"/>
      <c r="V683"/>
      <c r="W683"/>
      <c r="X683"/>
    </row>
    <row r="684" spans="11:24">
      <c r="K684"/>
      <c r="L684"/>
      <c r="M684"/>
      <c r="N684"/>
      <c r="U684"/>
      <c r="V684"/>
      <c r="W684"/>
      <c r="X684"/>
    </row>
    <row r="685" spans="11:24">
      <c r="K685"/>
      <c r="L685"/>
      <c r="M685"/>
      <c r="N685"/>
      <c r="U685"/>
      <c r="V685"/>
      <c r="W685"/>
      <c r="X685"/>
    </row>
    <row r="686" spans="11:24">
      <c r="K686"/>
      <c r="L686"/>
      <c r="M686"/>
      <c r="N686"/>
      <c r="U686"/>
      <c r="V686"/>
      <c r="W686"/>
      <c r="X686"/>
    </row>
    <row r="687" spans="11:24">
      <c r="K687"/>
      <c r="L687"/>
      <c r="M687"/>
      <c r="N687"/>
      <c r="U687"/>
      <c r="V687"/>
      <c r="W687"/>
      <c r="X687"/>
    </row>
    <row r="688" spans="11:24">
      <c r="K688"/>
      <c r="L688"/>
      <c r="M688"/>
      <c r="N688"/>
      <c r="U688"/>
      <c r="V688"/>
      <c r="W688"/>
      <c r="X688"/>
    </row>
    <row r="689" spans="11:24">
      <c r="K689"/>
      <c r="L689"/>
      <c r="M689"/>
      <c r="N689"/>
      <c r="U689"/>
      <c r="V689"/>
      <c r="W689"/>
      <c r="X689"/>
    </row>
    <row r="690" spans="11:24">
      <c r="K690"/>
      <c r="L690"/>
      <c r="M690"/>
      <c r="N690"/>
      <c r="U690"/>
      <c r="V690"/>
      <c r="W690"/>
      <c r="X690"/>
    </row>
    <row r="691" spans="11:24">
      <c r="K691"/>
      <c r="L691"/>
      <c r="M691"/>
      <c r="N691"/>
      <c r="U691"/>
      <c r="V691"/>
      <c r="W691"/>
      <c r="X691"/>
    </row>
    <row r="692" spans="11:24">
      <c r="K692"/>
      <c r="L692"/>
      <c r="M692"/>
      <c r="N692"/>
      <c r="U692"/>
      <c r="V692"/>
      <c r="W692"/>
      <c r="X692"/>
    </row>
    <row r="693" spans="11:24">
      <c r="K693"/>
      <c r="L693"/>
      <c r="M693"/>
      <c r="N693"/>
      <c r="U693"/>
      <c r="V693"/>
      <c r="W693"/>
      <c r="X693"/>
    </row>
    <row r="694" spans="11:24">
      <c r="K694"/>
      <c r="L694"/>
      <c r="M694"/>
      <c r="N694"/>
      <c r="U694"/>
      <c r="V694"/>
      <c r="W694"/>
      <c r="X694"/>
    </row>
    <row r="695" spans="11:24">
      <c r="K695"/>
      <c r="L695"/>
      <c r="M695"/>
      <c r="N695"/>
      <c r="U695"/>
      <c r="V695"/>
      <c r="W695"/>
      <c r="X695"/>
    </row>
    <row r="696" spans="11:24">
      <c r="K696"/>
      <c r="L696"/>
      <c r="M696"/>
      <c r="N696"/>
      <c r="U696"/>
      <c r="V696"/>
      <c r="W696"/>
      <c r="X696"/>
    </row>
    <row r="697" spans="11:24">
      <c r="K697"/>
      <c r="L697"/>
      <c r="M697"/>
      <c r="N697"/>
      <c r="U697"/>
      <c r="V697"/>
      <c r="W697"/>
      <c r="X697"/>
    </row>
    <row r="698" spans="11:24">
      <c r="K698"/>
      <c r="L698"/>
      <c r="M698"/>
      <c r="N698"/>
      <c r="U698"/>
      <c r="V698"/>
      <c r="W698"/>
      <c r="X698"/>
    </row>
    <row r="699" spans="11:24">
      <c r="K699"/>
      <c r="L699"/>
      <c r="M699"/>
      <c r="N699"/>
      <c r="U699"/>
      <c r="V699"/>
      <c r="W699"/>
      <c r="X699"/>
    </row>
    <row r="700" spans="11:24">
      <c r="K700"/>
      <c r="L700"/>
      <c r="M700"/>
      <c r="N700"/>
      <c r="U700"/>
      <c r="V700"/>
      <c r="W700"/>
      <c r="X700"/>
    </row>
    <row r="701" spans="11:24">
      <c r="K701"/>
      <c r="L701"/>
      <c r="M701"/>
      <c r="N701"/>
      <c r="U701"/>
      <c r="V701"/>
      <c r="W701"/>
      <c r="X701"/>
    </row>
    <row r="702" spans="11:24">
      <c r="K702"/>
      <c r="L702"/>
      <c r="M702"/>
      <c r="N702"/>
      <c r="U702"/>
      <c r="V702"/>
      <c r="W702"/>
      <c r="X702"/>
    </row>
    <row r="703" spans="11:24">
      <c r="K703"/>
      <c r="L703"/>
      <c r="M703"/>
      <c r="N703"/>
      <c r="U703"/>
      <c r="V703"/>
      <c r="W703"/>
      <c r="X703"/>
    </row>
    <row r="704" spans="11:24">
      <c r="K704"/>
      <c r="L704"/>
      <c r="M704"/>
      <c r="N704"/>
      <c r="U704"/>
      <c r="V704"/>
      <c r="W704"/>
      <c r="X704"/>
    </row>
    <row r="705" spans="11:24">
      <c r="K705"/>
      <c r="L705"/>
      <c r="M705"/>
      <c r="N705"/>
      <c r="U705"/>
      <c r="V705"/>
      <c r="W705"/>
      <c r="X705"/>
    </row>
    <row r="706" spans="11:24">
      <c r="K706"/>
      <c r="L706"/>
      <c r="M706"/>
      <c r="N706"/>
      <c r="U706"/>
      <c r="V706"/>
      <c r="W706"/>
      <c r="X706"/>
    </row>
    <row r="707" spans="11:24">
      <c r="K707"/>
      <c r="L707"/>
      <c r="M707"/>
      <c r="N707"/>
      <c r="U707"/>
      <c r="V707"/>
      <c r="W707"/>
      <c r="X707"/>
    </row>
    <row r="708" spans="11:24">
      <c r="K708"/>
      <c r="L708"/>
      <c r="M708"/>
      <c r="N708"/>
      <c r="U708"/>
      <c r="V708"/>
      <c r="W708"/>
      <c r="X708"/>
    </row>
    <row r="709" spans="11:24">
      <c r="K709"/>
      <c r="L709"/>
      <c r="M709"/>
      <c r="N709"/>
      <c r="U709"/>
      <c r="V709"/>
      <c r="W709"/>
      <c r="X709"/>
    </row>
    <row r="710" spans="11:24">
      <c r="K710"/>
      <c r="L710"/>
      <c r="M710"/>
      <c r="N710"/>
      <c r="U710"/>
      <c r="V710"/>
      <c r="W710"/>
      <c r="X710"/>
    </row>
    <row r="711" spans="11:24">
      <c r="K711"/>
      <c r="L711"/>
      <c r="M711"/>
      <c r="N711"/>
      <c r="U711"/>
      <c r="V711"/>
      <c r="W711"/>
      <c r="X711"/>
    </row>
    <row r="712" spans="11:24">
      <c r="K712"/>
      <c r="L712"/>
      <c r="M712"/>
      <c r="N712"/>
      <c r="U712"/>
      <c r="V712"/>
      <c r="W712"/>
      <c r="X712"/>
    </row>
    <row r="713" spans="11:24">
      <c r="K713"/>
      <c r="L713"/>
      <c r="M713"/>
      <c r="N713"/>
      <c r="U713"/>
      <c r="V713"/>
      <c r="W713"/>
      <c r="X713"/>
    </row>
    <row r="714" spans="11:24">
      <c r="K714"/>
      <c r="L714"/>
      <c r="M714"/>
      <c r="N714"/>
      <c r="U714"/>
      <c r="V714"/>
      <c r="W714"/>
      <c r="X714"/>
    </row>
    <row r="715" spans="11:24">
      <c r="K715"/>
      <c r="L715"/>
      <c r="M715"/>
      <c r="N715"/>
      <c r="U715"/>
      <c r="V715"/>
      <c r="W715"/>
      <c r="X715"/>
    </row>
    <row r="716" spans="11:24">
      <c r="K716"/>
      <c r="L716"/>
      <c r="M716"/>
      <c r="N716"/>
      <c r="U716"/>
      <c r="V716"/>
      <c r="W716"/>
      <c r="X716"/>
    </row>
    <row r="717" spans="11:24">
      <c r="K717"/>
      <c r="L717"/>
      <c r="M717"/>
      <c r="N717"/>
      <c r="U717"/>
      <c r="V717"/>
      <c r="W717"/>
      <c r="X717"/>
    </row>
    <row r="718" spans="11:24">
      <c r="K718"/>
      <c r="L718"/>
      <c r="M718"/>
      <c r="N718"/>
      <c r="U718"/>
      <c r="V718"/>
      <c r="W718"/>
      <c r="X718"/>
    </row>
    <row r="719" spans="11:24">
      <c r="K719"/>
      <c r="L719"/>
      <c r="M719"/>
      <c r="N719"/>
      <c r="U719"/>
      <c r="V719"/>
      <c r="W719"/>
      <c r="X719"/>
    </row>
    <row r="720" spans="11:24">
      <c r="K720"/>
      <c r="L720"/>
      <c r="M720"/>
      <c r="N720"/>
      <c r="U720"/>
      <c r="V720"/>
      <c r="W720"/>
      <c r="X720"/>
    </row>
    <row r="721" spans="11:24">
      <c r="K721"/>
      <c r="L721"/>
      <c r="M721"/>
      <c r="N721"/>
      <c r="U721"/>
      <c r="V721"/>
      <c r="W721"/>
      <c r="X721"/>
    </row>
    <row r="722" spans="11:24">
      <c r="K722"/>
      <c r="L722"/>
      <c r="M722"/>
      <c r="N722"/>
      <c r="U722"/>
      <c r="V722"/>
      <c r="W722"/>
      <c r="X722"/>
    </row>
    <row r="723" spans="11:24">
      <c r="K723"/>
      <c r="L723"/>
      <c r="M723"/>
      <c r="N723"/>
      <c r="U723"/>
      <c r="V723"/>
      <c r="W723"/>
      <c r="X723"/>
    </row>
    <row r="724" spans="11:24">
      <c r="K724"/>
      <c r="L724"/>
      <c r="M724"/>
      <c r="N724"/>
      <c r="U724"/>
      <c r="V724"/>
      <c r="W724"/>
      <c r="X724"/>
    </row>
    <row r="725" spans="11:24">
      <c r="K725"/>
      <c r="L725"/>
      <c r="M725"/>
      <c r="N725"/>
      <c r="U725"/>
      <c r="V725"/>
      <c r="W725"/>
      <c r="X725"/>
    </row>
    <row r="726" spans="11:24">
      <c r="K726"/>
      <c r="L726"/>
      <c r="M726"/>
      <c r="N726"/>
      <c r="U726"/>
      <c r="V726"/>
      <c r="W726"/>
      <c r="X726"/>
    </row>
    <row r="727" spans="11:24">
      <c r="K727"/>
      <c r="L727"/>
      <c r="M727"/>
      <c r="N727"/>
      <c r="U727"/>
      <c r="V727"/>
      <c r="W727"/>
      <c r="X727"/>
    </row>
    <row r="728" spans="11:24">
      <c r="K728"/>
      <c r="L728"/>
      <c r="M728"/>
      <c r="N728"/>
      <c r="U728"/>
      <c r="V728"/>
      <c r="W728"/>
      <c r="X728"/>
    </row>
    <row r="729" spans="11:24">
      <c r="K729"/>
      <c r="L729"/>
      <c r="M729"/>
      <c r="N729"/>
      <c r="U729"/>
      <c r="V729"/>
      <c r="W729"/>
      <c r="X729"/>
    </row>
    <row r="730" spans="11:24">
      <c r="K730"/>
      <c r="L730"/>
      <c r="M730"/>
      <c r="N730"/>
      <c r="U730"/>
      <c r="V730"/>
      <c r="W730"/>
      <c r="X730"/>
    </row>
    <row r="731" spans="11:24">
      <c r="K731"/>
      <c r="L731"/>
      <c r="M731"/>
      <c r="N731"/>
      <c r="U731"/>
      <c r="V731"/>
      <c r="W731"/>
      <c r="X731"/>
    </row>
    <row r="732" spans="11:24">
      <c r="K732"/>
      <c r="L732"/>
      <c r="M732"/>
      <c r="N732"/>
      <c r="U732"/>
      <c r="V732"/>
      <c r="W732"/>
      <c r="X732"/>
    </row>
    <row r="733" spans="11:24">
      <c r="K733"/>
      <c r="L733"/>
      <c r="M733"/>
      <c r="N733"/>
      <c r="U733"/>
      <c r="V733"/>
      <c r="W733"/>
      <c r="X733"/>
    </row>
    <row r="734" spans="11:24">
      <c r="K734"/>
      <c r="L734"/>
      <c r="M734"/>
      <c r="N734"/>
      <c r="U734"/>
      <c r="V734"/>
      <c r="W734"/>
      <c r="X734"/>
    </row>
    <row r="735" spans="11:24">
      <c r="K735"/>
      <c r="L735"/>
      <c r="M735"/>
      <c r="N735"/>
      <c r="U735"/>
      <c r="V735"/>
      <c r="W735"/>
      <c r="X735"/>
    </row>
    <row r="736" spans="11:24">
      <c r="K736"/>
      <c r="L736"/>
      <c r="M736"/>
      <c r="N736"/>
      <c r="U736"/>
      <c r="V736"/>
      <c r="W736"/>
      <c r="X736"/>
    </row>
    <row r="737" spans="11:24">
      <c r="K737"/>
      <c r="L737"/>
      <c r="M737"/>
      <c r="N737"/>
      <c r="U737"/>
      <c r="V737"/>
      <c r="W737"/>
      <c r="X737"/>
    </row>
    <row r="738" spans="11:24">
      <c r="K738"/>
      <c r="L738"/>
      <c r="M738"/>
      <c r="N738"/>
      <c r="U738"/>
      <c r="V738"/>
      <c r="W738"/>
      <c r="X738"/>
    </row>
    <row r="739" spans="11:24">
      <c r="K739"/>
      <c r="L739"/>
      <c r="M739"/>
      <c r="N739"/>
      <c r="U739"/>
      <c r="V739"/>
      <c r="W739"/>
      <c r="X739"/>
    </row>
    <row r="740" spans="11:24">
      <c r="K740"/>
      <c r="L740"/>
      <c r="M740"/>
      <c r="N740"/>
      <c r="U740"/>
      <c r="V740"/>
      <c r="W740"/>
      <c r="X740"/>
    </row>
    <row r="741" spans="11:24">
      <c r="K741"/>
      <c r="L741"/>
      <c r="M741"/>
      <c r="N741"/>
      <c r="U741"/>
      <c r="V741"/>
      <c r="W741"/>
      <c r="X741"/>
    </row>
    <row r="742" spans="11:24">
      <c r="K742"/>
      <c r="L742"/>
      <c r="M742"/>
      <c r="N742"/>
      <c r="U742"/>
      <c r="V742"/>
      <c r="W742"/>
      <c r="X742"/>
    </row>
    <row r="743" spans="11:24">
      <c r="K743"/>
      <c r="L743"/>
      <c r="M743"/>
      <c r="N743"/>
      <c r="U743"/>
      <c r="V743"/>
      <c r="W743"/>
      <c r="X743"/>
    </row>
    <row r="744" spans="11:24">
      <c r="K744"/>
      <c r="L744"/>
      <c r="M744"/>
      <c r="N744"/>
      <c r="U744"/>
      <c r="V744"/>
      <c r="W744"/>
      <c r="X744"/>
    </row>
    <row r="745" spans="11:24">
      <c r="K745"/>
      <c r="L745"/>
      <c r="M745"/>
      <c r="N745"/>
      <c r="U745"/>
      <c r="V745"/>
      <c r="W745"/>
      <c r="X745"/>
    </row>
    <row r="746" spans="11:24">
      <c r="K746"/>
      <c r="L746"/>
      <c r="M746"/>
      <c r="N746"/>
      <c r="U746"/>
      <c r="V746"/>
      <c r="W746"/>
      <c r="X746"/>
    </row>
    <row r="747" spans="11:24">
      <c r="K747"/>
      <c r="L747"/>
      <c r="M747"/>
      <c r="N747"/>
      <c r="U747"/>
      <c r="V747"/>
      <c r="W747"/>
      <c r="X747"/>
    </row>
    <row r="748" spans="11:24">
      <c r="K748"/>
      <c r="L748"/>
      <c r="M748"/>
      <c r="N748"/>
      <c r="U748"/>
      <c r="V748"/>
      <c r="W748"/>
      <c r="X748"/>
    </row>
    <row r="749" spans="11:24">
      <c r="K749"/>
      <c r="L749"/>
      <c r="M749"/>
      <c r="N749"/>
      <c r="U749"/>
      <c r="V749"/>
      <c r="W749"/>
      <c r="X749"/>
    </row>
    <row r="750" spans="11:24">
      <c r="K750"/>
      <c r="L750"/>
      <c r="M750"/>
      <c r="N750"/>
      <c r="U750"/>
      <c r="V750"/>
      <c r="W750"/>
      <c r="X750"/>
    </row>
    <row r="751" spans="11:24">
      <c r="K751"/>
      <c r="L751"/>
      <c r="M751"/>
      <c r="N751"/>
      <c r="U751"/>
      <c r="V751"/>
      <c r="W751"/>
      <c r="X751"/>
    </row>
    <row r="752" spans="11:24">
      <c r="K752"/>
      <c r="L752"/>
      <c r="M752"/>
      <c r="N752"/>
      <c r="U752"/>
      <c r="V752"/>
      <c r="W752"/>
      <c r="X752"/>
    </row>
    <row r="753" spans="11:24">
      <c r="K753"/>
      <c r="L753"/>
      <c r="M753"/>
      <c r="N753"/>
      <c r="U753"/>
      <c r="V753"/>
      <c r="W753"/>
      <c r="X753"/>
    </row>
    <row r="754" spans="11:24">
      <c r="K754"/>
      <c r="L754"/>
      <c r="M754"/>
      <c r="N754"/>
      <c r="U754"/>
      <c r="V754"/>
      <c r="W754"/>
      <c r="X754"/>
    </row>
    <row r="755" spans="11:24">
      <c r="K755"/>
      <c r="L755"/>
      <c r="M755"/>
      <c r="N755"/>
      <c r="U755"/>
      <c r="V755"/>
      <c r="W755"/>
      <c r="X755"/>
    </row>
    <row r="756" spans="11:24">
      <c r="K756"/>
      <c r="L756"/>
      <c r="M756"/>
      <c r="N756"/>
      <c r="U756"/>
      <c r="V756"/>
      <c r="W756"/>
      <c r="X756"/>
    </row>
    <row r="757" spans="11:24">
      <c r="K757"/>
      <c r="L757"/>
      <c r="M757"/>
      <c r="N757"/>
      <c r="U757"/>
      <c r="V757"/>
      <c r="W757"/>
      <c r="X757"/>
    </row>
    <row r="758" spans="11:24">
      <c r="K758"/>
      <c r="L758"/>
      <c r="M758"/>
      <c r="N758"/>
      <c r="U758"/>
      <c r="V758"/>
      <c r="W758"/>
      <c r="X758"/>
    </row>
    <row r="759" spans="11:24">
      <c r="K759"/>
      <c r="L759"/>
      <c r="M759"/>
      <c r="N759"/>
      <c r="U759"/>
      <c r="V759"/>
      <c r="W759"/>
      <c r="X759"/>
    </row>
    <row r="760" spans="11:24">
      <c r="K760"/>
      <c r="L760"/>
      <c r="M760"/>
      <c r="N760"/>
      <c r="U760"/>
      <c r="V760"/>
      <c r="W760"/>
      <c r="X760"/>
    </row>
    <row r="761" spans="11:24">
      <c r="K761"/>
      <c r="L761"/>
      <c r="M761"/>
      <c r="N761"/>
      <c r="U761"/>
      <c r="V761"/>
      <c r="W761"/>
      <c r="X761"/>
    </row>
    <row r="762" spans="11:24">
      <c r="K762"/>
      <c r="L762"/>
      <c r="M762"/>
      <c r="N762"/>
      <c r="U762"/>
      <c r="V762"/>
      <c r="W762"/>
      <c r="X762"/>
    </row>
    <row r="763" spans="11:24">
      <c r="K763"/>
      <c r="L763"/>
      <c r="M763"/>
      <c r="N763"/>
      <c r="U763"/>
      <c r="V763"/>
      <c r="W763"/>
      <c r="X763"/>
    </row>
    <row r="764" spans="11:24">
      <c r="K764"/>
      <c r="L764"/>
      <c r="M764"/>
      <c r="N764"/>
      <c r="U764"/>
      <c r="V764"/>
      <c r="W764"/>
      <c r="X764"/>
    </row>
    <row r="765" spans="11:24">
      <c r="K765"/>
      <c r="L765"/>
      <c r="M765"/>
      <c r="N765"/>
      <c r="U765"/>
      <c r="V765"/>
      <c r="W765"/>
      <c r="X765"/>
    </row>
    <row r="766" spans="11:24">
      <c r="K766"/>
      <c r="L766"/>
      <c r="M766"/>
      <c r="N766"/>
      <c r="U766"/>
      <c r="V766"/>
      <c r="W766"/>
      <c r="X766"/>
    </row>
    <row r="767" spans="11:24">
      <c r="K767"/>
      <c r="L767"/>
      <c r="M767"/>
      <c r="N767"/>
      <c r="U767"/>
      <c r="V767"/>
      <c r="W767"/>
      <c r="X767"/>
    </row>
    <row r="768" spans="11:24">
      <c r="K768"/>
      <c r="L768"/>
      <c r="M768"/>
      <c r="N768"/>
      <c r="U768"/>
      <c r="V768"/>
      <c r="W768"/>
      <c r="X768"/>
    </row>
    <row r="769" spans="11:24">
      <c r="K769"/>
      <c r="L769"/>
      <c r="M769"/>
      <c r="N769"/>
      <c r="U769"/>
      <c r="V769"/>
      <c r="W769"/>
      <c r="X769"/>
    </row>
    <row r="770" spans="11:24">
      <c r="K770"/>
      <c r="L770"/>
      <c r="M770"/>
      <c r="N770"/>
      <c r="U770"/>
      <c r="V770"/>
      <c r="W770"/>
      <c r="X770"/>
    </row>
    <row r="771" spans="11:24">
      <c r="K771"/>
      <c r="L771"/>
      <c r="M771"/>
      <c r="N771"/>
      <c r="U771"/>
      <c r="V771"/>
      <c r="W771"/>
      <c r="X771"/>
    </row>
    <row r="772" spans="11:24">
      <c r="K772"/>
      <c r="L772"/>
      <c r="M772"/>
      <c r="N772"/>
      <c r="U772"/>
      <c r="V772"/>
      <c r="W772"/>
      <c r="X772"/>
    </row>
    <row r="773" spans="11:24">
      <c r="K773"/>
      <c r="L773"/>
      <c r="M773"/>
      <c r="N773"/>
      <c r="U773"/>
      <c r="V773"/>
      <c r="W773"/>
      <c r="X773"/>
    </row>
    <row r="774" spans="11:24">
      <c r="K774"/>
      <c r="L774"/>
      <c r="M774"/>
      <c r="N774"/>
      <c r="U774"/>
      <c r="V774"/>
      <c r="W774"/>
      <c r="X774"/>
    </row>
    <row r="775" spans="11:24">
      <c r="K775"/>
      <c r="L775"/>
      <c r="M775"/>
      <c r="N775"/>
      <c r="U775"/>
      <c r="V775"/>
      <c r="W775"/>
      <c r="X775"/>
    </row>
    <row r="776" spans="11:24">
      <c r="K776"/>
      <c r="L776"/>
      <c r="M776"/>
      <c r="N776"/>
      <c r="U776"/>
      <c r="V776"/>
      <c r="W776"/>
      <c r="X776"/>
    </row>
    <row r="777" spans="11:24">
      <c r="K777"/>
      <c r="L777"/>
      <c r="M777"/>
      <c r="N777"/>
      <c r="U777"/>
      <c r="V777"/>
      <c r="W777"/>
      <c r="X777"/>
    </row>
    <row r="778" spans="11:24">
      <c r="K778"/>
      <c r="L778"/>
      <c r="M778"/>
      <c r="N778"/>
      <c r="U778"/>
      <c r="V778"/>
      <c r="W778"/>
      <c r="X778"/>
    </row>
    <row r="779" spans="11:24">
      <c r="K779"/>
      <c r="L779"/>
      <c r="M779"/>
      <c r="N779"/>
      <c r="U779"/>
      <c r="V779"/>
      <c r="W779"/>
      <c r="X779"/>
    </row>
    <row r="780" spans="11:24">
      <c r="K780"/>
      <c r="L780"/>
      <c r="M780"/>
      <c r="N780"/>
      <c r="U780"/>
      <c r="V780"/>
      <c r="W780"/>
      <c r="X780"/>
    </row>
    <row r="781" spans="11:24">
      <c r="K781"/>
      <c r="L781"/>
      <c r="M781"/>
      <c r="N781"/>
      <c r="U781"/>
      <c r="V781"/>
      <c r="W781"/>
      <c r="X781"/>
    </row>
    <row r="782" spans="11:24">
      <c r="K782"/>
      <c r="L782"/>
      <c r="M782"/>
      <c r="N782"/>
      <c r="U782"/>
      <c r="V782"/>
      <c r="W782"/>
      <c r="X782"/>
    </row>
    <row r="783" spans="11:24">
      <c r="K783"/>
      <c r="L783"/>
      <c r="M783"/>
      <c r="N783"/>
      <c r="U783"/>
      <c r="V783"/>
      <c r="W783"/>
      <c r="X783"/>
    </row>
    <row r="784" spans="11:24">
      <c r="K784"/>
      <c r="L784"/>
      <c r="M784"/>
      <c r="N784"/>
      <c r="U784"/>
      <c r="V784"/>
      <c r="W784"/>
      <c r="X784"/>
    </row>
    <row r="785" spans="11:24">
      <c r="K785"/>
      <c r="L785"/>
      <c r="M785"/>
      <c r="N785"/>
      <c r="U785"/>
      <c r="V785"/>
      <c r="W785"/>
      <c r="X785"/>
    </row>
    <row r="786" spans="11:24">
      <c r="K786"/>
      <c r="L786"/>
      <c r="M786"/>
      <c r="N786"/>
      <c r="U786"/>
      <c r="V786"/>
      <c r="W786"/>
      <c r="X786"/>
    </row>
    <row r="787" spans="11:24">
      <c r="K787"/>
      <c r="L787"/>
      <c r="M787"/>
      <c r="N787"/>
      <c r="U787"/>
      <c r="V787"/>
      <c r="W787"/>
      <c r="X787"/>
    </row>
    <row r="788" spans="11:24">
      <c r="K788"/>
      <c r="L788"/>
      <c r="M788"/>
      <c r="N788"/>
      <c r="U788"/>
      <c r="V788"/>
      <c r="W788"/>
      <c r="X788"/>
    </row>
    <row r="789" spans="11:24">
      <c r="K789"/>
      <c r="L789"/>
      <c r="M789"/>
      <c r="N789"/>
      <c r="U789"/>
      <c r="V789"/>
      <c r="W789"/>
      <c r="X789"/>
    </row>
    <row r="790" spans="11:24">
      <c r="K790"/>
      <c r="L790"/>
      <c r="M790"/>
      <c r="N790"/>
      <c r="U790"/>
      <c r="V790"/>
      <c r="W790"/>
      <c r="X790"/>
    </row>
    <row r="791" spans="11:24">
      <c r="K791"/>
      <c r="L791"/>
      <c r="M791"/>
      <c r="N791"/>
      <c r="U791"/>
      <c r="V791"/>
      <c r="W791"/>
      <c r="X791"/>
    </row>
    <row r="792" spans="11:24">
      <c r="K792"/>
      <c r="L792"/>
      <c r="M792"/>
      <c r="N792"/>
      <c r="U792"/>
      <c r="V792"/>
      <c r="W792"/>
      <c r="X792"/>
    </row>
    <row r="793" spans="11:24">
      <c r="K793"/>
      <c r="L793"/>
      <c r="M793"/>
      <c r="N793"/>
      <c r="U793"/>
      <c r="V793"/>
      <c r="W793"/>
      <c r="X793"/>
    </row>
    <row r="794" spans="11:24">
      <c r="K794"/>
      <c r="L794"/>
      <c r="M794"/>
      <c r="N794"/>
      <c r="U794"/>
      <c r="V794"/>
      <c r="W794"/>
      <c r="X794"/>
    </row>
    <row r="795" spans="11:24">
      <c r="K795"/>
      <c r="L795"/>
      <c r="M795"/>
      <c r="N795"/>
      <c r="U795"/>
      <c r="V795"/>
      <c r="W795"/>
      <c r="X795"/>
    </row>
    <row r="796" spans="11:24">
      <c r="K796"/>
      <c r="L796"/>
      <c r="M796"/>
      <c r="N796"/>
      <c r="U796"/>
      <c r="V796"/>
      <c r="W796"/>
      <c r="X796"/>
    </row>
    <row r="797" spans="11:24">
      <c r="K797"/>
      <c r="L797"/>
      <c r="M797"/>
      <c r="N797"/>
      <c r="U797"/>
      <c r="V797"/>
      <c r="W797"/>
      <c r="X797"/>
    </row>
    <row r="798" spans="11:24">
      <c r="K798"/>
      <c r="L798"/>
      <c r="M798"/>
      <c r="N798"/>
      <c r="U798"/>
      <c r="V798"/>
      <c r="W798"/>
      <c r="X798"/>
    </row>
    <row r="799" spans="11:24">
      <c r="K799"/>
      <c r="L799"/>
      <c r="M799"/>
      <c r="N799"/>
      <c r="U799"/>
      <c r="V799"/>
      <c r="W799"/>
      <c r="X799"/>
    </row>
    <row r="800" spans="11:24">
      <c r="K800"/>
      <c r="L800"/>
      <c r="M800"/>
      <c r="N800"/>
      <c r="U800"/>
      <c r="V800"/>
      <c r="W800"/>
      <c r="X800"/>
    </row>
    <row r="801" spans="11:24">
      <c r="K801"/>
      <c r="L801"/>
      <c r="M801"/>
      <c r="N801"/>
      <c r="U801"/>
      <c r="V801"/>
      <c r="W801"/>
      <c r="X801"/>
    </row>
    <row r="802" spans="11:24">
      <c r="K802"/>
      <c r="L802"/>
      <c r="M802"/>
      <c r="N802"/>
      <c r="U802"/>
      <c r="V802"/>
      <c r="W802"/>
      <c r="X802"/>
    </row>
    <row r="803" spans="11:24">
      <c r="K803"/>
      <c r="L803"/>
      <c r="M803"/>
      <c r="N803"/>
      <c r="U803"/>
      <c r="V803"/>
      <c r="W803"/>
      <c r="X803"/>
    </row>
    <row r="804" spans="11:24">
      <c r="K804"/>
      <c r="L804"/>
      <c r="M804"/>
      <c r="N804"/>
      <c r="U804"/>
      <c r="V804"/>
      <c r="W804"/>
      <c r="X804"/>
    </row>
    <row r="805" spans="11:24">
      <c r="K805"/>
      <c r="L805"/>
      <c r="M805"/>
      <c r="N805"/>
      <c r="U805"/>
      <c r="V805"/>
      <c r="W805"/>
      <c r="X805"/>
    </row>
    <row r="806" spans="11:24">
      <c r="K806"/>
      <c r="L806"/>
      <c r="M806"/>
      <c r="N806"/>
      <c r="U806"/>
      <c r="V806"/>
      <c r="W806"/>
      <c r="X806"/>
    </row>
    <row r="807" spans="11:24">
      <c r="K807"/>
      <c r="L807"/>
      <c r="M807"/>
      <c r="N807"/>
      <c r="U807"/>
      <c r="V807"/>
      <c r="W807"/>
      <c r="X807"/>
    </row>
    <row r="808" spans="11:24">
      <c r="K808"/>
      <c r="L808"/>
      <c r="M808"/>
      <c r="N808"/>
      <c r="U808"/>
      <c r="V808"/>
      <c r="W808"/>
      <c r="X808"/>
    </row>
    <row r="809" spans="11:24">
      <c r="K809"/>
      <c r="L809"/>
      <c r="M809"/>
      <c r="N809"/>
      <c r="U809"/>
      <c r="V809"/>
      <c r="W809"/>
      <c r="X809"/>
    </row>
    <row r="810" spans="11:24">
      <c r="K810"/>
      <c r="L810"/>
      <c r="M810"/>
      <c r="N810"/>
      <c r="U810"/>
      <c r="V810"/>
      <c r="W810"/>
      <c r="X810"/>
    </row>
    <row r="811" spans="11:24">
      <c r="K811"/>
      <c r="L811"/>
      <c r="M811"/>
      <c r="N811"/>
      <c r="U811"/>
      <c r="V811"/>
      <c r="W811"/>
      <c r="X811"/>
    </row>
    <row r="812" spans="11:24">
      <c r="K812"/>
      <c r="L812"/>
      <c r="M812"/>
      <c r="N812"/>
      <c r="U812"/>
      <c r="V812"/>
      <c r="W812"/>
      <c r="X812"/>
    </row>
    <row r="813" spans="11:24">
      <c r="K813"/>
      <c r="L813"/>
      <c r="M813"/>
      <c r="N813"/>
      <c r="U813"/>
      <c r="V813"/>
      <c r="W813"/>
      <c r="X813"/>
    </row>
    <row r="814" spans="11:24">
      <c r="K814"/>
      <c r="L814"/>
      <c r="M814"/>
      <c r="N814"/>
      <c r="U814"/>
      <c r="V814"/>
      <c r="W814"/>
      <c r="X814"/>
    </row>
    <row r="815" spans="11:24">
      <c r="K815"/>
      <c r="L815"/>
      <c r="M815"/>
      <c r="N815"/>
      <c r="U815"/>
      <c r="V815"/>
      <c r="W815"/>
      <c r="X815"/>
    </row>
    <row r="816" spans="11:24">
      <c r="K816"/>
      <c r="L816"/>
      <c r="M816"/>
      <c r="N816"/>
      <c r="U816"/>
      <c r="V816"/>
      <c r="W816"/>
      <c r="X816"/>
    </row>
    <row r="817" spans="11:24">
      <c r="K817"/>
      <c r="L817"/>
      <c r="M817"/>
      <c r="N817"/>
      <c r="U817"/>
      <c r="V817"/>
      <c r="W817"/>
      <c r="X817"/>
    </row>
    <row r="818" spans="11:24">
      <c r="K818"/>
      <c r="L818"/>
      <c r="M818"/>
      <c r="N818"/>
      <c r="U818"/>
      <c r="V818"/>
      <c r="W818"/>
      <c r="X818"/>
    </row>
    <row r="819" spans="11:24">
      <c r="K819"/>
      <c r="L819"/>
      <c r="M819"/>
      <c r="N819"/>
      <c r="U819"/>
      <c r="V819"/>
      <c r="W819"/>
      <c r="X819"/>
    </row>
    <row r="820" spans="11:24">
      <c r="K820"/>
      <c r="L820"/>
      <c r="M820"/>
      <c r="N820"/>
      <c r="U820"/>
      <c r="V820"/>
      <c r="W820"/>
      <c r="X820"/>
    </row>
    <row r="821" spans="11:24">
      <c r="K821"/>
      <c r="L821"/>
      <c r="M821"/>
      <c r="N821"/>
      <c r="U821"/>
      <c r="V821"/>
      <c r="W821"/>
      <c r="X821"/>
    </row>
    <row r="822" spans="11:24">
      <c r="K822"/>
      <c r="L822"/>
      <c r="M822"/>
      <c r="N822"/>
      <c r="U822"/>
      <c r="V822"/>
      <c r="W822"/>
      <c r="X822"/>
    </row>
    <row r="823" spans="11:24">
      <c r="K823"/>
      <c r="L823"/>
      <c r="M823"/>
      <c r="N823"/>
      <c r="U823"/>
      <c r="V823"/>
      <c r="W823"/>
      <c r="X823"/>
    </row>
    <row r="824" spans="11:24">
      <c r="K824"/>
      <c r="L824"/>
      <c r="M824"/>
      <c r="N824"/>
      <c r="U824"/>
      <c r="V824"/>
      <c r="W824"/>
      <c r="X824"/>
    </row>
    <row r="825" spans="11:24">
      <c r="K825"/>
      <c r="L825"/>
      <c r="M825"/>
      <c r="N825"/>
      <c r="U825"/>
      <c r="V825"/>
      <c r="W825"/>
      <c r="X825"/>
    </row>
    <row r="826" spans="11:24">
      <c r="K826"/>
      <c r="L826"/>
      <c r="M826"/>
      <c r="N826"/>
      <c r="U826"/>
      <c r="V826"/>
      <c r="W826"/>
      <c r="X826"/>
    </row>
    <row r="827" spans="11:24">
      <c r="K827"/>
      <c r="L827"/>
      <c r="M827"/>
      <c r="N827"/>
      <c r="U827"/>
      <c r="V827"/>
      <c r="W827"/>
      <c r="X827"/>
    </row>
    <row r="828" spans="11:24">
      <c r="K828"/>
      <c r="L828"/>
      <c r="M828"/>
      <c r="N828"/>
      <c r="U828"/>
      <c r="V828"/>
      <c r="W828"/>
      <c r="X828"/>
    </row>
    <row r="829" spans="11:24">
      <c r="K829"/>
      <c r="L829"/>
      <c r="M829"/>
      <c r="N829"/>
      <c r="U829"/>
      <c r="V829"/>
      <c r="W829"/>
      <c r="X829"/>
    </row>
    <row r="830" spans="11:24">
      <c r="K830"/>
      <c r="L830"/>
      <c r="M830"/>
      <c r="N830"/>
      <c r="U830"/>
      <c r="V830"/>
      <c r="W830"/>
      <c r="X830"/>
    </row>
    <row r="831" spans="11:24">
      <c r="K831"/>
      <c r="L831"/>
      <c r="M831"/>
      <c r="N831"/>
      <c r="U831"/>
      <c r="V831"/>
      <c r="W831"/>
      <c r="X831"/>
    </row>
    <row r="832" spans="11:24">
      <c r="K832"/>
      <c r="L832"/>
      <c r="M832"/>
      <c r="N832"/>
      <c r="U832"/>
      <c r="V832"/>
      <c r="W832"/>
      <c r="X832"/>
    </row>
    <row r="833" spans="11:24">
      <c r="K833"/>
      <c r="L833"/>
      <c r="M833"/>
      <c r="N833"/>
      <c r="U833"/>
      <c r="V833"/>
      <c r="W833"/>
      <c r="X833"/>
    </row>
    <row r="834" spans="11:24">
      <c r="K834"/>
      <c r="L834"/>
      <c r="M834"/>
      <c r="N834"/>
      <c r="U834"/>
      <c r="V834"/>
      <c r="W834"/>
      <c r="X834"/>
    </row>
    <row r="835" spans="11:24">
      <c r="K835"/>
      <c r="L835"/>
      <c r="M835"/>
      <c r="N835"/>
      <c r="U835"/>
      <c r="V835"/>
      <c r="W835"/>
      <c r="X835"/>
    </row>
    <row r="836" spans="11:24">
      <c r="K836"/>
      <c r="L836"/>
      <c r="M836"/>
      <c r="N836"/>
      <c r="U836"/>
      <c r="V836"/>
      <c r="W836"/>
      <c r="X836"/>
    </row>
    <row r="837" spans="11:24">
      <c r="K837"/>
      <c r="L837"/>
      <c r="M837"/>
      <c r="N837"/>
      <c r="U837"/>
      <c r="V837"/>
      <c r="W837"/>
      <c r="X837"/>
    </row>
    <row r="838" spans="11:24">
      <c r="K838"/>
      <c r="L838"/>
      <c r="M838"/>
      <c r="N838"/>
      <c r="U838"/>
      <c r="V838"/>
      <c r="W838"/>
      <c r="X838"/>
    </row>
    <row r="839" spans="11:24">
      <c r="K839"/>
      <c r="L839"/>
      <c r="M839"/>
      <c r="N839"/>
      <c r="U839"/>
      <c r="V839"/>
      <c r="W839"/>
      <c r="X839"/>
    </row>
    <row r="840" spans="11:24">
      <c r="K840"/>
      <c r="L840"/>
      <c r="M840"/>
      <c r="N840"/>
      <c r="U840"/>
      <c r="V840"/>
      <c r="W840"/>
      <c r="X840"/>
    </row>
    <row r="841" spans="11:24">
      <c r="K841"/>
      <c r="L841"/>
      <c r="M841"/>
      <c r="N841"/>
      <c r="U841"/>
      <c r="V841"/>
      <c r="W841"/>
      <c r="X841"/>
    </row>
    <row r="842" spans="11:24">
      <c r="K842"/>
      <c r="L842"/>
      <c r="M842"/>
      <c r="N842"/>
      <c r="U842"/>
      <c r="V842"/>
      <c r="W842"/>
      <c r="X842"/>
    </row>
    <row r="843" spans="11:24">
      <c r="K843"/>
      <c r="L843"/>
      <c r="M843"/>
      <c r="N843"/>
      <c r="U843"/>
      <c r="V843"/>
      <c r="W843"/>
      <c r="X843"/>
    </row>
    <row r="844" spans="11:24">
      <c r="K844"/>
      <c r="L844"/>
      <c r="M844"/>
      <c r="N844"/>
      <c r="U844"/>
      <c r="V844"/>
      <c r="W844"/>
      <c r="X844"/>
    </row>
    <row r="845" spans="11:24">
      <c r="K845"/>
      <c r="L845"/>
      <c r="M845"/>
      <c r="N845"/>
      <c r="U845"/>
      <c r="V845"/>
      <c r="W845"/>
      <c r="X845"/>
    </row>
    <row r="846" spans="11:24">
      <c r="K846"/>
      <c r="L846"/>
      <c r="M846"/>
      <c r="N846"/>
      <c r="U846"/>
      <c r="V846"/>
      <c r="W846"/>
      <c r="X846"/>
    </row>
    <row r="847" spans="11:24">
      <c r="K847"/>
      <c r="L847"/>
      <c r="M847"/>
      <c r="N847"/>
      <c r="U847"/>
      <c r="V847"/>
      <c r="W847"/>
      <c r="X847"/>
    </row>
    <row r="848" spans="11:24">
      <c r="K848"/>
      <c r="L848"/>
      <c r="M848"/>
      <c r="N848"/>
      <c r="U848"/>
      <c r="V848"/>
      <c r="W848"/>
      <c r="X848"/>
    </row>
    <row r="849" spans="11:24">
      <c r="K849"/>
      <c r="L849"/>
      <c r="M849"/>
      <c r="N849"/>
      <c r="U849"/>
      <c r="V849"/>
      <c r="W849"/>
      <c r="X849"/>
    </row>
    <row r="850" spans="11:24">
      <c r="K850"/>
      <c r="L850"/>
      <c r="M850"/>
      <c r="N850"/>
      <c r="U850"/>
      <c r="V850"/>
      <c r="W850"/>
      <c r="X850"/>
    </row>
    <row r="851" spans="11:24">
      <c r="K851"/>
      <c r="L851"/>
      <c r="M851"/>
      <c r="N851"/>
      <c r="U851"/>
      <c r="V851"/>
      <c r="W851"/>
      <c r="X851"/>
    </row>
    <row r="852" spans="11:24">
      <c r="K852"/>
      <c r="L852"/>
      <c r="M852"/>
      <c r="N852"/>
      <c r="U852"/>
      <c r="V852"/>
      <c r="W852"/>
      <c r="X852"/>
    </row>
    <row r="853" spans="11:24">
      <c r="K853"/>
      <c r="L853"/>
      <c r="M853"/>
      <c r="N853"/>
      <c r="U853"/>
      <c r="V853"/>
      <c r="W853"/>
      <c r="X853"/>
    </row>
    <row r="854" spans="11:24">
      <c r="K854"/>
      <c r="L854"/>
      <c r="M854"/>
      <c r="N854"/>
      <c r="U854"/>
      <c r="V854"/>
      <c r="W854"/>
      <c r="X854"/>
    </row>
    <row r="855" spans="11:24">
      <c r="K855"/>
      <c r="L855"/>
      <c r="M855"/>
      <c r="N855"/>
      <c r="U855"/>
      <c r="V855"/>
      <c r="W855"/>
      <c r="X855"/>
    </row>
    <row r="856" spans="11:24">
      <c r="K856"/>
      <c r="L856"/>
      <c r="M856"/>
      <c r="N856"/>
      <c r="U856"/>
      <c r="V856"/>
      <c r="W856"/>
      <c r="X856"/>
    </row>
    <row r="857" spans="11:24">
      <c r="K857"/>
      <c r="L857"/>
      <c r="M857"/>
      <c r="N857"/>
      <c r="U857"/>
      <c r="V857"/>
      <c r="W857"/>
      <c r="X857"/>
    </row>
    <row r="858" spans="11:24">
      <c r="K858"/>
      <c r="L858"/>
      <c r="M858"/>
      <c r="N858"/>
      <c r="U858"/>
      <c r="V858"/>
      <c r="W858"/>
      <c r="X858"/>
    </row>
    <row r="859" spans="11:24">
      <c r="K859"/>
      <c r="L859"/>
      <c r="M859"/>
      <c r="N859"/>
      <c r="U859"/>
      <c r="V859"/>
      <c r="W859"/>
      <c r="X859"/>
    </row>
    <row r="860" spans="11:24">
      <c r="K860"/>
      <c r="L860"/>
      <c r="M860"/>
      <c r="N860"/>
      <c r="U860"/>
      <c r="V860"/>
      <c r="W860"/>
      <c r="X860"/>
    </row>
    <row r="861" spans="11:24">
      <c r="K861"/>
      <c r="L861"/>
      <c r="M861"/>
      <c r="N861"/>
      <c r="U861"/>
      <c r="V861"/>
      <c r="W861"/>
      <c r="X861"/>
    </row>
    <row r="862" spans="11:24">
      <c r="K862"/>
      <c r="L862"/>
      <c r="M862"/>
      <c r="N862"/>
      <c r="U862"/>
      <c r="V862"/>
      <c r="W862"/>
      <c r="X862"/>
    </row>
    <row r="863" spans="11:24">
      <c r="K863"/>
      <c r="L863"/>
      <c r="M863"/>
      <c r="N863"/>
      <c r="U863"/>
      <c r="V863"/>
      <c r="W863"/>
      <c r="X863"/>
    </row>
    <row r="864" spans="11:24">
      <c r="K864"/>
      <c r="L864"/>
      <c r="M864"/>
      <c r="N864"/>
      <c r="U864"/>
      <c r="V864"/>
      <c r="W864"/>
      <c r="X864"/>
    </row>
    <row r="865" spans="11:24">
      <c r="K865"/>
      <c r="L865"/>
      <c r="M865"/>
      <c r="N865"/>
      <c r="U865"/>
      <c r="V865"/>
      <c r="W865"/>
      <c r="X865"/>
    </row>
    <row r="866" spans="11:24">
      <c r="K866"/>
      <c r="L866"/>
      <c r="M866"/>
      <c r="N866"/>
      <c r="U866"/>
      <c r="V866"/>
      <c r="W866"/>
      <c r="X866"/>
    </row>
    <row r="867" spans="11:24">
      <c r="K867"/>
      <c r="L867"/>
      <c r="M867"/>
      <c r="N867"/>
      <c r="U867"/>
      <c r="V867"/>
      <c r="W867"/>
      <c r="X867"/>
    </row>
    <row r="868" spans="11:24">
      <c r="K868"/>
      <c r="L868"/>
      <c r="M868"/>
      <c r="N868"/>
      <c r="U868"/>
      <c r="V868"/>
      <c r="W868"/>
      <c r="X868"/>
    </row>
    <row r="869" spans="11:24">
      <c r="K869"/>
      <c r="L869"/>
      <c r="M869"/>
      <c r="N869"/>
      <c r="U869"/>
      <c r="V869"/>
      <c r="W869"/>
      <c r="X869"/>
    </row>
    <row r="870" spans="11:24">
      <c r="K870"/>
      <c r="L870"/>
      <c r="M870"/>
      <c r="N870"/>
      <c r="U870"/>
      <c r="V870"/>
      <c r="W870"/>
      <c r="X870"/>
    </row>
    <row r="871" spans="11:24">
      <c r="K871"/>
      <c r="L871"/>
      <c r="M871"/>
      <c r="N871"/>
      <c r="U871"/>
      <c r="V871"/>
      <c r="W871"/>
      <c r="X871"/>
    </row>
    <row r="872" spans="11:24">
      <c r="K872"/>
      <c r="L872"/>
      <c r="M872"/>
      <c r="N872"/>
      <c r="U872"/>
      <c r="V872"/>
      <c r="W872"/>
      <c r="X872"/>
    </row>
    <row r="873" spans="11:24">
      <c r="K873"/>
      <c r="L873"/>
      <c r="M873"/>
      <c r="N873"/>
      <c r="U873"/>
      <c r="V873"/>
      <c r="W873"/>
      <c r="X873"/>
    </row>
    <row r="874" spans="11:24">
      <c r="K874"/>
      <c r="L874"/>
      <c r="M874"/>
      <c r="N874"/>
      <c r="U874"/>
      <c r="V874"/>
      <c r="W874"/>
      <c r="X874"/>
    </row>
    <row r="875" spans="11:24">
      <c r="K875"/>
      <c r="L875"/>
      <c r="M875"/>
      <c r="N875"/>
      <c r="U875"/>
      <c r="V875"/>
      <c r="W875"/>
      <c r="X875"/>
    </row>
    <row r="876" spans="11:24">
      <c r="K876"/>
      <c r="L876"/>
      <c r="M876"/>
      <c r="N876"/>
      <c r="U876"/>
      <c r="V876"/>
      <c r="W876"/>
      <c r="X876"/>
    </row>
    <row r="877" spans="11:24">
      <c r="K877"/>
      <c r="L877"/>
      <c r="M877"/>
      <c r="N877"/>
      <c r="U877"/>
      <c r="V877"/>
      <c r="W877"/>
      <c r="X877"/>
    </row>
    <row r="878" spans="11:24">
      <c r="K878"/>
      <c r="L878"/>
      <c r="M878"/>
      <c r="N878"/>
      <c r="U878"/>
      <c r="V878"/>
      <c r="W878"/>
      <c r="X878"/>
    </row>
    <row r="879" spans="11:24">
      <c r="K879"/>
      <c r="L879"/>
      <c r="M879"/>
      <c r="N879"/>
      <c r="U879"/>
      <c r="V879"/>
      <c r="W879"/>
      <c r="X879"/>
    </row>
    <row r="880" spans="11:24">
      <c r="K880"/>
      <c r="L880"/>
      <c r="M880"/>
      <c r="N880"/>
      <c r="U880"/>
      <c r="V880"/>
      <c r="W880"/>
      <c r="X880"/>
    </row>
    <row r="881" spans="11:24">
      <c r="K881"/>
      <c r="L881"/>
      <c r="M881"/>
      <c r="N881"/>
      <c r="U881"/>
      <c r="V881"/>
      <c r="W881"/>
      <c r="X881"/>
    </row>
    <row r="882" spans="11:24">
      <c r="K882"/>
      <c r="L882"/>
      <c r="M882"/>
      <c r="N882"/>
      <c r="U882"/>
      <c r="V882"/>
      <c r="W882"/>
      <c r="X882"/>
    </row>
    <row r="883" spans="11:24">
      <c r="K883"/>
      <c r="L883"/>
      <c r="M883"/>
      <c r="N883"/>
      <c r="U883"/>
      <c r="V883"/>
      <c r="W883"/>
      <c r="X883"/>
    </row>
    <row r="884" spans="11:24">
      <c r="K884"/>
      <c r="L884"/>
      <c r="M884"/>
      <c r="N884"/>
      <c r="U884"/>
      <c r="V884"/>
      <c r="W884"/>
      <c r="X884"/>
    </row>
    <row r="885" spans="11:24">
      <c r="K885"/>
      <c r="L885"/>
      <c r="M885"/>
      <c r="N885"/>
      <c r="U885"/>
      <c r="V885"/>
      <c r="W885"/>
      <c r="X885"/>
    </row>
    <row r="886" spans="11:24">
      <c r="K886"/>
      <c r="L886"/>
      <c r="M886"/>
      <c r="N886"/>
      <c r="U886"/>
      <c r="V886"/>
      <c r="W886"/>
      <c r="X886"/>
    </row>
    <row r="887" spans="11:24">
      <c r="K887"/>
      <c r="L887"/>
      <c r="M887"/>
      <c r="N887"/>
      <c r="U887"/>
      <c r="V887"/>
      <c r="W887"/>
      <c r="X887"/>
    </row>
    <row r="888" spans="11:24">
      <c r="K888"/>
      <c r="L888"/>
      <c r="M888"/>
      <c r="N888"/>
      <c r="U888"/>
      <c r="V888"/>
      <c r="W888"/>
      <c r="X888"/>
    </row>
    <row r="889" spans="11:24">
      <c r="K889"/>
      <c r="L889"/>
      <c r="M889"/>
      <c r="N889"/>
      <c r="U889"/>
      <c r="V889"/>
      <c r="W889"/>
      <c r="X889"/>
    </row>
    <row r="890" spans="11:24">
      <c r="K890"/>
      <c r="L890"/>
      <c r="M890"/>
      <c r="N890"/>
      <c r="U890"/>
      <c r="V890"/>
      <c r="W890"/>
      <c r="X890"/>
    </row>
    <row r="891" spans="11:24">
      <c r="K891"/>
      <c r="L891"/>
      <c r="M891"/>
      <c r="N891"/>
      <c r="U891"/>
      <c r="V891"/>
      <c r="W891"/>
      <c r="X891"/>
    </row>
    <row r="892" spans="11:24">
      <c r="K892"/>
      <c r="L892"/>
      <c r="M892"/>
      <c r="N892"/>
      <c r="U892"/>
      <c r="V892"/>
      <c r="W892"/>
      <c r="X892"/>
    </row>
    <row r="893" spans="11:24">
      <c r="K893"/>
      <c r="L893"/>
      <c r="M893"/>
      <c r="N893"/>
      <c r="U893"/>
      <c r="V893"/>
      <c r="W893"/>
      <c r="X893"/>
    </row>
    <row r="894" spans="11:24">
      <c r="K894"/>
      <c r="L894"/>
      <c r="M894"/>
      <c r="N894"/>
      <c r="U894"/>
      <c r="V894"/>
      <c r="W894"/>
      <c r="X894"/>
    </row>
    <row r="895" spans="11:24">
      <c r="K895"/>
      <c r="L895"/>
      <c r="M895"/>
      <c r="N895"/>
      <c r="U895"/>
      <c r="V895"/>
      <c r="W895"/>
      <c r="X895"/>
    </row>
    <row r="896" spans="11:24">
      <c r="K896"/>
      <c r="L896"/>
      <c r="M896"/>
      <c r="N896"/>
      <c r="U896"/>
      <c r="V896"/>
      <c r="W896"/>
      <c r="X896"/>
    </row>
    <row r="897" spans="11:24">
      <c r="K897"/>
      <c r="L897"/>
      <c r="M897"/>
      <c r="N897"/>
      <c r="U897"/>
      <c r="V897"/>
      <c r="W897"/>
      <c r="X897"/>
    </row>
    <row r="898" spans="11:24">
      <c r="K898"/>
      <c r="L898"/>
      <c r="M898"/>
      <c r="N898"/>
      <c r="U898"/>
      <c r="V898"/>
      <c r="W898"/>
      <c r="X898"/>
    </row>
    <row r="899" spans="11:24">
      <c r="K899"/>
      <c r="L899"/>
      <c r="M899"/>
      <c r="N899"/>
      <c r="U899"/>
      <c r="V899"/>
      <c r="W899"/>
      <c r="X899"/>
    </row>
    <row r="900" spans="11:24">
      <c r="K900"/>
      <c r="L900"/>
      <c r="M900"/>
      <c r="N900"/>
      <c r="U900"/>
      <c r="V900"/>
      <c r="W900"/>
      <c r="X900"/>
    </row>
    <row r="901" spans="11:24">
      <c r="K901"/>
      <c r="L901"/>
      <c r="M901"/>
      <c r="N901"/>
      <c r="U901"/>
      <c r="V901"/>
      <c r="W901"/>
      <c r="X901"/>
    </row>
    <row r="902" spans="11:24">
      <c r="K902"/>
      <c r="L902"/>
      <c r="M902"/>
      <c r="N902"/>
      <c r="U902"/>
      <c r="V902"/>
      <c r="W902"/>
      <c r="X902"/>
    </row>
    <row r="903" spans="11:24">
      <c r="K903"/>
      <c r="L903"/>
      <c r="M903"/>
      <c r="N903"/>
      <c r="U903"/>
      <c r="V903"/>
      <c r="W903"/>
      <c r="X903"/>
    </row>
    <row r="904" spans="11:24">
      <c r="K904"/>
      <c r="L904"/>
      <c r="M904"/>
      <c r="N904"/>
      <c r="U904"/>
      <c r="V904"/>
      <c r="W904"/>
      <c r="X904"/>
    </row>
    <row r="905" spans="11:24">
      <c r="K905"/>
      <c r="L905"/>
      <c r="M905"/>
      <c r="N905"/>
      <c r="U905"/>
      <c r="V905"/>
      <c r="W905"/>
      <c r="X905"/>
    </row>
    <row r="906" spans="11:24">
      <c r="K906"/>
      <c r="L906"/>
      <c r="M906"/>
      <c r="N906"/>
      <c r="U906"/>
      <c r="V906"/>
      <c r="W906"/>
      <c r="X906"/>
    </row>
    <row r="907" spans="11:24">
      <c r="K907"/>
      <c r="L907"/>
      <c r="M907"/>
      <c r="N907"/>
      <c r="U907"/>
      <c r="V907"/>
      <c r="W907"/>
      <c r="X907"/>
    </row>
    <row r="908" spans="11:24">
      <c r="K908"/>
      <c r="L908"/>
      <c r="M908"/>
      <c r="N908"/>
      <c r="U908"/>
      <c r="V908"/>
      <c r="W908"/>
      <c r="X908"/>
    </row>
    <row r="909" spans="11:24">
      <c r="K909"/>
      <c r="L909"/>
      <c r="M909"/>
      <c r="N909"/>
      <c r="U909"/>
      <c r="V909"/>
      <c r="W909"/>
      <c r="X909"/>
    </row>
    <row r="910" spans="11:24">
      <c r="K910"/>
      <c r="L910"/>
      <c r="M910"/>
      <c r="N910"/>
      <c r="U910"/>
      <c r="V910"/>
      <c r="W910"/>
      <c r="X910"/>
    </row>
    <row r="911" spans="11:24">
      <c r="K911"/>
      <c r="L911"/>
      <c r="M911"/>
      <c r="N911"/>
      <c r="U911"/>
      <c r="V911"/>
      <c r="W911"/>
      <c r="X911"/>
    </row>
    <row r="912" spans="11:24">
      <c r="K912"/>
      <c r="L912"/>
      <c r="M912"/>
      <c r="N912"/>
      <c r="U912"/>
      <c r="V912"/>
      <c r="W912"/>
      <c r="X912"/>
    </row>
    <row r="913" spans="11:24">
      <c r="K913"/>
      <c r="L913"/>
      <c r="M913"/>
      <c r="N913"/>
      <c r="U913"/>
      <c r="V913"/>
      <c r="W913"/>
      <c r="X913"/>
    </row>
    <row r="914" spans="11:24">
      <c r="K914"/>
      <c r="L914"/>
      <c r="M914"/>
      <c r="N914"/>
      <c r="U914"/>
      <c r="V914"/>
      <c r="W914"/>
      <c r="X914"/>
    </row>
    <row r="915" spans="11:24">
      <c r="K915"/>
      <c r="L915"/>
      <c r="M915"/>
      <c r="N915"/>
      <c r="U915"/>
      <c r="V915"/>
      <c r="W915"/>
      <c r="X915"/>
    </row>
    <row r="916" spans="11:24">
      <c r="K916"/>
      <c r="L916"/>
      <c r="M916"/>
      <c r="N916"/>
      <c r="U916"/>
      <c r="V916"/>
      <c r="W916"/>
      <c r="X916"/>
    </row>
    <row r="917" spans="11:24">
      <c r="K917"/>
      <c r="L917"/>
      <c r="M917"/>
      <c r="N917"/>
      <c r="U917"/>
      <c r="V917"/>
      <c r="W917"/>
      <c r="X917"/>
    </row>
    <row r="918" spans="11:24">
      <c r="K918"/>
      <c r="L918"/>
      <c r="M918"/>
      <c r="N918"/>
      <c r="U918"/>
      <c r="V918"/>
      <c r="W918"/>
      <c r="X918"/>
    </row>
    <row r="919" spans="11:24">
      <c r="K919"/>
      <c r="L919"/>
      <c r="M919"/>
      <c r="N919"/>
      <c r="U919"/>
      <c r="V919"/>
      <c r="W919"/>
      <c r="X919"/>
    </row>
    <row r="920" spans="11:24">
      <c r="K920"/>
      <c r="L920"/>
      <c r="M920"/>
      <c r="N920"/>
      <c r="U920"/>
      <c r="V920"/>
      <c r="W920"/>
      <c r="X920"/>
    </row>
    <row r="921" spans="11:24">
      <c r="K921"/>
      <c r="L921"/>
      <c r="M921"/>
      <c r="N921"/>
      <c r="U921"/>
      <c r="V921"/>
      <c r="W921"/>
      <c r="X921"/>
    </row>
    <row r="922" spans="11:24">
      <c r="K922"/>
      <c r="L922"/>
      <c r="M922"/>
      <c r="N922"/>
      <c r="U922"/>
      <c r="V922"/>
      <c r="W922"/>
      <c r="X922"/>
    </row>
    <row r="923" spans="11:24">
      <c r="K923"/>
      <c r="L923"/>
      <c r="M923"/>
      <c r="N923"/>
      <c r="U923"/>
      <c r="V923"/>
      <c r="W923"/>
      <c r="X923"/>
    </row>
    <row r="924" spans="11:24">
      <c r="K924"/>
      <c r="L924"/>
      <c r="M924"/>
      <c r="N924"/>
      <c r="U924"/>
      <c r="V924"/>
      <c r="W924"/>
      <c r="X924"/>
    </row>
    <row r="925" spans="11:24">
      <c r="K925"/>
      <c r="L925"/>
      <c r="M925"/>
      <c r="N925"/>
      <c r="U925"/>
      <c r="V925"/>
      <c r="W925"/>
      <c r="X925"/>
    </row>
    <row r="926" spans="11:24">
      <c r="K926"/>
      <c r="L926"/>
      <c r="M926"/>
      <c r="N926"/>
      <c r="U926"/>
      <c r="V926"/>
      <c r="W926"/>
      <c r="X926"/>
    </row>
    <row r="927" spans="11:24">
      <c r="K927"/>
      <c r="L927"/>
      <c r="M927"/>
      <c r="N927"/>
      <c r="U927"/>
      <c r="V927"/>
      <c r="W927"/>
      <c r="X927"/>
    </row>
    <row r="928" spans="11:24">
      <c r="K928"/>
      <c r="L928"/>
      <c r="M928"/>
      <c r="N928"/>
      <c r="U928"/>
      <c r="V928"/>
      <c r="W928"/>
      <c r="X928"/>
    </row>
    <row r="929" spans="11:24">
      <c r="K929"/>
      <c r="L929"/>
      <c r="M929"/>
      <c r="N929"/>
      <c r="U929"/>
      <c r="V929"/>
      <c r="W929"/>
      <c r="X929"/>
    </row>
    <row r="930" spans="11:24">
      <c r="K930"/>
      <c r="L930"/>
      <c r="M930"/>
      <c r="N930"/>
      <c r="U930"/>
      <c r="V930"/>
      <c r="W930"/>
      <c r="X930"/>
    </row>
    <row r="931" spans="11:24">
      <c r="K931"/>
      <c r="L931"/>
      <c r="M931"/>
      <c r="N931"/>
      <c r="U931"/>
      <c r="V931"/>
      <c r="W931"/>
      <c r="X931"/>
    </row>
    <row r="932" spans="11:24">
      <c r="K932"/>
      <c r="L932"/>
      <c r="M932"/>
      <c r="N932"/>
      <c r="U932"/>
      <c r="V932"/>
      <c r="W932"/>
      <c r="X932"/>
    </row>
    <row r="933" spans="11:24">
      <c r="K933"/>
      <c r="L933"/>
      <c r="M933"/>
      <c r="N933"/>
      <c r="U933"/>
      <c r="V933"/>
      <c r="W933"/>
      <c r="X933"/>
    </row>
    <row r="934" spans="11:24">
      <c r="K934"/>
      <c r="L934"/>
      <c r="M934"/>
      <c r="N934"/>
      <c r="U934"/>
      <c r="V934"/>
      <c r="W934"/>
      <c r="X934"/>
    </row>
    <row r="935" spans="11:24">
      <c r="K935"/>
      <c r="L935"/>
      <c r="M935"/>
      <c r="N935"/>
      <c r="U935"/>
      <c r="V935"/>
      <c r="W935"/>
      <c r="X935"/>
    </row>
    <row r="936" spans="11:24">
      <c r="K936"/>
      <c r="L936"/>
      <c r="M936"/>
      <c r="N936"/>
      <c r="U936"/>
      <c r="V936"/>
      <c r="W936"/>
      <c r="X936"/>
    </row>
    <row r="937" spans="11:24">
      <c r="K937"/>
      <c r="L937"/>
      <c r="M937"/>
      <c r="N937"/>
      <c r="U937"/>
      <c r="V937"/>
      <c r="W937"/>
      <c r="X937"/>
    </row>
    <row r="938" spans="11:24">
      <c r="K938"/>
      <c r="L938"/>
      <c r="M938"/>
      <c r="N938"/>
      <c r="U938"/>
      <c r="V938"/>
      <c r="W938"/>
      <c r="X938"/>
    </row>
    <row r="939" spans="11:24">
      <c r="K939"/>
      <c r="L939"/>
      <c r="M939"/>
      <c r="N939"/>
      <c r="U939"/>
      <c r="V939"/>
      <c r="W939"/>
      <c r="X939"/>
    </row>
    <row r="940" spans="11:24">
      <c r="K940"/>
      <c r="L940"/>
      <c r="M940"/>
      <c r="N940"/>
      <c r="U940"/>
      <c r="V940"/>
      <c r="W940"/>
      <c r="X940"/>
    </row>
    <row r="941" spans="11:24">
      <c r="K941"/>
      <c r="L941"/>
      <c r="M941"/>
      <c r="N941"/>
      <c r="U941"/>
      <c r="V941"/>
      <c r="W941"/>
      <c r="X941"/>
    </row>
    <row r="942" spans="11:24">
      <c r="K942"/>
      <c r="L942"/>
      <c r="M942"/>
      <c r="N942"/>
      <c r="U942"/>
      <c r="V942"/>
      <c r="W942"/>
      <c r="X942"/>
    </row>
    <row r="943" spans="11:24">
      <c r="K943"/>
      <c r="L943"/>
      <c r="M943"/>
      <c r="N943"/>
      <c r="U943"/>
      <c r="V943"/>
      <c r="W943"/>
      <c r="X943"/>
    </row>
    <row r="944" spans="11:24">
      <c r="K944"/>
      <c r="L944"/>
      <c r="M944"/>
      <c r="N944"/>
      <c r="U944"/>
      <c r="V944"/>
      <c r="W944"/>
      <c r="X944"/>
    </row>
    <row r="945" spans="11:24">
      <c r="K945"/>
      <c r="L945"/>
      <c r="M945"/>
      <c r="N945"/>
      <c r="U945"/>
      <c r="V945"/>
      <c r="W945"/>
      <c r="X945"/>
    </row>
    <row r="946" spans="11:24">
      <c r="K946"/>
      <c r="L946"/>
      <c r="M946"/>
      <c r="N946"/>
      <c r="U946"/>
      <c r="V946"/>
      <c r="W946"/>
      <c r="X946"/>
    </row>
    <row r="947" spans="11:24">
      <c r="K947"/>
      <c r="L947"/>
      <c r="M947"/>
      <c r="N947"/>
      <c r="U947"/>
      <c r="V947"/>
      <c r="W947"/>
      <c r="X947"/>
    </row>
    <row r="948" spans="11:24">
      <c r="K948"/>
      <c r="L948"/>
      <c r="M948"/>
      <c r="N948"/>
      <c r="U948"/>
      <c r="V948"/>
      <c r="W948"/>
      <c r="X948"/>
    </row>
    <row r="949" spans="11:24">
      <c r="K949"/>
      <c r="L949"/>
      <c r="M949"/>
      <c r="N949"/>
      <c r="U949"/>
      <c r="V949"/>
      <c r="W949"/>
      <c r="X949"/>
    </row>
    <row r="950" spans="11:24">
      <c r="K950"/>
      <c r="L950"/>
      <c r="M950"/>
      <c r="N950"/>
      <c r="U950"/>
      <c r="V950"/>
      <c r="W950"/>
      <c r="X950"/>
    </row>
    <row r="951" spans="11:24">
      <c r="K951"/>
      <c r="L951"/>
      <c r="M951"/>
      <c r="N951"/>
      <c r="U951"/>
      <c r="V951"/>
      <c r="W951"/>
      <c r="X951"/>
    </row>
    <row r="952" spans="11:24">
      <c r="K952"/>
      <c r="L952"/>
      <c r="M952"/>
      <c r="N952"/>
      <c r="U952"/>
      <c r="V952"/>
      <c r="W952"/>
      <c r="X952"/>
    </row>
    <row r="953" spans="11:24">
      <c r="K953"/>
      <c r="L953"/>
      <c r="M953"/>
      <c r="N953"/>
      <c r="U953"/>
      <c r="V953"/>
      <c r="W953"/>
      <c r="X953"/>
    </row>
    <row r="954" spans="11:24">
      <c r="K954"/>
      <c r="L954"/>
      <c r="M954"/>
      <c r="N954"/>
      <c r="U954"/>
      <c r="V954"/>
      <c r="W954"/>
      <c r="X954"/>
    </row>
    <row r="955" spans="11:24">
      <c r="K955"/>
      <c r="L955"/>
      <c r="M955"/>
      <c r="N955"/>
      <c r="U955"/>
      <c r="V955"/>
      <c r="W955"/>
      <c r="X955"/>
    </row>
    <row r="956" spans="11:24">
      <c r="K956"/>
      <c r="L956"/>
      <c r="M956"/>
      <c r="N956"/>
      <c r="U956"/>
      <c r="V956"/>
      <c r="W956"/>
      <c r="X956"/>
    </row>
    <row r="957" spans="11:24">
      <c r="K957"/>
      <c r="L957"/>
      <c r="M957"/>
      <c r="N957"/>
      <c r="U957"/>
      <c r="V957"/>
      <c r="W957"/>
      <c r="X957"/>
    </row>
    <row r="958" spans="11:24">
      <c r="K958"/>
      <c r="L958"/>
      <c r="M958"/>
      <c r="N958"/>
      <c r="U958"/>
      <c r="V958"/>
      <c r="W958"/>
      <c r="X958"/>
    </row>
    <row r="959" spans="11:24">
      <c r="K959"/>
      <c r="L959"/>
      <c r="M959"/>
      <c r="N959"/>
      <c r="U959"/>
      <c r="V959"/>
      <c r="W959"/>
      <c r="X959"/>
    </row>
    <row r="960" spans="11:24">
      <c r="K960"/>
      <c r="L960"/>
      <c r="M960"/>
      <c r="N960"/>
      <c r="U960"/>
      <c r="V960"/>
      <c r="W960"/>
      <c r="X960"/>
    </row>
    <row r="961" spans="11:24">
      <c r="K961"/>
      <c r="L961"/>
      <c r="M961"/>
      <c r="N961"/>
      <c r="U961"/>
      <c r="V961"/>
      <c r="W961"/>
      <c r="X961"/>
    </row>
    <row r="962" spans="11:24">
      <c r="K962"/>
      <c r="L962"/>
      <c r="M962"/>
      <c r="N962"/>
      <c r="U962"/>
      <c r="V962"/>
      <c r="W962"/>
      <c r="X962"/>
    </row>
    <row r="963" spans="11:24">
      <c r="K963"/>
      <c r="L963"/>
      <c r="M963"/>
      <c r="N963"/>
      <c r="U963"/>
      <c r="V963"/>
      <c r="W963"/>
      <c r="X963"/>
    </row>
    <row r="964" spans="11:24">
      <c r="K964"/>
      <c r="L964"/>
      <c r="M964"/>
      <c r="N964"/>
      <c r="U964"/>
      <c r="V964"/>
      <c r="W964"/>
      <c r="X964"/>
    </row>
    <row r="965" spans="11:24">
      <c r="K965"/>
      <c r="L965"/>
      <c r="M965"/>
      <c r="N965"/>
      <c r="U965"/>
      <c r="V965"/>
      <c r="W965"/>
      <c r="X965"/>
    </row>
    <row r="966" spans="11:24">
      <c r="K966"/>
      <c r="L966"/>
      <c r="M966"/>
      <c r="N966"/>
      <c r="U966"/>
      <c r="V966"/>
      <c r="W966"/>
      <c r="X966"/>
    </row>
    <row r="967" spans="11:24">
      <c r="K967"/>
      <c r="L967"/>
      <c r="M967"/>
      <c r="N967"/>
      <c r="U967"/>
      <c r="V967"/>
      <c r="W967"/>
      <c r="X967"/>
    </row>
    <row r="968" spans="11:24">
      <c r="K968"/>
      <c r="L968"/>
      <c r="M968"/>
      <c r="N968"/>
      <c r="U968"/>
      <c r="V968"/>
      <c r="W968"/>
      <c r="X968"/>
    </row>
    <row r="969" spans="11:24">
      <c r="K969"/>
      <c r="L969"/>
      <c r="M969"/>
      <c r="N969"/>
      <c r="U969"/>
      <c r="V969"/>
      <c r="W969"/>
      <c r="X969"/>
    </row>
    <row r="970" spans="11:24">
      <c r="K970"/>
      <c r="L970"/>
      <c r="M970"/>
      <c r="N970"/>
      <c r="U970"/>
      <c r="V970"/>
      <c r="W970"/>
      <c r="X970"/>
    </row>
    <row r="971" spans="11:24">
      <c r="K971"/>
      <c r="L971"/>
      <c r="M971"/>
      <c r="N971"/>
      <c r="U971"/>
      <c r="V971"/>
      <c r="W971"/>
      <c r="X971"/>
    </row>
    <row r="972" spans="11:24">
      <c r="K972"/>
      <c r="L972"/>
      <c r="M972"/>
      <c r="N972"/>
      <c r="U972"/>
      <c r="V972"/>
      <c r="W972"/>
      <c r="X972"/>
    </row>
    <row r="973" spans="11:24">
      <c r="K973"/>
      <c r="L973"/>
      <c r="M973"/>
      <c r="N973"/>
      <c r="U973"/>
      <c r="V973"/>
      <c r="W973"/>
      <c r="X973"/>
    </row>
    <row r="974" spans="11:24">
      <c r="K974"/>
      <c r="L974"/>
      <c r="M974"/>
      <c r="N974"/>
      <c r="U974"/>
      <c r="V974"/>
      <c r="W974"/>
      <c r="X974"/>
    </row>
    <row r="975" spans="11:24">
      <c r="K975"/>
      <c r="L975"/>
      <c r="M975"/>
      <c r="N975"/>
      <c r="U975"/>
      <c r="V975"/>
      <c r="W975"/>
      <c r="X975"/>
    </row>
    <row r="976" spans="11:24">
      <c r="K976"/>
      <c r="L976"/>
      <c r="M976"/>
      <c r="N976"/>
      <c r="U976"/>
      <c r="V976"/>
      <c r="W976"/>
      <c r="X976"/>
    </row>
    <row r="977" spans="11:24">
      <c r="K977"/>
      <c r="L977"/>
      <c r="M977"/>
      <c r="N977"/>
      <c r="U977"/>
      <c r="V977"/>
      <c r="W977"/>
      <c r="X977"/>
    </row>
    <row r="978" spans="11:24">
      <c r="K978"/>
      <c r="L978"/>
      <c r="M978"/>
      <c r="N978"/>
      <c r="U978"/>
      <c r="V978"/>
      <c r="W978"/>
      <c r="X978"/>
    </row>
    <row r="979" spans="11:24">
      <c r="K979"/>
      <c r="L979"/>
      <c r="M979"/>
      <c r="N979"/>
      <c r="U979"/>
      <c r="V979"/>
      <c r="W979"/>
      <c r="X979"/>
    </row>
    <row r="980" spans="11:24">
      <c r="K980"/>
      <c r="L980"/>
      <c r="M980"/>
      <c r="N980"/>
      <c r="U980"/>
      <c r="V980"/>
      <c r="W980"/>
      <c r="X980"/>
    </row>
    <row r="981" spans="11:24">
      <c r="K981"/>
      <c r="L981"/>
      <c r="M981"/>
      <c r="N981"/>
      <c r="U981"/>
      <c r="V981"/>
      <c r="W981"/>
      <c r="X981"/>
    </row>
    <row r="982" spans="11:24">
      <c r="K982"/>
      <c r="L982"/>
      <c r="M982"/>
      <c r="N982"/>
      <c r="U982"/>
      <c r="V982"/>
      <c r="W982"/>
      <c r="X982"/>
    </row>
    <row r="983" spans="11:24">
      <c r="K983"/>
      <c r="L983"/>
      <c r="M983"/>
      <c r="N983"/>
      <c r="U983"/>
      <c r="V983"/>
      <c r="W983"/>
      <c r="X983"/>
    </row>
    <row r="984" spans="11:24">
      <c r="K984"/>
      <c r="L984"/>
      <c r="M984"/>
      <c r="N984"/>
      <c r="U984"/>
      <c r="V984"/>
      <c r="W984"/>
      <c r="X984"/>
    </row>
    <row r="985" spans="11:24">
      <c r="K985"/>
      <c r="L985"/>
      <c r="M985"/>
      <c r="N985"/>
      <c r="U985"/>
      <c r="V985"/>
      <c r="W985"/>
      <c r="X985"/>
    </row>
    <row r="986" spans="11:24">
      <c r="K986"/>
      <c r="L986"/>
      <c r="M986"/>
      <c r="N986"/>
      <c r="U986"/>
      <c r="V986"/>
      <c r="W986"/>
      <c r="X986"/>
    </row>
    <row r="987" spans="11:24">
      <c r="K987"/>
      <c r="L987"/>
      <c r="M987"/>
      <c r="N987"/>
      <c r="U987"/>
      <c r="V987"/>
      <c r="W987"/>
      <c r="X987"/>
    </row>
    <row r="988" spans="11:24">
      <c r="K988"/>
      <c r="L988"/>
      <c r="M988"/>
      <c r="N988"/>
      <c r="U988"/>
      <c r="V988"/>
      <c r="W988"/>
      <c r="X988"/>
    </row>
    <row r="989" spans="11:24">
      <c r="K989"/>
      <c r="L989"/>
      <c r="M989"/>
      <c r="N989"/>
      <c r="U989"/>
      <c r="V989"/>
      <c r="W989"/>
      <c r="X989"/>
    </row>
    <row r="990" spans="11:24">
      <c r="K990"/>
      <c r="L990"/>
      <c r="M990"/>
      <c r="N990"/>
      <c r="U990"/>
      <c r="V990"/>
      <c r="W990"/>
      <c r="X990"/>
    </row>
    <row r="991" spans="11:24">
      <c r="K991"/>
      <c r="L991"/>
      <c r="M991"/>
      <c r="N991"/>
      <c r="U991"/>
      <c r="V991"/>
      <c r="W991"/>
      <c r="X991"/>
    </row>
    <row r="992" spans="11:24">
      <c r="K992"/>
      <c r="L992"/>
      <c r="M992"/>
      <c r="N992"/>
      <c r="U992"/>
      <c r="V992"/>
      <c r="W992"/>
      <c r="X992"/>
    </row>
    <row r="993" spans="11:24">
      <c r="K993"/>
      <c r="L993"/>
      <c r="M993"/>
      <c r="N993"/>
      <c r="U993"/>
      <c r="V993"/>
      <c r="W993"/>
      <c r="X993"/>
    </row>
    <row r="994" spans="11:24">
      <c r="K994"/>
      <c r="L994"/>
      <c r="M994"/>
      <c r="N994"/>
      <c r="U994"/>
      <c r="V994"/>
      <c r="W994"/>
      <c r="X994"/>
    </row>
    <row r="995" spans="11:24">
      <c r="K995"/>
      <c r="L995"/>
      <c r="M995"/>
      <c r="N995"/>
      <c r="U995"/>
      <c r="V995"/>
      <c r="W995"/>
      <c r="X995"/>
    </row>
    <row r="996" spans="11:24">
      <c r="K996"/>
      <c r="L996"/>
      <c r="M996"/>
      <c r="N996"/>
      <c r="U996"/>
      <c r="V996"/>
      <c r="W996"/>
      <c r="X996"/>
    </row>
    <row r="997" spans="11:24">
      <c r="K997"/>
      <c r="L997"/>
      <c r="M997"/>
      <c r="N997"/>
      <c r="U997"/>
      <c r="V997"/>
      <c r="W997"/>
      <c r="X997"/>
    </row>
    <row r="998" spans="11:24">
      <c r="K998"/>
      <c r="L998"/>
      <c r="M998"/>
      <c r="N998"/>
      <c r="U998"/>
      <c r="V998"/>
      <c r="W998"/>
      <c r="X998"/>
    </row>
    <row r="999" spans="11:24">
      <c r="K999"/>
      <c r="L999"/>
      <c r="M999"/>
      <c r="N999"/>
      <c r="U999"/>
      <c r="V999"/>
      <c r="W999"/>
      <c r="X999"/>
    </row>
    <row r="1000" spans="11:24">
      <c r="K1000"/>
      <c r="L1000"/>
      <c r="M1000"/>
      <c r="N1000"/>
      <c r="U1000"/>
      <c r="V1000"/>
      <c r="W1000"/>
      <c r="X1000"/>
    </row>
    <row r="1001" spans="11:24">
      <c r="K1001"/>
      <c r="L1001"/>
      <c r="M1001"/>
      <c r="N1001"/>
      <c r="U1001"/>
      <c r="V1001"/>
      <c r="W1001"/>
      <c r="X1001"/>
    </row>
    <row r="1002" spans="11:24">
      <c r="K1002"/>
      <c r="L1002"/>
      <c r="M1002"/>
      <c r="N1002"/>
      <c r="U1002"/>
      <c r="V1002"/>
      <c r="W1002"/>
      <c r="X1002"/>
    </row>
    <row r="1003" spans="11:24">
      <c r="K1003"/>
      <c r="L1003"/>
      <c r="M1003"/>
      <c r="N1003"/>
      <c r="U1003"/>
      <c r="V1003"/>
      <c r="W1003"/>
      <c r="X1003"/>
    </row>
    <row r="1004" spans="11:24">
      <c r="K1004"/>
      <c r="L1004"/>
      <c r="M1004"/>
      <c r="N1004"/>
      <c r="U1004"/>
      <c r="V1004"/>
      <c r="W1004"/>
      <c r="X1004"/>
    </row>
    <row r="1005" spans="11:24">
      <c r="K1005"/>
      <c r="L1005"/>
      <c r="M1005"/>
      <c r="N1005"/>
      <c r="U1005"/>
      <c r="V1005"/>
      <c r="W1005"/>
      <c r="X1005"/>
    </row>
    <row r="1006" spans="11:24">
      <c r="K1006"/>
      <c r="L1006"/>
      <c r="M1006"/>
      <c r="N1006"/>
      <c r="U1006"/>
      <c r="V1006"/>
      <c r="W1006"/>
      <c r="X1006"/>
    </row>
    <row r="1007" spans="11:24">
      <c r="K1007"/>
      <c r="L1007"/>
      <c r="M1007"/>
      <c r="N1007"/>
      <c r="U1007"/>
      <c r="V1007"/>
      <c r="W1007"/>
      <c r="X1007"/>
    </row>
    <row r="1008" spans="11:24">
      <c r="K1008"/>
      <c r="L1008"/>
      <c r="M1008"/>
      <c r="N1008"/>
      <c r="U1008"/>
      <c r="V1008"/>
      <c r="W1008"/>
      <c r="X1008"/>
    </row>
    <row r="1009" spans="11:24">
      <c r="K1009"/>
      <c r="L1009"/>
      <c r="M1009"/>
      <c r="N1009"/>
      <c r="U1009"/>
      <c r="V1009"/>
      <c r="W1009"/>
      <c r="X1009"/>
    </row>
    <row r="1010" spans="11:24">
      <c r="K1010"/>
      <c r="L1010"/>
      <c r="M1010"/>
      <c r="N1010"/>
      <c r="U1010"/>
      <c r="V1010"/>
      <c r="W1010"/>
      <c r="X1010"/>
    </row>
    <row r="1011" spans="11:24">
      <c r="K1011"/>
      <c r="L1011"/>
      <c r="M1011"/>
      <c r="N1011"/>
      <c r="U1011"/>
      <c r="V1011"/>
      <c r="W1011"/>
      <c r="X1011"/>
    </row>
    <row r="1012" spans="11:24">
      <c r="K1012"/>
      <c r="L1012"/>
      <c r="M1012"/>
      <c r="N1012"/>
      <c r="U1012"/>
      <c r="V1012"/>
      <c r="W1012"/>
      <c r="X1012"/>
    </row>
    <row r="1013" spans="11:24">
      <c r="K1013"/>
      <c r="L1013"/>
      <c r="M1013"/>
      <c r="N1013"/>
      <c r="U1013"/>
      <c r="V1013"/>
      <c r="W1013"/>
      <c r="X1013"/>
    </row>
    <row r="1014" spans="11:24">
      <c r="K1014"/>
      <c r="L1014"/>
      <c r="M1014"/>
      <c r="N1014"/>
      <c r="U1014"/>
      <c r="V1014"/>
      <c r="W1014"/>
      <c r="X1014"/>
    </row>
    <row r="1015" spans="11:24">
      <c r="K1015"/>
      <c r="L1015"/>
      <c r="M1015"/>
      <c r="N1015"/>
      <c r="U1015"/>
      <c r="V1015"/>
      <c r="W1015"/>
      <c r="X1015"/>
    </row>
    <row r="1016" spans="11:24">
      <c r="K1016"/>
      <c r="L1016"/>
      <c r="M1016"/>
      <c r="N1016"/>
      <c r="U1016"/>
      <c r="V1016"/>
      <c r="W1016"/>
      <c r="X1016"/>
    </row>
    <row r="1017" spans="11:24">
      <c r="K1017"/>
      <c r="L1017"/>
      <c r="M1017"/>
      <c r="N1017"/>
      <c r="U1017"/>
      <c r="V1017"/>
      <c r="W1017"/>
      <c r="X1017"/>
    </row>
    <row r="1018" spans="11:24">
      <c r="K1018"/>
      <c r="L1018"/>
      <c r="M1018"/>
      <c r="N1018"/>
      <c r="U1018"/>
      <c r="V1018"/>
      <c r="W1018"/>
      <c r="X1018"/>
    </row>
    <row r="1019" spans="11:24">
      <c r="K1019"/>
      <c r="L1019"/>
      <c r="M1019"/>
      <c r="N1019"/>
      <c r="U1019"/>
      <c r="V1019"/>
      <c r="W1019"/>
      <c r="X1019"/>
    </row>
    <row r="1020" spans="11:24">
      <c r="K1020"/>
      <c r="L1020"/>
      <c r="M1020"/>
      <c r="N1020"/>
      <c r="U1020"/>
      <c r="V1020"/>
      <c r="W1020"/>
      <c r="X1020"/>
    </row>
    <row r="1021" spans="11:24">
      <c r="K1021"/>
      <c r="L1021"/>
      <c r="M1021"/>
      <c r="N1021"/>
      <c r="U1021"/>
      <c r="V1021"/>
      <c r="W1021"/>
      <c r="X1021"/>
    </row>
    <row r="1022" spans="11:24">
      <c r="K1022"/>
      <c r="L1022"/>
      <c r="M1022"/>
      <c r="N1022"/>
      <c r="U1022"/>
      <c r="V1022"/>
      <c r="W1022"/>
      <c r="X1022"/>
    </row>
    <row r="1023" spans="11:24">
      <c r="K1023"/>
      <c r="L1023"/>
      <c r="M1023"/>
      <c r="N1023"/>
      <c r="U1023"/>
      <c r="V1023"/>
      <c r="W1023"/>
      <c r="X1023"/>
    </row>
    <row r="1024" spans="11:24">
      <c r="K1024"/>
      <c r="L1024"/>
      <c r="M1024"/>
      <c r="N1024"/>
      <c r="U1024"/>
      <c r="V1024"/>
      <c r="W1024"/>
      <c r="X1024"/>
    </row>
    <row r="1025" spans="11:24">
      <c r="K1025"/>
      <c r="L1025"/>
      <c r="M1025"/>
      <c r="N1025"/>
      <c r="U1025"/>
      <c r="V1025"/>
      <c r="W1025"/>
      <c r="X1025"/>
    </row>
    <row r="1026" spans="11:24">
      <c r="K1026"/>
      <c r="L1026"/>
      <c r="M1026"/>
      <c r="N1026"/>
      <c r="U1026"/>
      <c r="V1026"/>
      <c r="W1026"/>
      <c r="X1026"/>
    </row>
    <row r="1027" spans="11:24">
      <c r="K1027"/>
      <c r="L1027"/>
      <c r="M1027"/>
      <c r="N1027"/>
      <c r="U1027"/>
      <c r="V1027"/>
      <c r="W1027"/>
      <c r="X1027"/>
    </row>
    <row r="1028" spans="11:24">
      <c r="K1028"/>
      <c r="L1028"/>
      <c r="M1028"/>
      <c r="N1028"/>
      <c r="U1028"/>
      <c r="V1028"/>
      <c r="W1028"/>
      <c r="X1028"/>
    </row>
    <row r="1029" spans="11:24">
      <c r="K1029"/>
      <c r="L1029"/>
      <c r="M1029"/>
      <c r="N1029"/>
      <c r="U1029"/>
      <c r="V1029"/>
      <c r="W1029"/>
      <c r="X1029"/>
    </row>
    <row r="1030" spans="11:24">
      <c r="K1030"/>
      <c r="L1030"/>
      <c r="M1030"/>
      <c r="N1030"/>
      <c r="U1030"/>
      <c r="V1030"/>
      <c r="W1030"/>
      <c r="X1030"/>
    </row>
    <row r="1031" spans="11:24">
      <c r="K1031"/>
      <c r="L1031"/>
      <c r="M1031"/>
      <c r="N1031"/>
      <c r="U1031"/>
      <c r="V1031"/>
      <c r="W1031"/>
      <c r="X1031"/>
    </row>
    <row r="1032" spans="11:24">
      <c r="K1032"/>
      <c r="L1032"/>
      <c r="M1032"/>
      <c r="N1032"/>
      <c r="U1032"/>
      <c r="V1032"/>
      <c r="W1032"/>
      <c r="X1032"/>
    </row>
    <row r="1033" spans="11:24">
      <c r="K1033"/>
      <c r="L1033"/>
      <c r="M1033"/>
      <c r="N1033"/>
      <c r="U1033"/>
      <c r="V1033"/>
      <c r="W1033"/>
      <c r="X1033"/>
    </row>
    <row r="1034" spans="11:24">
      <c r="K1034"/>
      <c r="L1034"/>
      <c r="M1034"/>
      <c r="N1034"/>
      <c r="U1034"/>
      <c r="V1034"/>
      <c r="W1034"/>
      <c r="X1034"/>
    </row>
    <row r="1035" spans="11:24">
      <c r="K1035"/>
      <c r="L1035"/>
      <c r="M1035"/>
      <c r="N1035"/>
      <c r="U1035"/>
      <c r="V1035"/>
      <c r="W1035"/>
      <c r="X1035"/>
    </row>
    <row r="1036" spans="11:24">
      <c r="K1036"/>
      <c r="L1036"/>
      <c r="M1036"/>
      <c r="N1036"/>
      <c r="U1036"/>
      <c r="V1036"/>
      <c r="W1036"/>
      <c r="X1036"/>
    </row>
    <row r="1037" spans="11:24">
      <c r="K1037"/>
      <c r="L1037"/>
      <c r="M1037"/>
      <c r="N1037"/>
      <c r="U1037"/>
      <c r="V1037"/>
      <c r="W1037"/>
      <c r="X1037"/>
    </row>
    <row r="1038" spans="11:24">
      <c r="K1038"/>
      <c r="L1038"/>
      <c r="M1038"/>
      <c r="N1038"/>
      <c r="U1038"/>
      <c r="V1038"/>
      <c r="W1038"/>
      <c r="X1038"/>
    </row>
    <row r="1039" spans="11:24">
      <c r="K1039"/>
      <c r="L1039"/>
      <c r="M1039"/>
      <c r="N1039"/>
      <c r="U1039"/>
      <c r="V1039"/>
      <c r="W1039"/>
      <c r="X1039"/>
    </row>
    <row r="1040" spans="11:24">
      <c r="K1040"/>
      <c r="L1040"/>
      <c r="M1040"/>
      <c r="N1040"/>
      <c r="U1040"/>
      <c r="V1040"/>
      <c r="W1040"/>
      <c r="X1040"/>
    </row>
    <row r="1041" spans="11:24">
      <c r="K1041"/>
      <c r="L1041"/>
      <c r="M1041"/>
      <c r="N1041"/>
      <c r="U1041"/>
      <c r="V1041"/>
      <c r="W1041"/>
      <c r="X1041"/>
    </row>
    <row r="1042" spans="11:24">
      <c r="K1042"/>
      <c r="L1042"/>
      <c r="M1042"/>
      <c r="N1042"/>
      <c r="U1042"/>
      <c r="V1042"/>
      <c r="W1042"/>
      <c r="X1042"/>
    </row>
    <row r="1043" spans="11:24">
      <c r="K1043"/>
      <c r="L1043"/>
      <c r="M1043"/>
      <c r="N1043"/>
      <c r="U1043"/>
      <c r="V1043"/>
      <c r="W1043"/>
      <c r="X1043"/>
    </row>
    <row r="1044" spans="11:24">
      <c r="K1044"/>
      <c r="L1044"/>
      <c r="M1044"/>
      <c r="N1044"/>
      <c r="U1044"/>
      <c r="V1044"/>
      <c r="W1044"/>
      <c r="X1044"/>
    </row>
    <row r="1045" spans="11:24">
      <c r="K1045"/>
      <c r="L1045"/>
      <c r="M1045"/>
      <c r="N1045"/>
      <c r="U1045"/>
      <c r="V1045"/>
      <c r="W1045"/>
      <c r="X1045"/>
    </row>
    <row r="1046" spans="11:24">
      <c r="K1046"/>
      <c r="L1046"/>
      <c r="M1046"/>
      <c r="N1046"/>
      <c r="U1046"/>
      <c r="V1046"/>
      <c r="W1046"/>
      <c r="X1046"/>
    </row>
    <row r="1047" spans="11:24">
      <c r="K1047"/>
      <c r="L1047"/>
      <c r="M1047"/>
      <c r="N1047"/>
      <c r="U1047"/>
      <c r="V1047"/>
      <c r="W1047"/>
      <c r="X1047"/>
    </row>
    <row r="1048" spans="11:24">
      <c r="K1048"/>
      <c r="L1048"/>
      <c r="M1048"/>
      <c r="N1048"/>
      <c r="U1048"/>
      <c r="V1048"/>
      <c r="W1048"/>
      <c r="X1048"/>
    </row>
    <row r="1049" spans="11:24">
      <c r="K1049"/>
      <c r="L1049"/>
      <c r="M1049"/>
      <c r="N1049"/>
      <c r="U1049"/>
      <c r="V1049"/>
      <c r="W1049"/>
      <c r="X1049"/>
    </row>
    <row r="1050" spans="11:24">
      <c r="K1050"/>
      <c r="L1050"/>
      <c r="M1050"/>
      <c r="N1050"/>
      <c r="U1050"/>
      <c r="V1050"/>
      <c r="W1050"/>
      <c r="X1050"/>
    </row>
    <row r="1051" spans="11:24">
      <c r="K1051"/>
      <c r="L1051"/>
      <c r="M1051"/>
      <c r="N1051"/>
      <c r="U1051"/>
      <c r="V1051"/>
      <c r="W1051"/>
      <c r="X1051"/>
    </row>
    <row r="1052" spans="11:24">
      <c r="K1052"/>
      <c r="L1052"/>
      <c r="M1052"/>
      <c r="N1052"/>
      <c r="U1052"/>
      <c r="V1052"/>
      <c r="W1052"/>
      <c r="X1052"/>
    </row>
    <row r="1053" spans="11:24">
      <c r="K1053"/>
      <c r="L1053"/>
      <c r="M1053"/>
      <c r="N1053"/>
      <c r="U1053"/>
      <c r="V1053"/>
      <c r="W1053"/>
      <c r="X1053"/>
    </row>
    <row r="1054" spans="11:24">
      <c r="K1054"/>
      <c r="L1054"/>
      <c r="M1054"/>
      <c r="N1054"/>
      <c r="U1054"/>
      <c r="V1054"/>
      <c r="W1054"/>
      <c r="X1054"/>
    </row>
    <row r="1055" spans="11:24">
      <c r="K1055"/>
      <c r="L1055"/>
      <c r="M1055"/>
      <c r="N1055"/>
      <c r="U1055"/>
      <c r="V1055"/>
      <c r="W1055"/>
      <c r="X1055"/>
    </row>
    <row r="1056" spans="11:24">
      <c r="K1056"/>
      <c r="L1056"/>
      <c r="M1056"/>
      <c r="N1056"/>
      <c r="U1056"/>
      <c r="V1056"/>
      <c r="W1056"/>
      <c r="X1056"/>
    </row>
    <row r="1057" spans="11:24">
      <c r="K1057"/>
      <c r="L1057"/>
      <c r="M1057"/>
      <c r="N1057"/>
      <c r="U1057"/>
      <c r="V1057"/>
      <c r="W1057"/>
      <c r="X1057"/>
    </row>
    <row r="1058" spans="11:24">
      <c r="K1058"/>
      <c r="L1058"/>
      <c r="M1058"/>
      <c r="N1058"/>
      <c r="U1058"/>
      <c r="V1058"/>
      <c r="W1058"/>
      <c r="X1058"/>
    </row>
    <row r="1059" spans="11:24">
      <c r="K1059"/>
      <c r="L1059"/>
      <c r="M1059"/>
      <c r="N1059"/>
      <c r="U1059"/>
      <c r="V1059"/>
      <c r="W1059"/>
      <c r="X1059"/>
    </row>
    <row r="1060" spans="11:24">
      <c r="K1060"/>
      <c r="L1060"/>
      <c r="M1060"/>
      <c r="N1060"/>
      <c r="U1060"/>
      <c r="V1060"/>
      <c r="W1060"/>
      <c r="X1060"/>
    </row>
    <row r="1061" spans="11:24">
      <c r="K1061"/>
      <c r="L1061"/>
      <c r="M1061"/>
      <c r="N1061"/>
      <c r="U1061"/>
      <c r="V1061"/>
      <c r="W1061"/>
      <c r="X1061"/>
    </row>
    <row r="1062" spans="11:24">
      <c r="K1062"/>
      <c r="L1062"/>
      <c r="M1062"/>
      <c r="N1062"/>
      <c r="U1062"/>
      <c r="V1062"/>
      <c r="W1062"/>
      <c r="X1062"/>
    </row>
    <row r="1063" spans="11:24">
      <c r="K1063"/>
      <c r="L1063"/>
      <c r="M1063"/>
      <c r="N1063"/>
      <c r="U1063"/>
      <c r="V1063"/>
      <c r="W1063"/>
      <c r="X1063"/>
    </row>
    <row r="1064" spans="11:24">
      <c r="K1064"/>
      <c r="L1064"/>
      <c r="M1064"/>
      <c r="N1064"/>
      <c r="U1064"/>
      <c r="V1064"/>
      <c r="W1064"/>
      <c r="X1064"/>
    </row>
    <row r="1065" spans="11:24">
      <c r="K1065"/>
      <c r="L1065"/>
      <c r="M1065"/>
      <c r="N1065"/>
      <c r="U1065"/>
      <c r="V1065"/>
      <c r="W1065"/>
      <c r="X1065"/>
    </row>
    <row r="1066" spans="11:24">
      <c r="K1066"/>
      <c r="L1066"/>
      <c r="M1066"/>
      <c r="N1066"/>
      <c r="U1066"/>
      <c r="V1066"/>
      <c r="W1066"/>
      <c r="X1066"/>
    </row>
    <row r="1067" spans="11:24">
      <c r="K1067"/>
      <c r="L1067"/>
      <c r="M1067"/>
      <c r="N1067"/>
      <c r="U1067"/>
      <c r="V1067"/>
      <c r="W1067"/>
      <c r="X1067"/>
    </row>
    <row r="1068" spans="11:24">
      <c r="K1068"/>
      <c r="L1068"/>
      <c r="M1068"/>
      <c r="N1068"/>
      <c r="U1068"/>
      <c r="V1068"/>
      <c r="W1068"/>
      <c r="X1068"/>
    </row>
    <row r="1069" spans="11:24">
      <c r="K1069"/>
      <c r="L1069"/>
      <c r="M1069"/>
      <c r="N1069"/>
      <c r="U1069"/>
      <c r="V1069"/>
      <c r="W1069"/>
      <c r="X1069"/>
    </row>
    <row r="1070" spans="11:24">
      <c r="K1070"/>
      <c r="L1070"/>
      <c r="M1070"/>
      <c r="N1070"/>
      <c r="U1070"/>
      <c r="V1070"/>
      <c r="W1070"/>
      <c r="X1070"/>
    </row>
    <row r="1071" spans="11:24">
      <c r="K1071"/>
      <c r="L1071"/>
      <c r="M1071"/>
      <c r="N1071"/>
      <c r="U1071"/>
      <c r="V1071"/>
      <c r="W1071"/>
      <c r="X1071"/>
    </row>
    <row r="1072" spans="11:24">
      <c r="K1072"/>
      <c r="L1072"/>
      <c r="M1072"/>
      <c r="N1072"/>
      <c r="U1072"/>
      <c r="V1072"/>
      <c r="W1072"/>
      <c r="X1072"/>
    </row>
    <row r="1073" spans="11:24">
      <c r="K1073"/>
      <c r="L1073"/>
      <c r="M1073"/>
      <c r="N1073"/>
      <c r="U1073"/>
      <c r="V1073"/>
      <c r="W1073"/>
      <c r="X1073"/>
    </row>
    <row r="1074" spans="11:24">
      <c r="K1074"/>
      <c r="L1074"/>
      <c r="M1074"/>
      <c r="N1074"/>
      <c r="U1074"/>
      <c r="V1074"/>
      <c r="W1074"/>
      <c r="X1074"/>
    </row>
    <row r="1075" spans="11:24">
      <c r="K1075"/>
      <c r="L1075"/>
      <c r="M1075"/>
      <c r="N1075"/>
      <c r="U1075"/>
      <c r="V1075"/>
      <c r="W1075"/>
      <c r="X1075"/>
    </row>
    <row r="1076" spans="11:24">
      <c r="K1076"/>
      <c r="L1076"/>
      <c r="M1076"/>
      <c r="N1076"/>
      <c r="U1076"/>
      <c r="V1076"/>
      <c r="W1076"/>
      <c r="X1076"/>
    </row>
    <row r="1077" spans="11:24">
      <c r="K1077"/>
      <c r="L1077"/>
      <c r="M1077"/>
      <c r="N1077"/>
      <c r="U1077"/>
      <c r="V1077"/>
      <c r="W1077"/>
      <c r="X1077"/>
    </row>
    <row r="1078" spans="11:24">
      <c r="K1078"/>
      <c r="L1078"/>
      <c r="M1078"/>
      <c r="N1078"/>
      <c r="U1078"/>
      <c r="V1078"/>
      <c r="W1078"/>
      <c r="X1078"/>
    </row>
    <row r="1079" spans="11:24">
      <c r="K1079"/>
      <c r="L1079"/>
      <c r="M1079"/>
      <c r="N1079"/>
      <c r="U1079"/>
      <c r="V1079"/>
      <c r="W1079"/>
      <c r="X1079"/>
    </row>
    <row r="1080" spans="11:24">
      <c r="K1080"/>
      <c r="L1080"/>
      <c r="M1080"/>
      <c r="N1080"/>
      <c r="U1080"/>
      <c r="V1080"/>
      <c r="W1080"/>
      <c r="X1080"/>
    </row>
    <row r="1081" spans="11:24">
      <c r="K1081"/>
      <c r="L1081"/>
      <c r="M1081"/>
      <c r="N1081"/>
      <c r="U1081"/>
      <c r="V1081"/>
      <c r="W1081"/>
      <c r="X1081"/>
    </row>
    <row r="1082" spans="11:24">
      <c r="K1082"/>
      <c r="L1082"/>
      <c r="M1082"/>
      <c r="N1082"/>
      <c r="U1082"/>
      <c r="V1082"/>
      <c r="W1082"/>
      <c r="X1082"/>
    </row>
    <row r="1083" spans="11:24">
      <c r="K1083"/>
      <c r="L1083"/>
      <c r="M1083"/>
      <c r="N1083"/>
      <c r="U1083"/>
      <c r="V1083"/>
      <c r="W1083"/>
      <c r="X1083"/>
    </row>
    <row r="1084" spans="11:24">
      <c r="K1084"/>
      <c r="L1084"/>
      <c r="M1084"/>
      <c r="N1084"/>
      <c r="U1084"/>
      <c r="V1084"/>
      <c r="W1084"/>
      <c r="X1084"/>
    </row>
    <row r="1085" spans="11:24">
      <c r="K1085"/>
      <c r="L1085"/>
      <c r="M1085"/>
      <c r="N1085"/>
      <c r="U1085"/>
      <c r="V1085"/>
      <c r="W1085"/>
      <c r="X1085"/>
    </row>
    <row r="1086" spans="11:24">
      <c r="K1086"/>
      <c r="L1086"/>
      <c r="M1086"/>
      <c r="N1086"/>
      <c r="U1086"/>
      <c r="V1086"/>
      <c r="W1086"/>
      <c r="X1086"/>
    </row>
    <row r="1087" spans="11:24">
      <c r="K1087"/>
      <c r="L1087"/>
      <c r="M1087"/>
      <c r="N1087"/>
      <c r="U1087"/>
      <c r="V1087"/>
      <c r="W1087"/>
      <c r="X1087"/>
    </row>
    <row r="1088" spans="11:24">
      <c r="K1088"/>
      <c r="L1088"/>
      <c r="M1088"/>
      <c r="N1088"/>
      <c r="U1088"/>
      <c r="V1088"/>
      <c r="W1088"/>
      <c r="X1088"/>
    </row>
    <row r="1089" spans="11:24">
      <c r="K1089"/>
      <c r="L1089"/>
      <c r="M1089"/>
      <c r="N1089"/>
      <c r="U1089"/>
      <c r="V1089"/>
      <c r="W1089"/>
      <c r="X1089"/>
    </row>
    <row r="1090" spans="11:24">
      <c r="K1090"/>
      <c r="L1090"/>
      <c r="M1090"/>
      <c r="N1090"/>
      <c r="U1090"/>
      <c r="V1090"/>
      <c r="W1090"/>
      <c r="X1090"/>
    </row>
    <row r="1091" spans="11:24">
      <c r="K1091"/>
      <c r="L1091"/>
      <c r="M1091"/>
      <c r="N1091"/>
      <c r="U1091"/>
      <c r="V1091"/>
      <c r="W1091"/>
      <c r="X1091"/>
    </row>
    <row r="1092" spans="11:24">
      <c r="K1092"/>
      <c r="L1092"/>
      <c r="M1092"/>
      <c r="N1092"/>
      <c r="U1092"/>
      <c r="V1092"/>
      <c r="W1092"/>
      <c r="X1092"/>
    </row>
    <row r="1093" spans="11:24">
      <c r="K1093"/>
      <c r="L1093"/>
      <c r="M1093"/>
      <c r="N1093"/>
      <c r="U1093"/>
      <c r="V1093"/>
      <c r="W1093"/>
      <c r="X1093"/>
    </row>
    <row r="1094" spans="11:24">
      <c r="K1094"/>
      <c r="L1094"/>
      <c r="M1094"/>
      <c r="N1094"/>
      <c r="U1094"/>
      <c r="V1094"/>
      <c r="W1094"/>
      <c r="X1094"/>
    </row>
    <row r="1095" spans="11:24">
      <c r="K1095"/>
      <c r="L1095"/>
      <c r="M1095"/>
      <c r="N1095"/>
      <c r="U1095"/>
      <c r="V1095"/>
      <c r="W1095"/>
      <c r="X1095"/>
    </row>
    <row r="1096" spans="11:24">
      <c r="K1096"/>
      <c r="L1096"/>
      <c r="M1096"/>
      <c r="N1096"/>
      <c r="U1096"/>
      <c r="V1096"/>
      <c r="W1096"/>
      <c r="X1096"/>
    </row>
    <row r="1097" spans="11:24">
      <c r="K1097"/>
      <c r="L1097"/>
      <c r="M1097"/>
      <c r="N1097"/>
      <c r="U1097"/>
      <c r="V1097"/>
      <c r="W1097"/>
      <c r="X1097"/>
    </row>
    <row r="1098" spans="11:24">
      <c r="K1098"/>
      <c r="L1098"/>
      <c r="M1098"/>
      <c r="N1098"/>
      <c r="U1098"/>
      <c r="V1098"/>
      <c r="W1098"/>
      <c r="X1098"/>
    </row>
    <row r="1099" spans="11:24">
      <c r="K1099"/>
      <c r="L1099"/>
      <c r="M1099"/>
      <c r="N1099"/>
      <c r="U1099"/>
      <c r="V1099"/>
      <c r="W1099"/>
      <c r="X1099"/>
    </row>
    <row r="1100" spans="11:24">
      <c r="K1100"/>
      <c r="L1100"/>
      <c r="M1100"/>
      <c r="N1100"/>
      <c r="U1100"/>
      <c r="V1100"/>
      <c r="W1100"/>
      <c r="X1100"/>
    </row>
    <row r="1101" spans="11:24">
      <c r="K1101"/>
      <c r="L1101"/>
      <c r="M1101"/>
      <c r="N1101"/>
      <c r="U1101"/>
      <c r="V1101"/>
      <c r="W1101"/>
      <c r="X1101"/>
    </row>
    <row r="1102" spans="11:24">
      <c r="K1102"/>
      <c r="L1102"/>
      <c r="M1102"/>
      <c r="N1102"/>
      <c r="U1102"/>
      <c r="V1102"/>
      <c r="W1102"/>
      <c r="X1102"/>
    </row>
    <row r="1103" spans="11:24">
      <c r="K1103"/>
      <c r="L1103"/>
      <c r="M1103"/>
      <c r="N1103"/>
      <c r="U1103"/>
      <c r="V1103"/>
      <c r="W1103"/>
      <c r="X1103"/>
    </row>
    <row r="1104" spans="11:24">
      <c r="K1104"/>
      <c r="L1104"/>
      <c r="M1104"/>
      <c r="N1104"/>
      <c r="U1104"/>
      <c r="V1104"/>
      <c r="W1104"/>
      <c r="X1104"/>
    </row>
    <row r="1105" spans="11:24">
      <c r="K1105"/>
      <c r="L1105"/>
      <c r="M1105"/>
      <c r="N1105"/>
      <c r="U1105"/>
      <c r="V1105"/>
      <c r="W1105"/>
      <c r="X1105"/>
    </row>
    <row r="1106" spans="11:24">
      <c r="K1106"/>
      <c r="L1106"/>
      <c r="M1106"/>
      <c r="N1106"/>
      <c r="U1106"/>
      <c r="V1106"/>
      <c r="W1106"/>
      <c r="X1106"/>
    </row>
    <row r="1107" spans="11:24">
      <c r="K1107"/>
      <c r="L1107"/>
      <c r="M1107"/>
      <c r="N1107"/>
      <c r="U1107"/>
      <c r="V1107"/>
      <c r="W1107"/>
      <c r="X1107"/>
    </row>
    <row r="1108" spans="11:24">
      <c r="K1108"/>
      <c r="L1108"/>
      <c r="M1108"/>
      <c r="N1108"/>
      <c r="U1108"/>
      <c r="V1108"/>
      <c r="W1108"/>
      <c r="X1108"/>
    </row>
    <row r="1109" spans="11:24">
      <c r="K1109"/>
      <c r="L1109"/>
      <c r="M1109"/>
      <c r="N1109"/>
      <c r="U1109"/>
      <c r="V1109"/>
      <c r="W1109"/>
      <c r="X1109"/>
    </row>
    <row r="1110" spans="11:24">
      <c r="K1110"/>
      <c r="L1110"/>
      <c r="M1110"/>
      <c r="N1110"/>
      <c r="U1110"/>
      <c r="V1110"/>
      <c r="W1110"/>
      <c r="X1110"/>
    </row>
    <row r="1111" spans="11:24">
      <c r="K1111"/>
      <c r="L1111"/>
      <c r="M1111"/>
      <c r="N1111"/>
      <c r="U1111"/>
      <c r="V1111"/>
      <c r="W1111"/>
      <c r="X1111"/>
    </row>
    <row r="1112" spans="11:24">
      <c r="K1112"/>
      <c r="L1112"/>
      <c r="M1112"/>
      <c r="N1112"/>
      <c r="U1112"/>
      <c r="V1112"/>
      <c r="W1112"/>
      <c r="X1112"/>
    </row>
    <row r="1113" spans="11:24">
      <c r="K1113"/>
      <c r="L1113"/>
      <c r="M1113"/>
      <c r="N1113"/>
      <c r="U1113"/>
      <c r="V1113"/>
      <c r="W1113"/>
      <c r="X1113"/>
    </row>
    <row r="1114" spans="11:24">
      <c r="K1114"/>
      <c r="L1114"/>
      <c r="M1114"/>
      <c r="N1114"/>
      <c r="U1114"/>
      <c r="V1114"/>
      <c r="W1114"/>
      <c r="X1114"/>
    </row>
    <row r="1115" spans="11:24">
      <c r="K1115"/>
      <c r="L1115"/>
      <c r="M1115"/>
      <c r="N1115"/>
      <c r="U1115"/>
      <c r="V1115"/>
      <c r="W1115"/>
      <c r="X1115"/>
    </row>
    <row r="1116" spans="11:24">
      <c r="K1116"/>
      <c r="L1116"/>
      <c r="M1116"/>
      <c r="N1116"/>
      <c r="U1116"/>
      <c r="V1116"/>
      <c r="W1116"/>
      <c r="X1116"/>
    </row>
    <row r="1117" spans="11:24">
      <c r="K1117"/>
      <c r="L1117"/>
      <c r="M1117"/>
      <c r="N1117"/>
      <c r="U1117"/>
      <c r="V1117"/>
      <c r="W1117"/>
      <c r="X1117"/>
    </row>
    <row r="1118" spans="11:24">
      <c r="K1118"/>
      <c r="L1118"/>
      <c r="M1118"/>
      <c r="N1118"/>
      <c r="U1118"/>
      <c r="V1118"/>
      <c r="W1118"/>
      <c r="X1118"/>
    </row>
    <row r="1119" spans="11:24">
      <c r="K1119"/>
      <c r="L1119"/>
      <c r="M1119"/>
      <c r="N1119"/>
      <c r="U1119"/>
      <c r="V1119"/>
      <c r="W1119"/>
      <c r="X1119"/>
    </row>
    <row r="1120" spans="11:24">
      <c r="K1120"/>
      <c r="L1120"/>
      <c r="M1120"/>
      <c r="N1120"/>
      <c r="U1120"/>
      <c r="V1120"/>
      <c r="W1120"/>
      <c r="X1120"/>
    </row>
    <row r="1121" spans="11:24">
      <c r="K1121"/>
      <c r="L1121"/>
      <c r="M1121"/>
      <c r="N1121"/>
      <c r="U1121"/>
      <c r="V1121"/>
      <c r="W1121"/>
      <c r="X1121"/>
    </row>
    <row r="1122" spans="11:24">
      <c r="K1122"/>
      <c r="L1122"/>
      <c r="M1122"/>
      <c r="N1122"/>
      <c r="U1122"/>
      <c r="V1122"/>
      <c r="W1122"/>
      <c r="X1122"/>
    </row>
    <row r="1123" spans="11:24">
      <c r="K1123"/>
      <c r="L1123"/>
      <c r="M1123"/>
      <c r="N1123"/>
      <c r="U1123"/>
      <c r="V1123"/>
      <c r="W1123"/>
      <c r="X1123"/>
    </row>
    <row r="1124" spans="11:24">
      <c r="K1124"/>
      <c r="L1124"/>
      <c r="M1124"/>
      <c r="N1124"/>
      <c r="U1124"/>
      <c r="V1124"/>
      <c r="W1124"/>
      <c r="X1124"/>
    </row>
    <row r="1125" spans="11:24">
      <c r="K1125"/>
      <c r="L1125"/>
      <c r="M1125"/>
      <c r="N1125"/>
      <c r="U1125"/>
      <c r="V1125"/>
      <c r="W1125"/>
      <c r="X1125"/>
    </row>
    <row r="1126" spans="11:24">
      <c r="K1126"/>
      <c r="L1126"/>
      <c r="M1126"/>
      <c r="N1126"/>
      <c r="U1126"/>
      <c r="V1126"/>
      <c r="W1126"/>
      <c r="X1126"/>
    </row>
    <row r="1127" spans="11:24">
      <c r="K1127"/>
      <c r="L1127"/>
      <c r="M1127"/>
      <c r="N1127"/>
      <c r="U1127"/>
      <c r="V1127"/>
      <c r="W1127"/>
      <c r="X1127"/>
    </row>
    <row r="1128" spans="11:24">
      <c r="K1128"/>
      <c r="L1128"/>
      <c r="M1128"/>
      <c r="N1128"/>
      <c r="U1128"/>
      <c r="V1128"/>
      <c r="W1128"/>
      <c r="X1128"/>
    </row>
    <row r="1129" spans="11:24">
      <c r="K1129"/>
      <c r="L1129"/>
      <c r="M1129"/>
      <c r="N1129"/>
      <c r="U1129"/>
      <c r="V1129"/>
      <c r="W1129"/>
      <c r="X1129"/>
    </row>
    <row r="1130" spans="11:24">
      <c r="K1130"/>
      <c r="L1130"/>
      <c r="M1130"/>
      <c r="N1130"/>
      <c r="U1130"/>
      <c r="V1130"/>
      <c r="W1130"/>
      <c r="X1130"/>
    </row>
    <row r="1131" spans="11:24">
      <c r="K1131"/>
      <c r="L1131"/>
      <c r="M1131"/>
      <c r="N1131"/>
      <c r="U1131"/>
      <c r="V1131"/>
      <c r="W1131"/>
      <c r="X1131"/>
    </row>
    <row r="1132" spans="11:24">
      <c r="K1132"/>
      <c r="L1132"/>
      <c r="M1132"/>
      <c r="N1132"/>
      <c r="U1132"/>
      <c r="V1132"/>
      <c r="W1132"/>
      <c r="X1132"/>
    </row>
    <row r="1133" spans="11:24">
      <c r="K1133"/>
      <c r="L1133"/>
      <c r="M1133"/>
      <c r="N1133"/>
      <c r="U1133"/>
      <c r="V1133"/>
      <c r="W1133"/>
      <c r="X1133"/>
    </row>
    <row r="1134" spans="11:24">
      <c r="K1134"/>
      <c r="L1134"/>
      <c r="M1134"/>
      <c r="N1134"/>
      <c r="U1134"/>
      <c r="V1134"/>
      <c r="W1134"/>
      <c r="X1134"/>
    </row>
    <row r="1135" spans="11:24">
      <c r="K1135"/>
      <c r="L1135"/>
      <c r="M1135"/>
      <c r="N1135"/>
      <c r="U1135"/>
      <c r="V1135"/>
      <c r="W1135"/>
      <c r="X1135"/>
    </row>
    <row r="1136" spans="11:24">
      <c r="K1136"/>
      <c r="L1136"/>
      <c r="M1136"/>
      <c r="N1136"/>
      <c r="U1136"/>
      <c r="V1136"/>
      <c r="W1136"/>
      <c r="X1136"/>
    </row>
    <row r="1137" spans="11:24">
      <c r="K1137"/>
      <c r="L1137"/>
      <c r="M1137"/>
      <c r="N1137"/>
      <c r="U1137"/>
      <c r="V1137"/>
      <c r="W1137"/>
      <c r="X1137"/>
    </row>
    <row r="1138" spans="11:24">
      <c r="K1138"/>
      <c r="L1138"/>
      <c r="M1138"/>
      <c r="N1138"/>
      <c r="U1138"/>
      <c r="V1138"/>
      <c r="W1138"/>
      <c r="X1138"/>
    </row>
    <row r="1139" spans="11:24">
      <c r="K1139"/>
      <c r="L1139"/>
      <c r="M1139"/>
      <c r="N1139"/>
      <c r="U1139"/>
      <c r="V1139"/>
      <c r="W1139"/>
      <c r="X1139"/>
    </row>
    <row r="1140" spans="11:24">
      <c r="K1140"/>
      <c r="L1140"/>
      <c r="M1140"/>
      <c r="N1140"/>
      <c r="U1140"/>
      <c r="V1140"/>
      <c r="W1140"/>
      <c r="X1140"/>
    </row>
    <row r="1141" spans="11:24">
      <c r="K1141"/>
      <c r="L1141"/>
      <c r="M1141"/>
      <c r="N1141"/>
      <c r="U1141"/>
      <c r="V1141"/>
      <c r="W1141"/>
      <c r="X1141"/>
    </row>
    <row r="1142" spans="11:24">
      <c r="K1142"/>
      <c r="L1142"/>
      <c r="M1142"/>
      <c r="N1142"/>
      <c r="U1142"/>
      <c r="V1142"/>
      <c r="W1142"/>
      <c r="X1142"/>
    </row>
    <row r="1143" spans="11:24">
      <c r="K1143"/>
      <c r="L1143"/>
      <c r="M1143"/>
      <c r="N1143"/>
      <c r="U1143"/>
      <c r="V1143"/>
      <c r="W1143"/>
      <c r="X1143"/>
    </row>
    <row r="1144" spans="11:24">
      <c r="K1144"/>
      <c r="L1144"/>
      <c r="M1144"/>
      <c r="N1144"/>
      <c r="U1144"/>
      <c r="V1144"/>
      <c r="W1144"/>
      <c r="X1144"/>
    </row>
    <row r="1145" spans="11:24">
      <c r="K1145"/>
      <c r="L1145"/>
      <c r="M1145"/>
      <c r="N1145"/>
      <c r="U1145"/>
      <c r="V1145"/>
      <c r="W1145"/>
      <c r="X1145"/>
    </row>
    <row r="1146" spans="11:24">
      <c r="K1146"/>
      <c r="L1146"/>
      <c r="M1146"/>
      <c r="N1146"/>
      <c r="U1146"/>
      <c r="V1146"/>
      <c r="W1146"/>
      <c r="X1146"/>
    </row>
    <row r="1147" spans="11:24">
      <c r="K1147"/>
      <c r="L1147"/>
      <c r="M1147"/>
      <c r="N1147"/>
      <c r="U1147"/>
      <c r="V1147"/>
      <c r="W1147"/>
      <c r="X1147"/>
    </row>
    <row r="1148" spans="11:24">
      <c r="K1148"/>
      <c r="L1148"/>
      <c r="M1148"/>
      <c r="N1148"/>
      <c r="U1148"/>
      <c r="V1148"/>
      <c r="W1148"/>
      <c r="X1148"/>
    </row>
    <row r="1149" spans="11:24">
      <c r="K1149"/>
      <c r="L1149"/>
      <c r="M1149"/>
      <c r="N1149"/>
      <c r="U1149"/>
      <c r="V1149"/>
      <c r="W1149"/>
      <c r="X1149"/>
    </row>
    <row r="1150" spans="11:24">
      <c r="K1150"/>
      <c r="L1150"/>
      <c r="M1150"/>
      <c r="N1150"/>
      <c r="U1150"/>
      <c r="V1150"/>
      <c r="W1150"/>
      <c r="X1150"/>
    </row>
    <row r="1151" spans="11:24">
      <c r="K1151"/>
      <c r="L1151"/>
      <c r="M1151"/>
      <c r="N1151"/>
      <c r="U1151"/>
      <c r="V1151"/>
      <c r="W1151"/>
      <c r="X1151"/>
    </row>
    <row r="1152" spans="11:24">
      <c r="K1152"/>
      <c r="L1152"/>
      <c r="M1152"/>
      <c r="N1152"/>
      <c r="U1152"/>
      <c r="V1152"/>
      <c r="W1152"/>
      <c r="X1152"/>
    </row>
    <row r="1153" spans="11:24">
      <c r="K1153"/>
      <c r="L1153"/>
      <c r="M1153"/>
      <c r="N1153"/>
      <c r="U1153"/>
      <c r="V1153"/>
      <c r="W1153"/>
      <c r="X1153"/>
    </row>
    <row r="1154" spans="11:24">
      <c r="K1154"/>
      <c r="L1154"/>
      <c r="M1154"/>
      <c r="N1154"/>
      <c r="U1154"/>
      <c r="V1154"/>
      <c r="W1154"/>
      <c r="X1154"/>
    </row>
    <row r="1155" spans="11:24">
      <c r="K1155"/>
      <c r="L1155"/>
      <c r="M1155"/>
      <c r="N1155"/>
      <c r="U1155"/>
      <c r="V1155"/>
      <c r="W1155"/>
      <c r="X1155"/>
    </row>
    <row r="1156" spans="11:24">
      <c r="K1156"/>
      <c r="L1156"/>
      <c r="M1156"/>
      <c r="N1156"/>
      <c r="U1156"/>
      <c r="V1156"/>
      <c r="W1156"/>
      <c r="X1156"/>
    </row>
    <row r="1157" spans="11:24">
      <c r="K1157"/>
      <c r="L1157"/>
      <c r="M1157"/>
      <c r="N1157"/>
      <c r="U1157"/>
      <c r="V1157"/>
      <c r="W1157"/>
      <c r="X1157"/>
    </row>
    <row r="1158" spans="11:24">
      <c r="K1158"/>
      <c r="L1158"/>
      <c r="M1158"/>
      <c r="N1158"/>
      <c r="U1158"/>
      <c r="V1158"/>
      <c r="W1158"/>
      <c r="X1158"/>
    </row>
    <row r="1159" spans="11:24">
      <c r="K1159"/>
      <c r="L1159"/>
      <c r="M1159"/>
      <c r="N1159"/>
      <c r="U1159"/>
      <c r="V1159"/>
      <c r="W1159"/>
      <c r="X1159"/>
    </row>
    <row r="1160" spans="11:24">
      <c r="K1160"/>
      <c r="L1160"/>
      <c r="M1160"/>
      <c r="N1160"/>
      <c r="U1160"/>
      <c r="V1160"/>
      <c r="W1160"/>
      <c r="X1160"/>
    </row>
    <row r="1161" spans="11:24">
      <c r="K1161"/>
      <c r="L1161"/>
      <c r="M1161"/>
      <c r="N1161"/>
      <c r="U1161"/>
      <c r="V1161"/>
      <c r="W1161"/>
      <c r="X1161"/>
    </row>
    <row r="1162" spans="11:24">
      <c r="K1162"/>
      <c r="L1162"/>
      <c r="M1162"/>
      <c r="N1162"/>
      <c r="U1162"/>
      <c r="V1162"/>
      <c r="W1162"/>
      <c r="X1162"/>
    </row>
    <row r="1163" spans="11:24">
      <c r="K1163"/>
      <c r="L1163"/>
      <c r="M1163"/>
      <c r="N1163"/>
      <c r="U1163"/>
      <c r="V1163"/>
      <c r="W1163"/>
      <c r="X1163"/>
    </row>
    <row r="1164" spans="11:24">
      <c r="K1164"/>
      <c r="L1164"/>
      <c r="M1164"/>
      <c r="N1164"/>
      <c r="U1164"/>
      <c r="V1164"/>
      <c r="W1164"/>
      <c r="X1164"/>
    </row>
    <row r="1165" spans="11:24">
      <c r="K1165"/>
      <c r="L1165"/>
      <c r="M1165"/>
      <c r="N1165"/>
      <c r="U1165"/>
      <c r="V1165"/>
      <c r="W1165"/>
      <c r="X1165"/>
    </row>
    <row r="1166" spans="11:24">
      <c r="K1166"/>
      <c r="L1166"/>
      <c r="M1166"/>
      <c r="N1166"/>
      <c r="U1166"/>
      <c r="V1166"/>
      <c r="W1166"/>
      <c r="X1166"/>
    </row>
    <row r="1167" spans="11:24">
      <c r="K1167"/>
      <c r="L1167"/>
      <c r="M1167"/>
      <c r="N1167"/>
      <c r="U1167"/>
      <c r="V1167"/>
      <c r="W1167"/>
      <c r="X1167"/>
    </row>
    <row r="1168" spans="11:24">
      <c r="K1168"/>
      <c r="L1168"/>
      <c r="M1168"/>
      <c r="N1168"/>
      <c r="U1168"/>
      <c r="V1168"/>
      <c r="W1168"/>
      <c r="X1168"/>
    </row>
    <row r="1169" spans="11:24">
      <c r="K1169"/>
      <c r="L1169"/>
      <c r="M1169"/>
      <c r="N1169"/>
      <c r="U1169"/>
      <c r="V1169"/>
      <c r="W1169"/>
      <c r="X1169"/>
    </row>
    <row r="1170" spans="11:24">
      <c r="K1170"/>
      <c r="L1170"/>
      <c r="M1170"/>
      <c r="N1170"/>
      <c r="U1170"/>
      <c r="V1170"/>
      <c r="W1170"/>
      <c r="X1170"/>
    </row>
    <row r="1171" spans="11:24">
      <c r="K1171"/>
      <c r="L1171"/>
      <c r="M1171"/>
      <c r="N1171"/>
      <c r="U1171"/>
      <c r="V1171"/>
      <c r="W1171"/>
      <c r="X1171"/>
    </row>
    <row r="1172" spans="11:24">
      <c r="K1172"/>
      <c r="L1172"/>
      <c r="M1172"/>
      <c r="N1172"/>
      <c r="U1172"/>
      <c r="V1172"/>
      <c r="W1172"/>
      <c r="X1172"/>
    </row>
    <row r="1173" spans="11:24">
      <c r="K1173"/>
      <c r="L1173"/>
      <c r="M1173"/>
      <c r="N1173"/>
      <c r="U1173"/>
      <c r="V1173"/>
      <c r="W1173"/>
      <c r="X1173"/>
    </row>
    <row r="1174" spans="11:24">
      <c r="K1174"/>
      <c r="L1174"/>
      <c r="M1174"/>
      <c r="N1174"/>
      <c r="U1174"/>
      <c r="V1174"/>
      <c r="W1174"/>
      <c r="X1174"/>
    </row>
    <row r="1175" spans="11:24">
      <c r="K1175"/>
      <c r="L1175"/>
      <c r="M1175"/>
      <c r="N1175"/>
      <c r="U1175"/>
      <c r="V1175"/>
      <c r="W1175"/>
      <c r="X1175"/>
    </row>
    <row r="1176" spans="11:24">
      <c r="K1176"/>
      <c r="L1176"/>
      <c r="M1176"/>
      <c r="N1176"/>
      <c r="U1176"/>
      <c r="V1176"/>
      <c r="W1176"/>
      <c r="X1176"/>
    </row>
    <row r="1177" spans="11:24">
      <c r="K1177"/>
      <c r="L1177"/>
      <c r="M1177"/>
      <c r="N1177"/>
      <c r="U1177"/>
      <c r="V1177"/>
      <c r="W1177"/>
      <c r="X1177"/>
    </row>
    <row r="1178" spans="11:24">
      <c r="K1178"/>
      <c r="L1178"/>
      <c r="M1178"/>
      <c r="N1178"/>
      <c r="U1178"/>
      <c r="V1178"/>
      <c r="W1178"/>
      <c r="X1178"/>
    </row>
    <row r="1179" spans="11:24">
      <c r="K1179"/>
      <c r="L1179"/>
      <c r="M1179"/>
      <c r="N1179"/>
      <c r="U1179"/>
      <c r="V1179"/>
      <c r="W1179"/>
      <c r="X1179"/>
    </row>
    <row r="1180" spans="11:24">
      <c r="K1180"/>
      <c r="L1180"/>
      <c r="M1180"/>
      <c r="N1180"/>
      <c r="U1180"/>
      <c r="V1180"/>
      <c r="W1180"/>
      <c r="X1180"/>
    </row>
    <row r="1181" spans="11:24">
      <c r="K1181"/>
      <c r="L1181"/>
      <c r="M1181"/>
      <c r="N1181"/>
      <c r="U1181"/>
      <c r="V1181"/>
      <c r="W1181"/>
      <c r="X1181"/>
    </row>
    <row r="1182" spans="11:24">
      <c r="K1182"/>
      <c r="L1182"/>
      <c r="M1182"/>
      <c r="N1182"/>
      <c r="U1182"/>
      <c r="V1182"/>
      <c r="W1182"/>
      <c r="X1182"/>
    </row>
    <row r="1183" spans="11:24">
      <c r="K1183"/>
      <c r="L1183"/>
      <c r="M1183"/>
      <c r="N1183"/>
      <c r="U1183"/>
      <c r="V1183"/>
      <c r="W1183"/>
      <c r="X1183"/>
    </row>
    <row r="1184" spans="11:24">
      <c r="K1184"/>
      <c r="L1184"/>
      <c r="M1184"/>
      <c r="N1184"/>
      <c r="U1184"/>
      <c r="V1184"/>
      <c r="W1184"/>
      <c r="X1184"/>
    </row>
    <row r="1185" spans="11:24">
      <c r="K1185"/>
      <c r="L1185"/>
      <c r="M1185"/>
      <c r="N1185"/>
      <c r="U1185"/>
      <c r="V1185"/>
      <c r="W1185"/>
      <c r="X1185"/>
    </row>
    <row r="1186" spans="11:24">
      <c r="K1186"/>
      <c r="L1186"/>
      <c r="M1186"/>
      <c r="N1186"/>
      <c r="U1186"/>
      <c r="V1186"/>
      <c r="W1186"/>
      <c r="X1186"/>
    </row>
    <row r="1187" spans="11:24">
      <c r="K1187"/>
      <c r="L1187"/>
      <c r="M1187"/>
      <c r="N1187"/>
      <c r="U1187"/>
      <c r="V1187"/>
      <c r="W1187"/>
      <c r="X1187"/>
    </row>
    <row r="1188" spans="11:24">
      <c r="K1188"/>
      <c r="L1188"/>
      <c r="M1188"/>
      <c r="N1188"/>
      <c r="U1188"/>
      <c r="V1188"/>
      <c r="W1188"/>
      <c r="X1188"/>
    </row>
    <row r="1189" spans="11:24">
      <c r="K1189"/>
      <c r="L1189"/>
      <c r="M1189"/>
      <c r="N1189"/>
      <c r="U1189"/>
      <c r="V1189"/>
      <c r="W1189"/>
      <c r="X1189"/>
    </row>
    <row r="1190" spans="11:24">
      <c r="K1190"/>
      <c r="L1190"/>
      <c r="M1190"/>
      <c r="N1190"/>
      <c r="U1190"/>
      <c r="V1190"/>
      <c r="W1190"/>
      <c r="X1190"/>
    </row>
    <row r="1191" spans="11:24">
      <c r="K1191"/>
      <c r="L1191"/>
      <c r="M1191"/>
      <c r="N1191"/>
      <c r="U1191"/>
      <c r="V1191"/>
      <c r="W1191"/>
      <c r="X1191"/>
    </row>
    <row r="1192" spans="11:24">
      <c r="K1192"/>
      <c r="L1192"/>
      <c r="M1192"/>
      <c r="N1192"/>
      <c r="U1192"/>
      <c r="V1192"/>
      <c r="W1192"/>
      <c r="X1192"/>
    </row>
    <row r="1193" spans="11:24">
      <c r="K1193"/>
      <c r="L1193"/>
      <c r="M1193"/>
      <c r="N1193"/>
      <c r="U1193"/>
      <c r="V1193"/>
      <c r="W1193"/>
      <c r="X1193"/>
    </row>
    <row r="1194" spans="11:24">
      <c r="K1194"/>
      <c r="L1194"/>
      <c r="M1194"/>
      <c r="N1194"/>
      <c r="U1194"/>
      <c r="V1194"/>
      <c r="W1194"/>
      <c r="X1194"/>
    </row>
    <row r="1195" spans="11:24">
      <c r="K1195"/>
      <c r="L1195"/>
      <c r="M1195"/>
      <c r="N1195"/>
      <c r="U1195"/>
      <c r="V1195"/>
      <c r="W1195"/>
      <c r="X1195"/>
    </row>
    <row r="1196" spans="11:24">
      <c r="K1196"/>
      <c r="L1196"/>
      <c r="M1196"/>
      <c r="N1196"/>
      <c r="U1196"/>
      <c r="V1196"/>
      <c r="W1196"/>
      <c r="X1196"/>
    </row>
    <row r="1197" spans="11:24">
      <c r="K1197"/>
      <c r="L1197"/>
      <c r="M1197"/>
      <c r="N1197"/>
      <c r="U1197"/>
      <c r="V1197"/>
      <c r="W1197"/>
      <c r="X1197"/>
    </row>
    <row r="1198" spans="11:24">
      <c r="K1198"/>
      <c r="L1198"/>
      <c r="M1198"/>
      <c r="N1198"/>
      <c r="U1198"/>
      <c r="V1198"/>
      <c r="W1198"/>
      <c r="X1198"/>
    </row>
    <row r="1199" spans="11:24">
      <c r="K1199"/>
      <c r="L1199"/>
      <c r="M1199"/>
      <c r="N1199"/>
      <c r="U1199"/>
      <c r="V1199"/>
      <c r="W1199"/>
      <c r="X1199"/>
    </row>
    <row r="1200" spans="11:24">
      <c r="K1200"/>
      <c r="L1200"/>
      <c r="M1200"/>
      <c r="N1200"/>
      <c r="U1200"/>
      <c r="V1200"/>
      <c r="W1200"/>
      <c r="X1200"/>
    </row>
    <row r="1201" spans="11:24">
      <c r="K1201"/>
      <c r="L1201"/>
      <c r="M1201"/>
      <c r="N1201"/>
      <c r="U1201"/>
      <c r="V1201"/>
      <c r="W1201"/>
      <c r="X1201"/>
    </row>
    <row r="1202" spans="11:24">
      <c r="K1202"/>
      <c r="L1202"/>
      <c r="M1202"/>
      <c r="N1202"/>
      <c r="U1202"/>
      <c r="V1202"/>
      <c r="W1202"/>
      <c r="X1202"/>
    </row>
    <row r="1203" spans="11:24">
      <c r="K1203"/>
      <c r="L1203"/>
      <c r="M1203"/>
      <c r="N1203"/>
      <c r="U1203"/>
      <c r="V1203"/>
      <c r="W1203"/>
      <c r="X1203"/>
    </row>
    <row r="1204" spans="11:24">
      <c r="K1204"/>
      <c r="L1204"/>
      <c r="M1204"/>
      <c r="N1204"/>
      <c r="U1204"/>
      <c r="V1204"/>
      <c r="W1204"/>
      <c r="X1204"/>
    </row>
    <row r="1205" spans="11:24">
      <c r="K1205"/>
      <c r="L1205"/>
      <c r="M1205"/>
      <c r="N1205"/>
      <c r="U1205"/>
      <c r="V1205"/>
      <c r="W1205"/>
      <c r="X1205"/>
    </row>
    <row r="1206" spans="11:24">
      <c r="K1206"/>
      <c r="L1206"/>
      <c r="M1206"/>
      <c r="N1206"/>
      <c r="U1206"/>
      <c r="V1206"/>
      <c r="W1206"/>
      <c r="X1206"/>
    </row>
    <row r="1207" spans="11:24">
      <c r="K1207"/>
      <c r="L1207"/>
      <c r="M1207"/>
      <c r="N1207"/>
      <c r="U1207"/>
      <c r="V1207"/>
      <c r="W1207"/>
      <c r="X1207"/>
    </row>
    <row r="1208" spans="11:24">
      <c r="K1208"/>
      <c r="L1208"/>
      <c r="M1208"/>
      <c r="N1208"/>
      <c r="U1208"/>
      <c r="V1208"/>
      <c r="W1208"/>
      <c r="X1208"/>
    </row>
    <row r="1209" spans="11:24">
      <c r="K1209"/>
      <c r="L1209"/>
      <c r="M1209"/>
      <c r="N1209"/>
      <c r="U1209"/>
      <c r="V1209"/>
      <c r="W1209"/>
      <c r="X1209"/>
    </row>
    <row r="1210" spans="11:24">
      <c r="K1210"/>
      <c r="L1210"/>
      <c r="M1210"/>
      <c r="N1210"/>
      <c r="U1210"/>
      <c r="V1210"/>
      <c r="W1210"/>
      <c r="X1210"/>
    </row>
    <row r="1211" spans="11:24">
      <c r="K1211"/>
      <c r="L1211"/>
      <c r="M1211"/>
      <c r="N1211"/>
      <c r="U1211"/>
      <c r="V1211"/>
      <c r="W1211"/>
      <c r="X1211"/>
    </row>
    <row r="1212" spans="11:24">
      <c r="K1212"/>
      <c r="L1212"/>
      <c r="M1212"/>
      <c r="N1212"/>
      <c r="U1212"/>
      <c r="V1212"/>
      <c r="W1212"/>
      <c r="X1212"/>
    </row>
    <row r="1213" spans="11:24">
      <c r="K1213"/>
      <c r="L1213"/>
      <c r="M1213"/>
      <c r="N1213"/>
      <c r="U1213"/>
      <c r="V1213"/>
      <c r="W1213"/>
      <c r="X1213"/>
    </row>
    <row r="1214" spans="11:24">
      <c r="K1214"/>
      <c r="L1214"/>
      <c r="M1214"/>
      <c r="N1214"/>
      <c r="U1214"/>
      <c r="V1214"/>
      <c r="W1214"/>
      <c r="X1214"/>
    </row>
    <row r="1215" spans="11:24">
      <c r="K1215"/>
      <c r="L1215"/>
      <c r="M1215"/>
      <c r="N1215"/>
      <c r="U1215"/>
      <c r="V1215"/>
      <c r="W1215"/>
      <c r="X1215"/>
    </row>
    <row r="1216" spans="11:24">
      <c r="K1216"/>
      <c r="L1216"/>
      <c r="M1216"/>
      <c r="N1216"/>
      <c r="U1216"/>
      <c r="V1216"/>
      <c r="W1216"/>
      <c r="X1216"/>
    </row>
    <row r="1217" spans="11:24">
      <c r="K1217"/>
      <c r="L1217"/>
      <c r="M1217"/>
      <c r="N1217"/>
      <c r="U1217"/>
      <c r="V1217"/>
      <c r="W1217"/>
      <c r="X1217"/>
    </row>
    <row r="1218" spans="11:24">
      <c r="K1218"/>
      <c r="L1218"/>
      <c r="M1218"/>
      <c r="N1218"/>
      <c r="U1218"/>
      <c r="V1218"/>
      <c r="W1218"/>
      <c r="X1218"/>
    </row>
    <row r="1219" spans="11:24">
      <c r="K1219"/>
      <c r="L1219"/>
      <c r="M1219"/>
      <c r="N1219"/>
      <c r="U1219"/>
      <c r="V1219"/>
      <c r="W1219"/>
      <c r="X1219"/>
    </row>
    <row r="1220" spans="11:24">
      <c r="K1220"/>
      <c r="L1220"/>
      <c r="M1220"/>
      <c r="N1220"/>
      <c r="U1220"/>
      <c r="V1220"/>
      <c r="W1220"/>
      <c r="X1220"/>
    </row>
    <row r="1221" spans="11:24">
      <c r="K1221"/>
      <c r="L1221"/>
      <c r="M1221"/>
      <c r="N1221"/>
      <c r="U1221"/>
      <c r="V1221"/>
      <c r="W1221"/>
      <c r="X1221"/>
    </row>
    <row r="1222" spans="11:24">
      <c r="K1222"/>
      <c r="L1222"/>
      <c r="M1222"/>
      <c r="N1222"/>
      <c r="U1222"/>
      <c r="V1222"/>
      <c r="W1222"/>
      <c r="X1222"/>
    </row>
    <row r="1223" spans="11:24">
      <c r="K1223"/>
      <c r="L1223"/>
      <c r="M1223"/>
      <c r="N1223"/>
      <c r="U1223"/>
      <c r="V1223"/>
      <c r="W1223"/>
      <c r="X1223"/>
    </row>
    <row r="1224" spans="11:24">
      <c r="K1224"/>
      <c r="L1224"/>
      <c r="M1224"/>
      <c r="N1224"/>
      <c r="U1224"/>
      <c r="V1224"/>
      <c r="W1224"/>
      <c r="X1224"/>
    </row>
    <row r="1225" spans="11:24">
      <c r="K1225"/>
      <c r="L1225"/>
      <c r="M1225"/>
      <c r="N1225"/>
      <c r="U1225"/>
      <c r="V1225"/>
      <c r="W1225"/>
      <c r="X1225"/>
    </row>
    <row r="1226" spans="11:24">
      <c r="K1226"/>
      <c r="L1226"/>
      <c r="M1226"/>
      <c r="N1226"/>
      <c r="U1226"/>
      <c r="V1226"/>
      <c r="W1226"/>
      <c r="X1226"/>
    </row>
    <row r="1227" spans="11:24">
      <c r="K1227"/>
      <c r="L1227"/>
      <c r="M1227"/>
      <c r="N1227"/>
      <c r="U1227"/>
      <c r="V1227"/>
      <c r="W1227"/>
      <c r="X1227"/>
    </row>
    <row r="1228" spans="11:24">
      <c r="K1228"/>
      <c r="L1228"/>
      <c r="M1228"/>
      <c r="N1228"/>
      <c r="U1228"/>
      <c r="V1228"/>
      <c r="W1228"/>
      <c r="X1228"/>
    </row>
    <row r="1229" spans="11:24">
      <c r="K1229"/>
      <c r="L1229"/>
      <c r="M1229"/>
      <c r="N1229"/>
      <c r="U1229"/>
      <c r="V1229"/>
      <c r="W1229"/>
      <c r="X1229"/>
    </row>
    <row r="1230" spans="11:24">
      <c r="K1230"/>
      <c r="L1230"/>
      <c r="M1230"/>
      <c r="N1230"/>
      <c r="U1230"/>
      <c r="V1230"/>
      <c r="W1230"/>
      <c r="X1230"/>
    </row>
    <row r="1231" spans="11:24">
      <c r="K1231"/>
      <c r="L1231"/>
      <c r="M1231"/>
      <c r="N1231"/>
      <c r="U1231"/>
      <c r="V1231"/>
      <c r="W1231"/>
      <c r="X1231"/>
    </row>
    <row r="1232" spans="11:24">
      <c r="K1232"/>
      <c r="L1232"/>
      <c r="M1232"/>
      <c r="N1232"/>
      <c r="U1232"/>
      <c r="V1232"/>
      <c r="W1232"/>
      <c r="X1232"/>
    </row>
    <row r="1233" spans="11:24">
      <c r="K1233"/>
      <c r="L1233"/>
      <c r="M1233"/>
      <c r="N1233"/>
      <c r="U1233"/>
      <c r="V1233"/>
      <c r="W1233"/>
      <c r="X1233"/>
    </row>
    <row r="1234" spans="11:24">
      <c r="K1234"/>
      <c r="L1234"/>
      <c r="M1234"/>
      <c r="N1234"/>
      <c r="U1234"/>
      <c r="V1234"/>
      <c r="W1234"/>
      <c r="X1234"/>
    </row>
    <row r="1235" spans="11:24">
      <c r="K1235"/>
      <c r="L1235"/>
      <c r="M1235"/>
      <c r="N1235"/>
      <c r="U1235"/>
      <c r="V1235"/>
      <c r="W1235"/>
      <c r="X1235"/>
    </row>
    <row r="1236" spans="11:24">
      <c r="K1236"/>
      <c r="L1236"/>
      <c r="M1236"/>
      <c r="N1236"/>
      <c r="U1236"/>
      <c r="V1236"/>
      <c r="W1236"/>
      <c r="X1236"/>
    </row>
    <row r="1237" spans="11:24">
      <c r="K1237"/>
      <c r="L1237"/>
      <c r="M1237"/>
      <c r="N1237"/>
      <c r="U1237"/>
      <c r="V1237"/>
      <c r="W1237"/>
      <c r="X1237"/>
    </row>
    <row r="1238" spans="11:24">
      <c r="K1238"/>
      <c r="L1238"/>
      <c r="M1238"/>
      <c r="N1238"/>
      <c r="U1238"/>
      <c r="V1238"/>
      <c r="W1238"/>
      <c r="X1238"/>
    </row>
    <row r="1239" spans="11:24">
      <c r="K1239"/>
      <c r="L1239"/>
      <c r="M1239"/>
      <c r="N1239"/>
      <c r="U1239"/>
      <c r="V1239"/>
      <c r="W1239"/>
      <c r="X1239"/>
    </row>
    <row r="1240" spans="11:24">
      <c r="K1240"/>
      <c r="L1240"/>
      <c r="M1240"/>
      <c r="N1240"/>
      <c r="U1240"/>
      <c r="V1240"/>
      <c r="W1240"/>
      <c r="X1240"/>
    </row>
    <row r="1241" spans="11:24">
      <c r="K1241"/>
      <c r="L1241"/>
      <c r="M1241"/>
      <c r="N1241"/>
      <c r="U1241"/>
      <c r="V1241"/>
      <c r="W1241"/>
      <c r="X1241"/>
    </row>
    <row r="1242" spans="11:24">
      <c r="K1242"/>
      <c r="L1242"/>
      <c r="M1242"/>
      <c r="N1242"/>
      <c r="U1242"/>
      <c r="V1242"/>
      <c r="W1242"/>
      <c r="X1242"/>
    </row>
    <row r="1243" spans="11:24">
      <c r="K1243"/>
      <c r="L1243"/>
      <c r="M1243"/>
      <c r="N1243"/>
      <c r="U1243"/>
      <c r="V1243"/>
      <c r="W1243"/>
      <c r="X1243"/>
    </row>
    <row r="1244" spans="11:24">
      <c r="K1244"/>
      <c r="L1244"/>
      <c r="M1244"/>
      <c r="N1244"/>
      <c r="U1244"/>
      <c r="V1244"/>
      <c r="W1244"/>
      <c r="X1244"/>
    </row>
    <row r="1245" spans="11:24">
      <c r="K1245"/>
      <c r="L1245"/>
      <c r="M1245"/>
      <c r="N1245"/>
      <c r="U1245"/>
      <c r="V1245"/>
      <c r="W1245"/>
      <c r="X1245"/>
    </row>
    <row r="1246" spans="11:24">
      <c r="K1246"/>
      <c r="L1246"/>
      <c r="M1246"/>
      <c r="N1246"/>
      <c r="U1246"/>
      <c r="V1246"/>
      <c r="W1246"/>
      <c r="X1246"/>
    </row>
    <row r="1247" spans="11:24">
      <c r="K1247"/>
      <c r="L1247"/>
      <c r="M1247"/>
      <c r="N1247"/>
      <c r="U1247"/>
      <c r="V1247"/>
      <c r="W1247"/>
      <c r="X1247"/>
    </row>
    <row r="1248" spans="11:24">
      <c r="K1248"/>
      <c r="L1248"/>
      <c r="M1248"/>
      <c r="N1248"/>
      <c r="U1248"/>
      <c r="V1248"/>
      <c r="W1248"/>
      <c r="X1248"/>
    </row>
    <row r="1249" spans="11:24">
      <c r="K1249"/>
      <c r="L1249"/>
      <c r="M1249"/>
      <c r="N1249"/>
      <c r="U1249"/>
      <c r="V1249"/>
      <c r="W1249"/>
      <c r="X1249"/>
    </row>
    <row r="1250" spans="11:24">
      <c r="K1250"/>
      <c r="L1250"/>
      <c r="M1250"/>
      <c r="N1250"/>
      <c r="U1250"/>
      <c r="V1250"/>
      <c r="W1250"/>
      <c r="X1250"/>
    </row>
    <row r="1251" spans="11:24">
      <c r="K1251"/>
      <c r="L1251"/>
      <c r="M1251"/>
      <c r="N1251"/>
      <c r="U1251"/>
      <c r="V1251"/>
      <c r="W1251"/>
      <c r="X1251"/>
    </row>
    <row r="1252" spans="11:24">
      <c r="K1252"/>
      <c r="L1252"/>
      <c r="M1252"/>
      <c r="N1252"/>
      <c r="U1252"/>
      <c r="V1252"/>
      <c r="W1252"/>
      <c r="X1252"/>
    </row>
    <row r="1253" spans="11:24">
      <c r="K1253"/>
      <c r="L1253"/>
      <c r="M1253"/>
      <c r="N1253"/>
      <c r="U1253"/>
      <c r="V1253"/>
      <c r="W1253"/>
      <c r="X1253"/>
    </row>
    <row r="1254" spans="11:24">
      <c r="K1254"/>
      <c r="L1254"/>
      <c r="M1254"/>
      <c r="N1254"/>
      <c r="U1254"/>
      <c r="V1254"/>
      <c r="W1254"/>
      <c r="X1254"/>
    </row>
    <row r="1255" spans="11:24">
      <c r="K1255"/>
      <c r="L1255"/>
      <c r="M1255"/>
      <c r="N1255"/>
      <c r="U1255"/>
      <c r="V1255"/>
      <c r="W1255"/>
      <c r="X1255"/>
    </row>
    <row r="1256" spans="11:24">
      <c r="K1256"/>
      <c r="L1256"/>
      <c r="M1256"/>
      <c r="N1256"/>
      <c r="U1256"/>
      <c r="V1256"/>
      <c r="W1256"/>
      <c r="X1256"/>
    </row>
    <row r="1257" spans="11:24">
      <c r="K1257"/>
      <c r="L1257"/>
      <c r="M1257"/>
      <c r="N1257"/>
      <c r="U1257"/>
      <c r="V1257"/>
      <c r="W1257"/>
      <c r="X1257"/>
    </row>
    <row r="1258" spans="11:24">
      <c r="K1258"/>
      <c r="L1258"/>
      <c r="M1258"/>
      <c r="N1258"/>
      <c r="U1258"/>
      <c r="V1258"/>
      <c r="W1258"/>
      <c r="X1258"/>
    </row>
    <row r="1259" spans="11:24">
      <c r="K1259"/>
      <c r="L1259"/>
      <c r="M1259"/>
      <c r="N1259"/>
      <c r="U1259"/>
      <c r="V1259"/>
      <c r="W1259"/>
      <c r="X1259"/>
    </row>
    <row r="1260" spans="11:24">
      <c r="K1260"/>
      <c r="L1260"/>
      <c r="M1260"/>
      <c r="N1260"/>
      <c r="U1260"/>
      <c r="V1260"/>
      <c r="W1260"/>
      <c r="X1260"/>
    </row>
    <row r="1261" spans="11:24">
      <c r="K1261"/>
      <c r="L1261"/>
      <c r="M1261"/>
      <c r="N1261"/>
      <c r="U1261"/>
      <c r="V1261"/>
      <c r="W1261"/>
      <c r="X1261"/>
    </row>
    <row r="1262" spans="11:24">
      <c r="K1262"/>
      <c r="L1262"/>
      <c r="M1262"/>
      <c r="N1262"/>
      <c r="U1262"/>
      <c r="V1262"/>
      <c r="W1262"/>
      <c r="X1262"/>
    </row>
    <row r="1263" spans="11:24">
      <c r="K1263"/>
      <c r="L1263"/>
      <c r="M1263"/>
      <c r="N1263"/>
      <c r="U1263"/>
      <c r="V1263"/>
      <c r="W1263"/>
      <c r="X1263"/>
    </row>
    <row r="1264" spans="11:24">
      <c r="K1264"/>
      <c r="L1264"/>
      <c r="M1264"/>
      <c r="N1264"/>
      <c r="U1264"/>
      <c r="V1264"/>
      <c r="W1264"/>
      <c r="X1264"/>
    </row>
    <row r="1265" spans="11:24">
      <c r="K1265"/>
      <c r="L1265"/>
      <c r="M1265"/>
      <c r="N1265"/>
      <c r="U1265"/>
      <c r="V1265"/>
      <c r="W1265"/>
      <c r="X1265"/>
    </row>
    <row r="1266" spans="11:24">
      <c r="K1266"/>
      <c r="L1266"/>
      <c r="M1266"/>
      <c r="N1266"/>
      <c r="U1266"/>
      <c r="V1266"/>
      <c r="W1266"/>
      <c r="X1266"/>
    </row>
    <row r="1267" spans="11:24">
      <c r="K1267"/>
      <c r="L1267"/>
      <c r="M1267"/>
      <c r="N1267"/>
      <c r="U1267"/>
      <c r="V1267"/>
      <c r="W1267"/>
      <c r="X1267"/>
    </row>
    <row r="1268" spans="11:24">
      <c r="K1268"/>
      <c r="L1268"/>
      <c r="M1268"/>
      <c r="N1268"/>
      <c r="U1268"/>
      <c r="V1268"/>
      <c r="W1268"/>
      <c r="X1268"/>
    </row>
    <row r="1269" spans="11:24">
      <c r="K1269"/>
      <c r="L1269"/>
      <c r="M1269"/>
      <c r="N1269"/>
      <c r="U1269"/>
      <c r="V1269"/>
      <c r="W1269"/>
      <c r="X1269"/>
    </row>
    <row r="1270" spans="11:24">
      <c r="K1270"/>
      <c r="L1270"/>
      <c r="M1270"/>
      <c r="N1270"/>
      <c r="U1270"/>
      <c r="V1270"/>
      <c r="W1270"/>
      <c r="X1270"/>
    </row>
    <row r="1271" spans="11:24">
      <c r="K1271"/>
      <c r="L1271"/>
      <c r="M1271"/>
      <c r="N1271"/>
      <c r="U1271"/>
      <c r="V1271"/>
      <c r="W1271"/>
      <c r="X1271"/>
    </row>
    <row r="1272" spans="11:24">
      <c r="K1272"/>
      <c r="L1272"/>
      <c r="M1272"/>
      <c r="N1272"/>
      <c r="U1272"/>
      <c r="V1272"/>
      <c r="W1272"/>
      <c r="X1272"/>
    </row>
    <row r="1273" spans="11:24">
      <c r="K1273"/>
      <c r="L1273"/>
      <c r="M1273"/>
      <c r="N1273"/>
      <c r="U1273"/>
      <c r="V1273"/>
      <c r="W1273"/>
      <c r="X1273"/>
    </row>
    <row r="1274" spans="11:24">
      <c r="K1274"/>
      <c r="L1274"/>
      <c r="M1274"/>
      <c r="N1274"/>
      <c r="U1274"/>
      <c r="V1274"/>
      <c r="W1274"/>
      <c r="X1274"/>
    </row>
    <row r="1275" spans="11:24">
      <c r="K1275"/>
      <c r="L1275"/>
      <c r="M1275"/>
      <c r="N1275"/>
      <c r="U1275"/>
      <c r="V1275"/>
      <c r="W1275"/>
      <c r="X1275"/>
    </row>
    <row r="1276" spans="11:24">
      <c r="K1276"/>
      <c r="L1276"/>
      <c r="M1276"/>
      <c r="N1276"/>
      <c r="U1276"/>
      <c r="V1276"/>
      <c r="W1276"/>
      <c r="X1276"/>
    </row>
    <row r="1277" spans="11:24">
      <c r="K1277"/>
      <c r="L1277"/>
      <c r="M1277"/>
      <c r="N1277"/>
      <c r="U1277"/>
      <c r="V1277"/>
      <c r="W1277"/>
      <c r="X1277"/>
    </row>
    <row r="1278" spans="11:24">
      <c r="K1278"/>
      <c r="L1278"/>
      <c r="M1278"/>
      <c r="N1278"/>
      <c r="U1278"/>
      <c r="V1278"/>
      <c r="W1278"/>
      <c r="X1278"/>
    </row>
    <row r="1279" spans="11:24">
      <c r="K1279"/>
      <c r="L1279"/>
      <c r="M1279"/>
      <c r="N1279"/>
      <c r="U1279"/>
      <c r="V1279"/>
      <c r="W1279"/>
      <c r="X1279"/>
    </row>
    <row r="1280" spans="11:24">
      <c r="K1280"/>
      <c r="L1280"/>
      <c r="M1280"/>
      <c r="N1280"/>
      <c r="U1280"/>
      <c r="V1280"/>
      <c r="W1280"/>
      <c r="X1280"/>
    </row>
    <row r="1281" spans="11:24">
      <c r="K1281"/>
      <c r="L1281"/>
      <c r="M1281"/>
      <c r="N1281"/>
      <c r="U1281"/>
      <c r="V1281"/>
      <c r="W1281"/>
      <c r="X1281"/>
    </row>
    <row r="1282" spans="11:24">
      <c r="K1282"/>
      <c r="L1282"/>
      <c r="M1282"/>
      <c r="N1282"/>
      <c r="U1282"/>
      <c r="V1282"/>
      <c r="W1282"/>
      <c r="X1282"/>
    </row>
    <row r="1283" spans="11:24">
      <c r="K1283"/>
      <c r="L1283"/>
      <c r="M1283"/>
      <c r="N1283"/>
      <c r="U1283"/>
      <c r="V1283"/>
      <c r="W1283"/>
      <c r="X1283"/>
    </row>
    <row r="1284" spans="11:24">
      <c r="K1284"/>
      <c r="L1284"/>
      <c r="M1284"/>
      <c r="N1284"/>
      <c r="U1284"/>
      <c r="V1284"/>
      <c r="W1284"/>
      <c r="X1284"/>
    </row>
    <row r="1285" spans="11:24">
      <c r="K1285"/>
      <c r="L1285"/>
      <c r="M1285"/>
      <c r="N1285"/>
      <c r="U1285"/>
      <c r="V1285"/>
      <c r="W1285"/>
      <c r="X1285"/>
    </row>
    <row r="1286" spans="11:24">
      <c r="K1286"/>
      <c r="L1286"/>
      <c r="M1286"/>
      <c r="N1286"/>
      <c r="U1286"/>
      <c r="V1286"/>
      <c r="W1286"/>
      <c r="X1286"/>
    </row>
    <row r="1287" spans="11:24">
      <c r="K1287"/>
      <c r="L1287"/>
      <c r="M1287"/>
      <c r="N1287"/>
      <c r="U1287"/>
      <c r="V1287"/>
      <c r="W1287"/>
      <c r="X1287"/>
    </row>
    <row r="1288" spans="11:24">
      <c r="K1288"/>
      <c r="L1288"/>
      <c r="M1288"/>
      <c r="N1288"/>
      <c r="U1288"/>
      <c r="V1288"/>
      <c r="W1288"/>
      <c r="X1288"/>
    </row>
    <row r="1289" spans="11:24">
      <c r="K1289"/>
      <c r="L1289"/>
      <c r="M1289"/>
      <c r="N1289"/>
      <c r="U1289"/>
      <c r="V1289"/>
      <c r="W1289"/>
      <c r="X1289"/>
    </row>
    <row r="1290" spans="11:24">
      <c r="K1290"/>
      <c r="L1290"/>
      <c r="M1290"/>
      <c r="N1290"/>
      <c r="U1290"/>
      <c r="V1290"/>
      <c r="W1290"/>
      <c r="X1290"/>
    </row>
    <row r="1291" spans="11:24">
      <c r="K1291"/>
      <c r="L1291"/>
      <c r="M1291"/>
      <c r="N1291"/>
      <c r="U1291"/>
      <c r="V1291"/>
      <c r="W1291"/>
      <c r="X1291"/>
    </row>
    <row r="1292" spans="11:24">
      <c r="K1292"/>
      <c r="L1292"/>
      <c r="M1292"/>
      <c r="N1292"/>
      <c r="U1292"/>
      <c r="V1292"/>
      <c r="W1292"/>
      <c r="X1292"/>
    </row>
    <row r="1293" spans="11:24">
      <c r="K1293"/>
      <c r="L1293"/>
      <c r="M1293"/>
      <c r="N1293"/>
      <c r="U1293"/>
      <c r="V1293"/>
      <c r="W1293"/>
      <c r="X1293"/>
    </row>
    <row r="1294" spans="11:24">
      <c r="K1294"/>
      <c r="L1294"/>
      <c r="M1294"/>
      <c r="N1294"/>
      <c r="U1294"/>
      <c r="V1294"/>
      <c r="W1294"/>
      <c r="X1294"/>
    </row>
    <row r="1295" spans="11:24">
      <c r="K1295"/>
      <c r="L1295"/>
      <c r="M1295"/>
      <c r="N1295"/>
      <c r="U1295"/>
      <c r="V1295"/>
      <c r="W1295"/>
      <c r="X1295"/>
    </row>
    <row r="1296" spans="11:24">
      <c r="K1296"/>
      <c r="L1296"/>
      <c r="M1296"/>
      <c r="N1296"/>
      <c r="U1296"/>
      <c r="V1296"/>
      <c r="W1296"/>
      <c r="X1296"/>
    </row>
    <row r="1297" spans="11:24">
      <c r="K1297"/>
      <c r="L1297"/>
      <c r="M1297"/>
      <c r="N1297"/>
      <c r="U1297"/>
      <c r="V1297"/>
      <c r="W1297"/>
      <c r="X1297"/>
    </row>
    <row r="1298" spans="11:24">
      <c r="K1298"/>
      <c r="L1298"/>
      <c r="M1298"/>
      <c r="N1298"/>
      <c r="U1298"/>
      <c r="V1298"/>
      <c r="W1298"/>
      <c r="X1298"/>
    </row>
    <row r="1299" spans="11:24">
      <c r="K1299"/>
      <c r="L1299"/>
      <c r="M1299"/>
      <c r="N1299"/>
      <c r="U1299"/>
      <c r="V1299"/>
      <c r="W1299"/>
      <c r="X1299"/>
    </row>
    <row r="1300" spans="11:24">
      <c r="K1300"/>
      <c r="L1300"/>
      <c r="M1300"/>
      <c r="N1300"/>
      <c r="U1300"/>
      <c r="V1300"/>
      <c r="W1300"/>
      <c r="X1300"/>
    </row>
    <row r="1301" spans="11:24">
      <c r="K1301"/>
      <c r="L1301"/>
      <c r="M1301"/>
      <c r="N1301"/>
      <c r="U1301"/>
      <c r="V1301"/>
      <c r="W1301"/>
      <c r="X1301"/>
    </row>
    <row r="1302" spans="11:24">
      <c r="K1302"/>
      <c r="L1302"/>
      <c r="M1302"/>
      <c r="N1302"/>
      <c r="U1302"/>
      <c r="V1302"/>
      <c r="W1302"/>
      <c r="X1302"/>
    </row>
    <row r="1303" spans="11:24">
      <c r="K1303"/>
      <c r="L1303"/>
      <c r="M1303"/>
      <c r="N1303"/>
      <c r="U1303"/>
      <c r="V1303"/>
      <c r="W1303"/>
      <c r="X1303"/>
    </row>
    <row r="1304" spans="11:24">
      <c r="K1304"/>
      <c r="L1304"/>
      <c r="M1304"/>
      <c r="N1304"/>
      <c r="U1304"/>
      <c r="V1304"/>
      <c r="W1304"/>
      <c r="X1304"/>
    </row>
    <row r="1305" spans="11:24">
      <c r="K1305"/>
      <c r="L1305"/>
      <c r="M1305"/>
      <c r="N1305"/>
      <c r="U1305"/>
      <c r="V1305"/>
      <c r="W1305"/>
      <c r="X1305"/>
    </row>
    <row r="1306" spans="11:24">
      <c r="K1306"/>
      <c r="L1306"/>
      <c r="M1306"/>
      <c r="N1306"/>
      <c r="U1306"/>
      <c r="V1306"/>
      <c r="W1306"/>
      <c r="X1306"/>
    </row>
    <row r="1307" spans="11:24">
      <c r="K1307"/>
      <c r="L1307"/>
      <c r="M1307"/>
      <c r="N1307"/>
      <c r="U1307"/>
      <c r="V1307"/>
      <c r="W1307"/>
      <c r="X1307"/>
    </row>
    <row r="1308" spans="11:24">
      <c r="K1308"/>
      <c r="L1308"/>
      <c r="M1308"/>
      <c r="N1308"/>
      <c r="U1308"/>
      <c r="V1308"/>
      <c r="W1308"/>
      <c r="X1308"/>
    </row>
    <row r="1309" spans="11:24">
      <c r="K1309"/>
      <c r="L1309"/>
      <c r="M1309"/>
      <c r="N1309"/>
      <c r="U1309"/>
      <c r="V1309"/>
      <c r="W1309"/>
      <c r="X1309"/>
    </row>
    <row r="1310" spans="11:24">
      <c r="K1310"/>
      <c r="L1310"/>
      <c r="M1310"/>
      <c r="N1310"/>
      <c r="U1310"/>
      <c r="V1310"/>
      <c r="W1310"/>
      <c r="X1310"/>
    </row>
    <row r="1311" spans="11:24">
      <c r="K1311"/>
      <c r="L1311"/>
      <c r="M1311"/>
      <c r="N1311"/>
      <c r="U1311"/>
      <c r="V1311"/>
      <c r="W1311"/>
      <c r="X1311"/>
    </row>
    <row r="1312" spans="11:24">
      <c r="K1312"/>
      <c r="L1312"/>
      <c r="M1312"/>
      <c r="N1312"/>
      <c r="U1312"/>
      <c r="V1312"/>
      <c r="W1312"/>
      <c r="X1312"/>
    </row>
    <row r="1313" spans="11:24">
      <c r="K1313"/>
      <c r="L1313"/>
      <c r="M1313"/>
      <c r="N1313"/>
      <c r="U1313"/>
      <c r="V1313"/>
      <c r="W1313"/>
      <c r="X1313"/>
    </row>
    <row r="1314" spans="11:24">
      <c r="K1314"/>
      <c r="L1314"/>
      <c r="M1314"/>
      <c r="N1314"/>
      <c r="U1314"/>
      <c r="V1314"/>
      <c r="W1314"/>
      <c r="X1314"/>
    </row>
    <row r="1315" spans="11:24">
      <c r="K1315"/>
      <c r="L1315"/>
      <c r="M1315"/>
      <c r="N1315"/>
      <c r="U1315"/>
      <c r="V1315"/>
      <c r="W1315"/>
      <c r="X1315"/>
    </row>
    <row r="1316" spans="11:24">
      <c r="K1316"/>
      <c r="L1316"/>
      <c r="M1316"/>
      <c r="N1316"/>
      <c r="U1316"/>
      <c r="V1316"/>
      <c r="W1316"/>
      <c r="X1316"/>
    </row>
    <row r="1317" spans="11:24">
      <c r="K1317"/>
      <c r="L1317"/>
      <c r="M1317"/>
      <c r="N1317"/>
      <c r="U1317"/>
      <c r="V1317"/>
      <c r="W1317"/>
      <c r="X1317"/>
    </row>
    <row r="1318" spans="11:24">
      <c r="K1318"/>
      <c r="L1318"/>
      <c r="M1318"/>
      <c r="N1318"/>
      <c r="U1318"/>
      <c r="V1318"/>
      <c r="W1318"/>
      <c r="X1318"/>
    </row>
    <row r="1319" spans="11:24">
      <c r="K1319"/>
      <c r="L1319"/>
      <c r="M1319"/>
      <c r="N1319"/>
      <c r="U1319"/>
      <c r="V1319"/>
      <c r="W1319"/>
      <c r="X1319"/>
    </row>
    <row r="1320" spans="11:24">
      <c r="K1320"/>
      <c r="L1320"/>
      <c r="M1320"/>
      <c r="N1320"/>
      <c r="U1320"/>
      <c r="V1320"/>
      <c r="W1320"/>
      <c r="X1320"/>
    </row>
    <row r="1321" spans="11:24">
      <c r="K1321"/>
      <c r="L1321"/>
      <c r="M1321"/>
      <c r="N1321"/>
      <c r="U1321"/>
      <c r="V1321"/>
      <c r="W1321"/>
      <c r="X1321"/>
    </row>
    <row r="1322" spans="11:24">
      <c r="K1322"/>
      <c r="L1322"/>
      <c r="M1322"/>
      <c r="N1322"/>
      <c r="U1322"/>
      <c r="V1322"/>
      <c r="W1322"/>
      <c r="X1322"/>
    </row>
    <row r="1323" spans="11:24">
      <c r="K1323"/>
      <c r="L1323"/>
      <c r="M1323"/>
      <c r="N1323"/>
      <c r="U1323"/>
      <c r="V1323"/>
      <c r="W1323"/>
      <c r="X1323"/>
    </row>
    <row r="1324" spans="11:24">
      <c r="K1324"/>
      <c r="L1324"/>
      <c r="M1324"/>
      <c r="N1324"/>
      <c r="U1324"/>
      <c r="V1324"/>
      <c r="W1324"/>
      <c r="X1324"/>
    </row>
    <row r="1325" spans="11:24">
      <c r="K1325"/>
      <c r="L1325"/>
      <c r="M1325"/>
      <c r="N1325"/>
      <c r="U1325"/>
      <c r="V1325"/>
      <c r="W1325"/>
      <c r="X1325"/>
    </row>
    <row r="1326" spans="11:24">
      <c r="K1326"/>
      <c r="L1326"/>
      <c r="M1326"/>
      <c r="N1326"/>
      <c r="U1326"/>
      <c r="V1326"/>
      <c r="W1326"/>
      <c r="X1326"/>
    </row>
    <row r="1327" spans="11:24">
      <c r="K1327"/>
      <c r="L1327"/>
      <c r="M1327"/>
      <c r="N1327"/>
      <c r="U1327"/>
      <c r="V1327"/>
      <c r="W1327"/>
      <c r="X1327"/>
    </row>
    <row r="1328" spans="11:24">
      <c r="K1328"/>
      <c r="L1328"/>
      <c r="M1328"/>
      <c r="N1328"/>
      <c r="U1328"/>
      <c r="V1328"/>
      <c r="W1328"/>
      <c r="X1328"/>
    </row>
    <row r="1329" spans="11:24">
      <c r="K1329"/>
      <c r="L1329"/>
      <c r="M1329"/>
      <c r="N1329"/>
      <c r="U1329"/>
      <c r="V1329"/>
      <c r="W1329"/>
      <c r="X1329"/>
    </row>
    <row r="1330" spans="11:24">
      <c r="K1330"/>
      <c r="L1330"/>
      <c r="M1330"/>
      <c r="N1330"/>
      <c r="U1330"/>
      <c r="V1330"/>
      <c r="W1330"/>
      <c r="X1330"/>
    </row>
    <row r="1331" spans="11:24">
      <c r="K1331"/>
      <c r="L1331"/>
      <c r="M1331"/>
      <c r="N1331"/>
      <c r="U1331"/>
      <c r="V1331"/>
      <c r="W1331"/>
      <c r="X1331"/>
    </row>
    <row r="1332" spans="11:24">
      <c r="K1332"/>
      <c r="L1332"/>
      <c r="M1332"/>
      <c r="N1332"/>
      <c r="U1332"/>
      <c r="V1332"/>
      <c r="W1332"/>
      <c r="X1332"/>
    </row>
    <row r="1333" spans="11:24">
      <c r="K1333"/>
      <c r="L1333"/>
      <c r="M1333"/>
      <c r="N1333"/>
      <c r="U1333"/>
      <c r="V1333"/>
      <c r="W1333"/>
      <c r="X1333"/>
    </row>
    <row r="1334" spans="11:24">
      <c r="K1334"/>
      <c r="L1334"/>
      <c r="M1334"/>
      <c r="N1334"/>
      <c r="U1334"/>
      <c r="V1334"/>
      <c r="W1334"/>
      <c r="X1334"/>
    </row>
    <row r="1335" spans="11:24">
      <c r="K1335"/>
      <c r="L1335"/>
      <c r="M1335"/>
      <c r="N1335"/>
      <c r="U1335"/>
      <c r="V1335"/>
      <c r="W1335"/>
      <c r="X1335"/>
    </row>
    <row r="1336" spans="11:24">
      <c r="K1336"/>
      <c r="L1336"/>
      <c r="M1336"/>
      <c r="N1336"/>
      <c r="U1336"/>
      <c r="V1336"/>
      <c r="W1336"/>
      <c r="X1336"/>
    </row>
    <row r="1337" spans="11:24">
      <c r="K1337"/>
      <c r="L1337"/>
      <c r="M1337"/>
      <c r="N1337"/>
      <c r="U1337"/>
      <c r="V1337"/>
      <c r="W1337"/>
      <c r="X1337"/>
    </row>
    <row r="1338" spans="11:24">
      <c r="K1338"/>
      <c r="L1338"/>
      <c r="M1338"/>
      <c r="N1338"/>
      <c r="U1338"/>
      <c r="V1338"/>
      <c r="W1338"/>
      <c r="X1338"/>
    </row>
    <row r="1339" spans="11:24">
      <c r="K1339"/>
      <c r="L1339"/>
      <c r="M1339"/>
      <c r="N1339"/>
      <c r="U1339"/>
      <c r="V1339"/>
      <c r="W1339"/>
      <c r="X1339"/>
    </row>
    <row r="1340" spans="11:24">
      <c r="K1340"/>
      <c r="L1340"/>
      <c r="M1340"/>
      <c r="N1340"/>
      <c r="U1340"/>
      <c r="V1340"/>
      <c r="W1340"/>
      <c r="X1340"/>
    </row>
    <row r="1341" spans="11:24">
      <c r="K1341"/>
      <c r="L1341"/>
      <c r="M1341"/>
      <c r="N1341"/>
      <c r="U1341"/>
      <c r="V1341"/>
      <c r="W1341"/>
      <c r="X1341"/>
    </row>
    <row r="1342" spans="11:24">
      <c r="K1342"/>
      <c r="L1342"/>
      <c r="M1342"/>
      <c r="N1342"/>
      <c r="U1342"/>
      <c r="V1342"/>
      <c r="W1342"/>
      <c r="X1342"/>
    </row>
    <row r="1343" spans="11:24">
      <c r="K1343"/>
      <c r="L1343"/>
      <c r="M1343"/>
      <c r="N1343"/>
      <c r="U1343"/>
      <c r="V1343"/>
      <c r="W1343"/>
      <c r="X1343"/>
    </row>
    <row r="1344" spans="11:24">
      <c r="K1344"/>
      <c r="L1344"/>
      <c r="M1344"/>
      <c r="N1344"/>
      <c r="U1344"/>
      <c r="V1344"/>
      <c r="W1344"/>
      <c r="X1344"/>
    </row>
    <row r="1345" spans="11:24">
      <c r="K1345"/>
      <c r="L1345"/>
      <c r="M1345"/>
      <c r="N1345"/>
      <c r="U1345"/>
      <c r="V1345"/>
      <c r="W1345"/>
      <c r="X1345"/>
    </row>
    <row r="1346" spans="11:24">
      <c r="K1346"/>
      <c r="L1346"/>
      <c r="M1346"/>
      <c r="N1346"/>
      <c r="U1346"/>
      <c r="V1346"/>
      <c r="W1346"/>
      <c r="X1346"/>
    </row>
    <row r="1347" spans="11:24">
      <c r="K1347"/>
      <c r="L1347"/>
      <c r="M1347"/>
      <c r="N1347"/>
      <c r="U1347"/>
      <c r="V1347"/>
      <c r="W1347"/>
      <c r="X1347"/>
    </row>
    <row r="1348" spans="11:24">
      <c r="K1348"/>
      <c r="L1348"/>
      <c r="M1348"/>
      <c r="N1348"/>
      <c r="U1348"/>
      <c r="V1348"/>
      <c r="W1348"/>
      <c r="X1348"/>
    </row>
    <row r="1349" spans="11:24">
      <c r="K1349"/>
      <c r="L1349"/>
      <c r="M1349"/>
      <c r="N1349"/>
      <c r="U1349"/>
      <c r="V1349"/>
      <c r="W1349"/>
      <c r="X1349"/>
    </row>
    <row r="1350" spans="11:24">
      <c r="K1350"/>
      <c r="L1350"/>
      <c r="M1350"/>
      <c r="N1350"/>
      <c r="U1350"/>
      <c r="V1350"/>
      <c r="W1350"/>
      <c r="X1350"/>
    </row>
    <row r="1351" spans="11:24">
      <c r="K1351"/>
      <c r="L1351"/>
      <c r="M1351"/>
      <c r="N1351"/>
      <c r="U1351"/>
      <c r="V1351"/>
      <c r="W1351"/>
      <c r="X1351"/>
    </row>
    <row r="1352" spans="11:24">
      <c r="K1352"/>
      <c r="L1352"/>
      <c r="M1352"/>
      <c r="N1352"/>
      <c r="U1352"/>
      <c r="V1352"/>
      <c r="W1352"/>
      <c r="X1352"/>
    </row>
    <row r="1353" spans="11:24">
      <c r="K1353"/>
      <c r="L1353"/>
      <c r="M1353"/>
      <c r="N1353"/>
      <c r="U1353"/>
      <c r="V1353"/>
      <c r="W1353"/>
      <c r="X1353"/>
    </row>
    <row r="1354" spans="11:24">
      <c r="K1354"/>
      <c r="L1354"/>
      <c r="M1354"/>
      <c r="N1354"/>
      <c r="U1354"/>
      <c r="V1354"/>
      <c r="W1354"/>
      <c r="X1354"/>
    </row>
    <row r="1355" spans="11:24">
      <c r="K1355"/>
      <c r="L1355"/>
      <c r="M1355"/>
      <c r="N1355"/>
      <c r="U1355"/>
      <c r="V1355"/>
      <c r="W1355"/>
      <c r="X1355"/>
    </row>
    <row r="1356" spans="11:24">
      <c r="K1356"/>
      <c r="L1356"/>
      <c r="M1356"/>
      <c r="N1356"/>
      <c r="U1356"/>
      <c r="V1356"/>
      <c r="W1356"/>
      <c r="X1356"/>
    </row>
    <row r="1357" spans="11:24">
      <c r="K1357"/>
      <c r="L1357"/>
      <c r="M1357"/>
      <c r="N1357"/>
      <c r="U1357"/>
      <c r="V1357"/>
      <c r="W1357"/>
      <c r="X1357"/>
    </row>
    <row r="1358" spans="11:24">
      <c r="K1358"/>
      <c r="L1358"/>
      <c r="M1358"/>
      <c r="N1358"/>
      <c r="U1358"/>
      <c r="V1358"/>
      <c r="W1358"/>
      <c r="X1358"/>
    </row>
    <row r="1359" spans="11:24">
      <c r="K1359"/>
      <c r="L1359"/>
      <c r="M1359"/>
      <c r="N1359"/>
      <c r="U1359"/>
      <c r="V1359"/>
      <c r="W1359"/>
      <c r="X1359"/>
    </row>
    <row r="1360" spans="11:24">
      <c r="K1360"/>
      <c r="L1360"/>
      <c r="M1360"/>
      <c r="N1360"/>
      <c r="U1360"/>
      <c r="V1360"/>
      <c r="W1360"/>
      <c r="X1360"/>
    </row>
    <row r="1361" spans="11:24">
      <c r="K1361"/>
      <c r="L1361"/>
      <c r="M1361"/>
      <c r="N1361"/>
      <c r="U1361"/>
      <c r="V1361"/>
      <c r="W1361"/>
      <c r="X1361"/>
    </row>
    <row r="1362" spans="11:24">
      <c r="K1362"/>
      <c r="L1362"/>
      <c r="M1362"/>
      <c r="N1362"/>
      <c r="U1362"/>
      <c r="V1362"/>
      <c r="W1362"/>
      <c r="X1362"/>
    </row>
    <row r="1363" spans="11:24">
      <c r="K1363"/>
      <c r="L1363"/>
      <c r="M1363"/>
      <c r="N1363"/>
      <c r="U1363"/>
      <c r="V1363"/>
      <c r="W1363"/>
      <c r="X1363"/>
    </row>
    <row r="1364" spans="11:24">
      <c r="K1364"/>
      <c r="L1364"/>
      <c r="M1364"/>
      <c r="N1364"/>
      <c r="U1364"/>
      <c r="V1364"/>
      <c r="W1364"/>
      <c r="X1364"/>
    </row>
    <row r="1365" spans="11:24">
      <c r="K1365"/>
      <c r="L1365"/>
      <c r="M1365"/>
      <c r="N1365"/>
      <c r="U1365"/>
      <c r="V1365"/>
      <c r="W1365"/>
      <c r="X1365"/>
    </row>
    <row r="1366" spans="11:24">
      <c r="K1366"/>
      <c r="L1366"/>
      <c r="M1366"/>
      <c r="N1366"/>
      <c r="U1366"/>
      <c r="V1366"/>
      <c r="W1366"/>
      <c r="X1366"/>
    </row>
    <row r="1367" spans="11:24">
      <c r="K1367"/>
      <c r="L1367"/>
      <c r="M1367"/>
      <c r="N1367"/>
      <c r="U1367"/>
      <c r="V1367"/>
      <c r="W1367"/>
      <c r="X1367"/>
    </row>
    <row r="1368" spans="11:24">
      <c r="K1368"/>
      <c r="L1368"/>
      <c r="M1368"/>
      <c r="N1368"/>
      <c r="U1368"/>
      <c r="V1368"/>
      <c r="W1368"/>
      <c r="X1368"/>
    </row>
    <row r="1369" spans="11:24">
      <c r="K1369"/>
      <c r="L1369"/>
      <c r="M1369"/>
      <c r="N1369"/>
      <c r="U1369"/>
      <c r="V1369"/>
      <c r="W1369"/>
      <c r="X1369"/>
    </row>
    <row r="1370" spans="11:24">
      <c r="K1370"/>
      <c r="L1370"/>
      <c r="M1370"/>
      <c r="N1370"/>
      <c r="U1370"/>
      <c r="V1370"/>
      <c r="W1370"/>
      <c r="X1370"/>
    </row>
    <row r="1371" spans="11:24">
      <c r="K1371"/>
      <c r="L1371"/>
      <c r="M1371"/>
      <c r="N1371"/>
      <c r="U1371"/>
      <c r="V1371"/>
      <c r="W1371"/>
      <c r="X1371"/>
    </row>
    <row r="1372" spans="11:24">
      <c r="K1372"/>
      <c r="L1372"/>
      <c r="M1372"/>
      <c r="N1372"/>
      <c r="U1372"/>
      <c r="V1372"/>
      <c r="W1372"/>
      <c r="X1372"/>
    </row>
    <row r="1373" spans="11:24">
      <c r="K1373"/>
      <c r="L1373"/>
      <c r="M1373"/>
      <c r="N1373"/>
      <c r="U1373"/>
      <c r="V1373"/>
      <c r="W1373"/>
      <c r="X1373"/>
    </row>
    <row r="1374" spans="11:24">
      <c r="K1374"/>
      <c r="L1374"/>
      <c r="M1374"/>
      <c r="N1374"/>
      <c r="U1374"/>
      <c r="V1374"/>
      <c r="W1374"/>
      <c r="X1374"/>
    </row>
    <row r="1375" spans="11:24">
      <c r="K1375"/>
      <c r="L1375"/>
      <c r="M1375"/>
      <c r="N1375"/>
      <c r="U1375"/>
      <c r="V1375"/>
      <c r="W1375"/>
      <c r="X1375"/>
    </row>
    <row r="1376" spans="11:24">
      <c r="K1376"/>
      <c r="L1376"/>
      <c r="M1376"/>
      <c r="N1376"/>
      <c r="U1376"/>
      <c r="V1376"/>
      <c r="W1376"/>
      <c r="X1376"/>
    </row>
    <row r="1377" spans="11:24">
      <c r="K1377"/>
      <c r="L1377"/>
      <c r="M1377"/>
      <c r="N1377"/>
      <c r="U1377"/>
      <c r="V1377"/>
      <c r="W1377"/>
      <c r="X1377"/>
    </row>
    <row r="1378" spans="11:24">
      <c r="K1378"/>
      <c r="L1378"/>
      <c r="M1378"/>
      <c r="N1378"/>
      <c r="U1378"/>
      <c r="V1378"/>
      <c r="W1378"/>
      <c r="X1378"/>
    </row>
    <row r="1379" spans="11:24">
      <c r="K1379"/>
      <c r="L1379"/>
      <c r="M1379"/>
      <c r="N1379"/>
      <c r="U1379"/>
      <c r="V1379"/>
      <c r="W1379"/>
      <c r="X1379"/>
    </row>
    <row r="1380" spans="11:24">
      <c r="K1380"/>
      <c r="L1380"/>
      <c r="M1380"/>
      <c r="N1380"/>
      <c r="U1380"/>
      <c r="V1380"/>
      <c r="W1380"/>
      <c r="X1380"/>
    </row>
    <row r="1381" spans="11:24">
      <c r="K1381"/>
      <c r="L1381"/>
      <c r="M1381"/>
      <c r="N1381"/>
      <c r="U1381"/>
      <c r="V1381"/>
      <c r="W1381"/>
      <c r="X1381"/>
    </row>
    <row r="1382" spans="11:24">
      <c r="K1382"/>
      <c r="L1382"/>
      <c r="M1382"/>
      <c r="N1382"/>
      <c r="U1382"/>
      <c r="V1382"/>
      <c r="W1382"/>
      <c r="X1382"/>
    </row>
    <row r="1383" spans="11:24">
      <c r="K1383"/>
      <c r="L1383"/>
      <c r="M1383"/>
      <c r="N1383"/>
      <c r="U1383"/>
      <c r="V1383"/>
      <c r="W1383"/>
      <c r="X1383"/>
    </row>
    <row r="1384" spans="11:24">
      <c r="K1384"/>
      <c r="L1384"/>
      <c r="M1384"/>
      <c r="N1384"/>
      <c r="U1384"/>
      <c r="V1384"/>
      <c r="W1384"/>
      <c r="X1384"/>
    </row>
    <row r="1385" spans="11:24">
      <c r="K1385"/>
      <c r="L1385"/>
      <c r="M1385"/>
      <c r="N1385"/>
      <c r="U1385"/>
      <c r="V1385"/>
      <c r="W1385"/>
      <c r="X1385"/>
    </row>
    <row r="1386" spans="11:24">
      <c r="K1386"/>
      <c r="L1386"/>
      <c r="M1386"/>
      <c r="N1386"/>
      <c r="U1386"/>
      <c r="V1386"/>
      <c r="W1386"/>
      <c r="X1386"/>
    </row>
    <row r="1387" spans="11:24">
      <c r="K1387"/>
      <c r="L1387"/>
      <c r="M1387"/>
      <c r="N1387"/>
      <c r="U1387"/>
      <c r="V1387"/>
      <c r="W1387"/>
      <c r="X1387"/>
    </row>
    <row r="1388" spans="11:24">
      <c r="K1388"/>
      <c r="L1388"/>
      <c r="M1388"/>
      <c r="N1388"/>
      <c r="U1388"/>
      <c r="V1388"/>
      <c r="W1388"/>
      <c r="X1388"/>
    </row>
    <row r="1389" spans="11:24">
      <c r="K1389"/>
      <c r="L1389"/>
      <c r="M1389"/>
      <c r="N1389"/>
      <c r="U1389"/>
      <c r="V1389"/>
      <c r="W1389"/>
      <c r="X1389"/>
    </row>
    <row r="1390" spans="11:24">
      <c r="K1390"/>
      <c r="L1390"/>
      <c r="M1390"/>
      <c r="N1390"/>
      <c r="U1390"/>
      <c r="V1390"/>
      <c r="W1390"/>
      <c r="X1390"/>
    </row>
    <row r="1391" spans="11:24">
      <c r="K1391"/>
      <c r="L1391"/>
      <c r="M1391"/>
      <c r="N1391"/>
      <c r="U1391"/>
      <c r="V1391"/>
      <c r="W1391"/>
      <c r="X1391"/>
    </row>
    <row r="1392" spans="11:24">
      <c r="K1392"/>
      <c r="L1392"/>
      <c r="M1392"/>
      <c r="N1392"/>
      <c r="U1392"/>
      <c r="V1392"/>
      <c r="W1392"/>
      <c r="X1392"/>
    </row>
    <row r="1393" spans="11:24">
      <c r="K1393"/>
      <c r="L1393"/>
      <c r="M1393"/>
      <c r="N1393"/>
      <c r="U1393"/>
      <c r="V1393"/>
      <c r="W1393"/>
      <c r="X1393"/>
    </row>
    <row r="1394" spans="11:24">
      <c r="K1394"/>
      <c r="L1394"/>
      <c r="M1394"/>
      <c r="N1394"/>
      <c r="U1394"/>
      <c r="V1394"/>
      <c r="W1394"/>
      <c r="X1394"/>
    </row>
    <row r="1395" spans="11:24">
      <c r="K1395"/>
      <c r="L1395"/>
      <c r="M1395"/>
      <c r="N1395"/>
      <c r="U1395"/>
      <c r="V1395"/>
      <c r="W1395"/>
      <c r="X1395"/>
    </row>
    <row r="1396" spans="11:24">
      <c r="K1396"/>
      <c r="L1396"/>
      <c r="M1396"/>
      <c r="N1396"/>
      <c r="U1396"/>
      <c r="V1396"/>
      <c r="W1396"/>
      <c r="X1396"/>
    </row>
    <row r="1397" spans="11:24">
      <c r="K1397"/>
      <c r="L1397"/>
      <c r="M1397"/>
      <c r="N1397"/>
      <c r="U1397"/>
      <c r="V1397"/>
      <c r="W1397"/>
      <c r="X1397"/>
    </row>
    <row r="1398" spans="11:24">
      <c r="K1398"/>
      <c r="L1398"/>
      <c r="M1398"/>
      <c r="N1398"/>
      <c r="U1398"/>
      <c r="V1398"/>
      <c r="W1398"/>
      <c r="X1398"/>
    </row>
    <row r="1399" spans="11:24">
      <c r="K1399"/>
      <c r="L1399"/>
      <c r="M1399"/>
      <c r="N1399"/>
      <c r="U1399"/>
      <c r="V1399"/>
      <c r="W1399"/>
      <c r="X1399"/>
    </row>
    <row r="1400" spans="11:24">
      <c r="K1400"/>
      <c r="L1400"/>
      <c r="M1400"/>
      <c r="N1400"/>
      <c r="U1400"/>
      <c r="V1400"/>
      <c r="W1400"/>
      <c r="X1400"/>
    </row>
    <row r="1401" spans="11:24">
      <c r="K1401"/>
      <c r="L1401"/>
      <c r="M1401"/>
      <c r="N1401"/>
      <c r="U1401"/>
      <c r="V1401"/>
      <c r="W1401"/>
      <c r="X1401"/>
    </row>
    <row r="1402" spans="11:24">
      <c r="K1402"/>
      <c r="L1402"/>
      <c r="M1402"/>
      <c r="N1402"/>
      <c r="U1402"/>
      <c r="V1402"/>
      <c r="W1402"/>
      <c r="X1402"/>
    </row>
    <row r="1403" spans="11:24">
      <c r="K1403"/>
      <c r="L1403"/>
      <c r="M1403"/>
      <c r="N1403"/>
      <c r="U1403"/>
      <c r="V1403"/>
      <c r="W1403"/>
      <c r="X1403"/>
    </row>
    <row r="1404" spans="11:24">
      <c r="K1404"/>
      <c r="L1404"/>
      <c r="M1404"/>
      <c r="N1404"/>
      <c r="U1404"/>
      <c r="V1404"/>
      <c r="W1404"/>
      <c r="X1404"/>
    </row>
    <row r="1405" spans="11:24">
      <c r="K1405"/>
      <c r="L1405"/>
      <c r="M1405"/>
      <c r="N1405"/>
      <c r="U1405"/>
      <c r="V1405"/>
      <c r="W1405"/>
      <c r="X1405"/>
    </row>
    <row r="1406" spans="11:24">
      <c r="K1406"/>
      <c r="L1406"/>
      <c r="M1406"/>
      <c r="N1406"/>
      <c r="U1406"/>
      <c r="V1406"/>
      <c r="W1406"/>
      <c r="X1406"/>
    </row>
    <row r="1407" spans="11:24">
      <c r="K1407"/>
      <c r="L1407"/>
      <c r="M1407"/>
      <c r="N1407"/>
      <c r="U1407"/>
      <c r="V1407"/>
      <c r="W1407"/>
      <c r="X1407"/>
    </row>
    <row r="1408" spans="11:24">
      <c r="K1408"/>
      <c r="L1408"/>
      <c r="M1408"/>
      <c r="N1408"/>
      <c r="U1408"/>
      <c r="V1408"/>
      <c r="W1408"/>
      <c r="X1408"/>
    </row>
    <row r="1409" spans="11:24">
      <c r="K1409"/>
      <c r="L1409"/>
      <c r="M1409"/>
      <c r="N1409"/>
      <c r="U1409"/>
      <c r="V1409"/>
      <c r="W1409"/>
      <c r="X1409"/>
    </row>
    <row r="1410" spans="11:24">
      <c r="K1410"/>
      <c r="L1410"/>
      <c r="M1410"/>
      <c r="N1410"/>
      <c r="U1410"/>
      <c r="V1410"/>
      <c r="W1410"/>
      <c r="X1410"/>
    </row>
    <row r="1411" spans="11:24">
      <c r="K1411"/>
      <c r="L1411"/>
      <c r="M1411"/>
      <c r="N1411"/>
      <c r="U1411"/>
      <c r="V1411"/>
      <c r="W1411"/>
      <c r="X1411"/>
    </row>
    <row r="1412" spans="11:24">
      <c r="K1412"/>
      <c r="L1412"/>
      <c r="M1412"/>
      <c r="N1412"/>
      <c r="U1412"/>
      <c r="V1412"/>
      <c r="W1412"/>
      <c r="X1412"/>
    </row>
    <row r="1413" spans="11:24">
      <c r="K1413"/>
      <c r="L1413"/>
      <c r="M1413"/>
      <c r="N1413"/>
      <c r="U1413"/>
      <c r="V1413"/>
      <c r="W1413"/>
      <c r="X1413"/>
    </row>
    <row r="1414" spans="11:24">
      <c r="K1414"/>
      <c r="L1414"/>
      <c r="M1414"/>
      <c r="N1414"/>
      <c r="U1414"/>
      <c r="V1414"/>
      <c r="W1414"/>
      <c r="X1414"/>
    </row>
    <row r="1415" spans="11:24">
      <c r="K1415"/>
      <c r="L1415"/>
      <c r="M1415"/>
      <c r="N1415"/>
      <c r="U1415"/>
      <c r="V1415"/>
      <c r="W1415"/>
      <c r="X1415"/>
    </row>
    <row r="1416" spans="11:24">
      <c r="K1416"/>
      <c r="L1416"/>
      <c r="M1416"/>
      <c r="N1416"/>
      <c r="U1416"/>
      <c r="V1416"/>
      <c r="W1416"/>
      <c r="X1416"/>
    </row>
    <row r="1417" spans="11:24">
      <c r="K1417"/>
      <c r="L1417"/>
      <c r="M1417"/>
      <c r="N1417"/>
      <c r="U1417"/>
      <c r="V1417"/>
      <c r="W1417"/>
      <c r="X1417"/>
    </row>
    <row r="1418" spans="11:24">
      <c r="K1418"/>
      <c r="L1418"/>
      <c r="M1418"/>
      <c r="N1418"/>
      <c r="U1418"/>
      <c r="V1418"/>
      <c r="W1418"/>
      <c r="X1418"/>
    </row>
    <row r="1419" spans="11:24">
      <c r="K1419"/>
      <c r="L1419"/>
      <c r="M1419"/>
      <c r="N1419"/>
      <c r="U1419"/>
      <c r="V1419"/>
      <c r="W1419"/>
      <c r="X1419"/>
    </row>
    <row r="1420" spans="11:24">
      <c r="K1420"/>
      <c r="L1420"/>
      <c r="M1420"/>
      <c r="N1420"/>
      <c r="U1420"/>
      <c r="V1420"/>
      <c r="W1420"/>
      <c r="X1420"/>
    </row>
    <row r="1421" spans="11:24">
      <c r="K1421"/>
      <c r="L1421"/>
      <c r="M1421"/>
      <c r="N1421"/>
      <c r="U1421"/>
      <c r="V1421"/>
      <c r="W1421"/>
      <c r="X1421"/>
    </row>
    <row r="1422" spans="11:24">
      <c r="K1422"/>
      <c r="L1422"/>
      <c r="M1422"/>
      <c r="N1422"/>
      <c r="U1422"/>
      <c r="V1422"/>
      <c r="W1422"/>
      <c r="X1422"/>
    </row>
    <row r="1423" spans="11:24">
      <c r="K1423"/>
      <c r="L1423"/>
      <c r="M1423"/>
      <c r="N1423"/>
      <c r="U1423"/>
      <c r="V1423"/>
      <c r="W1423"/>
      <c r="X1423"/>
    </row>
    <row r="1424" spans="11:24">
      <c r="K1424"/>
      <c r="L1424"/>
      <c r="M1424"/>
      <c r="N1424"/>
      <c r="U1424"/>
      <c r="V1424"/>
      <c r="W1424"/>
      <c r="X1424"/>
    </row>
    <row r="1425" spans="11:24">
      <c r="K1425"/>
      <c r="L1425"/>
      <c r="M1425"/>
      <c r="N1425"/>
      <c r="U1425"/>
      <c r="V1425"/>
      <c r="W1425"/>
      <c r="X1425"/>
    </row>
    <row r="1426" spans="11:24">
      <c r="K1426"/>
      <c r="L1426"/>
      <c r="M1426"/>
      <c r="N1426"/>
      <c r="U1426"/>
      <c r="V1426"/>
      <c r="W1426"/>
      <c r="X1426"/>
    </row>
    <row r="1427" spans="11:24">
      <c r="K1427"/>
      <c r="L1427"/>
      <c r="M1427"/>
      <c r="N1427"/>
      <c r="U1427"/>
      <c r="V1427"/>
      <c r="W1427"/>
      <c r="X1427"/>
    </row>
    <row r="1428" spans="11:24">
      <c r="K1428"/>
      <c r="L1428"/>
      <c r="M1428"/>
      <c r="N1428"/>
      <c r="U1428"/>
      <c r="V1428"/>
      <c r="W1428"/>
      <c r="X1428"/>
    </row>
    <row r="1429" spans="11:24">
      <c r="K1429"/>
      <c r="L1429"/>
      <c r="M1429"/>
      <c r="N1429"/>
      <c r="U1429"/>
      <c r="V1429"/>
      <c r="W1429"/>
      <c r="X1429"/>
    </row>
    <row r="1430" spans="11:24">
      <c r="K1430"/>
      <c r="L1430"/>
      <c r="M1430"/>
      <c r="N1430"/>
      <c r="U1430"/>
      <c r="V1430"/>
      <c r="W1430"/>
      <c r="X1430"/>
    </row>
    <row r="1431" spans="11:24">
      <c r="K1431"/>
      <c r="L1431"/>
      <c r="M1431"/>
      <c r="N1431"/>
      <c r="U1431"/>
      <c r="V1431"/>
      <c r="W1431"/>
      <c r="X1431"/>
    </row>
    <row r="1432" spans="11:24">
      <c r="K1432"/>
      <c r="L1432"/>
      <c r="M1432"/>
      <c r="N1432"/>
      <c r="U1432"/>
      <c r="V1432"/>
      <c r="W1432"/>
      <c r="X1432"/>
    </row>
    <row r="1433" spans="11:24">
      <c r="K1433"/>
      <c r="L1433"/>
      <c r="M1433"/>
      <c r="N1433"/>
      <c r="U1433"/>
      <c r="V1433"/>
      <c r="W1433"/>
      <c r="X1433"/>
    </row>
    <row r="1434" spans="11:24">
      <c r="K1434"/>
      <c r="L1434"/>
      <c r="M1434"/>
      <c r="N1434"/>
      <c r="U1434"/>
      <c r="V1434"/>
      <c r="W1434"/>
      <c r="X1434"/>
    </row>
    <row r="1435" spans="11:24">
      <c r="K1435"/>
      <c r="L1435"/>
      <c r="M1435"/>
      <c r="N1435"/>
      <c r="U1435"/>
      <c r="V1435"/>
      <c r="W1435"/>
      <c r="X1435"/>
    </row>
    <row r="1436" spans="11:24">
      <c r="K1436"/>
      <c r="L1436"/>
      <c r="M1436"/>
      <c r="N1436"/>
      <c r="U1436"/>
      <c r="V1436"/>
      <c r="W1436"/>
      <c r="X1436"/>
    </row>
    <row r="1437" spans="11:24">
      <c r="K1437"/>
      <c r="L1437"/>
      <c r="M1437"/>
      <c r="N1437"/>
      <c r="U1437"/>
      <c r="V1437"/>
      <c r="W1437"/>
      <c r="X1437"/>
    </row>
    <row r="1438" spans="11:24">
      <c r="K1438"/>
      <c r="L1438"/>
      <c r="M1438"/>
      <c r="N1438"/>
      <c r="U1438"/>
      <c r="V1438"/>
      <c r="W1438"/>
      <c r="X1438"/>
    </row>
    <row r="1439" spans="11:24">
      <c r="K1439"/>
      <c r="L1439"/>
      <c r="M1439"/>
      <c r="N1439"/>
      <c r="U1439"/>
      <c r="V1439"/>
      <c r="W1439"/>
      <c r="X1439"/>
    </row>
    <row r="1440" spans="11:24">
      <c r="K1440"/>
      <c r="L1440"/>
      <c r="M1440"/>
      <c r="N1440"/>
      <c r="U1440"/>
      <c r="V1440"/>
      <c r="W1440"/>
      <c r="X1440"/>
    </row>
    <row r="1441" spans="11:24">
      <c r="K1441"/>
      <c r="L1441"/>
      <c r="M1441"/>
      <c r="N1441"/>
      <c r="U1441"/>
      <c r="V1441"/>
      <c r="W1441"/>
      <c r="X1441"/>
    </row>
    <row r="1442" spans="11:24">
      <c r="K1442"/>
      <c r="L1442"/>
      <c r="M1442"/>
      <c r="N1442"/>
      <c r="U1442"/>
      <c r="V1442"/>
      <c r="W1442"/>
      <c r="X1442"/>
    </row>
    <row r="1443" spans="11:24">
      <c r="K1443"/>
      <c r="L1443"/>
      <c r="M1443"/>
      <c r="N1443"/>
      <c r="U1443"/>
      <c r="V1443"/>
      <c r="W1443"/>
      <c r="X1443"/>
    </row>
    <row r="1444" spans="11:24">
      <c r="K1444"/>
      <c r="L1444"/>
      <c r="M1444"/>
      <c r="N1444"/>
      <c r="U1444"/>
      <c r="V1444"/>
      <c r="W1444"/>
      <c r="X1444"/>
    </row>
    <row r="1445" spans="11:24">
      <c r="K1445"/>
      <c r="L1445"/>
      <c r="M1445"/>
      <c r="N1445"/>
      <c r="U1445"/>
      <c r="V1445"/>
      <c r="W1445"/>
      <c r="X1445"/>
    </row>
    <row r="1446" spans="11:24">
      <c r="K1446"/>
      <c r="L1446"/>
      <c r="M1446"/>
      <c r="N1446"/>
      <c r="U1446"/>
      <c r="V1446"/>
      <c r="W1446"/>
      <c r="X1446"/>
    </row>
    <row r="1447" spans="11:24">
      <c r="K1447"/>
      <c r="L1447"/>
      <c r="M1447"/>
      <c r="N1447"/>
      <c r="U1447"/>
      <c r="V1447"/>
      <c r="W1447"/>
      <c r="X1447"/>
    </row>
    <row r="1448" spans="11:24">
      <c r="K1448"/>
      <c r="L1448"/>
      <c r="M1448"/>
      <c r="N1448"/>
      <c r="U1448"/>
      <c r="V1448"/>
      <c r="W1448"/>
      <c r="X1448"/>
    </row>
    <row r="1449" spans="11:24">
      <c r="K1449"/>
      <c r="L1449"/>
      <c r="M1449"/>
      <c r="N1449"/>
      <c r="U1449"/>
      <c r="V1449"/>
      <c r="W1449"/>
      <c r="X1449"/>
    </row>
    <row r="1450" spans="11:24">
      <c r="K1450"/>
      <c r="L1450"/>
      <c r="M1450"/>
      <c r="N1450"/>
      <c r="U1450"/>
      <c r="V1450"/>
      <c r="W1450"/>
      <c r="X1450"/>
    </row>
    <row r="1451" spans="11:24">
      <c r="K1451"/>
      <c r="L1451"/>
      <c r="M1451"/>
      <c r="N1451"/>
      <c r="U1451"/>
      <c r="V1451"/>
      <c r="W1451"/>
      <c r="X1451"/>
    </row>
    <row r="1452" spans="11:24">
      <c r="K1452"/>
      <c r="L1452"/>
      <c r="M1452"/>
      <c r="N1452"/>
      <c r="U1452"/>
      <c r="V1452"/>
      <c r="W1452"/>
      <c r="X1452"/>
    </row>
    <row r="1453" spans="11:24">
      <c r="K1453"/>
      <c r="L1453"/>
      <c r="M1453"/>
      <c r="N1453"/>
      <c r="U1453"/>
      <c r="V1453"/>
      <c r="W1453"/>
      <c r="X1453"/>
    </row>
    <row r="1454" spans="11:24">
      <c r="K1454"/>
      <c r="L1454"/>
      <c r="M1454"/>
      <c r="N1454"/>
      <c r="U1454"/>
      <c r="V1454"/>
      <c r="W1454"/>
      <c r="X1454"/>
    </row>
    <row r="1455" spans="11:24">
      <c r="K1455"/>
      <c r="L1455"/>
      <c r="M1455"/>
      <c r="N1455"/>
      <c r="U1455"/>
      <c r="V1455"/>
      <c r="W1455"/>
      <c r="X1455"/>
    </row>
    <row r="1456" spans="11:24">
      <c r="K1456"/>
      <c r="L1456"/>
      <c r="M1456"/>
      <c r="N1456"/>
      <c r="U1456"/>
      <c r="V1456"/>
      <c r="W1456"/>
      <c r="X1456"/>
    </row>
    <row r="1457" spans="11:24">
      <c r="K1457"/>
      <c r="L1457"/>
      <c r="M1457"/>
      <c r="N1457"/>
      <c r="U1457"/>
      <c r="V1457"/>
      <c r="W1457"/>
      <c r="X1457"/>
    </row>
    <row r="1458" spans="11:24">
      <c r="K1458"/>
      <c r="L1458"/>
      <c r="M1458"/>
      <c r="N1458"/>
      <c r="U1458"/>
      <c r="V1458"/>
      <c r="W1458"/>
      <c r="X1458"/>
    </row>
    <row r="1459" spans="11:24">
      <c r="K1459"/>
      <c r="L1459"/>
      <c r="M1459"/>
      <c r="N1459"/>
      <c r="U1459"/>
      <c r="V1459"/>
      <c r="W1459"/>
      <c r="X1459"/>
    </row>
    <row r="1460" spans="11:24">
      <c r="K1460"/>
      <c r="L1460"/>
      <c r="M1460"/>
      <c r="N1460"/>
      <c r="U1460"/>
      <c r="V1460"/>
      <c r="W1460"/>
      <c r="X1460"/>
    </row>
    <row r="1461" spans="11:24">
      <c r="K1461"/>
      <c r="L1461"/>
      <c r="M1461"/>
      <c r="N1461"/>
      <c r="U1461"/>
      <c r="V1461"/>
      <c r="W1461"/>
      <c r="X1461"/>
    </row>
    <row r="1462" spans="11:24">
      <c r="K1462"/>
      <c r="L1462"/>
      <c r="M1462"/>
      <c r="N1462"/>
      <c r="U1462"/>
      <c r="V1462"/>
      <c r="W1462"/>
      <c r="X1462"/>
    </row>
    <row r="1463" spans="11:24">
      <c r="K1463"/>
      <c r="L1463"/>
      <c r="M1463"/>
      <c r="N1463"/>
      <c r="U1463"/>
      <c r="V1463"/>
      <c r="W1463"/>
      <c r="X1463"/>
    </row>
    <row r="1464" spans="11:24">
      <c r="K1464"/>
      <c r="L1464"/>
      <c r="M1464"/>
      <c r="N1464"/>
      <c r="U1464"/>
      <c r="V1464"/>
      <c r="W1464"/>
      <c r="X1464"/>
    </row>
    <row r="1465" spans="11:24">
      <c r="K1465"/>
      <c r="L1465"/>
      <c r="M1465"/>
      <c r="N1465"/>
      <c r="U1465"/>
      <c r="V1465"/>
      <c r="W1465"/>
      <c r="X1465"/>
    </row>
    <row r="1466" spans="11:24">
      <c r="K1466"/>
      <c r="L1466"/>
      <c r="M1466"/>
      <c r="N1466"/>
      <c r="U1466"/>
      <c r="V1466"/>
      <c r="W1466"/>
      <c r="X1466"/>
    </row>
    <row r="1467" spans="11:24">
      <c r="K1467"/>
      <c r="L1467"/>
      <c r="M1467"/>
      <c r="N1467"/>
      <c r="U1467"/>
      <c r="V1467"/>
      <c r="W1467"/>
      <c r="X1467"/>
    </row>
    <row r="1468" spans="11:24">
      <c r="K1468"/>
      <c r="L1468"/>
      <c r="M1468"/>
      <c r="N1468"/>
      <c r="U1468"/>
      <c r="V1468"/>
      <c r="W1468"/>
      <c r="X1468"/>
    </row>
    <row r="1469" spans="11:24">
      <c r="K1469"/>
      <c r="L1469"/>
      <c r="M1469"/>
      <c r="N1469"/>
      <c r="U1469"/>
      <c r="V1469"/>
      <c r="W1469"/>
      <c r="X1469"/>
    </row>
    <row r="1470" spans="11:24">
      <c r="K1470"/>
      <c r="L1470"/>
      <c r="M1470"/>
      <c r="N1470"/>
      <c r="U1470"/>
      <c r="V1470"/>
      <c r="W1470"/>
      <c r="X1470"/>
    </row>
    <row r="1471" spans="11:24">
      <c r="K1471"/>
      <c r="L1471"/>
      <c r="M1471"/>
      <c r="N1471"/>
      <c r="U1471"/>
      <c r="V1471"/>
      <c r="W1471"/>
      <c r="X1471"/>
    </row>
    <row r="1472" spans="11:24">
      <c r="K1472"/>
      <c r="L1472"/>
      <c r="M1472"/>
      <c r="N1472"/>
      <c r="U1472"/>
      <c r="V1472"/>
      <c r="W1472"/>
      <c r="X1472"/>
    </row>
    <row r="1473" spans="11:24">
      <c r="K1473"/>
      <c r="L1473"/>
      <c r="M1473"/>
      <c r="N1473"/>
      <c r="U1473"/>
      <c r="V1473"/>
      <c r="W1473"/>
      <c r="X1473"/>
    </row>
    <row r="1474" spans="11:24">
      <c r="K1474"/>
      <c r="L1474"/>
      <c r="M1474"/>
      <c r="N1474"/>
      <c r="U1474"/>
      <c r="V1474"/>
      <c r="W1474"/>
      <c r="X1474"/>
    </row>
    <row r="1475" spans="11:24">
      <c r="K1475"/>
      <c r="L1475"/>
      <c r="M1475"/>
      <c r="N1475"/>
      <c r="U1475"/>
      <c r="V1475"/>
      <c r="W1475"/>
      <c r="X1475"/>
    </row>
    <row r="1476" spans="11:24">
      <c r="K1476"/>
      <c r="L1476"/>
      <c r="M1476"/>
      <c r="N1476"/>
      <c r="U1476"/>
      <c r="V1476"/>
      <c r="W1476"/>
      <c r="X1476"/>
    </row>
    <row r="1477" spans="11:24">
      <c r="K1477"/>
      <c r="L1477"/>
      <c r="M1477"/>
      <c r="N1477"/>
      <c r="U1477"/>
      <c r="V1477"/>
      <c r="W1477"/>
      <c r="X1477"/>
    </row>
    <row r="1478" spans="11:24">
      <c r="K1478"/>
      <c r="L1478"/>
      <c r="M1478"/>
      <c r="N1478"/>
      <c r="U1478"/>
      <c r="V1478"/>
      <c r="W1478"/>
      <c r="X1478"/>
    </row>
    <row r="1479" spans="11:24">
      <c r="K1479"/>
      <c r="L1479"/>
      <c r="M1479"/>
      <c r="N1479"/>
      <c r="U1479"/>
      <c r="V1479"/>
      <c r="W1479"/>
      <c r="X1479"/>
    </row>
    <row r="1480" spans="11:24">
      <c r="K1480"/>
      <c r="L1480"/>
      <c r="M1480"/>
      <c r="N1480"/>
      <c r="U1480"/>
      <c r="V1480"/>
      <c r="W1480"/>
      <c r="X1480"/>
    </row>
    <row r="1481" spans="11:24">
      <c r="K1481"/>
      <c r="L1481"/>
      <c r="M1481"/>
      <c r="N1481"/>
      <c r="U1481"/>
      <c r="V1481"/>
      <c r="W1481"/>
      <c r="X1481"/>
    </row>
    <row r="1482" spans="11:24">
      <c r="K1482"/>
      <c r="L1482"/>
      <c r="M1482"/>
      <c r="N1482"/>
      <c r="U1482"/>
      <c r="V1482"/>
      <c r="W1482"/>
      <c r="X1482"/>
    </row>
    <row r="1483" spans="11:24">
      <c r="K1483"/>
      <c r="L1483"/>
      <c r="M1483"/>
      <c r="N1483"/>
      <c r="U1483"/>
      <c r="V1483"/>
      <c r="W1483"/>
      <c r="X1483"/>
    </row>
    <row r="1484" spans="11:24">
      <c r="K1484"/>
      <c r="L1484"/>
      <c r="M1484"/>
      <c r="N1484"/>
      <c r="U1484"/>
      <c r="V1484"/>
      <c r="W1484"/>
      <c r="X1484"/>
    </row>
    <row r="1485" spans="11:24">
      <c r="K1485"/>
      <c r="L1485"/>
      <c r="M1485"/>
      <c r="N1485"/>
      <c r="U1485"/>
      <c r="V1485"/>
      <c r="W1485"/>
      <c r="X1485"/>
    </row>
    <row r="1486" spans="11:24">
      <c r="K1486"/>
      <c r="L1486"/>
      <c r="M1486"/>
      <c r="N1486"/>
      <c r="U1486"/>
      <c r="V1486"/>
      <c r="W1486"/>
      <c r="X1486"/>
    </row>
    <row r="1487" spans="11:24">
      <c r="K1487"/>
      <c r="L1487"/>
      <c r="M1487"/>
      <c r="N1487"/>
      <c r="U1487"/>
      <c r="V1487"/>
      <c r="W1487"/>
      <c r="X1487"/>
    </row>
    <row r="1488" spans="11:24">
      <c r="K1488"/>
      <c r="L1488"/>
      <c r="M1488"/>
      <c r="N1488"/>
      <c r="U1488"/>
      <c r="V1488"/>
      <c r="W1488"/>
      <c r="X1488"/>
    </row>
    <row r="1489" spans="11:24">
      <c r="K1489"/>
      <c r="L1489"/>
      <c r="M1489"/>
      <c r="N1489"/>
      <c r="U1489"/>
      <c r="V1489"/>
      <c r="W1489"/>
      <c r="X1489"/>
    </row>
    <row r="1490" spans="11:24">
      <c r="K1490"/>
      <c r="L1490"/>
      <c r="M1490"/>
      <c r="N1490"/>
      <c r="U1490"/>
      <c r="V1490"/>
      <c r="W1490"/>
      <c r="X1490"/>
    </row>
    <row r="1491" spans="11:24">
      <c r="K1491"/>
      <c r="L1491"/>
      <c r="M1491"/>
      <c r="N1491"/>
      <c r="U1491"/>
      <c r="V1491"/>
      <c r="W1491"/>
      <c r="X1491"/>
    </row>
    <row r="1492" spans="11:24">
      <c r="K1492"/>
      <c r="L1492"/>
      <c r="M1492"/>
      <c r="N1492"/>
      <c r="U1492"/>
      <c r="V1492"/>
      <c r="W1492"/>
      <c r="X1492"/>
    </row>
    <row r="1493" spans="11:24">
      <c r="K1493"/>
      <c r="L1493"/>
      <c r="M1493"/>
      <c r="N1493"/>
      <c r="U1493"/>
      <c r="V1493"/>
      <c r="W1493"/>
      <c r="X1493"/>
    </row>
    <row r="1494" spans="11:24">
      <c r="K1494"/>
      <c r="L1494"/>
      <c r="M1494"/>
      <c r="N1494"/>
      <c r="U1494"/>
      <c r="V1494"/>
      <c r="W1494"/>
      <c r="X1494"/>
    </row>
    <row r="1495" spans="11:24">
      <c r="K1495"/>
      <c r="L1495"/>
      <c r="M1495"/>
      <c r="N1495"/>
      <c r="U1495"/>
      <c r="V1495"/>
      <c r="W1495"/>
      <c r="X1495"/>
    </row>
    <row r="1496" spans="11:24">
      <c r="K1496"/>
      <c r="L1496"/>
      <c r="M1496"/>
      <c r="N1496"/>
      <c r="U1496"/>
      <c r="V1496"/>
      <c r="W1496"/>
      <c r="X1496"/>
    </row>
    <row r="1497" spans="11:24">
      <c r="K1497"/>
      <c r="L1497"/>
      <c r="M1497"/>
      <c r="N1497"/>
      <c r="U1497"/>
      <c r="V1497"/>
      <c r="W1497"/>
      <c r="X1497"/>
    </row>
    <row r="1498" spans="11:24">
      <c r="K1498"/>
      <c r="L1498"/>
      <c r="M1498"/>
      <c r="N1498"/>
      <c r="U1498"/>
      <c r="V1498"/>
      <c r="W1498"/>
      <c r="X1498"/>
    </row>
    <row r="1499" spans="11:24">
      <c r="K1499"/>
      <c r="L1499"/>
      <c r="M1499"/>
      <c r="N1499"/>
      <c r="U1499"/>
      <c r="V1499"/>
      <c r="W1499"/>
      <c r="X1499"/>
    </row>
    <row r="1500" spans="11:24">
      <c r="K1500"/>
      <c r="L1500"/>
      <c r="M1500"/>
      <c r="N1500"/>
      <c r="U1500"/>
      <c r="V1500"/>
      <c r="W1500"/>
      <c r="X1500"/>
    </row>
    <row r="1501" spans="11:24">
      <c r="K1501"/>
      <c r="L1501"/>
      <c r="M1501"/>
      <c r="N1501"/>
      <c r="U1501"/>
      <c r="V1501"/>
      <c r="W1501"/>
      <c r="X1501"/>
    </row>
    <row r="1502" spans="11:24">
      <c r="K1502"/>
      <c r="L1502"/>
      <c r="M1502"/>
      <c r="N1502"/>
      <c r="U1502"/>
      <c r="V1502"/>
      <c r="W1502"/>
      <c r="X1502"/>
    </row>
    <row r="1503" spans="11:24">
      <c r="K1503"/>
      <c r="L1503"/>
      <c r="M1503"/>
      <c r="N1503"/>
      <c r="U1503"/>
      <c r="V1503"/>
      <c r="W1503"/>
      <c r="X1503"/>
    </row>
    <row r="1504" spans="11:24">
      <c r="K1504"/>
      <c r="L1504"/>
      <c r="M1504"/>
      <c r="N1504"/>
      <c r="U1504"/>
      <c r="V1504"/>
      <c r="W1504"/>
      <c r="X1504"/>
    </row>
    <row r="1505" spans="11:24">
      <c r="K1505"/>
      <c r="L1505"/>
      <c r="M1505"/>
      <c r="N1505"/>
      <c r="U1505"/>
      <c r="V1505"/>
      <c r="W1505"/>
      <c r="X1505"/>
    </row>
    <row r="1506" spans="11:24">
      <c r="K1506"/>
      <c r="L1506"/>
      <c r="M1506"/>
      <c r="N1506"/>
      <c r="U1506"/>
      <c r="V1506"/>
      <c r="W1506"/>
      <c r="X1506"/>
    </row>
    <row r="1507" spans="11:24">
      <c r="K1507"/>
      <c r="L1507"/>
      <c r="M1507"/>
      <c r="N1507"/>
      <c r="U1507"/>
      <c r="V1507"/>
      <c r="W1507"/>
      <c r="X1507"/>
    </row>
    <row r="1508" spans="11:24">
      <c r="K1508"/>
      <c r="L1508"/>
      <c r="M1508"/>
      <c r="N1508"/>
      <c r="U1508"/>
      <c r="V1508"/>
      <c r="W1508"/>
      <c r="X1508"/>
    </row>
    <row r="1509" spans="11:24">
      <c r="K1509"/>
      <c r="L1509"/>
      <c r="M1509"/>
      <c r="N1509"/>
      <c r="U1509"/>
      <c r="V1509"/>
      <c r="W1509"/>
      <c r="X1509"/>
    </row>
    <row r="1510" spans="11:24">
      <c r="K1510"/>
      <c r="L1510"/>
      <c r="M1510"/>
      <c r="N1510"/>
      <c r="U1510"/>
      <c r="V1510"/>
      <c r="W1510"/>
      <c r="X1510"/>
    </row>
    <row r="1511" spans="11:24">
      <c r="K1511"/>
      <c r="L1511"/>
      <c r="M1511"/>
      <c r="N1511"/>
      <c r="U1511"/>
      <c r="V1511"/>
      <c r="W1511"/>
      <c r="X1511"/>
    </row>
    <row r="1512" spans="11:24">
      <c r="K1512"/>
      <c r="L1512"/>
      <c r="M1512"/>
      <c r="N1512"/>
      <c r="U1512"/>
      <c r="V1512"/>
      <c r="W1512"/>
      <c r="X1512"/>
    </row>
    <row r="1513" spans="11:24">
      <c r="K1513"/>
      <c r="L1513"/>
      <c r="M1513"/>
      <c r="N1513"/>
      <c r="U1513"/>
      <c r="V1513"/>
      <c r="W1513"/>
      <c r="X1513"/>
    </row>
    <row r="1514" spans="11:24">
      <c r="K1514"/>
      <c r="L1514"/>
      <c r="M1514"/>
      <c r="N1514"/>
      <c r="U1514"/>
      <c r="V1514"/>
      <c r="W1514"/>
      <c r="X1514"/>
    </row>
    <row r="1515" spans="11:24">
      <c r="K1515"/>
      <c r="L1515"/>
      <c r="M1515"/>
      <c r="N1515"/>
      <c r="U1515"/>
      <c r="V1515"/>
      <c r="W1515"/>
      <c r="X1515"/>
    </row>
    <row r="1516" spans="11:24">
      <c r="K1516"/>
      <c r="L1516"/>
      <c r="M1516"/>
      <c r="N1516"/>
      <c r="U1516"/>
      <c r="V1516"/>
      <c r="W1516"/>
      <c r="X1516"/>
    </row>
    <row r="1517" spans="11:24">
      <c r="K1517"/>
      <c r="L1517"/>
      <c r="M1517"/>
      <c r="N1517"/>
      <c r="U1517"/>
      <c r="V1517"/>
      <c r="W1517"/>
      <c r="X1517"/>
    </row>
    <row r="1518" spans="11:24">
      <c r="K1518"/>
      <c r="L1518"/>
      <c r="M1518"/>
      <c r="N1518"/>
      <c r="U1518"/>
      <c r="V1518"/>
      <c r="W1518"/>
      <c r="X1518"/>
    </row>
    <row r="1519" spans="11:24">
      <c r="K1519"/>
      <c r="L1519"/>
      <c r="M1519"/>
      <c r="N1519"/>
      <c r="U1519"/>
      <c r="V1519"/>
      <c r="W1519"/>
      <c r="X1519"/>
    </row>
    <row r="1520" spans="11:24">
      <c r="K1520"/>
      <c r="L1520"/>
      <c r="M1520"/>
      <c r="N1520"/>
      <c r="U1520"/>
      <c r="V1520"/>
      <c r="W1520"/>
      <c r="X1520"/>
    </row>
    <row r="1521" spans="11:24">
      <c r="K1521"/>
      <c r="L1521"/>
      <c r="M1521"/>
      <c r="N1521"/>
      <c r="U1521"/>
      <c r="V1521"/>
      <c r="W1521"/>
      <c r="X1521"/>
    </row>
    <row r="1522" spans="11:24">
      <c r="K1522"/>
      <c r="L1522"/>
      <c r="M1522"/>
      <c r="N1522"/>
      <c r="U1522"/>
      <c r="V1522"/>
      <c r="W1522"/>
      <c r="X1522"/>
    </row>
    <row r="1523" spans="11:24">
      <c r="K1523"/>
      <c r="L1523"/>
      <c r="M1523"/>
      <c r="N1523"/>
      <c r="U1523"/>
      <c r="V1523"/>
      <c r="W1523"/>
      <c r="X1523"/>
    </row>
    <row r="1524" spans="11:24">
      <c r="K1524"/>
      <c r="L1524"/>
      <c r="M1524"/>
      <c r="N1524"/>
      <c r="U1524"/>
      <c r="V1524"/>
      <c r="W1524"/>
      <c r="X1524"/>
    </row>
    <row r="1525" spans="11:24">
      <c r="K1525"/>
      <c r="L1525"/>
      <c r="M1525"/>
      <c r="N1525"/>
      <c r="U1525"/>
      <c r="V1525"/>
      <c r="W1525"/>
      <c r="X1525"/>
    </row>
    <row r="1526" spans="11:24">
      <c r="K1526"/>
      <c r="L1526"/>
      <c r="M1526"/>
      <c r="N1526"/>
      <c r="U1526"/>
      <c r="V1526"/>
      <c r="W1526"/>
      <c r="X1526"/>
    </row>
    <row r="1527" spans="11:24">
      <c r="K1527"/>
      <c r="L1527"/>
      <c r="M1527"/>
      <c r="N1527"/>
      <c r="U1527"/>
      <c r="V1527"/>
      <c r="W1527"/>
      <c r="X1527"/>
    </row>
    <row r="1528" spans="11:24">
      <c r="K1528"/>
      <c r="L1528"/>
      <c r="M1528"/>
      <c r="N1528"/>
      <c r="U1528"/>
      <c r="V1528"/>
      <c r="W1528"/>
      <c r="X1528"/>
    </row>
    <row r="1529" spans="11:24">
      <c r="K1529"/>
      <c r="L1529"/>
      <c r="M1529"/>
      <c r="N1529"/>
      <c r="U1529"/>
      <c r="V1529"/>
      <c r="W1529"/>
      <c r="X1529"/>
    </row>
    <row r="1530" spans="11:24">
      <c r="K1530"/>
      <c r="L1530"/>
      <c r="M1530"/>
      <c r="N1530"/>
      <c r="U1530"/>
      <c r="V1530"/>
      <c r="W1530"/>
      <c r="X1530"/>
    </row>
    <row r="1531" spans="11:24">
      <c r="K1531"/>
      <c r="L1531"/>
      <c r="M1531"/>
      <c r="N1531"/>
      <c r="U1531"/>
      <c r="V1531"/>
      <c r="W1531"/>
      <c r="X1531"/>
    </row>
    <row r="1532" spans="11:24">
      <c r="K1532"/>
      <c r="L1532"/>
      <c r="M1532"/>
      <c r="N1532"/>
      <c r="U1532"/>
      <c r="V1532"/>
      <c r="W1532"/>
      <c r="X1532"/>
    </row>
    <row r="1533" spans="11:24">
      <c r="K1533"/>
      <c r="L1533"/>
      <c r="M1533"/>
      <c r="N1533"/>
      <c r="U1533"/>
      <c r="V1533"/>
      <c r="W1533"/>
      <c r="X1533"/>
    </row>
    <row r="1534" spans="11:24">
      <c r="K1534"/>
      <c r="L1534"/>
      <c r="M1534"/>
      <c r="N1534"/>
      <c r="U1534"/>
      <c r="V1534"/>
      <c r="W1534"/>
      <c r="X1534"/>
    </row>
    <row r="1535" spans="11:24">
      <c r="K1535"/>
      <c r="L1535"/>
      <c r="M1535"/>
      <c r="N1535"/>
      <c r="U1535"/>
      <c r="V1535"/>
      <c r="W1535"/>
      <c r="X1535"/>
    </row>
    <row r="1536" spans="11:24">
      <c r="K1536"/>
      <c r="L1536"/>
      <c r="M1536"/>
      <c r="N1536"/>
      <c r="U1536"/>
      <c r="V1536"/>
      <c r="W1536"/>
      <c r="X1536"/>
    </row>
    <row r="1537" spans="11:24">
      <c r="K1537"/>
      <c r="L1537"/>
      <c r="M1537"/>
      <c r="N1537"/>
      <c r="U1537"/>
      <c r="V1537"/>
      <c r="W1537"/>
      <c r="X1537"/>
    </row>
    <row r="1538" spans="11:24">
      <c r="K1538"/>
      <c r="L1538"/>
      <c r="M1538"/>
      <c r="N1538"/>
      <c r="U1538"/>
      <c r="V1538"/>
      <c r="W1538"/>
      <c r="X1538"/>
    </row>
    <row r="1539" spans="11:24">
      <c r="K1539"/>
      <c r="L1539"/>
      <c r="M1539"/>
      <c r="N1539"/>
      <c r="U1539"/>
      <c r="V1539"/>
      <c r="W1539"/>
      <c r="X1539"/>
    </row>
    <row r="1540" spans="11:24">
      <c r="K1540"/>
      <c r="L1540"/>
      <c r="M1540"/>
      <c r="N1540"/>
      <c r="U1540"/>
      <c r="V1540"/>
      <c r="W1540"/>
      <c r="X1540"/>
    </row>
    <row r="1541" spans="11:24">
      <c r="K1541"/>
      <c r="L1541"/>
      <c r="M1541"/>
      <c r="N1541"/>
      <c r="U1541"/>
      <c r="V1541"/>
      <c r="W1541"/>
      <c r="X1541"/>
    </row>
    <row r="1542" spans="11:24">
      <c r="K1542"/>
      <c r="L1542"/>
      <c r="M1542"/>
      <c r="N1542"/>
      <c r="U1542"/>
      <c r="V1542"/>
      <c r="W1542"/>
      <c r="X1542"/>
    </row>
    <row r="1543" spans="11:24">
      <c r="K1543"/>
      <c r="L1543"/>
      <c r="M1543"/>
      <c r="N1543"/>
      <c r="U1543"/>
      <c r="V1543"/>
      <c r="W1543"/>
      <c r="X1543"/>
    </row>
    <row r="1544" spans="11:24">
      <c r="K1544"/>
      <c r="L1544"/>
      <c r="M1544"/>
      <c r="N1544"/>
      <c r="U1544"/>
      <c r="V1544"/>
      <c r="W1544"/>
      <c r="X1544"/>
    </row>
    <row r="1545" spans="11:24">
      <c r="K1545"/>
      <c r="L1545"/>
      <c r="M1545"/>
      <c r="N1545"/>
      <c r="U1545"/>
      <c r="V1545"/>
      <c r="W1545"/>
      <c r="X1545"/>
    </row>
    <row r="1546" spans="11:24">
      <c r="K1546"/>
      <c r="L1546"/>
      <c r="M1546"/>
      <c r="N1546"/>
      <c r="U1546"/>
      <c r="V1546"/>
      <c r="W1546"/>
      <c r="X1546"/>
    </row>
    <row r="1547" spans="11:24">
      <c r="K1547"/>
      <c r="L1547"/>
      <c r="M1547"/>
      <c r="N1547"/>
      <c r="U1547"/>
      <c r="V1547"/>
      <c r="W1547"/>
      <c r="X1547"/>
    </row>
    <row r="1548" spans="11:24">
      <c r="K1548"/>
      <c r="L1548"/>
      <c r="M1548"/>
      <c r="N1548"/>
      <c r="U1548"/>
      <c r="V1548"/>
      <c r="W1548"/>
      <c r="X1548"/>
    </row>
    <row r="1549" spans="11:24">
      <c r="K1549"/>
      <c r="L1549"/>
      <c r="M1549"/>
      <c r="N1549"/>
      <c r="U1549"/>
      <c r="V1549"/>
      <c r="W1549"/>
      <c r="X1549"/>
    </row>
    <row r="1550" spans="11:24">
      <c r="K1550"/>
      <c r="L1550"/>
      <c r="M1550"/>
      <c r="N1550"/>
      <c r="U1550"/>
      <c r="V1550"/>
      <c r="W1550"/>
      <c r="X1550"/>
    </row>
    <row r="1551" spans="11:24">
      <c r="K1551"/>
      <c r="L1551"/>
      <c r="M1551"/>
      <c r="N1551"/>
      <c r="U1551"/>
      <c r="V1551"/>
      <c r="W1551"/>
      <c r="X1551"/>
    </row>
    <row r="1552" spans="11:24">
      <c r="K1552"/>
      <c r="L1552"/>
      <c r="M1552"/>
      <c r="N1552"/>
      <c r="U1552"/>
      <c r="V1552"/>
      <c r="W1552"/>
      <c r="X1552"/>
    </row>
    <row r="1553" spans="11:24">
      <c r="K1553"/>
      <c r="L1553"/>
      <c r="M1553"/>
      <c r="N1553"/>
      <c r="U1553"/>
      <c r="V1553"/>
      <c r="W1553"/>
      <c r="X1553"/>
    </row>
    <row r="1554" spans="11:24">
      <c r="K1554"/>
      <c r="L1554"/>
      <c r="M1554"/>
      <c r="N1554"/>
      <c r="U1554"/>
      <c r="V1554"/>
      <c r="W1554"/>
      <c r="X1554"/>
    </row>
    <row r="1555" spans="11:24">
      <c r="K1555"/>
      <c r="L1555"/>
      <c r="M1555"/>
      <c r="N1555"/>
      <c r="U1555"/>
      <c r="V1555"/>
      <c r="W1555"/>
      <c r="X1555"/>
    </row>
    <row r="1556" spans="11:24">
      <c r="K1556"/>
      <c r="L1556"/>
      <c r="M1556"/>
      <c r="N1556"/>
      <c r="U1556"/>
      <c r="V1556"/>
      <c r="W1556"/>
      <c r="X1556"/>
    </row>
    <row r="1557" spans="11:24">
      <c r="K1557"/>
      <c r="L1557"/>
      <c r="M1557"/>
      <c r="N1557"/>
      <c r="U1557"/>
      <c r="V1557"/>
      <c r="W1557"/>
      <c r="X1557"/>
    </row>
    <row r="1558" spans="11:24">
      <c r="K1558"/>
      <c r="L1558"/>
      <c r="M1558"/>
      <c r="N1558"/>
      <c r="U1558"/>
      <c r="V1558"/>
      <c r="W1558"/>
      <c r="X1558"/>
    </row>
    <row r="1559" spans="11:24">
      <c r="K1559"/>
      <c r="L1559"/>
      <c r="M1559"/>
      <c r="N1559"/>
      <c r="U1559"/>
      <c r="V1559"/>
      <c r="W1559"/>
      <c r="X1559"/>
    </row>
    <row r="1560" spans="11:24">
      <c r="K1560"/>
      <c r="L1560"/>
      <c r="M1560"/>
      <c r="N1560"/>
      <c r="U1560"/>
      <c r="V1560"/>
      <c r="W1560"/>
      <c r="X1560"/>
    </row>
    <row r="1561" spans="11:24">
      <c r="K1561"/>
      <c r="L1561"/>
      <c r="M1561"/>
      <c r="N1561"/>
      <c r="U1561"/>
      <c r="V1561"/>
      <c r="W1561"/>
      <c r="X1561"/>
    </row>
    <row r="1562" spans="11:24">
      <c r="K1562"/>
      <c r="L1562"/>
      <c r="M1562"/>
      <c r="N1562"/>
      <c r="U1562"/>
      <c r="V1562"/>
      <c r="W1562"/>
      <c r="X1562"/>
    </row>
    <row r="1563" spans="11:24">
      <c r="K1563"/>
      <c r="L1563"/>
      <c r="M1563"/>
      <c r="N1563"/>
      <c r="U1563"/>
      <c r="V1563"/>
      <c r="W1563"/>
      <c r="X1563"/>
    </row>
    <row r="1564" spans="11:24">
      <c r="K1564"/>
      <c r="L1564"/>
      <c r="M1564"/>
      <c r="N1564"/>
      <c r="U1564"/>
      <c r="V1564"/>
      <c r="W1564"/>
      <c r="X1564"/>
    </row>
    <row r="1565" spans="11:24">
      <c r="K1565"/>
      <c r="L1565"/>
      <c r="M1565"/>
      <c r="N1565"/>
      <c r="U1565"/>
      <c r="V1565"/>
      <c r="W1565"/>
      <c r="X1565"/>
    </row>
    <row r="1566" spans="11:24">
      <c r="K1566"/>
      <c r="L1566"/>
      <c r="M1566"/>
      <c r="N1566"/>
      <c r="U1566"/>
      <c r="V1566"/>
      <c r="W1566"/>
      <c r="X1566"/>
    </row>
    <row r="1567" spans="11:24">
      <c r="K1567"/>
      <c r="L1567"/>
      <c r="M1567"/>
      <c r="N1567"/>
      <c r="U1567"/>
      <c r="V1567"/>
      <c r="W1567"/>
      <c r="X1567"/>
    </row>
    <row r="1568" spans="11:24">
      <c r="K1568"/>
      <c r="L1568"/>
      <c r="M1568"/>
      <c r="N1568"/>
      <c r="U1568"/>
      <c r="V1568"/>
      <c r="W1568"/>
      <c r="X1568"/>
    </row>
    <row r="1569" spans="11:24">
      <c r="K1569"/>
      <c r="L1569"/>
      <c r="M1569"/>
      <c r="N1569"/>
      <c r="U1569"/>
      <c r="V1569"/>
      <c r="W1569"/>
      <c r="X1569"/>
    </row>
    <row r="1570" spans="11:24">
      <c r="K1570"/>
      <c r="L1570"/>
      <c r="M1570"/>
      <c r="N1570"/>
      <c r="U1570"/>
      <c r="V1570"/>
      <c r="W1570"/>
      <c r="X1570"/>
    </row>
    <row r="1571" spans="11:24">
      <c r="K1571"/>
      <c r="L1571"/>
      <c r="M1571"/>
      <c r="N1571"/>
      <c r="U1571"/>
      <c r="V1571"/>
      <c r="W1571"/>
      <c r="X1571"/>
    </row>
    <row r="1572" spans="11:24">
      <c r="K1572"/>
      <c r="L1572"/>
      <c r="M1572"/>
      <c r="N1572"/>
      <c r="U1572"/>
      <c r="V1572"/>
      <c r="W1572"/>
      <c r="X1572"/>
    </row>
    <row r="1573" spans="11:24">
      <c r="K1573"/>
      <c r="L1573"/>
      <c r="M1573"/>
      <c r="N1573"/>
      <c r="U1573"/>
      <c r="V1573"/>
      <c r="W1573"/>
      <c r="X1573"/>
    </row>
    <row r="1574" spans="11:24">
      <c r="K1574"/>
      <c r="L1574"/>
      <c r="M1574"/>
      <c r="N1574"/>
      <c r="U1574"/>
      <c r="V1574"/>
      <c r="W1574"/>
      <c r="X1574"/>
    </row>
    <row r="1575" spans="11:24">
      <c r="K1575"/>
      <c r="L1575"/>
      <c r="M1575"/>
      <c r="N1575"/>
      <c r="U1575"/>
      <c r="V1575"/>
      <c r="W1575"/>
      <c r="X1575"/>
    </row>
    <row r="1576" spans="11:24">
      <c r="K1576"/>
      <c r="L1576"/>
      <c r="M1576"/>
      <c r="N1576"/>
      <c r="U1576"/>
      <c r="V1576"/>
      <c r="W1576"/>
      <c r="X1576"/>
    </row>
    <row r="1577" spans="11:24">
      <c r="K1577"/>
      <c r="L1577"/>
      <c r="M1577"/>
      <c r="N1577"/>
      <c r="U1577"/>
      <c r="V1577"/>
      <c r="W1577"/>
      <c r="X1577"/>
    </row>
    <row r="1578" spans="11:24">
      <c r="K1578"/>
      <c r="L1578"/>
      <c r="M1578"/>
      <c r="N1578"/>
      <c r="U1578"/>
      <c r="V1578"/>
      <c r="W1578"/>
      <c r="X1578"/>
    </row>
    <row r="1579" spans="11:24">
      <c r="K1579"/>
      <c r="L1579"/>
      <c r="M1579"/>
      <c r="N1579"/>
      <c r="U1579"/>
      <c r="V1579"/>
      <c r="W1579"/>
      <c r="X1579"/>
    </row>
    <row r="1580" spans="11:24">
      <c r="K1580"/>
      <c r="L1580"/>
      <c r="M1580"/>
      <c r="N1580"/>
      <c r="U1580"/>
      <c r="V1580"/>
      <c r="W1580"/>
      <c r="X1580"/>
    </row>
    <row r="1581" spans="11:24">
      <c r="K1581"/>
      <c r="L1581"/>
      <c r="M1581"/>
      <c r="N1581"/>
      <c r="U1581"/>
      <c r="V1581"/>
      <c r="W1581"/>
      <c r="X1581"/>
    </row>
    <row r="1582" spans="11:24">
      <c r="K1582"/>
      <c r="L1582"/>
      <c r="M1582"/>
      <c r="N1582"/>
      <c r="U1582"/>
      <c r="V1582"/>
      <c r="W1582"/>
      <c r="X1582"/>
    </row>
    <row r="1583" spans="11:24">
      <c r="K1583"/>
      <c r="L1583"/>
      <c r="M1583"/>
      <c r="N1583"/>
      <c r="U1583"/>
      <c r="V1583"/>
      <c r="W1583"/>
      <c r="X1583"/>
    </row>
    <row r="1584" spans="11:24">
      <c r="K1584"/>
      <c r="L1584"/>
      <c r="M1584"/>
      <c r="N1584"/>
      <c r="U1584"/>
      <c r="V1584"/>
      <c r="W1584"/>
      <c r="X1584"/>
    </row>
    <row r="1585" spans="11:24">
      <c r="K1585"/>
      <c r="L1585"/>
      <c r="M1585"/>
      <c r="N1585"/>
      <c r="U1585"/>
      <c r="V1585"/>
      <c r="W1585"/>
      <c r="X1585"/>
    </row>
    <row r="1586" spans="11:24">
      <c r="K1586"/>
      <c r="L1586"/>
      <c r="M1586"/>
      <c r="N1586"/>
      <c r="U1586"/>
      <c r="V1586"/>
      <c r="W1586"/>
      <c r="X1586"/>
    </row>
    <row r="1587" spans="11:24">
      <c r="K1587"/>
      <c r="L1587"/>
      <c r="M1587"/>
      <c r="N1587"/>
      <c r="U1587"/>
      <c r="V1587"/>
      <c r="W1587"/>
      <c r="X1587"/>
    </row>
    <row r="1588" spans="11:24">
      <c r="K1588"/>
      <c r="L1588"/>
      <c r="M1588"/>
      <c r="N1588"/>
      <c r="U1588"/>
      <c r="V1588"/>
      <c r="W1588"/>
      <c r="X1588"/>
    </row>
    <row r="1589" spans="11:24">
      <c r="K1589"/>
      <c r="L1589"/>
      <c r="M1589"/>
      <c r="N1589"/>
      <c r="U1589"/>
      <c r="V1589"/>
      <c r="W1589"/>
      <c r="X1589"/>
    </row>
    <row r="1590" spans="11:24">
      <c r="K1590"/>
      <c r="L1590"/>
      <c r="M1590"/>
      <c r="N1590"/>
      <c r="U1590"/>
      <c r="V1590"/>
      <c r="W1590"/>
      <c r="X1590"/>
    </row>
    <row r="1591" spans="11:24">
      <c r="K1591"/>
      <c r="L1591"/>
      <c r="M1591"/>
      <c r="N1591"/>
      <c r="U1591"/>
      <c r="V1591"/>
      <c r="W1591"/>
      <c r="X1591"/>
    </row>
    <row r="1592" spans="11:24">
      <c r="K1592"/>
      <c r="L1592"/>
      <c r="M1592"/>
      <c r="N1592"/>
      <c r="U1592"/>
      <c r="V1592"/>
      <c r="W1592"/>
      <c r="X1592"/>
    </row>
    <row r="1593" spans="11:24">
      <c r="K1593"/>
      <c r="L1593"/>
      <c r="M1593"/>
      <c r="N1593"/>
      <c r="U1593"/>
      <c r="V1593"/>
      <c r="W1593"/>
      <c r="X1593"/>
    </row>
    <row r="1594" spans="11:24">
      <c r="K1594"/>
      <c r="L1594"/>
      <c r="M1594"/>
      <c r="N1594"/>
      <c r="U1594"/>
      <c r="V1594"/>
      <c r="W1594"/>
      <c r="X1594"/>
    </row>
    <row r="1595" spans="11:24">
      <c r="K1595"/>
      <c r="L1595"/>
      <c r="M1595"/>
      <c r="N1595"/>
      <c r="U1595"/>
      <c r="V1595"/>
      <c r="W1595"/>
      <c r="X1595"/>
    </row>
    <row r="1596" spans="11:24">
      <c r="K1596"/>
      <c r="L1596"/>
      <c r="M1596"/>
      <c r="N1596"/>
      <c r="U1596"/>
      <c r="V1596"/>
      <c r="W1596"/>
      <c r="X1596"/>
    </row>
    <row r="1597" spans="11:24">
      <c r="K1597"/>
      <c r="L1597"/>
      <c r="M1597"/>
      <c r="N1597"/>
      <c r="U1597"/>
      <c r="V1597"/>
      <c r="W1597"/>
      <c r="X1597"/>
    </row>
    <row r="1598" spans="11:24">
      <c r="K1598"/>
      <c r="L1598"/>
      <c r="M1598"/>
      <c r="N1598"/>
      <c r="U1598"/>
      <c r="V1598"/>
      <c r="W1598"/>
      <c r="X1598"/>
    </row>
    <row r="1599" spans="11:24">
      <c r="K1599"/>
      <c r="L1599"/>
      <c r="M1599"/>
      <c r="N1599"/>
      <c r="U1599"/>
      <c r="V1599"/>
      <c r="W1599"/>
      <c r="X1599"/>
    </row>
    <row r="1600" spans="11:24">
      <c r="K1600"/>
      <c r="L1600"/>
      <c r="M1600"/>
      <c r="N1600"/>
      <c r="U1600"/>
      <c r="V1600"/>
      <c r="W1600"/>
      <c r="X1600"/>
    </row>
    <row r="1601" spans="11:24">
      <c r="K1601"/>
      <c r="L1601"/>
      <c r="M1601"/>
      <c r="N1601"/>
      <c r="U1601"/>
      <c r="V1601"/>
      <c r="W1601"/>
      <c r="X1601"/>
    </row>
    <row r="1602" spans="11:24">
      <c r="K1602"/>
      <c r="L1602"/>
      <c r="M1602"/>
      <c r="N1602"/>
      <c r="U1602"/>
      <c r="V1602"/>
      <c r="W1602"/>
      <c r="X1602"/>
    </row>
    <row r="1603" spans="11:24">
      <c r="K1603"/>
      <c r="L1603"/>
      <c r="M1603"/>
      <c r="N1603"/>
      <c r="U1603"/>
      <c r="V1603"/>
      <c r="W1603"/>
      <c r="X1603"/>
    </row>
    <row r="1604" spans="11:24">
      <c r="K1604"/>
      <c r="L1604"/>
      <c r="M1604"/>
      <c r="N1604"/>
      <c r="U1604"/>
      <c r="V1604"/>
      <c r="W1604"/>
      <c r="X1604"/>
    </row>
    <row r="1605" spans="11:24">
      <c r="K1605"/>
      <c r="L1605"/>
      <c r="M1605"/>
      <c r="N1605"/>
      <c r="U1605"/>
      <c r="V1605"/>
      <c r="W1605"/>
      <c r="X1605"/>
    </row>
    <row r="1606" spans="11:24">
      <c r="K1606"/>
      <c r="L1606"/>
      <c r="M1606"/>
      <c r="N1606"/>
      <c r="U1606"/>
      <c r="V1606"/>
      <c r="W1606"/>
      <c r="X1606"/>
    </row>
    <row r="1607" spans="11:24">
      <c r="K1607"/>
      <c r="L1607"/>
      <c r="M1607"/>
      <c r="N1607"/>
      <c r="U1607"/>
      <c r="V1607"/>
      <c r="W1607"/>
      <c r="X1607"/>
    </row>
    <row r="1608" spans="11:24">
      <c r="K1608"/>
      <c r="L1608"/>
      <c r="M1608"/>
      <c r="N1608"/>
      <c r="U1608"/>
      <c r="V1608"/>
      <c r="W1608"/>
      <c r="X1608"/>
    </row>
    <row r="1609" spans="11:24">
      <c r="K1609"/>
      <c r="L1609"/>
      <c r="M1609"/>
      <c r="N1609"/>
      <c r="U1609"/>
      <c r="V1609"/>
      <c r="W1609"/>
      <c r="X1609"/>
    </row>
    <row r="1610" spans="11:24">
      <c r="K1610"/>
      <c r="L1610"/>
      <c r="M1610"/>
      <c r="N1610"/>
      <c r="U1610"/>
      <c r="V1610"/>
      <c r="W1610"/>
      <c r="X1610"/>
    </row>
    <row r="1611" spans="11:24">
      <c r="K1611"/>
      <c r="L1611"/>
      <c r="M1611"/>
      <c r="N1611"/>
      <c r="U1611"/>
      <c r="V1611"/>
      <c r="W1611"/>
      <c r="X1611"/>
    </row>
    <row r="1612" spans="11:24">
      <c r="K1612"/>
      <c r="L1612"/>
      <c r="M1612"/>
      <c r="N1612"/>
      <c r="U1612"/>
      <c r="V1612"/>
      <c r="W1612"/>
      <c r="X1612"/>
    </row>
    <row r="1613" spans="11:24">
      <c r="K1613"/>
      <c r="L1613"/>
      <c r="M1613"/>
      <c r="N1613"/>
      <c r="U1613"/>
      <c r="V1613"/>
      <c r="W1613"/>
      <c r="X1613"/>
    </row>
    <row r="1614" spans="11:24">
      <c r="K1614"/>
      <c r="L1614"/>
      <c r="M1614"/>
      <c r="N1614"/>
      <c r="U1614"/>
      <c r="V1614"/>
      <c r="W1614"/>
      <c r="X1614"/>
    </row>
    <row r="1615" spans="11:24">
      <c r="K1615"/>
      <c r="L1615"/>
      <c r="M1615"/>
      <c r="N1615"/>
      <c r="U1615"/>
      <c r="V1615"/>
      <c r="W1615"/>
      <c r="X1615"/>
    </row>
    <row r="1616" spans="11:24">
      <c r="K1616"/>
      <c r="L1616"/>
      <c r="M1616"/>
      <c r="N1616"/>
      <c r="U1616"/>
      <c r="V1616"/>
      <c r="W1616"/>
      <c r="X1616"/>
    </row>
    <row r="1617" spans="11:24">
      <c r="K1617"/>
      <c r="L1617"/>
      <c r="M1617"/>
      <c r="N1617"/>
      <c r="U1617"/>
      <c r="V1617"/>
      <c r="W1617"/>
      <c r="X1617"/>
    </row>
    <row r="1618" spans="11:24">
      <c r="K1618"/>
      <c r="L1618"/>
      <c r="M1618"/>
      <c r="N1618"/>
      <c r="U1618"/>
      <c r="V1618"/>
      <c r="W1618"/>
      <c r="X1618"/>
    </row>
    <row r="1619" spans="11:24">
      <c r="K1619"/>
      <c r="L1619"/>
      <c r="M1619"/>
      <c r="N1619"/>
      <c r="U1619"/>
      <c r="V1619"/>
      <c r="W1619"/>
      <c r="X1619"/>
    </row>
    <row r="1620" spans="11:24">
      <c r="K1620"/>
      <c r="L1620"/>
      <c r="M1620"/>
      <c r="N1620"/>
      <c r="U1620"/>
      <c r="V1620"/>
      <c r="W1620"/>
      <c r="X1620"/>
    </row>
    <row r="1621" spans="11:24">
      <c r="K1621"/>
      <c r="L1621"/>
      <c r="M1621"/>
      <c r="N1621"/>
      <c r="U1621"/>
      <c r="V1621"/>
      <c r="W1621"/>
      <c r="X1621"/>
    </row>
    <row r="1622" spans="11:24">
      <c r="K1622"/>
      <c r="L1622"/>
      <c r="M1622"/>
      <c r="N1622"/>
      <c r="U1622"/>
      <c r="V1622"/>
      <c r="W1622"/>
      <c r="X1622"/>
    </row>
    <row r="1623" spans="11:24">
      <c r="K1623"/>
      <c r="L1623"/>
      <c r="M1623"/>
      <c r="N1623"/>
      <c r="U1623"/>
      <c r="V1623"/>
      <c r="W1623"/>
      <c r="X1623"/>
    </row>
    <row r="1624" spans="11:24">
      <c r="K1624"/>
      <c r="L1624"/>
      <c r="M1624"/>
      <c r="N1624"/>
      <c r="U1624"/>
      <c r="V1624"/>
      <c r="W1624"/>
      <c r="X1624"/>
    </row>
    <row r="1625" spans="11:24">
      <c r="K1625"/>
      <c r="L1625"/>
      <c r="M1625"/>
      <c r="N1625"/>
      <c r="U1625"/>
      <c r="V1625"/>
      <c r="W1625"/>
      <c r="X1625"/>
    </row>
    <row r="1626" spans="11:24">
      <c r="K1626"/>
      <c r="L1626"/>
      <c r="M1626"/>
      <c r="N1626"/>
      <c r="U1626"/>
      <c r="V1626"/>
      <c r="W1626"/>
      <c r="X1626"/>
    </row>
    <row r="1627" spans="11:24">
      <c r="K1627"/>
      <c r="L1627"/>
      <c r="M1627"/>
      <c r="N1627"/>
      <c r="U1627"/>
      <c r="V1627"/>
      <c r="W1627"/>
      <c r="X1627"/>
    </row>
    <row r="1628" spans="11:24">
      <c r="K1628"/>
      <c r="L1628"/>
      <c r="M1628"/>
      <c r="N1628"/>
      <c r="U1628"/>
      <c r="V1628"/>
      <c r="W1628"/>
      <c r="X1628"/>
    </row>
    <row r="1629" spans="11:24">
      <c r="K1629"/>
      <c r="L1629"/>
      <c r="M1629"/>
      <c r="N1629"/>
      <c r="U1629"/>
      <c r="V1629"/>
      <c r="W1629"/>
      <c r="X1629"/>
    </row>
    <row r="1630" spans="11:24">
      <c r="K1630"/>
      <c r="L1630"/>
      <c r="M1630"/>
      <c r="N1630"/>
      <c r="U1630"/>
      <c r="V1630"/>
      <c r="W1630"/>
      <c r="X1630"/>
    </row>
    <row r="1631" spans="11:24">
      <c r="K1631"/>
      <c r="L1631"/>
      <c r="M1631"/>
      <c r="N1631"/>
      <c r="U1631"/>
      <c r="V1631"/>
      <c r="W1631"/>
      <c r="X1631"/>
    </row>
    <row r="1632" spans="11:24">
      <c r="K1632"/>
      <c r="L1632"/>
      <c r="M1632"/>
      <c r="N1632"/>
      <c r="U1632"/>
      <c r="V1632"/>
      <c r="W1632"/>
      <c r="X1632"/>
    </row>
    <row r="1633" spans="11:24">
      <c r="K1633"/>
      <c r="L1633"/>
      <c r="M1633"/>
      <c r="N1633"/>
      <c r="U1633"/>
      <c r="V1633"/>
      <c r="W1633"/>
      <c r="X1633"/>
    </row>
    <row r="1634" spans="11:24">
      <c r="K1634"/>
      <c r="L1634"/>
      <c r="M1634"/>
      <c r="N1634"/>
      <c r="U1634"/>
      <c r="V1634"/>
      <c r="W1634"/>
      <c r="X1634"/>
    </row>
    <row r="1635" spans="11:24">
      <c r="K1635"/>
      <c r="L1635"/>
      <c r="M1635"/>
      <c r="N1635"/>
      <c r="U1635"/>
      <c r="V1635"/>
      <c r="W1635"/>
      <c r="X1635"/>
    </row>
    <row r="1636" spans="11:24">
      <c r="K1636"/>
      <c r="L1636"/>
      <c r="M1636"/>
      <c r="N1636"/>
      <c r="U1636"/>
      <c r="V1636"/>
      <c r="W1636"/>
      <c r="X1636"/>
    </row>
    <row r="1637" spans="11:24">
      <c r="K1637"/>
      <c r="L1637"/>
      <c r="M1637"/>
      <c r="N1637"/>
      <c r="U1637"/>
      <c r="V1637"/>
      <c r="W1637"/>
      <c r="X1637"/>
    </row>
    <row r="1638" spans="11:24">
      <c r="K1638"/>
      <c r="L1638"/>
      <c r="M1638"/>
      <c r="N1638"/>
      <c r="U1638"/>
      <c r="V1638"/>
      <c r="W1638"/>
      <c r="X1638"/>
    </row>
    <row r="1639" spans="11:24">
      <c r="K1639"/>
      <c r="L1639"/>
      <c r="M1639"/>
      <c r="N1639"/>
      <c r="U1639"/>
      <c r="V1639"/>
      <c r="W1639"/>
      <c r="X1639"/>
    </row>
    <row r="1640" spans="11:24">
      <c r="K1640"/>
      <c r="L1640"/>
      <c r="M1640"/>
      <c r="N1640"/>
      <c r="U1640"/>
      <c r="V1640"/>
      <c r="W1640"/>
      <c r="X1640"/>
    </row>
    <row r="1641" spans="11:24">
      <c r="K1641"/>
      <c r="L1641"/>
      <c r="M1641"/>
      <c r="N1641"/>
      <c r="U1641"/>
      <c r="V1641"/>
      <c r="W1641"/>
      <c r="X1641"/>
    </row>
    <row r="1642" spans="11:24">
      <c r="K1642"/>
      <c r="L1642"/>
      <c r="M1642"/>
      <c r="N1642"/>
      <c r="U1642"/>
      <c r="V1642"/>
      <c r="W1642"/>
      <c r="X1642"/>
    </row>
    <row r="1643" spans="11:24">
      <c r="K1643"/>
      <c r="L1643"/>
      <c r="M1643"/>
      <c r="N1643"/>
      <c r="U1643"/>
      <c r="V1643"/>
      <c r="W1643"/>
      <c r="X1643"/>
    </row>
    <row r="1644" spans="11:24">
      <c r="K1644"/>
      <c r="L1644"/>
      <c r="M1644"/>
      <c r="N1644"/>
      <c r="U1644"/>
      <c r="V1644"/>
      <c r="W1644"/>
      <c r="X1644"/>
    </row>
    <row r="1645" spans="11:24">
      <c r="K1645"/>
      <c r="L1645"/>
      <c r="M1645"/>
      <c r="N1645"/>
      <c r="U1645"/>
      <c r="V1645"/>
      <c r="W1645"/>
      <c r="X1645"/>
    </row>
    <row r="1646" spans="11:24">
      <c r="K1646"/>
      <c r="L1646"/>
      <c r="M1646"/>
      <c r="N1646"/>
      <c r="U1646"/>
      <c r="V1646"/>
      <c r="W1646"/>
      <c r="X1646"/>
    </row>
    <row r="1647" spans="11:24">
      <c r="K1647"/>
      <c r="L1647"/>
      <c r="M1647"/>
      <c r="N1647"/>
      <c r="U1647"/>
      <c r="V1647"/>
      <c r="W1647"/>
      <c r="X1647"/>
    </row>
    <row r="1648" spans="11:24">
      <c r="K1648"/>
      <c r="L1648"/>
      <c r="M1648"/>
      <c r="N1648"/>
      <c r="U1648"/>
      <c r="V1648"/>
      <c r="W1648"/>
      <c r="X1648"/>
    </row>
    <row r="1649" spans="11:24">
      <c r="K1649"/>
      <c r="L1649"/>
      <c r="M1649"/>
      <c r="N1649"/>
      <c r="U1649"/>
      <c r="V1649"/>
      <c r="W1649"/>
      <c r="X1649"/>
    </row>
    <row r="1650" spans="11:24">
      <c r="K1650"/>
      <c r="L1650"/>
      <c r="M1650"/>
      <c r="N1650"/>
      <c r="U1650"/>
      <c r="V1650"/>
      <c r="W1650"/>
      <c r="X1650"/>
    </row>
    <row r="1651" spans="11:24">
      <c r="K1651"/>
      <c r="L1651"/>
      <c r="M1651"/>
      <c r="N1651"/>
      <c r="U1651"/>
      <c r="V1651"/>
      <c r="W1651"/>
      <c r="X1651"/>
    </row>
    <row r="1652" spans="11:24">
      <c r="K1652"/>
      <c r="L1652"/>
      <c r="M1652"/>
      <c r="N1652"/>
      <c r="U1652"/>
      <c r="V1652"/>
      <c r="W1652"/>
      <c r="X1652"/>
    </row>
    <row r="1653" spans="11:24">
      <c r="K1653"/>
      <c r="L1653"/>
      <c r="M1653"/>
      <c r="N1653"/>
      <c r="U1653"/>
      <c r="V1653"/>
      <c r="W1653"/>
      <c r="X1653"/>
    </row>
    <row r="1654" spans="11:24">
      <c r="K1654"/>
      <c r="L1654"/>
      <c r="M1654"/>
      <c r="N1654"/>
      <c r="U1654"/>
      <c r="V1654"/>
      <c r="W1654"/>
      <c r="X1654"/>
    </row>
    <row r="1655" spans="11:24">
      <c r="K1655"/>
      <c r="L1655"/>
      <c r="M1655"/>
      <c r="N1655"/>
      <c r="U1655"/>
      <c r="V1655"/>
      <c r="W1655"/>
      <c r="X1655"/>
    </row>
    <row r="1656" spans="11:24">
      <c r="K1656"/>
      <c r="L1656"/>
      <c r="M1656"/>
      <c r="N1656"/>
      <c r="U1656"/>
      <c r="V1656"/>
      <c r="W1656"/>
      <c r="X1656"/>
    </row>
    <row r="1657" spans="11:24">
      <c r="K1657"/>
      <c r="L1657"/>
      <c r="M1657"/>
      <c r="N1657"/>
      <c r="U1657"/>
      <c r="V1657"/>
      <c r="W1657"/>
      <c r="X1657"/>
    </row>
    <row r="1658" spans="11:24">
      <c r="K1658"/>
      <c r="L1658"/>
      <c r="M1658"/>
      <c r="N1658"/>
      <c r="U1658"/>
      <c r="V1658"/>
      <c r="W1658"/>
      <c r="X1658"/>
    </row>
    <row r="1659" spans="11:24">
      <c r="K1659"/>
      <c r="L1659"/>
      <c r="M1659"/>
      <c r="N1659"/>
      <c r="U1659"/>
      <c r="V1659"/>
      <c r="W1659"/>
      <c r="X1659"/>
    </row>
    <row r="1660" spans="11:24">
      <c r="K1660"/>
      <c r="L1660"/>
      <c r="M1660"/>
      <c r="N1660"/>
      <c r="U1660"/>
      <c r="V1660"/>
      <c r="W1660"/>
      <c r="X1660"/>
    </row>
    <row r="1661" spans="11:24">
      <c r="K1661"/>
      <c r="L1661"/>
      <c r="M1661"/>
      <c r="N1661"/>
      <c r="U1661"/>
      <c r="V1661"/>
      <c r="W1661"/>
      <c r="X1661"/>
    </row>
    <row r="1662" spans="11:24">
      <c r="K1662"/>
      <c r="L1662"/>
      <c r="M1662"/>
      <c r="N1662"/>
      <c r="U1662"/>
      <c r="V1662"/>
      <c r="W1662"/>
      <c r="X1662"/>
    </row>
    <row r="1663" spans="11:24">
      <c r="K1663"/>
      <c r="L1663"/>
      <c r="M1663"/>
      <c r="N1663"/>
      <c r="U1663"/>
      <c r="V1663"/>
      <c r="W1663"/>
      <c r="X1663"/>
    </row>
    <row r="1664" spans="11:24">
      <c r="K1664"/>
      <c r="L1664"/>
      <c r="M1664"/>
      <c r="N1664"/>
      <c r="U1664"/>
      <c r="V1664"/>
      <c r="W1664"/>
      <c r="X1664"/>
    </row>
    <row r="1665" spans="11:24">
      <c r="K1665"/>
      <c r="L1665"/>
      <c r="M1665"/>
      <c r="N1665"/>
      <c r="U1665"/>
      <c r="V1665"/>
      <c r="W1665"/>
      <c r="X1665"/>
    </row>
    <row r="1666" spans="11:24">
      <c r="K1666"/>
      <c r="L1666"/>
      <c r="M1666"/>
      <c r="N1666"/>
      <c r="U1666"/>
      <c r="V1666"/>
      <c r="W1666"/>
      <c r="X1666"/>
    </row>
    <row r="1667" spans="11:24">
      <c r="K1667"/>
      <c r="L1667"/>
      <c r="M1667"/>
      <c r="N1667"/>
      <c r="U1667"/>
      <c r="V1667"/>
      <c r="W1667"/>
      <c r="X1667"/>
    </row>
    <row r="1668" spans="11:24">
      <c r="K1668"/>
      <c r="L1668"/>
      <c r="M1668"/>
      <c r="N1668"/>
      <c r="U1668"/>
      <c r="V1668"/>
      <c r="W1668"/>
      <c r="X1668"/>
    </row>
    <row r="1669" spans="11:24">
      <c r="K1669"/>
      <c r="L1669"/>
      <c r="M1669"/>
      <c r="N1669"/>
      <c r="U1669"/>
      <c r="V1669"/>
      <c r="W1669"/>
      <c r="X1669"/>
    </row>
    <row r="1670" spans="11:24">
      <c r="K1670"/>
      <c r="L1670"/>
      <c r="M1670"/>
      <c r="N1670"/>
      <c r="U1670"/>
      <c r="V1670"/>
      <c r="W1670"/>
      <c r="X1670"/>
    </row>
    <row r="1671" spans="11:24">
      <c r="K1671"/>
      <c r="L1671"/>
      <c r="M1671"/>
      <c r="N1671"/>
      <c r="U1671"/>
      <c r="V1671"/>
      <c r="W1671"/>
      <c r="X1671"/>
    </row>
    <row r="1672" spans="11:24">
      <c r="K1672"/>
      <c r="L1672"/>
      <c r="M1672"/>
      <c r="N1672"/>
      <c r="U1672"/>
      <c r="V1672"/>
      <c r="W1672"/>
      <c r="X1672"/>
    </row>
    <row r="1673" spans="11:24">
      <c r="K1673"/>
      <c r="L1673"/>
      <c r="M1673"/>
      <c r="N1673"/>
      <c r="U1673"/>
      <c r="V1673"/>
      <c r="W1673"/>
      <c r="X1673"/>
    </row>
    <row r="1674" spans="11:24">
      <c r="K1674"/>
      <c r="L1674"/>
      <c r="M1674"/>
      <c r="N1674"/>
      <c r="U1674"/>
      <c r="V1674"/>
      <c r="W1674"/>
      <c r="X1674"/>
    </row>
    <row r="1675" spans="11:24">
      <c r="K1675"/>
      <c r="L1675"/>
      <c r="M1675"/>
      <c r="N1675"/>
      <c r="U1675"/>
      <c r="V1675"/>
      <c r="W1675"/>
      <c r="X1675"/>
    </row>
    <row r="1676" spans="11:24">
      <c r="K1676"/>
      <c r="L1676"/>
      <c r="M1676"/>
      <c r="N1676"/>
      <c r="U1676"/>
      <c r="V1676"/>
      <c r="W1676"/>
      <c r="X1676"/>
    </row>
    <row r="1677" spans="11:24">
      <c r="K1677"/>
      <c r="L1677"/>
      <c r="M1677"/>
      <c r="N1677"/>
      <c r="U1677"/>
      <c r="V1677"/>
      <c r="W1677"/>
      <c r="X1677"/>
    </row>
    <row r="1678" spans="11:24">
      <c r="K1678"/>
      <c r="L1678"/>
      <c r="M1678"/>
      <c r="N1678"/>
      <c r="U1678"/>
      <c r="V1678"/>
      <c r="W1678"/>
      <c r="X1678"/>
    </row>
    <row r="1679" spans="11:24">
      <c r="K1679"/>
      <c r="L1679"/>
      <c r="M1679"/>
      <c r="N1679"/>
      <c r="U1679"/>
      <c r="V1679"/>
      <c r="W1679"/>
      <c r="X1679"/>
    </row>
    <row r="1680" spans="11:24">
      <c r="K1680"/>
      <c r="L1680"/>
      <c r="M1680"/>
      <c r="N1680"/>
      <c r="U1680"/>
      <c r="V1680"/>
      <c r="W1680"/>
      <c r="X1680"/>
    </row>
    <row r="1681" spans="11:24">
      <c r="K1681"/>
      <c r="L1681"/>
      <c r="M1681"/>
      <c r="N1681"/>
      <c r="U1681"/>
      <c r="V1681"/>
      <c r="W1681"/>
      <c r="X1681"/>
    </row>
    <row r="1682" spans="11:24">
      <c r="K1682"/>
      <c r="L1682"/>
      <c r="M1682"/>
      <c r="N1682"/>
      <c r="U1682"/>
      <c r="V1682"/>
      <c r="W1682"/>
      <c r="X1682"/>
    </row>
    <row r="1683" spans="11:24">
      <c r="K1683"/>
      <c r="L1683"/>
      <c r="M1683"/>
      <c r="N1683"/>
      <c r="U1683"/>
      <c r="V1683"/>
      <c r="W1683"/>
      <c r="X1683"/>
    </row>
    <row r="1684" spans="11:24">
      <c r="K1684"/>
      <c r="L1684"/>
      <c r="M1684"/>
      <c r="N1684"/>
      <c r="U1684"/>
      <c r="V1684"/>
      <c r="W1684"/>
      <c r="X1684"/>
    </row>
    <row r="1685" spans="11:24">
      <c r="K1685"/>
      <c r="L1685"/>
      <c r="M1685"/>
      <c r="N1685"/>
      <c r="U1685"/>
      <c r="V1685"/>
      <c r="W1685"/>
      <c r="X1685"/>
    </row>
    <row r="1686" spans="11:24">
      <c r="K1686"/>
      <c r="L1686"/>
      <c r="M1686"/>
      <c r="N1686"/>
      <c r="U1686"/>
      <c r="V1686"/>
      <c r="W1686"/>
      <c r="X1686"/>
    </row>
    <row r="1687" spans="11:24">
      <c r="K1687"/>
      <c r="L1687"/>
      <c r="M1687"/>
      <c r="N1687"/>
      <c r="U1687"/>
      <c r="V1687"/>
      <c r="W1687"/>
      <c r="X1687"/>
    </row>
    <row r="1688" spans="11:24">
      <c r="K1688"/>
      <c r="L1688"/>
      <c r="M1688"/>
      <c r="N1688"/>
      <c r="U1688"/>
      <c r="V1688"/>
      <c r="W1688"/>
      <c r="X1688"/>
    </row>
    <row r="1689" spans="11:24">
      <c r="K1689"/>
      <c r="L1689"/>
      <c r="M1689"/>
      <c r="N1689"/>
      <c r="U1689"/>
      <c r="V1689"/>
      <c r="W1689"/>
      <c r="X1689"/>
    </row>
    <row r="1690" spans="11:24">
      <c r="K1690"/>
      <c r="L1690"/>
      <c r="M1690"/>
      <c r="N1690"/>
      <c r="U1690"/>
      <c r="V1690"/>
      <c r="W1690"/>
      <c r="X1690"/>
    </row>
    <row r="1691" spans="11:24">
      <c r="K1691"/>
      <c r="L1691"/>
      <c r="M1691"/>
      <c r="N1691"/>
      <c r="U1691"/>
      <c r="V1691"/>
      <c r="W1691"/>
      <c r="X1691"/>
    </row>
    <row r="1692" spans="11:24">
      <c r="K1692"/>
      <c r="L1692"/>
      <c r="M1692"/>
      <c r="N1692"/>
      <c r="U1692"/>
      <c r="V1692"/>
      <c r="W1692"/>
      <c r="X1692"/>
    </row>
    <row r="1693" spans="11:24">
      <c r="K1693"/>
      <c r="L1693"/>
      <c r="M1693"/>
      <c r="N1693"/>
      <c r="U1693"/>
      <c r="V1693"/>
      <c r="W1693"/>
      <c r="X1693"/>
    </row>
    <row r="1694" spans="11:24">
      <c r="K1694"/>
      <c r="L1694"/>
      <c r="M1694"/>
      <c r="N1694"/>
      <c r="U1694"/>
      <c r="V1694"/>
      <c r="W1694"/>
      <c r="X1694"/>
    </row>
    <row r="1695" spans="11:24">
      <c r="K1695"/>
      <c r="L1695"/>
      <c r="M1695"/>
      <c r="N1695"/>
      <c r="U1695"/>
      <c r="V1695"/>
      <c r="W1695"/>
      <c r="X1695"/>
    </row>
    <row r="1696" spans="11:24">
      <c r="K1696"/>
      <c r="L1696"/>
      <c r="M1696"/>
      <c r="N1696"/>
      <c r="U1696"/>
      <c r="V1696"/>
      <c r="W1696"/>
      <c r="X1696"/>
    </row>
    <row r="1697" spans="11:24">
      <c r="K1697"/>
      <c r="L1697"/>
      <c r="M1697"/>
      <c r="N1697"/>
      <c r="U1697"/>
      <c r="V1697"/>
      <c r="W1697"/>
      <c r="X1697"/>
    </row>
    <row r="1698" spans="11:24">
      <c r="K1698"/>
      <c r="L1698"/>
      <c r="M1698"/>
      <c r="N1698"/>
      <c r="U1698"/>
      <c r="V1698"/>
      <c r="W1698"/>
      <c r="X1698"/>
    </row>
    <row r="1699" spans="11:24">
      <c r="K1699"/>
      <c r="L1699"/>
      <c r="M1699"/>
      <c r="N1699"/>
      <c r="U1699"/>
      <c r="V1699"/>
      <c r="W1699"/>
      <c r="X1699"/>
    </row>
    <row r="1700" spans="11:24">
      <c r="K1700"/>
      <c r="L1700"/>
      <c r="M1700"/>
      <c r="N1700"/>
      <c r="U1700"/>
      <c r="V1700"/>
      <c r="W1700"/>
      <c r="X1700"/>
    </row>
    <row r="1701" spans="11:24">
      <c r="K1701"/>
      <c r="L1701"/>
      <c r="M1701"/>
      <c r="N1701"/>
      <c r="U1701"/>
      <c r="V1701"/>
      <c r="W1701"/>
      <c r="X1701"/>
    </row>
    <row r="1702" spans="11:24">
      <c r="K1702"/>
      <c r="L1702"/>
      <c r="M1702"/>
      <c r="N1702"/>
      <c r="U1702"/>
      <c r="V1702"/>
      <c r="W1702"/>
      <c r="X1702"/>
    </row>
    <row r="1703" spans="11:24">
      <c r="K1703"/>
      <c r="L1703"/>
      <c r="M1703"/>
      <c r="N1703"/>
      <c r="U1703"/>
      <c r="V1703"/>
      <c r="W1703"/>
      <c r="X1703"/>
    </row>
    <row r="1704" spans="11:24">
      <c r="K1704"/>
      <c r="L1704"/>
      <c r="M1704"/>
      <c r="N1704"/>
      <c r="U1704"/>
      <c r="V1704"/>
      <c r="W1704"/>
      <c r="X1704"/>
    </row>
    <row r="1705" spans="11:24">
      <c r="K1705"/>
      <c r="L1705"/>
      <c r="M1705"/>
      <c r="N1705"/>
      <c r="U1705"/>
      <c r="V1705"/>
      <c r="W1705"/>
      <c r="X1705"/>
    </row>
    <row r="1706" spans="11:24">
      <c r="K1706"/>
      <c r="L1706"/>
      <c r="M1706"/>
      <c r="N1706"/>
      <c r="U1706"/>
      <c r="V1706"/>
      <c r="W1706"/>
      <c r="X1706"/>
    </row>
    <row r="1707" spans="11:24">
      <c r="K1707"/>
      <c r="L1707"/>
      <c r="M1707"/>
      <c r="N1707"/>
      <c r="U1707"/>
      <c r="V1707"/>
      <c r="W1707"/>
      <c r="X1707"/>
    </row>
    <row r="1708" spans="11:24">
      <c r="K1708"/>
      <c r="L1708"/>
      <c r="M1708"/>
      <c r="N1708"/>
      <c r="U1708"/>
      <c r="V1708"/>
      <c r="W1708"/>
      <c r="X1708"/>
    </row>
    <row r="1709" spans="11:24">
      <c r="K1709"/>
      <c r="L1709"/>
      <c r="M1709"/>
      <c r="N1709"/>
      <c r="U1709"/>
      <c r="V1709"/>
      <c r="W1709"/>
      <c r="X1709"/>
    </row>
    <row r="1710" spans="11:24">
      <c r="K1710"/>
      <c r="L1710"/>
      <c r="M1710"/>
      <c r="N1710"/>
      <c r="U1710"/>
      <c r="V1710"/>
      <c r="W1710"/>
      <c r="X1710"/>
    </row>
    <row r="1711" spans="11:24">
      <c r="K1711"/>
      <c r="L1711"/>
      <c r="M1711"/>
      <c r="N1711"/>
      <c r="U1711"/>
      <c r="V1711"/>
      <c r="W1711"/>
      <c r="X1711"/>
    </row>
    <row r="1712" spans="11:24">
      <c r="K1712"/>
      <c r="L1712"/>
      <c r="M1712"/>
      <c r="N1712"/>
      <c r="U1712"/>
      <c r="V1712"/>
      <c r="W1712"/>
      <c r="X1712"/>
    </row>
    <row r="1713" spans="11:24">
      <c r="K1713"/>
      <c r="L1713"/>
      <c r="M1713"/>
      <c r="N1713"/>
      <c r="U1713"/>
      <c r="V1713"/>
      <c r="W1713"/>
      <c r="X1713"/>
    </row>
    <row r="1714" spans="11:24">
      <c r="K1714"/>
      <c r="L1714"/>
      <c r="M1714"/>
      <c r="N1714"/>
      <c r="U1714"/>
      <c r="V1714"/>
      <c r="W1714"/>
      <c r="X1714"/>
    </row>
    <row r="1715" spans="11:24">
      <c r="K1715"/>
      <c r="L1715"/>
      <c r="M1715"/>
      <c r="N1715"/>
      <c r="U1715"/>
      <c r="V1715"/>
      <c r="W1715"/>
      <c r="X1715"/>
    </row>
    <row r="1716" spans="11:24">
      <c r="K1716"/>
      <c r="L1716"/>
      <c r="M1716"/>
      <c r="N1716"/>
      <c r="U1716"/>
      <c r="V1716"/>
      <c r="W1716"/>
      <c r="X1716"/>
    </row>
    <row r="1717" spans="11:24">
      <c r="K1717"/>
      <c r="L1717"/>
      <c r="M1717"/>
      <c r="N1717"/>
      <c r="U1717"/>
      <c r="V1717"/>
      <c r="W1717"/>
      <c r="X1717"/>
    </row>
    <row r="1718" spans="11:24">
      <c r="K1718"/>
      <c r="L1718"/>
      <c r="M1718"/>
      <c r="N1718"/>
      <c r="U1718"/>
      <c r="V1718"/>
      <c r="W1718"/>
      <c r="X1718"/>
    </row>
    <row r="1719" spans="11:24">
      <c r="K1719"/>
      <c r="L1719"/>
      <c r="M1719"/>
      <c r="N1719"/>
      <c r="U1719"/>
      <c r="V1719"/>
      <c r="W1719"/>
      <c r="X1719"/>
    </row>
    <row r="1720" spans="11:24">
      <c r="K1720"/>
      <c r="L1720"/>
      <c r="M1720"/>
      <c r="N1720"/>
      <c r="U1720"/>
      <c r="V1720"/>
      <c r="W1720"/>
      <c r="X1720"/>
    </row>
    <row r="1721" spans="11:24">
      <c r="K1721"/>
      <c r="L1721"/>
      <c r="M1721"/>
      <c r="N1721"/>
      <c r="U1721"/>
      <c r="V1721"/>
      <c r="W1721"/>
      <c r="X1721"/>
    </row>
    <row r="1722" spans="11:24">
      <c r="K1722"/>
      <c r="L1722"/>
      <c r="M1722"/>
      <c r="N1722"/>
      <c r="U1722"/>
      <c r="V1722"/>
      <c r="W1722"/>
      <c r="X1722"/>
    </row>
    <row r="1723" spans="11:24">
      <c r="K1723"/>
      <c r="L1723"/>
      <c r="M1723"/>
      <c r="N1723"/>
      <c r="U1723"/>
      <c r="V1723"/>
      <c r="W1723"/>
      <c r="X1723"/>
    </row>
    <row r="1724" spans="11:24">
      <c r="K1724"/>
      <c r="L1724"/>
      <c r="M1724"/>
      <c r="N1724"/>
      <c r="U1724"/>
      <c r="V1724"/>
      <c r="W1724"/>
      <c r="X1724"/>
    </row>
    <row r="1725" spans="11:24">
      <c r="K1725"/>
      <c r="L1725"/>
      <c r="M1725"/>
      <c r="N1725"/>
      <c r="U1725"/>
      <c r="V1725"/>
      <c r="W1725"/>
      <c r="X1725"/>
    </row>
    <row r="1726" spans="11:24">
      <c r="K1726"/>
      <c r="L1726"/>
      <c r="M1726"/>
      <c r="N1726"/>
      <c r="U1726"/>
      <c r="V1726"/>
      <c r="W1726"/>
      <c r="X1726"/>
    </row>
    <row r="1727" spans="11:24">
      <c r="K1727"/>
      <c r="L1727"/>
      <c r="M1727"/>
      <c r="N1727"/>
      <c r="U1727"/>
      <c r="V1727"/>
      <c r="W1727"/>
      <c r="X1727"/>
    </row>
    <row r="1728" spans="11:24">
      <c r="K1728"/>
      <c r="L1728"/>
      <c r="M1728"/>
      <c r="N1728"/>
      <c r="U1728"/>
      <c r="V1728"/>
      <c r="W1728"/>
      <c r="X1728"/>
    </row>
    <row r="1729" spans="11:24">
      <c r="K1729"/>
      <c r="L1729"/>
      <c r="M1729"/>
      <c r="N1729"/>
      <c r="U1729"/>
      <c r="V1729"/>
      <c r="W1729"/>
      <c r="X1729"/>
    </row>
    <row r="1730" spans="11:24">
      <c r="K1730"/>
      <c r="L1730"/>
      <c r="M1730"/>
      <c r="N1730"/>
      <c r="U1730"/>
      <c r="V1730"/>
      <c r="W1730"/>
      <c r="X1730"/>
    </row>
    <row r="1731" spans="11:24">
      <c r="K1731"/>
      <c r="L1731"/>
      <c r="M1731"/>
      <c r="N1731"/>
      <c r="U1731"/>
      <c r="V1731"/>
      <c r="W1731"/>
      <c r="X1731"/>
    </row>
    <row r="1732" spans="11:24">
      <c r="K1732"/>
      <c r="L1732"/>
      <c r="M1732"/>
      <c r="N1732"/>
      <c r="U1732"/>
      <c r="V1732"/>
      <c r="W1732"/>
      <c r="X1732"/>
    </row>
    <row r="1733" spans="11:24">
      <c r="K1733"/>
      <c r="L1733"/>
      <c r="M1733"/>
      <c r="N1733"/>
      <c r="U1733"/>
      <c r="V1733"/>
      <c r="W1733"/>
      <c r="X1733"/>
    </row>
    <row r="1734" spans="11:24">
      <c r="K1734"/>
      <c r="L1734"/>
      <c r="M1734"/>
      <c r="N1734"/>
      <c r="U1734"/>
      <c r="V1734"/>
      <c r="W1734"/>
      <c r="X1734"/>
    </row>
    <row r="1735" spans="11:24">
      <c r="K1735"/>
      <c r="L1735"/>
      <c r="M1735"/>
      <c r="N1735"/>
      <c r="U1735"/>
      <c r="V1735"/>
      <c r="W1735"/>
      <c r="X1735"/>
    </row>
    <row r="1736" spans="11:24">
      <c r="K1736"/>
      <c r="L1736"/>
      <c r="M1736"/>
      <c r="N1736"/>
      <c r="U1736"/>
      <c r="V1736"/>
      <c r="W1736"/>
      <c r="X1736"/>
    </row>
    <row r="1737" spans="11:24">
      <c r="K1737"/>
      <c r="L1737"/>
      <c r="M1737"/>
      <c r="N1737"/>
      <c r="U1737"/>
      <c r="V1737"/>
      <c r="W1737"/>
      <c r="X1737"/>
    </row>
    <row r="1738" spans="11:24">
      <c r="K1738"/>
      <c r="L1738"/>
      <c r="M1738"/>
      <c r="N1738"/>
      <c r="U1738"/>
      <c r="V1738"/>
      <c r="W1738"/>
      <c r="X1738"/>
    </row>
    <row r="1739" spans="11:24">
      <c r="K1739"/>
      <c r="L1739"/>
      <c r="M1739"/>
      <c r="N1739"/>
      <c r="U1739"/>
      <c r="V1739"/>
      <c r="W1739"/>
      <c r="X1739"/>
    </row>
    <row r="1740" spans="11:24">
      <c r="K1740"/>
      <c r="L1740"/>
      <c r="M1740"/>
      <c r="N1740"/>
      <c r="U1740"/>
      <c r="V1740"/>
      <c r="W1740"/>
      <c r="X1740"/>
    </row>
    <row r="1741" spans="11:24">
      <c r="K1741"/>
      <c r="L1741"/>
      <c r="M1741"/>
      <c r="N1741"/>
      <c r="U1741"/>
      <c r="V1741"/>
      <c r="W1741"/>
      <c r="X1741"/>
    </row>
    <row r="1742" spans="11:24">
      <c r="K1742"/>
      <c r="L1742"/>
      <c r="M1742"/>
      <c r="N1742"/>
      <c r="U1742"/>
      <c r="V1742"/>
      <c r="W1742"/>
      <c r="X1742"/>
    </row>
    <row r="1743" spans="11:24">
      <c r="K1743"/>
      <c r="L1743"/>
      <c r="M1743"/>
      <c r="N1743"/>
      <c r="U1743"/>
      <c r="V1743"/>
      <c r="W1743"/>
      <c r="X1743"/>
    </row>
    <row r="1744" spans="11:24">
      <c r="K1744"/>
      <c r="L1744"/>
      <c r="M1744"/>
      <c r="N1744"/>
      <c r="U1744"/>
      <c r="V1744"/>
      <c r="W1744"/>
      <c r="X1744"/>
    </row>
    <row r="1745" spans="11:24">
      <c r="K1745"/>
      <c r="L1745"/>
      <c r="M1745"/>
      <c r="N1745"/>
      <c r="U1745"/>
      <c r="V1745"/>
      <c r="W1745"/>
      <c r="X1745"/>
    </row>
    <row r="1746" spans="11:24">
      <c r="K1746"/>
      <c r="L1746"/>
      <c r="M1746"/>
      <c r="N1746"/>
      <c r="U1746"/>
      <c r="V1746"/>
      <c r="W1746"/>
      <c r="X1746"/>
    </row>
    <row r="1747" spans="11:24">
      <c r="K1747"/>
      <c r="L1747"/>
      <c r="M1747"/>
      <c r="N1747"/>
      <c r="U1747"/>
      <c r="V1747"/>
      <c r="W1747"/>
      <c r="X1747"/>
    </row>
    <row r="1748" spans="11:24">
      <c r="K1748"/>
      <c r="L1748"/>
      <c r="M1748"/>
      <c r="N1748"/>
      <c r="U1748"/>
      <c r="V1748"/>
      <c r="W1748"/>
      <c r="X1748"/>
    </row>
    <row r="1749" spans="11:24">
      <c r="K1749"/>
      <c r="L1749"/>
      <c r="M1749"/>
      <c r="N1749"/>
      <c r="U1749"/>
      <c r="V1749"/>
      <c r="W1749"/>
      <c r="X1749"/>
    </row>
    <row r="1750" spans="11:24">
      <c r="K1750"/>
      <c r="L1750"/>
      <c r="M1750"/>
      <c r="N1750"/>
      <c r="U1750"/>
      <c r="V1750"/>
      <c r="W1750"/>
      <c r="X1750"/>
    </row>
    <row r="1751" spans="11:24">
      <c r="K1751"/>
      <c r="L1751"/>
      <c r="M1751"/>
      <c r="N1751"/>
      <c r="U1751"/>
      <c r="V1751"/>
      <c r="W1751"/>
      <c r="X1751"/>
    </row>
    <row r="1752" spans="11:24">
      <c r="K1752"/>
      <c r="L1752"/>
      <c r="M1752"/>
      <c r="N1752"/>
      <c r="U1752"/>
      <c r="V1752"/>
      <c r="W1752"/>
      <c r="X1752"/>
    </row>
    <row r="1753" spans="11:24">
      <c r="K1753"/>
      <c r="L1753"/>
      <c r="M1753"/>
      <c r="N1753"/>
      <c r="U1753"/>
      <c r="V1753"/>
      <c r="W1753"/>
      <c r="X1753"/>
    </row>
    <row r="1754" spans="11:24">
      <c r="K1754"/>
      <c r="L1754"/>
      <c r="M1754"/>
      <c r="N1754"/>
      <c r="U1754"/>
      <c r="V1754"/>
      <c r="W1754"/>
      <c r="X1754"/>
    </row>
    <row r="1755" spans="11:24">
      <c r="K1755"/>
      <c r="L1755"/>
      <c r="M1755"/>
      <c r="N1755"/>
      <c r="U1755"/>
      <c r="V1755"/>
      <c r="W1755"/>
      <c r="X1755"/>
    </row>
    <row r="1756" spans="11:24">
      <c r="K1756"/>
      <c r="L1756"/>
      <c r="M1756"/>
      <c r="N1756"/>
      <c r="U1756"/>
      <c r="V1756"/>
      <c r="W1756"/>
      <c r="X1756"/>
    </row>
    <row r="1757" spans="11:24">
      <c r="K1757"/>
      <c r="L1757"/>
      <c r="M1757"/>
      <c r="N1757"/>
      <c r="U1757"/>
      <c r="V1757"/>
      <c r="W1757"/>
      <c r="X1757"/>
    </row>
    <row r="1758" spans="11:24">
      <c r="K1758"/>
      <c r="L1758"/>
      <c r="M1758"/>
      <c r="N1758"/>
      <c r="U1758"/>
      <c r="V1758"/>
      <c r="W1758"/>
      <c r="X1758"/>
    </row>
    <row r="1759" spans="11:24">
      <c r="K1759"/>
      <c r="L1759"/>
      <c r="M1759"/>
      <c r="N1759"/>
      <c r="U1759"/>
      <c r="V1759"/>
      <c r="W1759"/>
      <c r="X1759"/>
    </row>
    <row r="1760" spans="11:24">
      <c r="K1760"/>
      <c r="L1760"/>
      <c r="M1760"/>
      <c r="N1760"/>
      <c r="U1760"/>
      <c r="V1760"/>
      <c r="W1760"/>
      <c r="X1760"/>
    </row>
    <row r="1761" spans="11:24">
      <c r="K1761"/>
      <c r="L1761"/>
      <c r="M1761"/>
      <c r="N1761"/>
      <c r="U1761"/>
      <c r="V1761"/>
      <c r="W1761"/>
      <c r="X1761"/>
    </row>
    <row r="1762" spans="11:24">
      <c r="K1762"/>
      <c r="L1762"/>
      <c r="M1762"/>
      <c r="N1762"/>
      <c r="U1762"/>
      <c r="V1762"/>
      <c r="W1762"/>
      <c r="X1762"/>
    </row>
    <row r="1763" spans="11:24">
      <c r="K1763"/>
      <c r="L1763"/>
      <c r="M1763"/>
      <c r="N1763"/>
      <c r="U1763"/>
      <c r="V1763"/>
      <c r="W1763"/>
      <c r="X1763"/>
    </row>
    <row r="1764" spans="11:24">
      <c r="K1764"/>
      <c r="L1764"/>
      <c r="M1764"/>
      <c r="N1764"/>
      <c r="U1764"/>
      <c r="V1764"/>
      <c r="W1764"/>
      <c r="X1764"/>
    </row>
    <row r="1765" spans="11:24">
      <c r="K1765"/>
      <c r="L1765"/>
      <c r="M1765"/>
      <c r="N1765"/>
      <c r="U1765"/>
      <c r="V1765"/>
      <c r="W1765"/>
      <c r="X1765"/>
    </row>
    <row r="1766" spans="11:24">
      <c r="K1766"/>
      <c r="L1766"/>
      <c r="M1766"/>
      <c r="N1766"/>
      <c r="U1766"/>
      <c r="V1766"/>
      <c r="W1766"/>
      <c r="X1766"/>
    </row>
    <row r="1767" spans="11:24">
      <c r="K1767"/>
      <c r="L1767"/>
      <c r="M1767"/>
      <c r="N1767"/>
      <c r="U1767"/>
      <c r="V1767"/>
      <c r="W1767"/>
      <c r="X1767"/>
    </row>
    <row r="1768" spans="11:24">
      <c r="K1768"/>
      <c r="L1768"/>
      <c r="M1768"/>
      <c r="N1768"/>
      <c r="U1768"/>
      <c r="V1768"/>
      <c r="W1768"/>
      <c r="X1768"/>
    </row>
    <row r="1769" spans="11:24">
      <c r="K1769"/>
      <c r="L1769"/>
      <c r="M1769"/>
      <c r="N1769"/>
      <c r="U1769"/>
      <c r="V1769"/>
      <c r="W1769"/>
      <c r="X1769"/>
    </row>
    <row r="1770" spans="11:24">
      <c r="K1770"/>
      <c r="L1770"/>
      <c r="M1770"/>
      <c r="N1770"/>
      <c r="U1770"/>
      <c r="V1770"/>
      <c r="W1770"/>
      <c r="X1770"/>
    </row>
    <row r="1771" spans="11:24">
      <c r="K1771"/>
      <c r="L1771"/>
      <c r="M1771"/>
      <c r="N1771"/>
      <c r="U1771"/>
      <c r="V1771"/>
      <c r="W1771"/>
      <c r="X1771"/>
    </row>
    <row r="1772" spans="11:24">
      <c r="K1772"/>
      <c r="L1772"/>
      <c r="M1772"/>
      <c r="N1772"/>
      <c r="U1772"/>
      <c r="V1772"/>
      <c r="W1772"/>
      <c r="X1772"/>
    </row>
    <row r="1773" spans="11:24">
      <c r="K1773"/>
      <c r="L1773"/>
      <c r="M1773"/>
      <c r="N1773"/>
      <c r="U1773"/>
      <c r="V1773"/>
      <c r="W1773"/>
      <c r="X1773"/>
    </row>
    <row r="1774" spans="11:24">
      <c r="K1774"/>
      <c r="L1774"/>
      <c r="M1774"/>
      <c r="N1774"/>
      <c r="U1774"/>
      <c r="V1774"/>
      <c r="W1774"/>
      <c r="X1774"/>
    </row>
    <row r="1775" spans="11:24">
      <c r="K1775"/>
      <c r="L1775"/>
      <c r="M1775"/>
      <c r="N1775"/>
      <c r="U1775"/>
      <c r="V1775"/>
      <c r="W1775"/>
      <c r="X1775"/>
    </row>
    <row r="1776" spans="11:24">
      <c r="K1776"/>
      <c r="L1776"/>
      <c r="M1776"/>
      <c r="N1776"/>
      <c r="U1776"/>
      <c r="V1776"/>
      <c r="W1776"/>
      <c r="X1776"/>
    </row>
    <row r="1777" spans="11:24">
      <c r="K1777"/>
      <c r="L1777"/>
      <c r="M1777"/>
      <c r="N1777"/>
      <c r="U1777"/>
      <c r="V1777"/>
      <c r="W1777"/>
      <c r="X1777"/>
    </row>
    <row r="1778" spans="11:24">
      <c r="K1778"/>
      <c r="L1778"/>
      <c r="M1778"/>
      <c r="N1778"/>
      <c r="U1778"/>
      <c r="V1778"/>
      <c r="W1778"/>
      <c r="X1778"/>
    </row>
    <row r="1779" spans="11:24">
      <c r="K1779"/>
      <c r="L1779"/>
      <c r="M1779"/>
      <c r="N1779"/>
      <c r="U1779"/>
      <c r="V1779"/>
      <c r="W1779"/>
      <c r="X1779"/>
    </row>
    <row r="1780" spans="11:24">
      <c r="K1780"/>
      <c r="L1780"/>
      <c r="M1780"/>
      <c r="N1780"/>
      <c r="U1780"/>
      <c r="V1780"/>
      <c r="W1780"/>
      <c r="X1780"/>
    </row>
    <row r="1781" spans="11:24">
      <c r="K1781"/>
      <c r="L1781"/>
      <c r="M1781"/>
      <c r="N1781"/>
      <c r="U1781"/>
      <c r="V1781"/>
      <c r="W1781"/>
      <c r="X1781"/>
    </row>
    <row r="1782" spans="11:24">
      <c r="K1782"/>
      <c r="L1782"/>
      <c r="M1782"/>
      <c r="N1782"/>
      <c r="U1782"/>
      <c r="V1782"/>
      <c r="W1782"/>
      <c r="X1782"/>
    </row>
    <row r="1783" spans="11:24">
      <c r="K1783"/>
      <c r="L1783"/>
      <c r="M1783"/>
      <c r="N1783"/>
      <c r="U1783"/>
      <c r="V1783"/>
      <c r="W1783"/>
      <c r="X1783"/>
    </row>
    <row r="1784" spans="11:24">
      <c r="K1784"/>
      <c r="L1784"/>
      <c r="M1784"/>
      <c r="N1784"/>
      <c r="U1784"/>
      <c r="V1784"/>
      <c r="W1784"/>
      <c r="X1784"/>
    </row>
    <row r="1785" spans="11:24">
      <c r="K1785"/>
      <c r="L1785"/>
      <c r="M1785"/>
      <c r="N1785"/>
      <c r="U1785"/>
      <c r="V1785"/>
      <c r="W1785"/>
      <c r="X1785"/>
    </row>
    <row r="1786" spans="11:24">
      <c r="K1786"/>
      <c r="L1786"/>
      <c r="M1786"/>
      <c r="N1786"/>
      <c r="U1786"/>
      <c r="V1786"/>
      <c r="W1786"/>
      <c r="X1786"/>
    </row>
    <row r="1787" spans="11:24">
      <c r="K1787"/>
      <c r="L1787"/>
      <c r="M1787"/>
      <c r="N1787"/>
      <c r="U1787"/>
      <c r="V1787"/>
      <c r="W1787"/>
      <c r="X1787"/>
    </row>
    <row r="1788" spans="11:24">
      <c r="K1788"/>
      <c r="L1788"/>
      <c r="M1788"/>
      <c r="N1788"/>
      <c r="U1788"/>
      <c r="V1788"/>
      <c r="W1788"/>
      <c r="X1788"/>
    </row>
    <row r="1789" spans="11:24">
      <c r="K1789"/>
      <c r="L1789"/>
      <c r="M1789"/>
      <c r="N1789"/>
      <c r="U1789"/>
      <c r="V1789"/>
      <c r="W1789"/>
      <c r="X1789"/>
    </row>
    <row r="1790" spans="11:24">
      <c r="K1790"/>
      <c r="L1790"/>
      <c r="M1790"/>
      <c r="N1790"/>
      <c r="U1790"/>
      <c r="V1790"/>
      <c r="W1790"/>
      <c r="X1790"/>
    </row>
    <row r="1791" spans="11:24">
      <c r="K1791"/>
      <c r="L1791"/>
      <c r="M1791"/>
      <c r="N1791"/>
      <c r="U1791"/>
      <c r="V1791"/>
      <c r="W1791"/>
      <c r="X1791"/>
    </row>
    <row r="1792" spans="11:24">
      <c r="K1792"/>
      <c r="L1792"/>
      <c r="M1792"/>
      <c r="N1792"/>
      <c r="U1792"/>
      <c r="V1792"/>
      <c r="W1792"/>
      <c r="X1792"/>
    </row>
    <row r="1793" spans="11:24">
      <c r="K1793"/>
      <c r="L1793"/>
      <c r="M1793"/>
      <c r="N1793"/>
      <c r="U1793"/>
      <c r="V1793"/>
      <c r="W1793"/>
      <c r="X1793"/>
    </row>
    <row r="1794" spans="11:24">
      <c r="K1794"/>
      <c r="L1794"/>
      <c r="M1794"/>
      <c r="N1794"/>
      <c r="U1794"/>
      <c r="V1794"/>
      <c r="W1794"/>
      <c r="X1794"/>
    </row>
    <row r="1795" spans="11:24">
      <c r="K1795"/>
      <c r="L1795"/>
      <c r="M1795"/>
      <c r="N1795"/>
      <c r="U1795"/>
      <c r="V1795"/>
      <c r="W1795"/>
      <c r="X1795"/>
    </row>
    <row r="1796" spans="11:24">
      <c r="K1796"/>
      <c r="L1796"/>
      <c r="M1796"/>
      <c r="N1796"/>
      <c r="U1796"/>
      <c r="V1796"/>
      <c r="W1796"/>
      <c r="X1796"/>
    </row>
    <row r="1797" spans="11:24">
      <c r="K1797"/>
      <c r="L1797"/>
      <c r="M1797"/>
      <c r="N1797"/>
      <c r="U1797"/>
      <c r="V1797"/>
      <c r="W1797"/>
      <c r="X1797"/>
    </row>
    <row r="1798" spans="11:24">
      <c r="K1798"/>
      <c r="L1798"/>
      <c r="M1798"/>
      <c r="N1798"/>
      <c r="U1798"/>
      <c r="V1798"/>
      <c r="W1798"/>
      <c r="X1798"/>
    </row>
    <row r="1799" spans="11:24">
      <c r="K1799"/>
      <c r="L1799"/>
      <c r="M1799"/>
      <c r="N1799"/>
      <c r="U1799"/>
      <c r="V1799"/>
      <c r="W1799"/>
      <c r="X1799"/>
    </row>
    <row r="1800" spans="11:24">
      <c r="K1800"/>
      <c r="L1800"/>
      <c r="M1800"/>
      <c r="N1800"/>
      <c r="U1800"/>
      <c r="V1800"/>
      <c r="W1800"/>
      <c r="X1800"/>
    </row>
    <row r="1801" spans="11:24">
      <c r="K1801"/>
      <c r="L1801"/>
      <c r="M1801"/>
      <c r="N1801"/>
      <c r="U1801"/>
      <c r="V1801"/>
      <c r="W1801"/>
      <c r="X1801"/>
    </row>
    <row r="1802" spans="11:24">
      <c r="K1802"/>
      <c r="L1802"/>
      <c r="M1802"/>
      <c r="N1802"/>
      <c r="U1802"/>
      <c r="V1802"/>
      <c r="W1802"/>
      <c r="X1802"/>
    </row>
    <row r="1803" spans="11:24">
      <c r="K1803"/>
      <c r="L1803"/>
      <c r="M1803"/>
      <c r="N1803"/>
      <c r="U1803"/>
      <c r="V1803"/>
      <c r="W1803"/>
      <c r="X1803"/>
    </row>
    <row r="1804" spans="11:24">
      <c r="K1804"/>
      <c r="L1804"/>
      <c r="M1804"/>
      <c r="N1804"/>
      <c r="U1804"/>
      <c r="V1804"/>
      <c r="W1804"/>
      <c r="X1804"/>
    </row>
    <row r="1805" spans="11:24">
      <c r="K1805"/>
      <c r="L1805"/>
      <c r="M1805"/>
      <c r="N1805"/>
      <c r="U1805"/>
      <c r="V1805"/>
      <c r="W1805"/>
      <c r="X1805"/>
    </row>
    <row r="1806" spans="11:24">
      <c r="K1806"/>
      <c r="L1806"/>
      <c r="M1806"/>
      <c r="N1806"/>
      <c r="U1806"/>
      <c r="V1806"/>
      <c r="W1806"/>
      <c r="X1806"/>
    </row>
    <row r="1807" spans="11:24">
      <c r="K1807"/>
      <c r="L1807"/>
      <c r="M1807"/>
      <c r="N1807"/>
      <c r="U1807"/>
      <c r="V1807"/>
      <c r="W1807"/>
      <c r="X1807"/>
    </row>
    <row r="1808" spans="11:24">
      <c r="K1808"/>
      <c r="L1808"/>
      <c r="M1808"/>
      <c r="N1808"/>
      <c r="U1808"/>
      <c r="V1808"/>
      <c r="W1808"/>
      <c r="X1808"/>
    </row>
    <row r="1809" spans="11:24">
      <c r="K1809"/>
      <c r="L1809"/>
      <c r="M1809"/>
      <c r="N1809"/>
      <c r="U1809"/>
      <c r="V1809"/>
      <c r="W1809"/>
      <c r="X1809"/>
    </row>
    <row r="1810" spans="11:24">
      <c r="K1810"/>
      <c r="L1810"/>
      <c r="M1810"/>
      <c r="N1810"/>
      <c r="U1810"/>
      <c r="V1810"/>
      <c r="W1810"/>
      <c r="X1810"/>
    </row>
    <row r="1811" spans="11:24">
      <c r="K1811"/>
      <c r="L1811"/>
      <c r="M1811"/>
      <c r="N1811"/>
      <c r="U1811"/>
      <c r="V1811"/>
      <c r="W1811"/>
      <c r="X1811"/>
    </row>
    <row r="1812" spans="11:24">
      <c r="K1812"/>
      <c r="L1812"/>
      <c r="M1812"/>
      <c r="N1812"/>
      <c r="U1812"/>
      <c r="V1812"/>
      <c r="W1812"/>
      <c r="X1812"/>
    </row>
    <row r="1813" spans="11:24">
      <c r="K1813"/>
      <c r="L1813"/>
      <c r="M1813"/>
      <c r="N1813"/>
      <c r="U1813"/>
      <c r="V1813"/>
      <c r="W1813"/>
      <c r="X1813"/>
    </row>
    <row r="1814" spans="11:24">
      <c r="K1814"/>
      <c r="L1814"/>
      <c r="M1814"/>
      <c r="N1814"/>
      <c r="U1814"/>
      <c r="V1814"/>
      <c r="W1814"/>
      <c r="X1814"/>
    </row>
    <row r="1815" spans="11:24">
      <c r="K1815"/>
      <c r="L1815"/>
      <c r="M1815"/>
      <c r="N1815"/>
      <c r="U1815"/>
      <c r="V1815"/>
      <c r="W1815"/>
      <c r="X1815"/>
    </row>
    <row r="1816" spans="11:24">
      <c r="K1816"/>
      <c r="L1816"/>
      <c r="M1816"/>
      <c r="N1816"/>
      <c r="U1816"/>
      <c r="V1816"/>
      <c r="W1816"/>
      <c r="X1816"/>
    </row>
    <row r="1817" spans="11:24">
      <c r="K1817"/>
      <c r="L1817"/>
      <c r="M1817"/>
      <c r="N1817"/>
      <c r="U1817"/>
      <c r="V1817"/>
      <c r="W1817"/>
      <c r="X1817"/>
    </row>
    <row r="1818" spans="11:24">
      <c r="K1818"/>
      <c r="L1818"/>
      <c r="M1818"/>
      <c r="N1818"/>
      <c r="U1818"/>
      <c r="V1818"/>
      <c r="W1818"/>
      <c r="X1818"/>
    </row>
    <row r="1819" spans="11:24">
      <c r="K1819"/>
      <c r="L1819"/>
      <c r="M1819"/>
      <c r="N1819"/>
      <c r="U1819"/>
      <c r="V1819"/>
      <c r="W1819"/>
      <c r="X1819"/>
    </row>
    <row r="1820" spans="11:24">
      <c r="K1820"/>
      <c r="L1820"/>
      <c r="M1820"/>
      <c r="N1820"/>
      <c r="U1820"/>
      <c r="V1820"/>
      <c r="W1820"/>
      <c r="X1820"/>
    </row>
    <row r="1821" spans="11:24">
      <c r="K1821"/>
      <c r="L1821"/>
      <c r="M1821"/>
      <c r="N1821"/>
      <c r="U1821"/>
      <c r="V1821"/>
      <c r="W1821"/>
      <c r="X1821"/>
    </row>
    <row r="1822" spans="11:24">
      <c r="K1822"/>
      <c r="L1822"/>
      <c r="M1822"/>
      <c r="N1822"/>
      <c r="U1822"/>
      <c r="V1822"/>
      <c r="W1822"/>
      <c r="X1822"/>
    </row>
    <row r="1823" spans="11:24">
      <c r="K1823"/>
      <c r="L1823"/>
      <c r="M1823"/>
      <c r="N1823"/>
      <c r="U1823"/>
      <c r="V1823"/>
      <c r="W1823"/>
      <c r="X1823"/>
    </row>
    <row r="1824" spans="11:24">
      <c r="K1824"/>
      <c r="L1824"/>
      <c r="M1824"/>
      <c r="N1824"/>
      <c r="U1824"/>
      <c r="V1824"/>
      <c r="W1824"/>
      <c r="X1824"/>
    </row>
    <row r="1825" spans="11:24">
      <c r="K1825"/>
      <c r="L1825"/>
      <c r="M1825"/>
      <c r="N1825"/>
      <c r="U1825"/>
      <c r="V1825"/>
      <c r="W1825"/>
      <c r="X1825"/>
    </row>
    <row r="1826" spans="11:24">
      <c r="K1826"/>
      <c r="L1826"/>
      <c r="M1826"/>
      <c r="N1826"/>
      <c r="U1826"/>
      <c r="V1826"/>
      <c r="W1826"/>
      <c r="X1826"/>
    </row>
    <row r="1827" spans="11:24">
      <c r="K1827"/>
      <c r="L1827"/>
      <c r="M1827"/>
      <c r="N1827"/>
      <c r="U1827"/>
      <c r="V1827"/>
      <c r="W1827"/>
      <c r="X1827"/>
    </row>
    <row r="1828" spans="11:24">
      <c r="K1828"/>
      <c r="L1828"/>
      <c r="M1828"/>
      <c r="N1828"/>
      <c r="U1828"/>
      <c r="V1828"/>
      <c r="W1828"/>
      <c r="X1828"/>
    </row>
    <row r="1829" spans="11:24">
      <c r="K1829"/>
      <c r="L1829"/>
      <c r="M1829"/>
      <c r="N1829"/>
      <c r="U1829"/>
      <c r="V1829"/>
      <c r="W1829"/>
      <c r="X1829"/>
    </row>
    <row r="1830" spans="11:24">
      <c r="K1830"/>
      <c r="L1830"/>
      <c r="M1830"/>
      <c r="N1830"/>
      <c r="U1830"/>
      <c r="V1830"/>
      <c r="W1830"/>
      <c r="X1830"/>
    </row>
    <row r="1831" spans="11:24">
      <c r="K1831"/>
      <c r="L1831"/>
      <c r="M1831"/>
      <c r="N1831"/>
      <c r="U1831"/>
      <c r="V1831"/>
      <c r="W1831"/>
      <c r="X1831"/>
    </row>
    <row r="1832" spans="11:24">
      <c r="K1832"/>
      <c r="L1832"/>
      <c r="M1832"/>
      <c r="N1832"/>
      <c r="U1832"/>
      <c r="V1832"/>
      <c r="W1832"/>
      <c r="X1832"/>
    </row>
    <row r="1833" spans="11:24">
      <c r="K1833"/>
      <c r="L1833"/>
      <c r="M1833"/>
      <c r="N1833"/>
      <c r="U1833"/>
      <c r="V1833"/>
      <c r="W1833"/>
      <c r="X1833"/>
    </row>
    <row r="1834" spans="11:24">
      <c r="K1834"/>
      <c r="L1834"/>
      <c r="M1834"/>
      <c r="N1834"/>
      <c r="U1834"/>
      <c r="V1834"/>
      <c r="W1834"/>
      <c r="X1834"/>
    </row>
    <row r="1835" spans="11:24">
      <c r="K1835"/>
      <c r="L1835"/>
      <c r="M1835"/>
      <c r="N1835"/>
      <c r="U1835"/>
      <c r="V1835"/>
      <c r="W1835"/>
      <c r="X1835"/>
    </row>
    <row r="1836" spans="11:24">
      <c r="K1836"/>
      <c r="L1836"/>
      <c r="M1836"/>
      <c r="N1836"/>
      <c r="U1836"/>
      <c r="V1836"/>
      <c r="W1836"/>
      <c r="X1836"/>
    </row>
    <row r="1837" spans="11:24">
      <c r="K1837"/>
      <c r="L1837"/>
      <c r="M1837"/>
      <c r="N1837"/>
      <c r="U1837"/>
      <c r="V1837"/>
      <c r="W1837"/>
      <c r="X1837"/>
    </row>
    <row r="1838" spans="11:24">
      <c r="K1838"/>
      <c r="L1838"/>
      <c r="M1838"/>
      <c r="N1838"/>
      <c r="U1838"/>
      <c r="V1838"/>
      <c r="W1838"/>
      <c r="X1838"/>
    </row>
    <row r="1839" spans="11:24">
      <c r="K1839"/>
      <c r="L1839"/>
      <c r="M1839"/>
      <c r="N1839"/>
      <c r="U1839"/>
      <c r="V1839"/>
      <c r="W1839"/>
      <c r="X1839"/>
    </row>
    <row r="1840" spans="11:24">
      <c r="K1840"/>
      <c r="L1840"/>
      <c r="M1840"/>
      <c r="N1840"/>
      <c r="U1840"/>
      <c r="V1840"/>
      <c r="W1840"/>
      <c r="X1840"/>
    </row>
    <row r="1841" spans="11:24">
      <c r="K1841"/>
      <c r="L1841"/>
      <c r="M1841"/>
      <c r="N1841"/>
      <c r="U1841"/>
      <c r="V1841"/>
      <c r="W1841"/>
      <c r="X1841"/>
    </row>
    <row r="1842" spans="11:24">
      <c r="K1842"/>
      <c r="L1842"/>
      <c r="M1842"/>
      <c r="N1842"/>
      <c r="U1842"/>
      <c r="V1842"/>
      <c r="W1842"/>
      <c r="X1842"/>
    </row>
    <row r="1843" spans="11:24">
      <c r="K1843"/>
      <c r="L1843"/>
      <c r="M1843"/>
      <c r="N1843"/>
      <c r="U1843"/>
      <c r="V1843"/>
      <c r="W1843"/>
      <c r="X1843"/>
    </row>
    <row r="1844" spans="11:24">
      <c r="K1844"/>
      <c r="L1844"/>
      <c r="M1844"/>
      <c r="N1844"/>
      <c r="U1844"/>
      <c r="V1844"/>
      <c r="W1844"/>
      <c r="X1844"/>
    </row>
    <row r="1845" spans="11:24">
      <c r="K1845"/>
      <c r="L1845"/>
      <c r="M1845"/>
      <c r="N1845"/>
      <c r="U1845"/>
      <c r="V1845"/>
      <c r="W1845"/>
      <c r="X1845"/>
    </row>
    <row r="1846" spans="11:24">
      <c r="K1846"/>
      <c r="L1846"/>
      <c r="M1846"/>
      <c r="N1846"/>
      <c r="U1846"/>
      <c r="V1846"/>
      <c r="W1846"/>
      <c r="X1846"/>
    </row>
    <row r="1847" spans="11:24">
      <c r="K1847"/>
      <c r="L1847"/>
      <c r="M1847"/>
      <c r="N1847"/>
      <c r="U1847"/>
      <c r="V1847"/>
      <c r="W1847"/>
      <c r="X1847"/>
    </row>
    <row r="1848" spans="11:24">
      <c r="K1848"/>
      <c r="L1848"/>
      <c r="M1848"/>
      <c r="N1848"/>
      <c r="U1848"/>
      <c r="V1848"/>
      <c r="W1848"/>
      <c r="X1848"/>
    </row>
    <row r="1849" spans="11:24">
      <c r="K1849"/>
      <c r="L1849"/>
      <c r="M1849"/>
      <c r="N1849"/>
      <c r="U1849"/>
      <c r="V1849"/>
      <c r="W1849"/>
      <c r="X1849"/>
    </row>
    <row r="1850" spans="11:24">
      <c r="K1850"/>
      <c r="L1850"/>
      <c r="M1850"/>
      <c r="N1850"/>
      <c r="U1850"/>
      <c r="V1850"/>
      <c r="W1850"/>
      <c r="X1850"/>
    </row>
    <row r="1851" spans="11:24">
      <c r="K1851"/>
      <c r="L1851"/>
      <c r="M1851"/>
      <c r="N1851"/>
      <c r="U1851"/>
      <c r="V1851"/>
      <c r="W1851"/>
      <c r="X1851"/>
    </row>
    <row r="1852" spans="11:24">
      <c r="K1852"/>
      <c r="L1852"/>
      <c r="M1852"/>
      <c r="N1852"/>
      <c r="U1852"/>
      <c r="V1852"/>
      <c r="W1852"/>
      <c r="X1852"/>
    </row>
    <row r="1853" spans="11:24">
      <c r="K1853"/>
      <c r="L1853"/>
      <c r="M1853"/>
      <c r="N1853"/>
      <c r="U1853"/>
      <c r="V1853"/>
      <c r="W1853"/>
      <c r="X1853"/>
    </row>
    <row r="1854" spans="11:24">
      <c r="K1854"/>
      <c r="L1854"/>
      <c r="M1854"/>
      <c r="N1854"/>
      <c r="U1854"/>
      <c r="V1854"/>
      <c r="W1854"/>
      <c r="X1854"/>
    </row>
    <row r="1855" spans="11:24">
      <c r="K1855"/>
      <c r="L1855"/>
      <c r="M1855"/>
      <c r="N1855"/>
      <c r="U1855"/>
      <c r="V1855"/>
      <c r="W1855"/>
      <c r="X1855"/>
    </row>
    <row r="1856" spans="11:24">
      <c r="K1856"/>
      <c r="L1856"/>
      <c r="M1856"/>
      <c r="N1856"/>
      <c r="U1856"/>
      <c r="V1856"/>
      <c r="W1856"/>
      <c r="X1856"/>
    </row>
    <row r="1857" spans="11:24">
      <c r="K1857"/>
      <c r="L1857"/>
      <c r="M1857"/>
      <c r="N1857"/>
      <c r="U1857"/>
      <c r="V1857"/>
      <c r="W1857"/>
      <c r="X1857"/>
    </row>
    <row r="1858" spans="11:24">
      <c r="K1858"/>
      <c r="L1858"/>
      <c r="M1858"/>
      <c r="N1858"/>
      <c r="U1858"/>
      <c r="V1858"/>
      <c r="W1858"/>
      <c r="X1858"/>
    </row>
    <row r="1859" spans="11:24">
      <c r="K1859"/>
      <c r="L1859"/>
      <c r="M1859"/>
      <c r="N1859"/>
      <c r="U1859"/>
      <c r="V1859"/>
      <c r="W1859"/>
      <c r="X1859"/>
    </row>
    <row r="1860" spans="11:24">
      <c r="K1860"/>
      <c r="L1860"/>
      <c r="M1860"/>
      <c r="N1860"/>
      <c r="U1860"/>
      <c r="V1860"/>
      <c r="W1860"/>
      <c r="X1860"/>
    </row>
    <row r="1861" spans="11:24">
      <c r="K1861"/>
      <c r="L1861"/>
      <c r="M1861"/>
      <c r="N1861"/>
      <c r="U1861"/>
      <c r="V1861"/>
      <c r="W1861"/>
      <c r="X1861"/>
    </row>
    <row r="1862" spans="11:24">
      <c r="K1862"/>
      <c r="L1862"/>
      <c r="M1862"/>
      <c r="N1862"/>
      <c r="U1862"/>
      <c r="V1862"/>
      <c r="W1862"/>
      <c r="X1862"/>
    </row>
    <row r="1863" spans="11:24">
      <c r="K1863"/>
      <c r="L1863"/>
      <c r="M1863"/>
      <c r="N1863"/>
      <c r="U1863"/>
      <c r="V1863"/>
      <c r="W1863"/>
      <c r="X1863"/>
    </row>
    <row r="1864" spans="11:24">
      <c r="K1864"/>
      <c r="L1864"/>
      <c r="M1864"/>
      <c r="N1864"/>
      <c r="U1864"/>
      <c r="V1864"/>
      <c r="W1864"/>
      <c r="X1864"/>
    </row>
    <row r="1865" spans="11:24">
      <c r="K1865"/>
      <c r="L1865"/>
      <c r="M1865"/>
      <c r="N1865"/>
      <c r="U1865"/>
      <c r="V1865"/>
      <c r="W1865"/>
      <c r="X1865"/>
    </row>
    <row r="1866" spans="11:24">
      <c r="K1866"/>
      <c r="L1866"/>
      <c r="M1866"/>
      <c r="N1866"/>
      <c r="U1866"/>
      <c r="V1866"/>
      <c r="W1866"/>
      <c r="X1866"/>
    </row>
    <row r="1867" spans="11:24">
      <c r="K1867"/>
      <c r="L1867"/>
      <c r="M1867"/>
      <c r="N1867"/>
      <c r="U1867"/>
      <c r="V1867"/>
      <c r="W1867"/>
      <c r="X1867"/>
    </row>
    <row r="1868" spans="11:24">
      <c r="K1868"/>
      <c r="L1868"/>
      <c r="M1868"/>
      <c r="N1868"/>
      <c r="U1868"/>
      <c r="V1868"/>
      <c r="W1868"/>
      <c r="X1868"/>
    </row>
    <row r="1869" spans="11:24">
      <c r="K1869"/>
      <c r="L1869"/>
      <c r="M1869"/>
      <c r="N1869"/>
      <c r="U1869"/>
      <c r="V1869"/>
      <c r="W1869"/>
      <c r="X1869"/>
    </row>
    <row r="1870" spans="11:24">
      <c r="K1870"/>
      <c r="L1870"/>
      <c r="M1870"/>
      <c r="N1870"/>
      <c r="U1870"/>
      <c r="V1870"/>
      <c r="W1870"/>
      <c r="X1870"/>
    </row>
    <row r="1871" spans="11:24">
      <c r="K1871"/>
      <c r="L1871"/>
      <c r="M1871"/>
      <c r="N1871"/>
      <c r="U1871"/>
      <c r="V1871"/>
      <c r="W1871"/>
      <c r="X1871"/>
    </row>
    <row r="1872" spans="11:24">
      <c r="K1872"/>
      <c r="L1872"/>
      <c r="M1872"/>
      <c r="N1872"/>
      <c r="U1872"/>
      <c r="V1872"/>
      <c r="W1872"/>
      <c r="X1872"/>
    </row>
    <row r="1873" spans="11:24">
      <c r="K1873"/>
      <c r="L1873"/>
      <c r="M1873"/>
      <c r="N1873"/>
      <c r="U1873"/>
      <c r="V1873"/>
      <c r="W1873"/>
      <c r="X1873"/>
    </row>
    <row r="1874" spans="11:24">
      <c r="K1874"/>
      <c r="L1874"/>
      <c r="M1874"/>
      <c r="N1874"/>
      <c r="U1874"/>
      <c r="V1874"/>
      <c r="W1874"/>
      <c r="X1874"/>
    </row>
    <row r="1875" spans="11:24">
      <c r="K1875"/>
      <c r="L1875"/>
      <c r="M1875"/>
      <c r="N1875"/>
      <c r="U1875"/>
      <c r="V1875"/>
      <c r="W1875"/>
      <c r="X1875"/>
    </row>
    <row r="1876" spans="11:24">
      <c r="K1876"/>
      <c r="L1876"/>
      <c r="M1876"/>
      <c r="N1876"/>
      <c r="U1876"/>
      <c r="V1876"/>
      <c r="W1876"/>
      <c r="X1876"/>
    </row>
    <row r="1877" spans="11:24">
      <c r="K1877"/>
      <c r="L1877"/>
      <c r="M1877"/>
      <c r="N1877"/>
      <c r="U1877"/>
      <c r="V1877"/>
      <c r="W1877"/>
      <c r="X1877"/>
    </row>
    <row r="1878" spans="11:24">
      <c r="K1878"/>
      <c r="L1878"/>
      <c r="M1878"/>
      <c r="N1878"/>
      <c r="U1878"/>
      <c r="V1878"/>
      <c r="W1878"/>
      <c r="X1878"/>
    </row>
    <row r="1879" spans="11:24">
      <c r="K1879"/>
      <c r="L1879"/>
      <c r="M1879"/>
      <c r="N1879"/>
      <c r="U1879"/>
      <c r="V1879"/>
      <c r="W1879"/>
      <c r="X1879"/>
    </row>
    <row r="1880" spans="11:24">
      <c r="K1880"/>
      <c r="L1880"/>
      <c r="M1880"/>
      <c r="N1880"/>
      <c r="U1880"/>
      <c r="V1880"/>
      <c r="W1880"/>
      <c r="X1880"/>
    </row>
    <row r="1881" spans="11:24">
      <c r="K1881"/>
      <c r="L1881"/>
      <c r="M1881"/>
      <c r="N1881"/>
      <c r="U1881"/>
      <c r="V1881"/>
      <c r="W1881"/>
      <c r="X1881"/>
    </row>
    <row r="1882" spans="11:24">
      <c r="K1882"/>
      <c r="L1882"/>
      <c r="M1882"/>
      <c r="N1882"/>
      <c r="U1882"/>
      <c r="V1882"/>
      <c r="W1882"/>
      <c r="X1882"/>
    </row>
    <row r="1883" spans="11:24">
      <c r="K1883"/>
      <c r="L1883"/>
      <c r="M1883"/>
      <c r="N1883"/>
      <c r="U1883"/>
      <c r="V1883"/>
      <c r="W1883"/>
      <c r="X1883"/>
    </row>
    <row r="1884" spans="11:24">
      <c r="K1884"/>
      <c r="L1884"/>
      <c r="M1884"/>
      <c r="N1884"/>
      <c r="U1884"/>
      <c r="V1884"/>
      <c r="W1884"/>
      <c r="X1884"/>
    </row>
    <row r="1885" spans="11:24">
      <c r="K1885"/>
      <c r="L1885"/>
      <c r="M1885"/>
      <c r="N1885"/>
      <c r="U1885"/>
      <c r="V1885"/>
      <c r="W1885"/>
      <c r="X1885"/>
    </row>
    <row r="1886" spans="11:24">
      <c r="K1886"/>
      <c r="L1886"/>
      <c r="M1886"/>
      <c r="N1886"/>
      <c r="U1886"/>
      <c r="V1886"/>
      <c r="W1886"/>
      <c r="X1886"/>
    </row>
    <row r="1887" spans="11:24">
      <c r="K1887"/>
      <c r="L1887"/>
      <c r="M1887"/>
      <c r="N1887"/>
      <c r="U1887"/>
      <c r="V1887"/>
      <c r="W1887"/>
      <c r="X1887"/>
    </row>
    <row r="1888" spans="11:24">
      <c r="K1888"/>
      <c r="L1888"/>
      <c r="M1888"/>
      <c r="N1888"/>
      <c r="U1888"/>
      <c r="V1888"/>
      <c r="W1888"/>
      <c r="X1888"/>
    </row>
    <row r="1889" spans="11:24">
      <c r="K1889"/>
      <c r="L1889"/>
      <c r="M1889"/>
      <c r="N1889"/>
      <c r="U1889"/>
      <c r="V1889"/>
      <c r="W1889"/>
      <c r="X1889"/>
    </row>
    <row r="1890" spans="11:24">
      <c r="K1890"/>
      <c r="L1890"/>
      <c r="M1890"/>
      <c r="N1890"/>
      <c r="U1890"/>
      <c r="V1890"/>
      <c r="W1890"/>
      <c r="X1890"/>
    </row>
    <row r="1891" spans="11:24">
      <c r="K1891"/>
      <c r="L1891"/>
      <c r="M1891"/>
      <c r="N1891"/>
      <c r="U1891"/>
      <c r="V1891"/>
      <c r="W1891"/>
      <c r="X1891"/>
    </row>
    <row r="1892" spans="11:24">
      <c r="K1892"/>
      <c r="L1892"/>
      <c r="M1892"/>
      <c r="N1892"/>
      <c r="U1892"/>
      <c r="V1892"/>
      <c r="W1892"/>
      <c r="X1892"/>
    </row>
    <row r="1893" spans="11:24">
      <c r="K1893"/>
      <c r="L1893"/>
      <c r="M1893"/>
      <c r="N1893"/>
      <c r="U1893"/>
      <c r="V1893"/>
      <c r="W1893"/>
      <c r="X1893"/>
    </row>
    <row r="1894" spans="11:24">
      <c r="K1894"/>
      <c r="L1894"/>
      <c r="M1894"/>
      <c r="N1894"/>
      <c r="U1894"/>
      <c r="V1894"/>
      <c r="W1894"/>
      <c r="X1894"/>
    </row>
    <row r="1895" spans="11:24">
      <c r="K1895"/>
      <c r="L1895"/>
      <c r="M1895"/>
      <c r="N1895"/>
      <c r="U1895"/>
      <c r="V1895"/>
      <c r="W1895"/>
      <c r="X1895"/>
    </row>
    <row r="1896" spans="11:24">
      <c r="K1896"/>
      <c r="L1896"/>
      <c r="M1896"/>
      <c r="N1896"/>
      <c r="U1896"/>
      <c r="V1896"/>
      <c r="W1896"/>
      <c r="X1896"/>
    </row>
    <row r="1897" spans="11:24">
      <c r="K1897"/>
      <c r="L1897"/>
      <c r="M1897"/>
      <c r="N1897"/>
      <c r="U1897"/>
      <c r="V1897"/>
      <c r="W1897"/>
      <c r="X1897"/>
    </row>
    <row r="1898" spans="11:24">
      <c r="K1898"/>
      <c r="L1898"/>
      <c r="M1898"/>
      <c r="N1898"/>
      <c r="U1898"/>
      <c r="V1898"/>
      <c r="W1898"/>
      <c r="X1898"/>
    </row>
    <row r="1899" spans="11:24">
      <c r="K1899"/>
      <c r="L1899"/>
      <c r="M1899"/>
      <c r="N1899"/>
      <c r="U1899"/>
      <c r="V1899"/>
      <c r="W1899"/>
      <c r="X1899"/>
    </row>
    <row r="1900" spans="11:24">
      <c r="K1900"/>
      <c r="L1900"/>
      <c r="M1900"/>
      <c r="N1900"/>
      <c r="U1900"/>
      <c r="V1900"/>
      <c r="W1900"/>
      <c r="X1900"/>
    </row>
    <row r="1901" spans="11:24">
      <c r="K1901"/>
      <c r="L1901"/>
      <c r="M1901"/>
      <c r="N1901"/>
      <c r="U1901"/>
      <c r="V1901"/>
      <c r="W1901"/>
      <c r="X1901"/>
    </row>
    <row r="1902" spans="11:24">
      <c r="K1902"/>
      <c r="L1902"/>
      <c r="M1902"/>
      <c r="N1902"/>
      <c r="U1902"/>
      <c r="V1902"/>
      <c r="W1902"/>
      <c r="X1902"/>
    </row>
    <row r="1903" spans="11:24">
      <c r="K1903"/>
      <c r="L1903"/>
      <c r="M1903"/>
      <c r="N1903"/>
      <c r="U1903"/>
      <c r="V1903"/>
      <c r="W1903"/>
      <c r="X1903"/>
    </row>
    <row r="1904" spans="11:24">
      <c r="K1904"/>
      <c r="L1904"/>
      <c r="M1904"/>
      <c r="N1904"/>
      <c r="U1904"/>
      <c r="V1904"/>
      <c r="W1904"/>
      <c r="X1904"/>
    </row>
    <row r="1905" spans="11:24">
      <c r="K1905"/>
      <c r="L1905"/>
      <c r="M1905"/>
      <c r="N1905"/>
      <c r="U1905"/>
      <c r="V1905"/>
      <c r="W1905"/>
      <c r="X1905"/>
    </row>
    <row r="1906" spans="11:24">
      <c r="K1906"/>
      <c r="L1906"/>
      <c r="M1906"/>
      <c r="N1906"/>
      <c r="U1906"/>
      <c r="V1906"/>
      <c r="W1906"/>
      <c r="X1906"/>
    </row>
    <row r="1907" spans="11:24">
      <c r="K1907"/>
      <c r="L1907"/>
      <c r="M1907"/>
      <c r="N1907"/>
      <c r="U1907"/>
      <c r="V1907"/>
      <c r="W1907"/>
      <c r="X1907"/>
    </row>
    <row r="1908" spans="11:24">
      <c r="K1908"/>
      <c r="L1908"/>
      <c r="M1908"/>
      <c r="N1908"/>
      <c r="U1908"/>
      <c r="V1908"/>
      <c r="W1908"/>
      <c r="X1908"/>
    </row>
    <row r="1909" spans="11:24">
      <c r="K1909"/>
      <c r="L1909"/>
      <c r="M1909"/>
      <c r="N1909"/>
      <c r="U1909"/>
      <c r="V1909"/>
      <c r="W1909"/>
      <c r="X1909"/>
    </row>
    <row r="1910" spans="11:24">
      <c r="K1910"/>
      <c r="L1910"/>
      <c r="M1910"/>
      <c r="N1910"/>
      <c r="U1910"/>
      <c r="V1910"/>
      <c r="W1910"/>
      <c r="X1910"/>
    </row>
    <row r="1911" spans="11:24">
      <c r="K1911"/>
      <c r="L1911"/>
      <c r="M1911"/>
      <c r="N1911"/>
      <c r="U1911"/>
      <c r="V1911"/>
      <c r="W1911"/>
      <c r="X1911"/>
    </row>
    <row r="1912" spans="11:24">
      <c r="K1912"/>
      <c r="L1912"/>
      <c r="M1912"/>
      <c r="N1912"/>
      <c r="U1912"/>
      <c r="V1912"/>
      <c r="W1912"/>
      <c r="X1912"/>
    </row>
    <row r="1913" spans="11:24">
      <c r="K1913"/>
      <c r="L1913"/>
      <c r="M1913"/>
      <c r="N1913"/>
      <c r="U1913"/>
      <c r="V1913"/>
      <c r="W1913"/>
      <c r="X1913"/>
    </row>
    <row r="1914" spans="11:24">
      <c r="K1914"/>
      <c r="L1914"/>
      <c r="M1914"/>
      <c r="N1914"/>
      <c r="U1914"/>
      <c r="V1914"/>
      <c r="W1914"/>
      <c r="X1914"/>
    </row>
    <row r="1915" spans="11:24">
      <c r="K1915"/>
      <c r="L1915"/>
      <c r="M1915"/>
      <c r="N1915"/>
      <c r="U1915"/>
      <c r="V1915"/>
      <c r="W1915"/>
      <c r="X1915"/>
    </row>
    <row r="1916" spans="11:24">
      <c r="K1916"/>
      <c r="L1916"/>
      <c r="M1916"/>
      <c r="N1916"/>
      <c r="U1916"/>
      <c r="V1916"/>
      <c r="W1916"/>
      <c r="X1916"/>
    </row>
    <row r="1917" spans="11:24">
      <c r="K1917"/>
      <c r="L1917"/>
      <c r="M1917"/>
      <c r="N1917"/>
      <c r="U1917"/>
      <c r="V1917"/>
      <c r="W1917"/>
      <c r="X1917"/>
    </row>
    <row r="1918" spans="11:24">
      <c r="K1918"/>
      <c r="L1918"/>
      <c r="M1918"/>
      <c r="N1918"/>
      <c r="U1918"/>
      <c r="V1918"/>
      <c r="W1918"/>
      <c r="X1918"/>
    </row>
    <row r="1919" spans="11:24">
      <c r="K1919"/>
      <c r="L1919"/>
      <c r="M1919"/>
      <c r="N1919"/>
      <c r="U1919"/>
      <c r="V1919"/>
      <c r="W1919"/>
      <c r="X1919"/>
    </row>
    <row r="1920" spans="11:24">
      <c r="K1920"/>
      <c r="L1920"/>
      <c r="M1920"/>
      <c r="N1920"/>
      <c r="U1920"/>
      <c r="V1920"/>
      <c r="W1920"/>
      <c r="X1920"/>
    </row>
    <row r="1921" spans="11:24">
      <c r="K1921"/>
      <c r="L1921"/>
      <c r="M1921"/>
      <c r="N1921"/>
      <c r="U1921"/>
      <c r="V1921"/>
      <c r="W1921"/>
      <c r="X1921"/>
    </row>
    <row r="1922" spans="11:24">
      <c r="K1922"/>
      <c r="L1922"/>
      <c r="M1922"/>
      <c r="N1922"/>
      <c r="U1922"/>
      <c r="V1922"/>
      <c r="W1922"/>
      <c r="X1922"/>
    </row>
    <row r="1923" spans="11:24">
      <c r="K1923"/>
      <c r="L1923"/>
      <c r="M1923"/>
      <c r="N1923"/>
      <c r="U1923"/>
      <c r="V1923"/>
      <c r="W1923"/>
      <c r="X1923"/>
    </row>
    <row r="1924" spans="11:24">
      <c r="K1924"/>
      <c r="L1924"/>
      <c r="M1924"/>
      <c r="N1924"/>
      <c r="U1924"/>
      <c r="V1924"/>
      <c r="W1924"/>
      <c r="X1924"/>
    </row>
    <row r="1925" spans="11:24">
      <c r="K1925"/>
      <c r="L1925"/>
      <c r="M1925"/>
      <c r="N1925"/>
      <c r="U1925"/>
      <c r="V1925"/>
      <c r="W1925"/>
      <c r="X1925"/>
    </row>
    <row r="1926" spans="11:24">
      <c r="K1926"/>
      <c r="L1926"/>
      <c r="M1926"/>
      <c r="N1926"/>
      <c r="U1926"/>
      <c r="V1926"/>
      <c r="W1926"/>
      <c r="X1926"/>
    </row>
    <row r="1927" spans="11:24">
      <c r="K1927"/>
      <c r="L1927"/>
      <c r="M1927"/>
      <c r="N1927"/>
      <c r="U1927"/>
      <c r="V1927"/>
      <c r="W1927"/>
      <c r="X1927"/>
    </row>
    <row r="1928" spans="11:24">
      <c r="K1928"/>
      <c r="L1928"/>
      <c r="M1928"/>
      <c r="N1928"/>
      <c r="U1928"/>
      <c r="V1928"/>
      <c r="W1928"/>
      <c r="X1928"/>
    </row>
    <row r="1929" spans="11:24">
      <c r="K1929"/>
      <c r="L1929"/>
      <c r="M1929"/>
      <c r="N1929"/>
      <c r="U1929"/>
      <c r="V1929"/>
      <c r="W1929"/>
      <c r="X1929"/>
    </row>
    <row r="1930" spans="11:24">
      <c r="K1930"/>
      <c r="L1930"/>
      <c r="M1930"/>
      <c r="N1930"/>
      <c r="U1930"/>
      <c r="V1930"/>
      <c r="W1930"/>
      <c r="X1930"/>
    </row>
    <row r="1931" spans="11:24">
      <c r="K1931"/>
      <c r="L1931"/>
      <c r="M1931"/>
      <c r="N1931"/>
      <c r="U1931"/>
      <c r="V1931"/>
      <c r="W1931"/>
      <c r="X1931"/>
    </row>
    <row r="1932" spans="11:24">
      <c r="K1932"/>
      <c r="L1932"/>
      <c r="M1932"/>
      <c r="N1932"/>
      <c r="U1932"/>
      <c r="V1932"/>
      <c r="W1932"/>
      <c r="X1932"/>
    </row>
    <row r="1933" spans="11:24">
      <c r="K1933"/>
      <c r="L1933"/>
      <c r="M1933"/>
      <c r="N1933"/>
      <c r="U1933"/>
      <c r="V1933"/>
      <c r="W1933"/>
      <c r="X1933"/>
    </row>
    <row r="1934" spans="11:24">
      <c r="K1934"/>
      <c r="L1934"/>
      <c r="M1934"/>
      <c r="N1934"/>
      <c r="U1934"/>
      <c r="V1934"/>
      <c r="W1934"/>
      <c r="X1934"/>
    </row>
    <row r="1935" spans="11:24">
      <c r="K1935"/>
      <c r="L1935"/>
      <c r="M1935"/>
      <c r="N1935"/>
      <c r="U1935"/>
      <c r="V1935"/>
      <c r="W1935"/>
      <c r="X1935"/>
    </row>
    <row r="1936" spans="11:24">
      <c r="K1936"/>
      <c r="L1936"/>
      <c r="M1936"/>
      <c r="N1936"/>
      <c r="U1936"/>
      <c r="V1936"/>
      <c r="W1936"/>
      <c r="X1936"/>
    </row>
    <row r="1937" spans="11:24">
      <c r="K1937"/>
      <c r="L1937"/>
      <c r="M1937"/>
      <c r="N1937"/>
      <c r="U1937"/>
      <c r="V1937"/>
      <c r="W1937"/>
      <c r="X1937"/>
    </row>
    <row r="1938" spans="11:24">
      <c r="K1938"/>
      <c r="L1938"/>
      <c r="M1938"/>
      <c r="N1938"/>
      <c r="U1938"/>
      <c r="V1938"/>
      <c r="W1938"/>
      <c r="X1938"/>
    </row>
    <row r="1939" spans="11:24">
      <c r="K1939"/>
      <c r="L1939"/>
      <c r="M1939"/>
      <c r="N1939"/>
      <c r="U1939"/>
      <c r="V1939"/>
      <c r="W1939"/>
      <c r="X1939"/>
    </row>
    <row r="1940" spans="11:24">
      <c r="K1940"/>
      <c r="L1940"/>
      <c r="M1940"/>
      <c r="N1940"/>
      <c r="U1940"/>
      <c r="V1940"/>
      <c r="W1940"/>
      <c r="X1940"/>
    </row>
    <row r="1941" spans="11:24">
      <c r="K1941"/>
      <c r="L1941"/>
      <c r="M1941"/>
      <c r="N1941"/>
      <c r="U1941"/>
      <c r="V1941"/>
      <c r="W1941"/>
      <c r="X1941"/>
    </row>
    <row r="1942" spans="11:24">
      <c r="K1942"/>
      <c r="L1942"/>
      <c r="M1942"/>
      <c r="N1942"/>
      <c r="U1942"/>
      <c r="V1942"/>
      <c r="W1942"/>
      <c r="X1942"/>
    </row>
    <row r="1943" spans="11:24">
      <c r="K1943"/>
      <c r="L1943"/>
      <c r="M1943"/>
      <c r="N1943"/>
      <c r="U1943"/>
      <c r="V1943"/>
      <c r="W1943"/>
      <c r="X1943"/>
    </row>
    <row r="1944" spans="11:24">
      <c r="K1944"/>
      <c r="L1944"/>
      <c r="M1944"/>
      <c r="N1944"/>
      <c r="U1944"/>
      <c r="V1944"/>
      <c r="W1944"/>
      <c r="X1944"/>
    </row>
    <row r="1945" spans="11:24">
      <c r="K1945"/>
      <c r="L1945"/>
      <c r="M1945"/>
      <c r="N1945"/>
      <c r="U1945"/>
      <c r="V1945"/>
      <c r="W1945"/>
      <c r="X1945"/>
    </row>
    <row r="1946" spans="11:24">
      <c r="K1946"/>
      <c r="L1946"/>
      <c r="M1946"/>
      <c r="N1946"/>
      <c r="U1946"/>
      <c r="V1946"/>
      <c r="W1946"/>
      <c r="X1946"/>
    </row>
    <row r="1947" spans="11:24">
      <c r="K1947"/>
      <c r="L1947"/>
      <c r="M1947"/>
      <c r="N1947"/>
      <c r="U1947"/>
      <c r="V1947"/>
      <c r="W1947"/>
      <c r="X1947"/>
    </row>
    <row r="1948" spans="11:24">
      <c r="K1948"/>
      <c r="L1948"/>
      <c r="M1948"/>
      <c r="N1948"/>
      <c r="U1948"/>
      <c r="V1948"/>
      <c r="W1948"/>
      <c r="X1948"/>
    </row>
    <row r="1949" spans="11:24">
      <c r="K1949"/>
      <c r="L1949"/>
      <c r="M1949"/>
      <c r="N1949"/>
      <c r="U1949"/>
      <c r="V1949"/>
      <c r="W1949"/>
      <c r="X1949"/>
    </row>
    <row r="1950" spans="11:24">
      <c r="K1950"/>
      <c r="L1950"/>
      <c r="M1950"/>
      <c r="N1950"/>
      <c r="U1950"/>
      <c r="V1950"/>
      <c r="W1950"/>
      <c r="X1950"/>
    </row>
    <row r="1951" spans="11:24">
      <c r="K1951"/>
      <c r="L1951"/>
      <c r="M1951"/>
      <c r="N1951"/>
      <c r="U1951"/>
      <c r="V1951"/>
      <c r="W1951"/>
      <c r="X1951"/>
    </row>
    <row r="1952" spans="11:24">
      <c r="K1952"/>
      <c r="L1952"/>
      <c r="M1952"/>
      <c r="N1952"/>
      <c r="U1952"/>
      <c r="V1952"/>
      <c r="W1952"/>
      <c r="X1952"/>
    </row>
    <row r="1953" spans="11:24">
      <c r="K1953"/>
      <c r="L1953"/>
      <c r="M1953"/>
      <c r="N1953"/>
      <c r="U1953"/>
      <c r="V1953"/>
      <c r="W1953"/>
      <c r="X1953"/>
    </row>
    <row r="1954" spans="11:24">
      <c r="K1954"/>
      <c r="L1954"/>
      <c r="M1954"/>
      <c r="N1954"/>
      <c r="U1954"/>
      <c r="V1954"/>
      <c r="W1954"/>
      <c r="X1954"/>
    </row>
    <row r="1955" spans="11:24">
      <c r="K1955"/>
      <c r="L1955"/>
      <c r="M1955"/>
      <c r="N1955"/>
      <c r="U1955"/>
      <c r="V1955"/>
      <c r="W1955"/>
      <c r="X1955"/>
    </row>
    <row r="1956" spans="11:24">
      <c r="K1956"/>
      <c r="L1956"/>
      <c r="M1956"/>
      <c r="N1956"/>
      <c r="U1956"/>
      <c r="V1956"/>
      <c r="W1956"/>
      <c r="X1956"/>
    </row>
    <row r="1957" spans="11:24">
      <c r="K1957"/>
      <c r="L1957"/>
      <c r="M1957"/>
      <c r="N1957"/>
      <c r="U1957"/>
      <c r="V1957"/>
      <c r="W1957"/>
      <c r="X1957"/>
    </row>
    <row r="1958" spans="11:24">
      <c r="K1958"/>
      <c r="L1958"/>
      <c r="M1958"/>
      <c r="N1958"/>
      <c r="U1958"/>
      <c r="V1958"/>
      <c r="W1958"/>
      <c r="X1958"/>
    </row>
    <row r="1959" spans="11:24">
      <c r="K1959"/>
      <c r="L1959"/>
      <c r="M1959"/>
      <c r="N1959"/>
      <c r="U1959"/>
      <c r="V1959"/>
      <c r="W1959"/>
      <c r="X1959"/>
    </row>
    <row r="1960" spans="11:24">
      <c r="K1960"/>
      <c r="L1960"/>
      <c r="M1960"/>
      <c r="N1960"/>
      <c r="U1960"/>
      <c r="V1960"/>
      <c r="W1960"/>
      <c r="X1960"/>
    </row>
    <row r="1961" spans="11:24">
      <c r="K1961"/>
      <c r="L1961"/>
      <c r="M1961"/>
      <c r="N1961"/>
      <c r="U1961"/>
      <c r="V1961"/>
      <c r="W1961"/>
      <c r="X1961"/>
    </row>
    <row r="1962" spans="11:24">
      <c r="K1962"/>
      <c r="L1962"/>
      <c r="M1962"/>
      <c r="N1962"/>
      <c r="U1962"/>
      <c r="V1962"/>
      <c r="W1962"/>
      <c r="X1962"/>
    </row>
    <row r="1963" spans="11:24">
      <c r="K1963"/>
      <c r="L1963"/>
      <c r="M1963"/>
      <c r="N1963"/>
      <c r="U1963"/>
      <c r="V1963"/>
      <c r="W1963"/>
      <c r="X1963"/>
    </row>
    <row r="1964" spans="11:24">
      <c r="K1964"/>
      <c r="L1964"/>
      <c r="M1964"/>
      <c r="N1964"/>
      <c r="U1964"/>
      <c r="V1964"/>
      <c r="W1964"/>
      <c r="X1964"/>
    </row>
    <row r="1965" spans="11:24">
      <c r="K1965"/>
      <c r="L1965"/>
      <c r="M1965"/>
      <c r="N1965"/>
      <c r="U1965"/>
      <c r="V1965"/>
      <c r="W1965"/>
      <c r="X1965"/>
    </row>
    <row r="1966" spans="11:24">
      <c r="K1966"/>
      <c r="L1966"/>
      <c r="M1966"/>
      <c r="N1966"/>
      <c r="U1966"/>
      <c r="V1966"/>
      <c r="W1966"/>
      <c r="X1966"/>
    </row>
    <row r="1967" spans="11:24">
      <c r="K1967"/>
      <c r="L1967"/>
      <c r="M1967"/>
      <c r="N1967"/>
      <c r="U1967"/>
      <c r="V1967"/>
      <c r="W1967"/>
      <c r="X1967"/>
    </row>
    <row r="1968" spans="11:24">
      <c r="K1968"/>
      <c r="L1968"/>
      <c r="M1968"/>
      <c r="N1968"/>
      <c r="U1968"/>
      <c r="V1968"/>
      <c r="W1968"/>
      <c r="X1968"/>
    </row>
    <row r="1969" spans="11:24">
      <c r="K1969"/>
      <c r="L1969"/>
      <c r="M1969"/>
      <c r="N1969"/>
      <c r="U1969"/>
      <c r="V1969"/>
      <c r="W1969"/>
      <c r="X1969"/>
    </row>
    <row r="1970" spans="11:24">
      <c r="K1970"/>
      <c r="L1970"/>
      <c r="M1970"/>
      <c r="N1970"/>
      <c r="U1970"/>
      <c r="V1970"/>
      <c r="W1970"/>
      <c r="X1970"/>
    </row>
    <row r="1971" spans="11:24">
      <c r="K1971"/>
      <c r="L1971"/>
      <c r="M1971"/>
      <c r="N1971"/>
      <c r="U1971"/>
      <c r="V1971"/>
      <c r="W1971"/>
      <c r="X1971"/>
    </row>
    <row r="1972" spans="11:24">
      <c r="K1972"/>
      <c r="L1972"/>
      <c r="M1972"/>
      <c r="N1972"/>
      <c r="U1972"/>
      <c r="V1972"/>
      <c r="W1972"/>
      <c r="X1972"/>
    </row>
    <row r="1973" spans="11:24">
      <c r="K1973"/>
      <c r="L1973"/>
      <c r="M1973"/>
      <c r="N1973"/>
      <c r="U1973"/>
      <c r="V1973"/>
      <c r="W1973"/>
      <c r="X1973"/>
    </row>
    <row r="1974" spans="11:24">
      <c r="K1974"/>
      <c r="L1974"/>
      <c r="M1974"/>
      <c r="N1974"/>
      <c r="U1974"/>
      <c r="V1974"/>
      <c r="W1974"/>
      <c r="X1974"/>
    </row>
    <row r="1975" spans="11:24">
      <c r="K1975"/>
      <c r="L1975"/>
      <c r="M1975"/>
      <c r="N1975"/>
      <c r="U1975"/>
      <c r="V1975"/>
      <c r="W1975"/>
      <c r="X1975"/>
    </row>
    <row r="1976" spans="11:24">
      <c r="K1976"/>
      <c r="L1976"/>
      <c r="M1976"/>
      <c r="N1976"/>
      <c r="U1976"/>
      <c r="V1976"/>
      <c r="W1976"/>
      <c r="X1976"/>
    </row>
    <row r="1977" spans="11:24">
      <c r="K1977"/>
      <c r="L1977"/>
      <c r="M1977"/>
      <c r="N1977"/>
      <c r="U1977"/>
      <c r="V1977"/>
      <c r="W1977"/>
      <c r="X1977"/>
    </row>
    <row r="1978" spans="11:24">
      <c r="K1978"/>
      <c r="L1978"/>
      <c r="M1978"/>
      <c r="N1978"/>
      <c r="U1978"/>
      <c r="V1978"/>
      <c r="W1978"/>
      <c r="X1978"/>
    </row>
    <row r="1979" spans="11:24">
      <c r="K1979"/>
      <c r="L1979"/>
      <c r="M1979"/>
      <c r="N1979"/>
      <c r="U1979"/>
      <c r="V1979"/>
      <c r="W1979"/>
      <c r="X1979"/>
    </row>
    <row r="1980" spans="11:24">
      <c r="K1980"/>
      <c r="L1980"/>
      <c r="M1980"/>
      <c r="N1980"/>
      <c r="U1980"/>
      <c r="V1980"/>
      <c r="W1980"/>
      <c r="X1980"/>
    </row>
    <row r="1981" spans="11:24">
      <c r="K1981"/>
      <c r="L1981"/>
      <c r="M1981"/>
      <c r="N1981"/>
      <c r="U1981"/>
      <c r="V1981"/>
      <c r="W1981"/>
      <c r="X1981"/>
    </row>
    <row r="1982" spans="11:24">
      <c r="K1982"/>
      <c r="L1982"/>
      <c r="M1982"/>
      <c r="N1982"/>
      <c r="U1982"/>
      <c r="V1982"/>
      <c r="W1982"/>
      <c r="X1982"/>
    </row>
    <row r="1983" spans="11:24">
      <c r="K1983"/>
      <c r="L1983"/>
      <c r="M1983"/>
      <c r="N1983"/>
      <c r="U1983"/>
      <c r="V1983"/>
      <c r="W1983"/>
      <c r="X1983"/>
    </row>
    <row r="1984" spans="11:24">
      <c r="K1984"/>
      <c r="L1984"/>
      <c r="M1984"/>
      <c r="N1984"/>
      <c r="U1984"/>
      <c r="V1984"/>
      <c r="W1984"/>
      <c r="X1984"/>
    </row>
    <row r="1985" spans="11:24">
      <c r="K1985"/>
      <c r="L1985"/>
      <c r="M1985"/>
      <c r="N1985"/>
      <c r="U1985"/>
      <c r="V1985"/>
      <c r="W1985"/>
      <c r="X1985"/>
    </row>
    <row r="1986" spans="11:24">
      <c r="K1986"/>
      <c r="L1986"/>
      <c r="M1986"/>
      <c r="N1986"/>
      <c r="U1986"/>
      <c r="V1986"/>
      <c r="W1986"/>
      <c r="X1986"/>
    </row>
    <row r="1987" spans="11:24">
      <c r="K1987"/>
      <c r="L1987"/>
      <c r="M1987"/>
      <c r="N1987"/>
      <c r="U1987"/>
      <c r="V1987"/>
      <c r="W1987"/>
      <c r="X1987"/>
    </row>
    <row r="1988" spans="11:24">
      <c r="K1988"/>
      <c r="L1988"/>
      <c r="M1988"/>
      <c r="N1988"/>
      <c r="U1988"/>
      <c r="V1988"/>
      <c r="W1988"/>
      <c r="X1988"/>
    </row>
    <row r="1989" spans="11:24">
      <c r="K1989"/>
      <c r="L1989"/>
      <c r="M1989"/>
      <c r="N1989"/>
      <c r="U1989"/>
      <c r="V1989"/>
      <c r="W1989"/>
      <c r="X1989"/>
    </row>
    <row r="1990" spans="11:24">
      <c r="K1990"/>
      <c r="L1990"/>
      <c r="M1990"/>
      <c r="N1990"/>
      <c r="U1990"/>
      <c r="V1990"/>
      <c r="W1990"/>
      <c r="X1990"/>
    </row>
    <row r="1991" spans="11:24">
      <c r="K1991"/>
      <c r="L1991"/>
      <c r="M1991"/>
      <c r="N1991"/>
      <c r="U1991"/>
      <c r="V1991"/>
      <c r="W1991"/>
      <c r="X1991"/>
    </row>
    <row r="1992" spans="11:24">
      <c r="K1992"/>
      <c r="L1992"/>
      <c r="M1992"/>
      <c r="N1992"/>
      <c r="U1992"/>
      <c r="V1992"/>
      <c r="W1992"/>
      <c r="X1992"/>
    </row>
    <row r="1993" spans="11:24">
      <c r="K1993"/>
      <c r="L1993"/>
      <c r="M1993"/>
      <c r="N1993"/>
      <c r="U1993"/>
      <c r="V1993"/>
      <c r="W1993"/>
      <c r="X1993"/>
    </row>
    <row r="1994" spans="11:24">
      <c r="K1994"/>
      <c r="L1994"/>
      <c r="M1994"/>
      <c r="N1994"/>
      <c r="U1994"/>
      <c r="V1994"/>
      <c r="W1994"/>
      <c r="X1994"/>
    </row>
    <row r="1995" spans="11:24">
      <c r="K1995"/>
      <c r="L1995"/>
      <c r="M1995"/>
      <c r="N1995"/>
      <c r="U1995"/>
      <c r="V1995"/>
      <c r="W1995"/>
      <c r="X1995"/>
    </row>
    <row r="1996" spans="11:24">
      <c r="K1996"/>
      <c r="L1996"/>
      <c r="M1996"/>
      <c r="N1996"/>
      <c r="U1996"/>
      <c r="V1996"/>
      <c r="W1996"/>
      <c r="X1996"/>
    </row>
    <row r="1997" spans="11:24">
      <c r="K1997"/>
      <c r="L1997"/>
      <c r="M1997"/>
      <c r="N1997"/>
      <c r="U1997"/>
      <c r="V1997"/>
      <c r="W1997"/>
      <c r="X1997"/>
    </row>
    <row r="1998" spans="11:24">
      <c r="K1998"/>
      <c r="L1998"/>
      <c r="M1998"/>
      <c r="N1998"/>
      <c r="U1998"/>
      <c r="V1998"/>
      <c r="W1998"/>
      <c r="X1998"/>
    </row>
    <row r="1999" spans="11:24">
      <c r="K1999"/>
      <c r="L1999"/>
      <c r="M1999"/>
      <c r="N1999"/>
      <c r="U1999"/>
      <c r="V1999"/>
      <c r="W1999"/>
      <c r="X1999"/>
    </row>
    <row r="2000" spans="11:24">
      <c r="K2000"/>
      <c r="L2000"/>
      <c r="M2000"/>
      <c r="N2000"/>
      <c r="U2000"/>
      <c r="V2000"/>
      <c r="W2000"/>
      <c r="X2000"/>
    </row>
    <row r="2001" spans="11:24">
      <c r="K2001"/>
      <c r="L2001"/>
      <c r="M2001"/>
      <c r="N2001"/>
      <c r="U2001"/>
      <c r="V2001"/>
      <c r="W2001"/>
      <c r="X2001"/>
    </row>
    <row r="2002" spans="11:24">
      <c r="K2002"/>
      <c r="L2002"/>
      <c r="M2002"/>
      <c r="N2002"/>
      <c r="U2002"/>
      <c r="V2002"/>
      <c r="W2002"/>
      <c r="X2002"/>
    </row>
    <row r="2003" spans="11:24">
      <c r="K2003"/>
      <c r="L2003"/>
      <c r="M2003"/>
      <c r="N2003"/>
      <c r="U2003"/>
      <c r="V2003"/>
      <c r="W2003"/>
      <c r="X2003"/>
    </row>
    <row r="2004" spans="11:24">
      <c r="K2004"/>
      <c r="L2004"/>
      <c r="M2004"/>
      <c r="N2004"/>
      <c r="U2004"/>
      <c r="V2004"/>
      <c r="W2004"/>
      <c r="X2004"/>
    </row>
    <row r="2005" spans="11:24">
      <c r="K2005"/>
      <c r="L2005"/>
      <c r="M2005"/>
      <c r="N2005"/>
      <c r="U2005"/>
      <c r="V2005"/>
      <c r="W2005"/>
      <c r="X2005"/>
    </row>
    <row r="2006" spans="11:24">
      <c r="K2006"/>
      <c r="L2006"/>
      <c r="M2006"/>
      <c r="N2006"/>
      <c r="U2006"/>
      <c r="V2006"/>
      <c r="W2006"/>
      <c r="X2006"/>
    </row>
    <row r="2007" spans="11:24">
      <c r="K2007"/>
      <c r="L2007"/>
      <c r="M2007"/>
      <c r="N2007"/>
      <c r="U2007"/>
      <c r="V2007"/>
      <c r="W2007"/>
      <c r="X2007"/>
    </row>
    <row r="2008" spans="11:24">
      <c r="K2008"/>
      <c r="L2008"/>
      <c r="M2008"/>
      <c r="N2008"/>
      <c r="U2008"/>
      <c r="V2008"/>
      <c r="W2008"/>
      <c r="X2008"/>
    </row>
    <row r="2009" spans="11:24">
      <c r="K2009"/>
      <c r="L2009"/>
      <c r="M2009"/>
      <c r="N2009"/>
      <c r="U2009"/>
      <c r="V2009"/>
      <c r="W2009"/>
      <c r="X2009"/>
    </row>
    <row r="2010" spans="11:24">
      <c r="K2010"/>
      <c r="L2010"/>
      <c r="M2010"/>
      <c r="N2010"/>
      <c r="U2010"/>
      <c r="V2010"/>
      <c r="W2010"/>
      <c r="X2010"/>
    </row>
    <row r="2011" spans="11:24">
      <c r="K2011"/>
      <c r="L2011"/>
      <c r="M2011"/>
      <c r="N2011"/>
      <c r="U2011"/>
      <c r="V2011"/>
      <c r="W2011"/>
      <c r="X2011"/>
    </row>
    <row r="2012" spans="11:24">
      <c r="K2012"/>
      <c r="L2012"/>
      <c r="M2012"/>
      <c r="N2012"/>
      <c r="U2012"/>
      <c r="V2012"/>
      <c r="W2012"/>
      <c r="X2012"/>
    </row>
    <row r="2013" spans="11:24">
      <c r="K2013"/>
      <c r="L2013"/>
      <c r="M2013"/>
      <c r="N2013"/>
      <c r="U2013"/>
      <c r="V2013"/>
      <c r="W2013"/>
      <c r="X2013"/>
    </row>
    <row r="2014" spans="11:24">
      <c r="K2014"/>
      <c r="L2014"/>
      <c r="M2014"/>
      <c r="N2014"/>
      <c r="U2014"/>
      <c r="V2014"/>
      <c r="W2014"/>
      <c r="X2014"/>
    </row>
    <row r="2015" spans="11:24">
      <c r="K2015"/>
      <c r="L2015"/>
      <c r="M2015"/>
      <c r="N2015"/>
      <c r="U2015"/>
      <c r="V2015"/>
      <c r="W2015"/>
      <c r="X2015"/>
    </row>
    <row r="2016" spans="11:24">
      <c r="K2016"/>
      <c r="L2016"/>
      <c r="M2016"/>
      <c r="N2016"/>
      <c r="U2016"/>
      <c r="V2016"/>
      <c r="W2016"/>
      <c r="X2016"/>
    </row>
    <row r="2017" spans="11:24">
      <c r="K2017"/>
      <c r="L2017"/>
      <c r="M2017"/>
      <c r="N2017"/>
      <c r="U2017"/>
      <c r="V2017"/>
      <c r="W2017"/>
      <c r="X2017"/>
    </row>
    <row r="2018" spans="11:24">
      <c r="K2018"/>
      <c r="L2018"/>
      <c r="M2018"/>
      <c r="N2018"/>
      <c r="U2018"/>
      <c r="V2018"/>
      <c r="W2018"/>
      <c r="X2018"/>
    </row>
    <row r="2019" spans="11:24">
      <c r="K2019"/>
      <c r="L2019"/>
      <c r="M2019"/>
      <c r="N2019"/>
      <c r="U2019"/>
      <c r="V2019"/>
      <c r="W2019"/>
      <c r="X2019"/>
    </row>
    <row r="2020" spans="11:24">
      <c r="K2020"/>
      <c r="L2020"/>
      <c r="M2020"/>
      <c r="N2020"/>
      <c r="U2020"/>
      <c r="V2020"/>
      <c r="W2020"/>
      <c r="X2020"/>
    </row>
    <row r="2021" spans="11:24">
      <c r="K2021"/>
      <c r="L2021"/>
      <c r="M2021"/>
      <c r="N2021"/>
      <c r="U2021"/>
      <c r="V2021"/>
      <c r="W2021"/>
      <c r="X2021"/>
    </row>
    <row r="2022" spans="11:24">
      <c r="K2022"/>
      <c r="L2022"/>
      <c r="M2022"/>
      <c r="N2022"/>
      <c r="U2022"/>
      <c r="V2022"/>
      <c r="W2022"/>
      <c r="X2022"/>
    </row>
    <row r="2023" spans="11:24">
      <c r="K2023"/>
      <c r="L2023"/>
      <c r="M2023"/>
      <c r="N2023"/>
      <c r="U2023"/>
      <c r="V2023"/>
      <c r="W2023"/>
      <c r="X2023"/>
    </row>
    <row r="2024" spans="11:24">
      <c r="K2024"/>
      <c r="L2024"/>
      <c r="M2024"/>
      <c r="N2024"/>
      <c r="U2024"/>
      <c r="V2024"/>
      <c r="W2024"/>
      <c r="X2024"/>
    </row>
    <row r="2025" spans="11:24">
      <c r="K2025"/>
      <c r="L2025"/>
      <c r="M2025"/>
      <c r="N2025"/>
      <c r="U2025"/>
      <c r="V2025"/>
      <c r="W2025"/>
      <c r="X2025"/>
    </row>
    <row r="2026" spans="11:24">
      <c r="K2026"/>
      <c r="L2026"/>
      <c r="M2026"/>
      <c r="N2026"/>
      <c r="U2026"/>
      <c r="V2026"/>
      <c r="W2026"/>
      <c r="X2026"/>
    </row>
    <row r="2027" spans="11:24">
      <c r="K2027"/>
      <c r="L2027"/>
      <c r="M2027"/>
      <c r="N2027"/>
      <c r="U2027"/>
      <c r="V2027"/>
      <c r="W2027"/>
      <c r="X2027"/>
    </row>
    <row r="2028" spans="11:24">
      <c r="K2028"/>
      <c r="L2028"/>
      <c r="M2028"/>
      <c r="N2028"/>
      <c r="U2028"/>
      <c r="V2028"/>
      <c r="W2028"/>
      <c r="X2028"/>
    </row>
    <row r="2029" spans="11:24">
      <c r="K2029"/>
      <c r="L2029"/>
      <c r="M2029"/>
      <c r="N2029"/>
      <c r="U2029"/>
      <c r="V2029"/>
      <c r="W2029"/>
      <c r="X2029"/>
    </row>
    <row r="2030" spans="11:24">
      <c r="K2030"/>
      <c r="L2030"/>
      <c r="M2030"/>
      <c r="N2030"/>
      <c r="U2030"/>
      <c r="V2030"/>
      <c r="W2030"/>
      <c r="X2030"/>
    </row>
    <row r="2031" spans="11:24">
      <c r="K2031"/>
      <c r="L2031"/>
      <c r="M2031"/>
      <c r="N2031"/>
      <c r="U2031"/>
      <c r="V2031"/>
      <c r="W2031"/>
      <c r="X2031"/>
    </row>
    <row r="2032" spans="11:24">
      <c r="K2032"/>
      <c r="L2032"/>
      <c r="M2032"/>
      <c r="N2032"/>
      <c r="U2032"/>
      <c r="V2032"/>
      <c r="W2032"/>
      <c r="X2032"/>
    </row>
    <row r="2033" spans="11:24">
      <c r="K2033"/>
      <c r="L2033"/>
      <c r="M2033"/>
      <c r="N2033"/>
      <c r="U2033"/>
      <c r="V2033"/>
      <c r="W2033"/>
      <c r="X2033"/>
    </row>
    <row r="2034" spans="11:24">
      <c r="K2034"/>
      <c r="L2034"/>
      <c r="M2034"/>
      <c r="N2034"/>
      <c r="U2034"/>
      <c r="V2034"/>
      <c r="W2034"/>
      <c r="X2034"/>
    </row>
    <row r="2035" spans="11:24">
      <c r="K2035"/>
      <c r="L2035"/>
      <c r="M2035"/>
      <c r="N2035"/>
      <c r="U2035"/>
      <c r="V2035"/>
      <c r="W2035"/>
      <c r="X2035"/>
    </row>
    <row r="2036" spans="11:24">
      <c r="K2036"/>
      <c r="L2036"/>
      <c r="M2036"/>
      <c r="N2036"/>
      <c r="U2036"/>
      <c r="V2036"/>
      <c r="W2036"/>
      <c r="X2036"/>
    </row>
    <row r="2037" spans="11:24">
      <c r="K2037"/>
      <c r="L2037"/>
      <c r="M2037"/>
      <c r="N2037"/>
      <c r="U2037"/>
      <c r="V2037"/>
      <c r="W2037"/>
      <c r="X2037"/>
    </row>
    <row r="2038" spans="11:24">
      <c r="K2038"/>
      <c r="L2038"/>
      <c r="M2038"/>
      <c r="N2038"/>
      <c r="U2038"/>
      <c r="V2038"/>
      <c r="W2038"/>
      <c r="X2038"/>
    </row>
    <row r="2039" spans="11:24">
      <c r="K2039"/>
      <c r="L2039"/>
      <c r="M2039"/>
      <c r="N2039"/>
      <c r="U2039"/>
      <c r="V2039"/>
      <c r="W2039"/>
      <c r="X2039"/>
    </row>
    <row r="2040" spans="11:24">
      <c r="K2040"/>
      <c r="L2040"/>
      <c r="M2040"/>
      <c r="N2040"/>
      <c r="U2040"/>
      <c r="V2040"/>
      <c r="W2040"/>
      <c r="X2040"/>
    </row>
    <row r="2041" spans="11:24">
      <c r="K2041"/>
      <c r="L2041"/>
      <c r="M2041"/>
      <c r="N2041"/>
      <c r="U2041"/>
      <c r="V2041"/>
      <c r="W2041"/>
      <c r="X2041"/>
    </row>
    <row r="2042" spans="11:24">
      <c r="K2042"/>
      <c r="L2042"/>
      <c r="M2042"/>
      <c r="N2042"/>
      <c r="U2042"/>
      <c r="V2042"/>
      <c r="W2042"/>
      <c r="X2042"/>
    </row>
    <row r="2043" spans="11:24">
      <c r="K2043"/>
      <c r="L2043"/>
      <c r="M2043"/>
      <c r="N2043"/>
      <c r="U2043"/>
      <c r="V2043"/>
      <c r="W2043"/>
      <c r="X2043"/>
    </row>
    <row r="2044" spans="11:24">
      <c r="K2044"/>
      <c r="L2044"/>
      <c r="M2044"/>
      <c r="N2044"/>
      <c r="U2044"/>
      <c r="V2044"/>
      <c r="W2044"/>
      <c r="X2044"/>
    </row>
    <row r="2045" spans="11:24">
      <c r="K2045"/>
      <c r="L2045"/>
      <c r="M2045"/>
      <c r="N2045"/>
      <c r="U2045"/>
      <c r="V2045"/>
      <c r="W2045"/>
      <c r="X2045"/>
    </row>
    <row r="2046" spans="11:24">
      <c r="K2046"/>
      <c r="L2046"/>
      <c r="M2046"/>
      <c r="N2046"/>
      <c r="U2046"/>
      <c r="V2046"/>
      <c r="W2046"/>
      <c r="X2046"/>
    </row>
    <row r="2047" spans="11:24">
      <c r="K2047"/>
      <c r="L2047"/>
      <c r="M2047"/>
      <c r="N2047"/>
      <c r="U2047"/>
      <c r="V2047"/>
      <c r="W2047"/>
      <c r="X2047"/>
    </row>
    <row r="2048" spans="11:24">
      <c r="K2048"/>
      <c r="L2048"/>
      <c r="M2048"/>
      <c r="N2048"/>
      <c r="U2048"/>
      <c r="V2048"/>
      <c r="W2048"/>
      <c r="X2048"/>
    </row>
    <row r="2049" spans="11:24">
      <c r="K2049"/>
      <c r="L2049"/>
      <c r="M2049"/>
      <c r="N2049"/>
      <c r="U2049"/>
      <c r="V2049"/>
      <c r="W2049"/>
      <c r="X2049"/>
    </row>
    <row r="2050" spans="11:24">
      <c r="K2050"/>
      <c r="L2050"/>
      <c r="M2050"/>
      <c r="N2050"/>
      <c r="U2050"/>
      <c r="V2050"/>
      <c r="W2050"/>
      <c r="X2050"/>
    </row>
    <row r="2051" spans="11:24">
      <c r="K2051"/>
      <c r="L2051"/>
      <c r="M2051"/>
      <c r="N2051"/>
      <c r="U2051"/>
      <c r="V2051"/>
      <c r="W2051"/>
      <c r="X2051"/>
    </row>
    <row r="2052" spans="11:24">
      <c r="K2052"/>
      <c r="L2052"/>
      <c r="M2052"/>
      <c r="N2052"/>
      <c r="U2052"/>
      <c r="V2052"/>
      <c r="W2052"/>
      <c r="X2052"/>
    </row>
    <row r="2053" spans="11:24">
      <c r="K2053"/>
      <c r="L2053"/>
      <c r="M2053"/>
      <c r="N2053"/>
      <c r="U2053"/>
      <c r="V2053"/>
      <c r="W2053"/>
      <c r="X2053"/>
    </row>
    <row r="2054" spans="11:24">
      <c r="K2054"/>
      <c r="L2054"/>
      <c r="M2054"/>
      <c r="N2054"/>
      <c r="U2054"/>
      <c r="V2054"/>
      <c r="W2054"/>
      <c r="X2054"/>
    </row>
    <row r="2055" spans="11:24">
      <c r="K2055"/>
      <c r="L2055"/>
      <c r="M2055"/>
      <c r="N2055"/>
      <c r="U2055"/>
      <c r="V2055"/>
      <c r="W2055"/>
      <c r="X2055"/>
    </row>
    <row r="2056" spans="11:24">
      <c r="K2056"/>
      <c r="L2056"/>
      <c r="M2056"/>
      <c r="N2056"/>
      <c r="U2056"/>
      <c r="V2056"/>
      <c r="W2056"/>
      <c r="X2056"/>
    </row>
    <row r="2057" spans="11:24">
      <c r="K2057"/>
      <c r="L2057"/>
      <c r="M2057"/>
      <c r="N2057"/>
      <c r="U2057"/>
      <c r="V2057"/>
      <c r="W2057"/>
      <c r="X2057"/>
    </row>
    <row r="2058" spans="11:24">
      <c r="K2058"/>
      <c r="L2058"/>
      <c r="M2058"/>
      <c r="N2058"/>
      <c r="U2058"/>
      <c r="V2058"/>
      <c r="W2058"/>
      <c r="X2058"/>
    </row>
    <row r="2059" spans="11:24">
      <c r="K2059"/>
      <c r="L2059"/>
      <c r="M2059"/>
      <c r="N2059"/>
      <c r="U2059"/>
      <c r="V2059"/>
      <c r="W2059"/>
      <c r="X2059"/>
    </row>
    <row r="2060" spans="11:24">
      <c r="K2060"/>
      <c r="L2060"/>
      <c r="M2060"/>
      <c r="N2060"/>
      <c r="U2060"/>
      <c r="V2060"/>
      <c r="W2060"/>
      <c r="X2060"/>
    </row>
    <row r="2061" spans="11:24">
      <c r="K2061"/>
      <c r="L2061"/>
      <c r="M2061"/>
      <c r="N2061"/>
      <c r="U2061"/>
      <c r="V2061"/>
      <c r="W2061"/>
      <c r="X2061"/>
    </row>
    <row r="2062" spans="11:24">
      <c r="K2062"/>
      <c r="L2062"/>
      <c r="M2062"/>
      <c r="N2062"/>
      <c r="U2062"/>
      <c r="V2062"/>
      <c r="W2062"/>
      <c r="X2062"/>
    </row>
    <row r="2063" spans="11:24">
      <c r="K2063"/>
      <c r="L2063"/>
      <c r="M2063"/>
      <c r="N2063"/>
      <c r="U2063"/>
      <c r="V2063"/>
      <c r="W2063"/>
      <c r="X2063"/>
    </row>
    <row r="2064" spans="11:24">
      <c r="K2064"/>
      <c r="L2064"/>
      <c r="M2064"/>
      <c r="N2064"/>
      <c r="U2064"/>
      <c r="V2064"/>
      <c r="W2064"/>
      <c r="X2064"/>
    </row>
    <row r="2065" spans="11:24">
      <c r="K2065"/>
      <c r="L2065"/>
      <c r="M2065"/>
      <c r="N2065"/>
      <c r="U2065"/>
      <c r="V2065"/>
      <c r="W2065"/>
      <c r="X2065"/>
    </row>
    <row r="2066" spans="11:24">
      <c r="K2066"/>
      <c r="L2066"/>
      <c r="M2066"/>
      <c r="N2066"/>
      <c r="U2066"/>
      <c r="V2066"/>
      <c r="W2066"/>
      <c r="X2066"/>
    </row>
    <row r="2067" spans="11:24">
      <c r="K2067"/>
      <c r="L2067"/>
      <c r="M2067"/>
      <c r="N2067"/>
      <c r="U2067"/>
      <c r="V2067"/>
      <c r="W2067"/>
      <c r="X2067"/>
    </row>
    <row r="2068" spans="11:24">
      <c r="K2068"/>
      <c r="L2068"/>
      <c r="M2068"/>
      <c r="N2068"/>
      <c r="U2068"/>
      <c r="V2068"/>
      <c r="W2068"/>
      <c r="X2068"/>
    </row>
    <row r="2069" spans="11:24">
      <c r="K2069"/>
      <c r="L2069"/>
      <c r="M2069"/>
      <c r="N2069"/>
      <c r="U2069"/>
      <c r="V2069"/>
      <c r="W2069"/>
      <c r="X2069"/>
    </row>
    <row r="2070" spans="11:24">
      <c r="K2070"/>
      <c r="L2070"/>
      <c r="M2070"/>
      <c r="N2070"/>
      <c r="U2070"/>
      <c r="V2070"/>
      <c r="W2070"/>
      <c r="X2070"/>
    </row>
    <row r="2071" spans="11:24">
      <c r="K2071"/>
      <c r="L2071"/>
      <c r="M2071"/>
      <c r="N2071"/>
      <c r="U2071"/>
      <c r="V2071"/>
      <c r="W2071"/>
      <c r="X2071"/>
    </row>
    <row r="2072" spans="11:24">
      <c r="K2072"/>
      <c r="L2072"/>
      <c r="M2072"/>
      <c r="N2072"/>
      <c r="U2072"/>
      <c r="V2072"/>
      <c r="W2072"/>
      <c r="X2072"/>
    </row>
    <row r="2073" spans="11:24">
      <c r="K2073"/>
      <c r="L2073"/>
      <c r="M2073"/>
      <c r="N2073"/>
      <c r="U2073"/>
      <c r="V2073"/>
      <c r="W2073"/>
      <c r="X2073"/>
    </row>
    <row r="2074" spans="11:24">
      <c r="K2074"/>
      <c r="L2074"/>
      <c r="M2074"/>
      <c r="N2074"/>
      <c r="U2074"/>
      <c r="V2074"/>
      <c r="W2074"/>
      <c r="X2074"/>
    </row>
    <row r="2075" spans="11:24">
      <c r="K2075"/>
      <c r="L2075"/>
      <c r="M2075"/>
      <c r="N2075"/>
      <c r="U2075"/>
      <c r="V2075"/>
      <c r="W2075"/>
      <c r="X2075"/>
    </row>
    <row r="2076" spans="11:24">
      <c r="K2076"/>
      <c r="L2076"/>
      <c r="M2076"/>
      <c r="N2076"/>
      <c r="U2076"/>
      <c r="V2076"/>
      <c r="W2076"/>
      <c r="X2076"/>
    </row>
    <row r="2077" spans="11:24">
      <c r="K2077"/>
      <c r="L2077"/>
      <c r="M2077"/>
      <c r="N2077"/>
      <c r="U2077"/>
      <c r="V2077"/>
      <c r="W2077"/>
      <c r="X2077"/>
    </row>
    <row r="2078" spans="11:24">
      <c r="K2078"/>
      <c r="L2078"/>
      <c r="M2078"/>
      <c r="N2078"/>
      <c r="U2078"/>
      <c r="V2078"/>
      <c r="W2078"/>
      <c r="X2078"/>
    </row>
    <row r="2079" spans="11:24">
      <c r="K2079"/>
      <c r="L2079"/>
      <c r="M2079"/>
      <c r="N2079"/>
      <c r="U2079"/>
      <c r="V2079"/>
      <c r="W2079"/>
      <c r="X2079"/>
    </row>
    <row r="2080" spans="11:24">
      <c r="K2080"/>
      <c r="L2080"/>
      <c r="M2080"/>
      <c r="N2080"/>
      <c r="U2080"/>
      <c r="V2080"/>
      <c r="W2080"/>
      <c r="X2080"/>
    </row>
    <row r="2081" spans="11:24">
      <c r="K2081"/>
      <c r="L2081"/>
      <c r="M2081"/>
      <c r="N2081"/>
      <c r="U2081"/>
      <c r="V2081"/>
      <c r="W2081"/>
      <c r="X2081"/>
    </row>
    <row r="2082" spans="11:24">
      <c r="K2082"/>
      <c r="L2082"/>
      <c r="M2082"/>
      <c r="N2082"/>
      <c r="U2082"/>
      <c r="V2082"/>
      <c r="W2082"/>
      <c r="X2082"/>
    </row>
    <row r="2083" spans="11:24">
      <c r="K2083"/>
      <c r="L2083"/>
      <c r="M2083"/>
      <c r="N2083"/>
      <c r="U2083"/>
      <c r="V2083"/>
      <c r="W2083"/>
      <c r="X2083"/>
    </row>
    <row r="2084" spans="11:24">
      <c r="K2084"/>
      <c r="L2084"/>
      <c r="M2084"/>
      <c r="N2084"/>
      <c r="U2084"/>
      <c r="V2084"/>
      <c r="W2084"/>
      <c r="X2084"/>
    </row>
    <row r="2085" spans="11:24">
      <c r="K2085"/>
      <c r="L2085"/>
      <c r="M2085"/>
      <c r="N2085"/>
      <c r="U2085"/>
      <c r="V2085"/>
      <c r="W2085"/>
      <c r="X2085"/>
    </row>
    <row r="2086" spans="11:24">
      <c r="K2086"/>
      <c r="L2086"/>
      <c r="M2086"/>
      <c r="N2086"/>
      <c r="U2086"/>
      <c r="V2086"/>
      <c r="W2086"/>
      <c r="X2086"/>
    </row>
    <row r="2087" spans="11:24">
      <c r="K2087"/>
      <c r="L2087"/>
      <c r="M2087"/>
      <c r="N2087"/>
      <c r="U2087"/>
      <c r="V2087"/>
      <c r="W2087"/>
      <c r="X2087"/>
    </row>
    <row r="2088" spans="11:24">
      <c r="K2088"/>
      <c r="L2088"/>
      <c r="M2088"/>
      <c r="N2088"/>
      <c r="U2088"/>
      <c r="V2088"/>
      <c r="W2088"/>
      <c r="X2088"/>
    </row>
    <row r="2089" spans="11:24">
      <c r="K2089"/>
      <c r="L2089"/>
      <c r="M2089"/>
      <c r="N2089"/>
      <c r="U2089"/>
      <c r="V2089"/>
      <c r="W2089"/>
      <c r="X2089"/>
    </row>
    <row r="2090" spans="11:24">
      <c r="K2090"/>
      <c r="L2090"/>
      <c r="M2090"/>
      <c r="N2090"/>
      <c r="U2090"/>
      <c r="V2090"/>
      <c r="W2090"/>
      <c r="X2090"/>
    </row>
    <row r="2091" spans="11:24">
      <c r="K2091"/>
      <c r="L2091"/>
      <c r="M2091"/>
      <c r="N2091"/>
      <c r="U2091"/>
      <c r="V2091"/>
      <c r="W2091"/>
      <c r="X2091"/>
    </row>
    <row r="2092" spans="11:24">
      <c r="K2092"/>
      <c r="L2092"/>
      <c r="M2092"/>
      <c r="N2092"/>
      <c r="U2092"/>
      <c r="V2092"/>
      <c r="W2092"/>
      <c r="X2092"/>
    </row>
    <row r="2093" spans="11:24">
      <c r="K2093"/>
      <c r="L2093"/>
      <c r="M2093"/>
      <c r="N2093"/>
      <c r="U2093"/>
      <c r="V2093"/>
      <c r="W2093"/>
      <c r="X2093"/>
    </row>
    <row r="2094" spans="11:24">
      <c r="K2094"/>
      <c r="L2094"/>
      <c r="M2094"/>
      <c r="N2094"/>
      <c r="U2094"/>
      <c r="V2094"/>
      <c r="W2094"/>
      <c r="X2094"/>
    </row>
    <row r="2095" spans="11:24">
      <c r="K2095"/>
      <c r="L2095"/>
      <c r="M2095"/>
      <c r="N2095"/>
      <c r="U2095"/>
      <c r="V2095"/>
      <c r="W2095"/>
      <c r="X2095"/>
    </row>
    <row r="2096" spans="11:24">
      <c r="K2096"/>
      <c r="L2096"/>
      <c r="M2096"/>
      <c r="N2096"/>
      <c r="U2096"/>
      <c r="V2096"/>
      <c r="W2096"/>
      <c r="X2096"/>
    </row>
    <row r="2097" spans="11:24">
      <c r="K2097"/>
      <c r="L2097"/>
      <c r="M2097"/>
      <c r="N2097"/>
      <c r="U2097"/>
      <c r="V2097"/>
      <c r="W2097"/>
      <c r="X2097"/>
    </row>
    <row r="2098" spans="11:24">
      <c r="K2098"/>
      <c r="L2098"/>
      <c r="M2098"/>
      <c r="N2098"/>
      <c r="U2098"/>
      <c r="V2098"/>
      <c r="W2098"/>
      <c r="X2098"/>
    </row>
    <row r="2099" spans="11:24">
      <c r="K2099"/>
      <c r="L2099"/>
      <c r="M2099"/>
      <c r="N2099"/>
      <c r="U2099"/>
      <c r="V2099"/>
      <c r="W2099"/>
      <c r="X2099"/>
    </row>
    <row r="2100" spans="11:24">
      <c r="K2100"/>
      <c r="L2100"/>
      <c r="M2100"/>
      <c r="N2100"/>
      <c r="U2100"/>
      <c r="V2100"/>
      <c r="W2100"/>
      <c r="X2100"/>
    </row>
    <row r="2101" spans="11:24">
      <c r="K2101"/>
      <c r="L2101"/>
      <c r="M2101"/>
      <c r="N2101"/>
      <c r="U2101"/>
      <c r="V2101"/>
      <c r="W2101"/>
      <c r="X2101"/>
    </row>
    <row r="2102" spans="11:24">
      <c r="K2102"/>
      <c r="L2102"/>
      <c r="M2102"/>
      <c r="N2102"/>
      <c r="U2102"/>
      <c r="V2102"/>
      <c r="W2102"/>
      <c r="X2102"/>
    </row>
    <row r="2103" spans="11:24">
      <c r="K2103"/>
      <c r="L2103"/>
      <c r="M2103"/>
      <c r="N2103"/>
      <c r="U2103"/>
      <c r="V2103"/>
      <c r="W2103"/>
      <c r="X2103"/>
    </row>
    <row r="2104" spans="11:24">
      <c r="K2104"/>
      <c r="L2104"/>
      <c r="M2104"/>
      <c r="N2104"/>
      <c r="U2104"/>
      <c r="V2104"/>
      <c r="W2104"/>
      <c r="X2104"/>
    </row>
    <row r="2105" spans="11:24">
      <c r="K2105"/>
      <c r="L2105"/>
      <c r="M2105"/>
      <c r="N2105"/>
      <c r="U2105"/>
      <c r="V2105"/>
      <c r="W2105"/>
      <c r="X2105"/>
    </row>
    <row r="2106" spans="11:24">
      <c r="K2106"/>
      <c r="L2106"/>
      <c r="M2106"/>
      <c r="N2106"/>
      <c r="U2106"/>
      <c r="V2106"/>
      <c r="W2106"/>
      <c r="X2106"/>
    </row>
    <row r="2107" spans="11:24">
      <c r="K2107"/>
      <c r="L2107"/>
      <c r="M2107"/>
      <c r="N2107"/>
      <c r="U2107"/>
      <c r="V2107"/>
      <c r="W2107"/>
      <c r="X2107"/>
    </row>
    <row r="2108" spans="11:24">
      <c r="K2108"/>
      <c r="L2108"/>
      <c r="M2108"/>
      <c r="N2108"/>
      <c r="U2108"/>
      <c r="V2108"/>
      <c r="W2108"/>
      <c r="X2108"/>
    </row>
    <row r="2109" spans="11:24">
      <c r="K2109"/>
      <c r="L2109"/>
      <c r="M2109"/>
      <c r="N2109"/>
      <c r="U2109"/>
      <c r="V2109"/>
      <c r="W2109"/>
      <c r="X2109"/>
    </row>
    <row r="2110" spans="11:24">
      <c r="K2110"/>
      <c r="L2110"/>
      <c r="M2110"/>
      <c r="N2110"/>
      <c r="U2110"/>
      <c r="V2110"/>
      <c r="W2110"/>
      <c r="X2110"/>
    </row>
    <row r="2111" spans="11:24">
      <c r="K2111"/>
      <c r="L2111"/>
      <c r="M2111"/>
      <c r="N2111"/>
      <c r="U2111"/>
      <c r="V2111"/>
      <c r="W2111"/>
      <c r="X2111"/>
    </row>
    <row r="2112" spans="11:24">
      <c r="K2112"/>
      <c r="L2112"/>
      <c r="M2112"/>
      <c r="N2112"/>
      <c r="U2112"/>
      <c r="V2112"/>
      <c r="W2112"/>
      <c r="X2112"/>
    </row>
    <row r="2113" spans="11:24">
      <c r="K2113"/>
      <c r="L2113"/>
      <c r="M2113"/>
      <c r="N2113"/>
      <c r="U2113"/>
      <c r="V2113"/>
      <c r="W2113"/>
      <c r="X2113"/>
    </row>
    <row r="2114" spans="11:24">
      <c r="K2114"/>
      <c r="L2114"/>
      <c r="M2114"/>
      <c r="N2114"/>
      <c r="U2114"/>
      <c r="V2114"/>
      <c r="W2114"/>
      <c r="X2114"/>
    </row>
    <row r="2115" spans="11:24">
      <c r="K2115"/>
      <c r="L2115"/>
      <c r="M2115"/>
      <c r="N2115"/>
      <c r="U2115"/>
      <c r="V2115"/>
      <c r="W2115"/>
      <c r="X2115"/>
    </row>
    <row r="2116" spans="11:24">
      <c r="K2116"/>
      <c r="L2116"/>
      <c r="M2116"/>
      <c r="N2116"/>
      <c r="U2116"/>
      <c r="V2116"/>
      <c r="W2116"/>
      <c r="X2116"/>
    </row>
    <row r="2117" spans="11:24">
      <c r="K2117"/>
      <c r="L2117"/>
      <c r="M2117"/>
      <c r="N2117"/>
      <c r="U2117"/>
      <c r="V2117"/>
      <c r="W2117"/>
      <c r="X2117"/>
    </row>
    <row r="2118" spans="11:24">
      <c r="K2118"/>
      <c r="L2118"/>
      <c r="M2118"/>
      <c r="N2118"/>
      <c r="U2118"/>
      <c r="V2118"/>
      <c r="W2118"/>
      <c r="X2118"/>
    </row>
    <row r="2119" spans="11:24">
      <c r="K2119"/>
      <c r="L2119"/>
      <c r="M2119"/>
      <c r="N2119"/>
      <c r="U2119"/>
      <c r="V2119"/>
      <c r="W2119"/>
      <c r="X2119"/>
    </row>
    <row r="2120" spans="11:24">
      <c r="K2120"/>
      <c r="L2120"/>
      <c r="M2120"/>
      <c r="N2120"/>
      <c r="U2120"/>
      <c r="V2120"/>
      <c r="W2120"/>
      <c r="X2120"/>
    </row>
    <row r="2121" spans="11:24">
      <c r="K2121"/>
      <c r="L2121"/>
      <c r="M2121"/>
      <c r="N2121"/>
      <c r="U2121"/>
      <c r="V2121"/>
      <c r="W2121"/>
      <c r="X2121"/>
    </row>
    <row r="2122" spans="11:24">
      <c r="K2122"/>
      <c r="L2122"/>
      <c r="M2122"/>
      <c r="N2122"/>
      <c r="U2122"/>
      <c r="V2122"/>
      <c r="W2122"/>
      <c r="X2122"/>
    </row>
    <row r="2123" spans="11:24">
      <c r="K2123"/>
      <c r="L2123"/>
      <c r="M2123"/>
      <c r="N2123"/>
      <c r="U2123"/>
      <c r="V2123"/>
      <c r="W2123"/>
      <c r="X2123"/>
    </row>
    <row r="2124" spans="11:24">
      <c r="K2124"/>
      <c r="L2124"/>
      <c r="M2124"/>
      <c r="N2124"/>
      <c r="U2124"/>
      <c r="V2124"/>
      <c r="W2124"/>
      <c r="X2124"/>
    </row>
    <row r="2125" spans="11:24">
      <c r="K2125"/>
      <c r="L2125"/>
      <c r="M2125"/>
      <c r="N2125"/>
      <c r="U2125"/>
      <c r="V2125"/>
      <c r="W2125"/>
      <c r="X2125"/>
    </row>
    <row r="2126" spans="11:24">
      <c r="K2126"/>
      <c r="L2126"/>
      <c r="M2126"/>
      <c r="N2126"/>
      <c r="U2126"/>
      <c r="V2126"/>
      <c r="W2126"/>
      <c r="X2126"/>
    </row>
    <row r="2127" spans="11:24">
      <c r="K2127"/>
      <c r="L2127"/>
      <c r="M2127"/>
      <c r="N2127"/>
      <c r="U2127"/>
      <c r="V2127"/>
      <c r="W2127"/>
      <c r="X2127"/>
    </row>
    <row r="2128" spans="11:24">
      <c r="K2128"/>
      <c r="L2128"/>
      <c r="M2128"/>
      <c r="N2128"/>
      <c r="U2128"/>
      <c r="V2128"/>
      <c r="W2128"/>
      <c r="X2128"/>
    </row>
    <row r="2129" spans="11:24">
      <c r="K2129"/>
      <c r="L2129"/>
      <c r="M2129"/>
      <c r="N2129"/>
      <c r="U2129"/>
      <c r="V2129"/>
      <c r="W2129"/>
      <c r="X2129"/>
    </row>
    <row r="2130" spans="11:24">
      <c r="K2130"/>
      <c r="L2130"/>
      <c r="M2130"/>
      <c r="N2130"/>
      <c r="U2130"/>
      <c r="V2130"/>
      <c r="W2130"/>
      <c r="X2130"/>
    </row>
    <row r="2131" spans="11:24">
      <c r="K2131"/>
      <c r="L2131"/>
      <c r="M2131"/>
      <c r="N2131"/>
      <c r="U2131"/>
      <c r="V2131"/>
      <c r="W2131"/>
      <c r="X2131"/>
    </row>
    <row r="2132" spans="11:24">
      <c r="K2132"/>
      <c r="L2132"/>
      <c r="M2132"/>
      <c r="N2132"/>
      <c r="U2132"/>
      <c r="V2132"/>
      <c r="W2132"/>
      <c r="X2132"/>
    </row>
    <row r="2133" spans="11:24">
      <c r="K2133"/>
      <c r="L2133"/>
      <c r="M2133"/>
      <c r="N2133"/>
      <c r="U2133"/>
      <c r="V2133"/>
      <c r="W2133"/>
      <c r="X2133"/>
    </row>
    <row r="2134" spans="11:24">
      <c r="K2134"/>
      <c r="L2134"/>
      <c r="M2134"/>
      <c r="N2134"/>
      <c r="U2134"/>
      <c r="V2134"/>
      <c r="W2134"/>
      <c r="X2134"/>
    </row>
    <row r="2135" spans="11:24">
      <c r="K2135"/>
      <c r="L2135"/>
      <c r="M2135"/>
      <c r="N2135"/>
      <c r="U2135"/>
      <c r="V2135"/>
      <c r="W2135"/>
      <c r="X2135"/>
    </row>
    <row r="2136" spans="11:24">
      <c r="K2136"/>
      <c r="L2136"/>
      <c r="M2136"/>
      <c r="N2136"/>
      <c r="U2136"/>
      <c r="V2136"/>
      <c r="W2136"/>
      <c r="X2136"/>
    </row>
    <row r="2137" spans="11:24">
      <c r="K2137"/>
      <c r="L2137"/>
      <c r="M2137"/>
      <c r="N2137"/>
      <c r="U2137"/>
      <c r="V2137"/>
      <c r="W2137"/>
      <c r="X2137"/>
    </row>
    <row r="2138" spans="11:24">
      <c r="K2138"/>
      <c r="L2138"/>
      <c r="M2138"/>
      <c r="N2138"/>
      <c r="U2138"/>
      <c r="V2138"/>
      <c r="W2138"/>
      <c r="X2138"/>
    </row>
    <row r="2139" spans="11:24">
      <c r="K2139"/>
      <c r="L2139"/>
      <c r="M2139"/>
      <c r="N2139"/>
      <c r="U2139"/>
      <c r="V2139"/>
      <c r="W2139"/>
      <c r="X2139"/>
    </row>
    <row r="2140" spans="11:24">
      <c r="K2140"/>
      <c r="L2140"/>
      <c r="M2140"/>
      <c r="N2140"/>
      <c r="U2140"/>
      <c r="V2140"/>
      <c r="W2140"/>
      <c r="X2140"/>
    </row>
    <row r="2141" spans="11:24">
      <c r="K2141"/>
      <c r="L2141"/>
      <c r="M2141"/>
      <c r="N2141"/>
      <c r="U2141"/>
      <c r="V2141"/>
      <c r="W2141"/>
      <c r="X2141"/>
    </row>
    <row r="2142" spans="11:24">
      <c r="K2142"/>
      <c r="L2142"/>
      <c r="M2142"/>
      <c r="N2142"/>
      <c r="U2142"/>
      <c r="V2142"/>
      <c r="W2142"/>
      <c r="X2142"/>
    </row>
    <row r="2143" spans="11:24">
      <c r="K2143"/>
      <c r="L2143"/>
      <c r="M2143"/>
      <c r="N2143"/>
      <c r="U2143"/>
      <c r="V2143"/>
      <c r="W2143"/>
      <c r="X2143"/>
    </row>
    <row r="2144" spans="11:24">
      <c r="K2144"/>
      <c r="L2144"/>
      <c r="M2144"/>
      <c r="N2144"/>
      <c r="U2144"/>
      <c r="V2144"/>
      <c r="W2144"/>
      <c r="X2144"/>
    </row>
    <row r="2145" spans="11:24">
      <c r="K2145"/>
      <c r="L2145"/>
      <c r="M2145"/>
      <c r="N2145"/>
      <c r="U2145"/>
      <c r="V2145"/>
      <c r="W2145"/>
      <c r="X2145"/>
    </row>
    <row r="2146" spans="11:24">
      <c r="K2146"/>
      <c r="L2146"/>
      <c r="M2146"/>
      <c r="N2146"/>
      <c r="U2146"/>
      <c r="V2146"/>
      <c r="W2146"/>
      <c r="X2146"/>
    </row>
    <row r="2147" spans="11:24">
      <c r="K2147"/>
      <c r="L2147"/>
      <c r="M2147"/>
      <c r="N2147"/>
      <c r="U2147"/>
      <c r="V2147"/>
      <c r="W2147"/>
      <c r="X2147"/>
    </row>
    <row r="2148" spans="11:24">
      <c r="K2148"/>
      <c r="L2148"/>
      <c r="M2148"/>
      <c r="N2148"/>
      <c r="U2148"/>
      <c r="V2148"/>
      <c r="W2148"/>
      <c r="X2148"/>
    </row>
    <row r="2149" spans="11:24">
      <c r="K2149"/>
      <c r="L2149"/>
      <c r="M2149"/>
      <c r="N2149"/>
      <c r="U2149"/>
      <c r="V2149"/>
      <c r="W2149"/>
      <c r="X2149"/>
    </row>
    <row r="2150" spans="11:24">
      <c r="K2150"/>
      <c r="L2150"/>
      <c r="M2150"/>
      <c r="N2150"/>
      <c r="U2150"/>
      <c r="V2150"/>
      <c r="W2150"/>
      <c r="X2150"/>
    </row>
    <row r="2151" spans="11:24">
      <c r="K2151"/>
      <c r="L2151"/>
      <c r="M2151"/>
      <c r="N2151"/>
      <c r="U2151"/>
      <c r="V2151"/>
      <c r="W2151"/>
      <c r="X2151"/>
    </row>
    <row r="2152" spans="11:24">
      <c r="K2152"/>
      <c r="L2152"/>
      <c r="M2152"/>
      <c r="N2152"/>
      <c r="U2152"/>
      <c r="V2152"/>
      <c r="W2152"/>
      <c r="X2152"/>
    </row>
    <row r="2153" spans="11:24">
      <c r="K2153"/>
      <c r="L2153"/>
      <c r="M2153"/>
      <c r="N2153"/>
      <c r="U2153"/>
      <c r="V2153"/>
      <c r="W2153"/>
      <c r="X2153"/>
    </row>
    <row r="2154" spans="11:24">
      <c r="K2154"/>
      <c r="L2154"/>
      <c r="M2154"/>
      <c r="N2154"/>
      <c r="U2154"/>
      <c r="V2154"/>
      <c r="W2154"/>
      <c r="X2154"/>
    </row>
    <row r="2155" spans="11:24">
      <c r="K2155"/>
      <c r="L2155"/>
      <c r="M2155"/>
      <c r="N2155"/>
      <c r="U2155"/>
      <c r="V2155"/>
      <c r="W2155"/>
      <c r="X2155"/>
    </row>
    <row r="2156" spans="11:24">
      <c r="K2156"/>
      <c r="L2156"/>
      <c r="M2156"/>
      <c r="N2156"/>
      <c r="U2156"/>
      <c r="V2156"/>
      <c r="W2156"/>
      <c r="X2156"/>
    </row>
    <row r="2157" spans="11:24">
      <c r="K2157"/>
      <c r="L2157"/>
      <c r="M2157"/>
      <c r="N2157"/>
      <c r="U2157"/>
      <c r="V2157"/>
      <c r="W2157"/>
      <c r="X2157"/>
    </row>
    <row r="2158" spans="11:24">
      <c r="K2158"/>
      <c r="L2158"/>
      <c r="M2158"/>
      <c r="N2158"/>
      <c r="U2158"/>
      <c r="V2158"/>
      <c r="W2158"/>
      <c r="X2158"/>
    </row>
    <row r="2159" spans="11:24">
      <c r="K2159"/>
      <c r="L2159"/>
      <c r="M2159"/>
      <c r="N2159"/>
      <c r="U2159"/>
      <c r="V2159"/>
      <c r="W2159"/>
      <c r="X2159"/>
    </row>
    <row r="2160" spans="11:24">
      <c r="K2160"/>
      <c r="L2160"/>
      <c r="M2160"/>
      <c r="N2160"/>
      <c r="U2160"/>
      <c r="V2160"/>
      <c r="W2160"/>
      <c r="X2160"/>
    </row>
    <row r="2161" spans="11:24">
      <c r="K2161"/>
      <c r="L2161"/>
      <c r="M2161"/>
      <c r="N2161"/>
      <c r="U2161"/>
      <c r="V2161"/>
      <c r="W2161"/>
      <c r="X2161"/>
    </row>
    <row r="2162" spans="11:24">
      <c r="K2162"/>
      <c r="L2162"/>
      <c r="M2162"/>
      <c r="N2162"/>
      <c r="U2162"/>
      <c r="V2162"/>
      <c r="W2162"/>
      <c r="X2162"/>
    </row>
    <row r="2163" spans="11:24">
      <c r="K2163"/>
      <c r="L2163"/>
      <c r="M2163"/>
      <c r="N2163"/>
      <c r="U2163"/>
      <c r="V2163"/>
      <c r="W2163"/>
      <c r="X2163"/>
    </row>
    <row r="2164" spans="11:24">
      <c r="K2164"/>
      <c r="L2164"/>
      <c r="M2164"/>
      <c r="N2164"/>
      <c r="U2164"/>
      <c r="V2164"/>
      <c r="W2164"/>
      <c r="X2164"/>
    </row>
    <row r="2165" spans="11:24">
      <c r="K2165"/>
      <c r="L2165"/>
      <c r="M2165"/>
      <c r="N2165"/>
      <c r="U2165"/>
      <c r="V2165"/>
      <c r="W2165"/>
      <c r="X2165"/>
    </row>
    <row r="2166" spans="11:24">
      <c r="K2166"/>
      <c r="L2166"/>
      <c r="M2166"/>
      <c r="N2166"/>
      <c r="U2166"/>
      <c r="V2166"/>
      <c r="W2166"/>
      <c r="X2166"/>
    </row>
    <row r="2167" spans="11:24">
      <c r="K2167"/>
      <c r="L2167"/>
      <c r="M2167"/>
      <c r="N2167"/>
      <c r="U2167"/>
      <c r="V2167"/>
      <c r="W2167"/>
      <c r="X2167"/>
    </row>
    <row r="2168" spans="11:24">
      <c r="K2168"/>
      <c r="L2168"/>
      <c r="M2168"/>
      <c r="N2168"/>
      <c r="U2168"/>
      <c r="V2168"/>
      <c r="W2168"/>
      <c r="X2168"/>
    </row>
    <row r="2169" spans="11:24">
      <c r="K2169"/>
      <c r="L2169"/>
      <c r="M2169"/>
      <c r="N2169"/>
      <c r="U2169"/>
      <c r="V2169"/>
      <c r="W2169"/>
      <c r="X2169"/>
    </row>
    <row r="2170" spans="11:24">
      <c r="K2170"/>
      <c r="L2170"/>
      <c r="M2170"/>
      <c r="N2170"/>
      <c r="U2170"/>
      <c r="V2170"/>
      <c r="W2170"/>
      <c r="X2170"/>
    </row>
    <row r="2171" spans="11:24">
      <c r="K2171"/>
      <c r="L2171"/>
      <c r="M2171"/>
      <c r="N2171"/>
      <c r="U2171"/>
      <c r="V2171"/>
      <c r="W2171"/>
      <c r="X2171"/>
    </row>
    <row r="2172" spans="11:24">
      <c r="K2172"/>
      <c r="L2172"/>
      <c r="M2172"/>
      <c r="N2172"/>
      <c r="U2172"/>
      <c r="V2172"/>
      <c r="W2172"/>
      <c r="X2172"/>
    </row>
    <row r="2173" spans="11:24">
      <c r="K2173"/>
      <c r="L2173"/>
      <c r="M2173"/>
      <c r="N2173"/>
      <c r="U2173"/>
      <c r="V2173"/>
      <c r="W2173"/>
      <c r="X2173"/>
    </row>
    <row r="2174" spans="11:24">
      <c r="K2174"/>
      <c r="L2174"/>
      <c r="M2174"/>
      <c r="N2174"/>
      <c r="U2174"/>
      <c r="V2174"/>
      <c r="W2174"/>
      <c r="X2174"/>
    </row>
    <row r="2175" spans="11:24">
      <c r="K2175"/>
      <c r="L2175"/>
      <c r="M2175"/>
      <c r="N2175"/>
      <c r="U2175"/>
      <c r="V2175"/>
      <c r="W2175"/>
      <c r="X2175"/>
    </row>
    <row r="2176" spans="11:24">
      <c r="K2176"/>
      <c r="L2176"/>
      <c r="M2176"/>
      <c r="N2176"/>
      <c r="U2176"/>
      <c r="V2176"/>
      <c r="W2176"/>
      <c r="X2176"/>
    </row>
    <row r="2177" spans="11:24">
      <c r="K2177"/>
      <c r="L2177"/>
      <c r="M2177"/>
      <c r="N2177"/>
      <c r="U2177"/>
      <c r="V2177"/>
      <c r="W2177"/>
      <c r="X2177"/>
    </row>
    <row r="2178" spans="11:24">
      <c r="K2178"/>
      <c r="L2178"/>
      <c r="M2178"/>
      <c r="N2178"/>
      <c r="U2178"/>
      <c r="V2178"/>
      <c r="W2178"/>
      <c r="X2178"/>
    </row>
    <row r="2179" spans="11:24">
      <c r="K2179"/>
      <c r="L2179"/>
      <c r="M2179"/>
      <c r="N2179"/>
      <c r="U2179"/>
      <c r="V2179"/>
      <c r="W2179"/>
      <c r="X2179"/>
    </row>
    <row r="2180" spans="11:24">
      <c r="K2180"/>
      <c r="L2180"/>
      <c r="M2180"/>
      <c r="N2180"/>
      <c r="U2180"/>
      <c r="V2180"/>
      <c r="W2180"/>
      <c r="X2180"/>
    </row>
    <row r="2181" spans="11:24">
      <c r="K2181"/>
      <c r="L2181"/>
      <c r="M2181"/>
      <c r="N2181"/>
      <c r="U2181"/>
      <c r="V2181"/>
      <c r="W2181"/>
      <c r="X2181"/>
    </row>
    <row r="2182" spans="11:24">
      <c r="K2182"/>
      <c r="L2182"/>
      <c r="M2182"/>
      <c r="N2182"/>
      <c r="U2182"/>
      <c r="V2182"/>
      <c r="W2182"/>
      <c r="X2182"/>
    </row>
    <row r="2183" spans="11:24">
      <c r="K2183"/>
      <c r="L2183"/>
      <c r="M2183"/>
      <c r="N2183"/>
      <c r="U2183"/>
      <c r="V2183"/>
      <c r="W2183"/>
      <c r="X2183"/>
    </row>
    <row r="2184" spans="11:24">
      <c r="K2184"/>
      <c r="L2184"/>
      <c r="M2184"/>
      <c r="N2184"/>
      <c r="U2184"/>
      <c r="V2184"/>
      <c r="W2184"/>
      <c r="X2184"/>
    </row>
    <row r="2185" spans="11:24">
      <c r="K2185"/>
      <c r="L2185"/>
      <c r="M2185"/>
      <c r="N2185"/>
      <c r="U2185"/>
      <c r="V2185"/>
      <c r="W2185"/>
      <c r="X2185"/>
    </row>
    <row r="2186" spans="11:24">
      <c r="K2186"/>
      <c r="L2186"/>
      <c r="M2186"/>
      <c r="N2186"/>
      <c r="U2186"/>
      <c r="V2186"/>
      <c r="W2186"/>
      <c r="X2186"/>
    </row>
    <row r="2187" spans="11:24">
      <c r="K2187"/>
      <c r="L2187"/>
      <c r="M2187"/>
      <c r="N2187"/>
      <c r="U2187"/>
      <c r="V2187"/>
      <c r="W2187"/>
      <c r="X2187"/>
    </row>
    <row r="2188" spans="11:24">
      <c r="K2188"/>
      <c r="L2188"/>
      <c r="M2188"/>
      <c r="N2188"/>
      <c r="U2188"/>
      <c r="V2188"/>
      <c r="W2188"/>
      <c r="X2188"/>
    </row>
    <row r="2189" spans="11:24">
      <c r="K2189"/>
      <c r="L2189"/>
      <c r="M2189"/>
      <c r="N2189"/>
      <c r="U2189"/>
      <c r="V2189"/>
      <c r="W2189"/>
      <c r="X2189"/>
    </row>
    <row r="2190" spans="11:24">
      <c r="K2190"/>
      <c r="L2190"/>
      <c r="M2190"/>
      <c r="N2190"/>
      <c r="U2190"/>
      <c r="V2190"/>
      <c r="W2190"/>
      <c r="X2190"/>
    </row>
    <row r="2191" spans="11:24">
      <c r="K2191"/>
      <c r="L2191"/>
      <c r="M2191"/>
      <c r="N2191"/>
      <c r="U2191"/>
      <c r="V2191"/>
      <c r="W2191"/>
      <c r="X2191"/>
    </row>
    <row r="2192" spans="11:24">
      <c r="K2192"/>
      <c r="L2192"/>
      <c r="M2192"/>
      <c r="N2192"/>
      <c r="U2192"/>
      <c r="V2192"/>
      <c r="W2192"/>
      <c r="X2192"/>
    </row>
    <row r="2193" spans="11:24">
      <c r="K2193"/>
      <c r="L2193"/>
      <c r="M2193"/>
      <c r="N2193"/>
      <c r="U2193"/>
      <c r="V2193"/>
      <c r="W2193"/>
      <c r="X2193"/>
    </row>
    <row r="2194" spans="11:24">
      <c r="K2194"/>
      <c r="L2194"/>
      <c r="M2194"/>
      <c r="N2194"/>
      <c r="U2194"/>
      <c r="V2194"/>
      <c r="W2194"/>
      <c r="X2194"/>
    </row>
    <row r="2195" spans="11:24">
      <c r="K2195"/>
      <c r="L2195"/>
      <c r="M2195"/>
      <c r="N2195"/>
      <c r="U2195"/>
      <c r="V2195"/>
      <c r="W2195"/>
      <c r="X2195"/>
    </row>
    <row r="2196" spans="11:24">
      <c r="K2196"/>
      <c r="L2196"/>
      <c r="M2196"/>
      <c r="N2196"/>
      <c r="U2196"/>
      <c r="V2196"/>
      <c r="W2196"/>
      <c r="X2196"/>
    </row>
    <row r="2197" spans="11:24">
      <c r="K2197"/>
      <c r="L2197"/>
      <c r="M2197"/>
      <c r="N2197"/>
      <c r="U2197"/>
      <c r="V2197"/>
      <c r="W2197"/>
      <c r="X2197"/>
    </row>
    <row r="2198" spans="11:24">
      <c r="K2198"/>
      <c r="L2198"/>
      <c r="M2198"/>
      <c r="N2198"/>
      <c r="U2198"/>
      <c r="V2198"/>
      <c r="W2198"/>
      <c r="X2198"/>
    </row>
    <row r="2199" spans="11:24">
      <c r="K2199"/>
      <c r="L2199"/>
      <c r="M2199"/>
      <c r="N2199"/>
      <c r="U2199"/>
      <c r="V2199"/>
      <c r="W2199"/>
      <c r="X2199"/>
    </row>
    <row r="2200" spans="11:24">
      <c r="K2200"/>
      <c r="L2200"/>
      <c r="M2200"/>
      <c r="N2200"/>
      <c r="U2200"/>
      <c r="V2200"/>
      <c r="W2200"/>
      <c r="X2200"/>
    </row>
    <row r="2201" spans="11:24">
      <c r="K2201"/>
      <c r="L2201"/>
      <c r="M2201"/>
      <c r="N2201"/>
      <c r="U2201"/>
      <c r="V2201"/>
      <c r="W2201"/>
      <c r="X2201"/>
    </row>
    <row r="2202" spans="11:24">
      <c r="K2202"/>
      <c r="L2202"/>
      <c r="M2202"/>
      <c r="N2202"/>
      <c r="U2202"/>
      <c r="V2202"/>
      <c r="W2202"/>
      <c r="X2202"/>
    </row>
    <row r="2203" spans="11:24">
      <c r="K2203"/>
      <c r="L2203"/>
      <c r="M2203"/>
      <c r="N2203"/>
      <c r="U2203"/>
      <c r="V2203"/>
      <c r="W2203"/>
      <c r="X2203"/>
    </row>
    <row r="2204" spans="11:24">
      <c r="K2204"/>
      <c r="L2204"/>
      <c r="M2204"/>
      <c r="N2204"/>
      <c r="U2204"/>
      <c r="V2204"/>
      <c r="W2204"/>
      <c r="X2204"/>
    </row>
    <row r="2205" spans="11:24">
      <c r="K2205"/>
      <c r="L2205"/>
      <c r="M2205"/>
      <c r="N2205"/>
      <c r="U2205"/>
      <c r="V2205"/>
      <c r="W2205"/>
      <c r="X2205"/>
    </row>
    <row r="2206" spans="11:24">
      <c r="K2206"/>
      <c r="L2206"/>
      <c r="M2206"/>
      <c r="N2206"/>
      <c r="U2206"/>
      <c r="V2206"/>
      <c r="W2206"/>
      <c r="X2206"/>
    </row>
    <row r="2207" spans="11:24">
      <c r="K2207"/>
      <c r="L2207"/>
      <c r="M2207"/>
      <c r="N2207"/>
      <c r="U2207"/>
      <c r="V2207"/>
      <c r="W2207"/>
      <c r="X2207"/>
    </row>
    <row r="2208" spans="11:24">
      <c r="K2208"/>
      <c r="L2208"/>
      <c r="M2208"/>
      <c r="N2208"/>
      <c r="U2208"/>
      <c r="V2208"/>
      <c r="W2208"/>
      <c r="X2208"/>
    </row>
    <row r="2209" spans="11:24">
      <c r="K2209"/>
      <c r="L2209"/>
      <c r="M2209"/>
      <c r="N2209"/>
      <c r="U2209"/>
      <c r="V2209"/>
      <c r="W2209"/>
      <c r="X2209"/>
    </row>
    <row r="2210" spans="11:24">
      <c r="K2210"/>
      <c r="L2210"/>
      <c r="M2210"/>
      <c r="N2210"/>
      <c r="U2210"/>
      <c r="V2210"/>
      <c r="W2210"/>
      <c r="X2210"/>
    </row>
    <row r="2211" spans="11:24">
      <c r="K2211"/>
      <c r="L2211"/>
      <c r="M2211"/>
      <c r="N2211"/>
      <c r="U2211"/>
      <c r="V2211"/>
      <c r="W2211"/>
      <c r="X2211"/>
    </row>
    <row r="2212" spans="11:24">
      <c r="K2212"/>
      <c r="L2212"/>
      <c r="M2212"/>
      <c r="N2212"/>
      <c r="U2212"/>
      <c r="V2212"/>
      <c r="W2212"/>
      <c r="X2212"/>
    </row>
    <row r="2213" spans="11:24">
      <c r="K2213"/>
      <c r="L2213"/>
      <c r="M2213"/>
      <c r="N2213"/>
      <c r="U2213"/>
      <c r="V2213"/>
      <c r="W2213"/>
      <c r="X2213"/>
    </row>
    <row r="2214" spans="11:24">
      <c r="K2214"/>
      <c r="L2214"/>
      <c r="M2214"/>
      <c r="N2214"/>
      <c r="U2214"/>
      <c r="V2214"/>
      <c r="W2214"/>
      <c r="X2214"/>
    </row>
    <row r="2215" spans="11:24">
      <c r="K2215"/>
      <c r="L2215"/>
      <c r="M2215"/>
      <c r="N2215"/>
      <c r="U2215"/>
      <c r="V2215"/>
      <c r="W2215"/>
      <c r="X2215"/>
    </row>
    <row r="2216" spans="11:24">
      <c r="K2216"/>
      <c r="L2216"/>
      <c r="M2216"/>
      <c r="N2216"/>
      <c r="U2216"/>
      <c r="V2216"/>
      <c r="W2216"/>
      <c r="X2216"/>
    </row>
    <row r="2217" spans="11:24">
      <c r="K2217"/>
      <c r="L2217"/>
      <c r="M2217"/>
      <c r="N2217"/>
      <c r="U2217"/>
      <c r="V2217"/>
      <c r="W2217"/>
      <c r="X2217"/>
    </row>
    <row r="2218" spans="11:24">
      <c r="K2218"/>
      <c r="L2218"/>
      <c r="M2218"/>
      <c r="N2218"/>
      <c r="U2218"/>
      <c r="V2218"/>
      <c r="W2218"/>
      <c r="X2218"/>
    </row>
    <row r="2219" spans="11:24">
      <c r="K2219"/>
      <c r="L2219"/>
      <c r="M2219"/>
      <c r="N2219"/>
      <c r="U2219"/>
      <c r="V2219"/>
      <c r="W2219"/>
      <c r="X2219"/>
    </row>
    <row r="2220" spans="11:24">
      <c r="K2220"/>
      <c r="L2220"/>
      <c r="M2220"/>
      <c r="N2220"/>
      <c r="U2220"/>
      <c r="V2220"/>
      <c r="W2220"/>
      <c r="X2220"/>
    </row>
    <row r="2221" spans="11:24">
      <c r="K2221"/>
      <c r="L2221"/>
      <c r="M2221"/>
      <c r="N2221"/>
      <c r="U2221"/>
      <c r="V2221"/>
      <c r="W2221"/>
      <c r="X2221"/>
    </row>
    <row r="2222" spans="11:24">
      <c r="K2222"/>
      <c r="L2222"/>
      <c r="M2222"/>
      <c r="N2222"/>
      <c r="U2222"/>
      <c r="V2222"/>
      <c r="W2222"/>
      <c r="X2222"/>
    </row>
    <row r="2223" spans="11:24">
      <c r="K2223"/>
      <c r="L2223"/>
      <c r="M2223"/>
      <c r="N2223"/>
      <c r="U2223"/>
      <c r="V2223"/>
      <c r="W2223"/>
      <c r="X2223"/>
    </row>
    <row r="2224" spans="11:24">
      <c r="K2224"/>
      <c r="L2224"/>
      <c r="M2224"/>
      <c r="N2224"/>
      <c r="U2224"/>
      <c r="V2224"/>
      <c r="W2224"/>
      <c r="X2224"/>
    </row>
    <row r="2225" spans="11:24">
      <c r="K2225"/>
      <c r="L2225"/>
      <c r="M2225"/>
      <c r="N2225"/>
      <c r="U2225"/>
      <c r="V2225"/>
      <c r="W2225"/>
      <c r="X2225"/>
    </row>
    <row r="2226" spans="11:24">
      <c r="K2226"/>
      <c r="L2226"/>
      <c r="M2226"/>
      <c r="N2226"/>
      <c r="U2226"/>
      <c r="V2226"/>
      <c r="W2226"/>
      <c r="X2226"/>
    </row>
    <row r="2227" spans="11:24">
      <c r="K2227"/>
      <c r="L2227"/>
      <c r="M2227"/>
      <c r="N2227"/>
      <c r="U2227"/>
      <c r="V2227"/>
      <c r="W2227"/>
      <c r="X2227"/>
    </row>
    <row r="2228" spans="11:24">
      <c r="K2228"/>
      <c r="L2228"/>
      <c r="M2228"/>
      <c r="N2228"/>
      <c r="U2228"/>
      <c r="V2228"/>
      <c r="W2228"/>
      <c r="X2228"/>
    </row>
    <row r="2229" spans="11:24">
      <c r="K2229"/>
      <c r="L2229"/>
      <c r="M2229"/>
      <c r="N2229"/>
      <c r="U2229"/>
      <c r="V2229"/>
      <c r="W2229"/>
      <c r="X2229"/>
    </row>
    <row r="2230" spans="11:24">
      <c r="K2230"/>
      <c r="L2230"/>
      <c r="M2230"/>
      <c r="N2230"/>
      <c r="U2230"/>
      <c r="V2230"/>
      <c r="W2230"/>
      <c r="X2230"/>
    </row>
    <row r="2231" spans="11:24">
      <c r="K2231"/>
      <c r="L2231"/>
      <c r="M2231"/>
      <c r="N2231"/>
      <c r="U2231"/>
      <c r="V2231"/>
      <c r="W2231"/>
      <c r="X2231"/>
    </row>
    <row r="2232" spans="11:24">
      <c r="K2232"/>
      <c r="L2232"/>
      <c r="M2232"/>
      <c r="N2232"/>
      <c r="U2232"/>
      <c r="V2232"/>
      <c r="W2232"/>
      <c r="X2232"/>
    </row>
    <row r="2233" spans="11:24">
      <c r="K2233"/>
      <c r="L2233"/>
      <c r="M2233"/>
      <c r="N2233"/>
      <c r="U2233"/>
      <c r="V2233"/>
      <c r="W2233"/>
      <c r="X2233"/>
    </row>
    <row r="2234" spans="11:24">
      <c r="K2234"/>
      <c r="L2234"/>
      <c r="M2234"/>
      <c r="N2234"/>
      <c r="U2234"/>
      <c r="V2234"/>
      <c r="W2234"/>
      <c r="X2234"/>
    </row>
    <row r="2235" spans="11:24">
      <c r="K2235"/>
      <c r="L2235"/>
      <c r="M2235"/>
      <c r="N2235"/>
      <c r="U2235"/>
      <c r="V2235"/>
      <c r="W2235"/>
      <c r="X2235"/>
    </row>
    <row r="2236" spans="11:24">
      <c r="K2236"/>
      <c r="L2236"/>
      <c r="M2236"/>
      <c r="N2236"/>
      <c r="U2236"/>
      <c r="V2236"/>
      <c r="W2236"/>
      <c r="X2236"/>
    </row>
    <row r="2237" spans="11:24">
      <c r="K2237"/>
      <c r="L2237"/>
      <c r="M2237"/>
      <c r="N2237"/>
      <c r="U2237"/>
      <c r="V2237"/>
      <c r="W2237"/>
      <c r="X2237"/>
    </row>
    <row r="2238" spans="11:24">
      <c r="K2238"/>
      <c r="L2238"/>
      <c r="M2238"/>
      <c r="N2238"/>
      <c r="U2238"/>
      <c r="V2238"/>
      <c r="W2238"/>
      <c r="X2238"/>
    </row>
    <row r="2239" spans="11:24">
      <c r="K2239"/>
      <c r="L2239"/>
      <c r="M2239"/>
      <c r="N2239"/>
      <c r="U2239"/>
      <c r="V2239"/>
      <c r="W2239"/>
      <c r="X2239"/>
    </row>
    <row r="2240" spans="11:24">
      <c r="K2240"/>
      <c r="L2240"/>
      <c r="M2240"/>
      <c r="N2240"/>
      <c r="U2240"/>
      <c r="V2240"/>
      <c r="W2240"/>
      <c r="X2240"/>
    </row>
    <row r="2241" spans="11:24">
      <c r="K2241"/>
      <c r="L2241"/>
      <c r="M2241"/>
      <c r="N2241"/>
      <c r="U2241"/>
      <c r="V2241"/>
      <c r="W2241"/>
      <c r="X2241"/>
    </row>
    <row r="2242" spans="11:24">
      <c r="K2242"/>
      <c r="L2242"/>
      <c r="M2242"/>
      <c r="N2242"/>
      <c r="U2242"/>
      <c r="V2242"/>
      <c r="W2242"/>
      <c r="X2242"/>
    </row>
    <row r="2243" spans="11:24">
      <c r="K2243"/>
      <c r="L2243"/>
      <c r="M2243"/>
      <c r="N2243"/>
      <c r="U2243"/>
      <c r="V2243"/>
      <c r="W2243"/>
      <c r="X2243"/>
    </row>
    <row r="2244" spans="11:24">
      <c r="K2244"/>
      <c r="L2244"/>
      <c r="M2244"/>
      <c r="N2244"/>
      <c r="U2244"/>
      <c r="V2244"/>
      <c r="W2244"/>
      <c r="X2244"/>
    </row>
    <row r="2245" spans="11:24">
      <c r="K2245"/>
      <c r="L2245"/>
      <c r="M2245"/>
      <c r="N2245"/>
      <c r="U2245"/>
      <c r="V2245"/>
      <c r="W2245"/>
      <c r="X2245"/>
    </row>
    <row r="2246" spans="11:24">
      <c r="K2246"/>
      <c r="L2246"/>
      <c r="M2246"/>
      <c r="N2246"/>
      <c r="U2246"/>
      <c r="V2246"/>
      <c r="W2246"/>
      <c r="X2246"/>
    </row>
    <row r="2247" spans="11:24">
      <c r="K2247"/>
      <c r="L2247"/>
      <c r="M2247"/>
      <c r="N2247"/>
      <c r="U2247"/>
      <c r="V2247"/>
      <c r="W2247"/>
      <c r="X2247"/>
    </row>
    <row r="2248" spans="11:24">
      <c r="K2248"/>
      <c r="L2248"/>
      <c r="M2248"/>
      <c r="N2248"/>
      <c r="U2248"/>
      <c r="V2248"/>
      <c r="W2248"/>
      <c r="X2248"/>
    </row>
    <row r="2249" spans="11:24">
      <c r="K2249"/>
      <c r="L2249"/>
      <c r="M2249"/>
      <c r="N2249"/>
      <c r="U2249"/>
      <c r="V2249"/>
      <c r="W2249"/>
      <c r="X2249"/>
    </row>
    <row r="2250" spans="11:24">
      <c r="K2250"/>
      <c r="L2250"/>
      <c r="M2250"/>
      <c r="N2250"/>
      <c r="U2250"/>
      <c r="V2250"/>
      <c r="W2250"/>
      <c r="X2250"/>
    </row>
    <row r="2251" spans="11:24">
      <c r="K2251"/>
      <c r="L2251"/>
      <c r="M2251"/>
      <c r="N2251"/>
      <c r="U2251"/>
      <c r="V2251"/>
      <c r="W2251"/>
      <c r="X2251"/>
    </row>
    <row r="2252" spans="11:24">
      <c r="K2252"/>
      <c r="L2252"/>
      <c r="M2252"/>
      <c r="N2252"/>
      <c r="U2252"/>
      <c r="V2252"/>
      <c r="W2252"/>
      <c r="X2252"/>
    </row>
    <row r="2253" spans="11:24">
      <c r="K2253"/>
      <c r="L2253"/>
      <c r="M2253"/>
      <c r="N2253"/>
      <c r="U2253"/>
      <c r="V2253"/>
      <c r="W2253"/>
      <c r="X2253"/>
    </row>
    <row r="2254" spans="11:24">
      <c r="K2254"/>
      <c r="L2254"/>
      <c r="M2254"/>
      <c r="N2254"/>
      <c r="U2254"/>
      <c r="V2254"/>
      <c r="W2254"/>
      <c r="X2254"/>
    </row>
    <row r="2255" spans="11:24">
      <c r="K2255"/>
      <c r="L2255"/>
      <c r="M2255"/>
      <c r="N2255"/>
      <c r="U2255"/>
      <c r="V2255"/>
      <c r="W2255"/>
      <c r="X2255"/>
    </row>
    <row r="2256" spans="11:24">
      <c r="K2256"/>
      <c r="L2256"/>
      <c r="M2256"/>
      <c r="N2256"/>
      <c r="U2256"/>
      <c r="V2256"/>
      <c r="W2256"/>
      <c r="X2256"/>
    </row>
    <row r="2257" spans="11:24">
      <c r="K2257"/>
      <c r="L2257"/>
      <c r="M2257"/>
      <c r="N2257"/>
      <c r="U2257"/>
      <c r="V2257"/>
      <c r="W2257"/>
      <c r="X2257"/>
    </row>
    <row r="2258" spans="11:24">
      <c r="K2258"/>
      <c r="L2258"/>
      <c r="M2258"/>
      <c r="N2258"/>
      <c r="U2258"/>
      <c r="V2258"/>
      <c r="W2258"/>
      <c r="X2258"/>
    </row>
    <row r="2259" spans="11:24">
      <c r="K2259"/>
      <c r="L2259"/>
      <c r="M2259"/>
      <c r="N2259"/>
      <c r="U2259"/>
      <c r="V2259"/>
      <c r="W2259"/>
      <c r="X2259"/>
    </row>
    <row r="2260" spans="11:24">
      <c r="K2260"/>
      <c r="L2260"/>
      <c r="M2260"/>
      <c r="N2260"/>
      <c r="U2260"/>
      <c r="V2260"/>
      <c r="W2260"/>
      <c r="X2260"/>
    </row>
    <row r="2261" spans="11:24">
      <c r="K2261"/>
      <c r="L2261"/>
      <c r="M2261"/>
      <c r="N2261"/>
      <c r="U2261"/>
      <c r="V2261"/>
      <c r="W2261"/>
      <c r="X2261"/>
    </row>
    <row r="2262" spans="11:24">
      <c r="K2262"/>
      <c r="L2262"/>
      <c r="M2262"/>
      <c r="N2262"/>
      <c r="U2262"/>
      <c r="V2262"/>
      <c r="W2262"/>
      <c r="X2262"/>
    </row>
    <row r="2263" spans="11:24">
      <c r="K2263"/>
      <c r="L2263"/>
      <c r="M2263"/>
      <c r="N2263"/>
      <c r="U2263"/>
      <c r="V2263"/>
      <c r="W2263"/>
      <c r="X2263"/>
    </row>
    <row r="2264" spans="11:24">
      <c r="K2264"/>
      <c r="L2264"/>
      <c r="M2264"/>
      <c r="N2264"/>
      <c r="U2264"/>
      <c r="V2264"/>
      <c r="W2264"/>
      <c r="X2264"/>
    </row>
    <row r="2265" spans="11:24">
      <c r="K2265"/>
      <c r="L2265"/>
      <c r="M2265"/>
      <c r="N2265"/>
      <c r="U2265"/>
      <c r="V2265"/>
      <c r="W2265"/>
      <c r="X2265"/>
    </row>
    <row r="2266" spans="11:24">
      <c r="K2266"/>
      <c r="L2266"/>
      <c r="M2266"/>
      <c r="N2266"/>
      <c r="U2266"/>
      <c r="V2266"/>
      <c r="W2266"/>
      <c r="X2266"/>
    </row>
    <row r="2267" spans="11:24">
      <c r="K2267"/>
      <c r="L2267"/>
      <c r="M2267"/>
      <c r="N2267"/>
      <c r="U2267"/>
      <c r="V2267"/>
      <c r="W2267"/>
      <c r="X2267"/>
    </row>
    <row r="2268" spans="11:24">
      <c r="K2268"/>
      <c r="L2268"/>
      <c r="M2268"/>
      <c r="N2268"/>
      <c r="U2268"/>
      <c r="V2268"/>
      <c r="W2268"/>
      <c r="X2268"/>
    </row>
    <row r="2269" spans="11:24">
      <c r="K2269"/>
      <c r="L2269"/>
      <c r="M2269"/>
      <c r="N2269"/>
      <c r="U2269"/>
      <c r="V2269"/>
      <c r="W2269"/>
      <c r="X2269"/>
    </row>
    <row r="2270" spans="11:24">
      <c r="K2270"/>
      <c r="L2270"/>
      <c r="M2270"/>
      <c r="N2270"/>
      <c r="U2270"/>
      <c r="V2270"/>
      <c r="W2270"/>
      <c r="X2270"/>
    </row>
    <row r="2271" spans="11:24">
      <c r="K2271"/>
      <c r="L2271"/>
      <c r="M2271"/>
      <c r="N2271"/>
      <c r="U2271"/>
      <c r="V2271"/>
      <c r="W2271"/>
      <c r="X2271"/>
    </row>
    <row r="2272" spans="11:24">
      <c r="K2272"/>
      <c r="L2272"/>
      <c r="M2272"/>
      <c r="N2272"/>
      <c r="U2272"/>
      <c r="V2272"/>
      <c r="W2272"/>
      <c r="X2272"/>
    </row>
    <row r="2273" spans="11:24">
      <c r="K2273"/>
      <c r="L2273"/>
      <c r="M2273"/>
      <c r="N2273"/>
      <c r="U2273"/>
      <c r="V2273"/>
      <c r="W2273"/>
      <c r="X2273"/>
    </row>
    <row r="2274" spans="11:24">
      <c r="K2274"/>
      <c r="L2274"/>
      <c r="M2274"/>
      <c r="N2274"/>
      <c r="U2274"/>
      <c r="V2274"/>
      <c r="W2274"/>
      <c r="X2274"/>
    </row>
    <row r="2275" spans="11:24">
      <c r="K2275"/>
      <c r="L2275"/>
      <c r="M2275"/>
      <c r="N2275"/>
      <c r="U2275"/>
      <c r="V2275"/>
      <c r="W2275"/>
      <c r="X2275"/>
    </row>
    <row r="2276" spans="11:24">
      <c r="K2276"/>
      <c r="L2276"/>
      <c r="M2276"/>
      <c r="N2276"/>
      <c r="U2276"/>
      <c r="V2276"/>
      <c r="W2276"/>
      <c r="X2276"/>
    </row>
    <row r="2277" spans="11:24">
      <c r="K2277"/>
      <c r="L2277"/>
      <c r="M2277"/>
      <c r="N2277"/>
      <c r="U2277"/>
      <c r="V2277"/>
      <c r="W2277"/>
      <c r="X2277"/>
    </row>
    <row r="2278" spans="11:24">
      <c r="K2278"/>
      <c r="L2278"/>
      <c r="M2278"/>
      <c r="N2278"/>
      <c r="U2278"/>
      <c r="V2278"/>
      <c r="W2278"/>
      <c r="X2278"/>
    </row>
    <row r="2279" spans="11:24">
      <c r="K2279"/>
      <c r="L2279"/>
      <c r="M2279"/>
      <c r="N2279"/>
      <c r="U2279"/>
      <c r="V2279"/>
      <c r="W2279"/>
      <c r="X2279"/>
    </row>
    <row r="2280" spans="11:24">
      <c r="K2280"/>
      <c r="L2280"/>
      <c r="M2280"/>
      <c r="N2280"/>
      <c r="U2280"/>
      <c r="V2280"/>
      <c r="W2280"/>
      <c r="X2280"/>
    </row>
    <row r="2281" spans="11:24">
      <c r="K2281"/>
      <c r="L2281"/>
      <c r="M2281"/>
      <c r="N2281"/>
      <c r="U2281"/>
      <c r="V2281"/>
      <c r="W2281"/>
      <c r="X2281"/>
    </row>
    <row r="2282" spans="11:24">
      <c r="K2282"/>
      <c r="L2282"/>
      <c r="M2282"/>
      <c r="N2282"/>
      <c r="U2282"/>
      <c r="V2282"/>
      <c r="W2282"/>
      <c r="X2282"/>
    </row>
    <row r="2283" spans="11:24">
      <c r="K2283"/>
      <c r="L2283"/>
      <c r="M2283"/>
      <c r="N2283"/>
      <c r="U2283"/>
      <c r="V2283"/>
      <c r="W2283"/>
      <c r="X2283"/>
    </row>
    <row r="2284" spans="11:24">
      <c r="K2284"/>
      <c r="L2284"/>
      <c r="M2284"/>
      <c r="N2284"/>
      <c r="U2284"/>
      <c r="V2284"/>
      <c r="W2284"/>
      <c r="X2284"/>
    </row>
    <row r="2285" spans="11:24">
      <c r="K2285"/>
      <c r="L2285"/>
      <c r="M2285"/>
      <c r="N2285"/>
      <c r="U2285"/>
      <c r="V2285"/>
      <c r="W2285"/>
      <c r="X2285"/>
    </row>
    <row r="2286" spans="11:24">
      <c r="K2286"/>
      <c r="L2286"/>
      <c r="M2286"/>
      <c r="N2286"/>
      <c r="U2286"/>
      <c r="V2286"/>
      <c r="W2286"/>
      <c r="X2286"/>
    </row>
    <row r="2287" spans="11:24">
      <c r="K2287"/>
      <c r="L2287"/>
      <c r="M2287"/>
      <c r="N2287"/>
      <c r="U2287"/>
      <c r="V2287"/>
      <c r="W2287"/>
      <c r="X2287"/>
    </row>
    <row r="2288" spans="11:24">
      <c r="K2288"/>
      <c r="L2288"/>
      <c r="M2288"/>
      <c r="N2288"/>
      <c r="U2288"/>
      <c r="V2288"/>
      <c r="W2288"/>
      <c r="X2288"/>
    </row>
    <row r="2289" spans="11:24">
      <c r="K2289"/>
      <c r="L2289"/>
      <c r="M2289"/>
      <c r="N2289"/>
      <c r="U2289"/>
      <c r="V2289"/>
      <c r="W2289"/>
      <c r="X2289"/>
    </row>
    <row r="2290" spans="11:24">
      <c r="K2290"/>
      <c r="L2290"/>
      <c r="M2290"/>
      <c r="N2290"/>
      <c r="U2290"/>
      <c r="V2290"/>
      <c r="W2290"/>
      <c r="X2290"/>
    </row>
    <row r="2291" spans="11:24">
      <c r="K2291"/>
      <c r="L2291"/>
      <c r="M2291"/>
      <c r="N2291"/>
      <c r="U2291"/>
      <c r="V2291"/>
      <c r="W2291"/>
      <c r="X2291"/>
    </row>
    <row r="2292" spans="11:24">
      <c r="K2292"/>
      <c r="L2292"/>
      <c r="M2292"/>
      <c r="N2292"/>
      <c r="U2292"/>
      <c r="V2292"/>
      <c r="W2292"/>
      <c r="X2292"/>
    </row>
    <row r="2293" spans="11:24">
      <c r="K2293"/>
      <c r="L2293"/>
      <c r="M2293"/>
      <c r="N2293"/>
      <c r="U2293"/>
      <c r="V2293"/>
      <c r="W2293"/>
      <c r="X2293"/>
    </row>
    <row r="2294" spans="11:24">
      <c r="K2294"/>
      <c r="L2294"/>
      <c r="M2294"/>
      <c r="N2294"/>
      <c r="U2294"/>
      <c r="V2294"/>
      <c r="W2294"/>
      <c r="X2294"/>
    </row>
    <row r="2295" spans="11:24">
      <c r="K2295"/>
      <c r="L2295"/>
      <c r="M2295"/>
      <c r="N2295"/>
      <c r="U2295"/>
      <c r="V2295"/>
      <c r="W2295"/>
      <c r="X2295"/>
    </row>
    <row r="2296" spans="11:24">
      <c r="K2296"/>
      <c r="L2296"/>
      <c r="M2296"/>
      <c r="N2296"/>
      <c r="U2296"/>
      <c r="V2296"/>
      <c r="W2296"/>
      <c r="X2296"/>
    </row>
    <row r="2297" spans="11:24">
      <c r="K2297"/>
      <c r="L2297"/>
      <c r="M2297"/>
      <c r="N2297"/>
      <c r="U2297"/>
      <c r="V2297"/>
      <c r="W2297"/>
      <c r="X2297"/>
    </row>
    <row r="2298" spans="11:24">
      <c r="K2298"/>
      <c r="L2298"/>
      <c r="M2298"/>
      <c r="N2298"/>
      <c r="U2298"/>
      <c r="V2298"/>
      <c r="W2298"/>
      <c r="X2298"/>
    </row>
    <row r="2299" spans="11:24">
      <c r="K2299"/>
      <c r="L2299"/>
      <c r="M2299"/>
      <c r="N2299"/>
      <c r="U2299"/>
      <c r="V2299"/>
      <c r="W2299"/>
      <c r="X2299"/>
    </row>
    <row r="2300" spans="11:24">
      <c r="K2300"/>
      <c r="L2300"/>
      <c r="M2300"/>
      <c r="N2300"/>
      <c r="U2300"/>
      <c r="V2300"/>
      <c r="W2300"/>
      <c r="X2300"/>
    </row>
    <row r="2301" spans="11:24">
      <c r="K2301"/>
      <c r="L2301"/>
      <c r="M2301"/>
      <c r="N2301"/>
      <c r="U2301"/>
      <c r="V2301"/>
      <c r="W2301"/>
      <c r="X2301"/>
    </row>
    <row r="2302" spans="11:24">
      <c r="K2302"/>
      <c r="L2302"/>
      <c r="M2302"/>
      <c r="N2302"/>
      <c r="U2302"/>
      <c r="V2302"/>
      <c r="W2302"/>
      <c r="X2302"/>
    </row>
    <row r="2303" spans="11:24">
      <c r="K2303"/>
      <c r="L2303"/>
      <c r="M2303"/>
      <c r="N2303"/>
      <c r="U2303"/>
      <c r="V2303"/>
      <c r="W2303"/>
      <c r="X2303"/>
    </row>
    <row r="2304" spans="11:24">
      <c r="K2304"/>
      <c r="L2304"/>
      <c r="M2304"/>
      <c r="N2304"/>
      <c r="U2304"/>
      <c r="V2304"/>
      <c r="W2304"/>
      <c r="X2304"/>
    </row>
    <row r="2305" spans="11:24">
      <c r="K2305"/>
      <c r="L2305"/>
      <c r="M2305"/>
      <c r="N2305"/>
      <c r="U2305"/>
      <c r="V2305"/>
      <c r="W2305"/>
      <c r="X2305"/>
    </row>
    <row r="2306" spans="11:24">
      <c r="K2306"/>
      <c r="L2306"/>
      <c r="M2306"/>
      <c r="N2306"/>
      <c r="U2306"/>
      <c r="V2306"/>
      <c r="W2306"/>
      <c r="X2306"/>
    </row>
    <row r="2307" spans="11:24">
      <c r="K2307"/>
      <c r="L2307"/>
      <c r="M2307"/>
      <c r="N2307"/>
      <c r="U2307"/>
      <c r="V2307"/>
      <c r="W2307"/>
      <c r="X2307"/>
    </row>
    <row r="2308" spans="11:24">
      <c r="K2308"/>
      <c r="L2308"/>
      <c r="M2308"/>
      <c r="N2308"/>
      <c r="U2308"/>
      <c r="V2308"/>
      <c r="W2308"/>
      <c r="X2308"/>
    </row>
    <row r="2309" spans="11:24">
      <c r="K2309"/>
      <c r="L2309"/>
      <c r="M2309"/>
      <c r="N2309"/>
      <c r="U2309"/>
      <c r="V2309"/>
      <c r="W2309"/>
      <c r="X2309"/>
    </row>
    <row r="2310" spans="11:24">
      <c r="K2310"/>
      <c r="L2310"/>
      <c r="M2310"/>
      <c r="N2310"/>
      <c r="U2310"/>
      <c r="V2310"/>
      <c r="W2310"/>
      <c r="X2310"/>
    </row>
    <row r="2311" spans="11:24">
      <c r="K2311"/>
      <c r="L2311"/>
      <c r="M2311"/>
      <c r="N2311"/>
      <c r="U2311"/>
      <c r="V2311"/>
      <c r="W2311"/>
      <c r="X2311"/>
    </row>
    <row r="2312" spans="11:24">
      <c r="K2312"/>
      <c r="L2312"/>
      <c r="M2312"/>
      <c r="N2312"/>
      <c r="U2312"/>
      <c r="V2312"/>
      <c r="W2312"/>
      <c r="X2312"/>
    </row>
    <row r="2313" spans="11:24">
      <c r="K2313"/>
      <c r="L2313"/>
      <c r="M2313"/>
      <c r="N2313"/>
      <c r="U2313"/>
      <c r="V2313"/>
      <c r="W2313"/>
      <c r="X2313"/>
    </row>
    <row r="2314" spans="11:24">
      <c r="K2314"/>
      <c r="L2314"/>
      <c r="M2314"/>
      <c r="N2314"/>
      <c r="U2314"/>
      <c r="V2314"/>
      <c r="W2314"/>
      <c r="X2314"/>
    </row>
    <row r="2315" spans="11:24">
      <c r="K2315"/>
      <c r="L2315"/>
      <c r="M2315"/>
      <c r="N2315"/>
      <c r="U2315"/>
      <c r="V2315"/>
      <c r="W2315"/>
      <c r="X2315"/>
    </row>
    <row r="2316" spans="11:24">
      <c r="K2316"/>
      <c r="L2316"/>
      <c r="M2316"/>
      <c r="N2316"/>
      <c r="U2316"/>
      <c r="V2316"/>
      <c r="W2316"/>
      <c r="X2316"/>
    </row>
    <row r="2317" spans="11:24">
      <c r="K2317"/>
      <c r="L2317"/>
      <c r="M2317"/>
      <c r="N2317"/>
      <c r="U2317"/>
      <c r="V2317"/>
      <c r="W2317"/>
      <c r="X2317"/>
    </row>
    <row r="2318" spans="11:24">
      <c r="K2318"/>
      <c r="L2318"/>
      <c r="M2318"/>
      <c r="N2318"/>
      <c r="U2318"/>
      <c r="V2318"/>
      <c r="W2318"/>
      <c r="X2318"/>
    </row>
    <row r="2319" spans="11:24">
      <c r="K2319"/>
      <c r="L2319"/>
      <c r="M2319"/>
      <c r="N2319"/>
      <c r="U2319"/>
      <c r="V2319"/>
      <c r="W2319"/>
      <c r="X2319"/>
    </row>
    <row r="2320" spans="11:24">
      <c r="K2320"/>
      <c r="L2320"/>
      <c r="M2320"/>
      <c r="N2320"/>
      <c r="U2320"/>
      <c r="V2320"/>
      <c r="W2320"/>
      <c r="X2320"/>
    </row>
    <row r="2321" spans="11:24">
      <c r="K2321"/>
      <c r="L2321"/>
      <c r="M2321"/>
      <c r="N2321"/>
      <c r="U2321"/>
      <c r="V2321"/>
      <c r="W2321"/>
      <c r="X2321"/>
    </row>
    <row r="2322" spans="11:24">
      <c r="K2322"/>
      <c r="L2322"/>
      <c r="M2322"/>
      <c r="N2322"/>
      <c r="U2322"/>
      <c r="V2322"/>
      <c r="W2322"/>
      <c r="X2322"/>
    </row>
    <row r="2323" spans="11:24">
      <c r="K2323"/>
      <c r="L2323"/>
      <c r="M2323"/>
      <c r="N2323"/>
      <c r="U2323"/>
      <c r="V2323"/>
      <c r="W2323"/>
      <c r="X2323"/>
    </row>
    <row r="2324" spans="11:24">
      <c r="K2324"/>
      <c r="L2324"/>
      <c r="M2324"/>
      <c r="N2324"/>
      <c r="U2324"/>
      <c r="V2324"/>
      <c r="W2324"/>
      <c r="X2324"/>
    </row>
    <row r="2325" spans="11:24">
      <c r="K2325"/>
      <c r="L2325"/>
      <c r="M2325"/>
      <c r="N2325"/>
      <c r="U2325"/>
      <c r="V2325"/>
      <c r="W2325"/>
      <c r="X2325"/>
    </row>
    <row r="2326" spans="11:24">
      <c r="K2326"/>
      <c r="L2326"/>
      <c r="M2326"/>
      <c r="N2326"/>
      <c r="U2326"/>
      <c r="V2326"/>
      <c r="W2326"/>
      <c r="X2326"/>
    </row>
    <row r="2327" spans="11:24">
      <c r="K2327"/>
      <c r="L2327"/>
      <c r="M2327"/>
      <c r="N2327"/>
      <c r="U2327"/>
      <c r="V2327"/>
      <c r="W2327"/>
      <c r="X2327"/>
    </row>
    <row r="2328" spans="11:24">
      <c r="K2328"/>
      <c r="L2328"/>
      <c r="M2328"/>
      <c r="N2328"/>
      <c r="U2328"/>
      <c r="V2328"/>
      <c r="W2328"/>
      <c r="X2328"/>
    </row>
    <row r="2329" spans="11:24">
      <c r="K2329"/>
      <c r="L2329"/>
      <c r="M2329"/>
      <c r="N2329"/>
      <c r="U2329"/>
      <c r="V2329"/>
      <c r="W2329"/>
      <c r="X2329"/>
    </row>
    <row r="2330" spans="11:24">
      <c r="K2330"/>
      <c r="L2330"/>
      <c r="M2330"/>
      <c r="N2330"/>
      <c r="U2330"/>
      <c r="V2330"/>
      <c r="W2330"/>
      <c r="X2330"/>
    </row>
    <row r="2331" spans="11:24">
      <c r="K2331"/>
      <c r="L2331"/>
      <c r="M2331"/>
      <c r="N2331"/>
      <c r="U2331"/>
      <c r="V2331"/>
      <c r="W2331"/>
      <c r="X2331"/>
    </row>
    <row r="2332" spans="11:24">
      <c r="K2332"/>
      <c r="L2332"/>
      <c r="M2332"/>
      <c r="N2332"/>
      <c r="U2332"/>
      <c r="V2332"/>
      <c r="W2332"/>
      <c r="X2332"/>
    </row>
    <row r="2333" spans="11:24">
      <c r="K2333"/>
      <c r="L2333"/>
      <c r="M2333"/>
      <c r="N2333"/>
      <c r="U2333"/>
      <c r="V2333"/>
      <c r="W2333"/>
      <c r="X2333"/>
    </row>
    <row r="2334" spans="11:24">
      <c r="K2334"/>
      <c r="L2334"/>
      <c r="M2334"/>
      <c r="N2334"/>
      <c r="U2334"/>
      <c r="V2334"/>
      <c r="W2334"/>
      <c r="X2334"/>
    </row>
    <row r="2335" spans="11:24">
      <c r="K2335"/>
      <c r="L2335"/>
      <c r="M2335"/>
      <c r="N2335"/>
      <c r="U2335"/>
      <c r="V2335"/>
      <c r="W2335"/>
      <c r="X2335"/>
    </row>
    <row r="2336" spans="11:24">
      <c r="K2336"/>
      <c r="L2336"/>
      <c r="M2336"/>
      <c r="N2336"/>
      <c r="U2336"/>
      <c r="V2336"/>
      <c r="W2336"/>
      <c r="X2336"/>
    </row>
    <row r="2337" spans="11:24">
      <c r="K2337"/>
      <c r="L2337"/>
      <c r="M2337"/>
      <c r="N2337"/>
      <c r="U2337"/>
      <c r="V2337"/>
      <c r="W2337"/>
      <c r="X2337"/>
    </row>
    <row r="2338" spans="11:24">
      <c r="K2338"/>
      <c r="L2338"/>
      <c r="M2338"/>
      <c r="N2338"/>
      <c r="U2338"/>
      <c r="V2338"/>
      <c r="W2338"/>
      <c r="X2338"/>
    </row>
    <row r="2339" spans="11:24">
      <c r="K2339"/>
      <c r="L2339"/>
      <c r="M2339"/>
      <c r="N2339"/>
      <c r="U2339"/>
      <c r="V2339"/>
      <c r="W2339"/>
      <c r="X2339"/>
    </row>
    <row r="2340" spans="11:24">
      <c r="K2340"/>
      <c r="L2340"/>
      <c r="M2340"/>
      <c r="N2340"/>
      <c r="U2340"/>
      <c r="V2340"/>
      <c r="W2340"/>
      <c r="X2340"/>
    </row>
    <row r="2341" spans="11:24">
      <c r="K2341"/>
      <c r="L2341"/>
      <c r="M2341"/>
      <c r="N2341"/>
      <c r="U2341"/>
      <c r="V2341"/>
      <c r="W2341"/>
      <c r="X2341"/>
    </row>
    <row r="2342" spans="11:24">
      <c r="K2342"/>
      <c r="L2342"/>
      <c r="M2342"/>
      <c r="N2342"/>
      <c r="U2342"/>
      <c r="V2342"/>
      <c r="W2342"/>
      <c r="X2342"/>
    </row>
    <row r="2343" spans="11:24">
      <c r="K2343"/>
      <c r="L2343"/>
      <c r="M2343"/>
      <c r="N2343"/>
      <c r="U2343"/>
      <c r="V2343"/>
      <c r="W2343"/>
      <c r="X2343"/>
    </row>
    <row r="2344" spans="11:24">
      <c r="K2344"/>
      <c r="L2344"/>
      <c r="M2344"/>
      <c r="N2344"/>
      <c r="U2344"/>
      <c r="V2344"/>
      <c r="W2344"/>
      <c r="X2344"/>
    </row>
    <row r="2345" spans="11:24">
      <c r="K2345"/>
      <c r="L2345"/>
      <c r="M2345"/>
      <c r="N2345"/>
      <c r="U2345"/>
      <c r="V2345"/>
      <c r="W2345"/>
      <c r="X2345"/>
    </row>
    <row r="2346" spans="11:24">
      <c r="K2346"/>
      <c r="L2346"/>
      <c r="M2346"/>
      <c r="N2346"/>
      <c r="U2346"/>
      <c r="V2346"/>
      <c r="W2346"/>
      <c r="X2346"/>
    </row>
    <row r="2347" spans="11:24">
      <c r="K2347"/>
      <c r="L2347"/>
      <c r="M2347"/>
      <c r="N2347"/>
      <c r="U2347"/>
      <c r="V2347"/>
      <c r="W2347"/>
      <c r="X2347"/>
    </row>
    <row r="2348" spans="11:24">
      <c r="K2348"/>
      <c r="L2348"/>
      <c r="M2348"/>
      <c r="N2348"/>
      <c r="U2348"/>
      <c r="V2348"/>
      <c r="W2348"/>
      <c r="X2348"/>
    </row>
    <row r="2349" spans="11:24">
      <c r="K2349"/>
      <c r="L2349"/>
      <c r="M2349"/>
      <c r="N2349"/>
      <c r="U2349"/>
      <c r="V2349"/>
      <c r="W2349"/>
      <c r="X2349"/>
    </row>
    <row r="2350" spans="11:24">
      <c r="K2350"/>
      <c r="L2350"/>
      <c r="M2350"/>
      <c r="N2350"/>
      <c r="U2350"/>
      <c r="V2350"/>
      <c r="W2350"/>
      <c r="X2350"/>
    </row>
    <row r="2351" spans="11:24">
      <c r="K2351"/>
      <c r="L2351"/>
      <c r="M2351"/>
      <c r="N2351"/>
      <c r="U2351"/>
      <c r="V2351"/>
      <c r="W2351"/>
      <c r="X2351"/>
    </row>
    <row r="2352" spans="11:24">
      <c r="K2352"/>
      <c r="L2352"/>
      <c r="M2352"/>
      <c r="N2352"/>
      <c r="U2352"/>
      <c r="V2352"/>
      <c r="W2352"/>
      <c r="X2352"/>
    </row>
    <row r="2353" spans="11:24">
      <c r="K2353"/>
      <c r="L2353"/>
      <c r="M2353"/>
      <c r="N2353"/>
      <c r="U2353"/>
      <c r="V2353"/>
      <c r="W2353"/>
      <c r="X2353"/>
    </row>
    <row r="2354" spans="11:24">
      <c r="K2354"/>
      <c r="L2354"/>
      <c r="M2354"/>
      <c r="N2354"/>
      <c r="U2354"/>
      <c r="V2354"/>
      <c r="W2354"/>
      <c r="X2354"/>
    </row>
    <row r="2355" spans="11:24">
      <c r="K2355"/>
      <c r="L2355"/>
      <c r="M2355"/>
      <c r="N2355"/>
      <c r="U2355"/>
      <c r="V2355"/>
      <c r="W2355"/>
      <c r="X2355"/>
    </row>
    <row r="2356" spans="11:24">
      <c r="K2356"/>
      <c r="L2356"/>
      <c r="M2356"/>
      <c r="N2356"/>
      <c r="U2356"/>
      <c r="V2356"/>
      <c r="W2356"/>
      <c r="X2356"/>
    </row>
    <row r="2357" spans="11:24">
      <c r="K2357"/>
      <c r="L2357"/>
      <c r="M2357"/>
      <c r="N2357"/>
      <c r="U2357"/>
      <c r="V2357"/>
      <c r="W2357"/>
      <c r="X2357"/>
    </row>
    <row r="2358" spans="11:24">
      <c r="K2358"/>
      <c r="L2358"/>
      <c r="M2358"/>
      <c r="N2358"/>
      <c r="U2358"/>
      <c r="V2358"/>
      <c r="W2358"/>
      <c r="X2358"/>
    </row>
    <row r="2359" spans="11:24">
      <c r="K2359"/>
      <c r="L2359"/>
      <c r="M2359"/>
      <c r="N2359"/>
      <c r="U2359"/>
      <c r="V2359"/>
      <c r="W2359"/>
      <c r="X2359"/>
    </row>
    <row r="2360" spans="11:24">
      <c r="K2360"/>
      <c r="L2360"/>
      <c r="M2360"/>
      <c r="N2360"/>
      <c r="U2360"/>
      <c r="V2360"/>
      <c r="W2360"/>
      <c r="X2360"/>
    </row>
    <row r="2361" spans="11:24">
      <c r="K2361"/>
      <c r="L2361"/>
      <c r="M2361"/>
      <c r="N2361"/>
      <c r="U2361"/>
      <c r="V2361"/>
      <c r="W2361"/>
      <c r="X2361"/>
    </row>
    <row r="2362" spans="11:24">
      <c r="K2362"/>
      <c r="L2362"/>
      <c r="M2362"/>
      <c r="N2362"/>
      <c r="U2362"/>
      <c r="V2362"/>
      <c r="W2362"/>
      <c r="X2362"/>
    </row>
    <row r="2363" spans="11:24">
      <c r="K2363"/>
      <c r="L2363"/>
      <c r="M2363"/>
      <c r="N2363"/>
      <c r="U2363"/>
      <c r="V2363"/>
      <c r="W2363"/>
      <c r="X2363"/>
    </row>
    <row r="2364" spans="11:24">
      <c r="K2364"/>
      <c r="L2364"/>
      <c r="M2364"/>
      <c r="N2364"/>
      <c r="U2364"/>
      <c r="V2364"/>
      <c r="W2364"/>
      <c r="X2364"/>
    </row>
    <row r="2365" spans="11:24">
      <c r="K2365"/>
      <c r="L2365"/>
      <c r="M2365"/>
      <c r="N2365"/>
      <c r="U2365"/>
      <c r="V2365"/>
      <c r="W2365"/>
      <c r="X2365"/>
    </row>
    <row r="2366" spans="11:24">
      <c r="K2366"/>
      <c r="L2366"/>
      <c r="M2366"/>
      <c r="N2366"/>
      <c r="U2366"/>
      <c r="V2366"/>
      <c r="W2366"/>
      <c r="X2366"/>
    </row>
    <row r="2367" spans="11:24">
      <c r="K2367"/>
      <c r="L2367"/>
      <c r="M2367"/>
      <c r="N2367"/>
      <c r="U2367"/>
      <c r="V2367"/>
      <c r="W2367"/>
      <c r="X2367"/>
    </row>
    <row r="2368" spans="11:24">
      <c r="K2368"/>
      <c r="L2368"/>
      <c r="M2368"/>
      <c r="N2368"/>
      <c r="U2368"/>
      <c r="V2368"/>
      <c r="W2368"/>
      <c r="X2368"/>
    </row>
    <row r="2369" spans="11:24">
      <c r="K2369"/>
      <c r="L2369"/>
      <c r="M2369"/>
      <c r="N2369"/>
      <c r="U2369"/>
      <c r="V2369"/>
      <c r="W2369"/>
      <c r="X2369"/>
    </row>
    <row r="2370" spans="11:24">
      <c r="K2370"/>
      <c r="L2370"/>
      <c r="M2370"/>
      <c r="N2370"/>
      <c r="U2370"/>
      <c r="V2370"/>
      <c r="W2370"/>
      <c r="X2370"/>
    </row>
    <row r="2371" spans="11:24">
      <c r="K2371"/>
      <c r="L2371"/>
      <c r="M2371"/>
      <c r="N2371"/>
      <c r="U2371"/>
      <c r="V2371"/>
      <c r="W2371"/>
      <c r="X2371"/>
    </row>
    <row r="2372" spans="11:24">
      <c r="K2372"/>
      <c r="L2372"/>
      <c r="M2372"/>
      <c r="N2372"/>
      <c r="U2372"/>
      <c r="V2372"/>
      <c r="W2372"/>
      <c r="X2372"/>
    </row>
    <row r="2373" spans="11:24">
      <c r="K2373"/>
      <c r="L2373"/>
      <c r="M2373"/>
      <c r="N2373"/>
      <c r="U2373"/>
      <c r="V2373"/>
      <c r="W2373"/>
      <c r="X2373"/>
    </row>
    <row r="2374" spans="11:24">
      <c r="K2374"/>
      <c r="L2374"/>
      <c r="M2374"/>
      <c r="N2374"/>
      <c r="U2374"/>
      <c r="V2374"/>
      <c r="W2374"/>
      <c r="X2374"/>
    </row>
    <row r="2375" spans="11:24">
      <c r="K2375"/>
      <c r="L2375"/>
      <c r="M2375"/>
      <c r="N2375"/>
      <c r="U2375"/>
      <c r="V2375"/>
      <c r="W2375"/>
      <c r="X2375"/>
    </row>
    <row r="2376" spans="11:24">
      <c r="K2376"/>
      <c r="L2376"/>
      <c r="M2376"/>
      <c r="N2376"/>
      <c r="U2376"/>
      <c r="V2376"/>
      <c r="W2376"/>
      <c r="X2376"/>
    </row>
    <row r="2377" spans="11:24">
      <c r="K2377"/>
      <c r="L2377"/>
      <c r="M2377"/>
      <c r="N2377"/>
      <c r="U2377"/>
      <c r="V2377"/>
      <c r="W2377"/>
      <c r="X2377"/>
    </row>
    <row r="2378" spans="11:24">
      <c r="K2378"/>
      <c r="L2378"/>
      <c r="M2378"/>
      <c r="N2378"/>
      <c r="U2378"/>
      <c r="V2378"/>
      <c r="W2378"/>
      <c r="X2378"/>
    </row>
    <row r="2379" spans="11:24">
      <c r="K2379"/>
      <c r="L2379"/>
      <c r="M2379"/>
      <c r="N2379"/>
      <c r="U2379"/>
      <c r="V2379"/>
      <c r="W2379"/>
      <c r="X2379"/>
    </row>
    <row r="2380" spans="11:24">
      <c r="K2380"/>
      <c r="L2380"/>
      <c r="M2380"/>
      <c r="N2380"/>
      <c r="U2380"/>
      <c r="V2380"/>
      <c r="W2380"/>
      <c r="X2380"/>
    </row>
    <row r="2381" spans="11:24">
      <c r="K2381"/>
      <c r="L2381"/>
      <c r="M2381"/>
      <c r="N2381"/>
      <c r="U2381"/>
      <c r="V2381"/>
      <c r="W2381"/>
      <c r="X2381"/>
    </row>
    <row r="2382" spans="11:24">
      <c r="K2382"/>
      <c r="L2382"/>
      <c r="M2382"/>
      <c r="N2382"/>
      <c r="U2382"/>
      <c r="V2382"/>
      <c r="W2382"/>
      <c r="X2382"/>
    </row>
    <row r="2383" spans="11:24">
      <c r="K2383"/>
      <c r="L2383"/>
      <c r="M2383"/>
      <c r="N2383"/>
      <c r="U2383"/>
      <c r="V2383"/>
      <c r="W2383"/>
      <c r="X2383"/>
    </row>
    <row r="2384" spans="11:24">
      <c r="K2384"/>
      <c r="L2384"/>
      <c r="M2384"/>
      <c r="N2384"/>
      <c r="U2384"/>
      <c r="V2384"/>
      <c r="W2384"/>
      <c r="X2384"/>
    </row>
    <row r="2385" spans="11:24">
      <c r="K2385"/>
      <c r="L2385"/>
      <c r="M2385"/>
      <c r="N2385"/>
      <c r="U2385"/>
      <c r="V2385"/>
      <c r="W2385"/>
      <c r="X2385"/>
    </row>
    <row r="2386" spans="11:24">
      <c r="K2386"/>
      <c r="L2386"/>
      <c r="M2386"/>
      <c r="N2386"/>
      <c r="U2386"/>
      <c r="V2386"/>
      <c r="W2386"/>
      <c r="X2386"/>
    </row>
    <row r="2387" spans="11:24">
      <c r="K2387"/>
      <c r="L2387"/>
      <c r="M2387"/>
      <c r="N2387"/>
      <c r="U2387"/>
      <c r="V2387"/>
      <c r="W2387"/>
      <c r="X2387"/>
    </row>
    <row r="2388" spans="11:24">
      <c r="K2388"/>
      <c r="L2388"/>
      <c r="M2388"/>
      <c r="N2388"/>
      <c r="U2388"/>
      <c r="V2388"/>
      <c r="W2388"/>
      <c r="X2388"/>
    </row>
    <row r="2389" spans="11:24">
      <c r="K2389"/>
      <c r="L2389"/>
      <c r="M2389"/>
      <c r="N2389"/>
      <c r="U2389"/>
      <c r="V2389"/>
      <c r="W2389"/>
      <c r="X2389"/>
    </row>
    <row r="2390" spans="11:24">
      <c r="K2390"/>
      <c r="L2390"/>
      <c r="M2390"/>
      <c r="N2390"/>
      <c r="U2390"/>
      <c r="V2390"/>
      <c r="W2390"/>
      <c r="X2390"/>
    </row>
    <row r="2391" spans="11:24">
      <c r="K2391"/>
      <c r="L2391"/>
      <c r="M2391"/>
      <c r="N2391"/>
      <c r="U2391"/>
      <c r="V2391"/>
      <c r="W2391"/>
      <c r="X2391"/>
    </row>
    <row r="2392" spans="11:24">
      <c r="K2392"/>
      <c r="L2392"/>
      <c r="M2392"/>
      <c r="N2392"/>
      <c r="U2392"/>
      <c r="V2392"/>
      <c r="W2392"/>
      <c r="X2392"/>
    </row>
    <row r="2393" spans="11:24">
      <c r="K2393"/>
      <c r="L2393"/>
      <c r="M2393"/>
      <c r="N2393"/>
      <c r="U2393"/>
      <c r="V2393"/>
      <c r="W2393"/>
      <c r="X2393"/>
    </row>
    <row r="2394" spans="11:24">
      <c r="K2394"/>
      <c r="L2394"/>
      <c r="M2394"/>
      <c r="N2394"/>
      <c r="U2394"/>
      <c r="V2394"/>
      <c r="W2394"/>
      <c r="X2394"/>
    </row>
    <row r="2395" spans="11:24">
      <c r="K2395"/>
      <c r="L2395"/>
      <c r="M2395"/>
      <c r="N2395"/>
      <c r="U2395"/>
      <c r="V2395"/>
      <c r="W2395"/>
      <c r="X2395"/>
    </row>
    <row r="2396" spans="11:24">
      <c r="K2396"/>
      <c r="L2396"/>
      <c r="M2396"/>
      <c r="N2396"/>
      <c r="U2396"/>
      <c r="V2396"/>
      <c r="W2396"/>
      <c r="X2396"/>
    </row>
    <row r="2397" spans="11:24">
      <c r="K2397"/>
      <c r="L2397"/>
      <c r="M2397"/>
      <c r="N2397"/>
      <c r="U2397"/>
      <c r="V2397"/>
      <c r="W2397"/>
      <c r="X2397"/>
    </row>
    <row r="2398" spans="11:24">
      <c r="K2398"/>
      <c r="L2398"/>
      <c r="M2398"/>
      <c r="N2398"/>
      <c r="U2398"/>
      <c r="V2398"/>
      <c r="W2398"/>
      <c r="X2398"/>
    </row>
    <row r="2399" spans="11:24">
      <c r="K2399"/>
      <c r="L2399"/>
      <c r="M2399"/>
      <c r="N2399"/>
      <c r="U2399"/>
      <c r="V2399"/>
      <c r="W2399"/>
      <c r="X2399"/>
    </row>
    <row r="2400" spans="11:24">
      <c r="K2400"/>
      <c r="L2400"/>
      <c r="M2400"/>
      <c r="N2400"/>
      <c r="U2400"/>
      <c r="V2400"/>
      <c r="W2400"/>
      <c r="X2400"/>
    </row>
    <row r="2401" spans="11:24">
      <c r="K2401"/>
      <c r="L2401"/>
      <c r="M2401"/>
      <c r="N2401"/>
      <c r="U2401"/>
      <c r="V2401"/>
      <c r="W2401"/>
      <c r="X2401"/>
    </row>
    <row r="2402" spans="11:24">
      <c r="K2402"/>
      <c r="L2402"/>
      <c r="M2402"/>
      <c r="N2402"/>
      <c r="U2402"/>
      <c r="V2402"/>
      <c r="W2402"/>
      <c r="X2402"/>
    </row>
    <row r="2403" spans="11:24">
      <c r="K2403"/>
      <c r="L2403"/>
      <c r="M2403"/>
      <c r="N2403"/>
      <c r="U2403"/>
      <c r="V2403"/>
      <c r="W2403"/>
      <c r="X2403"/>
    </row>
    <row r="2404" spans="11:24">
      <c r="K2404"/>
      <c r="L2404"/>
      <c r="M2404"/>
      <c r="N2404"/>
      <c r="U2404"/>
      <c r="V2404"/>
      <c r="W2404"/>
      <c r="X2404"/>
    </row>
    <row r="2405" spans="11:24">
      <c r="K2405"/>
      <c r="L2405"/>
      <c r="M2405"/>
      <c r="N2405"/>
      <c r="U2405"/>
      <c r="V2405"/>
      <c r="W2405"/>
      <c r="X2405"/>
    </row>
    <row r="2406" spans="11:24">
      <c r="K2406"/>
      <c r="L2406"/>
      <c r="M2406"/>
      <c r="N2406"/>
      <c r="U2406"/>
      <c r="V2406"/>
      <c r="W2406"/>
      <c r="X2406"/>
    </row>
    <row r="2407" spans="11:24">
      <c r="K2407"/>
      <c r="L2407"/>
      <c r="M2407"/>
      <c r="N2407"/>
      <c r="U2407"/>
      <c r="V2407"/>
      <c r="W2407"/>
      <c r="X2407"/>
    </row>
    <row r="2408" spans="11:24">
      <c r="K2408"/>
      <c r="L2408"/>
      <c r="M2408"/>
      <c r="N2408"/>
      <c r="U2408"/>
      <c r="V2408"/>
      <c r="W2408"/>
      <c r="X2408"/>
    </row>
    <row r="2409" spans="11:24">
      <c r="K2409"/>
      <c r="L2409"/>
      <c r="M2409"/>
      <c r="N2409"/>
      <c r="U2409"/>
      <c r="V2409"/>
      <c r="W2409"/>
      <c r="X2409"/>
    </row>
    <row r="2410" spans="11:24">
      <c r="K2410"/>
      <c r="L2410"/>
      <c r="M2410"/>
      <c r="N2410"/>
      <c r="U2410"/>
      <c r="V2410"/>
      <c r="W2410"/>
      <c r="X2410"/>
    </row>
    <row r="2411" spans="11:24">
      <c r="K2411"/>
      <c r="L2411"/>
      <c r="M2411"/>
      <c r="N2411"/>
      <c r="U2411"/>
      <c r="V2411"/>
      <c r="W2411"/>
      <c r="X2411"/>
    </row>
    <row r="2412" spans="11:24">
      <c r="K2412"/>
      <c r="L2412"/>
      <c r="M2412"/>
      <c r="N2412"/>
      <c r="U2412"/>
      <c r="V2412"/>
      <c r="W2412"/>
      <c r="X2412"/>
    </row>
    <row r="2413" spans="11:24">
      <c r="K2413"/>
      <c r="L2413"/>
      <c r="M2413"/>
      <c r="N2413"/>
      <c r="U2413"/>
      <c r="V2413"/>
      <c r="W2413"/>
      <c r="X2413"/>
    </row>
    <row r="2414" spans="11:24">
      <c r="K2414"/>
      <c r="L2414"/>
      <c r="M2414"/>
      <c r="N2414"/>
      <c r="U2414"/>
      <c r="V2414"/>
      <c r="W2414"/>
      <c r="X2414"/>
    </row>
    <row r="2415" spans="11:24">
      <c r="K2415"/>
      <c r="L2415"/>
      <c r="M2415"/>
      <c r="N2415"/>
      <c r="U2415"/>
      <c r="V2415"/>
      <c r="W2415"/>
      <c r="X2415"/>
    </row>
    <row r="2416" spans="11:24">
      <c r="K2416"/>
      <c r="L2416"/>
      <c r="M2416"/>
      <c r="N2416"/>
      <c r="U2416"/>
      <c r="V2416"/>
      <c r="W2416"/>
      <c r="X2416"/>
    </row>
    <row r="2417" spans="11:24">
      <c r="K2417"/>
      <c r="L2417"/>
      <c r="M2417"/>
      <c r="N2417"/>
      <c r="U2417"/>
      <c r="V2417"/>
      <c r="W2417"/>
      <c r="X2417"/>
    </row>
    <row r="2418" spans="11:24">
      <c r="K2418"/>
      <c r="L2418"/>
      <c r="M2418"/>
      <c r="N2418"/>
      <c r="U2418"/>
      <c r="V2418"/>
      <c r="W2418"/>
      <c r="X2418"/>
    </row>
    <row r="2419" spans="11:24">
      <c r="K2419"/>
      <c r="L2419"/>
      <c r="M2419"/>
      <c r="N2419"/>
      <c r="U2419"/>
      <c r="V2419"/>
      <c r="W2419"/>
      <c r="X2419"/>
    </row>
    <row r="2420" spans="11:24">
      <c r="K2420"/>
      <c r="L2420"/>
      <c r="M2420"/>
      <c r="N2420"/>
      <c r="U2420"/>
      <c r="V2420"/>
      <c r="W2420"/>
      <c r="X2420"/>
    </row>
    <row r="2421" spans="11:24">
      <c r="K2421"/>
      <c r="L2421"/>
      <c r="M2421"/>
      <c r="N2421"/>
      <c r="U2421"/>
      <c r="V2421"/>
      <c r="W2421"/>
      <c r="X2421"/>
    </row>
    <row r="2422" spans="11:24">
      <c r="K2422"/>
      <c r="L2422"/>
      <c r="M2422"/>
      <c r="N2422"/>
      <c r="U2422"/>
      <c r="V2422"/>
      <c r="W2422"/>
      <c r="X2422"/>
    </row>
    <row r="2423" spans="11:24">
      <c r="K2423"/>
      <c r="L2423"/>
      <c r="M2423"/>
      <c r="N2423"/>
      <c r="U2423"/>
      <c r="V2423"/>
      <c r="W2423"/>
      <c r="X2423"/>
    </row>
    <row r="2424" spans="11:24">
      <c r="K2424"/>
      <c r="L2424"/>
      <c r="M2424"/>
      <c r="N2424"/>
      <c r="U2424"/>
      <c r="V2424"/>
      <c r="W2424"/>
      <c r="X2424"/>
    </row>
    <row r="2425" spans="11:24">
      <c r="K2425"/>
      <c r="L2425"/>
      <c r="M2425"/>
      <c r="N2425"/>
      <c r="U2425"/>
      <c r="V2425"/>
      <c r="W2425"/>
      <c r="X2425"/>
    </row>
    <row r="2426" spans="11:24">
      <c r="K2426"/>
      <c r="L2426"/>
      <c r="M2426"/>
      <c r="N2426"/>
      <c r="U2426"/>
      <c r="V2426"/>
      <c r="W2426"/>
      <c r="X2426"/>
    </row>
    <row r="2427" spans="11:24">
      <c r="K2427"/>
      <c r="L2427"/>
      <c r="M2427"/>
      <c r="N2427"/>
      <c r="U2427"/>
      <c r="V2427"/>
      <c r="W2427"/>
      <c r="X2427"/>
    </row>
    <row r="2428" spans="11:24">
      <c r="K2428"/>
      <c r="L2428"/>
      <c r="M2428"/>
      <c r="N2428"/>
      <c r="U2428"/>
      <c r="V2428"/>
      <c r="W2428"/>
      <c r="X2428"/>
    </row>
    <row r="2429" spans="11:24">
      <c r="K2429"/>
      <c r="L2429"/>
      <c r="M2429"/>
      <c r="N2429"/>
      <c r="U2429"/>
      <c r="V2429"/>
      <c r="W2429"/>
      <c r="X2429"/>
    </row>
    <row r="2430" spans="11:24">
      <c r="K2430"/>
      <c r="L2430"/>
      <c r="M2430"/>
      <c r="N2430"/>
      <c r="U2430"/>
      <c r="V2430"/>
      <c r="W2430"/>
      <c r="X2430"/>
    </row>
    <row r="2431" spans="11:24">
      <c r="K2431"/>
      <c r="L2431"/>
      <c r="M2431"/>
      <c r="N2431"/>
      <c r="U2431"/>
      <c r="V2431"/>
      <c r="W2431"/>
      <c r="X2431"/>
    </row>
    <row r="2432" spans="11:24">
      <c r="K2432"/>
      <c r="L2432"/>
      <c r="M2432"/>
      <c r="N2432"/>
      <c r="U2432"/>
      <c r="V2432"/>
      <c r="W2432"/>
      <c r="X2432"/>
    </row>
    <row r="2433" spans="11:24">
      <c r="K2433"/>
      <c r="L2433"/>
      <c r="M2433"/>
      <c r="N2433"/>
      <c r="U2433"/>
      <c r="V2433"/>
      <c r="W2433"/>
      <c r="X2433"/>
    </row>
    <row r="2434" spans="11:24">
      <c r="K2434"/>
      <c r="L2434"/>
      <c r="M2434"/>
      <c r="N2434"/>
      <c r="U2434"/>
      <c r="V2434"/>
      <c r="W2434"/>
      <c r="X2434"/>
    </row>
    <row r="2435" spans="11:24">
      <c r="K2435"/>
      <c r="L2435"/>
      <c r="M2435"/>
      <c r="N2435"/>
      <c r="U2435"/>
      <c r="V2435"/>
      <c r="W2435"/>
      <c r="X2435"/>
    </row>
    <row r="2436" spans="11:24">
      <c r="K2436"/>
      <c r="L2436"/>
      <c r="M2436"/>
      <c r="N2436"/>
      <c r="U2436"/>
      <c r="V2436"/>
      <c r="W2436"/>
      <c r="X2436"/>
    </row>
    <row r="2437" spans="11:24">
      <c r="K2437"/>
      <c r="L2437"/>
      <c r="M2437"/>
      <c r="N2437"/>
      <c r="U2437"/>
      <c r="V2437"/>
      <c r="W2437"/>
      <c r="X2437"/>
    </row>
    <row r="2438" spans="11:24">
      <c r="K2438"/>
      <c r="L2438"/>
      <c r="M2438"/>
      <c r="N2438"/>
      <c r="U2438"/>
      <c r="V2438"/>
      <c r="W2438"/>
      <c r="X2438"/>
    </row>
    <row r="2439" spans="11:24">
      <c r="K2439"/>
      <c r="L2439"/>
      <c r="M2439"/>
      <c r="N2439"/>
      <c r="U2439"/>
      <c r="V2439"/>
      <c r="W2439"/>
      <c r="X2439"/>
    </row>
    <row r="2440" spans="11:24">
      <c r="K2440"/>
      <c r="L2440"/>
      <c r="M2440"/>
      <c r="N2440"/>
      <c r="U2440"/>
      <c r="V2440"/>
      <c r="W2440"/>
      <c r="X2440"/>
    </row>
    <row r="2441" spans="11:24">
      <c r="K2441"/>
      <c r="L2441"/>
      <c r="M2441"/>
      <c r="N2441"/>
      <c r="U2441"/>
      <c r="V2441"/>
      <c r="W2441"/>
      <c r="X2441"/>
    </row>
    <row r="2442" spans="11:24">
      <c r="K2442"/>
      <c r="L2442"/>
      <c r="M2442"/>
      <c r="N2442"/>
      <c r="U2442"/>
      <c r="V2442"/>
      <c r="W2442"/>
      <c r="X2442"/>
    </row>
    <row r="2443" spans="11:24">
      <c r="K2443"/>
      <c r="L2443"/>
      <c r="M2443"/>
      <c r="N2443"/>
      <c r="U2443"/>
      <c r="V2443"/>
      <c r="W2443"/>
      <c r="X2443"/>
    </row>
    <row r="2444" spans="11:24">
      <c r="K2444"/>
      <c r="L2444"/>
      <c r="M2444"/>
      <c r="N2444"/>
      <c r="U2444"/>
      <c r="V2444"/>
      <c r="W2444"/>
      <c r="X2444"/>
    </row>
    <row r="2445" spans="11:24">
      <c r="K2445"/>
      <c r="L2445"/>
      <c r="M2445"/>
      <c r="N2445"/>
      <c r="U2445"/>
      <c r="V2445"/>
      <c r="W2445"/>
      <c r="X2445"/>
    </row>
    <row r="2446" spans="11:24">
      <c r="K2446"/>
      <c r="L2446"/>
      <c r="M2446"/>
      <c r="N2446"/>
      <c r="U2446"/>
      <c r="V2446"/>
      <c r="W2446"/>
      <c r="X2446"/>
    </row>
    <row r="2447" spans="11:24">
      <c r="K2447"/>
      <c r="L2447"/>
      <c r="M2447"/>
      <c r="N2447"/>
      <c r="U2447"/>
      <c r="V2447"/>
      <c r="W2447"/>
      <c r="X2447"/>
    </row>
    <row r="2448" spans="11:24">
      <c r="K2448"/>
      <c r="L2448"/>
      <c r="M2448"/>
      <c r="N2448"/>
      <c r="U2448"/>
      <c r="V2448"/>
      <c r="W2448"/>
      <c r="X2448"/>
    </row>
    <row r="2449" spans="11:24">
      <c r="K2449"/>
      <c r="L2449"/>
      <c r="M2449"/>
      <c r="N2449"/>
      <c r="U2449"/>
      <c r="V2449"/>
      <c r="W2449"/>
      <c r="X2449"/>
    </row>
    <row r="2450" spans="11:24">
      <c r="K2450"/>
      <c r="L2450"/>
      <c r="M2450"/>
      <c r="N2450"/>
      <c r="U2450"/>
      <c r="V2450"/>
      <c r="W2450"/>
      <c r="X2450"/>
    </row>
    <row r="2451" spans="11:24">
      <c r="K2451"/>
      <c r="L2451"/>
      <c r="M2451"/>
      <c r="N2451"/>
      <c r="U2451"/>
      <c r="V2451"/>
      <c r="W2451"/>
      <c r="X2451"/>
    </row>
    <row r="2452" spans="11:24">
      <c r="K2452"/>
      <c r="L2452"/>
      <c r="M2452"/>
      <c r="N2452"/>
      <c r="U2452"/>
      <c r="V2452"/>
      <c r="W2452"/>
      <c r="X2452"/>
    </row>
    <row r="2453" spans="11:24">
      <c r="K2453"/>
      <c r="L2453"/>
      <c r="M2453"/>
      <c r="N2453"/>
      <c r="U2453"/>
      <c r="V2453"/>
      <c r="W2453"/>
      <c r="X2453"/>
    </row>
    <row r="2454" spans="11:24">
      <c r="K2454"/>
      <c r="L2454"/>
      <c r="M2454"/>
      <c r="N2454"/>
      <c r="U2454"/>
      <c r="V2454"/>
      <c r="W2454"/>
      <c r="X2454"/>
    </row>
    <row r="2455" spans="11:24">
      <c r="K2455"/>
      <c r="L2455"/>
      <c r="M2455"/>
      <c r="N2455"/>
      <c r="U2455"/>
      <c r="V2455"/>
      <c r="W2455"/>
      <c r="X2455"/>
    </row>
    <row r="2456" spans="11:24">
      <c r="K2456"/>
      <c r="L2456"/>
      <c r="M2456"/>
      <c r="N2456"/>
      <c r="U2456"/>
      <c r="V2456"/>
      <c r="W2456"/>
      <c r="X2456"/>
    </row>
    <row r="2457" spans="11:24">
      <c r="K2457"/>
      <c r="L2457"/>
      <c r="M2457"/>
      <c r="N2457"/>
      <c r="U2457"/>
      <c r="V2457"/>
      <c r="W2457"/>
      <c r="X2457"/>
    </row>
    <row r="2458" spans="11:24">
      <c r="K2458"/>
      <c r="L2458"/>
      <c r="M2458"/>
      <c r="N2458"/>
      <c r="U2458"/>
      <c r="V2458"/>
      <c r="W2458"/>
      <c r="X2458"/>
    </row>
    <row r="2459" spans="11:24">
      <c r="K2459"/>
      <c r="L2459"/>
      <c r="M2459"/>
      <c r="N2459"/>
      <c r="U2459"/>
      <c r="V2459"/>
      <c r="W2459"/>
      <c r="X2459"/>
    </row>
    <row r="2460" spans="11:24">
      <c r="K2460"/>
      <c r="L2460"/>
      <c r="M2460"/>
      <c r="N2460"/>
      <c r="U2460"/>
      <c r="V2460"/>
      <c r="W2460"/>
      <c r="X2460"/>
    </row>
    <row r="2461" spans="11:24">
      <c r="K2461"/>
      <c r="L2461"/>
      <c r="M2461"/>
      <c r="N2461"/>
      <c r="U2461"/>
      <c r="V2461"/>
      <c r="W2461"/>
      <c r="X2461"/>
    </row>
    <row r="2462" spans="11:24">
      <c r="K2462"/>
      <c r="L2462"/>
      <c r="M2462"/>
      <c r="N2462"/>
      <c r="U2462"/>
      <c r="V2462"/>
      <c r="W2462"/>
      <c r="X2462"/>
    </row>
    <row r="2463" spans="11:24">
      <c r="K2463"/>
      <c r="L2463"/>
      <c r="M2463"/>
      <c r="N2463"/>
      <c r="U2463"/>
      <c r="V2463"/>
      <c r="W2463"/>
      <c r="X2463"/>
    </row>
    <row r="2464" spans="11:24">
      <c r="K2464"/>
      <c r="L2464"/>
      <c r="M2464"/>
      <c r="N2464"/>
      <c r="U2464"/>
      <c r="V2464"/>
      <c r="W2464"/>
      <c r="X2464"/>
    </row>
    <row r="2465" spans="11:24">
      <c r="K2465"/>
      <c r="L2465"/>
      <c r="M2465"/>
      <c r="N2465"/>
      <c r="U2465"/>
      <c r="V2465"/>
      <c r="W2465"/>
      <c r="X2465"/>
    </row>
    <row r="2466" spans="11:24">
      <c r="K2466"/>
      <c r="L2466"/>
      <c r="M2466"/>
      <c r="N2466"/>
      <c r="U2466"/>
      <c r="V2466"/>
      <c r="W2466"/>
      <c r="X2466"/>
    </row>
    <row r="2467" spans="11:24">
      <c r="K2467"/>
      <c r="L2467"/>
      <c r="M2467"/>
      <c r="N2467"/>
      <c r="U2467"/>
      <c r="V2467"/>
      <c r="W2467"/>
      <c r="X2467"/>
    </row>
    <row r="2468" spans="11:24">
      <c r="K2468"/>
      <c r="L2468"/>
      <c r="M2468"/>
      <c r="N2468"/>
      <c r="U2468"/>
      <c r="V2468"/>
      <c r="W2468"/>
      <c r="X2468"/>
    </row>
    <row r="2469" spans="11:24">
      <c r="K2469"/>
      <c r="L2469"/>
      <c r="M2469"/>
      <c r="N2469"/>
      <c r="U2469"/>
      <c r="V2469"/>
      <c r="W2469"/>
      <c r="X2469"/>
    </row>
    <row r="2470" spans="11:24">
      <c r="K2470"/>
      <c r="L2470"/>
      <c r="M2470"/>
      <c r="N2470"/>
      <c r="U2470"/>
      <c r="V2470"/>
      <c r="W2470"/>
      <c r="X2470"/>
    </row>
    <row r="2471" spans="11:24">
      <c r="K2471"/>
      <c r="L2471"/>
      <c r="M2471"/>
      <c r="N2471"/>
      <c r="U2471"/>
      <c r="V2471"/>
      <c r="W2471"/>
      <c r="X2471"/>
    </row>
    <row r="2472" spans="11:24">
      <c r="K2472"/>
      <c r="L2472"/>
      <c r="M2472"/>
      <c r="N2472"/>
      <c r="U2472"/>
      <c r="V2472"/>
      <c r="W2472"/>
      <c r="X2472"/>
    </row>
    <row r="2473" spans="11:24">
      <c r="K2473"/>
      <c r="L2473"/>
      <c r="M2473"/>
      <c r="N2473"/>
      <c r="U2473"/>
      <c r="V2473"/>
      <c r="W2473"/>
      <c r="X2473"/>
    </row>
    <row r="2474" spans="11:24">
      <c r="K2474"/>
      <c r="L2474"/>
      <c r="M2474"/>
      <c r="N2474"/>
      <c r="U2474"/>
      <c r="V2474"/>
      <c r="W2474"/>
      <c r="X2474"/>
    </row>
    <row r="2475" spans="11:24">
      <c r="K2475"/>
      <c r="L2475"/>
      <c r="M2475"/>
      <c r="N2475"/>
      <c r="U2475"/>
      <c r="V2475"/>
      <c r="W2475"/>
      <c r="X2475"/>
    </row>
    <row r="2476" spans="11:24">
      <c r="K2476"/>
      <c r="L2476"/>
      <c r="M2476"/>
      <c r="N2476"/>
      <c r="U2476"/>
      <c r="V2476"/>
      <c r="W2476"/>
      <c r="X2476"/>
    </row>
    <row r="2477" spans="11:24">
      <c r="K2477"/>
      <c r="L2477"/>
      <c r="M2477"/>
      <c r="N2477"/>
      <c r="U2477"/>
      <c r="V2477"/>
      <c r="W2477"/>
      <c r="X2477"/>
    </row>
    <row r="2478" spans="11:24">
      <c r="K2478"/>
      <c r="L2478"/>
      <c r="M2478"/>
      <c r="N2478"/>
      <c r="U2478"/>
      <c r="V2478"/>
      <c r="W2478"/>
      <c r="X2478"/>
    </row>
    <row r="2479" spans="11:24">
      <c r="K2479"/>
      <c r="L2479"/>
      <c r="M2479"/>
      <c r="N2479"/>
      <c r="U2479"/>
      <c r="V2479"/>
      <c r="W2479"/>
      <c r="X2479"/>
    </row>
    <row r="2480" spans="11:24">
      <c r="K2480"/>
      <c r="L2480"/>
      <c r="M2480"/>
      <c r="N2480"/>
      <c r="U2480"/>
      <c r="V2480"/>
      <c r="W2480"/>
      <c r="X2480"/>
    </row>
    <row r="2481" spans="11:24">
      <c r="K2481"/>
      <c r="L2481"/>
      <c r="M2481"/>
      <c r="N2481"/>
      <c r="U2481"/>
      <c r="V2481"/>
      <c r="W2481"/>
      <c r="X2481"/>
    </row>
    <row r="2482" spans="11:24">
      <c r="K2482"/>
      <c r="L2482"/>
      <c r="M2482"/>
      <c r="N2482"/>
      <c r="U2482"/>
      <c r="V2482"/>
      <c r="W2482"/>
      <c r="X2482"/>
    </row>
    <row r="2483" spans="11:24">
      <c r="K2483"/>
      <c r="L2483"/>
      <c r="M2483"/>
      <c r="N2483"/>
      <c r="U2483"/>
      <c r="V2483"/>
      <c r="W2483"/>
      <c r="X2483"/>
    </row>
    <row r="2484" spans="11:24">
      <c r="K2484"/>
      <c r="L2484"/>
      <c r="M2484"/>
      <c r="N2484"/>
      <c r="U2484"/>
      <c r="V2484"/>
      <c r="W2484"/>
      <c r="X2484"/>
    </row>
    <row r="2485" spans="11:24">
      <c r="K2485"/>
      <c r="L2485"/>
      <c r="M2485"/>
      <c r="N2485"/>
      <c r="U2485"/>
      <c r="V2485"/>
      <c r="W2485"/>
      <c r="X2485"/>
    </row>
    <row r="2486" spans="11:24">
      <c r="K2486"/>
      <c r="L2486"/>
      <c r="M2486"/>
      <c r="N2486"/>
      <c r="U2486"/>
      <c r="V2486"/>
      <c r="W2486"/>
      <c r="X2486"/>
    </row>
    <row r="2487" spans="11:24">
      <c r="K2487"/>
      <c r="L2487"/>
      <c r="M2487"/>
      <c r="N2487"/>
      <c r="U2487"/>
      <c r="V2487"/>
      <c r="W2487"/>
      <c r="X2487"/>
    </row>
    <row r="2488" spans="11:24">
      <c r="K2488"/>
      <c r="L2488"/>
      <c r="M2488"/>
      <c r="N2488"/>
      <c r="U2488"/>
      <c r="V2488"/>
      <c r="W2488"/>
      <c r="X2488"/>
    </row>
    <row r="2489" spans="11:24">
      <c r="K2489"/>
      <c r="L2489"/>
      <c r="M2489"/>
      <c r="N2489"/>
      <c r="U2489"/>
      <c r="V2489"/>
      <c r="W2489"/>
      <c r="X2489"/>
    </row>
    <row r="2490" spans="11:24">
      <c r="K2490"/>
      <c r="L2490"/>
      <c r="M2490"/>
      <c r="N2490"/>
      <c r="U2490"/>
      <c r="V2490"/>
      <c r="W2490"/>
      <c r="X2490"/>
    </row>
    <row r="2491" spans="11:24">
      <c r="K2491"/>
      <c r="L2491"/>
      <c r="M2491"/>
      <c r="N2491"/>
      <c r="U2491"/>
      <c r="V2491"/>
      <c r="W2491"/>
      <c r="X2491"/>
    </row>
    <row r="2492" spans="11:24">
      <c r="K2492"/>
      <c r="L2492"/>
      <c r="M2492"/>
      <c r="N2492"/>
      <c r="U2492"/>
      <c r="V2492"/>
      <c r="W2492"/>
      <c r="X2492"/>
    </row>
    <row r="2493" spans="11:24">
      <c r="K2493"/>
      <c r="L2493"/>
      <c r="M2493"/>
      <c r="N2493"/>
      <c r="U2493"/>
      <c r="V2493"/>
      <c r="W2493"/>
      <c r="X2493"/>
    </row>
    <row r="2494" spans="11:24">
      <c r="K2494"/>
      <c r="L2494"/>
      <c r="M2494"/>
      <c r="N2494"/>
      <c r="U2494"/>
      <c r="V2494"/>
      <c r="W2494"/>
      <c r="X2494"/>
    </row>
    <row r="2495" spans="11:24">
      <c r="K2495"/>
      <c r="L2495"/>
      <c r="M2495"/>
      <c r="N2495"/>
      <c r="U2495"/>
      <c r="V2495"/>
      <c r="W2495"/>
      <c r="X2495"/>
    </row>
    <row r="2496" spans="11:24">
      <c r="K2496"/>
      <c r="L2496"/>
      <c r="M2496"/>
      <c r="N2496"/>
      <c r="U2496"/>
      <c r="V2496"/>
      <c r="W2496"/>
      <c r="X2496"/>
    </row>
    <row r="2497" spans="11:24">
      <c r="K2497"/>
      <c r="L2497"/>
      <c r="M2497"/>
      <c r="N2497"/>
      <c r="U2497"/>
      <c r="V2497"/>
      <c r="W2497"/>
      <c r="X2497"/>
    </row>
    <row r="2498" spans="11:24">
      <c r="K2498"/>
      <c r="L2498"/>
      <c r="M2498"/>
      <c r="N2498"/>
      <c r="U2498"/>
      <c r="V2498"/>
      <c r="W2498"/>
      <c r="X2498"/>
    </row>
    <row r="2499" spans="11:24">
      <c r="K2499"/>
      <c r="L2499"/>
      <c r="M2499"/>
      <c r="N2499"/>
      <c r="U2499"/>
      <c r="V2499"/>
      <c r="W2499"/>
      <c r="X2499"/>
    </row>
    <row r="2500" spans="11:24">
      <c r="K2500"/>
      <c r="L2500"/>
      <c r="M2500"/>
      <c r="N2500"/>
      <c r="U2500"/>
      <c r="V2500"/>
      <c r="W2500"/>
      <c r="X2500"/>
    </row>
    <row r="2501" spans="11:24">
      <c r="K2501"/>
      <c r="L2501"/>
      <c r="M2501"/>
      <c r="N2501"/>
      <c r="U2501"/>
      <c r="V2501"/>
      <c r="W2501"/>
      <c r="X2501"/>
    </row>
    <row r="2502" spans="11:24">
      <c r="K2502"/>
      <c r="L2502"/>
      <c r="M2502"/>
      <c r="N2502"/>
      <c r="U2502"/>
      <c r="V2502"/>
      <c r="W2502"/>
      <c r="X2502"/>
    </row>
    <row r="2503" spans="11:24">
      <c r="K2503"/>
      <c r="L2503"/>
      <c r="M2503"/>
      <c r="N2503"/>
      <c r="U2503"/>
      <c r="V2503"/>
      <c r="W2503"/>
      <c r="X2503"/>
    </row>
    <row r="2504" spans="11:24">
      <c r="K2504"/>
      <c r="L2504"/>
      <c r="M2504"/>
      <c r="N2504"/>
      <c r="U2504"/>
      <c r="V2504"/>
      <c r="W2504"/>
      <c r="X2504"/>
    </row>
    <row r="2505" spans="11:24">
      <c r="K2505"/>
      <c r="L2505"/>
      <c r="M2505"/>
      <c r="N2505"/>
      <c r="U2505"/>
      <c r="V2505"/>
      <c r="W2505"/>
      <c r="X2505"/>
    </row>
    <row r="2506" spans="11:24">
      <c r="K2506"/>
      <c r="L2506"/>
      <c r="M2506"/>
      <c r="N2506"/>
      <c r="U2506"/>
      <c r="V2506"/>
      <c r="W2506"/>
      <c r="X2506"/>
    </row>
    <row r="2507" spans="11:24">
      <c r="K2507"/>
      <c r="L2507"/>
      <c r="M2507"/>
      <c r="N2507"/>
      <c r="U2507"/>
      <c r="V2507"/>
      <c r="W2507"/>
      <c r="X2507"/>
    </row>
    <row r="2508" spans="11:24">
      <c r="K2508"/>
      <c r="L2508"/>
      <c r="M2508"/>
      <c r="N2508"/>
      <c r="U2508"/>
      <c r="V2508"/>
      <c r="W2508"/>
      <c r="X2508"/>
    </row>
    <row r="2509" spans="11:24">
      <c r="K2509"/>
      <c r="L2509"/>
      <c r="M2509"/>
      <c r="N2509"/>
      <c r="U2509"/>
      <c r="V2509"/>
      <c r="W2509"/>
      <c r="X2509"/>
    </row>
    <row r="2510" spans="11:24">
      <c r="K2510"/>
      <c r="L2510"/>
      <c r="M2510"/>
      <c r="N2510"/>
      <c r="U2510"/>
      <c r="V2510"/>
      <c r="W2510"/>
      <c r="X2510"/>
    </row>
    <row r="2511" spans="11:24">
      <c r="K2511"/>
      <c r="L2511"/>
      <c r="M2511"/>
      <c r="N2511"/>
      <c r="U2511"/>
      <c r="V2511"/>
      <c r="W2511"/>
      <c r="X2511"/>
    </row>
    <row r="2512" spans="11:24">
      <c r="K2512"/>
      <c r="L2512"/>
      <c r="M2512"/>
      <c r="N2512"/>
      <c r="U2512"/>
      <c r="V2512"/>
      <c r="W2512"/>
      <c r="X2512"/>
    </row>
    <row r="2513" spans="11:24">
      <c r="K2513"/>
      <c r="L2513"/>
      <c r="M2513"/>
      <c r="N2513"/>
      <c r="U2513"/>
      <c r="V2513"/>
      <c r="W2513"/>
      <c r="X2513"/>
    </row>
    <row r="2514" spans="11:24">
      <c r="K2514"/>
      <c r="L2514"/>
      <c r="M2514"/>
      <c r="N2514"/>
      <c r="U2514"/>
      <c r="V2514"/>
      <c r="W2514"/>
      <c r="X2514"/>
    </row>
    <row r="2515" spans="11:24">
      <c r="K2515"/>
      <c r="L2515"/>
      <c r="M2515"/>
      <c r="N2515"/>
      <c r="U2515"/>
      <c r="V2515"/>
      <c r="W2515"/>
      <c r="X2515"/>
    </row>
    <row r="2516" spans="11:24">
      <c r="K2516"/>
      <c r="L2516"/>
      <c r="M2516"/>
      <c r="N2516"/>
      <c r="U2516"/>
      <c r="V2516"/>
      <c r="W2516"/>
      <c r="X2516"/>
    </row>
    <row r="2517" spans="11:24">
      <c r="K2517"/>
      <c r="L2517"/>
      <c r="M2517"/>
      <c r="N2517"/>
      <c r="U2517"/>
      <c r="V2517"/>
      <c r="W2517"/>
      <c r="X2517"/>
    </row>
    <row r="2518" spans="11:24">
      <c r="K2518"/>
      <c r="L2518"/>
      <c r="M2518"/>
      <c r="N2518"/>
      <c r="U2518"/>
      <c r="V2518"/>
      <c r="W2518"/>
      <c r="X2518"/>
    </row>
    <row r="2519" spans="11:24">
      <c r="K2519"/>
      <c r="L2519"/>
      <c r="M2519"/>
      <c r="N2519"/>
      <c r="U2519"/>
      <c r="V2519"/>
      <c r="W2519"/>
      <c r="X2519"/>
    </row>
    <row r="2520" spans="11:24">
      <c r="K2520"/>
      <c r="L2520"/>
      <c r="M2520"/>
      <c r="N2520"/>
      <c r="U2520"/>
      <c r="V2520"/>
      <c r="W2520"/>
      <c r="X2520"/>
    </row>
    <row r="2521" spans="11:24">
      <c r="K2521"/>
      <c r="L2521"/>
      <c r="M2521"/>
      <c r="N2521"/>
      <c r="U2521"/>
      <c r="V2521"/>
      <c r="W2521"/>
      <c r="X2521"/>
    </row>
    <row r="2522" spans="11:24">
      <c r="K2522"/>
      <c r="L2522"/>
      <c r="M2522"/>
      <c r="N2522"/>
      <c r="U2522"/>
      <c r="V2522"/>
      <c r="W2522"/>
      <c r="X2522"/>
    </row>
    <row r="2523" spans="11:24">
      <c r="K2523"/>
      <c r="L2523"/>
      <c r="M2523"/>
      <c r="N2523"/>
      <c r="U2523"/>
      <c r="V2523"/>
      <c r="W2523"/>
      <c r="X2523"/>
    </row>
    <row r="2524" spans="11:24">
      <c r="K2524"/>
      <c r="L2524"/>
      <c r="M2524"/>
      <c r="N2524"/>
      <c r="U2524"/>
      <c r="V2524"/>
      <c r="W2524"/>
      <c r="X2524"/>
    </row>
    <row r="2525" spans="11:24">
      <c r="K2525"/>
      <c r="L2525"/>
      <c r="M2525"/>
      <c r="N2525"/>
      <c r="U2525"/>
      <c r="V2525"/>
      <c r="W2525"/>
      <c r="X2525"/>
    </row>
    <row r="2526" spans="11:24">
      <c r="K2526"/>
      <c r="L2526"/>
      <c r="M2526"/>
      <c r="N2526"/>
      <c r="U2526"/>
      <c r="V2526"/>
      <c r="W2526"/>
      <c r="X2526"/>
    </row>
    <row r="2527" spans="11:24">
      <c r="K2527"/>
      <c r="L2527"/>
      <c r="M2527"/>
      <c r="N2527"/>
      <c r="U2527"/>
      <c r="V2527"/>
      <c r="W2527"/>
      <c r="X2527"/>
    </row>
    <row r="2528" spans="11:24">
      <c r="K2528"/>
      <c r="L2528"/>
      <c r="M2528"/>
      <c r="N2528"/>
      <c r="U2528"/>
      <c r="V2528"/>
      <c r="W2528"/>
      <c r="X2528"/>
    </row>
    <row r="2529" spans="11:24">
      <c r="K2529"/>
      <c r="L2529"/>
      <c r="M2529"/>
      <c r="N2529"/>
      <c r="U2529"/>
      <c r="V2529"/>
      <c r="W2529"/>
      <c r="X2529"/>
    </row>
    <row r="2530" spans="11:24">
      <c r="K2530"/>
      <c r="L2530"/>
      <c r="M2530"/>
      <c r="N2530"/>
      <c r="U2530"/>
      <c r="V2530"/>
      <c r="W2530"/>
      <c r="X2530"/>
    </row>
    <row r="2531" spans="11:24">
      <c r="K2531"/>
      <c r="L2531"/>
      <c r="M2531"/>
      <c r="N2531"/>
      <c r="U2531"/>
      <c r="V2531"/>
      <c r="W2531"/>
      <c r="X2531"/>
    </row>
    <row r="2532" spans="11:24">
      <c r="K2532"/>
      <c r="L2532"/>
      <c r="M2532"/>
      <c r="N2532"/>
      <c r="U2532"/>
      <c r="V2532"/>
      <c r="W2532"/>
      <c r="X2532"/>
    </row>
    <row r="2533" spans="11:24">
      <c r="K2533"/>
      <c r="L2533"/>
      <c r="M2533"/>
      <c r="N2533"/>
      <c r="U2533"/>
      <c r="V2533"/>
      <c r="W2533"/>
      <c r="X2533"/>
    </row>
    <row r="2534" spans="11:24">
      <c r="K2534"/>
      <c r="L2534"/>
      <c r="M2534"/>
      <c r="N2534"/>
      <c r="U2534"/>
      <c r="V2534"/>
      <c r="W2534"/>
      <c r="X2534"/>
    </row>
    <row r="2535" spans="11:24">
      <c r="K2535"/>
      <c r="L2535"/>
      <c r="M2535"/>
      <c r="N2535"/>
      <c r="U2535"/>
      <c r="V2535"/>
      <c r="W2535"/>
      <c r="X2535"/>
    </row>
    <row r="2536" spans="11:24">
      <c r="K2536"/>
      <c r="L2536"/>
      <c r="M2536"/>
      <c r="N2536"/>
      <c r="U2536"/>
      <c r="V2536"/>
      <c r="W2536"/>
      <c r="X2536"/>
    </row>
    <row r="2537" spans="11:24">
      <c r="K2537"/>
      <c r="L2537"/>
      <c r="M2537"/>
      <c r="N2537"/>
      <c r="U2537"/>
      <c r="V2537"/>
      <c r="W2537"/>
      <c r="X2537"/>
    </row>
    <row r="2538" spans="11:24">
      <c r="K2538"/>
      <c r="L2538"/>
      <c r="M2538"/>
      <c r="N2538"/>
      <c r="U2538"/>
      <c r="V2538"/>
      <c r="W2538"/>
      <c r="X2538"/>
    </row>
    <row r="2539" spans="11:24">
      <c r="K2539"/>
      <c r="L2539"/>
      <c r="M2539"/>
      <c r="N2539"/>
      <c r="U2539"/>
      <c r="V2539"/>
      <c r="W2539"/>
      <c r="X2539"/>
    </row>
    <row r="2540" spans="11:24">
      <c r="K2540"/>
      <c r="L2540"/>
      <c r="M2540"/>
      <c r="N2540"/>
      <c r="U2540"/>
      <c r="V2540"/>
      <c r="W2540"/>
      <c r="X2540"/>
    </row>
    <row r="2541" spans="11:24">
      <c r="K2541"/>
      <c r="L2541"/>
      <c r="M2541"/>
      <c r="N2541"/>
      <c r="U2541"/>
      <c r="V2541"/>
      <c r="W2541"/>
      <c r="X2541"/>
    </row>
    <row r="2542" spans="11:24">
      <c r="K2542"/>
      <c r="L2542"/>
      <c r="M2542"/>
      <c r="N2542"/>
      <c r="U2542"/>
      <c r="V2542"/>
      <c r="W2542"/>
      <c r="X2542"/>
    </row>
    <row r="2543" spans="11:24">
      <c r="K2543"/>
      <c r="L2543"/>
      <c r="M2543"/>
      <c r="N2543"/>
      <c r="U2543"/>
      <c r="V2543"/>
      <c r="W2543"/>
      <c r="X2543"/>
    </row>
    <row r="2544" spans="11:24">
      <c r="K2544"/>
      <c r="L2544"/>
      <c r="M2544"/>
      <c r="N2544"/>
      <c r="U2544"/>
      <c r="V2544"/>
      <c r="W2544"/>
      <c r="X2544"/>
    </row>
    <row r="2545" spans="11:24">
      <c r="K2545"/>
      <c r="L2545"/>
      <c r="M2545"/>
      <c r="N2545"/>
      <c r="U2545"/>
      <c r="V2545"/>
      <c r="W2545"/>
      <c r="X2545"/>
    </row>
    <row r="2546" spans="11:24">
      <c r="K2546"/>
      <c r="L2546"/>
      <c r="M2546"/>
      <c r="N2546"/>
      <c r="U2546"/>
      <c r="V2546"/>
      <c r="W2546"/>
      <c r="X2546"/>
    </row>
    <row r="2547" spans="11:24">
      <c r="K2547"/>
      <c r="L2547"/>
      <c r="M2547"/>
      <c r="N2547"/>
      <c r="U2547"/>
      <c r="V2547"/>
      <c r="W2547"/>
      <c r="X2547"/>
    </row>
    <row r="2548" spans="11:24">
      <c r="K2548"/>
      <c r="L2548"/>
      <c r="M2548"/>
      <c r="N2548"/>
      <c r="U2548"/>
      <c r="V2548"/>
      <c r="W2548"/>
      <c r="X2548"/>
    </row>
    <row r="2549" spans="11:24">
      <c r="K2549"/>
      <c r="L2549"/>
      <c r="M2549"/>
      <c r="N2549"/>
      <c r="U2549"/>
      <c r="V2549"/>
      <c r="W2549"/>
      <c r="X2549"/>
    </row>
    <row r="2550" spans="11:24">
      <c r="K2550"/>
      <c r="L2550"/>
      <c r="M2550"/>
      <c r="N2550"/>
      <c r="U2550"/>
      <c r="V2550"/>
      <c r="W2550"/>
      <c r="X2550"/>
    </row>
    <row r="2551" spans="11:24">
      <c r="K2551"/>
      <c r="L2551"/>
      <c r="M2551"/>
      <c r="N2551"/>
      <c r="U2551"/>
      <c r="V2551"/>
      <c r="W2551"/>
      <c r="X2551"/>
    </row>
    <row r="2552" spans="11:24">
      <c r="K2552"/>
      <c r="L2552"/>
      <c r="M2552"/>
      <c r="N2552"/>
      <c r="U2552"/>
      <c r="V2552"/>
      <c r="W2552"/>
      <c r="X2552"/>
    </row>
    <row r="2553" spans="11:24">
      <c r="K2553"/>
      <c r="L2553"/>
      <c r="M2553"/>
      <c r="N2553"/>
      <c r="U2553"/>
      <c r="V2553"/>
      <c r="W2553"/>
      <c r="X2553"/>
    </row>
    <row r="2554" spans="11:24">
      <c r="K2554"/>
      <c r="L2554"/>
      <c r="M2554"/>
      <c r="N2554"/>
      <c r="U2554"/>
      <c r="V2554"/>
      <c r="W2554"/>
      <c r="X2554"/>
    </row>
    <row r="2555" spans="11:24">
      <c r="K2555"/>
      <c r="L2555"/>
      <c r="M2555"/>
      <c r="N2555"/>
      <c r="U2555"/>
      <c r="V2555"/>
      <c r="W2555"/>
      <c r="X2555"/>
    </row>
    <row r="2556" spans="11:24">
      <c r="K2556"/>
      <c r="L2556"/>
      <c r="M2556"/>
      <c r="N2556"/>
      <c r="U2556"/>
      <c r="V2556"/>
      <c r="W2556"/>
      <c r="X2556"/>
    </row>
    <row r="2557" spans="11:24">
      <c r="K2557"/>
      <c r="L2557"/>
      <c r="M2557"/>
      <c r="N2557"/>
      <c r="U2557"/>
      <c r="V2557"/>
      <c r="W2557"/>
      <c r="X2557"/>
    </row>
    <row r="2558" spans="11:24">
      <c r="K2558"/>
      <c r="L2558"/>
      <c r="M2558"/>
      <c r="N2558"/>
      <c r="U2558"/>
      <c r="V2558"/>
      <c r="W2558"/>
      <c r="X2558"/>
    </row>
    <row r="2559" spans="11:24">
      <c r="K2559"/>
      <c r="L2559"/>
      <c r="M2559"/>
      <c r="N2559"/>
      <c r="U2559"/>
      <c r="V2559"/>
      <c r="W2559"/>
      <c r="X2559"/>
    </row>
    <row r="2560" spans="11:24">
      <c r="K2560"/>
      <c r="L2560"/>
      <c r="M2560"/>
      <c r="N2560"/>
      <c r="U2560"/>
      <c r="V2560"/>
      <c r="W2560"/>
      <c r="X2560"/>
    </row>
    <row r="2561" spans="11:24">
      <c r="K2561"/>
      <c r="L2561"/>
      <c r="M2561"/>
      <c r="N2561"/>
      <c r="U2561"/>
      <c r="V2561"/>
      <c r="W2561"/>
      <c r="X2561"/>
    </row>
    <row r="2562" spans="11:24">
      <c r="K2562"/>
      <c r="L2562"/>
      <c r="M2562"/>
      <c r="N2562"/>
      <c r="U2562"/>
      <c r="V2562"/>
      <c r="W2562"/>
      <c r="X2562"/>
    </row>
    <row r="2563" spans="11:24">
      <c r="K2563"/>
      <c r="L2563"/>
      <c r="M2563"/>
      <c r="N2563"/>
      <c r="U2563"/>
      <c r="V2563"/>
      <c r="W2563"/>
      <c r="X2563"/>
    </row>
    <row r="2564" spans="11:24">
      <c r="K2564"/>
      <c r="L2564"/>
      <c r="M2564"/>
      <c r="N2564"/>
      <c r="U2564"/>
      <c r="V2564"/>
      <c r="W2564"/>
      <c r="X2564"/>
    </row>
    <row r="2565" spans="11:24">
      <c r="K2565"/>
      <c r="L2565"/>
      <c r="M2565"/>
      <c r="N2565"/>
      <c r="U2565"/>
      <c r="V2565"/>
      <c r="W2565"/>
      <c r="X2565"/>
    </row>
    <row r="2566" spans="11:24">
      <c r="K2566"/>
      <c r="L2566"/>
      <c r="M2566"/>
      <c r="N2566"/>
      <c r="U2566"/>
      <c r="V2566"/>
      <c r="W2566"/>
      <c r="X2566"/>
    </row>
    <row r="2567" spans="11:24">
      <c r="K2567"/>
      <c r="L2567"/>
      <c r="M2567"/>
      <c r="N2567"/>
      <c r="U2567"/>
      <c r="V2567"/>
      <c r="W2567"/>
      <c r="X2567"/>
    </row>
    <row r="2568" spans="11:24">
      <c r="K2568"/>
      <c r="L2568"/>
      <c r="M2568"/>
      <c r="N2568"/>
      <c r="U2568"/>
      <c r="V2568"/>
      <c r="W2568"/>
      <c r="X2568"/>
    </row>
    <row r="2569" spans="11:24">
      <c r="K2569"/>
      <c r="L2569"/>
      <c r="M2569"/>
      <c r="N2569"/>
      <c r="U2569"/>
      <c r="V2569"/>
      <c r="W2569"/>
      <c r="X2569"/>
    </row>
    <row r="2570" spans="11:24">
      <c r="K2570"/>
      <c r="L2570"/>
      <c r="M2570"/>
      <c r="N2570"/>
      <c r="U2570"/>
      <c r="V2570"/>
      <c r="W2570"/>
      <c r="X2570"/>
    </row>
    <row r="2571" spans="11:24">
      <c r="K2571"/>
      <c r="L2571"/>
      <c r="M2571"/>
      <c r="N2571"/>
      <c r="U2571"/>
      <c r="V2571"/>
      <c r="W2571"/>
      <c r="X2571"/>
    </row>
    <row r="2572" spans="11:24">
      <c r="K2572"/>
      <c r="L2572"/>
      <c r="M2572"/>
      <c r="N2572"/>
      <c r="U2572"/>
      <c r="V2572"/>
      <c r="W2572"/>
      <c r="X2572"/>
    </row>
    <row r="2573" spans="11:24">
      <c r="K2573"/>
      <c r="L2573"/>
      <c r="M2573"/>
      <c r="N2573"/>
      <c r="U2573"/>
      <c r="V2573"/>
      <c r="W2573"/>
      <c r="X2573"/>
    </row>
    <row r="2574" spans="11:24">
      <c r="K2574"/>
      <c r="L2574"/>
      <c r="M2574"/>
      <c r="N2574"/>
      <c r="U2574"/>
      <c r="V2574"/>
      <c r="W2574"/>
      <c r="X2574"/>
    </row>
    <row r="2575" spans="11:24">
      <c r="K2575"/>
      <c r="L2575"/>
      <c r="M2575"/>
      <c r="N2575"/>
      <c r="U2575"/>
      <c r="V2575"/>
      <c r="W2575"/>
      <c r="X2575"/>
    </row>
    <row r="2576" spans="11:24">
      <c r="K2576"/>
      <c r="L2576"/>
      <c r="M2576"/>
      <c r="N2576"/>
      <c r="U2576"/>
      <c r="V2576"/>
      <c r="W2576"/>
      <c r="X2576"/>
    </row>
    <row r="2577" spans="11:24">
      <c r="K2577"/>
      <c r="L2577"/>
      <c r="M2577"/>
      <c r="N2577"/>
      <c r="U2577"/>
      <c r="V2577"/>
      <c r="W2577"/>
      <c r="X2577"/>
    </row>
    <row r="2578" spans="11:24">
      <c r="K2578"/>
      <c r="L2578"/>
      <c r="M2578"/>
      <c r="N2578"/>
      <c r="U2578"/>
      <c r="V2578"/>
      <c r="W2578"/>
      <c r="X2578"/>
    </row>
    <row r="2579" spans="11:24">
      <c r="K2579"/>
      <c r="L2579"/>
      <c r="M2579"/>
      <c r="N2579"/>
      <c r="U2579"/>
      <c r="V2579"/>
      <c r="W2579"/>
      <c r="X2579"/>
    </row>
    <row r="2580" spans="11:24">
      <c r="K2580"/>
      <c r="L2580"/>
      <c r="M2580"/>
      <c r="N2580"/>
      <c r="U2580"/>
      <c r="V2580"/>
      <c r="W2580"/>
      <c r="X2580"/>
    </row>
    <row r="2581" spans="11:24">
      <c r="K2581"/>
      <c r="L2581"/>
      <c r="M2581"/>
      <c r="N2581"/>
      <c r="U2581"/>
      <c r="V2581"/>
      <c r="W2581"/>
      <c r="X2581"/>
    </row>
    <row r="2582" spans="11:24">
      <c r="K2582"/>
      <c r="L2582"/>
      <c r="M2582"/>
      <c r="N2582"/>
      <c r="U2582"/>
      <c r="V2582"/>
      <c r="W2582"/>
      <c r="X2582"/>
    </row>
    <row r="2583" spans="11:24">
      <c r="K2583"/>
      <c r="L2583"/>
      <c r="M2583"/>
      <c r="N2583"/>
      <c r="U2583"/>
      <c r="V2583"/>
      <c r="W2583"/>
      <c r="X2583"/>
    </row>
    <row r="2584" spans="11:24">
      <c r="K2584"/>
      <c r="L2584"/>
      <c r="M2584"/>
      <c r="N2584"/>
      <c r="U2584"/>
      <c r="V2584"/>
      <c r="W2584"/>
      <c r="X2584"/>
    </row>
    <row r="2585" spans="11:24">
      <c r="K2585"/>
      <c r="L2585"/>
      <c r="M2585"/>
      <c r="N2585"/>
      <c r="U2585"/>
      <c r="V2585"/>
      <c r="W2585"/>
      <c r="X2585"/>
    </row>
    <row r="2586" spans="11:24">
      <c r="K2586"/>
      <c r="L2586"/>
      <c r="M2586"/>
      <c r="N2586"/>
      <c r="U2586"/>
      <c r="V2586"/>
      <c r="W2586"/>
      <c r="X2586"/>
    </row>
    <row r="2587" spans="11:24">
      <c r="K2587"/>
      <c r="L2587"/>
      <c r="M2587"/>
      <c r="N2587"/>
      <c r="U2587"/>
      <c r="V2587"/>
      <c r="W2587"/>
      <c r="X2587"/>
    </row>
    <row r="2588" spans="11:24">
      <c r="K2588"/>
      <c r="L2588"/>
      <c r="M2588"/>
      <c r="N2588"/>
      <c r="U2588"/>
      <c r="V2588"/>
      <c r="W2588"/>
      <c r="X2588"/>
    </row>
    <row r="2589" spans="11:24">
      <c r="K2589"/>
      <c r="L2589"/>
      <c r="M2589"/>
      <c r="N2589"/>
      <c r="U2589"/>
      <c r="V2589"/>
      <c r="W2589"/>
      <c r="X2589"/>
    </row>
    <row r="2590" spans="11:24">
      <c r="K2590"/>
      <c r="L2590"/>
      <c r="M2590"/>
      <c r="N2590"/>
      <c r="U2590"/>
      <c r="V2590"/>
      <c r="W2590"/>
      <c r="X2590"/>
    </row>
    <row r="2591" spans="11:24">
      <c r="K2591"/>
      <c r="L2591"/>
      <c r="M2591"/>
      <c r="N2591"/>
      <c r="U2591"/>
      <c r="V2591"/>
      <c r="W2591"/>
      <c r="X2591"/>
    </row>
    <row r="2592" spans="11:24">
      <c r="K2592"/>
      <c r="L2592"/>
      <c r="M2592"/>
      <c r="N2592"/>
      <c r="U2592"/>
      <c r="V2592"/>
      <c r="W2592"/>
      <c r="X2592"/>
    </row>
    <row r="2593" spans="11:24">
      <c r="K2593"/>
      <c r="L2593"/>
      <c r="M2593"/>
      <c r="N2593"/>
      <c r="U2593"/>
      <c r="V2593"/>
      <c r="W2593"/>
      <c r="X2593"/>
    </row>
    <row r="2594" spans="11:24">
      <c r="K2594"/>
      <c r="L2594"/>
      <c r="M2594"/>
      <c r="N2594"/>
      <c r="U2594"/>
      <c r="V2594"/>
      <c r="W2594"/>
      <c r="X2594"/>
    </row>
    <row r="2595" spans="11:24">
      <c r="K2595"/>
      <c r="L2595"/>
      <c r="M2595"/>
      <c r="N2595"/>
      <c r="U2595"/>
      <c r="V2595"/>
      <c r="W2595"/>
      <c r="X2595"/>
    </row>
    <row r="2596" spans="11:24">
      <c r="K2596"/>
      <c r="L2596"/>
      <c r="M2596"/>
      <c r="N2596"/>
      <c r="U2596"/>
      <c r="V2596"/>
      <c r="W2596"/>
      <c r="X2596"/>
    </row>
    <row r="2597" spans="11:24">
      <c r="K2597"/>
      <c r="L2597"/>
      <c r="M2597"/>
      <c r="N2597"/>
      <c r="U2597"/>
      <c r="V2597"/>
      <c r="W2597"/>
      <c r="X2597"/>
    </row>
    <row r="2598" spans="11:24">
      <c r="K2598"/>
      <c r="L2598"/>
      <c r="M2598"/>
      <c r="N2598"/>
      <c r="U2598"/>
      <c r="V2598"/>
      <c r="W2598"/>
      <c r="X2598"/>
    </row>
    <row r="2599" spans="11:24">
      <c r="K2599"/>
      <c r="L2599"/>
      <c r="M2599"/>
      <c r="N2599"/>
      <c r="U2599"/>
      <c r="V2599"/>
      <c r="W2599"/>
      <c r="X2599"/>
    </row>
    <row r="2600" spans="11:24">
      <c r="K2600"/>
      <c r="L2600"/>
      <c r="M2600"/>
      <c r="N2600"/>
      <c r="U2600"/>
      <c r="V2600"/>
      <c r="W2600"/>
      <c r="X2600"/>
    </row>
    <row r="2601" spans="11:24">
      <c r="K2601"/>
      <c r="L2601"/>
      <c r="M2601"/>
      <c r="N2601"/>
      <c r="U2601"/>
      <c r="V2601"/>
      <c r="W2601"/>
      <c r="X2601"/>
    </row>
    <row r="2602" spans="11:24">
      <c r="K2602"/>
      <c r="L2602"/>
      <c r="M2602"/>
      <c r="N2602"/>
      <c r="U2602"/>
      <c r="V2602"/>
      <c r="W2602"/>
      <c r="X2602"/>
    </row>
    <row r="2603" spans="11:24">
      <c r="K2603"/>
      <c r="L2603"/>
      <c r="M2603"/>
      <c r="N2603"/>
      <c r="U2603"/>
      <c r="V2603"/>
      <c r="W2603"/>
      <c r="X2603"/>
    </row>
    <row r="2604" spans="11:24">
      <c r="K2604"/>
      <c r="L2604"/>
      <c r="M2604"/>
      <c r="N2604"/>
      <c r="U2604"/>
      <c r="V2604"/>
      <c r="W2604"/>
      <c r="X2604"/>
    </row>
    <row r="2605" spans="11:24">
      <c r="K2605"/>
      <c r="L2605"/>
      <c r="M2605"/>
      <c r="N2605"/>
      <c r="U2605"/>
      <c r="V2605"/>
      <c r="W2605"/>
      <c r="X2605"/>
    </row>
    <row r="2606" spans="11:24">
      <c r="K2606"/>
      <c r="L2606"/>
      <c r="M2606"/>
      <c r="N2606"/>
      <c r="U2606"/>
      <c r="V2606"/>
      <c r="W2606"/>
      <c r="X2606"/>
    </row>
    <row r="2607" spans="11:24">
      <c r="K2607"/>
      <c r="L2607"/>
      <c r="M2607"/>
      <c r="N2607"/>
      <c r="U2607"/>
      <c r="V2607"/>
      <c r="W2607"/>
      <c r="X2607"/>
    </row>
    <row r="2608" spans="11:24">
      <c r="K2608"/>
      <c r="L2608"/>
      <c r="M2608"/>
      <c r="N2608"/>
      <c r="U2608"/>
      <c r="V2608"/>
      <c r="W2608"/>
      <c r="X2608"/>
    </row>
    <row r="2609" spans="11:24">
      <c r="K2609"/>
      <c r="L2609"/>
      <c r="M2609"/>
      <c r="N2609"/>
      <c r="U2609"/>
      <c r="V2609"/>
      <c r="W2609"/>
      <c r="X2609"/>
    </row>
    <row r="2610" spans="11:24">
      <c r="K2610"/>
      <c r="L2610"/>
      <c r="M2610"/>
      <c r="N2610"/>
      <c r="U2610"/>
      <c r="V2610"/>
      <c r="W2610"/>
      <c r="X2610"/>
    </row>
    <row r="2611" spans="11:24">
      <c r="K2611"/>
      <c r="L2611"/>
      <c r="M2611"/>
      <c r="N2611"/>
      <c r="U2611"/>
      <c r="V2611"/>
      <c r="W2611"/>
      <c r="X2611"/>
    </row>
    <row r="2612" spans="11:24">
      <c r="K2612"/>
      <c r="L2612"/>
      <c r="M2612"/>
      <c r="N2612"/>
      <c r="U2612"/>
      <c r="V2612"/>
      <c r="W2612"/>
      <c r="X2612"/>
    </row>
    <row r="2613" spans="11:24">
      <c r="K2613"/>
      <c r="L2613"/>
      <c r="M2613"/>
      <c r="N2613"/>
      <c r="U2613"/>
      <c r="V2613"/>
      <c r="W2613"/>
      <c r="X2613"/>
    </row>
    <row r="2614" spans="11:24">
      <c r="K2614"/>
      <c r="L2614"/>
      <c r="M2614"/>
      <c r="N2614"/>
      <c r="U2614"/>
      <c r="V2614"/>
      <c r="W2614"/>
      <c r="X2614"/>
    </row>
    <row r="2615" spans="11:24">
      <c r="K2615"/>
      <c r="L2615"/>
      <c r="M2615"/>
      <c r="N2615"/>
      <c r="U2615"/>
      <c r="V2615"/>
      <c r="W2615"/>
      <c r="X2615"/>
    </row>
    <row r="2616" spans="11:24">
      <c r="K2616"/>
      <c r="L2616"/>
      <c r="M2616"/>
      <c r="N2616"/>
      <c r="U2616"/>
      <c r="V2616"/>
      <c r="W2616"/>
      <c r="X2616"/>
    </row>
    <row r="2617" spans="11:24">
      <c r="K2617"/>
      <c r="L2617"/>
      <c r="M2617"/>
      <c r="N2617"/>
      <c r="U2617"/>
      <c r="V2617"/>
      <c r="W2617"/>
      <c r="X2617"/>
    </row>
    <row r="2618" spans="11:24">
      <c r="K2618"/>
      <c r="L2618"/>
      <c r="M2618"/>
      <c r="N2618"/>
      <c r="U2618"/>
      <c r="V2618"/>
      <c r="W2618"/>
      <c r="X2618"/>
    </row>
    <row r="2619" spans="11:24">
      <c r="K2619"/>
      <c r="L2619"/>
      <c r="M2619"/>
      <c r="N2619"/>
      <c r="U2619"/>
      <c r="V2619"/>
      <c r="W2619"/>
      <c r="X2619"/>
    </row>
    <row r="2620" spans="11:24">
      <c r="K2620"/>
      <c r="L2620"/>
      <c r="M2620"/>
      <c r="N2620"/>
      <c r="U2620"/>
      <c r="V2620"/>
      <c r="W2620"/>
      <c r="X2620"/>
    </row>
    <row r="2621" spans="11:24">
      <c r="K2621"/>
      <c r="L2621"/>
      <c r="M2621"/>
      <c r="N2621"/>
      <c r="U2621"/>
      <c r="V2621"/>
      <c r="W2621"/>
      <c r="X2621"/>
    </row>
    <row r="2622" spans="11:24">
      <c r="K2622"/>
      <c r="L2622"/>
      <c r="M2622"/>
      <c r="N2622"/>
      <c r="U2622"/>
      <c r="V2622"/>
      <c r="W2622"/>
      <c r="X2622"/>
    </row>
    <row r="2623" spans="11:24">
      <c r="K2623"/>
      <c r="L2623"/>
      <c r="M2623"/>
      <c r="N2623"/>
      <c r="U2623"/>
      <c r="V2623"/>
      <c r="W2623"/>
      <c r="X2623"/>
    </row>
    <row r="2624" spans="11:24">
      <c r="K2624"/>
      <c r="L2624"/>
      <c r="M2624"/>
      <c r="N2624"/>
      <c r="U2624"/>
      <c r="V2624"/>
      <c r="W2624"/>
      <c r="X2624"/>
    </row>
    <row r="2625" spans="11:24">
      <c r="K2625"/>
      <c r="L2625"/>
      <c r="M2625"/>
      <c r="N2625"/>
      <c r="U2625"/>
      <c r="V2625"/>
      <c r="W2625"/>
      <c r="X2625"/>
    </row>
    <row r="2626" spans="11:24">
      <c r="K2626"/>
      <c r="L2626"/>
      <c r="M2626"/>
      <c r="N2626"/>
      <c r="U2626"/>
      <c r="V2626"/>
      <c r="W2626"/>
      <c r="X2626"/>
    </row>
    <row r="2627" spans="11:24">
      <c r="K2627"/>
      <c r="L2627"/>
      <c r="M2627"/>
      <c r="N2627"/>
      <c r="U2627"/>
      <c r="V2627"/>
      <c r="W2627"/>
      <c r="X2627"/>
    </row>
    <row r="2628" spans="11:24">
      <c r="K2628"/>
      <c r="L2628"/>
      <c r="M2628"/>
      <c r="N2628"/>
      <c r="U2628"/>
      <c r="V2628"/>
      <c r="W2628"/>
      <c r="X2628"/>
    </row>
    <row r="2629" spans="11:24">
      <c r="K2629"/>
      <c r="L2629"/>
      <c r="M2629"/>
      <c r="N2629"/>
      <c r="U2629"/>
      <c r="V2629"/>
      <c r="W2629"/>
      <c r="X2629"/>
    </row>
    <row r="2630" spans="11:24">
      <c r="K2630"/>
      <c r="L2630"/>
      <c r="M2630"/>
      <c r="N2630"/>
      <c r="U2630"/>
      <c r="V2630"/>
      <c r="W2630"/>
      <c r="X2630"/>
    </row>
    <row r="2631" spans="11:24">
      <c r="K2631"/>
      <c r="L2631"/>
      <c r="M2631"/>
      <c r="N2631"/>
      <c r="U2631"/>
      <c r="V2631"/>
      <c r="W2631"/>
      <c r="X2631"/>
    </row>
    <row r="2632" spans="11:24">
      <c r="K2632"/>
      <c r="L2632"/>
      <c r="M2632"/>
      <c r="N2632"/>
      <c r="U2632"/>
      <c r="V2632"/>
      <c r="W2632"/>
      <c r="X2632"/>
    </row>
    <row r="2633" spans="11:24">
      <c r="K2633"/>
      <c r="L2633"/>
      <c r="M2633"/>
      <c r="N2633"/>
      <c r="U2633"/>
      <c r="V2633"/>
      <c r="W2633"/>
      <c r="X2633"/>
    </row>
    <row r="2634" spans="11:24">
      <c r="K2634"/>
      <c r="L2634"/>
      <c r="M2634"/>
      <c r="N2634"/>
      <c r="U2634"/>
      <c r="V2634"/>
      <c r="W2634"/>
      <c r="X2634"/>
    </row>
    <row r="2635" spans="11:24">
      <c r="K2635"/>
      <c r="L2635"/>
      <c r="M2635"/>
      <c r="N2635"/>
      <c r="U2635"/>
      <c r="V2635"/>
      <c r="W2635"/>
      <c r="X2635"/>
    </row>
    <row r="2636" spans="11:24">
      <c r="K2636"/>
      <c r="L2636"/>
      <c r="M2636"/>
      <c r="N2636"/>
      <c r="U2636"/>
      <c r="V2636"/>
      <c r="W2636"/>
      <c r="X2636"/>
    </row>
    <row r="2637" spans="11:24">
      <c r="K2637"/>
      <c r="L2637"/>
      <c r="M2637"/>
      <c r="N2637"/>
      <c r="U2637"/>
      <c r="V2637"/>
      <c r="W2637"/>
      <c r="X2637"/>
    </row>
    <row r="2638" spans="11:24">
      <c r="K2638"/>
      <c r="L2638"/>
      <c r="M2638"/>
      <c r="N2638"/>
      <c r="U2638"/>
      <c r="V2638"/>
      <c r="W2638"/>
      <c r="X2638"/>
    </row>
    <row r="2639" spans="11:24">
      <c r="K2639"/>
      <c r="L2639"/>
      <c r="M2639"/>
      <c r="N2639"/>
      <c r="U2639"/>
      <c r="V2639"/>
      <c r="W2639"/>
      <c r="X2639"/>
    </row>
    <row r="2640" spans="11:24">
      <c r="K2640"/>
      <c r="L2640"/>
      <c r="M2640"/>
      <c r="N2640"/>
      <c r="U2640"/>
      <c r="V2640"/>
      <c r="W2640"/>
      <c r="X2640"/>
    </row>
    <row r="2641" spans="11:24">
      <c r="K2641"/>
      <c r="L2641"/>
      <c r="M2641"/>
      <c r="N2641"/>
      <c r="U2641"/>
      <c r="V2641"/>
      <c r="W2641"/>
      <c r="X2641"/>
    </row>
    <row r="2642" spans="11:24">
      <c r="K2642"/>
      <c r="L2642"/>
      <c r="M2642"/>
      <c r="N2642"/>
      <c r="U2642"/>
      <c r="V2642"/>
      <c r="W2642"/>
      <c r="X2642"/>
    </row>
    <row r="2643" spans="11:24">
      <c r="K2643"/>
      <c r="L2643"/>
      <c r="M2643"/>
      <c r="N2643"/>
      <c r="U2643"/>
      <c r="V2643"/>
      <c r="W2643"/>
      <c r="X2643"/>
    </row>
    <row r="2644" spans="11:24">
      <c r="K2644"/>
      <c r="L2644"/>
      <c r="M2644"/>
      <c r="N2644"/>
      <c r="U2644"/>
      <c r="V2644"/>
      <c r="W2644"/>
      <c r="X2644"/>
    </row>
    <row r="2645" spans="11:24">
      <c r="K2645"/>
      <c r="L2645"/>
      <c r="M2645"/>
      <c r="N2645"/>
      <c r="U2645"/>
      <c r="V2645"/>
      <c r="W2645"/>
      <c r="X2645"/>
    </row>
    <row r="2646" spans="11:24">
      <c r="K2646"/>
      <c r="L2646"/>
      <c r="M2646"/>
      <c r="N2646"/>
      <c r="U2646"/>
      <c r="V2646"/>
      <c r="W2646"/>
      <c r="X2646"/>
    </row>
    <row r="2647" spans="11:24">
      <c r="K2647"/>
      <c r="L2647"/>
      <c r="M2647"/>
      <c r="N2647"/>
      <c r="U2647"/>
      <c r="V2647"/>
      <c r="W2647"/>
      <c r="X2647"/>
    </row>
    <row r="2648" spans="11:24">
      <c r="K2648"/>
      <c r="L2648"/>
      <c r="M2648"/>
      <c r="N2648"/>
      <c r="U2648"/>
      <c r="V2648"/>
      <c r="W2648"/>
      <c r="X2648"/>
    </row>
    <row r="2649" spans="11:24">
      <c r="K2649"/>
      <c r="L2649"/>
      <c r="M2649"/>
      <c r="N2649"/>
      <c r="U2649"/>
      <c r="V2649"/>
      <c r="W2649"/>
      <c r="X2649"/>
    </row>
    <row r="2650" spans="11:24">
      <c r="K2650"/>
      <c r="L2650"/>
      <c r="M2650"/>
      <c r="N2650"/>
      <c r="U2650"/>
      <c r="V2650"/>
      <c r="W2650"/>
      <c r="X2650"/>
    </row>
    <row r="2651" spans="11:24">
      <c r="K2651"/>
      <c r="L2651"/>
      <c r="M2651"/>
      <c r="N2651"/>
      <c r="U2651"/>
      <c r="V2651"/>
      <c r="W2651"/>
      <c r="X2651"/>
    </row>
    <row r="2652" spans="11:24">
      <c r="K2652"/>
      <c r="L2652"/>
      <c r="M2652"/>
      <c r="N2652"/>
      <c r="U2652"/>
      <c r="V2652"/>
      <c r="W2652"/>
      <c r="X2652"/>
    </row>
    <row r="2653" spans="11:24">
      <c r="K2653"/>
      <c r="L2653"/>
      <c r="M2653"/>
      <c r="N2653"/>
      <c r="U2653"/>
      <c r="V2653"/>
      <c r="W2653"/>
      <c r="X2653"/>
    </row>
    <row r="2654" spans="11:24">
      <c r="K2654"/>
      <c r="L2654"/>
      <c r="M2654"/>
      <c r="N2654"/>
      <c r="U2654"/>
      <c r="V2654"/>
      <c r="W2654"/>
      <c r="X2654"/>
    </row>
    <row r="2655" spans="11:24">
      <c r="K2655"/>
      <c r="L2655"/>
      <c r="M2655"/>
      <c r="N2655"/>
      <c r="U2655"/>
      <c r="V2655"/>
      <c r="W2655"/>
      <c r="X2655"/>
    </row>
    <row r="2656" spans="11:24">
      <c r="K2656"/>
      <c r="L2656"/>
      <c r="M2656"/>
      <c r="N2656"/>
      <c r="U2656"/>
      <c r="V2656"/>
      <c r="W2656"/>
      <c r="X2656"/>
    </row>
    <row r="2657" spans="11:24">
      <c r="K2657"/>
      <c r="L2657"/>
      <c r="M2657"/>
      <c r="N2657"/>
      <c r="U2657"/>
      <c r="V2657"/>
      <c r="W2657"/>
      <c r="X2657"/>
    </row>
    <row r="2658" spans="11:24">
      <c r="K2658"/>
      <c r="L2658"/>
      <c r="M2658"/>
      <c r="N2658"/>
      <c r="U2658"/>
      <c r="V2658"/>
      <c r="W2658"/>
      <c r="X2658"/>
    </row>
    <row r="2659" spans="11:24">
      <c r="K2659"/>
      <c r="L2659"/>
      <c r="M2659"/>
      <c r="N2659"/>
      <c r="U2659"/>
      <c r="V2659"/>
      <c r="W2659"/>
      <c r="X2659"/>
    </row>
    <row r="2660" spans="11:24">
      <c r="K2660"/>
      <c r="L2660"/>
      <c r="M2660"/>
      <c r="N2660"/>
      <c r="U2660"/>
      <c r="V2660"/>
      <c r="W2660"/>
      <c r="X2660"/>
    </row>
    <row r="2661" spans="11:24">
      <c r="K2661"/>
      <c r="L2661"/>
      <c r="M2661"/>
      <c r="N2661"/>
      <c r="U2661"/>
      <c r="V2661"/>
      <c r="W2661"/>
      <c r="X2661"/>
    </row>
    <row r="2662" spans="11:24">
      <c r="K2662"/>
      <c r="L2662"/>
      <c r="M2662"/>
      <c r="N2662"/>
      <c r="U2662"/>
      <c r="V2662"/>
      <c r="W2662"/>
      <c r="X2662"/>
    </row>
    <row r="2663" spans="11:24">
      <c r="K2663"/>
      <c r="L2663"/>
      <c r="M2663"/>
      <c r="N2663"/>
      <c r="U2663"/>
      <c r="V2663"/>
      <c r="W2663"/>
      <c r="X2663"/>
    </row>
    <row r="2664" spans="11:24">
      <c r="K2664"/>
      <c r="L2664"/>
      <c r="M2664"/>
      <c r="N2664"/>
      <c r="U2664"/>
      <c r="V2664"/>
      <c r="W2664"/>
      <c r="X2664"/>
    </row>
    <row r="2665" spans="11:24">
      <c r="K2665"/>
      <c r="L2665"/>
      <c r="M2665"/>
      <c r="N2665"/>
      <c r="U2665"/>
      <c r="V2665"/>
      <c r="W2665"/>
      <c r="X2665"/>
    </row>
    <row r="2666" spans="11:24">
      <c r="K2666"/>
      <c r="L2666"/>
      <c r="M2666"/>
      <c r="N2666"/>
      <c r="U2666"/>
      <c r="V2666"/>
      <c r="W2666"/>
      <c r="X2666"/>
    </row>
    <row r="2667" spans="11:24">
      <c r="K2667"/>
      <c r="L2667"/>
      <c r="M2667"/>
      <c r="N2667"/>
      <c r="U2667"/>
      <c r="V2667"/>
      <c r="W2667"/>
      <c r="X2667"/>
    </row>
    <row r="2668" spans="11:24">
      <c r="K2668"/>
      <c r="L2668"/>
      <c r="M2668"/>
      <c r="N2668"/>
      <c r="U2668"/>
      <c r="V2668"/>
      <c r="W2668"/>
      <c r="X2668"/>
    </row>
    <row r="2669" spans="11:24">
      <c r="K2669"/>
      <c r="L2669"/>
      <c r="M2669"/>
      <c r="N2669"/>
      <c r="U2669"/>
      <c r="V2669"/>
      <c r="W2669"/>
      <c r="X2669"/>
    </row>
    <row r="2670" spans="11:24">
      <c r="K2670"/>
      <c r="L2670"/>
      <c r="M2670"/>
      <c r="N2670"/>
      <c r="U2670"/>
      <c r="V2670"/>
      <c r="W2670"/>
      <c r="X2670"/>
    </row>
    <row r="2671" spans="11:24">
      <c r="K2671"/>
      <c r="L2671"/>
      <c r="M2671"/>
      <c r="N2671"/>
      <c r="U2671"/>
      <c r="V2671"/>
      <c r="W2671"/>
      <c r="X2671"/>
    </row>
    <row r="2672" spans="11:24">
      <c r="K2672"/>
      <c r="L2672"/>
      <c r="M2672"/>
      <c r="N2672"/>
      <c r="U2672"/>
      <c r="V2672"/>
      <c r="W2672"/>
      <c r="X2672"/>
    </row>
    <row r="2673" spans="11:24">
      <c r="K2673"/>
      <c r="L2673"/>
      <c r="M2673"/>
      <c r="N2673"/>
      <c r="U2673"/>
      <c r="V2673"/>
      <c r="W2673"/>
      <c r="X2673"/>
    </row>
    <row r="2674" spans="11:24">
      <c r="K2674"/>
      <c r="L2674"/>
      <c r="M2674"/>
      <c r="N2674"/>
      <c r="U2674"/>
      <c r="V2674"/>
      <c r="W2674"/>
      <c r="X2674"/>
    </row>
    <row r="2675" spans="11:24">
      <c r="K2675"/>
      <c r="L2675"/>
      <c r="M2675"/>
      <c r="N2675"/>
      <c r="U2675"/>
      <c r="V2675"/>
      <c r="W2675"/>
      <c r="X2675"/>
    </row>
    <row r="2676" spans="11:24">
      <c r="K2676"/>
      <c r="L2676"/>
      <c r="M2676"/>
      <c r="N2676"/>
      <c r="U2676"/>
      <c r="V2676"/>
      <c r="W2676"/>
      <c r="X2676"/>
    </row>
    <row r="2677" spans="11:24">
      <c r="K2677"/>
      <c r="L2677"/>
      <c r="M2677"/>
      <c r="N2677"/>
      <c r="U2677"/>
      <c r="V2677"/>
      <c r="W2677"/>
      <c r="X2677"/>
    </row>
    <row r="2678" spans="11:24">
      <c r="K2678"/>
      <c r="L2678"/>
      <c r="M2678"/>
      <c r="N2678"/>
      <c r="U2678"/>
      <c r="V2678"/>
      <c r="W2678"/>
      <c r="X2678"/>
    </row>
    <row r="2679" spans="11:24">
      <c r="K2679"/>
      <c r="L2679"/>
      <c r="M2679"/>
      <c r="N2679"/>
      <c r="U2679"/>
      <c r="V2679"/>
      <c r="W2679"/>
      <c r="X2679"/>
    </row>
    <row r="2680" spans="11:24">
      <c r="K2680"/>
      <c r="L2680"/>
      <c r="M2680"/>
      <c r="N2680"/>
      <c r="U2680"/>
      <c r="V2680"/>
      <c r="W2680"/>
      <c r="X2680"/>
    </row>
    <row r="2681" spans="11:24">
      <c r="K2681"/>
      <c r="L2681"/>
      <c r="M2681"/>
      <c r="N2681"/>
      <c r="U2681"/>
      <c r="V2681"/>
      <c r="W2681"/>
      <c r="X2681"/>
    </row>
    <row r="2682" spans="11:24">
      <c r="K2682"/>
      <c r="L2682"/>
      <c r="M2682"/>
      <c r="N2682"/>
      <c r="U2682"/>
      <c r="V2682"/>
      <c r="W2682"/>
      <c r="X2682"/>
    </row>
    <row r="2683" spans="11:24">
      <c r="K2683"/>
      <c r="L2683"/>
      <c r="M2683"/>
      <c r="N2683"/>
      <c r="U2683"/>
      <c r="V2683"/>
      <c r="W2683"/>
      <c r="X2683"/>
    </row>
    <row r="2684" spans="11:24">
      <c r="K2684"/>
      <c r="L2684"/>
      <c r="M2684"/>
      <c r="N2684"/>
      <c r="U2684"/>
      <c r="V2684"/>
      <c r="W2684"/>
      <c r="X2684"/>
    </row>
    <row r="2685" spans="11:24">
      <c r="K2685"/>
      <c r="L2685"/>
      <c r="M2685"/>
      <c r="N2685"/>
      <c r="U2685"/>
      <c r="V2685"/>
      <c r="W2685"/>
      <c r="X2685"/>
    </row>
    <row r="2686" spans="11:24">
      <c r="K2686"/>
      <c r="L2686"/>
      <c r="M2686"/>
      <c r="N2686"/>
      <c r="U2686"/>
      <c r="V2686"/>
      <c r="W2686"/>
      <c r="X2686"/>
    </row>
    <row r="2687" spans="11:24">
      <c r="K2687"/>
      <c r="L2687"/>
      <c r="M2687"/>
      <c r="N2687"/>
      <c r="U2687"/>
      <c r="V2687"/>
      <c r="W2687"/>
      <c r="X2687"/>
    </row>
    <row r="2688" spans="11:24">
      <c r="K2688"/>
      <c r="L2688"/>
      <c r="M2688"/>
      <c r="N2688"/>
      <c r="U2688"/>
      <c r="V2688"/>
      <c r="W2688"/>
      <c r="X2688"/>
    </row>
    <row r="2689" spans="11:24">
      <c r="K2689"/>
      <c r="L2689"/>
      <c r="M2689"/>
      <c r="N2689"/>
      <c r="U2689"/>
      <c r="V2689"/>
      <c r="W2689"/>
      <c r="X2689"/>
    </row>
    <row r="2690" spans="11:24">
      <c r="K2690"/>
      <c r="L2690"/>
      <c r="M2690"/>
      <c r="N2690"/>
      <c r="U2690"/>
      <c r="V2690"/>
      <c r="W2690"/>
      <c r="X2690"/>
    </row>
    <row r="2691" spans="11:24">
      <c r="K2691"/>
      <c r="L2691"/>
      <c r="M2691"/>
      <c r="N2691"/>
      <c r="U2691"/>
      <c r="V2691"/>
      <c r="W2691"/>
      <c r="X2691"/>
    </row>
    <row r="2692" spans="11:24">
      <c r="K2692"/>
      <c r="L2692"/>
      <c r="M2692"/>
      <c r="N2692"/>
      <c r="U2692"/>
      <c r="V2692"/>
      <c r="W2692"/>
      <c r="X2692"/>
    </row>
    <row r="2693" spans="11:24">
      <c r="K2693"/>
      <c r="L2693"/>
      <c r="M2693"/>
      <c r="N2693"/>
      <c r="U2693"/>
      <c r="V2693"/>
      <c r="W2693"/>
      <c r="X2693"/>
    </row>
    <row r="2694" spans="11:24">
      <c r="K2694"/>
      <c r="L2694"/>
      <c r="M2694"/>
      <c r="N2694"/>
      <c r="U2694"/>
      <c r="V2694"/>
      <c r="W2694"/>
      <c r="X2694"/>
    </row>
    <row r="2695" spans="11:24">
      <c r="K2695"/>
      <c r="L2695"/>
      <c r="M2695"/>
      <c r="N2695"/>
      <c r="U2695"/>
      <c r="V2695"/>
      <c r="W2695"/>
      <c r="X2695"/>
    </row>
    <row r="2696" spans="11:24">
      <c r="K2696"/>
      <c r="L2696"/>
      <c r="M2696"/>
      <c r="N2696"/>
      <c r="U2696"/>
      <c r="V2696"/>
      <c r="W2696"/>
      <c r="X2696"/>
    </row>
    <row r="2697" spans="11:24">
      <c r="K2697"/>
      <c r="L2697"/>
      <c r="M2697"/>
      <c r="N2697"/>
      <c r="U2697"/>
      <c r="V2697"/>
      <c r="W2697"/>
      <c r="X2697"/>
    </row>
    <row r="2698" spans="11:24">
      <c r="K2698"/>
      <c r="L2698"/>
      <c r="M2698"/>
      <c r="N2698"/>
      <c r="U2698"/>
      <c r="V2698"/>
      <c r="W2698"/>
      <c r="X2698"/>
    </row>
    <row r="2699" spans="11:24">
      <c r="K2699"/>
      <c r="L2699"/>
      <c r="M2699"/>
      <c r="N2699"/>
      <c r="U2699"/>
      <c r="V2699"/>
      <c r="W2699"/>
      <c r="X2699"/>
    </row>
    <row r="2700" spans="11:24">
      <c r="K2700"/>
      <c r="L2700"/>
      <c r="M2700"/>
      <c r="N2700"/>
      <c r="U2700"/>
      <c r="V2700"/>
      <c r="W2700"/>
      <c r="X2700"/>
    </row>
    <row r="2701" spans="11:24">
      <c r="K2701"/>
      <c r="L2701"/>
      <c r="M2701"/>
      <c r="N2701"/>
      <c r="U2701"/>
      <c r="V2701"/>
      <c r="W2701"/>
      <c r="X2701"/>
    </row>
    <row r="2702" spans="11:24">
      <c r="K2702"/>
      <c r="L2702"/>
      <c r="M2702"/>
      <c r="N2702"/>
      <c r="U2702"/>
      <c r="V2702"/>
      <c r="W2702"/>
      <c r="X2702"/>
    </row>
    <row r="2703" spans="11:24">
      <c r="K2703"/>
      <c r="L2703"/>
      <c r="M2703"/>
      <c r="N2703"/>
      <c r="U2703"/>
      <c r="V2703"/>
      <c r="W2703"/>
      <c r="X2703"/>
    </row>
    <row r="2704" spans="11:24">
      <c r="K2704"/>
      <c r="L2704"/>
      <c r="M2704"/>
      <c r="N2704"/>
      <c r="U2704"/>
      <c r="V2704"/>
      <c r="W2704"/>
      <c r="X2704"/>
    </row>
    <row r="2705" spans="11:24">
      <c r="K2705"/>
      <c r="L2705"/>
      <c r="M2705"/>
      <c r="N2705"/>
      <c r="U2705"/>
      <c r="V2705"/>
      <c r="W2705"/>
      <c r="X2705"/>
    </row>
    <row r="2706" spans="11:24">
      <c r="K2706"/>
      <c r="L2706"/>
      <c r="M2706"/>
      <c r="N2706"/>
      <c r="U2706"/>
      <c r="V2706"/>
      <c r="W2706"/>
      <c r="X2706"/>
    </row>
    <row r="2707" spans="11:24">
      <c r="K2707"/>
      <c r="L2707"/>
      <c r="M2707"/>
      <c r="N2707"/>
      <c r="U2707"/>
      <c r="V2707"/>
      <c r="W2707"/>
      <c r="X2707"/>
    </row>
    <row r="2708" spans="11:24">
      <c r="K2708"/>
      <c r="L2708"/>
      <c r="M2708"/>
      <c r="N2708"/>
      <c r="U2708"/>
      <c r="V2708"/>
      <c r="W2708"/>
      <c r="X2708"/>
    </row>
    <row r="2709" spans="11:24">
      <c r="K2709"/>
      <c r="L2709"/>
      <c r="M2709"/>
      <c r="N2709"/>
      <c r="U2709"/>
      <c r="V2709"/>
      <c r="W2709"/>
      <c r="X2709"/>
    </row>
    <row r="2710" spans="11:24">
      <c r="K2710"/>
      <c r="L2710"/>
      <c r="M2710"/>
      <c r="N2710"/>
      <c r="U2710"/>
      <c r="V2710"/>
      <c r="W2710"/>
      <c r="X2710"/>
    </row>
    <row r="2711" spans="11:24">
      <c r="K2711"/>
      <c r="L2711"/>
      <c r="M2711"/>
      <c r="N2711"/>
      <c r="U2711"/>
      <c r="V2711"/>
      <c r="W2711"/>
      <c r="X2711"/>
    </row>
    <row r="2712" spans="11:24">
      <c r="K2712"/>
      <c r="L2712"/>
      <c r="M2712"/>
      <c r="N2712"/>
      <c r="U2712"/>
      <c r="V2712"/>
      <c r="W2712"/>
      <c r="X2712"/>
    </row>
    <row r="2713" spans="11:24">
      <c r="K2713"/>
      <c r="L2713"/>
      <c r="M2713"/>
      <c r="N2713"/>
      <c r="U2713"/>
      <c r="V2713"/>
      <c r="W2713"/>
      <c r="X2713"/>
    </row>
    <row r="2714" spans="11:24">
      <c r="K2714"/>
      <c r="L2714"/>
      <c r="M2714"/>
      <c r="N2714"/>
      <c r="U2714"/>
      <c r="V2714"/>
      <c r="W2714"/>
      <c r="X2714"/>
    </row>
    <row r="2715" spans="11:24">
      <c r="K2715"/>
      <c r="L2715"/>
      <c r="M2715"/>
      <c r="N2715"/>
      <c r="U2715"/>
      <c r="V2715"/>
      <c r="W2715"/>
      <c r="X2715"/>
    </row>
    <row r="2716" spans="11:24">
      <c r="K2716"/>
      <c r="L2716"/>
      <c r="M2716"/>
      <c r="N2716"/>
      <c r="U2716"/>
      <c r="V2716"/>
      <c r="W2716"/>
      <c r="X2716"/>
    </row>
    <row r="2717" spans="11:24">
      <c r="K2717"/>
      <c r="L2717"/>
      <c r="M2717"/>
      <c r="N2717"/>
      <c r="U2717"/>
      <c r="V2717"/>
      <c r="W2717"/>
      <c r="X2717"/>
    </row>
    <row r="2718" spans="11:24">
      <c r="K2718"/>
      <c r="L2718"/>
      <c r="M2718"/>
      <c r="N2718"/>
      <c r="U2718"/>
      <c r="V2718"/>
      <c r="W2718"/>
      <c r="X2718"/>
    </row>
    <row r="2719" spans="11:24">
      <c r="K2719"/>
      <c r="L2719"/>
      <c r="M2719"/>
      <c r="N2719"/>
      <c r="U2719"/>
      <c r="V2719"/>
      <c r="W2719"/>
      <c r="X2719"/>
    </row>
    <row r="2720" spans="11:24">
      <c r="K2720"/>
      <c r="L2720"/>
      <c r="M2720"/>
      <c r="N2720"/>
      <c r="U2720"/>
      <c r="V2720"/>
      <c r="W2720"/>
      <c r="X2720"/>
    </row>
    <row r="2721" spans="11:24">
      <c r="K2721"/>
      <c r="L2721"/>
      <c r="M2721"/>
      <c r="N2721"/>
      <c r="U2721"/>
      <c r="V2721"/>
      <c r="W2721"/>
      <c r="X2721"/>
    </row>
    <row r="2722" spans="11:24">
      <c r="K2722"/>
      <c r="L2722"/>
      <c r="M2722"/>
      <c r="N2722"/>
      <c r="U2722"/>
      <c r="V2722"/>
      <c r="W2722"/>
      <c r="X2722"/>
    </row>
    <row r="2723" spans="11:24">
      <c r="K2723"/>
      <c r="L2723"/>
      <c r="M2723"/>
      <c r="N2723"/>
      <c r="U2723"/>
      <c r="V2723"/>
      <c r="W2723"/>
      <c r="X2723"/>
    </row>
    <row r="2724" spans="11:24">
      <c r="K2724"/>
      <c r="L2724"/>
      <c r="M2724"/>
      <c r="N2724"/>
      <c r="U2724"/>
      <c r="V2724"/>
      <c r="W2724"/>
      <c r="X2724"/>
    </row>
    <row r="2725" spans="11:24">
      <c r="K2725"/>
      <c r="L2725"/>
      <c r="M2725"/>
      <c r="N2725"/>
      <c r="U2725"/>
      <c r="V2725"/>
      <c r="W2725"/>
      <c r="X2725"/>
    </row>
    <row r="2726" spans="11:24">
      <c r="K2726"/>
      <c r="L2726"/>
      <c r="M2726"/>
      <c r="N2726"/>
      <c r="U2726"/>
      <c r="V2726"/>
      <c r="W2726"/>
      <c r="X2726"/>
    </row>
    <row r="2727" spans="11:24">
      <c r="K2727"/>
      <c r="L2727"/>
      <c r="M2727"/>
      <c r="N2727"/>
      <c r="U2727"/>
      <c r="V2727"/>
      <c r="W2727"/>
      <c r="X2727"/>
    </row>
    <row r="2728" spans="11:24">
      <c r="K2728"/>
      <c r="L2728"/>
      <c r="M2728"/>
      <c r="N2728"/>
      <c r="U2728"/>
      <c r="V2728"/>
      <c r="W2728"/>
      <c r="X2728"/>
    </row>
    <row r="2729" spans="11:24">
      <c r="K2729"/>
      <c r="L2729"/>
      <c r="M2729"/>
      <c r="N2729"/>
      <c r="U2729"/>
      <c r="V2729"/>
      <c r="W2729"/>
      <c r="X2729"/>
    </row>
    <row r="2730" spans="11:24">
      <c r="K2730"/>
      <c r="L2730"/>
      <c r="M2730"/>
      <c r="N2730"/>
      <c r="U2730"/>
      <c r="V2730"/>
      <c r="W2730"/>
      <c r="X2730"/>
    </row>
    <row r="2731" spans="11:24">
      <c r="K2731"/>
      <c r="L2731"/>
      <c r="M2731"/>
      <c r="N2731"/>
      <c r="U2731"/>
      <c r="V2731"/>
      <c r="W2731"/>
      <c r="X2731"/>
    </row>
    <row r="2732" spans="11:24">
      <c r="K2732"/>
      <c r="L2732"/>
      <c r="M2732"/>
      <c r="N2732"/>
      <c r="U2732"/>
      <c r="V2732"/>
      <c r="W2732"/>
      <c r="X2732"/>
    </row>
    <row r="2733" spans="11:24">
      <c r="K2733"/>
      <c r="L2733"/>
      <c r="M2733"/>
      <c r="N2733"/>
      <c r="U2733"/>
      <c r="V2733"/>
      <c r="W2733"/>
      <c r="X2733"/>
    </row>
    <row r="2734" spans="11:24">
      <c r="K2734"/>
      <c r="L2734"/>
      <c r="M2734"/>
      <c r="N2734"/>
      <c r="U2734"/>
      <c r="V2734"/>
      <c r="W2734"/>
      <c r="X2734"/>
    </row>
    <row r="2735" spans="11:24">
      <c r="K2735"/>
      <c r="L2735"/>
      <c r="M2735"/>
      <c r="N2735"/>
      <c r="U2735"/>
      <c r="V2735"/>
      <c r="W2735"/>
      <c r="X2735"/>
    </row>
    <row r="2736" spans="11:24">
      <c r="K2736"/>
      <c r="L2736"/>
      <c r="M2736"/>
      <c r="N2736"/>
      <c r="U2736"/>
      <c r="V2736"/>
      <c r="W2736"/>
      <c r="X2736"/>
    </row>
    <row r="2737" spans="11:24">
      <c r="K2737"/>
      <c r="L2737"/>
      <c r="M2737"/>
      <c r="N2737"/>
      <c r="U2737"/>
      <c r="V2737"/>
      <c r="W2737"/>
      <c r="X2737"/>
    </row>
    <row r="2738" spans="11:24">
      <c r="K2738"/>
      <c r="L2738"/>
      <c r="M2738"/>
      <c r="N2738"/>
      <c r="U2738"/>
      <c r="V2738"/>
      <c r="W2738"/>
      <c r="X2738"/>
    </row>
    <row r="2739" spans="11:24">
      <c r="K2739"/>
      <c r="L2739"/>
      <c r="M2739"/>
      <c r="N2739"/>
      <c r="U2739"/>
      <c r="V2739"/>
      <c r="W2739"/>
      <c r="X2739"/>
    </row>
    <row r="2740" spans="11:24">
      <c r="K2740"/>
      <c r="L2740"/>
      <c r="M2740"/>
      <c r="N2740"/>
      <c r="U2740"/>
      <c r="V2740"/>
      <c r="W2740"/>
      <c r="X2740"/>
    </row>
    <row r="2741" spans="11:24">
      <c r="K2741"/>
      <c r="L2741"/>
      <c r="M2741"/>
      <c r="N2741"/>
      <c r="U2741"/>
      <c r="V2741"/>
      <c r="W2741"/>
      <c r="X2741"/>
    </row>
    <row r="2742" spans="11:24">
      <c r="K2742"/>
      <c r="L2742"/>
      <c r="M2742"/>
      <c r="N2742"/>
      <c r="U2742"/>
      <c r="V2742"/>
      <c r="W2742"/>
      <c r="X2742"/>
    </row>
    <row r="2743" spans="11:24">
      <c r="K2743"/>
      <c r="L2743"/>
      <c r="M2743"/>
      <c r="N2743"/>
      <c r="U2743"/>
      <c r="V2743"/>
      <c r="W2743"/>
      <c r="X2743"/>
    </row>
    <row r="2744" spans="11:24">
      <c r="K2744"/>
      <c r="L2744"/>
      <c r="M2744"/>
      <c r="N2744"/>
      <c r="U2744"/>
      <c r="V2744"/>
      <c r="W2744"/>
      <c r="X2744"/>
    </row>
    <row r="2745" spans="11:24">
      <c r="K2745"/>
      <c r="L2745"/>
      <c r="M2745"/>
      <c r="N2745"/>
      <c r="U2745"/>
      <c r="V2745"/>
      <c r="W2745"/>
      <c r="X2745"/>
    </row>
    <row r="2746" spans="11:24">
      <c r="K2746"/>
      <c r="L2746"/>
      <c r="M2746"/>
      <c r="N2746"/>
      <c r="U2746"/>
      <c r="V2746"/>
      <c r="W2746"/>
      <c r="X2746"/>
    </row>
    <row r="2747" spans="11:24">
      <c r="K2747"/>
      <c r="L2747"/>
      <c r="M2747"/>
      <c r="N2747"/>
      <c r="U2747"/>
      <c r="V2747"/>
      <c r="W2747"/>
      <c r="X2747"/>
    </row>
    <row r="2748" spans="11:24">
      <c r="K2748"/>
      <c r="L2748"/>
      <c r="M2748"/>
      <c r="N2748"/>
      <c r="U2748"/>
      <c r="V2748"/>
      <c r="W2748"/>
      <c r="X2748"/>
    </row>
    <row r="2749" spans="11:24">
      <c r="K2749"/>
      <c r="L2749"/>
      <c r="M2749"/>
      <c r="N2749"/>
      <c r="U2749"/>
      <c r="V2749"/>
      <c r="W2749"/>
      <c r="X2749"/>
    </row>
    <row r="2750" spans="11:24">
      <c r="K2750"/>
      <c r="L2750"/>
      <c r="M2750"/>
      <c r="N2750"/>
      <c r="U2750"/>
      <c r="V2750"/>
      <c r="W2750"/>
      <c r="X2750"/>
    </row>
    <row r="2751" spans="11:24">
      <c r="K2751"/>
      <c r="L2751"/>
      <c r="M2751"/>
      <c r="N2751"/>
      <c r="U2751"/>
      <c r="V2751"/>
      <c r="W2751"/>
      <c r="X2751"/>
    </row>
    <row r="2752" spans="11:24">
      <c r="K2752"/>
      <c r="L2752"/>
      <c r="M2752"/>
      <c r="N2752"/>
      <c r="U2752"/>
      <c r="V2752"/>
      <c r="W2752"/>
      <c r="X2752"/>
    </row>
    <row r="2753" spans="11:24">
      <c r="K2753"/>
      <c r="L2753"/>
      <c r="M2753"/>
      <c r="N2753"/>
      <c r="U2753"/>
      <c r="V2753"/>
      <c r="W2753"/>
      <c r="X2753"/>
    </row>
    <row r="2754" spans="11:24">
      <c r="K2754"/>
      <c r="L2754"/>
      <c r="M2754"/>
      <c r="N2754"/>
      <c r="U2754"/>
      <c r="V2754"/>
      <c r="W2754"/>
      <c r="X2754"/>
    </row>
    <row r="2755" spans="11:24">
      <c r="K2755"/>
      <c r="L2755"/>
      <c r="M2755"/>
      <c r="N2755"/>
      <c r="U2755"/>
      <c r="V2755"/>
      <c r="W2755"/>
      <c r="X2755"/>
    </row>
    <row r="2756" spans="11:24">
      <c r="K2756"/>
      <c r="L2756"/>
      <c r="M2756"/>
      <c r="N2756"/>
      <c r="U2756"/>
      <c r="V2756"/>
      <c r="W2756"/>
      <c r="X2756"/>
    </row>
    <row r="2757" spans="11:24">
      <c r="K2757"/>
      <c r="L2757"/>
      <c r="M2757"/>
      <c r="N2757"/>
      <c r="U2757"/>
      <c r="V2757"/>
      <c r="W2757"/>
      <c r="X2757"/>
    </row>
    <row r="2758" spans="11:24">
      <c r="K2758"/>
      <c r="L2758"/>
      <c r="M2758"/>
      <c r="N2758"/>
      <c r="U2758"/>
      <c r="V2758"/>
      <c r="W2758"/>
      <c r="X2758"/>
    </row>
    <row r="2759" spans="11:24">
      <c r="K2759"/>
      <c r="L2759"/>
      <c r="M2759"/>
      <c r="N2759"/>
      <c r="U2759"/>
      <c r="V2759"/>
      <c r="W2759"/>
      <c r="X2759"/>
    </row>
    <row r="2760" spans="11:24">
      <c r="K2760"/>
      <c r="L2760"/>
      <c r="M2760"/>
      <c r="N2760"/>
      <c r="U2760"/>
      <c r="V2760"/>
      <c r="W2760"/>
      <c r="X2760"/>
    </row>
    <row r="2761" spans="11:24">
      <c r="K2761"/>
      <c r="L2761"/>
      <c r="M2761"/>
      <c r="N2761"/>
      <c r="U2761"/>
      <c r="V2761"/>
      <c r="W2761"/>
      <c r="X2761"/>
    </row>
    <row r="2762" spans="11:24">
      <c r="K2762"/>
      <c r="L2762"/>
      <c r="M2762"/>
      <c r="N2762"/>
      <c r="U2762"/>
      <c r="V2762"/>
      <c r="W2762"/>
      <c r="X2762"/>
    </row>
    <row r="2763" spans="11:24">
      <c r="K2763"/>
      <c r="L2763"/>
      <c r="M2763"/>
      <c r="N2763"/>
      <c r="U2763"/>
      <c r="V2763"/>
      <c r="W2763"/>
      <c r="X2763"/>
    </row>
    <row r="2764" spans="11:24">
      <c r="K2764"/>
      <c r="L2764"/>
      <c r="M2764"/>
      <c r="N2764"/>
      <c r="U2764"/>
      <c r="V2764"/>
      <c r="W2764"/>
      <c r="X2764"/>
    </row>
    <row r="2765" spans="11:24">
      <c r="K2765"/>
      <c r="L2765"/>
      <c r="M2765"/>
      <c r="N2765"/>
      <c r="U2765"/>
      <c r="V2765"/>
      <c r="W2765"/>
      <c r="X2765"/>
    </row>
    <row r="2766" spans="11:24">
      <c r="K2766"/>
      <c r="L2766"/>
      <c r="M2766"/>
      <c r="N2766"/>
      <c r="U2766"/>
      <c r="V2766"/>
      <c r="W2766"/>
      <c r="X2766"/>
    </row>
    <row r="2767" spans="11:24">
      <c r="K2767"/>
      <c r="L2767"/>
      <c r="M2767"/>
      <c r="N2767"/>
      <c r="U2767"/>
      <c r="V2767"/>
      <c r="W2767"/>
      <c r="X2767"/>
    </row>
    <row r="2768" spans="11:24">
      <c r="K2768"/>
      <c r="L2768"/>
      <c r="M2768"/>
      <c r="N2768"/>
      <c r="U2768"/>
      <c r="V2768"/>
      <c r="W2768"/>
      <c r="X2768"/>
    </row>
    <row r="2769" spans="11:24">
      <c r="K2769"/>
      <c r="L2769"/>
      <c r="M2769"/>
      <c r="N2769"/>
      <c r="U2769"/>
      <c r="V2769"/>
      <c r="W2769"/>
      <c r="X2769"/>
    </row>
    <row r="2770" spans="11:24">
      <c r="K2770"/>
      <c r="L2770"/>
      <c r="M2770"/>
      <c r="N2770"/>
      <c r="U2770"/>
      <c r="V2770"/>
      <c r="W2770"/>
      <c r="X2770"/>
    </row>
    <row r="2771" spans="11:24">
      <c r="K2771"/>
      <c r="L2771"/>
      <c r="M2771"/>
      <c r="N2771"/>
      <c r="U2771"/>
      <c r="V2771"/>
      <c r="W2771"/>
      <c r="X2771"/>
    </row>
    <row r="2772" spans="11:24">
      <c r="K2772"/>
      <c r="L2772"/>
      <c r="M2772"/>
      <c r="N2772"/>
      <c r="U2772"/>
      <c r="V2772"/>
      <c r="W2772"/>
      <c r="X2772"/>
    </row>
    <row r="2773" spans="11:24">
      <c r="K2773"/>
      <c r="L2773"/>
      <c r="M2773"/>
      <c r="N2773"/>
      <c r="U2773"/>
      <c r="V2773"/>
      <c r="W2773"/>
      <c r="X2773"/>
    </row>
    <row r="2774" spans="11:24">
      <c r="K2774"/>
      <c r="L2774"/>
      <c r="M2774"/>
      <c r="N2774"/>
      <c r="U2774"/>
      <c r="V2774"/>
      <c r="W2774"/>
      <c r="X2774"/>
    </row>
    <row r="2775" spans="11:24">
      <c r="K2775"/>
      <c r="L2775"/>
      <c r="M2775"/>
      <c r="N2775"/>
      <c r="U2775"/>
      <c r="V2775"/>
      <c r="W2775"/>
      <c r="X2775"/>
    </row>
    <row r="2776" spans="11:24">
      <c r="K2776"/>
      <c r="L2776"/>
      <c r="M2776"/>
      <c r="N2776"/>
      <c r="U2776"/>
      <c r="V2776"/>
      <c r="W2776"/>
      <c r="X2776"/>
    </row>
    <row r="2777" spans="11:24">
      <c r="K2777"/>
      <c r="L2777"/>
      <c r="M2777"/>
      <c r="N2777"/>
      <c r="U2777"/>
      <c r="V2777"/>
      <c r="W2777"/>
      <c r="X2777"/>
    </row>
    <row r="2778" spans="11:24">
      <c r="K2778"/>
      <c r="L2778"/>
      <c r="M2778"/>
      <c r="N2778"/>
      <c r="U2778"/>
      <c r="V2778"/>
      <c r="W2778"/>
      <c r="X2778"/>
    </row>
    <row r="2779" spans="11:24">
      <c r="K2779"/>
      <c r="L2779"/>
      <c r="M2779"/>
      <c r="N2779"/>
      <c r="U2779"/>
      <c r="V2779"/>
      <c r="W2779"/>
      <c r="X2779"/>
    </row>
    <row r="2780" spans="11:24">
      <c r="K2780"/>
      <c r="L2780"/>
      <c r="M2780"/>
      <c r="N2780"/>
      <c r="U2780"/>
      <c r="V2780"/>
      <c r="W2780"/>
      <c r="X2780"/>
    </row>
    <row r="2781" spans="11:24">
      <c r="K2781"/>
      <c r="L2781"/>
      <c r="M2781"/>
      <c r="N2781"/>
      <c r="U2781"/>
      <c r="V2781"/>
      <c r="W2781"/>
      <c r="X2781"/>
    </row>
    <row r="2782" spans="11:24">
      <c r="K2782"/>
      <c r="L2782"/>
      <c r="M2782"/>
      <c r="N2782"/>
      <c r="U2782"/>
      <c r="V2782"/>
      <c r="W2782"/>
      <c r="X2782"/>
    </row>
    <row r="2783" spans="11:24">
      <c r="K2783"/>
      <c r="L2783"/>
      <c r="M2783"/>
      <c r="N2783"/>
      <c r="U2783"/>
      <c r="V2783"/>
      <c r="W2783"/>
      <c r="X2783"/>
    </row>
    <row r="2784" spans="11:24">
      <c r="K2784"/>
      <c r="L2784"/>
      <c r="M2784"/>
      <c r="N2784"/>
      <c r="U2784"/>
      <c r="V2784"/>
      <c r="W2784"/>
      <c r="X2784"/>
    </row>
    <row r="2785" spans="11:24">
      <c r="K2785"/>
      <c r="L2785"/>
      <c r="M2785"/>
      <c r="N2785"/>
      <c r="U2785"/>
      <c r="V2785"/>
      <c r="W2785"/>
      <c r="X2785"/>
    </row>
    <row r="2786" spans="11:24">
      <c r="K2786"/>
      <c r="L2786"/>
      <c r="M2786"/>
      <c r="N2786"/>
      <c r="U2786"/>
      <c r="V2786"/>
      <c r="W2786"/>
      <c r="X2786"/>
    </row>
    <row r="2787" spans="11:24">
      <c r="K2787"/>
      <c r="L2787"/>
      <c r="M2787"/>
      <c r="N2787"/>
      <c r="U2787"/>
      <c r="V2787"/>
      <c r="W2787"/>
      <c r="X2787"/>
    </row>
    <row r="2788" spans="11:24">
      <c r="K2788"/>
      <c r="L2788"/>
      <c r="M2788"/>
      <c r="N2788"/>
      <c r="U2788"/>
      <c r="V2788"/>
      <c r="W2788"/>
      <c r="X2788"/>
    </row>
    <row r="2789" spans="11:24">
      <c r="K2789"/>
      <c r="L2789"/>
      <c r="M2789"/>
      <c r="N2789"/>
      <c r="U2789"/>
      <c r="V2789"/>
      <c r="W2789"/>
      <c r="X2789"/>
    </row>
    <row r="2790" spans="11:24">
      <c r="K2790"/>
      <c r="L2790"/>
      <c r="M2790"/>
      <c r="N2790"/>
      <c r="U2790"/>
      <c r="V2790"/>
      <c r="W2790"/>
      <c r="X2790"/>
    </row>
    <row r="2791" spans="11:24">
      <c r="K2791"/>
      <c r="L2791"/>
      <c r="M2791"/>
      <c r="N2791"/>
      <c r="U2791"/>
      <c r="V2791"/>
      <c r="W2791"/>
      <c r="X2791"/>
    </row>
    <row r="2792" spans="11:24">
      <c r="K2792"/>
      <c r="L2792"/>
      <c r="M2792"/>
      <c r="N2792"/>
      <c r="U2792"/>
      <c r="V2792"/>
      <c r="W2792"/>
      <c r="X2792"/>
    </row>
    <row r="2793" spans="11:24">
      <c r="K2793"/>
      <c r="L2793"/>
      <c r="M2793"/>
      <c r="N2793"/>
      <c r="U2793"/>
      <c r="V2793"/>
      <c r="W2793"/>
      <c r="X2793"/>
    </row>
    <row r="2794" spans="11:24">
      <c r="K2794"/>
      <c r="L2794"/>
      <c r="M2794"/>
      <c r="N2794"/>
      <c r="U2794"/>
      <c r="V2794"/>
      <c r="W2794"/>
      <c r="X2794"/>
    </row>
    <row r="2795" spans="11:24">
      <c r="K2795"/>
      <c r="L2795"/>
      <c r="M2795"/>
      <c r="N2795"/>
      <c r="U2795"/>
      <c r="V2795"/>
      <c r="W2795"/>
      <c r="X2795"/>
    </row>
    <row r="2796" spans="11:24">
      <c r="K2796"/>
      <c r="L2796"/>
      <c r="M2796"/>
      <c r="N2796"/>
      <c r="U2796"/>
      <c r="V2796"/>
      <c r="W2796"/>
      <c r="X2796"/>
    </row>
    <row r="2797" spans="11:24">
      <c r="K2797"/>
      <c r="L2797"/>
      <c r="M2797"/>
      <c r="N2797"/>
      <c r="U2797"/>
      <c r="V2797"/>
      <c r="W2797"/>
      <c r="X2797"/>
    </row>
    <row r="2798" spans="11:24">
      <c r="K2798"/>
      <c r="L2798"/>
      <c r="M2798"/>
      <c r="N2798"/>
      <c r="U2798"/>
      <c r="V2798"/>
      <c r="W2798"/>
      <c r="X2798"/>
    </row>
    <row r="2799" spans="11:24">
      <c r="K2799"/>
      <c r="L2799"/>
      <c r="M2799"/>
      <c r="N2799"/>
      <c r="U2799"/>
      <c r="V2799"/>
      <c r="W2799"/>
      <c r="X2799"/>
    </row>
    <row r="2800" spans="11:24">
      <c r="K2800"/>
      <c r="L2800"/>
      <c r="M2800"/>
      <c r="N2800"/>
      <c r="U2800"/>
      <c r="V2800"/>
      <c r="W2800"/>
      <c r="X2800"/>
    </row>
    <row r="2801" spans="11:24">
      <c r="K2801"/>
      <c r="L2801"/>
      <c r="M2801"/>
      <c r="N2801"/>
      <c r="U2801"/>
      <c r="V2801"/>
      <c r="W2801"/>
      <c r="X2801"/>
    </row>
    <row r="2802" spans="11:24">
      <c r="K2802"/>
      <c r="L2802"/>
      <c r="M2802"/>
      <c r="N2802"/>
      <c r="U2802"/>
      <c r="V2802"/>
      <c r="W2802"/>
      <c r="X2802"/>
    </row>
    <row r="2803" spans="11:24">
      <c r="K2803"/>
      <c r="L2803"/>
      <c r="M2803"/>
      <c r="N2803"/>
      <c r="U2803"/>
      <c r="V2803"/>
      <c r="W2803"/>
      <c r="X2803"/>
    </row>
    <row r="2804" spans="11:24">
      <c r="K2804"/>
      <c r="L2804"/>
      <c r="M2804"/>
      <c r="N2804"/>
      <c r="U2804"/>
      <c r="V2804"/>
      <c r="W2804"/>
      <c r="X2804"/>
    </row>
    <row r="2805" spans="11:24">
      <c r="K2805"/>
      <c r="L2805"/>
      <c r="M2805"/>
      <c r="N2805"/>
      <c r="U2805"/>
      <c r="V2805"/>
      <c r="W2805"/>
      <c r="X2805"/>
    </row>
    <row r="2806" spans="11:24">
      <c r="K2806"/>
      <c r="L2806"/>
      <c r="M2806"/>
      <c r="N2806"/>
      <c r="U2806"/>
      <c r="V2806"/>
      <c r="W2806"/>
      <c r="X2806"/>
    </row>
    <row r="2807" spans="11:24">
      <c r="K2807"/>
      <c r="L2807"/>
      <c r="M2807"/>
      <c r="N2807"/>
      <c r="U2807"/>
      <c r="V2807"/>
      <c r="W2807"/>
      <c r="X2807"/>
    </row>
    <row r="2808" spans="11:24">
      <c r="K2808"/>
      <c r="L2808"/>
      <c r="M2808"/>
      <c r="N2808"/>
      <c r="U2808"/>
      <c r="V2808"/>
      <c r="W2808"/>
      <c r="X2808"/>
    </row>
    <row r="2809" spans="11:24">
      <c r="K2809"/>
      <c r="L2809"/>
      <c r="M2809"/>
      <c r="N2809"/>
      <c r="U2809"/>
      <c r="V2809"/>
      <c r="W2809"/>
      <c r="X2809"/>
    </row>
    <row r="2810" spans="11:24">
      <c r="K2810"/>
      <c r="L2810"/>
      <c r="M2810"/>
      <c r="N2810"/>
      <c r="U2810"/>
      <c r="V2810"/>
      <c r="W2810"/>
      <c r="X2810"/>
    </row>
    <row r="2811" spans="11:24">
      <c r="K2811"/>
      <c r="L2811"/>
      <c r="M2811"/>
      <c r="N2811"/>
      <c r="U2811"/>
      <c r="V2811"/>
      <c r="W2811"/>
      <c r="X2811"/>
    </row>
    <row r="2812" spans="11:24">
      <c r="K2812"/>
      <c r="L2812"/>
      <c r="M2812"/>
      <c r="N2812"/>
      <c r="U2812"/>
      <c r="V2812"/>
      <c r="W2812"/>
      <c r="X2812"/>
    </row>
    <row r="2813" spans="11:24">
      <c r="K2813"/>
      <c r="L2813"/>
      <c r="M2813"/>
      <c r="N2813"/>
      <c r="U2813"/>
      <c r="V2813"/>
      <c r="W2813"/>
      <c r="X2813"/>
    </row>
    <row r="2814" spans="11:24">
      <c r="K2814"/>
      <c r="L2814"/>
      <c r="M2814"/>
      <c r="N2814"/>
      <c r="U2814"/>
      <c r="V2814"/>
      <c r="W2814"/>
      <c r="X2814"/>
    </row>
    <row r="2815" spans="11:24">
      <c r="K2815"/>
      <c r="L2815"/>
      <c r="M2815"/>
      <c r="N2815"/>
      <c r="U2815"/>
      <c r="V2815"/>
      <c r="W2815"/>
      <c r="X2815"/>
    </row>
    <row r="2816" spans="11:24">
      <c r="K2816"/>
      <c r="L2816"/>
      <c r="M2816"/>
      <c r="N2816"/>
      <c r="U2816"/>
      <c r="V2816"/>
      <c r="W2816"/>
      <c r="X2816"/>
    </row>
    <row r="2817" spans="11:24">
      <c r="K2817"/>
      <c r="L2817"/>
      <c r="M2817"/>
      <c r="N2817"/>
      <c r="U2817"/>
      <c r="V2817"/>
      <c r="W2817"/>
      <c r="X2817"/>
    </row>
    <row r="2818" spans="11:24">
      <c r="K2818"/>
      <c r="L2818"/>
      <c r="M2818"/>
      <c r="N2818"/>
      <c r="U2818"/>
      <c r="V2818"/>
      <c r="W2818"/>
      <c r="X2818"/>
    </row>
    <row r="2819" spans="11:24">
      <c r="K2819"/>
      <c r="L2819"/>
      <c r="M2819"/>
      <c r="N2819"/>
      <c r="U2819"/>
      <c r="V2819"/>
      <c r="W2819"/>
      <c r="X2819"/>
    </row>
    <row r="2820" spans="11:24">
      <c r="K2820"/>
      <c r="L2820"/>
      <c r="M2820"/>
      <c r="N2820"/>
      <c r="U2820"/>
      <c r="V2820"/>
      <c r="W2820"/>
      <c r="X2820"/>
    </row>
    <row r="2821" spans="11:24">
      <c r="K2821"/>
      <c r="L2821"/>
      <c r="M2821"/>
      <c r="N2821"/>
      <c r="U2821"/>
      <c r="V2821"/>
      <c r="W2821"/>
      <c r="X2821"/>
    </row>
    <row r="2822" spans="11:24">
      <c r="K2822"/>
      <c r="L2822"/>
      <c r="M2822"/>
      <c r="N2822"/>
      <c r="U2822"/>
      <c r="V2822"/>
      <c r="W2822"/>
      <c r="X2822"/>
    </row>
    <row r="2823" spans="11:24">
      <c r="K2823"/>
      <c r="L2823"/>
      <c r="M2823"/>
      <c r="N2823"/>
      <c r="U2823"/>
      <c r="V2823"/>
      <c r="W2823"/>
      <c r="X2823"/>
    </row>
    <row r="2824" spans="11:24">
      <c r="K2824"/>
      <c r="L2824"/>
      <c r="M2824"/>
      <c r="N2824"/>
      <c r="U2824"/>
      <c r="V2824"/>
      <c r="W2824"/>
      <c r="X2824"/>
    </row>
    <row r="2825" spans="11:24">
      <c r="K2825"/>
      <c r="L2825"/>
      <c r="M2825"/>
      <c r="N2825"/>
      <c r="U2825"/>
      <c r="V2825"/>
      <c r="W2825"/>
      <c r="X2825"/>
    </row>
    <row r="2826" spans="11:24">
      <c r="K2826"/>
      <c r="L2826"/>
      <c r="M2826"/>
      <c r="N2826"/>
      <c r="U2826"/>
      <c r="V2826"/>
      <c r="W2826"/>
      <c r="X2826"/>
    </row>
    <row r="2827" spans="11:24">
      <c r="K2827"/>
      <c r="L2827"/>
      <c r="M2827"/>
      <c r="N2827"/>
      <c r="U2827"/>
      <c r="V2827"/>
      <c r="W2827"/>
      <c r="X2827"/>
    </row>
    <row r="2828" spans="11:24">
      <c r="K2828"/>
      <c r="L2828"/>
      <c r="M2828"/>
      <c r="N2828"/>
      <c r="U2828"/>
      <c r="V2828"/>
      <c r="W2828"/>
      <c r="X2828"/>
    </row>
    <row r="2829" spans="11:24">
      <c r="K2829"/>
      <c r="L2829"/>
      <c r="M2829"/>
      <c r="N2829"/>
      <c r="U2829"/>
      <c r="V2829"/>
      <c r="W2829"/>
      <c r="X2829"/>
    </row>
    <row r="2830" spans="11:24">
      <c r="K2830"/>
      <c r="L2830"/>
      <c r="M2830"/>
      <c r="N2830"/>
      <c r="U2830"/>
      <c r="V2830"/>
      <c r="W2830"/>
      <c r="X2830"/>
    </row>
    <row r="2831" spans="11:24">
      <c r="K2831"/>
      <c r="L2831"/>
      <c r="M2831"/>
      <c r="N2831"/>
      <c r="U2831"/>
      <c r="V2831"/>
      <c r="W2831"/>
      <c r="X2831"/>
    </row>
    <row r="2832" spans="11:24">
      <c r="K2832"/>
      <c r="L2832"/>
      <c r="M2832"/>
      <c r="N2832"/>
      <c r="U2832"/>
      <c r="V2832"/>
      <c r="W2832"/>
      <c r="X2832"/>
    </row>
    <row r="2833" spans="11:24">
      <c r="K2833"/>
      <c r="L2833"/>
      <c r="M2833"/>
      <c r="N2833"/>
      <c r="U2833"/>
      <c r="V2833"/>
      <c r="W2833"/>
      <c r="X2833"/>
    </row>
    <row r="2834" spans="11:24">
      <c r="K2834"/>
      <c r="L2834"/>
      <c r="M2834"/>
      <c r="N2834"/>
      <c r="U2834"/>
      <c r="V2834"/>
      <c r="W2834"/>
      <c r="X2834"/>
    </row>
    <row r="2835" spans="11:24">
      <c r="K2835"/>
      <c r="L2835"/>
      <c r="M2835"/>
      <c r="N2835"/>
      <c r="U2835"/>
      <c r="V2835"/>
      <c r="W2835"/>
      <c r="X2835"/>
    </row>
    <row r="2836" spans="11:24">
      <c r="K2836"/>
      <c r="L2836"/>
      <c r="M2836"/>
      <c r="N2836"/>
      <c r="U2836"/>
      <c r="V2836"/>
      <c r="W2836"/>
      <c r="X2836"/>
    </row>
    <row r="2837" spans="11:24">
      <c r="K2837"/>
      <c r="L2837"/>
      <c r="M2837"/>
      <c r="N2837"/>
      <c r="U2837"/>
      <c r="V2837"/>
      <c r="W2837"/>
      <c r="X2837"/>
    </row>
    <row r="2838" spans="11:24">
      <c r="K2838"/>
      <c r="L2838"/>
      <c r="M2838"/>
      <c r="N2838"/>
      <c r="U2838"/>
      <c r="V2838"/>
      <c r="W2838"/>
      <c r="X2838"/>
    </row>
    <row r="2839" spans="11:24">
      <c r="K2839"/>
      <c r="L2839"/>
      <c r="M2839"/>
      <c r="N2839"/>
      <c r="U2839"/>
      <c r="V2839"/>
      <c r="W2839"/>
      <c r="X2839"/>
    </row>
    <row r="2840" spans="11:24">
      <c r="K2840"/>
      <c r="L2840"/>
      <c r="M2840"/>
      <c r="N2840"/>
      <c r="U2840"/>
      <c r="V2840"/>
      <c r="W2840"/>
      <c r="X2840"/>
    </row>
    <row r="2841" spans="11:24">
      <c r="K2841"/>
      <c r="L2841"/>
      <c r="M2841"/>
      <c r="N2841"/>
      <c r="U2841"/>
      <c r="V2841"/>
      <c r="W2841"/>
      <c r="X2841"/>
    </row>
    <row r="2842" spans="11:24">
      <c r="K2842"/>
      <c r="L2842"/>
      <c r="M2842"/>
      <c r="N2842"/>
      <c r="U2842"/>
      <c r="V2842"/>
      <c r="W2842"/>
      <c r="X2842"/>
    </row>
    <row r="2843" spans="11:24">
      <c r="K2843"/>
      <c r="L2843"/>
      <c r="M2843"/>
      <c r="N2843"/>
      <c r="U2843"/>
      <c r="V2843"/>
      <c r="W2843"/>
      <c r="X2843"/>
    </row>
    <row r="2844" spans="11:24">
      <c r="K2844"/>
      <c r="L2844"/>
      <c r="M2844"/>
      <c r="N2844"/>
      <c r="U2844"/>
      <c r="V2844"/>
      <c r="W2844"/>
      <c r="X2844"/>
    </row>
    <row r="2845" spans="11:24">
      <c r="K2845"/>
      <c r="L2845"/>
      <c r="M2845"/>
      <c r="N2845"/>
      <c r="U2845"/>
      <c r="V2845"/>
      <c r="W2845"/>
      <c r="X2845"/>
    </row>
    <row r="2846" spans="11:24">
      <c r="K2846"/>
      <c r="L2846"/>
      <c r="M2846"/>
      <c r="N2846"/>
      <c r="U2846"/>
      <c r="V2846"/>
      <c r="W2846"/>
      <c r="X2846"/>
    </row>
    <row r="2847" spans="11:24">
      <c r="K2847"/>
      <c r="L2847"/>
      <c r="M2847"/>
      <c r="N2847"/>
      <c r="U2847"/>
      <c r="V2847"/>
      <c r="W2847"/>
      <c r="X2847"/>
    </row>
    <row r="2848" spans="11:24">
      <c r="K2848"/>
      <c r="L2848"/>
      <c r="M2848"/>
      <c r="N2848"/>
      <c r="U2848"/>
      <c r="V2848"/>
      <c r="W2848"/>
      <c r="X2848"/>
    </row>
    <row r="2849" spans="11:24">
      <c r="K2849"/>
      <c r="L2849"/>
      <c r="M2849"/>
      <c r="N2849"/>
      <c r="U2849"/>
      <c r="V2849"/>
      <c r="W2849"/>
      <c r="X2849"/>
    </row>
    <row r="2850" spans="11:24">
      <c r="K2850"/>
      <c r="L2850"/>
      <c r="M2850"/>
      <c r="N2850"/>
      <c r="U2850"/>
      <c r="V2850"/>
      <c r="W2850"/>
      <c r="X2850"/>
    </row>
    <row r="2851" spans="11:24">
      <c r="K2851"/>
      <c r="L2851"/>
      <c r="M2851"/>
      <c r="N2851"/>
      <c r="U2851"/>
      <c r="V2851"/>
      <c r="W2851"/>
      <c r="X2851"/>
    </row>
    <row r="2852" spans="11:24">
      <c r="K2852"/>
      <c r="L2852"/>
      <c r="M2852"/>
      <c r="N2852"/>
      <c r="U2852"/>
      <c r="V2852"/>
      <c r="W2852"/>
      <c r="X2852"/>
    </row>
    <row r="2853" spans="11:24">
      <c r="K2853"/>
      <c r="L2853"/>
      <c r="M2853"/>
      <c r="N2853"/>
      <c r="U2853"/>
      <c r="V2853"/>
      <c r="W2853"/>
      <c r="X2853"/>
    </row>
    <row r="2854" spans="11:24">
      <c r="K2854"/>
      <c r="L2854"/>
      <c r="M2854"/>
      <c r="N2854"/>
      <c r="U2854"/>
      <c r="V2854"/>
      <c r="W2854"/>
      <c r="X2854"/>
    </row>
    <row r="2855" spans="11:24">
      <c r="K2855"/>
      <c r="L2855"/>
      <c r="M2855"/>
      <c r="N2855"/>
      <c r="U2855"/>
      <c r="V2855"/>
      <c r="W2855"/>
      <c r="X2855"/>
    </row>
    <row r="2856" spans="11:24">
      <c r="K2856"/>
      <c r="L2856"/>
      <c r="M2856"/>
      <c r="N2856"/>
      <c r="U2856"/>
      <c r="V2856"/>
      <c r="W2856"/>
      <c r="X2856"/>
    </row>
    <row r="2857" spans="11:24">
      <c r="K2857"/>
      <c r="L2857"/>
      <c r="M2857"/>
      <c r="N2857"/>
      <c r="U2857"/>
      <c r="V2857"/>
      <c r="W2857"/>
      <c r="X2857"/>
    </row>
    <row r="2858" spans="11:24">
      <c r="K2858"/>
      <c r="L2858"/>
      <c r="M2858"/>
      <c r="N2858"/>
      <c r="U2858"/>
      <c r="V2858"/>
      <c r="W2858"/>
      <c r="X2858"/>
    </row>
    <row r="2859" spans="11:24">
      <c r="K2859"/>
      <c r="L2859"/>
      <c r="M2859"/>
      <c r="N2859"/>
      <c r="U2859"/>
      <c r="V2859"/>
      <c r="W2859"/>
      <c r="X2859"/>
    </row>
    <row r="2860" spans="11:24">
      <c r="K2860"/>
      <c r="L2860"/>
      <c r="M2860"/>
      <c r="N2860"/>
      <c r="U2860"/>
      <c r="V2860"/>
      <c r="W2860"/>
      <c r="X2860"/>
    </row>
    <row r="2861" spans="11:24">
      <c r="K2861"/>
      <c r="L2861"/>
      <c r="M2861"/>
      <c r="N2861"/>
      <c r="U2861"/>
      <c r="V2861"/>
      <c r="W2861"/>
      <c r="X2861"/>
    </row>
    <row r="2862" spans="11:24">
      <c r="K2862"/>
      <c r="L2862"/>
      <c r="M2862"/>
      <c r="N2862"/>
      <c r="U2862"/>
      <c r="V2862"/>
      <c r="W2862"/>
      <c r="X2862"/>
    </row>
    <row r="2863" spans="11:24">
      <c r="K2863"/>
      <c r="L2863"/>
      <c r="M2863"/>
      <c r="N2863"/>
      <c r="U2863"/>
      <c r="V2863"/>
      <c r="W2863"/>
      <c r="X2863"/>
    </row>
    <row r="2864" spans="11:24">
      <c r="K2864"/>
      <c r="L2864"/>
      <c r="M2864"/>
      <c r="N2864"/>
      <c r="U2864"/>
      <c r="V2864"/>
      <c r="W2864"/>
      <c r="X2864"/>
    </row>
    <row r="2865" spans="11:24">
      <c r="K2865"/>
      <c r="L2865"/>
      <c r="M2865"/>
      <c r="N2865"/>
      <c r="U2865"/>
      <c r="V2865"/>
      <c r="W2865"/>
      <c r="X2865"/>
    </row>
    <row r="2866" spans="11:24">
      <c r="K2866"/>
      <c r="L2866"/>
      <c r="M2866"/>
      <c r="N2866"/>
      <c r="U2866"/>
      <c r="V2866"/>
      <c r="W2866"/>
      <c r="X2866"/>
    </row>
    <row r="2867" spans="11:24">
      <c r="K2867"/>
      <c r="L2867"/>
      <c r="M2867"/>
      <c r="N2867"/>
      <c r="U2867"/>
      <c r="V2867"/>
      <c r="W2867"/>
      <c r="X2867"/>
    </row>
    <row r="2868" spans="11:24">
      <c r="K2868"/>
      <c r="L2868"/>
      <c r="M2868"/>
      <c r="N2868"/>
      <c r="U2868"/>
      <c r="V2868"/>
      <c r="W2868"/>
      <c r="X2868"/>
    </row>
    <row r="2869" spans="11:24">
      <c r="K2869"/>
      <c r="L2869"/>
      <c r="M2869"/>
      <c r="N2869"/>
      <c r="U2869"/>
      <c r="V2869"/>
      <c r="W2869"/>
      <c r="X2869"/>
    </row>
    <row r="2870" spans="11:24">
      <c r="K2870"/>
      <c r="L2870"/>
      <c r="M2870"/>
      <c r="N2870"/>
      <c r="U2870"/>
      <c r="V2870"/>
      <c r="W2870"/>
      <c r="X2870"/>
    </row>
    <row r="2871" spans="11:24">
      <c r="K2871"/>
      <c r="L2871"/>
      <c r="M2871"/>
      <c r="N2871"/>
      <c r="U2871"/>
      <c r="V2871"/>
      <c r="W2871"/>
      <c r="X2871"/>
    </row>
    <row r="2872" spans="11:24">
      <c r="K2872"/>
      <c r="L2872"/>
      <c r="M2872"/>
      <c r="N2872"/>
      <c r="U2872"/>
      <c r="V2872"/>
      <c r="W2872"/>
      <c r="X2872"/>
    </row>
    <row r="2873" spans="11:24">
      <c r="K2873"/>
      <c r="L2873"/>
      <c r="M2873"/>
      <c r="N2873"/>
      <c r="U2873"/>
      <c r="V2873"/>
      <c r="W2873"/>
      <c r="X2873"/>
    </row>
    <row r="2874" spans="11:24">
      <c r="K2874"/>
      <c r="L2874"/>
      <c r="M2874"/>
      <c r="N2874"/>
      <c r="U2874"/>
      <c r="V2874"/>
      <c r="W2874"/>
      <c r="X2874"/>
    </row>
    <row r="2875" spans="11:24">
      <c r="K2875"/>
      <c r="L2875"/>
      <c r="M2875"/>
      <c r="N2875"/>
      <c r="U2875"/>
      <c r="V2875"/>
      <c r="W2875"/>
      <c r="X2875"/>
    </row>
    <row r="2876" spans="11:24">
      <c r="K2876"/>
      <c r="L2876"/>
      <c r="M2876"/>
      <c r="N2876"/>
      <c r="U2876"/>
      <c r="V2876"/>
      <c r="W2876"/>
      <c r="X2876"/>
    </row>
    <row r="2877" spans="11:24">
      <c r="K2877"/>
      <c r="L2877"/>
      <c r="M2877"/>
      <c r="N2877"/>
      <c r="U2877"/>
      <c r="V2877"/>
      <c r="W2877"/>
      <c r="X2877"/>
    </row>
    <row r="2878" spans="11:24">
      <c r="K2878"/>
      <c r="L2878"/>
      <c r="M2878"/>
      <c r="N2878"/>
      <c r="U2878"/>
      <c r="V2878"/>
      <c r="W2878"/>
      <c r="X2878"/>
    </row>
    <row r="2879" spans="11:24">
      <c r="K2879"/>
      <c r="L2879"/>
      <c r="M2879"/>
      <c r="N2879"/>
      <c r="U2879"/>
      <c r="V2879"/>
      <c r="W2879"/>
      <c r="X2879"/>
    </row>
    <row r="2880" spans="11:24">
      <c r="K2880"/>
      <c r="L2880"/>
      <c r="M2880"/>
      <c r="N2880"/>
      <c r="U2880"/>
      <c r="V2880"/>
      <c r="W2880"/>
      <c r="X2880"/>
    </row>
    <row r="2881" spans="11:24">
      <c r="K2881"/>
      <c r="L2881"/>
      <c r="M2881"/>
      <c r="N2881"/>
      <c r="U2881"/>
      <c r="V2881"/>
      <c r="W2881"/>
      <c r="X2881"/>
    </row>
    <row r="2882" spans="11:24">
      <c r="K2882"/>
      <c r="L2882"/>
      <c r="M2882"/>
      <c r="N2882"/>
      <c r="U2882"/>
      <c r="V2882"/>
      <c r="W2882"/>
      <c r="X2882"/>
    </row>
    <row r="2883" spans="11:24">
      <c r="K2883"/>
      <c r="L2883"/>
      <c r="M2883"/>
      <c r="N2883"/>
      <c r="U2883"/>
      <c r="V2883"/>
      <c r="W2883"/>
      <c r="X2883"/>
    </row>
    <row r="2884" spans="11:24">
      <c r="K2884"/>
      <c r="L2884"/>
      <c r="M2884"/>
      <c r="N2884"/>
      <c r="U2884"/>
      <c r="V2884"/>
      <c r="W2884"/>
      <c r="X2884"/>
    </row>
    <row r="2885" spans="11:24">
      <c r="K2885"/>
      <c r="L2885"/>
      <c r="M2885"/>
      <c r="N2885"/>
      <c r="U2885"/>
      <c r="V2885"/>
      <c r="W2885"/>
      <c r="X2885"/>
    </row>
    <row r="2886" spans="11:24">
      <c r="K2886"/>
      <c r="L2886"/>
      <c r="M2886"/>
      <c r="N2886"/>
      <c r="U2886"/>
      <c r="V2886"/>
      <c r="W2886"/>
      <c r="X2886"/>
    </row>
    <row r="2887" spans="11:24">
      <c r="K2887"/>
      <c r="L2887"/>
      <c r="M2887"/>
      <c r="N2887"/>
      <c r="U2887"/>
      <c r="V2887"/>
      <c r="W2887"/>
      <c r="X2887"/>
    </row>
    <row r="2888" spans="11:24">
      <c r="K2888"/>
      <c r="L2888"/>
      <c r="M2888"/>
      <c r="N2888"/>
      <c r="U2888"/>
      <c r="V2888"/>
      <c r="W2888"/>
      <c r="X2888"/>
    </row>
    <row r="2889" spans="11:24">
      <c r="K2889"/>
      <c r="L2889"/>
      <c r="M2889"/>
      <c r="N2889"/>
      <c r="U2889"/>
      <c r="V2889"/>
      <c r="W2889"/>
      <c r="X2889"/>
    </row>
    <row r="2890" spans="11:24">
      <c r="K2890"/>
      <c r="L2890"/>
      <c r="M2890"/>
      <c r="N2890"/>
      <c r="U2890"/>
      <c r="V2890"/>
      <c r="W2890"/>
      <c r="X2890"/>
    </row>
    <row r="2891" spans="11:24">
      <c r="K2891"/>
      <c r="L2891"/>
      <c r="M2891"/>
      <c r="N2891"/>
      <c r="U2891"/>
      <c r="V2891"/>
      <c r="W2891"/>
      <c r="X2891"/>
    </row>
    <row r="2892" spans="11:24">
      <c r="K2892"/>
      <c r="L2892"/>
      <c r="M2892"/>
      <c r="N2892"/>
      <c r="U2892"/>
      <c r="V2892"/>
      <c r="W2892"/>
      <c r="X2892"/>
    </row>
    <row r="2893" spans="11:24">
      <c r="K2893"/>
      <c r="L2893"/>
      <c r="M2893"/>
      <c r="N2893"/>
      <c r="U2893"/>
      <c r="V2893"/>
      <c r="W2893"/>
      <c r="X2893"/>
    </row>
    <row r="2894" spans="11:24">
      <c r="K2894"/>
      <c r="L2894"/>
      <c r="M2894"/>
      <c r="N2894"/>
      <c r="U2894"/>
      <c r="V2894"/>
      <c r="W2894"/>
      <c r="X2894"/>
    </row>
    <row r="2895" spans="11:24">
      <c r="K2895"/>
      <c r="L2895"/>
      <c r="M2895"/>
      <c r="N2895"/>
      <c r="U2895"/>
      <c r="V2895"/>
      <c r="W2895"/>
      <c r="X2895"/>
    </row>
    <row r="2896" spans="11:24">
      <c r="K2896"/>
      <c r="L2896"/>
      <c r="M2896"/>
      <c r="N2896"/>
      <c r="U2896"/>
      <c r="V2896"/>
      <c r="W2896"/>
      <c r="X2896"/>
    </row>
    <row r="2897" spans="11:24">
      <c r="K2897"/>
      <c r="L2897"/>
      <c r="M2897"/>
      <c r="N2897"/>
      <c r="U2897"/>
      <c r="V2897"/>
      <c r="W2897"/>
      <c r="X2897"/>
    </row>
    <row r="2898" spans="11:24">
      <c r="K2898"/>
      <c r="L2898"/>
      <c r="M2898"/>
      <c r="N2898"/>
      <c r="U2898"/>
      <c r="V2898"/>
      <c r="W2898"/>
      <c r="X2898"/>
    </row>
    <row r="2899" spans="11:24">
      <c r="K2899"/>
      <c r="L2899"/>
      <c r="M2899"/>
      <c r="N2899"/>
      <c r="U2899"/>
      <c r="V2899"/>
      <c r="W2899"/>
      <c r="X2899"/>
    </row>
    <row r="2900" spans="11:24">
      <c r="K2900"/>
      <c r="L2900"/>
      <c r="M2900"/>
      <c r="N2900"/>
      <c r="U2900"/>
      <c r="V2900"/>
      <c r="W2900"/>
      <c r="X2900"/>
    </row>
    <row r="2901" spans="11:24">
      <c r="K2901"/>
      <c r="L2901"/>
      <c r="M2901"/>
      <c r="N2901"/>
      <c r="U2901"/>
      <c r="V2901"/>
      <c r="W2901"/>
      <c r="X2901"/>
    </row>
    <row r="2902" spans="11:24">
      <c r="K2902"/>
      <c r="L2902"/>
      <c r="M2902"/>
      <c r="N2902"/>
      <c r="U2902"/>
      <c r="V2902"/>
      <c r="W2902"/>
      <c r="X2902"/>
    </row>
    <row r="2903" spans="11:24">
      <c r="K2903"/>
      <c r="L2903"/>
      <c r="M2903"/>
      <c r="N2903"/>
      <c r="U2903"/>
      <c r="V2903"/>
      <c r="W2903"/>
      <c r="X2903"/>
    </row>
    <row r="2904" spans="11:24">
      <c r="K2904"/>
      <c r="L2904"/>
      <c r="M2904"/>
      <c r="N2904"/>
      <c r="U2904"/>
      <c r="V2904"/>
      <c r="W2904"/>
      <c r="X2904"/>
    </row>
    <row r="2905" spans="11:24">
      <c r="K2905"/>
      <c r="L2905"/>
      <c r="M2905"/>
      <c r="N2905"/>
      <c r="U2905"/>
      <c r="V2905"/>
      <c r="W2905"/>
      <c r="X2905"/>
    </row>
    <row r="2906" spans="11:24">
      <c r="K2906"/>
      <c r="L2906"/>
      <c r="M2906"/>
      <c r="N2906"/>
      <c r="U2906"/>
      <c r="V2906"/>
      <c r="W2906"/>
      <c r="X2906"/>
    </row>
    <row r="2907" spans="11:24">
      <c r="K2907"/>
      <c r="L2907"/>
      <c r="M2907"/>
      <c r="N2907"/>
      <c r="U2907"/>
      <c r="V2907"/>
      <c r="W2907"/>
      <c r="X2907"/>
    </row>
    <row r="2908" spans="11:24">
      <c r="K2908"/>
      <c r="L2908"/>
      <c r="M2908"/>
      <c r="N2908"/>
      <c r="U2908"/>
      <c r="V2908"/>
      <c r="W2908"/>
      <c r="X2908"/>
    </row>
    <row r="2909" spans="11:24">
      <c r="K2909"/>
      <c r="L2909"/>
      <c r="M2909"/>
      <c r="N2909"/>
      <c r="U2909"/>
      <c r="V2909"/>
      <c r="W2909"/>
      <c r="X2909"/>
    </row>
    <row r="2910" spans="11:24">
      <c r="K2910"/>
      <c r="L2910"/>
      <c r="M2910"/>
      <c r="N2910"/>
      <c r="U2910"/>
      <c r="V2910"/>
      <c r="W2910"/>
      <c r="X2910"/>
    </row>
    <row r="2911" spans="11:24">
      <c r="K2911"/>
      <c r="L2911"/>
      <c r="M2911"/>
      <c r="N2911"/>
      <c r="U2911"/>
      <c r="V2911"/>
      <c r="W2911"/>
      <c r="X2911"/>
    </row>
    <row r="2912" spans="11:24">
      <c r="K2912"/>
      <c r="L2912"/>
      <c r="M2912"/>
      <c r="N2912"/>
      <c r="U2912"/>
      <c r="V2912"/>
      <c r="W2912"/>
      <c r="X2912"/>
    </row>
    <row r="2913" spans="11:24">
      <c r="K2913"/>
      <c r="L2913"/>
      <c r="M2913"/>
      <c r="N2913"/>
      <c r="U2913"/>
      <c r="V2913"/>
      <c r="W2913"/>
      <c r="X2913"/>
    </row>
    <row r="2914" spans="11:24">
      <c r="K2914"/>
      <c r="L2914"/>
      <c r="M2914"/>
      <c r="N2914"/>
      <c r="U2914"/>
      <c r="V2914"/>
      <c r="W2914"/>
      <c r="X2914"/>
    </row>
    <row r="2915" spans="11:24">
      <c r="K2915"/>
      <c r="L2915"/>
      <c r="M2915"/>
      <c r="N2915"/>
      <c r="U2915"/>
      <c r="V2915"/>
      <c r="W2915"/>
      <c r="X2915"/>
    </row>
    <row r="2916" spans="11:24">
      <c r="K2916"/>
      <c r="L2916"/>
      <c r="M2916"/>
      <c r="N2916"/>
      <c r="U2916"/>
      <c r="V2916"/>
      <c r="W2916"/>
      <c r="X2916"/>
    </row>
    <row r="2917" spans="11:24">
      <c r="K2917"/>
      <c r="L2917"/>
      <c r="M2917"/>
      <c r="N2917"/>
      <c r="U2917"/>
      <c r="V2917"/>
      <c r="W2917"/>
      <c r="X2917"/>
    </row>
    <row r="2918" spans="11:24">
      <c r="K2918"/>
      <c r="L2918"/>
      <c r="M2918"/>
      <c r="N2918"/>
      <c r="U2918"/>
      <c r="V2918"/>
      <c r="W2918"/>
      <c r="X2918"/>
    </row>
    <row r="2919" spans="11:24">
      <c r="K2919"/>
      <c r="L2919"/>
      <c r="M2919"/>
      <c r="N2919"/>
      <c r="U2919"/>
      <c r="V2919"/>
      <c r="W2919"/>
      <c r="X2919"/>
    </row>
    <row r="2920" spans="11:24">
      <c r="K2920"/>
      <c r="L2920"/>
      <c r="M2920"/>
      <c r="N2920"/>
      <c r="U2920"/>
      <c r="V2920"/>
      <c r="W2920"/>
      <c r="X2920"/>
    </row>
    <row r="2921" spans="11:24">
      <c r="K2921"/>
      <c r="L2921"/>
      <c r="M2921"/>
      <c r="N2921"/>
      <c r="U2921"/>
      <c r="V2921"/>
      <c r="W2921"/>
      <c r="X2921"/>
    </row>
    <row r="2922" spans="11:24">
      <c r="K2922"/>
      <c r="L2922"/>
      <c r="M2922"/>
      <c r="N2922"/>
      <c r="U2922"/>
      <c r="V2922"/>
      <c r="W2922"/>
      <c r="X2922"/>
    </row>
    <row r="2923" spans="11:24">
      <c r="K2923"/>
      <c r="L2923"/>
      <c r="M2923"/>
      <c r="N2923"/>
      <c r="U2923"/>
      <c r="V2923"/>
      <c r="W2923"/>
      <c r="X2923"/>
    </row>
    <row r="2924" spans="11:24">
      <c r="K2924"/>
      <c r="L2924"/>
      <c r="M2924"/>
      <c r="N2924"/>
      <c r="U2924"/>
      <c r="V2924"/>
      <c r="W2924"/>
      <c r="X2924"/>
    </row>
    <row r="2925" spans="11:24">
      <c r="K2925"/>
      <c r="L2925"/>
      <c r="M2925"/>
      <c r="N2925"/>
      <c r="U2925"/>
      <c r="V2925"/>
      <c r="W2925"/>
      <c r="X2925"/>
    </row>
    <row r="2926" spans="11:24">
      <c r="K2926"/>
      <c r="L2926"/>
      <c r="M2926"/>
      <c r="N2926"/>
      <c r="U2926"/>
      <c r="V2926"/>
      <c r="W2926"/>
      <c r="X2926"/>
    </row>
    <row r="2927" spans="11:24">
      <c r="K2927"/>
      <c r="L2927"/>
      <c r="M2927"/>
      <c r="N2927"/>
      <c r="U2927"/>
      <c r="V2927"/>
      <c r="W2927"/>
      <c r="X2927"/>
    </row>
    <row r="2928" spans="11:24">
      <c r="K2928"/>
      <c r="L2928"/>
      <c r="M2928"/>
      <c r="N2928"/>
      <c r="U2928"/>
      <c r="V2928"/>
      <c r="W2928"/>
      <c r="X2928"/>
    </row>
    <row r="2929" spans="11:24">
      <c r="K2929"/>
      <c r="L2929"/>
      <c r="M2929"/>
      <c r="N2929"/>
      <c r="U2929"/>
      <c r="V2929"/>
      <c r="W2929"/>
      <c r="X2929"/>
    </row>
    <row r="2930" spans="11:24">
      <c r="K2930"/>
      <c r="L2930"/>
      <c r="M2930"/>
      <c r="N2930"/>
      <c r="U2930"/>
      <c r="V2930"/>
      <c r="W2930"/>
      <c r="X2930"/>
    </row>
    <row r="2931" spans="11:24">
      <c r="K2931"/>
      <c r="L2931"/>
      <c r="M2931"/>
      <c r="N2931"/>
      <c r="U2931"/>
      <c r="V2931"/>
      <c r="W2931"/>
      <c r="X2931"/>
    </row>
    <row r="2932" spans="11:24">
      <c r="K2932"/>
      <c r="L2932"/>
      <c r="M2932"/>
      <c r="N2932"/>
      <c r="U2932"/>
      <c r="V2932"/>
      <c r="W2932"/>
      <c r="X2932"/>
    </row>
    <row r="2933" spans="11:24">
      <c r="K2933"/>
      <c r="L2933"/>
      <c r="M2933"/>
      <c r="N2933"/>
      <c r="U2933"/>
      <c r="V2933"/>
      <c r="W2933"/>
      <c r="X2933"/>
    </row>
    <row r="2934" spans="11:24">
      <c r="K2934"/>
      <c r="L2934"/>
      <c r="M2934"/>
      <c r="N2934"/>
      <c r="U2934"/>
      <c r="V2934"/>
      <c r="W2934"/>
      <c r="X2934"/>
    </row>
    <row r="2935" spans="11:24">
      <c r="K2935"/>
      <c r="L2935"/>
      <c r="M2935"/>
      <c r="N2935"/>
      <c r="U2935"/>
      <c r="V2935"/>
      <c r="W2935"/>
      <c r="X2935"/>
    </row>
    <row r="2936" spans="11:24">
      <c r="K2936"/>
      <c r="L2936"/>
      <c r="M2936"/>
      <c r="N2936"/>
      <c r="U2936"/>
      <c r="V2936"/>
      <c r="W2936"/>
      <c r="X2936"/>
    </row>
    <row r="2937" spans="11:24">
      <c r="K2937"/>
      <c r="L2937"/>
      <c r="M2937"/>
      <c r="N2937"/>
      <c r="U2937"/>
      <c r="V2937"/>
      <c r="W2937"/>
      <c r="X2937"/>
    </row>
    <row r="2938" spans="11:24">
      <c r="K2938"/>
      <c r="L2938"/>
      <c r="M2938"/>
      <c r="N2938"/>
      <c r="U2938"/>
      <c r="V2938"/>
      <c r="W2938"/>
      <c r="X2938"/>
    </row>
    <row r="2939" spans="11:24">
      <c r="K2939"/>
      <c r="L2939"/>
      <c r="M2939"/>
      <c r="N2939"/>
      <c r="U2939"/>
      <c r="V2939"/>
      <c r="W2939"/>
      <c r="X2939"/>
    </row>
    <row r="2940" spans="11:24">
      <c r="K2940"/>
      <c r="L2940"/>
      <c r="M2940"/>
      <c r="N2940"/>
      <c r="U2940"/>
      <c r="V2940"/>
      <c r="W2940"/>
      <c r="X2940"/>
    </row>
    <row r="2941" spans="11:24">
      <c r="K2941"/>
      <c r="L2941"/>
      <c r="M2941"/>
      <c r="N2941"/>
      <c r="U2941"/>
      <c r="V2941"/>
      <c r="W2941"/>
      <c r="X2941"/>
    </row>
    <row r="2942" spans="11:24">
      <c r="K2942"/>
      <c r="L2942"/>
      <c r="M2942"/>
      <c r="N2942"/>
      <c r="U2942"/>
      <c r="V2942"/>
      <c r="W2942"/>
      <c r="X2942"/>
    </row>
    <row r="2943" spans="11:24">
      <c r="K2943"/>
      <c r="L2943"/>
      <c r="M2943"/>
      <c r="N2943"/>
      <c r="U2943"/>
      <c r="V2943"/>
      <c r="W2943"/>
      <c r="X2943"/>
    </row>
    <row r="2944" spans="11:24">
      <c r="K2944"/>
      <c r="L2944"/>
      <c r="M2944"/>
      <c r="N2944"/>
      <c r="U2944"/>
      <c r="V2944"/>
      <c r="W2944"/>
      <c r="X2944"/>
    </row>
    <row r="2945" spans="11:24">
      <c r="K2945"/>
      <c r="L2945"/>
      <c r="M2945"/>
      <c r="N2945"/>
      <c r="U2945"/>
      <c r="V2945"/>
      <c r="W2945"/>
      <c r="X2945"/>
    </row>
    <row r="2946" spans="11:24">
      <c r="K2946"/>
      <c r="L2946"/>
      <c r="M2946"/>
      <c r="N2946"/>
      <c r="U2946"/>
      <c r="V2946"/>
      <c r="W2946"/>
      <c r="X2946"/>
    </row>
    <row r="2947" spans="11:24">
      <c r="K2947"/>
      <c r="L2947"/>
      <c r="M2947"/>
      <c r="N2947"/>
      <c r="U2947"/>
      <c r="V2947"/>
      <c r="W2947"/>
      <c r="X2947"/>
    </row>
    <row r="2948" spans="11:24">
      <c r="K2948"/>
      <c r="L2948"/>
      <c r="M2948"/>
      <c r="N2948"/>
      <c r="U2948"/>
      <c r="V2948"/>
      <c r="W2948"/>
      <c r="X2948"/>
    </row>
    <row r="2949" spans="11:24">
      <c r="K2949"/>
      <c r="L2949"/>
      <c r="M2949"/>
      <c r="N2949"/>
      <c r="U2949"/>
      <c r="V2949"/>
      <c r="W2949"/>
      <c r="X2949"/>
    </row>
    <row r="2950" spans="11:24">
      <c r="K2950"/>
      <c r="L2950"/>
      <c r="M2950"/>
      <c r="N2950"/>
      <c r="U2950"/>
      <c r="V2950"/>
      <c r="W2950"/>
      <c r="X2950"/>
    </row>
    <row r="2951" spans="11:24">
      <c r="K2951"/>
      <c r="L2951"/>
      <c r="M2951"/>
      <c r="N2951"/>
      <c r="U2951"/>
      <c r="V2951"/>
      <c r="W2951"/>
      <c r="X2951"/>
    </row>
    <row r="2952" spans="11:24">
      <c r="K2952"/>
      <c r="L2952"/>
      <c r="M2952"/>
      <c r="N2952"/>
      <c r="U2952"/>
      <c r="V2952"/>
      <c r="W2952"/>
      <c r="X2952"/>
    </row>
    <row r="2953" spans="11:24">
      <c r="K2953"/>
      <c r="L2953"/>
      <c r="M2953"/>
      <c r="N2953"/>
      <c r="U2953"/>
      <c r="V2953"/>
      <c r="W2953"/>
      <c r="X2953"/>
    </row>
    <row r="2954" spans="11:24">
      <c r="K2954"/>
      <c r="L2954"/>
      <c r="M2954"/>
      <c r="N2954"/>
      <c r="U2954"/>
      <c r="V2954"/>
      <c r="W2954"/>
      <c r="X2954"/>
    </row>
    <row r="2955" spans="11:24">
      <c r="K2955"/>
      <c r="L2955"/>
      <c r="M2955"/>
      <c r="N2955"/>
      <c r="U2955"/>
      <c r="V2955"/>
      <c r="W2955"/>
      <c r="X2955"/>
    </row>
    <row r="2956" spans="11:24">
      <c r="K2956"/>
      <c r="L2956"/>
      <c r="M2956"/>
      <c r="N2956"/>
      <c r="U2956"/>
      <c r="V2956"/>
      <c r="W2956"/>
      <c r="X2956"/>
    </row>
    <row r="2957" spans="11:24">
      <c r="K2957"/>
      <c r="L2957"/>
      <c r="M2957"/>
      <c r="N2957"/>
      <c r="U2957"/>
      <c r="V2957"/>
      <c r="W2957"/>
      <c r="X2957"/>
    </row>
    <row r="2958" spans="11:24">
      <c r="K2958"/>
      <c r="L2958"/>
      <c r="M2958"/>
      <c r="N2958"/>
      <c r="U2958"/>
      <c r="V2958"/>
      <c r="W2958"/>
      <c r="X2958"/>
    </row>
    <row r="2959" spans="11:24">
      <c r="K2959"/>
      <c r="L2959"/>
      <c r="M2959"/>
      <c r="N2959"/>
      <c r="U2959"/>
      <c r="V2959"/>
      <c r="W2959"/>
      <c r="X2959"/>
    </row>
    <row r="2960" spans="11:24">
      <c r="K2960"/>
      <c r="L2960"/>
      <c r="M2960"/>
      <c r="N2960"/>
      <c r="U2960"/>
      <c r="V2960"/>
      <c r="W2960"/>
      <c r="X2960"/>
    </row>
    <row r="2961" spans="11:24">
      <c r="K2961"/>
      <c r="L2961"/>
      <c r="M2961"/>
      <c r="N2961"/>
      <c r="U2961"/>
      <c r="V2961"/>
      <c r="W2961"/>
      <c r="X2961"/>
    </row>
    <row r="2962" spans="11:24">
      <c r="K2962"/>
      <c r="L2962"/>
      <c r="M2962"/>
      <c r="N2962"/>
      <c r="U2962"/>
      <c r="V2962"/>
      <c r="W2962"/>
      <c r="X2962"/>
    </row>
    <row r="2963" spans="11:24">
      <c r="K2963"/>
      <c r="L2963"/>
      <c r="M2963"/>
      <c r="N2963"/>
      <c r="U2963"/>
      <c r="V2963"/>
      <c r="W2963"/>
      <c r="X2963"/>
    </row>
    <row r="2964" spans="11:24">
      <c r="K2964"/>
      <c r="L2964"/>
      <c r="M2964"/>
      <c r="N2964"/>
      <c r="U2964"/>
      <c r="V2964"/>
      <c r="W2964"/>
      <c r="X2964"/>
    </row>
    <row r="2965" spans="11:24">
      <c r="K2965"/>
      <c r="L2965"/>
      <c r="M2965"/>
      <c r="N2965"/>
      <c r="U2965"/>
      <c r="V2965"/>
      <c r="W2965"/>
      <c r="X2965"/>
    </row>
    <row r="2966" spans="11:24">
      <c r="K2966"/>
      <c r="L2966"/>
      <c r="M2966"/>
      <c r="N2966"/>
      <c r="U2966"/>
      <c r="V2966"/>
      <c r="W2966"/>
      <c r="X2966"/>
    </row>
    <row r="2967" spans="11:24">
      <c r="K2967"/>
      <c r="L2967"/>
      <c r="M2967"/>
      <c r="N2967"/>
      <c r="U2967"/>
      <c r="V2967"/>
      <c r="W2967"/>
      <c r="X2967"/>
    </row>
    <row r="2968" spans="11:24">
      <c r="K2968"/>
      <c r="L2968"/>
      <c r="M2968"/>
      <c r="N2968"/>
      <c r="U2968"/>
      <c r="V2968"/>
      <c r="W2968"/>
      <c r="X2968"/>
    </row>
    <row r="2969" spans="11:24">
      <c r="K2969"/>
      <c r="L2969"/>
      <c r="M2969"/>
      <c r="N2969"/>
      <c r="U2969"/>
      <c r="V2969"/>
      <c r="W2969"/>
      <c r="X2969"/>
    </row>
    <row r="2970" spans="11:24">
      <c r="K2970"/>
      <c r="L2970"/>
      <c r="M2970"/>
      <c r="N2970"/>
      <c r="U2970"/>
      <c r="V2970"/>
      <c r="W2970"/>
      <c r="X2970"/>
    </row>
    <row r="2971" spans="11:24">
      <c r="K2971"/>
      <c r="L2971"/>
      <c r="M2971"/>
      <c r="N2971"/>
      <c r="U2971"/>
      <c r="V2971"/>
      <c r="W2971"/>
      <c r="X2971"/>
    </row>
    <row r="2972" spans="11:24">
      <c r="K2972"/>
      <c r="L2972"/>
      <c r="M2972"/>
      <c r="N2972"/>
      <c r="U2972"/>
      <c r="V2972"/>
      <c r="W2972"/>
      <c r="X2972"/>
    </row>
    <row r="2973" spans="11:24">
      <c r="K2973"/>
      <c r="L2973"/>
      <c r="M2973"/>
      <c r="N2973"/>
      <c r="U2973"/>
      <c r="V2973"/>
      <c r="W2973"/>
      <c r="X2973"/>
    </row>
    <row r="2974" spans="11:24">
      <c r="K2974"/>
      <c r="L2974"/>
      <c r="M2974"/>
      <c r="N2974"/>
      <c r="U2974"/>
      <c r="V2974"/>
      <c r="W2974"/>
      <c r="X2974"/>
    </row>
    <row r="2975" spans="11:24">
      <c r="K2975"/>
      <c r="L2975"/>
      <c r="M2975"/>
      <c r="N2975"/>
      <c r="U2975"/>
      <c r="V2975"/>
      <c r="W2975"/>
      <c r="X2975"/>
    </row>
    <row r="2976" spans="11:24">
      <c r="K2976"/>
      <c r="L2976"/>
      <c r="M2976"/>
      <c r="N2976"/>
      <c r="U2976"/>
      <c r="V2976"/>
      <c r="W2976"/>
      <c r="X2976"/>
    </row>
    <row r="2977" spans="11:24">
      <c r="K2977"/>
      <c r="L2977"/>
      <c r="M2977"/>
      <c r="N2977"/>
      <c r="U2977"/>
      <c r="V2977"/>
      <c r="W2977"/>
      <c r="X2977"/>
    </row>
    <row r="2978" spans="11:24">
      <c r="K2978"/>
      <c r="L2978"/>
      <c r="M2978"/>
      <c r="N2978"/>
      <c r="U2978"/>
      <c r="V2978"/>
      <c r="W2978"/>
      <c r="X2978"/>
    </row>
    <row r="2979" spans="11:24">
      <c r="K2979"/>
      <c r="L2979"/>
      <c r="M2979"/>
      <c r="N2979"/>
      <c r="U2979"/>
      <c r="V2979"/>
      <c r="W2979"/>
      <c r="X2979"/>
    </row>
    <row r="2980" spans="11:24">
      <c r="K2980"/>
      <c r="L2980"/>
      <c r="M2980"/>
      <c r="N2980"/>
      <c r="U2980"/>
      <c r="V2980"/>
      <c r="W2980"/>
      <c r="X2980"/>
    </row>
    <row r="2981" spans="11:24">
      <c r="K2981"/>
      <c r="L2981"/>
      <c r="M2981"/>
      <c r="N2981"/>
      <c r="U2981"/>
      <c r="V2981"/>
      <c r="W2981"/>
      <c r="X2981"/>
    </row>
    <row r="2982" spans="11:24">
      <c r="K2982"/>
      <c r="L2982"/>
      <c r="M2982"/>
      <c r="N2982"/>
      <c r="U2982"/>
      <c r="V2982"/>
      <c r="W2982"/>
      <c r="X2982"/>
    </row>
    <row r="2983" spans="11:24">
      <c r="K2983"/>
      <c r="L2983"/>
      <c r="M2983"/>
      <c r="N2983"/>
      <c r="U2983"/>
      <c r="V2983"/>
      <c r="W2983"/>
      <c r="X2983"/>
    </row>
    <row r="2984" spans="11:24">
      <c r="K2984"/>
      <c r="L2984"/>
      <c r="M2984"/>
      <c r="N2984"/>
      <c r="U2984"/>
      <c r="V2984"/>
      <c r="W2984"/>
      <c r="X2984"/>
    </row>
    <row r="2985" spans="11:24">
      <c r="K2985"/>
      <c r="L2985"/>
      <c r="M2985"/>
      <c r="N2985"/>
      <c r="U2985"/>
      <c r="V2985"/>
      <c r="W2985"/>
      <c r="X2985"/>
    </row>
    <row r="2986" spans="11:24">
      <c r="K2986"/>
      <c r="L2986"/>
      <c r="M2986"/>
      <c r="N2986"/>
      <c r="U2986"/>
      <c r="V2986"/>
      <c r="W2986"/>
      <c r="X2986"/>
    </row>
    <row r="2987" spans="11:24">
      <c r="K2987"/>
      <c r="L2987"/>
      <c r="M2987"/>
      <c r="N2987"/>
      <c r="U2987"/>
      <c r="V2987"/>
      <c r="W2987"/>
      <c r="X2987"/>
    </row>
    <row r="2988" spans="11:24">
      <c r="K2988"/>
      <c r="L2988"/>
      <c r="M2988"/>
      <c r="N2988"/>
      <c r="U2988"/>
      <c r="V2988"/>
      <c r="W2988"/>
      <c r="X2988"/>
    </row>
    <row r="2989" spans="11:24">
      <c r="K2989"/>
      <c r="L2989"/>
      <c r="M2989"/>
      <c r="N2989"/>
      <c r="U2989"/>
      <c r="V2989"/>
      <c r="W2989"/>
      <c r="X2989"/>
    </row>
    <row r="2990" spans="11:24">
      <c r="K2990"/>
      <c r="L2990"/>
      <c r="M2990"/>
      <c r="N2990"/>
      <c r="U2990"/>
      <c r="V2990"/>
      <c r="W2990"/>
      <c r="X2990"/>
    </row>
    <row r="2991" spans="11:24">
      <c r="K2991"/>
      <c r="L2991"/>
      <c r="M2991"/>
      <c r="N2991"/>
      <c r="U2991"/>
      <c r="V2991"/>
      <c r="W2991"/>
      <c r="X2991"/>
    </row>
    <row r="2992" spans="11:24">
      <c r="K2992"/>
      <c r="L2992"/>
      <c r="M2992"/>
      <c r="N2992"/>
      <c r="U2992"/>
      <c r="V2992"/>
      <c r="W2992"/>
      <c r="X2992"/>
    </row>
    <row r="2993" spans="11:24">
      <c r="K2993"/>
      <c r="L2993"/>
      <c r="M2993"/>
      <c r="N2993"/>
      <c r="U2993"/>
      <c r="V2993"/>
      <c r="W2993"/>
      <c r="X2993"/>
    </row>
    <row r="2994" spans="11:24">
      <c r="K2994"/>
      <c r="L2994"/>
      <c r="M2994"/>
      <c r="N2994"/>
      <c r="U2994"/>
      <c r="V2994"/>
      <c r="W2994"/>
      <c r="X2994"/>
    </row>
    <row r="2995" spans="11:24">
      <c r="K2995"/>
      <c r="L2995"/>
      <c r="M2995"/>
      <c r="N2995"/>
      <c r="U2995"/>
      <c r="V2995"/>
      <c r="W2995"/>
      <c r="X2995"/>
    </row>
    <row r="2996" spans="11:24">
      <c r="K2996"/>
      <c r="L2996"/>
      <c r="M2996"/>
      <c r="N2996"/>
      <c r="U2996"/>
      <c r="V2996"/>
      <c r="W2996"/>
      <c r="X2996"/>
    </row>
    <row r="2997" spans="11:24">
      <c r="K2997"/>
      <c r="L2997"/>
      <c r="M2997"/>
      <c r="N2997"/>
      <c r="U2997"/>
      <c r="V2997"/>
      <c r="W2997"/>
      <c r="X2997"/>
    </row>
    <row r="2998" spans="11:24">
      <c r="K2998"/>
      <c r="L2998"/>
      <c r="M2998"/>
      <c r="N2998"/>
      <c r="U2998"/>
      <c r="V2998"/>
      <c r="W2998"/>
      <c r="X2998"/>
    </row>
    <row r="2999" spans="11:24">
      <c r="K2999"/>
      <c r="L2999"/>
      <c r="M2999"/>
      <c r="N2999"/>
      <c r="U2999"/>
      <c r="V2999"/>
      <c r="W2999"/>
      <c r="X2999"/>
    </row>
    <row r="3000" spans="11:24">
      <c r="K3000"/>
      <c r="L3000"/>
      <c r="M3000"/>
      <c r="N3000"/>
      <c r="U3000"/>
      <c r="V3000"/>
      <c r="W3000"/>
      <c r="X3000"/>
    </row>
    <row r="3001" spans="11:24">
      <c r="K3001"/>
      <c r="L3001"/>
      <c r="M3001"/>
      <c r="N3001"/>
      <c r="U3001"/>
      <c r="V3001"/>
      <c r="W3001"/>
      <c r="X3001"/>
    </row>
    <row r="3002" spans="11:24">
      <c r="K3002"/>
      <c r="L3002"/>
      <c r="M3002"/>
      <c r="N3002"/>
      <c r="U3002"/>
      <c r="V3002"/>
      <c r="W3002"/>
      <c r="X3002"/>
    </row>
    <row r="3003" spans="11:24">
      <c r="K3003"/>
      <c r="L3003"/>
      <c r="M3003"/>
      <c r="N3003"/>
      <c r="U3003"/>
      <c r="V3003"/>
      <c r="W3003"/>
      <c r="X3003"/>
    </row>
    <row r="3004" spans="11:24">
      <c r="K3004"/>
      <c r="L3004"/>
      <c r="M3004"/>
      <c r="N3004"/>
      <c r="U3004"/>
      <c r="V3004"/>
      <c r="W3004"/>
      <c r="X3004"/>
    </row>
    <row r="3005" spans="11:24">
      <c r="K3005"/>
      <c r="L3005"/>
      <c r="M3005"/>
      <c r="N3005"/>
      <c r="U3005"/>
      <c r="V3005"/>
      <c r="W3005"/>
      <c r="X3005"/>
    </row>
    <row r="3006" spans="11:24">
      <c r="K3006"/>
      <c r="L3006"/>
      <c r="M3006"/>
      <c r="N3006"/>
      <c r="U3006"/>
      <c r="V3006"/>
      <c r="W3006"/>
      <c r="X3006"/>
    </row>
    <row r="3007" spans="11:24">
      <c r="K3007"/>
      <c r="L3007"/>
      <c r="M3007"/>
      <c r="N3007"/>
      <c r="U3007"/>
      <c r="V3007"/>
      <c r="W3007"/>
      <c r="X3007"/>
    </row>
    <row r="3008" spans="11:24">
      <c r="K3008"/>
      <c r="L3008"/>
      <c r="M3008"/>
      <c r="N3008"/>
      <c r="U3008"/>
      <c r="V3008"/>
      <c r="W3008"/>
      <c r="X3008"/>
    </row>
    <row r="3009" spans="11:24">
      <c r="K3009"/>
      <c r="L3009"/>
      <c r="M3009"/>
      <c r="N3009"/>
      <c r="U3009"/>
      <c r="V3009"/>
      <c r="W3009"/>
      <c r="X3009"/>
    </row>
    <row r="3010" spans="11:24">
      <c r="K3010"/>
      <c r="L3010"/>
      <c r="M3010"/>
      <c r="N3010"/>
      <c r="U3010"/>
      <c r="V3010"/>
      <c r="W3010"/>
      <c r="X3010"/>
    </row>
    <row r="3011" spans="11:24">
      <c r="K3011"/>
      <c r="L3011"/>
      <c r="M3011"/>
      <c r="N3011"/>
      <c r="U3011"/>
      <c r="V3011"/>
      <c r="W3011"/>
      <c r="X3011"/>
    </row>
    <row r="3012" spans="11:24">
      <c r="K3012"/>
      <c r="L3012"/>
      <c r="M3012"/>
      <c r="N3012"/>
      <c r="U3012"/>
      <c r="V3012"/>
      <c r="W3012"/>
      <c r="X3012"/>
    </row>
    <row r="3013" spans="11:24">
      <c r="K3013"/>
      <c r="L3013"/>
      <c r="M3013"/>
      <c r="N3013"/>
      <c r="U3013"/>
      <c r="V3013"/>
      <c r="W3013"/>
      <c r="X3013"/>
    </row>
    <row r="3014" spans="11:24">
      <c r="K3014"/>
      <c r="L3014"/>
      <c r="M3014"/>
      <c r="N3014"/>
      <c r="U3014"/>
      <c r="V3014"/>
      <c r="W3014"/>
      <c r="X3014"/>
    </row>
    <row r="3015" spans="11:24">
      <c r="K3015"/>
      <c r="L3015"/>
      <c r="M3015"/>
      <c r="N3015"/>
      <c r="U3015"/>
      <c r="V3015"/>
      <c r="W3015"/>
      <c r="X3015"/>
    </row>
    <row r="3016" spans="11:24">
      <c r="K3016"/>
      <c r="L3016"/>
      <c r="M3016"/>
      <c r="N3016"/>
      <c r="U3016"/>
      <c r="V3016"/>
      <c r="W3016"/>
      <c r="X3016"/>
    </row>
    <row r="3017" spans="11:24">
      <c r="K3017"/>
      <c r="L3017"/>
      <c r="M3017"/>
      <c r="N3017"/>
      <c r="U3017"/>
      <c r="V3017"/>
      <c r="W3017"/>
      <c r="X3017"/>
    </row>
    <row r="3018" spans="11:24">
      <c r="K3018"/>
      <c r="L3018"/>
      <c r="M3018"/>
      <c r="N3018"/>
      <c r="U3018"/>
      <c r="V3018"/>
      <c r="W3018"/>
      <c r="X3018"/>
    </row>
    <row r="3019" spans="11:24">
      <c r="K3019"/>
      <c r="L3019"/>
      <c r="M3019"/>
      <c r="N3019"/>
      <c r="U3019"/>
      <c r="V3019"/>
      <c r="W3019"/>
      <c r="X3019"/>
    </row>
    <row r="3020" spans="11:24">
      <c r="K3020"/>
      <c r="L3020"/>
      <c r="M3020"/>
      <c r="N3020"/>
      <c r="U3020"/>
      <c r="V3020"/>
      <c r="W3020"/>
      <c r="X3020"/>
    </row>
    <row r="3021" spans="11:24">
      <c r="K3021"/>
      <c r="L3021"/>
      <c r="M3021"/>
      <c r="N3021"/>
      <c r="U3021"/>
      <c r="V3021"/>
      <c r="W3021"/>
      <c r="X3021"/>
    </row>
    <row r="3022" spans="11:24">
      <c r="K3022"/>
      <c r="L3022"/>
      <c r="M3022"/>
      <c r="N3022"/>
      <c r="U3022"/>
      <c r="V3022"/>
      <c r="W3022"/>
      <c r="X3022"/>
    </row>
    <row r="3023" spans="11:24">
      <c r="K3023"/>
      <c r="L3023"/>
      <c r="M3023"/>
      <c r="N3023"/>
      <c r="U3023"/>
      <c r="V3023"/>
      <c r="W3023"/>
      <c r="X3023"/>
    </row>
    <row r="3024" spans="11:24">
      <c r="K3024"/>
      <c r="L3024"/>
      <c r="M3024"/>
      <c r="N3024"/>
      <c r="U3024"/>
      <c r="V3024"/>
      <c r="W3024"/>
      <c r="X3024"/>
    </row>
    <row r="3025" spans="11:24">
      <c r="K3025"/>
      <c r="L3025"/>
      <c r="M3025"/>
      <c r="N3025"/>
      <c r="U3025"/>
      <c r="V3025"/>
      <c r="W3025"/>
      <c r="X3025"/>
    </row>
    <row r="3026" spans="11:24">
      <c r="K3026"/>
      <c r="L3026"/>
      <c r="M3026"/>
      <c r="N3026"/>
      <c r="U3026"/>
      <c r="V3026"/>
      <c r="W3026"/>
      <c r="X3026"/>
    </row>
    <row r="3027" spans="11:24">
      <c r="K3027"/>
      <c r="L3027"/>
      <c r="M3027"/>
      <c r="N3027"/>
      <c r="U3027"/>
      <c r="V3027"/>
      <c r="W3027"/>
      <c r="X3027"/>
    </row>
    <row r="3028" spans="11:24">
      <c r="K3028"/>
      <c r="L3028"/>
      <c r="M3028"/>
      <c r="N3028"/>
      <c r="U3028"/>
      <c r="V3028"/>
      <c r="W3028"/>
      <c r="X3028"/>
    </row>
    <row r="3029" spans="11:24">
      <c r="K3029"/>
      <c r="L3029"/>
      <c r="M3029"/>
      <c r="N3029"/>
      <c r="U3029"/>
      <c r="V3029"/>
      <c r="W3029"/>
      <c r="X3029"/>
    </row>
    <row r="3030" spans="11:24">
      <c r="K3030"/>
      <c r="L3030"/>
      <c r="M3030"/>
      <c r="N3030"/>
      <c r="U3030"/>
      <c r="V3030"/>
      <c r="W3030"/>
      <c r="X3030"/>
    </row>
    <row r="3031" spans="11:24">
      <c r="K3031"/>
      <c r="L3031"/>
      <c r="M3031"/>
      <c r="N3031"/>
      <c r="U3031"/>
      <c r="V3031"/>
      <c r="W3031"/>
      <c r="X3031"/>
    </row>
    <row r="3032" spans="11:24">
      <c r="K3032"/>
      <c r="L3032"/>
      <c r="M3032"/>
      <c r="N3032"/>
      <c r="U3032"/>
      <c r="V3032"/>
      <c r="W3032"/>
      <c r="X3032"/>
    </row>
    <row r="3033" spans="11:24">
      <c r="K3033"/>
      <c r="L3033"/>
      <c r="M3033"/>
      <c r="N3033"/>
      <c r="U3033"/>
      <c r="V3033"/>
      <c r="W3033"/>
      <c r="X3033"/>
    </row>
    <row r="3034" spans="11:24">
      <c r="K3034"/>
      <c r="L3034"/>
      <c r="M3034"/>
      <c r="N3034"/>
      <c r="U3034"/>
      <c r="V3034"/>
      <c r="W3034"/>
      <c r="X3034"/>
    </row>
    <row r="3035" spans="11:24">
      <c r="K3035"/>
      <c r="L3035"/>
      <c r="M3035"/>
      <c r="N3035"/>
      <c r="U3035"/>
      <c r="V3035"/>
      <c r="W3035"/>
      <c r="X3035"/>
    </row>
    <row r="3036" spans="11:24">
      <c r="K3036"/>
      <c r="L3036"/>
      <c r="M3036"/>
      <c r="N3036"/>
      <c r="U3036"/>
      <c r="V3036"/>
      <c r="W3036"/>
      <c r="X3036"/>
    </row>
    <row r="3037" spans="11:24">
      <c r="K3037"/>
      <c r="L3037"/>
      <c r="M3037"/>
      <c r="N3037"/>
      <c r="U3037"/>
      <c r="V3037"/>
      <c r="W3037"/>
      <c r="X3037"/>
    </row>
    <row r="3038" spans="11:24">
      <c r="K3038"/>
      <c r="L3038"/>
      <c r="M3038"/>
      <c r="N3038"/>
      <c r="U3038"/>
      <c r="V3038"/>
      <c r="W3038"/>
      <c r="X3038"/>
    </row>
    <row r="3039" spans="11:24">
      <c r="K3039"/>
      <c r="L3039"/>
      <c r="M3039"/>
      <c r="N3039"/>
      <c r="U3039"/>
      <c r="V3039"/>
      <c r="W3039"/>
      <c r="X3039"/>
    </row>
    <row r="3040" spans="11:24">
      <c r="K3040"/>
      <c r="L3040"/>
      <c r="M3040"/>
      <c r="N3040"/>
      <c r="U3040"/>
      <c r="V3040"/>
      <c r="W3040"/>
      <c r="X3040"/>
    </row>
    <row r="3041" spans="11:24">
      <c r="K3041"/>
      <c r="L3041"/>
      <c r="M3041"/>
      <c r="N3041"/>
      <c r="U3041"/>
      <c r="V3041"/>
      <c r="W3041"/>
      <c r="X3041"/>
    </row>
    <row r="3042" spans="11:24">
      <c r="K3042"/>
      <c r="L3042"/>
      <c r="M3042"/>
      <c r="N3042"/>
      <c r="U3042"/>
      <c r="V3042"/>
      <c r="W3042"/>
      <c r="X3042"/>
    </row>
    <row r="3043" spans="11:24">
      <c r="K3043"/>
      <c r="L3043"/>
      <c r="M3043"/>
      <c r="N3043"/>
      <c r="U3043"/>
      <c r="V3043"/>
      <c r="W3043"/>
      <c r="X3043"/>
    </row>
    <row r="3044" spans="11:24">
      <c r="K3044"/>
      <c r="L3044"/>
      <c r="M3044"/>
      <c r="N3044"/>
      <c r="U3044"/>
      <c r="V3044"/>
      <c r="W3044"/>
      <c r="X3044"/>
    </row>
    <row r="3045" spans="11:24">
      <c r="K3045"/>
      <c r="L3045"/>
      <c r="M3045"/>
      <c r="N3045"/>
      <c r="U3045"/>
      <c r="V3045"/>
      <c r="W3045"/>
      <c r="X3045"/>
    </row>
    <row r="3046" spans="11:24">
      <c r="K3046"/>
      <c r="L3046"/>
      <c r="M3046"/>
      <c r="N3046"/>
      <c r="U3046"/>
      <c r="V3046"/>
      <c r="W3046"/>
      <c r="X3046"/>
    </row>
    <row r="3047" spans="11:24">
      <c r="K3047"/>
      <c r="L3047"/>
      <c r="M3047"/>
      <c r="N3047"/>
      <c r="U3047"/>
      <c r="V3047"/>
      <c r="W3047"/>
      <c r="X3047"/>
    </row>
    <row r="3048" spans="11:24">
      <c r="K3048"/>
      <c r="L3048"/>
      <c r="M3048"/>
      <c r="N3048"/>
      <c r="U3048"/>
      <c r="V3048"/>
      <c r="W3048"/>
      <c r="X3048"/>
    </row>
    <row r="3049" spans="11:24">
      <c r="K3049"/>
      <c r="L3049"/>
      <c r="M3049"/>
      <c r="N3049"/>
      <c r="U3049"/>
      <c r="V3049"/>
      <c r="W3049"/>
      <c r="X3049"/>
    </row>
    <row r="3050" spans="11:24">
      <c r="K3050"/>
      <c r="L3050"/>
      <c r="M3050"/>
      <c r="N3050"/>
      <c r="U3050"/>
      <c r="V3050"/>
      <c r="W3050"/>
      <c r="X3050"/>
    </row>
    <row r="3051" spans="11:24">
      <c r="K3051"/>
      <c r="L3051"/>
      <c r="M3051"/>
      <c r="N3051"/>
      <c r="U3051"/>
      <c r="V3051"/>
      <c r="W3051"/>
      <c r="X3051"/>
    </row>
    <row r="3052" spans="11:24">
      <c r="K3052"/>
      <c r="L3052"/>
      <c r="M3052"/>
      <c r="N3052"/>
      <c r="U3052"/>
      <c r="V3052"/>
      <c r="W3052"/>
      <c r="X3052"/>
    </row>
    <row r="3053" spans="11:24">
      <c r="K3053"/>
      <c r="L3053"/>
      <c r="M3053"/>
      <c r="N3053"/>
      <c r="U3053"/>
      <c r="V3053"/>
      <c r="W3053"/>
      <c r="X3053"/>
    </row>
    <row r="3054" spans="11:24">
      <c r="K3054"/>
      <c r="L3054"/>
      <c r="M3054"/>
      <c r="N3054"/>
      <c r="U3054"/>
      <c r="V3054"/>
      <c r="W3054"/>
      <c r="X3054"/>
    </row>
    <row r="3055" spans="11:24">
      <c r="K3055"/>
      <c r="L3055"/>
      <c r="M3055"/>
      <c r="N3055"/>
      <c r="U3055"/>
      <c r="V3055"/>
      <c r="W3055"/>
      <c r="X3055"/>
    </row>
    <row r="3056" spans="11:24">
      <c r="K3056"/>
      <c r="L3056"/>
      <c r="M3056"/>
      <c r="N3056"/>
      <c r="U3056"/>
      <c r="V3056"/>
      <c r="W3056"/>
      <c r="X3056"/>
    </row>
    <row r="3057" spans="11:24">
      <c r="K3057"/>
      <c r="L3057"/>
      <c r="M3057"/>
      <c r="N3057"/>
      <c r="U3057"/>
      <c r="V3057"/>
      <c r="W3057"/>
      <c r="X3057"/>
    </row>
    <row r="3058" spans="11:24">
      <c r="K3058"/>
      <c r="L3058"/>
      <c r="M3058"/>
      <c r="N3058"/>
      <c r="U3058"/>
      <c r="V3058"/>
      <c r="W3058"/>
      <c r="X3058"/>
    </row>
    <row r="3059" spans="11:24">
      <c r="K3059"/>
      <c r="L3059"/>
      <c r="M3059"/>
      <c r="N3059"/>
      <c r="U3059"/>
      <c r="V3059"/>
      <c r="W3059"/>
      <c r="X3059"/>
    </row>
    <row r="3060" spans="11:24">
      <c r="K3060"/>
      <c r="L3060"/>
      <c r="M3060"/>
      <c r="N3060"/>
      <c r="U3060"/>
      <c r="V3060"/>
      <c r="W3060"/>
      <c r="X3060"/>
    </row>
    <row r="3061" spans="11:24">
      <c r="K3061"/>
      <c r="L3061"/>
      <c r="M3061"/>
      <c r="N3061"/>
      <c r="U3061"/>
      <c r="V3061"/>
      <c r="W3061"/>
      <c r="X3061"/>
    </row>
    <row r="3062" spans="11:24">
      <c r="K3062"/>
      <c r="L3062"/>
      <c r="M3062"/>
      <c r="N3062"/>
      <c r="U3062"/>
      <c r="V3062"/>
      <c r="W3062"/>
      <c r="X3062"/>
    </row>
    <row r="3063" spans="11:24">
      <c r="K3063"/>
      <c r="L3063"/>
      <c r="M3063"/>
      <c r="N3063"/>
      <c r="U3063"/>
      <c r="V3063"/>
      <c r="W3063"/>
      <c r="X3063"/>
    </row>
    <row r="3064" spans="11:24">
      <c r="K3064"/>
      <c r="L3064"/>
      <c r="M3064"/>
      <c r="N3064"/>
      <c r="U3064"/>
      <c r="V3064"/>
      <c r="W3064"/>
      <c r="X3064"/>
    </row>
    <row r="3065" spans="11:24">
      <c r="K3065"/>
      <c r="L3065"/>
      <c r="M3065"/>
      <c r="N3065"/>
      <c r="U3065"/>
      <c r="V3065"/>
      <c r="W3065"/>
      <c r="X3065"/>
    </row>
    <row r="3066" spans="11:24">
      <c r="K3066"/>
      <c r="L3066"/>
      <c r="M3066"/>
      <c r="N3066"/>
      <c r="U3066"/>
      <c r="V3066"/>
      <c r="W3066"/>
      <c r="X3066"/>
    </row>
    <row r="3067" spans="11:24">
      <c r="K3067"/>
      <c r="L3067"/>
      <c r="M3067"/>
      <c r="N3067"/>
      <c r="U3067"/>
      <c r="V3067"/>
      <c r="W3067"/>
      <c r="X3067"/>
    </row>
    <row r="3068" spans="11:24">
      <c r="K3068"/>
      <c r="L3068"/>
      <c r="M3068"/>
      <c r="N3068"/>
      <c r="U3068"/>
      <c r="V3068"/>
      <c r="W3068"/>
      <c r="X3068"/>
    </row>
    <row r="3069" spans="11:24">
      <c r="K3069"/>
      <c r="L3069"/>
      <c r="M3069"/>
      <c r="N3069"/>
      <c r="U3069"/>
      <c r="V3069"/>
      <c r="W3069"/>
      <c r="X3069"/>
    </row>
    <row r="3070" spans="11:24">
      <c r="K3070"/>
      <c r="L3070"/>
      <c r="M3070"/>
      <c r="N3070"/>
      <c r="U3070"/>
      <c r="V3070"/>
      <c r="W3070"/>
      <c r="X3070"/>
    </row>
    <row r="3071" spans="11:24">
      <c r="K3071"/>
      <c r="L3071"/>
      <c r="M3071"/>
      <c r="N3071"/>
      <c r="U3071"/>
      <c r="V3071"/>
      <c r="W3071"/>
      <c r="X3071"/>
    </row>
    <row r="3072" spans="11:24">
      <c r="K3072"/>
      <c r="L3072"/>
      <c r="M3072"/>
      <c r="N3072"/>
      <c r="U3072"/>
      <c r="V3072"/>
      <c r="W3072"/>
      <c r="X3072"/>
    </row>
    <row r="3073" spans="11:24">
      <c r="K3073"/>
      <c r="L3073"/>
      <c r="M3073"/>
      <c r="N3073"/>
      <c r="U3073"/>
      <c r="V3073"/>
      <c r="W3073"/>
      <c r="X3073"/>
    </row>
    <row r="3074" spans="11:24">
      <c r="K3074"/>
      <c r="L3074"/>
      <c r="M3074"/>
      <c r="N3074"/>
      <c r="U3074"/>
      <c r="V3074"/>
      <c r="W3074"/>
      <c r="X3074"/>
    </row>
    <row r="3075" spans="11:24">
      <c r="K3075"/>
      <c r="L3075"/>
      <c r="M3075"/>
      <c r="N3075"/>
      <c r="U3075"/>
      <c r="V3075"/>
      <c r="W3075"/>
      <c r="X3075"/>
    </row>
    <row r="3076" spans="11:24">
      <c r="K3076"/>
      <c r="L3076"/>
      <c r="M3076"/>
      <c r="N3076"/>
      <c r="U3076"/>
      <c r="V3076"/>
      <c r="W3076"/>
      <c r="X3076"/>
    </row>
    <row r="3077" spans="11:24">
      <c r="K3077"/>
      <c r="L3077"/>
      <c r="M3077"/>
      <c r="N3077"/>
      <c r="U3077"/>
      <c r="V3077"/>
      <c r="W3077"/>
      <c r="X3077"/>
    </row>
    <row r="3078" spans="11:24">
      <c r="K3078"/>
      <c r="L3078"/>
      <c r="M3078"/>
      <c r="N3078"/>
      <c r="U3078"/>
      <c r="V3078"/>
      <c r="W3078"/>
      <c r="X3078"/>
    </row>
    <row r="3079" spans="11:24">
      <c r="K3079"/>
      <c r="L3079"/>
      <c r="M3079"/>
      <c r="N3079"/>
      <c r="U3079"/>
      <c r="V3079"/>
      <c r="W3079"/>
      <c r="X3079"/>
    </row>
    <row r="3080" spans="11:24">
      <c r="K3080"/>
      <c r="L3080"/>
      <c r="M3080"/>
      <c r="N3080"/>
      <c r="U3080"/>
      <c r="V3080"/>
      <c r="W3080"/>
      <c r="X3080"/>
    </row>
    <row r="3081" spans="11:24">
      <c r="K3081"/>
      <c r="L3081"/>
      <c r="M3081"/>
      <c r="N3081"/>
      <c r="U3081"/>
      <c r="V3081"/>
      <c r="W3081"/>
      <c r="X3081"/>
    </row>
    <row r="3082" spans="11:24">
      <c r="K3082"/>
      <c r="L3082"/>
      <c r="M3082"/>
      <c r="N3082"/>
      <c r="U3082"/>
      <c r="V3082"/>
      <c r="W3082"/>
      <c r="X3082"/>
    </row>
    <row r="3083" spans="11:24">
      <c r="K3083"/>
      <c r="L3083"/>
      <c r="M3083"/>
      <c r="N3083"/>
      <c r="U3083"/>
      <c r="V3083"/>
      <c r="W3083"/>
      <c r="X3083"/>
    </row>
    <row r="3084" spans="11:24">
      <c r="K3084"/>
      <c r="L3084"/>
      <c r="M3084"/>
      <c r="N3084"/>
      <c r="U3084"/>
      <c r="V3084"/>
      <c r="W3084"/>
      <c r="X3084"/>
    </row>
    <row r="3085" spans="11:24">
      <c r="K3085"/>
      <c r="L3085"/>
      <c r="M3085"/>
      <c r="N3085"/>
      <c r="U3085"/>
      <c r="V3085"/>
      <c r="W3085"/>
      <c r="X3085"/>
    </row>
    <row r="3086" spans="11:24">
      <c r="K3086"/>
      <c r="L3086"/>
      <c r="M3086"/>
      <c r="N3086"/>
      <c r="U3086"/>
      <c r="V3086"/>
      <c r="W3086"/>
      <c r="X3086"/>
    </row>
    <row r="3087" spans="11:24">
      <c r="K3087"/>
      <c r="L3087"/>
      <c r="M3087"/>
      <c r="N3087"/>
      <c r="U3087"/>
      <c r="V3087"/>
      <c r="W3087"/>
      <c r="X3087"/>
    </row>
    <row r="3088" spans="11:24">
      <c r="K3088"/>
      <c r="L3088"/>
      <c r="M3088"/>
      <c r="N3088"/>
      <c r="U3088"/>
      <c r="V3088"/>
      <c r="W3088"/>
      <c r="X3088"/>
    </row>
    <row r="3089" spans="11:24">
      <c r="K3089"/>
      <c r="L3089"/>
      <c r="M3089"/>
      <c r="N3089"/>
      <c r="U3089"/>
      <c r="V3089"/>
      <c r="W3089"/>
      <c r="X3089"/>
    </row>
    <row r="3090" spans="11:24">
      <c r="K3090"/>
      <c r="L3090"/>
      <c r="M3090"/>
      <c r="N3090"/>
      <c r="U3090"/>
      <c r="V3090"/>
      <c r="W3090"/>
      <c r="X3090"/>
    </row>
    <row r="3091" spans="11:24">
      <c r="K3091"/>
      <c r="L3091"/>
      <c r="M3091"/>
      <c r="N3091"/>
      <c r="U3091"/>
      <c r="V3091"/>
      <c r="W3091"/>
      <c r="X3091"/>
    </row>
    <row r="3092" spans="11:24">
      <c r="K3092"/>
      <c r="L3092"/>
      <c r="M3092"/>
      <c r="N3092"/>
      <c r="U3092"/>
      <c r="V3092"/>
      <c r="W3092"/>
      <c r="X3092"/>
    </row>
    <row r="3093" spans="11:24">
      <c r="K3093"/>
      <c r="L3093"/>
      <c r="M3093"/>
      <c r="N3093"/>
      <c r="U3093"/>
      <c r="V3093"/>
      <c r="W3093"/>
      <c r="X3093"/>
    </row>
    <row r="3094" spans="11:24">
      <c r="K3094"/>
      <c r="L3094"/>
      <c r="M3094"/>
      <c r="N3094"/>
      <c r="U3094"/>
      <c r="V3094"/>
      <c r="W3094"/>
      <c r="X3094"/>
    </row>
    <row r="3095" spans="11:24">
      <c r="K3095"/>
      <c r="L3095"/>
      <c r="M3095"/>
      <c r="N3095"/>
      <c r="U3095"/>
      <c r="V3095"/>
      <c r="W3095"/>
      <c r="X3095"/>
    </row>
    <row r="3096" spans="11:24">
      <c r="K3096"/>
      <c r="L3096"/>
      <c r="M3096"/>
      <c r="N3096"/>
      <c r="U3096"/>
      <c r="V3096"/>
      <c r="W3096"/>
      <c r="X3096"/>
    </row>
    <row r="3097" spans="11:24">
      <c r="K3097"/>
      <c r="L3097"/>
      <c r="M3097"/>
      <c r="N3097"/>
      <c r="U3097"/>
      <c r="V3097"/>
      <c r="W3097"/>
      <c r="X3097"/>
    </row>
    <row r="3098" spans="11:24">
      <c r="K3098"/>
      <c r="L3098"/>
      <c r="M3098"/>
      <c r="N3098"/>
      <c r="U3098"/>
      <c r="V3098"/>
      <c r="W3098"/>
      <c r="X3098"/>
    </row>
    <row r="3099" spans="11:24">
      <c r="K3099"/>
      <c r="L3099"/>
      <c r="M3099"/>
      <c r="N3099"/>
      <c r="U3099"/>
      <c r="V3099"/>
      <c r="W3099"/>
      <c r="X3099"/>
    </row>
    <row r="3100" spans="11:24">
      <c r="K3100"/>
      <c r="L3100"/>
      <c r="M3100"/>
      <c r="N3100"/>
      <c r="U3100"/>
      <c r="V3100"/>
      <c r="W3100"/>
      <c r="X3100"/>
    </row>
    <row r="3101" spans="11:24">
      <c r="K3101"/>
      <c r="L3101"/>
      <c r="M3101"/>
      <c r="N3101"/>
      <c r="U3101"/>
      <c r="V3101"/>
      <c r="W3101"/>
      <c r="X3101"/>
    </row>
    <row r="3102" spans="11:24">
      <c r="K3102"/>
      <c r="L3102"/>
      <c r="M3102"/>
      <c r="N3102"/>
      <c r="U3102"/>
      <c r="V3102"/>
      <c r="W3102"/>
      <c r="X3102"/>
    </row>
    <row r="3103" spans="11:24">
      <c r="K3103"/>
      <c r="L3103"/>
      <c r="M3103"/>
      <c r="N3103"/>
      <c r="U3103"/>
      <c r="V3103"/>
      <c r="W3103"/>
      <c r="X3103"/>
    </row>
    <row r="3104" spans="11:24">
      <c r="K3104"/>
      <c r="L3104"/>
      <c r="M3104"/>
      <c r="N3104"/>
      <c r="U3104"/>
      <c r="V3104"/>
      <c r="W3104"/>
      <c r="X3104"/>
    </row>
    <row r="3105" spans="11:24">
      <c r="K3105"/>
      <c r="L3105"/>
      <c r="M3105"/>
      <c r="N3105"/>
      <c r="U3105"/>
      <c r="V3105"/>
      <c r="W3105"/>
      <c r="X3105"/>
    </row>
    <row r="3106" spans="11:24">
      <c r="K3106"/>
      <c r="L3106"/>
      <c r="M3106"/>
      <c r="N3106"/>
      <c r="U3106"/>
      <c r="V3106"/>
      <c r="W3106"/>
      <c r="X3106"/>
    </row>
    <row r="3107" spans="11:24">
      <c r="K3107"/>
      <c r="L3107"/>
      <c r="M3107"/>
      <c r="N3107"/>
      <c r="U3107"/>
      <c r="V3107"/>
      <c r="W3107"/>
      <c r="X3107"/>
    </row>
    <row r="3108" spans="11:24">
      <c r="K3108"/>
      <c r="L3108"/>
      <c r="M3108"/>
      <c r="N3108"/>
      <c r="U3108"/>
      <c r="V3108"/>
      <c r="W3108"/>
      <c r="X3108"/>
    </row>
    <row r="3109" spans="11:24">
      <c r="K3109"/>
      <c r="L3109"/>
      <c r="M3109"/>
      <c r="N3109"/>
      <c r="U3109"/>
      <c r="V3109"/>
      <c r="W3109"/>
      <c r="X3109"/>
    </row>
    <row r="3110" spans="11:24">
      <c r="K3110"/>
      <c r="L3110"/>
      <c r="M3110"/>
      <c r="N3110"/>
      <c r="U3110"/>
      <c r="V3110"/>
      <c r="W3110"/>
      <c r="X3110"/>
    </row>
    <row r="3111" spans="11:24">
      <c r="K3111"/>
      <c r="L3111"/>
      <c r="M3111"/>
      <c r="N3111"/>
      <c r="U3111"/>
      <c r="V3111"/>
      <c r="W3111"/>
      <c r="X3111"/>
    </row>
    <row r="3112" spans="11:24">
      <c r="K3112"/>
      <c r="L3112"/>
      <c r="M3112"/>
      <c r="N3112"/>
      <c r="U3112"/>
      <c r="V3112"/>
      <c r="W3112"/>
      <c r="X3112"/>
    </row>
    <row r="3113" spans="11:24">
      <c r="K3113"/>
      <c r="L3113"/>
      <c r="M3113"/>
      <c r="N3113"/>
      <c r="U3113"/>
      <c r="V3113"/>
      <c r="W3113"/>
      <c r="X3113"/>
    </row>
    <row r="3114" spans="11:24">
      <c r="K3114"/>
      <c r="L3114"/>
      <c r="M3114"/>
      <c r="N3114"/>
      <c r="U3114"/>
      <c r="V3114"/>
      <c r="W3114"/>
      <c r="X3114"/>
    </row>
    <row r="3115" spans="11:24">
      <c r="K3115"/>
      <c r="L3115"/>
      <c r="M3115"/>
      <c r="N3115"/>
      <c r="U3115"/>
      <c r="V3115"/>
      <c r="W3115"/>
      <c r="X3115"/>
    </row>
    <row r="3116" spans="11:24">
      <c r="K3116"/>
      <c r="L3116"/>
      <c r="M3116"/>
      <c r="N3116"/>
      <c r="U3116"/>
      <c r="V3116"/>
      <c r="W3116"/>
      <c r="X3116"/>
    </row>
    <row r="3117" spans="11:24">
      <c r="K3117"/>
      <c r="L3117"/>
      <c r="M3117"/>
      <c r="N3117"/>
      <c r="U3117"/>
      <c r="V3117"/>
      <c r="W3117"/>
      <c r="X3117"/>
    </row>
    <row r="3118" spans="11:24">
      <c r="K3118"/>
      <c r="L3118"/>
      <c r="M3118"/>
      <c r="N3118"/>
      <c r="U3118"/>
      <c r="V3118"/>
      <c r="W3118"/>
      <c r="X3118"/>
    </row>
    <row r="3119" spans="11:24">
      <c r="K3119"/>
      <c r="L3119"/>
      <c r="M3119"/>
      <c r="N3119"/>
      <c r="U3119"/>
      <c r="V3119"/>
      <c r="W3119"/>
      <c r="X3119"/>
    </row>
    <row r="3120" spans="11:24">
      <c r="K3120"/>
      <c r="L3120"/>
      <c r="M3120"/>
      <c r="N3120"/>
      <c r="U3120"/>
      <c r="V3120"/>
      <c r="W3120"/>
      <c r="X3120"/>
    </row>
    <row r="3121" spans="11:24">
      <c r="K3121"/>
      <c r="L3121"/>
      <c r="M3121"/>
      <c r="N3121"/>
      <c r="U3121"/>
      <c r="V3121"/>
      <c r="W3121"/>
      <c r="X3121"/>
    </row>
    <row r="3122" spans="11:24">
      <c r="K3122"/>
      <c r="L3122"/>
      <c r="M3122"/>
      <c r="N3122"/>
      <c r="U3122"/>
      <c r="V3122"/>
      <c r="W3122"/>
      <c r="X3122"/>
    </row>
    <row r="3123" spans="11:24">
      <c r="K3123"/>
      <c r="L3123"/>
      <c r="M3123"/>
      <c r="N3123"/>
      <c r="U3123"/>
      <c r="V3123"/>
      <c r="W3123"/>
      <c r="X3123"/>
    </row>
    <row r="3124" spans="11:24">
      <c r="K3124"/>
      <c r="L3124"/>
      <c r="M3124"/>
      <c r="N3124"/>
      <c r="U3124"/>
      <c r="V3124"/>
      <c r="W3124"/>
      <c r="X3124"/>
    </row>
    <row r="3125" spans="11:24">
      <c r="K3125"/>
      <c r="L3125"/>
      <c r="M3125"/>
      <c r="N3125"/>
      <c r="U3125"/>
      <c r="V3125"/>
      <c r="W3125"/>
      <c r="X3125"/>
    </row>
    <row r="3126" spans="11:24">
      <c r="K3126"/>
      <c r="L3126"/>
      <c r="M3126"/>
      <c r="N3126"/>
      <c r="U3126"/>
      <c r="V3126"/>
      <c r="W3126"/>
      <c r="X3126"/>
    </row>
    <row r="3127" spans="11:24">
      <c r="K3127"/>
      <c r="L3127"/>
      <c r="M3127"/>
      <c r="N3127"/>
      <c r="U3127"/>
      <c r="V3127"/>
      <c r="W3127"/>
      <c r="X3127"/>
    </row>
    <row r="3128" spans="11:24">
      <c r="K3128"/>
      <c r="L3128"/>
      <c r="M3128"/>
      <c r="N3128"/>
      <c r="U3128"/>
      <c r="V3128"/>
      <c r="W3128"/>
      <c r="X3128"/>
    </row>
    <row r="3129" spans="11:24">
      <c r="K3129"/>
      <c r="L3129"/>
      <c r="M3129"/>
      <c r="N3129"/>
      <c r="U3129"/>
      <c r="V3129"/>
      <c r="W3129"/>
      <c r="X3129"/>
    </row>
    <row r="3130" spans="11:24">
      <c r="K3130"/>
      <c r="L3130"/>
      <c r="M3130"/>
      <c r="N3130"/>
      <c r="U3130"/>
      <c r="V3130"/>
      <c r="W3130"/>
      <c r="X3130"/>
    </row>
    <row r="3131" spans="11:24">
      <c r="K3131"/>
      <c r="L3131"/>
      <c r="M3131"/>
      <c r="N3131"/>
      <c r="U3131"/>
      <c r="V3131"/>
      <c r="W3131"/>
      <c r="X3131"/>
    </row>
    <row r="3132" spans="11:24">
      <c r="K3132"/>
      <c r="L3132"/>
      <c r="M3132"/>
      <c r="N3132"/>
      <c r="U3132"/>
      <c r="V3132"/>
      <c r="W3132"/>
      <c r="X3132"/>
    </row>
    <row r="3133" spans="11:24">
      <c r="K3133"/>
      <c r="L3133"/>
      <c r="M3133"/>
      <c r="N3133"/>
      <c r="U3133"/>
      <c r="V3133"/>
      <c r="W3133"/>
      <c r="X3133"/>
    </row>
    <row r="3134" spans="11:24">
      <c r="K3134"/>
      <c r="L3134"/>
      <c r="M3134"/>
      <c r="N3134"/>
      <c r="U3134"/>
      <c r="V3134"/>
      <c r="W3134"/>
      <c r="X3134"/>
    </row>
    <row r="3135" spans="11:24">
      <c r="K3135"/>
      <c r="L3135"/>
      <c r="M3135"/>
      <c r="N3135"/>
      <c r="U3135"/>
      <c r="V3135"/>
      <c r="W3135"/>
      <c r="X3135"/>
    </row>
    <row r="3136" spans="11:24">
      <c r="K3136"/>
      <c r="L3136"/>
      <c r="M3136"/>
      <c r="N3136"/>
      <c r="U3136"/>
      <c r="V3136"/>
      <c r="W3136"/>
      <c r="X3136"/>
    </row>
    <row r="3137" spans="11:24">
      <c r="K3137"/>
      <c r="L3137"/>
      <c r="M3137"/>
      <c r="N3137"/>
      <c r="U3137"/>
      <c r="V3137"/>
      <c r="W3137"/>
      <c r="X3137"/>
    </row>
    <row r="3138" spans="11:24">
      <c r="K3138"/>
      <c r="L3138"/>
      <c r="M3138"/>
      <c r="N3138"/>
      <c r="U3138"/>
      <c r="V3138"/>
      <c r="W3138"/>
      <c r="X3138"/>
    </row>
    <row r="3139" spans="11:24">
      <c r="K3139"/>
      <c r="L3139"/>
      <c r="M3139"/>
      <c r="N3139"/>
      <c r="U3139"/>
      <c r="V3139"/>
      <c r="W3139"/>
      <c r="X3139"/>
    </row>
    <row r="3140" spans="11:24">
      <c r="K3140"/>
      <c r="L3140"/>
      <c r="M3140"/>
      <c r="N3140"/>
      <c r="U3140"/>
      <c r="V3140"/>
      <c r="W3140"/>
      <c r="X3140"/>
    </row>
    <row r="3141" spans="11:24">
      <c r="K3141"/>
      <c r="L3141"/>
      <c r="M3141"/>
      <c r="N3141"/>
      <c r="U3141"/>
      <c r="V3141"/>
      <c r="W3141"/>
      <c r="X3141"/>
    </row>
    <row r="3142" spans="11:24">
      <c r="K3142"/>
      <c r="L3142"/>
      <c r="M3142"/>
      <c r="N3142"/>
      <c r="U3142"/>
      <c r="V3142"/>
      <c r="W3142"/>
      <c r="X3142"/>
    </row>
    <row r="3143" spans="11:24">
      <c r="K3143"/>
      <c r="L3143"/>
      <c r="M3143"/>
      <c r="N3143"/>
      <c r="U3143"/>
      <c r="V3143"/>
      <c r="W3143"/>
      <c r="X3143"/>
    </row>
    <row r="3144" spans="11:24">
      <c r="K3144"/>
      <c r="L3144"/>
      <c r="M3144"/>
      <c r="N3144"/>
      <c r="U3144"/>
      <c r="V3144"/>
      <c r="W3144"/>
      <c r="X3144"/>
    </row>
    <row r="3145" spans="11:24">
      <c r="K3145"/>
      <c r="L3145"/>
      <c r="M3145"/>
      <c r="N3145"/>
      <c r="U3145"/>
      <c r="V3145"/>
      <c r="W3145"/>
      <c r="X3145"/>
    </row>
    <row r="3146" spans="11:24">
      <c r="K3146"/>
      <c r="L3146"/>
      <c r="M3146"/>
      <c r="N3146"/>
      <c r="U3146"/>
      <c r="V3146"/>
      <c r="W3146"/>
      <c r="X3146"/>
    </row>
    <row r="3147" spans="11:24">
      <c r="K3147"/>
      <c r="L3147"/>
      <c r="M3147"/>
      <c r="N3147"/>
      <c r="U3147"/>
      <c r="V3147"/>
      <c r="W3147"/>
      <c r="X3147"/>
    </row>
    <row r="3148" spans="11:24">
      <c r="K3148"/>
      <c r="L3148"/>
      <c r="M3148"/>
      <c r="N3148"/>
      <c r="U3148"/>
      <c r="V3148"/>
      <c r="W3148"/>
      <c r="X3148"/>
    </row>
    <row r="3149" spans="11:24">
      <c r="K3149"/>
      <c r="L3149"/>
      <c r="M3149"/>
      <c r="N3149"/>
      <c r="U3149"/>
      <c r="V3149"/>
      <c r="W3149"/>
      <c r="X3149"/>
    </row>
    <row r="3150" spans="11:24">
      <c r="K3150"/>
      <c r="L3150"/>
      <c r="M3150"/>
      <c r="N3150"/>
      <c r="U3150"/>
      <c r="V3150"/>
      <c r="W3150"/>
      <c r="X3150"/>
    </row>
    <row r="3151" spans="11:24">
      <c r="K3151"/>
      <c r="L3151"/>
      <c r="M3151"/>
      <c r="N3151"/>
      <c r="U3151"/>
      <c r="V3151"/>
      <c r="W3151"/>
      <c r="X3151"/>
    </row>
    <row r="3152" spans="11:24">
      <c r="K3152"/>
      <c r="L3152"/>
      <c r="M3152"/>
      <c r="N3152"/>
      <c r="U3152"/>
      <c r="V3152"/>
      <c r="W3152"/>
      <c r="X3152"/>
    </row>
    <row r="3153" spans="11:24">
      <c r="K3153"/>
      <c r="L3153"/>
      <c r="M3153"/>
      <c r="N3153"/>
      <c r="U3153"/>
      <c r="V3153"/>
      <c r="W3153"/>
      <c r="X3153"/>
    </row>
    <row r="3154" spans="11:24">
      <c r="K3154"/>
      <c r="L3154"/>
      <c r="M3154"/>
      <c r="N3154"/>
      <c r="U3154"/>
      <c r="V3154"/>
      <c r="W3154"/>
      <c r="X3154"/>
    </row>
    <row r="3155" spans="11:24">
      <c r="K3155"/>
      <c r="L3155"/>
      <c r="M3155"/>
      <c r="N3155"/>
      <c r="U3155"/>
      <c r="V3155"/>
      <c r="W3155"/>
      <c r="X3155"/>
    </row>
    <row r="3156" spans="11:24">
      <c r="K3156"/>
      <c r="L3156"/>
      <c r="M3156"/>
      <c r="N3156"/>
      <c r="U3156"/>
      <c r="V3156"/>
      <c r="W3156"/>
      <c r="X3156"/>
    </row>
    <row r="3157" spans="11:24">
      <c r="K3157"/>
      <c r="L3157"/>
      <c r="M3157"/>
      <c r="N3157"/>
      <c r="U3157"/>
      <c r="V3157"/>
      <c r="W3157"/>
      <c r="X3157"/>
    </row>
    <row r="3158" spans="11:24">
      <c r="K3158"/>
      <c r="L3158"/>
      <c r="M3158"/>
      <c r="N3158"/>
      <c r="U3158"/>
      <c r="V3158"/>
      <c r="W3158"/>
      <c r="X3158"/>
    </row>
    <row r="3159" spans="11:24">
      <c r="K3159"/>
      <c r="L3159"/>
      <c r="M3159"/>
      <c r="N3159"/>
      <c r="U3159"/>
      <c r="V3159"/>
      <c r="W3159"/>
      <c r="X3159"/>
    </row>
    <row r="3160" spans="11:24">
      <c r="K3160"/>
      <c r="L3160"/>
      <c r="M3160"/>
      <c r="N3160"/>
      <c r="U3160"/>
      <c r="V3160"/>
      <c r="W3160"/>
      <c r="X3160"/>
    </row>
    <row r="3161" spans="11:24">
      <c r="K3161"/>
      <c r="L3161"/>
      <c r="M3161"/>
      <c r="N3161"/>
      <c r="U3161"/>
      <c r="V3161"/>
      <c r="W3161"/>
      <c r="X3161"/>
    </row>
    <row r="3162" spans="11:24">
      <c r="K3162"/>
      <c r="L3162"/>
      <c r="M3162"/>
      <c r="N3162"/>
      <c r="U3162"/>
      <c r="V3162"/>
      <c r="W3162"/>
      <c r="X3162"/>
    </row>
    <row r="3163" spans="11:24">
      <c r="K3163"/>
      <c r="L3163"/>
      <c r="M3163"/>
      <c r="N3163"/>
      <c r="U3163"/>
      <c r="V3163"/>
      <c r="W3163"/>
      <c r="X3163"/>
    </row>
    <row r="3164" spans="11:24">
      <c r="K3164"/>
      <c r="L3164"/>
      <c r="M3164"/>
      <c r="N3164"/>
      <c r="U3164"/>
      <c r="V3164"/>
      <c r="W3164"/>
      <c r="X3164"/>
    </row>
    <row r="3165" spans="11:24">
      <c r="K3165"/>
      <c r="L3165"/>
      <c r="M3165"/>
      <c r="N3165"/>
      <c r="U3165"/>
      <c r="V3165"/>
      <c r="W3165"/>
      <c r="X3165"/>
    </row>
    <row r="3166" spans="11:24">
      <c r="K3166"/>
      <c r="L3166"/>
      <c r="M3166"/>
      <c r="N3166"/>
      <c r="U3166"/>
      <c r="V3166"/>
      <c r="W3166"/>
      <c r="X3166"/>
    </row>
    <row r="3167" spans="11:24">
      <c r="K3167"/>
      <c r="L3167"/>
      <c r="M3167"/>
      <c r="N3167"/>
      <c r="U3167"/>
      <c r="V3167"/>
      <c r="W3167"/>
      <c r="X3167"/>
    </row>
    <row r="3168" spans="11:24">
      <c r="K3168"/>
      <c r="L3168"/>
      <c r="M3168"/>
      <c r="N3168"/>
      <c r="U3168"/>
      <c r="V3168"/>
      <c r="W3168"/>
      <c r="X3168"/>
    </row>
    <row r="3169" spans="11:24">
      <c r="K3169"/>
      <c r="L3169"/>
      <c r="M3169"/>
      <c r="N3169"/>
      <c r="U3169"/>
      <c r="V3169"/>
      <c r="W3169"/>
      <c r="X3169"/>
    </row>
    <row r="3170" spans="11:24">
      <c r="K3170"/>
      <c r="L3170"/>
      <c r="M3170"/>
      <c r="N3170"/>
      <c r="U3170"/>
      <c r="V3170"/>
      <c r="W3170"/>
      <c r="X3170"/>
    </row>
    <row r="3171" spans="11:24">
      <c r="K3171"/>
      <c r="L3171"/>
      <c r="M3171"/>
      <c r="N3171"/>
      <c r="U3171"/>
      <c r="V3171"/>
      <c r="W3171"/>
      <c r="X3171"/>
    </row>
    <row r="3172" spans="11:24">
      <c r="K3172"/>
      <c r="L3172"/>
      <c r="M3172"/>
      <c r="N3172"/>
      <c r="U3172"/>
      <c r="V3172"/>
      <c r="W3172"/>
      <c r="X3172"/>
    </row>
    <row r="3173" spans="11:24">
      <c r="K3173"/>
      <c r="L3173"/>
      <c r="M3173"/>
      <c r="N3173"/>
      <c r="U3173"/>
      <c r="V3173"/>
      <c r="W3173"/>
      <c r="X3173"/>
    </row>
    <row r="3174" spans="11:24">
      <c r="K3174"/>
      <c r="L3174"/>
      <c r="M3174"/>
      <c r="N3174"/>
      <c r="U3174"/>
      <c r="V3174"/>
      <c r="W3174"/>
      <c r="X3174"/>
    </row>
    <row r="3175" spans="11:24">
      <c r="K3175"/>
      <c r="L3175"/>
      <c r="M3175"/>
      <c r="N3175"/>
      <c r="U3175"/>
      <c r="V3175"/>
      <c r="W3175"/>
      <c r="X3175"/>
    </row>
    <row r="3176" spans="11:24">
      <c r="K3176"/>
      <c r="L3176"/>
      <c r="M3176"/>
      <c r="N3176"/>
      <c r="U3176"/>
      <c r="V3176"/>
      <c r="W3176"/>
      <c r="X3176"/>
    </row>
    <row r="3177" spans="11:24">
      <c r="K3177"/>
      <c r="L3177"/>
      <c r="M3177"/>
      <c r="N3177"/>
      <c r="U3177"/>
      <c r="V3177"/>
      <c r="W3177"/>
      <c r="X3177"/>
    </row>
    <row r="3178" spans="11:24">
      <c r="K3178"/>
      <c r="L3178"/>
      <c r="M3178"/>
      <c r="N3178"/>
      <c r="U3178"/>
      <c r="V3178"/>
      <c r="W3178"/>
      <c r="X3178"/>
    </row>
    <row r="3179" spans="11:24">
      <c r="K3179"/>
      <c r="L3179"/>
      <c r="M3179"/>
      <c r="N3179"/>
      <c r="U3179"/>
      <c r="V3179"/>
      <c r="W3179"/>
      <c r="X3179"/>
    </row>
    <row r="3180" spans="11:24">
      <c r="K3180"/>
      <c r="L3180"/>
      <c r="M3180"/>
      <c r="N3180"/>
      <c r="U3180"/>
      <c r="V3180"/>
      <c r="W3180"/>
      <c r="X3180"/>
    </row>
    <row r="3181" spans="11:24">
      <c r="K3181"/>
      <c r="L3181"/>
      <c r="M3181"/>
      <c r="N3181"/>
      <c r="U3181"/>
      <c r="V3181"/>
      <c r="W3181"/>
      <c r="X3181"/>
    </row>
    <row r="3182" spans="11:24">
      <c r="K3182"/>
      <c r="L3182"/>
      <c r="M3182"/>
      <c r="N3182"/>
      <c r="U3182"/>
      <c r="V3182"/>
      <c r="W3182"/>
      <c r="X3182"/>
    </row>
    <row r="3183" spans="11:24">
      <c r="K3183"/>
      <c r="L3183"/>
      <c r="M3183"/>
      <c r="N3183"/>
      <c r="U3183"/>
      <c r="V3183"/>
      <c r="W3183"/>
      <c r="X3183"/>
    </row>
    <row r="3184" spans="11:24">
      <c r="K3184"/>
      <c r="L3184"/>
      <c r="M3184"/>
      <c r="N3184"/>
      <c r="U3184"/>
      <c r="V3184"/>
      <c r="W3184"/>
      <c r="X3184"/>
    </row>
    <row r="3185" spans="11:24">
      <c r="K3185"/>
      <c r="L3185"/>
      <c r="M3185"/>
      <c r="N3185"/>
      <c r="U3185"/>
      <c r="V3185"/>
      <c r="W3185"/>
      <c r="X3185"/>
    </row>
    <row r="3186" spans="11:24">
      <c r="K3186"/>
      <c r="L3186"/>
      <c r="M3186"/>
      <c r="N3186"/>
      <c r="U3186"/>
      <c r="V3186"/>
      <c r="W3186"/>
      <c r="X3186"/>
    </row>
    <row r="3187" spans="11:24">
      <c r="K3187"/>
      <c r="L3187"/>
      <c r="M3187"/>
      <c r="N3187"/>
      <c r="U3187"/>
      <c r="V3187"/>
      <c r="W3187"/>
      <c r="X3187"/>
    </row>
    <row r="3188" spans="11:24">
      <c r="K3188"/>
      <c r="L3188"/>
      <c r="M3188"/>
      <c r="N3188"/>
      <c r="U3188"/>
      <c r="V3188"/>
      <c r="W3188"/>
      <c r="X3188"/>
    </row>
    <row r="3189" spans="11:24">
      <c r="K3189"/>
      <c r="L3189"/>
      <c r="M3189"/>
      <c r="N3189"/>
      <c r="U3189"/>
      <c r="V3189"/>
      <c r="W3189"/>
      <c r="X3189"/>
    </row>
    <row r="3190" spans="11:24">
      <c r="K3190"/>
      <c r="L3190"/>
      <c r="M3190"/>
      <c r="N3190"/>
      <c r="U3190"/>
      <c r="V3190"/>
      <c r="W3190"/>
      <c r="X3190"/>
    </row>
    <row r="3191" spans="11:24">
      <c r="K3191"/>
      <c r="L3191"/>
      <c r="M3191"/>
      <c r="N3191"/>
      <c r="U3191"/>
      <c r="V3191"/>
      <c r="W3191"/>
      <c r="X3191"/>
    </row>
    <row r="3192" spans="11:24">
      <c r="K3192"/>
      <c r="L3192"/>
      <c r="M3192"/>
      <c r="N3192"/>
      <c r="U3192"/>
      <c r="V3192"/>
      <c r="W3192"/>
      <c r="X3192"/>
    </row>
    <row r="3193" spans="11:24">
      <c r="K3193"/>
      <c r="L3193"/>
      <c r="M3193"/>
      <c r="N3193"/>
      <c r="U3193"/>
      <c r="V3193"/>
      <c r="W3193"/>
      <c r="X3193"/>
    </row>
    <row r="3194" spans="11:24">
      <c r="K3194"/>
      <c r="L3194"/>
      <c r="M3194"/>
      <c r="N3194"/>
      <c r="U3194"/>
      <c r="V3194"/>
      <c r="W3194"/>
      <c r="X3194"/>
    </row>
    <row r="3195" spans="11:24">
      <c r="K3195"/>
      <c r="L3195"/>
      <c r="M3195"/>
      <c r="N3195"/>
      <c r="U3195"/>
      <c r="V3195"/>
      <c r="W3195"/>
      <c r="X3195"/>
    </row>
    <row r="3196" spans="11:24">
      <c r="K3196"/>
      <c r="L3196"/>
      <c r="M3196"/>
      <c r="N3196"/>
      <c r="U3196"/>
      <c r="V3196"/>
      <c r="W3196"/>
      <c r="X3196"/>
    </row>
    <row r="3197" spans="11:24">
      <c r="K3197"/>
      <c r="L3197"/>
      <c r="M3197"/>
      <c r="N3197"/>
      <c r="U3197"/>
      <c r="V3197"/>
      <c r="W3197"/>
      <c r="X3197"/>
    </row>
    <row r="3198" spans="11:24">
      <c r="K3198"/>
      <c r="L3198"/>
      <c r="M3198"/>
      <c r="N3198"/>
      <c r="U3198"/>
      <c r="V3198"/>
      <c r="W3198"/>
      <c r="X3198"/>
    </row>
    <row r="3199" spans="11:24">
      <c r="K3199"/>
      <c r="L3199"/>
      <c r="M3199"/>
      <c r="N3199"/>
      <c r="U3199"/>
      <c r="V3199"/>
      <c r="W3199"/>
      <c r="X3199"/>
    </row>
    <row r="3200" spans="11:24">
      <c r="K3200"/>
      <c r="L3200"/>
      <c r="M3200"/>
      <c r="N3200"/>
      <c r="U3200"/>
      <c r="V3200"/>
      <c r="W3200"/>
      <c r="X3200"/>
    </row>
    <row r="3201" spans="11:24">
      <c r="K3201"/>
      <c r="L3201"/>
      <c r="M3201"/>
      <c r="N3201"/>
      <c r="U3201"/>
      <c r="V3201"/>
      <c r="W3201"/>
      <c r="X3201"/>
    </row>
    <row r="3202" spans="11:24">
      <c r="K3202"/>
      <c r="L3202"/>
      <c r="M3202"/>
      <c r="N3202"/>
      <c r="U3202"/>
      <c r="V3202"/>
      <c r="W3202"/>
      <c r="X3202"/>
    </row>
    <row r="3203" spans="11:24">
      <c r="K3203"/>
      <c r="L3203"/>
      <c r="M3203"/>
      <c r="N3203"/>
      <c r="U3203"/>
      <c r="V3203"/>
      <c r="W3203"/>
      <c r="X3203"/>
    </row>
    <row r="3204" spans="11:24">
      <c r="K3204"/>
      <c r="L3204"/>
      <c r="M3204"/>
      <c r="N3204"/>
      <c r="U3204"/>
      <c r="V3204"/>
      <c r="W3204"/>
      <c r="X3204"/>
    </row>
    <row r="3205" spans="11:24">
      <c r="K3205"/>
      <c r="L3205"/>
      <c r="M3205"/>
      <c r="N3205"/>
      <c r="U3205"/>
      <c r="V3205"/>
      <c r="W3205"/>
      <c r="X3205"/>
    </row>
    <row r="3206" spans="11:24">
      <c r="K3206"/>
      <c r="L3206"/>
      <c r="M3206"/>
      <c r="N3206"/>
      <c r="U3206"/>
      <c r="V3206"/>
      <c r="W3206"/>
      <c r="X3206"/>
    </row>
    <row r="3207" spans="11:24">
      <c r="K3207"/>
      <c r="L3207"/>
      <c r="M3207"/>
      <c r="N3207"/>
      <c r="U3207"/>
      <c r="V3207"/>
      <c r="W3207"/>
      <c r="X3207"/>
    </row>
    <row r="3208" spans="11:24">
      <c r="K3208"/>
      <c r="L3208"/>
      <c r="M3208"/>
      <c r="N3208"/>
      <c r="U3208"/>
      <c r="V3208"/>
      <c r="W3208"/>
      <c r="X3208"/>
    </row>
    <row r="3209" spans="11:24">
      <c r="K3209"/>
      <c r="L3209"/>
      <c r="M3209"/>
      <c r="N3209"/>
      <c r="U3209"/>
      <c r="V3209"/>
      <c r="W3209"/>
      <c r="X3209"/>
    </row>
    <row r="3210" spans="11:24">
      <c r="K3210"/>
      <c r="L3210"/>
      <c r="M3210"/>
      <c r="N3210"/>
      <c r="U3210"/>
      <c r="V3210"/>
      <c r="W3210"/>
      <c r="X3210"/>
    </row>
    <row r="3211" spans="11:24">
      <c r="K3211"/>
      <c r="L3211"/>
      <c r="M3211"/>
      <c r="N3211"/>
      <c r="U3211"/>
      <c r="V3211"/>
      <c r="W3211"/>
      <c r="X3211"/>
    </row>
    <row r="3212" spans="11:24">
      <c r="K3212"/>
      <c r="L3212"/>
      <c r="M3212"/>
      <c r="N3212"/>
      <c r="U3212"/>
      <c r="V3212"/>
      <c r="W3212"/>
      <c r="X3212"/>
    </row>
    <row r="3213" spans="11:24">
      <c r="K3213"/>
      <c r="L3213"/>
      <c r="M3213"/>
      <c r="N3213"/>
      <c r="U3213"/>
      <c r="V3213"/>
      <c r="W3213"/>
      <c r="X3213"/>
    </row>
    <row r="3214" spans="11:24">
      <c r="K3214"/>
      <c r="L3214"/>
      <c r="M3214"/>
      <c r="N3214"/>
      <c r="U3214"/>
      <c r="V3214"/>
      <c r="W3214"/>
      <c r="X3214"/>
    </row>
    <row r="3215" spans="11:24">
      <c r="K3215"/>
      <c r="L3215"/>
      <c r="M3215"/>
      <c r="N3215"/>
      <c r="U3215"/>
      <c r="V3215"/>
      <c r="W3215"/>
      <c r="X3215"/>
    </row>
    <row r="3216" spans="11:24">
      <c r="K3216"/>
      <c r="L3216"/>
      <c r="M3216"/>
      <c r="N3216"/>
      <c r="U3216"/>
      <c r="V3216"/>
      <c r="W3216"/>
      <c r="X3216"/>
    </row>
    <row r="3217" spans="11:24">
      <c r="K3217"/>
      <c r="L3217"/>
      <c r="M3217"/>
      <c r="N3217"/>
      <c r="U3217"/>
      <c r="V3217"/>
      <c r="W3217"/>
      <c r="X3217"/>
    </row>
    <row r="3218" spans="11:24">
      <c r="K3218"/>
      <c r="L3218"/>
      <c r="M3218"/>
      <c r="N3218"/>
      <c r="U3218"/>
      <c r="V3218"/>
      <c r="W3218"/>
      <c r="X3218"/>
    </row>
    <row r="3219" spans="11:24">
      <c r="K3219"/>
      <c r="L3219"/>
      <c r="M3219"/>
      <c r="N3219"/>
      <c r="U3219"/>
      <c r="V3219"/>
      <c r="W3219"/>
      <c r="X3219"/>
    </row>
    <row r="3220" spans="11:24">
      <c r="K3220"/>
      <c r="L3220"/>
      <c r="M3220"/>
      <c r="N3220"/>
      <c r="U3220"/>
      <c r="V3220"/>
      <c r="W3220"/>
      <c r="X3220"/>
    </row>
    <row r="3221" spans="11:24">
      <c r="K3221"/>
      <c r="L3221"/>
      <c r="M3221"/>
      <c r="N3221"/>
      <c r="U3221"/>
      <c r="V3221"/>
      <c r="W3221"/>
      <c r="X3221"/>
    </row>
    <row r="3222" spans="11:24">
      <c r="K3222"/>
      <c r="L3222"/>
      <c r="M3222"/>
      <c r="N3222"/>
      <c r="U3222"/>
      <c r="V3222"/>
      <c r="W3222"/>
      <c r="X3222"/>
    </row>
    <row r="3223" spans="11:24">
      <c r="K3223"/>
      <c r="L3223"/>
      <c r="M3223"/>
      <c r="N3223"/>
      <c r="U3223"/>
      <c r="V3223"/>
      <c r="W3223"/>
      <c r="X3223"/>
    </row>
    <row r="3224" spans="11:24">
      <c r="K3224"/>
      <c r="L3224"/>
      <c r="M3224"/>
      <c r="N3224"/>
      <c r="U3224"/>
      <c r="V3224"/>
      <c r="W3224"/>
      <c r="X3224"/>
    </row>
    <row r="3225" spans="11:24">
      <c r="K3225"/>
      <c r="L3225"/>
      <c r="M3225"/>
      <c r="N3225"/>
      <c r="U3225"/>
      <c r="V3225"/>
      <c r="W3225"/>
      <c r="X3225"/>
    </row>
    <row r="3226" spans="11:24">
      <c r="K3226"/>
      <c r="L3226"/>
      <c r="M3226"/>
      <c r="N3226"/>
      <c r="U3226"/>
      <c r="V3226"/>
      <c r="W3226"/>
      <c r="X3226"/>
    </row>
    <row r="3227" spans="11:24">
      <c r="K3227"/>
      <c r="L3227"/>
      <c r="M3227"/>
      <c r="N3227"/>
      <c r="U3227"/>
      <c r="V3227"/>
      <c r="W3227"/>
      <c r="X3227"/>
    </row>
    <row r="3228" spans="11:24">
      <c r="K3228"/>
      <c r="L3228"/>
      <c r="M3228"/>
      <c r="N3228"/>
      <c r="U3228"/>
      <c r="V3228"/>
      <c r="W3228"/>
      <c r="X3228"/>
    </row>
    <row r="3229" spans="11:24">
      <c r="K3229"/>
      <c r="L3229"/>
      <c r="M3229"/>
      <c r="N3229"/>
      <c r="U3229"/>
      <c r="V3229"/>
      <c r="W3229"/>
      <c r="X3229"/>
    </row>
    <row r="3230" spans="11:24">
      <c r="K3230"/>
      <c r="L3230"/>
      <c r="M3230"/>
      <c r="N3230"/>
      <c r="U3230"/>
      <c r="V3230"/>
      <c r="W3230"/>
      <c r="X3230"/>
    </row>
    <row r="3231" spans="11:24">
      <c r="K3231"/>
      <c r="L3231"/>
      <c r="M3231"/>
      <c r="N3231"/>
      <c r="U3231"/>
      <c r="V3231"/>
      <c r="W3231"/>
      <c r="X3231"/>
    </row>
    <row r="3232" spans="11:24">
      <c r="K3232"/>
      <c r="L3232"/>
      <c r="M3232"/>
      <c r="N3232"/>
      <c r="U3232"/>
      <c r="V3232"/>
      <c r="W3232"/>
      <c r="X3232"/>
    </row>
    <row r="3233" spans="11:24">
      <c r="K3233"/>
      <c r="L3233"/>
      <c r="M3233"/>
      <c r="N3233"/>
      <c r="U3233"/>
      <c r="V3233"/>
      <c r="W3233"/>
      <c r="X3233"/>
    </row>
    <row r="3234" spans="11:24">
      <c r="K3234"/>
      <c r="L3234"/>
      <c r="M3234"/>
      <c r="N3234"/>
      <c r="U3234"/>
      <c r="V3234"/>
      <c r="W3234"/>
      <c r="X3234"/>
    </row>
    <row r="3235" spans="11:24">
      <c r="K3235"/>
      <c r="L3235"/>
      <c r="M3235"/>
      <c r="N3235"/>
      <c r="U3235"/>
      <c r="V3235"/>
      <c r="W3235"/>
      <c r="X3235"/>
    </row>
    <row r="3236" spans="11:24">
      <c r="K3236"/>
      <c r="L3236"/>
      <c r="M3236"/>
      <c r="N3236"/>
      <c r="U3236"/>
      <c r="V3236"/>
      <c r="W3236"/>
      <c r="X3236"/>
    </row>
    <row r="3237" spans="11:24">
      <c r="K3237"/>
      <c r="L3237"/>
      <c r="M3237"/>
      <c r="N3237"/>
      <c r="U3237"/>
      <c r="V3237"/>
      <c r="W3237"/>
      <c r="X3237"/>
    </row>
    <row r="3238" spans="11:24">
      <c r="K3238"/>
      <c r="L3238"/>
      <c r="M3238"/>
      <c r="N3238"/>
      <c r="U3238"/>
      <c r="V3238"/>
      <c r="W3238"/>
      <c r="X3238"/>
    </row>
    <row r="3239" spans="11:24">
      <c r="K3239"/>
      <c r="L3239"/>
      <c r="M3239"/>
      <c r="N3239"/>
      <c r="U3239"/>
      <c r="V3239"/>
      <c r="W3239"/>
      <c r="X3239"/>
    </row>
    <row r="3240" spans="11:24">
      <c r="K3240"/>
      <c r="L3240"/>
      <c r="M3240"/>
      <c r="N3240"/>
      <c r="U3240"/>
      <c r="V3240"/>
      <c r="W3240"/>
      <c r="X3240"/>
    </row>
    <row r="3241" spans="11:24">
      <c r="K3241"/>
      <c r="L3241"/>
      <c r="M3241"/>
      <c r="N3241"/>
      <c r="U3241"/>
      <c r="V3241"/>
      <c r="W3241"/>
      <c r="X3241"/>
    </row>
    <row r="3242" spans="11:24">
      <c r="K3242"/>
      <c r="L3242"/>
      <c r="M3242"/>
      <c r="N3242"/>
      <c r="U3242"/>
      <c r="V3242"/>
      <c r="W3242"/>
      <c r="X3242"/>
    </row>
    <row r="3243" spans="11:24">
      <c r="K3243"/>
      <c r="L3243"/>
      <c r="M3243"/>
      <c r="N3243"/>
      <c r="U3243"/>
      <c r="V3243"/>
      <c r="W3243"/>
      <c r="X3243"/>
    </row>
    <row r="3244" spans="11:24">
      <c r="K3244"/>
      <c r="L3244"/>
      <c r="M3244"/>
      <c r="N3244"/>
      <c r="U3244"/>
      <c r="V3244"/>
      <c r="W3244"/>
      <c r="X3244"/>
    </row>
    <row r="3245" spans="11:24">
      <c r="K3245"/>
      <c r="L3245"/>
      <c r="M3245"/>
      <c r="N3245"/>
      <c r="U3245"/>
      <c r="V3245"/>
      <c r="W3245"/>
      <c r="X3245"/>
    </row>
    <row r="3246" spans="11:24">
      <c r="K3246"/>
      <c r="L3246"/>
      <c r="M3246"/>
      <c r="N3246"/>
      <c r="U3246"/>
      <c r="V3246"/>
      <c r="W3246"/>
      <c r="X3246"/>
    </row>
    <row r="3247" spans="11:24">
      <c r="K3247"/>
      <c r="L3247"/>
      <c r="M3247"/>
      <c r="N3247"/>
      <c r="U3247"/>
      <c r="V3247"/>
      <c r="W3247"/>
      <c r="X3247"/>
    </row>
    <row r="3248" spans="11:24">
      <c r="K3248"/>
      <c r="L3248"/>
      <c r="M3248"/>
      <c r="N3248"/>
      <c r="U3248"/>
      <c r="V3248"/>
      <c r="W3248"/>
      <c r="X3248"/>
    </row>
    <row r="3249" spans="11:24">
      <c r="K3249"/>
      <c r="L3249"/>
      <c r="M3249"/>
      <c r="N3249"/>
      <c r="U3249"/>
      <c r="V3249"/>
      <c r="W3249"/>
      <c r="X3249"/>
    </row>
    <row r="3250" spans="11:24">
      <c r="K3250"/>
      <c r="L3250"/>
      <c r="M3250"/>
      <c r="N3250"/>
      <c r="U3250"/>
      <c r="V3250"/>
      <c r="W3250"/>
      <c r="X3250"/>
    </row>
    <row r="3251" spans="11:24">
      <c r="K3251"/>
      <c r="L3251"/>
      <c r="M3251"/>
      <c r="N3251"/>
      <c r="U3251"/>
      <c r="V3251"/>
      <c r="W3251"/>
      <c r="X3251"/>
    </row>
    <row r="3252" spans="11:24">
      <c r="K3252"/>
      <c r="L3252"/>
      <c r="M3252"/>
      <c r="N3252"/>
      <c r="U3252"/>
      <c r="V3252"/>
      <c r="W3252"/>
      <c r="X3252"/>
    </row>
    <row r="3253" spans="11:24">
      <c r="K3253"/>
      <c r="L3253"/>
      <c r="M3253"/>
      <c r="N3253"/>
      <c r="U3253"/>
      <c r="V3253"/>
      <c r="W3253"/>
      <c r="X3253"/>
    </row>
    <row r="3254" spans="11:24">
      <c r="K3254"/>
      <c r="L3254"/>
      <c r="M3254"/>
      <c r="N3254"/>
      <c r="U3254"/>
      <c r="V3254"/>
      <c r="W3254"/>
      <c r="X3254"/>
    </row>
    <row r="3255" spans="11:24">
      <c r="K3255"/>
      <c r="L3255"/>
      <c r="M3255"/>
      <c r="N3255"/>
      <c r="U3255"/>
      <c r="V3255"/>
      <c r="W3255"/>
      <c r="X3255"/>
    </row>
    <row r="3256" spans="11:24">
      <c r="K3256"/>
      <c r="L3256"/>
      <c r="M3256"/>
      <c r="N3256"/>
      <c r="U3256"/>
      <c r="V3256"/>
      <c r="W3256"/>
      <c r="X3256"/>
    </row>
    <row r="3257" spans="11:24">
      <c r="K3257"/>
      <c r="L3257"/>
      <c r="M3257"/>
      <c r="N3257"/>
      <c r="U3257"/>
      <c r="V3257"/>
      <c r="W3257"/>
      <c r="X3257"/>
    </row>
    <row r="3258" spans="11:24">
      <c r="K3258"/>
      <c r="L3258"/>
      <c r="M3258"/>
      <c r="N3258"/>
      <c r="U3258"/>
      <c r="V3258"/>
      <c r="W3258"/>
      <c r="X3258"/>
    </row>
    <row r="3259" spans="11:24">
      <c r="K3259"/>
      <c r="L3259"/>
      <c r="M3259"/>
      <c r="N3259"/>
      <c r="U3259"/>
      <c r="V3259"/>
      <c r="W3259"/>
      <c r="X3259"/>
    </row>
    <row r="3260" spans="11:24">
      <c r="K3260"/>
      <c r="L3260"/>
      <c r="M3260"/>
      <c r="N3260"/>
      <c r="U3260"/>
      <c r="V3260"/>
      <c r="W3260"/>
      <c r="X3260"/>
    </row>
    <row r="3261" spans="11:24">
      <c r="K3261"/>
      <c r="L3261"/>
      <c r="M3261"/>
      <c r="N3261"/>
      <c r="U3261"/>
      <c r="V3261"/>
      <c r="W3261"/>
      <c r="X3261"/>
    </row>
    <row r="3262" spans="11:24">
      <c r="K3262"/>
      <c r="L3262"/>
      <c r="M3262"/>
      <c r="N3262"/>
      <c r="U3262"/>
      <c r="V3262"/>
      <c r="W3262"/>
      <c r="X3262"/>
    </row>
    <row r="3263" spans="11:24">
      <c r="K3263"/>
      <c r="L3263"/>
      <c r="M3263"/>
      <c r="N3263"/>
      <c r="U3263"/>
      <c r="V3263"/>
      <c r="W3263"/>
      <c r="X3263"/>
    </row>
    <row r="3264" spans="11:24">
      <c r="K3264"/>
      <c r="L3264"/>
      <c r="M3264"/>
      <c r="N3264"/>
      <c r="U3264"/>
      <c r="V3264"/>
      <c r="W3264"/>
      <c r="X3264"/>
    </row>
    <row r="3265" spans="11:24">
      <c r="K3265"/>
      <c r="L3265"/>
      <c r="M3265"/>
      <c r="N3265"/>
      <c r="U3265"/>
      <c r="V3265"/>
      <c r="W3265"/>
      <c r="X3265"/>
    </row>
    <row r="3266" spans="11:24">
      <c r="K3266"/>
      <c r="L3266"/>
      <c r="M3266"/>
      <c r="N3266"/>
      <c r="U3266"/>
      <c r="V3266"/>
      <c r="W3266"/>
      <c r="X3266"/>
    </row>
    <row r="3267" spans="11:24">
      <c r="K3267"/>
      <c r="L3267"/>
      <c r="M3267"/>
      <c r="N3267"/>
      <c r="U3267"/>
      <c r="V3267"/>
      <c r="W3267"/>
      <c r="X3267"/>
    </row>
    <row r="3268" spans="11:24">
      <c r="K3268"/>
      <c r="L3268"/>
      <c r="M3268"/>
      <c r="N3268"/>
      <c r="U3268"/>
      <c r="V3268"/>
      <c r="W3268"/>
      <c r="X3268"/>
    </row>
    <row r="3269" spans="11:24">
      <c r="K3269"/>
      <c r="L3269"/>
      <c r="M3269"/>
      <c r="N3269"/>
      <c r="U3269"/>
      <c r="V3269"/>
      <c r="W3269"/>
      <c r="X3269"/>
    </row>
    <row r="3270" spans="11:24">
      <c r="K3270"/>
      <c r="L3270"/>
      <c r="M3270"/>
      <c r="N3270"/>
      <c r="U3270"/>
      <c r="V3270"/>
      <c r="W3270"/>
      <c r="X3270"/>
    </row>
    <row r="3271" spans="11:24">
      <c r="K3271"/>
      <c r="L3271"/>
      <c r="M3271"/>
      <c r="N3271"/>
      <c r="U3271"/>
      <c r="V3271"/>
      <c r="W3271"/>
      <c r="X3271"/>
    </row>
    <row r="3272" spans="11:24">
      <c r="K3272"/>
      <c r="L3272"/>
      <c r="M3272"/>
      <c r="N3272"/>
      <c r="U3272"/>
      <c r="V3272"/>
      <c r="W3272"/>
      <c r="X3272"/>
    </row>
    <row r="3273" spans="11:24">
      <c r="K3273"/>
      <c r="L3273"/>
      <c r="M3273"/>
      <c r="N3273"/>
      <c r="U3273"/>
      <c r="V3273"/>
      <c r="W3273"/>
      <c r="X3273"/>
    </row>
    <row r="3274" spans="11:24">
      <c r="K3274"/>
      <c r="L3274"/>
      <c r="M3274"/>
      <c r="N3274"/>
      <c r="U3274"/>
      <c r="V3274"/>
      <c r="W3274"/>
      <c r="X3274"/>
    </row>
    <row r="3275" spans="11:24">
      <c r="K3275"/>
      <c r="L3275"/>
      <c r="M3275"/>
      <c r="N3275"/>
      <c r="U3275"/>
      <c r="V3275"/>
      <c r="W3275"/>
      <c r="X3275"/>
    </row>
    <row r="3276" spans="11:24">
      <c r="K3276"/>
      <c r="L3276"/>
      <c r="M3276"/>
      <c r="N3276"/>
      <c r="U3276"/>
      <c r="V3276"/>
      <c r="W3276"/>
      <c r="X3276"/>
    </row>
    <row r="3277" spans="11:24">
      <c r="K3277"/>
      <c r="L3277"/>
      <c r="M3277"/>
      <c r="N3277"/>
      <c r="U3277"/>
      <c r="V3277"/>
      <c r="W3277"/>
      <c r="X3277"/>
    </row>
    <row r="3278" spans="11:24">
      <c r="K3278"/>
      <c r="L3278"/>
      <c r="M3278"/>
      <c r="N3278"/>
      <c r="U3278"/>
      <c r="V3278"/>
      <c r="W3278"/>
      <c r="X3278"/>
    </row>
    <row r="3279" spans="11:24">
      <c r="K3279"/>
      <c r="L3279"/>
      <c r="M3279"/>
      <c r="N3279"/>
      <c r="U3279"/>
      <c r="V3279"/>
      <c r="W3279"/>
      <c r="X3279"/>
    </row>
    <row r="3280" spans="11:24">
      <c r="K3280"/>
      <c r="L3280"/>
      <c r="M3280"/>
      <c r="N3280"/>
      <c r="U3280"/>
      <c r="V3280"/>
      <c r="W3280"/>
      <c r="X3280"/>
    </row>
    <row r="3281" spans="11:24">
      <c r="K3281"/>
      <c r="L3281"/>
      <c r="M3281"/>
      <c r="N3281"/>
      <c r="U3281"/>
      <c r="V3281"/>
      <c r="W3281"/>
      <c r="X3281"/>
    </row>
    <row r="3282" spans="11:24">
      <c r="K3282"/>
      <c r="L3282"/>
      <c r="M3282"/>
      <c r="N3282"/>
      <c r="U3282"/>
      <c r="V3282"/>
      <c r="W3282"/>
      <c r="X3282"/>
    </row>
    <row r="3283" spans="11:24">
      <c r="K3283"/>
      <c r="L3283"/>
      <c r="M3283"/>
      <c r="N3283"/>
      <c r="U3283"/>
      <c r="V3283"/>
      <c r="W3283"/>
      <c r="X3283"/>
    </row>
    <row r="3284" spans="11:24">
      <c r="K3284"/>
      <c r="L3284"/>
      <c r="M3284"/>
      <c r="N3284"/>
      <c r="U3284"/>
      <c r="V3284"/>
      <c r="W3284"/>
      <c r="X3284"/>
    </row>
    <row r="3285" spans="11:24">
      <c r="K3285"/>
      <c r="L3285"/>
      <c r="M3285"/>
      <c r="N3285"/>
      <c r="U3285"/>
      <c r="V3285"/>
      <c r="W3285"/>
      <c r="X3285"/>
    </row>
    <row r="3286" spans="11:24">
      <c r="K3286"/>
      <c r="L3286"/>
      <c r="M3286"/>
      <c r="N3286"/>
      <c r="U3286"/>
      <c r="V3286"/>
      <c r="W3286"/>
      <c r="X3286"/>
    </row>
    <row r="3287" spans="11:24">
      <c r="K3287"/>
      <c r="L3287"/>
      <c r="M3287"/>
      <c r="N3287"/>
      <c r="U3287"/>
      <c r="V3287"/>
      <c r="W3287"/>
      <c r="X3287"/>
    </row>
    <row r="3288" spans="11:24">
      <c r="K3288"/>
      <c r="L3288"/>
      <c r="M3288"/>
      <c r="N3288"/>
      <c r="U3288"/>
      <c r="V3288"/>
      <c r="W3288"/>
      <c r="X3288"/>
    </row>
    <row r="3289" spans="11:24">
      <c r="K3289"/>
      <c r="L3289"/>
      <c r="M3289"/>
      <c r="N3289"/>
      <c r="U3289"/>
      <c r="V3289"/>
      <c r="W3289"/>
      <c r="X3289"/>
    </row>
    <row r="3290" spans="11:24">
      <c r="K3290"/>
      <c r="L3290"/>
      <c r="M3290"/>
      <c r="N3290"/>
      <c r="U3290"/>
      <c r="V3290"/>
      <c r="W3290"/>
      <c r="X3290"/>
    </row>
    <row r="3291" spans="11:24">
      <c r="K3291"/>
      <c r="L3291"/>
      <c r="M3291"/>
      <c r="N3291"/>
      <c r="U3291"/>
      <c r="V3291"/>
      <c r="W3291"/>
      <c r="X3291"/>
    </row>
    <row r="3292" spans="11:24">
      <c r="K3292"/>
      <c r="L3292"/>
      <c r="M3292"/>
      <c r="N3292"/>
      <c r="U3292"/>
      <c r="V3292"/>
      <c r="W3292"/>
      <c r="X3292"/>
    </row>
    <row r="3293" spans="11:24">
      <c r="K3293"/>
      <c r="L3293"/>
      <c r="M3293"/>
      <c r="N3293"/>
      <c r="U3293"/>
      <c r="V3293"/>
      <c r="W3293"/>
      <c r="X3293"/>
    </row>
    <row r="3294" spans="11:24">
      <c r="K3294"/>
      <c r="L3294"/>
      <c r="M3294"/>
      <c r="N3294"/>
      <c r="U3294"/>
      <c r="V3294"/>
      <c r="W3294"/>
      <c r="X3294"/>
    </row>
    <row r="3295" spans="11:24">
      <c r="K3295"/>
      <c r="L3295"/>
      <c r="M3295"/>
      <c r="N3295"/>
      <c r="U3295"/>
      <c r="V3295"/>
      <c r="W3295"/>
      <c r="X3295"/>
    </row>
    <row r="3296" spans="11:24">
      <c r="K3296"/>
      <c r="L3296"/>
      <c r="M3296"/>
      <c r="N3296"/>
      <c r="U3296"/>
      <c r="V3296"/>
      <c r="W3296"/>
      <c r="X3296"/>
    </row>
    <row r="3297" spans="11:24">
      <c r="K3297"/>
      <c r="L3297"/>
      <c r="M3297"/>
      <c r="N3297"/>
      <c r="U3297"/>
      <c r="V3297"/>
      <c r="W3297"/>
      <c r="X3297"/>
    </row>
    <row r="3298" spans="11:24">
      <c r="K3298"/>
      <c r="L3298"/>
      <c r="M3298"/>
      <c r="N3298"/>
      <c r="U3298"/>
      <c r="V3298"/>
      <c r="W3298"/>
      <c r="X3298"/>
    </row>
    <row r="3299" spans="11:24">
      <c r="K3299"/>
      <c r="L3299"/>
      <c r="M3299"/>
      <c r="N3299"/>
      <c r="U3299"/>
      <c r="V3299"/>
      <c r="W3299"/>
      <c r="X3299"/>
    </row>
    <row r="3300" spans="11:24">
      <c r="K3300"/>
      <c r="L3300"/>
      <c r="M3300"/>
      <c r="N3300"/>
      <c r="U3300"/>
      <c r="V3300"/>
      <c r="W3300"/>
      <c r="X3300"/>
    </row>
    <row r="3301" spans="11:24">
      <c r="K3301"/>
      <c r="L3301"/>
      <c r="M3301"/>
      <c r="N3301"/>
      <c r="U3301"/>
      <c r="V3301"/>
      <c r="W3301"/>
      <c r="X3301"/>
    </row>
    <row r="3302" spans="11:24">
      <c r="K3302"/>
      <c r="L3302"/>
      <c r="M3302"/>
      <c r="N3302"/>
      <c r="U3302"/>
      <c r="V3302"/>
      <c r="W3302"/>
      <c r="X3302"/>
    </row>
    <row r="3303" spans="11:24">
      <c r="K3303"/>
      <c r="L3303"/>
      <c r="M3303"/>
      <c r="N3303"/>
      <c r="U3303"/>
      <c r="V3303"/>
      <c r="W3303"/>
      <c r="X3303"/>
    </row>
    <row r="3304" spans="11:24">
      <c r="K3304"/>
      <c r="L3304"/>
      <c r="M3304"/>
      <c r="N3304"/>
      <c r="U3304"/>
      <c r="V3304"/>
      <c r="W3304"/>
      <c r="X3304"/>
    </row>
    <row r="3305" spans="11:24">
      <c r="K3305"/>
      <c r="L3305"/>
      <c r="M3305"/>
      <c r="N3305"/>
      <c r="U3305"/>
      <c r="V3305"/>
      <c r="W3305"/>
      <c r="X3305"/>
    </row>
    <row r="3306" spans="11:24">
      <c r="K3306"/>
      <c r="L3306"/>
      <c r="M3306"/>
      <c r="N3306"/>
      <c r="U3306"/>
      <c r="V3306"/>
      <c r="W3306"/>
      <c r="X3306"/>
    </row>
    <row r="3307" spans="11:24">
      <c r="K3307"/>
      <c r="L3307"/>
      <c r="M3307"/>
      <c r="N3307"/>
      <c r="U3307"/>
      <c r="V3307"/>
      <c r="W3307"/>
      <c r="X3307"/>
    </row>
    <row r="3308" spans="11:24">
      <c r="K3308"/>
      <c r="L3308"/>
      <c r="M3308"/>
      <c r="N3308"/>
      <c r="U3308"/>
      <c r="V3308"/>
      <c r="W3308"/>
      <c r="X3308"/>
    </row>
    <row r="3309" spans="11:24">
      <c r="K3309"/>
      <c r="L3309"/>
      <c r="M3309"/>
      <c r="N3309"/>
      <c r="U3309"/>
      <c r="V3309"/>
      <c r="W3309"/>
      <c r="X3309"/>
    </row>
    <row r="3310" spans="11:24">
      <c r="K3310"/>
      <c r="L3310"/>
      <c r="M3310"/>
      <c r="N3310"/>
      <c r="U3310"/>
      <c r="V3310"/>
      <c r="W3310"/>
      <c r="X3310"/>
    </row>
    <row r="3311" spans="11:24">
      <c r="K3311"/>
      <c r="L3311"/>
      <c r="M3311"/>
      <c r="N3311"/>
      <c r="U3311"/>
      <c r="V3311"/>
      <c r="W3311"/>
      <c r="X3311"/>
    </row>
    <row r="3312" spans="11:24">
      <c r="K3312"/>
      <c r="L3312"/>
      <c r="M3312"/>
      <c r="N3312"/>
      <c r="U3312"/>
      <c r="V3312"/>
      <c r="W3312"/>
      <c r="X3312"/>
    </row>
    <row r="3313" spans="11:24">
      <c r="K3313"/>
      <c r="L3313"/>
      <c r="M3313"/>
      <c r="N3313"/>
      <c r="U3313"/>
      <c r="V3313"/>
      <c r="W3313"/>
      <c r="X3313"/>
    </row>
    <row r="3314" spans="11:24">
      <c r="K3314"/>
      <c r="L3314"/>
      <c r="M3314"/>
      <c r="N3314"/>
      <c r="U3314"/>
      <c r="V3314"/>
      <c r="W3314"/>
      <c r="X3314"/>
    </row>
    <row r="3315" spans="11:24">
      <c r="K3315"/>
      <c r="L3315"/>
      <c r="M3315"/>
      <c r="N3315"/>
      <c r="U3315"/>
      <c r="V3315"/>
      <c r="W3315"/>
      <c r="X3315"/>
    </row>
    <row r="3316" spans="11:24">
      <c r="K3316"/>
      <c r="L3316"/>
      <c r="M3316"/>
      <c r="N3316"/>
      <c r="U3316"/>
      <c r="V3316"/>
      <c r="W3316"/>
      <c r="X3316"/>
    </row>
    <row r="3317" spans="11:24">
      <c r="K3317"/>
      <c r="L3317"/>
      <c r="M3317"/>
      <c r="N3317"/>
      <c r="U3317"/>
      <c r="V3317"/>
      <c r="W3317"/>
      <c r="X3317"/>
    </row>
    <row r="3318" spans="11:24">
      <c r="K3318"/>
      <c r="L3318"/>
      <c r="M3318"/>
      <c r="N3318"/>
      <c r="U3318"/>
      <c r="V3318"/>
      <c r="W3318"/>
      <c r="X3318"/>
    </row>
    <row r="3319" spans="11:24">
      <c r="K3319"/>
      <c r="L3319"/>
      <c r="M3319"/>
      <c r="N3319"/>
      <c r="U3319"/>
      <c r="V3319"/>
      <c r="W3319"/>
      <c r="X3319"/>
    </row>
    <row r="3320" spans="11:24">
      <c r="K3320"/>
      <c r="L3320"/>
      <c r="M3320"/>
      <c r="N3320"/>
      <c r="U3320"/>
      <c r="V3320"/>
      <c r="W3320"/>
      <c r="X3320"/>
    </row>
    <row r="3321" spans="11:24">
      <c r="K3321"/>
      <c r="L3321"/>
      <c r="M3321"/>
      <c r="N3321"/>
      <c r="U3321"/>
      <c r="V3321"/>
      <c r="W3321"/>
      <c r="X3321"/>
    </row>
    <row r="3322" spans="11:24">
      <c r="K3322"/>
      <c r="L3322"/>
      <c r="M3322"/>
      <c r="N3322"/>
      <c r="U3322"/>
      <c r="V3322"/>
      <c r="W3322"/>
      <c r="X3322"/>
    </row>
    <row r="3323" spans="11:24">
      <c r="K3323"/>
      <c r="L3323"/>
      <c r="M3323"/>
      <c r="N3323"/>
      <c r="U3323"/>
      <c r="V3323"/>
      <c r="W3323"/>
      <c r="X3323"/>
    </row>
    <row r="3324" spans="11:24">
      <c r="K3324"/>
      <c r="L3324"/>
      <c r="M3324"/>
      <c r="N3324"/>
      <c r="U3324"/>
      <c r="V3324"/>
      <c r="W3324"/>
      <c r="X3324"/>
    </row>
    <row r="3325" spans="11:24">
      <c r="K3325"/>
      <c r="L3325"/>
      <c r="M3325"/>
      <c r="N3325"/>
      <c r="U3325"/>
      <c r="V3325"/>
      <c r="W3325"/>
      <c r="X3325"/>
    </row>
    <row r="3326" spans="11:24">
      <c r="K3326"/>
      <c r="L3326"/>
      <c r="M3326"/>
      <c r="N3326"/>
      <c r="U3326"/>
      <c r="V3326"/>
      <c r="W3326"/>
      <c r="X3326"/>
    </row>
    <row r="3327" spans="11:24">
      <c r="K3327"/>
      <c r="L3327"/>
      <c r="M3327"/>
      <c r="N3327"/>
      <c r="U3327"/>
      <c r="V3327"/>
      <c r="W3327"/>
      <c r="X3327"/>
    </row>
    <row r="3328" spans="11:24">
      <c r="K3328"/>
      <c r="L3328"/>
      <c r="M3328"/>
      <c r="N3328"/>
      <c r="U3328"/>
      <c r="V3328"/>
      <c r="W3328"/>
      <c r="X3328"/>
    </row>
    <row r="3329" spans="11:24">
      <c r="K3329"/>
      <c r="L3329"/>
      <c r="M3329"/>
      <c r="N3329"/>
      <c r="U3329"/>
      <c r="V3329"/>
      <c r="W3329"/>
      <c r="X3329"/>
    </row>
    <row r="3330" spans="11:24">
      <c r="K3330"/>
      <c r="L3330"/>
      <c r="M3330"/>
      <c r="N3330"/>
      <c r="U3330"/>
      <c r="V3330"/>
      <c r="W3330"/>
      <c r="X3330"/>
    </row>
    <row r="3331" spans="11:24">
      <c r="K3331"/>
      <c r="L3331"/>
      <c r="M3331"/>
      <c r="N3331"/>
      <c r="U3331"/>
      <c r="V3331"/>
      <c r="W3331"/>
      <c r="X3331"/>
    </row>
    <row r="3332" spans="11:24">
      <c r="K3332"/>
      <c r="L3332"/>
      <c r="M3332"/>
      <c r="N3332"/>
      <c r="U3332"/>
      <c r="V3332"/>
      <c r="W3332"/>
      <c r="X3332"/>
    </row>
    <row r="3333" spans="11:24">
      <c r="K3333"/>
      <c r="L3333"/>
      <c r="M3333"/>
      <c r="N3333"/>
      <c r="U3333"/>
      <c r="V3333"/>
      <c r="W3333"/>
      <c r="X3333"/>
    </row>
    <row r="3334" spans="11:24">
      <c r="K3334"/>
      <c r="L3334"/>
      <c r="M3334"/>
      <c r="N3334"/>
      <c r="U3334"/>
      <c r="V3334"/>
      <c r="W3334"/>
      <c r="X3334"/>
    </row>
    <row r="3335" spans="11:24">
      <c r="K3335"/>
      <c r="L3335"/>
      <c r="M3335"/>
      <c r="N3335"/>
      <c r="U3335"/>
      <c r="V3335"/>
      <c r="W3335"/>
      <c r="X3335"/>
    </row>
    <row r="3336" spans="11:24">
      <c r="K3336"/>
      <c r="L3336"/>
      <c r="M3336"/>
      <c r="N3336"/>
      <c r="U3336"/>
      <c r="V3336"/>
      <c r="W3336"/>
      <c r="X3336"/>
    </row>
    <row r="3337" spans="11:24">
      <c r="K3337"/>
      <c r="L3337"/>
      <c r="M3337"/>
      <c r="N3337"/>
      <c r="U3337"/>
      <c r="V3337"/>
      <c r="W3337"/>
      <c r="X3337"/>
    </row>
    <row r="3338" spans="11:24">
      <c r="K3338"/>
      <c r="L3338"/>
      <c r="M3338"/>
      <c r="N3338"/>
      <c r="U3338"/>
      <c r="V3338"/>
      <c r="W3338"/>
      <c r="X3338"/>
    </row>
    <row r="3339" spans="11:24">
      <c r="K3339"/>
      <c r="L3339"/>
      <c r="M3339"/>
      <c r="N3339"/>
      <c r="U3339"/>
      <c r="V3339"/>
      <c r="W3339"/>
      <c r="X3339"/>
    </row>
    <row r="3340" spans="11:24">
      <c r="K3340"/>
      <c r="L3340"/>
      <c r="M3340"/>
      <c r="N3340"/>
      <c r="U3340"/>
      <c r="V3340"/>
      <c r="W3340"/>
      <c r="X3340"/>
    </row>
    <row r="3341" spans="11:24">
      <c r="K3341"/>
      <c r="L3341"/>
      <c r="M3341"/>
      <c r="N3341"/>
      <c r="U3341"/>
      <c r="V3341"/>
      <c r="W3341"/>
      <c r="X3341"/>
    </row>
    <row r="3342" spans="11:24">
      <c r="K3342"/>
      <c r="L3342"/>
      <c r="M3342"/>
      <c r="N3342"/>
      <c r="U3342"/>
      <c r="V3342"/>
      <c r="W3342"/>
      <c r="X3342"/>
    </row>
    <row r="3343" spans="11:24">
      <c r="K3343"/>
      <c r="L3343"/>
      <c r="M3343"/>
      <c r="N3343"/>
      <c r="U3343"/>
      <c r="V3343"/>
      <c r="W3343"/>
      <c r="X3343"/>
    </row>
    <row r="3344" spans="11:24">
      <c r="K3344"/>
      <c r="L3344"/>
      <c r="M3344"/>
      <c r="N3344"/>
      <c r="U3344"/>
      <c r="V3344"/>
      <c r="W3344"/>
      <c r="X3344"/>
    </row>
    <row r="3345" spans="11:24">
      <c r="K3345"/>
      <c r="L3345"/>
      <c r="M3345"/>
      <c r="N3345"/>
      <c r="U3345"/>
      <c r="V3345"/>
      <c r="W3345"/>
      <c r="X3345"/>
    </row>
    <row r="3346" spans="11:24">
      <c r="K3346"/>
      <c r="L3346"/>
      <c r="M3346"/>
      <c r="N3346"/>
      <c r="U3346"/>
      <c r="V3346"/>
      <c r="W3346"/>
      <c r="X3346"/>
    </row>
    <row r="3347" spans="11:24">
      <c r="K3347"/>
      <c r="L3347"/>
      <c r="M3347"/>
      <c r="N3347"/>
      <c r="U3347"/>
      <c r="V3347"/>
      <c r="W3347"/>
      <c r="X3347"/>
    </row>
    <row r="3348" spans="11:24">
      <c r="K3348"/>
      <c r="L3348"/>
      <c r="M3348"/>
      <c r="N3348"/>
      <c r="U3348"/>
      <c r="V3348"/>
      <c r="W3348"/>
      <c r="X3348"/>
    </row>
    <row r="3349" spans="11:24">
      <c r="K3349"/>
      <c r="L3349"/>
      <c r="M3349"/>
      <c r="N3349"/>
      <c r="U3349"/>
      <c r="V3349"/>
      <c r="W3349"/>
      <c r="X3349"/>
    </row>
    <row r="3350" spans="11:24">
      <c r="K3350"/>
      <c r="L3350"/>
      <c r="M3350"/>
      <c r="N3350"/>
      <c r="U3350"/>
      <c r="V3350"/>
      <c r="W3350"/>
      <c r="X3350"/>
    </row>
    <row r="3351" spans="11:24">
      <c r="K3351"/>
      <c r="L3351"/>
      <c r="M3351"/>
      <c r="N3351"/>
      <c r="U3351"/>
      <c r="V3351"/>
      <c r="W3351"/>
      <c r="X3351"/>
    </row>
    <row r="3352" spans="11:24">
      <c r="K3352"/>
      <c r="L3352"/>
      <c r="M3352"/>
      <c r="N3352"/>
      <c r="U3352"/>
      <c r="V3352"/>
      <c r="W3352"/>
      <c r="X3352"/>
    </row>
    <row r="3353" spans="11:24">
      <c r="K3353"/>
      <c r="L3353"/>
      <c r="M3353"/>
      <c r="N3353"/>
      <c r="U3353"/>
      <c r="V3353"/>
      <c r="W3353"/>
      <c r="X3353"/>
    </row>
    <row r="3354" spans="11:24">
      <c r="K3354"/>
      <c r="L3354"/>
      <c r="M3354"/>
      <c r="N3354"/>
      <c r="U3354"/>
      <c r="V3354"/>
      <c r="W3354"/>
      <c r="X3354"/>
    </row>
    <row r="3355" spans="11:24">
      <c r="K3355"/>
      <c r="L3355"/>
      <c r="M3355"/>
      <c r="N3355"/>
      <c r="U3355"/>
      <c r="V3355"/>
      <c r="W3355"/>
      <c r="X3355"/>
    </row>
    <row r="3356" spans="11:24">
      <c r="K3356"/>
      <c r="L3356"/>
      <c r="M3356"/>
      <c r="N3356"/>
      <c r="U3356"/>
      <c r="V3356"/>
      <c r="W3356"/>
      <c r="X3356"/>
    </row>
    <row r="3357" spans="11:24">
      <c r="K3357"/>
      <c r="L3357"/>
      <c r="M3357"/>
      <c r="N3357"/>
      <c r="U3357"/>
      <c r="V3357"/>
      <c r="W3357"/>
      <c r="X3357"/>
    </row>
    <row r="3358" spans="11:24">
      <c r="K3358"/>
      <c r="L3358"/>
      <c r="M3358"/>
      <c r="N3358"/>
      <c r="U3358"/>
      <c r="V3358"/>
      <c r="W3358"/>
      <c r="X3358"/>
    </row>
    <row r="3359" spans="11:24">
      <c r="K3359"/>
      <c r="L3359"/>
      <c r="M3359"/>
      <c r="N3359"/>
      <c r="U3359"/>
      <c r="V3359"/>
      <c r="W3359"/>
      <c r="X3359"/>
    </row>
    <row r="3360" spans="11:24">
      <c r="K3360"/>
      <c r="L3360"/>
      <c r="M3360"/>
      <c r="N3360"/>
      <c r="U3360"/>
      <c r="V3360"/>
      <c r="W3360"/>
      <c r="X3360"/>
    </row>
    <row r="3361" spans="11:24">
      <c r="K3361"/>
      <c r="L3361"/>
      <c r="M3361"/>
      <c r="N3361"/>
      <c r="U3361"/>
      <c r="V3361"/>
      <c r="W3361"/>
      <c r="X3361"/>
    </row>
    <row r="3362" spans="11:24">
      <c r="K3362"/>
      <c r="L3362"/>
      <c r="M3362"/>
      <c r="N3362"/>
      <c r="U3362"/>
      <c r="V3362"/>
      <c r="W3362"/>
      <c r="X3362"/>
    </row>
    <row r="3363" spans="11:24">
      <c r="K3363"/>
      <c r="L3363"/>
      <c r="M3363"/>
      <c r="N3363"/>
      <c r="U3363"/>
      <c r="V3363"/>
      <c r="W3363"/>
      <c r="X3363"/>
    </row>
    <row r="3364" spans="11:24">
      <c r="K3364"/>
      <c r="L3364"/>
      <c r="M3364"/>
      <c r="N3364"/>
      <c r="U3364"/>
      <c r="V3364"/>
      <c r="W3364"/>
      <c r="X3364"/>
    </row>
    <row r="3365" spans="11:24">
      <c r="K3365"/>
      <c r="L3365"/>
      <c r="M3365"/>
      <c r="N3365"/>
      <c r="U3365"/>
      <c r="V3365"/>
      <c r="W3365"/>
      <c r="X3365"/>
    </row>
    <row r="3366" spans="11:24">
      <c r="K3366"/>
      <c r="L3366"/>
      <c r="M3366"/>
      <c r="N3366"/>
      <c r="U3366"/>
      <c r="V3366"/>
      <c r="W3366"/>
      <c r="X3366"/>
    </row>
    <row r="3367" spans="11:24">
      <c r="K3367"/>
      <c r="L3367"/>
      <c r="M3367"/>
      <c r="N3367"/>
      <c r="U3367"/>
      <c r="V3367"/>
      <c r="W3367"/>
      <c r="X3367"/>
    </row>
    <row r="3368" spans="11:24">
      <c r="K3368"/>
      <c r="L3368"/>
      <c r="M3368"/>
      <c r="N3368"/>
      <c r="U3368"/>
      <c r="V3368"/>
      <c r="W3368"/>
      <c r="X3368"/>
    </row>
    <row r="3369" spans="11:24">
      <c r="K3369"/>
      <c r="L3369"/>
      <c r="M3369"/>
      <c r="N3369"/>
      <c r="U3369"/>
      <c r="V3369"/>
      <c r="W3369"/>
      <c r="X3369"/>
    </row>
    <row r="3370" spans="11:24">
      <c r="K3370"/>
      <c r="L3370"/>
      <c r="M3370"/>
      <c r="N3370"/>
      <c r="U3370"/>
      <c r="V3370"/>
      <c r="W3370"/>
      <c r="X3370"/>
    </row>
    <row r="3371" spans="11:24">
      <c r="K3371"/>
      <c r="L3371"/>
      <c r="M3371"/>
      <c r="N3371"/>
      <c r="U3371"/>
      <c r="V3371"/>
      <c r="W3371"/>
      <c r="X3371"/>
    </row>
    <row r="3372" spans="11:24">
      <c r="K3372"/>
      <c r="L3372"/>
      <c r="M3372"/>
      <c r="N3372"/>
      <c r="U3372"/>
      <c r="V3372"/>
      <c r="W3372"/>
      <c r="X3372"/>
    </row>
    <row r="3373" spans="11:24">
      <c r="K3373"/>
      <c r="L3373"/>
      <c r="M3373"/>
      <c r="N3373"/>
      <c r="U3373"/>
      <c r="V3373"/>
      <c r="W3373"/>
      <c r="X3373"/>
    </row>
    <row r="3374" spans="11:24">
      <c r="K3374"/>
      <c r="L3374"/>
      <c r="M3374"/>
      <c r="N3374"/>
      <c r="U3374"/>
      <c r="V3374"/>
      <c r="W3374"/>
      <c r="X3374"/>
    </row>
    <row r="3375" spans="11:24">
      <c r="K3375"/>
      <c r="L3375"/>
      <c r="M3375"/>
      <c r="N3375"/>
      <c r="U3375"/>
      <c r="V3375"/>
      <c r="W3375"/>
      <c r="X3375"/>
    </row>
    <row r="3376" spans="11:24">
      <c r="K3376"/>
      <c r="L3376"/>
      <c r="M3376"/>
      <c r="N3376"/>
      <c r="U3376"/>
      <c r="V3376"/>
      <c r="W3376"/>
      <c r="X3376"/>
    </row>
    <row r="3377" spans="11:24">
      <c r="K3377"/>
      <c r="L3377"/>
      <c r="M3377"/>
      <c r="N3377"/>
      <c r="U3377"/>
      <c r="V3377"/>
      <c r="W3377"/>
      <c r="X3377"/>
    </row>
    <row r="3378" spans="11:24">
      <c r="K3378"/>
      <c r="L3378"/>
      <c r="M3378"/>
      <c r="N3378"/>
      <c r="U3378"/>
      <c r="V3378"/>
      <c r="W3378"/>
      <c r="X3378"/>
    </row>
    <row r="3379" spans="11:24">
      <c r="K3379"/>
      <c r="L3379"/>
      <c r="M3379"/>
      <c r="N3379"/>
      <c r="U3379"/>
      <c r="V3379"/>
      <c r="W3379"/>
      <c r="X3379"/>
    </row>
    <row r="3380" spans="11:24">
      <c r="K3380"/>
      <c r="L3380"/>
      <c r="M3380"/>
      <c r="N3380"/>
      <c r="U3380"/>
      <c r="V3380"/>
      <c r="W3380"/>
      <c r="X3380"/>
    </row>
    <row r="3381" spans="11:24">
      <c r="K3381"/>
      <c r="L3381"/>
      <c r="M3381"/>
      <c r="N3381"/>
      <c r="U3381"/>
      <c r="V3381"/>
      <c r="W3381"/>
      <c r="X3381"/>
    </row>
    <row r="3382" spans="11:24">
      <c r="K3382"/>
      <c r="L3382"/>
      <c r="M3382"/>
      <c r="N3382"/>
      <c r="U3382"/>
      <c r="V3382"/>
      <c r="W3382"/>
      <c r="X3382"/>
    </row>
    <row r="3383" spans="11:24">
      <c r="K3383"/>
      <c r="L3383"/>
      <c r="M3383"/>
      <c r="N3383"/>
      <c r="U3383"/>
      <c r="V3383"/>
      <c r="W3383"/>
      <c r="X3383"/>
    </row>
    <row r="3384" spans="11:24">
      <c r="K3384"/>
      <c r="L3384"/>
      <c r="M3384"/>
      <c r="N3384"/>
      <c r="U3384"/>
      <c r="V3384"/>
      <c r="W3384"/>
      <c r="X3384"/>
    </row>
    <row r="3385" spans="11:24">
      <c r="K3385"/>
      <c r="L3385"/>
      <c r="M3385"/>
      <c r="N3385"/>
      <c r="U3385"/>
      <c r="V3385"/>
      <c r="W3385"/>
      <c r="X3385"/>
    </row>
    <row r="3386" spans="11:24">
      <c r="K3386"/>
      <c r="L3386"/>
      <c r="M3386"/>
      <c r="N3386"/>
      <c r="U3386"/>
      <c r="V3386"/>
      <c r="W3386"/>
      <c r="X3386"/>
    </row>
    <row r="3387" spans="11:24">
      <c r="K3387"/>
      <c r="L3387"/>
      <c r="M3387"/>
      <c r="N3387"/>
      <c r="U3387"/>
      <c r="V3387"/>
      <c r="W3387"/>
      <c r="X3387"/>
    </row>
    <row r="3388" spans="11:24">
      <c r="K3388"/>
      <c r="L3388"/>
      <c r="M3388"/>
      <c r="N3388"/>
      <c r="U3388"/>
      <c r="V3388"/>
      <c r="W3388"/>
      <c r="X3388"/>
    </row>
    <row r="3389" spans="11:24">
      <c r="K3389"/>
      <c r="L3389"/>
      <c r="M3389"/>
      <c r="N3389"/>
      <c r="U3389"/>
      <c r="V3389"/>
      <c r="W3389"/>
      <c r="X3389"/>
    </row>
    <row r="3390" spans="11:24">
      <c r="K3390"/>
      <c r="L3390"/>
      <c r="M3390"/>
      <c r="N3390"/>
      <c r="U3390"/>
      <c r="V3390"/>
      <c r="W3390"/>
      <c r="X3390"/>
    </row>
    <row r="3391" spans="11:24">
      <c r="K3391"/>
      <c r="L3391"/>
      <c r="M3391"/>
      <c r="N3391"/>
      <c r="U3391"/>
      <c r="V3391"/>
      <c r="W3391"/>
      <c r="X3391"/>
    </row>
    <row r="3392" spans="11:24">
      <c r="K3392"/>
      <c r="L3392"/>
      <c r="M3392"/>
      <c r="N3392"/>
      <c r="U3392"/>
      <c r="V3392"/>
      <c r="W3392"/>
      <c r="X3392"/>
    </row>
  </sheetData>
  <mergeCells count="2">
    <mergeCell ref="A7:A24"/>
    <mergeCell ref="A26:A39"/>
  </mergeCells>
  <phoneticPr fontId="5" type="noConversion"/>
  <hyperlinks>
    <hyperlink ref="B8" r:id="rId3"/>
  </hyperlinks>
  <pageMargins left="0.7" right="0.7" top="0.75" bottom="0.75" header="0.3" footer="0.3"/>
  <legacy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E2894"/>
  <sheetViews>
    <sheetView zoomScale="80" zoomScaleNormal="80" workbookViewId="0">
      <selection activeCell="D18" sqref="D18"/>
    </sheetView>
  </sheetViews>
  <sheetFormatPr defaultRowHeight="15"/>
  <cols>
    <col min="1" max="1" width="8" customWidth="1"/>
    <col min="2" max="4" width="9.42578125" customWidth="1"/>
    <col min="5" max="5" width="13.85546875" customWidth="1"/>
    <col min="7" max="7" width="9.5703125" customWidth="1"/>
    <col min="8" max="8" width="12.28515625" style="12" customWidth="1"/>
    <col min="9" max="9" width="6.5703125" style="39" customWidth="1"/>
    <col min="10" max="10" width="7.140625" style="8" customWidth="1"/>
    <col min="11" max="11" width="6.85546875" style="8" customWidth="1"/>
    <col min="12" max="12" width="11.140625" customWidth="1"/>
    <col min="13" max="13" width="19.5703125" customWidth="1"/>
    <col min="14" max="14" width="21.5703125" style="12" customWidth="1"/>
    <col min="15" max="15" width="13.85546875" style="12" customWidth="1"/>
    <col min="16" max="16" width="10.5703125" customWidth="1"/>
    <col min="17" max="17" width="5.5703125" customWidth="1"/>
    <col min="18" max="18" width="12.140625" customWidth="1"/>
    <col min="19" max="19" width="8" customWidth="1"/>
    <col min="20" max="20" width="11.7109375" customWidth="1"/>
    <col min="21" max="21" width="8.140625" customWidth="1"/>
    <col min="22" max="28" width="13.140625" customWidth="1"/>
    <col min="29" max="29" width="11.42578125" customWidth="1"/>
    <col min="30" max="30" width="11.140625" customWidth="1"/>
    <col min="31" max="31" width="9.42578125" customWidth="1"/>
  </cols>
  <sheetData>
    <row r="1" spans="1:31">
      <c r="A1" s="151" t="s">
        <v>20</v>
      </c>
      <c r="B1" s="151" t="s">
        <v>2430</v>
      </c>
      <c r="C1" s="151" t="s">
        <v>2431</v>
      </c>
      <c r="D1" s="151" t="s">
        <v>2432</v>
      </c>
      <c r="E1" s="151" t="s">
        <v>2433</v>
      </c>
      <c r="F1" s="151" t="s">
        <v>2434</v>
      </c>
      <c r="G1" s="151" t="s">
        <v>2435</v>
      </c>
      <c r="H1" s="151" t="s">
        <v>2436</v>
      </c>
      <c r="I1" s="151" t="s">
        <v>2437</v>
      </c>
      <c r="J1" s="151" t="s">
        <v>2438</v>
      </c>
      <c r="K1" s="151" t="s">
        <v>2439</v>
      </c>
      <c r="L1" s="151" t="s">
        <v>2440</v>
      </c>
      <c r="M1" s="151" t="s">
        <v>2441</v>
      </c>
      <c r="N1" s="151" t="s">
        <v>2442</v>
      </c>
      <c r="O1" s="151" t="s">
        <v>2443</v>
      </c>
      <c r="P1" s="151" t="s">
        <v>2444</v>
      </c>
      <c r="Q1" s="22" t="s">
        <v>1809</v>
      </c>
      <c r="R1" s="6" t="s">
        <v>21</v>
      </c>
      <c r="S1" s="6" t="s">
        <v>22</v>
      </c>
      <c r="T1" s="6" t="s">
        <v>1874</v>
      </c>
      <c r="U1" s="6" t="s">
        <v>2045</v>
      </c>
      <c r="V1" s="24" t="s">
        <v>2312</v>
      </c>
      <c r="W1" s="24" t="s">
        <v>1824</v>
      </c>
      <c r="X1" s="25" t="s">
        <v>1825</v>
      </c>
      <c r="Y1" s="25" t="s">
        <v>2313</v>
      </c>
      <c r="Z1" s="24" t="s">
        <v>1826</v>
      </c>
      <c r="AA1" s="24" t="s">
        <v>2012</v>
      </c>
      <c r="AB1" s="24" t="s">
        <v>2314</v>
      </c>
      <c r="AC1" s="24" t="s">
        <v>1811</v>
      </c>
      <c r="AD1" s="24" t="s">
        <v>1827</v>
      </c>
      <c r="AE1" t="s">
        <v>1822</v>
      </c>
    </row>
    <row r="2" spans="1:31">
      <c r="A2" s="151">
        <v>148926</v>
      </c>
      <c r="B2" s="151" t="s">
        <v>2490</v>
      </c>
      <c r="C2" s="151" t="s">
        <v>2491</v>
      </c>
      <c r="D2" s="151" t="s">
        <v>2577</v>
      </c>
      <c r="E2" s="151" t="s">
        <v>55</v>
      </c>
      <c r="F2" s="151" t="s">
        <v>23</v>
      </c>
      <c r="G2" s="151" t="s">
        <v>2578</v>
      </c>
      <c r="H2" s="151" t="s">
        <v>2579</v>
      </c>
      <c r="I2" s="152">
        <v>42641.724143518521</v>
      </c>
      <c r="J2" s="152">
        <v>42643.649629629632</v>
      </c>
      <c r="K2" s="151" t="s">
        <v>2445</v>
      </c>
      <c r="L2" s="151" t="s">
        <v>55</v>
      </c>
      <c r="M2" s="152">
        <v>42641.724143518521</v>
      </c>
      <c r="N2" s="151" t="s">
        <v>2428</v>
      </c>
      <c r="O2" s="151"/>
      <c r="P2" s="151" t="s">
        <v>2556</v>
      </c>
      <c r="Q2" t="str">
        <f>IF(ISBLANK(patch[[#This Row],[OwnerEmail]]),Q1,patch[[#This Row],[OwnerEmail]])</f>
        <v>liang.l.yang@intel.com</v>
      </c>
      <c r="R2" t="str">
        <f>_xlfn.IFNA(VLOOKUP(patch[[#This Row],[tmp-owner.email]],OrgTree!$A:$K, 11, 0), "not ICG SWFW")</f>
        <v>BJ And dev</v>
      </c>
      <c r="S2" t="str">
        <f>IF(patch[[#This Row],[reviewer]]=patch[[#This Row],[tmp-owner.email]], "author", _xlfn.IFNA(VLOOKUP(patch[[#This Row],[reviewer]],OrgTree!$A:$K, 11, 0), "not ICG SWFW"))</f>
        <v>author</v>
      </c>
      <c r="T2" t="str">
        <f>IF(ISBLANK(patch[[#This Row],[mergeDate]]), "", MID(YEAR(patch[[#This Row],[mergeDate]]), 3,2)&amp;"'ww"&amp;WEEKNUM(patch[[#This Row],[mergeDate]]))</f>
        <v>16'ww40</v>
      </c>
      <c r="U2" t="str">
        <f>IF(ISBLANK(patch[[#This Row],[mergeDate]]), U1, MID(YEAR(patch[[#This Row],[mergeDate]]), 3,2)&amp;"'m"&amp;MONTH(patch[[#This Row],[mergeDate]]))</f>
        <v>16'm9</v>
      </c>
      <c r="V2">
        <f>IF(ISBLANK(patch[[#This Row],[project]]), "",SUM(patch[[#This Row],[BJ -1 num]:[SH -1 num]]))</f>
        <v>0</v>
      </c>
      <c r="W2">
        <f>IF(ISBLANK(patch[[#This Row],[project]]), "",COUNTIFS($A:$A,patch[[#This Row],[number]],$S:$S, "BJ And dev",$AC:$AC, "Review-1"))</f>
        <v>0</v>
      </c>
      <c r="X2">
        <f>IF(ISBLANK(patch[[#This Row],[project]]), "",COUNTIFS($A:$A,patch[[#This Row],[number]],$S:$S, "FL And dev",$AC:$AC, "Review-1"))</f>
        <v>0</v>
      </c>
      <c r="Y2">
        <f>IF(ISBLANK(patch[[#This Row],[project]]), "",COUNTIFS($A:$A,patch[[#This Row],[number]],$S:$S, "SH And dev",$AC:$AC, "Review-1"))</f>
        <v>0</v>
      </c>
      <c r="Z2">
        <f>IF(ISBLANK(patch[[#This Row],[project]]), "",COUNTIFS($A:$A,patch[[#This Row],[number]],$S:$S, "BJ And dev",$AD:$AD, "&lt;&gt;IntegratorValidationComment"))</f>
        <v>14</v>
      </c>
      <c r="AA2">
        <f>IF(ISBLANK(patch[[#This Row],[project]]), "",COUNTIFS($A:$A,patch[[#This Row],[number]],$S:$S, "FL And dev",$AD:$AD, "&lt;&gt;IntegratorValidationComment"))</f>
        <v>0</v>
      </c>
      <c r="AB2">
        <f>IF(ISBLANK(patch[[#This Row],[project]]), "",COUNTIFS($A:$A,patch[[#This Row],[number]],$S:$S, "SH And dev",$AD:$AD, "&lt;&gt;IntegratorValidationComment"))</f>
        <v>0</v>
      </c>
      <c r="AC2" t="str">
        <f>IF(OR(ISNUMBER(FIND("Review-1", patch[[#This Row],[comments]])), ISNUMBER(FIND("Approver-1", patch[[#This Row],[comments]]))), "Review-1", "")</f>
        <v/>
      </c>
      <c r="AD2"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 t="str">
        <f>IF(ISBLANK(patch[[#This Row],[number]]),AE1,patch[[#This Row],[ifCommon]])</f>
        <v>not AndrHAL</v>
      </c>
    </row>
    <row r="3" spans="1:31">
      <c r="A3" s="151">
        <v>148926</v>
      </c>
      <c r="B3" s="151"/>
      <c r="C3" s="151"/>
      <c r="D3" s="151"/>
      <c r="E3" s="151"/>
      <c r="F3" s="151"/>
      <c r="G3" s="151"/>
      <c r="H3" s="151"/>
      <c r="I3" s="151"/>
      <c r="J3" s="152">
        <v>42643.649629629632</v>
      </c>
      <c r="K3" s="151"/>
      <c r="L3" s="151" t="s">
        <v>55</v>
      </c>
      <c r="M3" s="152">
        <v>42641.724143518521</v>
      </c>
      <c r="N3" s="151" t="s">
        <v>25</v>
      </c>
      <c r="O3" s="151"/>
      <c r="P3" s="151"/>
      <c r="Q3" s="7" t="str">
        <f>IF(ISBLANK(patch[[#This Row],[OwnerEmail]]),Q2,patch[[#This Row],[OwnerEmail]])</f>
        <v>liang.l.yang@intel.com</v>
      </c>
      <c r="R3" s="7" t="str">
        <f>_xlfn.IFNA(VLOOKUP(patch[[#This Row],[tmp-owner.email]],OrgTree!$A:$K, 11, 0), "not ICG SWFW")</f>
        <v>BJ And dev</v>
      </c>
      <c r="S3" s="7" t="str">
        <f>IF(patch[[#This Row],[reviewer]]=patch[[#This Row],[tmp-owner.email]], "author", _xlfn.IFNA(VLOOKUP(patch[[#This Row],[reviewer]],OrgTree!$A:$K, 11, 0), "not ICG SWFW"))</f>
        <v>author</v>
      </c>
      <c r="T3" s="7" t="str">
        <f>IF(ISBLANK(patch[[#This Row],[mergeDate]]), "", MID(YEAR(patch[[#This Row],[mergeDate]]), 3,2)&amp;"'ww"&amp;WEEKNUM(patch[[#This Row],[mergeDate]]))</f>
        <v>16'ww40</v>
      </c>
      <c r="U3" s="7" t="str">
        <f>IF(ISBLANK(patch[[#This Row],[mergeDate]]), U2, MID(YEAR(patch[[#This Row],[mergeDate]]), 3,2)&amp;"'m"&amp;MONTH(patch[[#This Row],[mergeDate]]))</f>
        <v>16'm9</v>
      </c>
      <c r="V3" s="7" t="str">
        <f>IF(ISBLANK(patch[[#This Row],[project]]), "",SUM(patch[[#This Row],[BJ -1 num]:[SH -1 num]]))</f>
        <v/>
      </c>
      <c r="W3" s="7" t="str">
        <f>IF(ISBLANK(patch[[#This Row],[project]]), "",COUNTIFS($A:$A,patch[[#This Row],[number]],$S:$S, "BJ And dev",$AC:$AC, "Review-1"))</f>
        <v/>
      </c>
      <c r="X3" s="7" t="str">
        <f>IF(ISBLANK(patch[[#This Row],[project]]), "",COUNTIFS($A:$A,patch[[#This Row],[number]],$S:$S, "FL And dev",$AC:$AC, "Review-1"))</f>
        <v/>
      </c>
      <c r="Y3" s="7" t="str">
        <f>IF(ISBLANK(patch[[#This Row],[project]]), "",COUNTIFS($A:$A,patch[[#This Row],[number]],$S:$S, "SH And dev",$AC:$AC, "Review-1"))</f>
        <v/>
      </c>
      <c r="Z3" s="7" t="str">
        <f>IF(ISBLANK(patch[[#This Row],[project]]), "",COUNTIFS($A:$A,patch[[#This Row],[number]],$S:$S, "BJ And dev",$AD:$AD, "&lt;&gt;IntegratorValidationComment"))</f>
        <v/>
      </c>
      <c r="AA3" s="7" t="str">
        <f>IF(ISBLANK(patch[[#This Row],[project]]), "",COUNTIFS($A:$A,patch[[#This Row],[number]],$S:$S, "FL And dev",$AD:$AD, "&lt;&gt;IntegratorValidationComment"))</f>
        <v/>
      </c>
      <c r="AB3" s="7" t="str">
        <f>IF(ISBLANK(patch[[#This Row],[project]]), "",COUNTIFS($A:$A,patch[[#This Row],[number]],$S:$S, "SH And dev",$AD:$AD, "&lt;&gt;IntegratorValidationComment"))</f>
        <v/>
      </c>
      <c r="AC3" s="7" t="str">
        <f>IF(OR(ISNUMBER(FIND("Review-1", patch[[#This Row],[comments]])), ISNUMBER(FIND("Approver-1", patch[[#This Row],[comments]]))), "Review-1", "")</f>
        <v/>
      </c>
      <c r="AD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 s="7">
        <f>IF(ISBLANK(patch[[#This Row],[number]]),AE2,patch[[#This Row],[ifCommon]])</f>
        <v>0</v>
      </c>
    </row>
    <row r="4" spans="1:31">
      <c r="A4" s="151">
        <v>148926</v>
      </c>
      <c r="B4" s="151"/>
      <c r="C4" s="151"/>
      <c r="D4" s="151"/>
      <c r="E4" s="151"/>
      <c r="F4" s="151"/>
      <c r="G4" s="151"/>
      <c r="H4" s="151"/>
      <c r="I4" s="151"/>
      <c r="J4" s="152">
        <v>42643.649629629632</v>
      </c>
      <c r="K4" s="151"/>
      <c r="L4" s="151" t="s">
        <v>59</v>
      </c>
      <c r="M4" s="152">
        <v>42641.730717592603</v>
      </c>
      <c r="N4" s="151" t="s">
        <v>2580</v>
      </c>
      <c r="O4" s="151"/>
      <c r="P4" s="151"/>
      <c r="Q4" s="7" t="str">
        <f>IF(ISBLANK(patch[[#This Row],[OwnerEmail]]),Q3,patch[[#This Row],[OwnerEmail]])</f>
        <v>liang.l.yang@intel.com</v>
      </c>
      <c r="R4" s="7" t="str">
        <f>_xlfn.IFNA(VLOOKUP(patch[[#This Row],[tmp-owner.email]],OrgTree!$A:$K, 11, 0), "not ICG SWFW")</f>
        <v>BJ And dev</v>
      </c>
      <c r="S4" s="7" t="str">
        <f>IF(patch[[#This Row],[reviewer]]=patch[[#This Row],[tmp-owner.email]], "author", _xlfn.IFNA(VLOOKUP(patch[[#This Row],[reviewer]],OrgTree!$A:$K, 11, 0), "not ICG SWFW"))</f>
        <v>BJ And dev</v>
      </c>
      <c r="T4" s="7" t="str">
        <f>IF(ISBLANK(patch[[#This Row],[mergeDate]]), "", MID(YEAR(patch[[#This Row],[mergeDate]]), 3,2)&amp;"'ww"&amp;WEEKNUM(patch[[#This Row],[mergeDate]]))</f>
        <v>16'ww40</v>
      </c>
      <c r="U4" s="7" t="str">
        <f>IF(ISBLANK(patch[[#This Row],[mergeDate]]), U3, MID(YEAR(patch[[#This Row],[mergeDate]]), 3,2)&amp;"'m"&amp;MONTH(patch[[#This Row],[mergeDate]]))</f>
        <v>16'm9</v>
      </c>
      <c r="V4" s="7" t="str">
        <f>IF(ISBLANK(patch[[#This Row],[project]]), "",SUM(patch[[#This Row],[BJ -1 num]:[SH -1 num]]))</f>
        <v/>
      </c>
      <c r="W4" s="7" t="str">
        <f>IF(ISBLANK(patch[[#This Row],[project]]), "",COUNTIFS($A:$A,patch[[#This Row],[number]],$S:$S, "BJ And dev",$AC:$AC, "Review-1"))</f>
        <v/>
      </c>
      <c r="X4" s="7" t="str">
        <f>IF(ISBLANK(patch[[#This Row],[project]]), "",COUNTIFS($A:$A,patch[[#This Row],[number]],$S:$S, "FL And dev",$AC:$AC, "Review-1"))</f>
        <v/>
      </c>
      <c r="Y4" s="7" t="str">
        <f>IF(ISBLANK(patch[[#This Row],[project]]), "",COUNTIFS($A:$A,patch[[#This Row],[number]],$S:$S, "SH And dev",$AC:$AC, "Review-1"))</f>
        <v/>
      </c>
      <c r="Z4" s="7" t="str">
        <f>IF(ISBLANK(patch[[#This Row],[project]]), "",COUNTIFS($A:$A,patch[[#This Row],[number]],$S:$S, "BJ And dev",$AD:$AD, "&lt;&gt;IntegratorValidationComment"))</f>
        <v/>
      </c>
      <c r="AA4" s="7" t="str">
        <f>IF(ISBLANK(patch[[#This Row],[project]]), "",COUNTIFS($A:$A,patch[[#This Row],[number]],$S:$S, "FL And dev",$AD:$AD, "&lt;&gt;IntegratorValidationComment"))</f>
        <v/>
      </c>
      <c r="AB4" s="7" t="str">
        <f>IF(ISBLANK(patch[[#This Row],[project]]), "",COUNTIFS($A:$A,patch[[#This Row],[number]],$S:$S, "SH And dev",$AD:$AD, "&lt;&gt;IntegratorValidationComment"))</f>
        <v/>
      </c>
      <c r="AC4" s="7" t="str">
        <f>IF(OR(ISNUMBER(FIND("Review-1", patch[[#This Row],[comments]])), ISNUMBER(FIND("Approver-1", patch[[#This Row],[comments]]))), "Review-1", "")</f>
        <v/>
      </c>
      <c r="AD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 s="7">
        <f>IF(ISBLANK(patch[[#This Row],[number]]),AE3,patch[[#This Row],[ifCommon]])</f>
        <v>0</v>
      </c>
    </row>
    <row r="5" spans="1:31">
      <c r="A5" s="151">
        <v>148926</v>
      </c>
      <c r="B5" s="151"/>
      <c r="C5" s="151"/>
      <c r="D5" s="151"/>
      <c r="E5" s="151"/>
      <c r="F5" s="151"/>
      <c r="G5" s="151"/>
      <c r="H5" s="151"/>
      <c r="I5" s="151"/>
      <c r="J5" s="152">
        <v>42643.649629629632</v>
      </c>
      <c r="K5" s="151"/>
      <c r="L5" s="151" t="s">
        <v>55</v>
      </c>
      <c r="M5" s="152">
        <v>42641.731851851851</v>
      </c>
      <c r="N5" s="151" t="s">
        <v>2429</v>
      </c>
      <c r="O5" s="151"/>
      <c r="P5" s="151"/>
      <c r="Q5" s="7" t="str">
        <f>IF(ISBLANK(patch[[#This Row],[OwnerEmail]]),Q4,patch[[#This Row],[OwnerEmail]])</f>
        <v>liang.l.yang@intel.com</v>
      </c>
      <c r="R5" s="7" t="str">
        <f>_xlfn.IFNA(VLOOKUP(patch[[#This Row],[tmp-owner.email]],OrgTree!$A:$K, 11, 0), "not ICG SWFW")</f>
        <v>BJ And dev</v>
      </c>
      <c r="S5" s="7" t="str">
        <f>IF(patch[[#This Row],[reviewer]]=patch[[#This Row],[tmp-owner.email]], "author", _xlfn.IFNA(VLOOKUP(patch[[#This Row],[reviewer]],OrgTree!$A:$K, 11, 0), "not ICG SWFW"))</f>
        <v>author</v>
      </c>
      <c r="T5" s="7" t="str">
        <f>IF(ISBLANK(patch[[#This Row],[mergeDate]]), "", MID(YEAR(patch[[#This Row],[mergeDate]]), 3,2)&amp;"'ww"&amp;WEEKNUM(patch[[#This Row],[mergeDate]]))</f>
        <v>16'ww40</v>
      </c>
      <c r="U5" s="7" t="str">
        <f>IF(ISBLANK(patch[[#This Row],[mergeDate]]), U4, MID(YEAR(patch[[#This Row],[mergeDate]]), 3,2)&amp;"'m"&amp;MONTH(patch[[#This Row],[mergeDate]]))</f>
        <v>16'm9</v>
      </c>
      <c r="V5" s="7" t="str">
        <f>IF(ISBLANK(patch[[#This Row],[project]]), "",SUM(patch[[#This Row],[BJ -1 num]:[SH -1 num]]))</f>
        <v/>
      </c>
      <c r="W5" s="7" t="str">
        <f>IF(ISBLANK(patch[[#This Row],[project]]), "",COUNTIFS($A:$A,patch[[#This Row],[number]],$S:$S, "BJ And dev",$AC:$AC, "Review-1"))</f>
        <v/>
      </c>
      <c r="X5" s="7" t="str">
        <f>IF(ISBLANK(patch[[#This Row],[project]]), "",COUNTIFS($A:$A,patch[[#This Row],[number]],$S:$S, "FL And dev",$AC:$AC, "Review-1"))</f>
        <v/>
      </c>
      <c r="Y5" s="7" t="str">
        <f>IF(ISBLANK(patch[[#This Row],[project]]), "",COUNTIFS($A:$A,patch[[#This Row],[number]],$S:$S, "SH And dev",$AC:$AC, "Review-1"))</f>
        <v/>
      </c>
      <c r="Z5" s="7" t="str">
        <f>IF(ISBLANK(patch[[#This Row],[project]]), "",COUNTIFS($A:$A,patch[[#This Row],[number]],$S:$S, "BJ And dev",$AD:$AD, "&lt;&gt;IntegratorValidationComment"))</f>
        <v/>
      </c>
      <c r="AA5" s="7" t="str">
        <f>IF(ISBLANK(patch[[#This Row],[project]]), "",COUNTIFS($A:$A,patch[[#This Row],[number]],$S:$S, "FL And dev",$AD:$AD, "&lt;&gt;IntegratorValidationComment"))</f>
        <v/>
      </c>
      <c r="AB5" s="7" t="str">
        <f>IF(ISBLANK(patch[[#This Row],[project]]), "",COUNTIFS($A:$A,patch[[#This Row],[number]],$S:$S, "SH And dev",$AD:$AD, "&lt;&gt;IntegratorValidationComment"))</f>
        <v/>
      </c>
      <c r="AC5" s="7" t="str">
        <f>IF(OR(ISNUMBER(FIND("Review-1", patch[[#This Row],[comments]])), ISNUMBER(FIND("Approver-1", patch[[#This Row],[comments]]))), "Review-1", "")</f>
        <v/>
      </c>
      <c r="AD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 s="7">
        <f>IF(ISBLANK(patch[[#This Row],[number]]),AE4,patch[[#This Row],[ifCommon]])</f>
        <v>0</v>
      </c>
    </row>
    <row r="6" spans="1:31">
      <c r="A6" s="151">
        <v>148926</v>
      </c>
      <c r="B6" s="151"/>
      <c r="C6" s="151"/>
      <c r="D6" s="151"/>
      <c r="E6" s="151"/>
      <c r="F6" s="151"/>
      <c r="G6" s="151"/>
      <c r="H6" s="151"/>
      <c r="I6" s="151"/>
      <c r="J6" s="152">
        <v>42643.649629629632</v>
      </c>
      <c r="K6" s="151"/>
      <c r="L6" s="151" t="s">
        <v>55</v>
      </c>
      <c r="M6" s="152">
        <v>42641.731851851851</v>
      </c>
      <c r="N6" s="151" t="s">
        <v>29</v>
      </c>
      <c r="O6" s="151"/>
      <c r="P6" s="151"/>
      <c r="Q6" s="7" t="str">
        <f>IF(ISBLANK(patch[[#This Row],[OwnerEmail]]),Q5,patch[[#This Row],[OwnerEmail]])</f>
        <v>liang.l.yang@intel.com</v>
      </c>
      <c r="R6" s="7" t="str">
        <f>_xlfn.IFNA(VLOOKUP(patch[[#This Row],[tmp-owner.email]],OrgTree!$A:$K, 11, 0), "not ICG SWFW")</f>
        <v>BJ And dev</v>
      </c>
      <c r="S6" s="7" t="str">
        <f>IF(patch[[#This Row],[reviewer]]=patch[[#This Row],[tmp-owner.email]], "author", _xlfn.IFNA(VLOOKUP(patch[[#This Row],[reviewer]],OrgTree!$A:$K, 11, 0), "not ICG SWFW"))</f>
        <v>author</v>
      </c>
      <c r="T6" s="7" t="str">
        <f>IF(ISBLANK(patch[[#This Row],[mergeDate]]), "", MID(YEAR(patch[[#This Row],[mergeDate]]), 3,2)&amp;"'ww"&amp;WEEKNUM(patch[[#This Row],[mergeDate]]))</f>
        <v>16'ww40</v>
      </c>
      <c r="U6" s="7" t="str">
        <f>IF(ISBLANK(patch[[#This Row],[mergeDate]]), U5, MID(YEAR(patch[[#This Row],[mergeDate]]), 3,2)&amp;"'m"&amp;MONTH(patch[[#This Row],[mergeDate]]))</f>
        <v>16'm9</v>
      </c>
      <c r="V6" s="7" t="str">
        <f>IF(ISBLANK(patch[[#This Row],[project]]), "",SUM(patch[[#This Row],[BJ -1 num]:[SH -1 num]]))</f>
        <v/>
      </c>
      <c r="W6" s="7" t="str">
        <f>IF(ISBLANK(patch[[#This Row],[project]]), "",COUNTIFS($A:$A,patch[[#This Row],[number]],$S:$S, "BJ And dev",$AC:$AC, "Review-1"))</f>
        <v/>
      </c>
      <c r="X6" s="7" t="str">
        <f>IF(ISBLANK(patch[[#This Row],[project]]), "",COUNTIFS($A:$A,patch[[#This Row],[number]],$S:$S, "FL And dev",$AC:$AC, "Review-1"))</f>
        <v/>
      </c>
      <c r="Y6" s="7" t="str">
        <f>IF(ISBLANK(patch[[#This Row],[project]]), "",COUNTIFS($A:$A,patch[[#This Row],[number]],$S:$S, "SH And dev",$AC:$AC, "Review-1"))</f>
        <v/>
      </c>
      <c r="Z6" s="7" t="str">
        <f>IF(ISBLANK(patch[[#This Row],[project]]), "",COUNTIFS($A:$A,patch[[#This Row],[number]],$S:$S, "BJ And dev",$AD:$AD, "&lt;&gt;IntegratorValidationComment"))</f>
        <v/>
      </c>
      <c r="AA6" s="7" t="str">
        <f>IF(ISBLANK(patch[[#This Row],[project]]), "",COUNTIFS($A:$A,patch[[#This Row],[number]],$S:$S, "FL And dev",$AD:$AD, "&lt;&gt;IntegratorValidationComment"))</f>
        <v/>
      </c>
      <c r="AB6" s="7" t="str">
        <f>IF(ISBLANK(patch[[#This Row],[project]]), "",COUNTIFS($A:$A,patch[[#This Row],[number]],$S:$S, "SH And dev",$AD:$AD, "&lt;&gt;IntegratorValidationComment"))</f>
        <v/>
      </c>
      <c r="AC6" s="7" t="str">
        <f>IF(OR(ISNUMBER(FIND("Review-1", patch[[#This Row],[comments]])), ISNUMBER(FIND("Approver-1", patch[[#This Row],[comments]]))), "Review-1", "")</f>
        <v/>
      </c>
      <c r="AD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 s="7">
        <f>IF(ISBLANK(patch[[#This Row],[number]]),AE5,patch[[#This Row],[ifCommon]])</f>
        <v>0</v>
      </c>
    </row>
    <row r="7" spans="1:31">
      <c r="A7" s="151">
        <v>148926</v>
      </c>
      <c r="B7" s="151"/>
      <c r="C7" s="151"/>
      <c r="D7" s="151"/>
      <c r="E7" s="151"/>
      <c r="F7" s="151"/>
      <c r="G7" s="151"/>
      <c r="H7" s="151"/>
      <c r="I7" s="151"/>
      <c r="J7" s="152">
        <v>42643.649629629632</v>
      </c>
      <c r="K7" s="151"/>
      <c r="L7" s="151" t="s">
        <v>59</v>
      </c>
      <c r="M7" s="152">
        <v>42641.736331018517</v>
      </c>
      <c r="N7" s="151" t="s">
        <v>2581</v>
      </c>
      <c r="O7" s="151"/>
      <c r="P7" s="151"/>
      <c r="Q7" s="7" t="str">
        <f>IF(ISBLANK(patch[[#This Row],[OwnerEmail]]),Q6,patch[[#This Row],[OwnerEmail]])</f>
        <v>liang.l.yang@intel.com</v>
      </c>
      <c r="R7" s="7" t="str">
        <f>_xlfn.IFNA(VLOOKUP(patch[[#This Row],[tmp-owner.email]],OrgTree!$A:$K, 11, 0), "not ICG SWFW")</f>
        <v>BJ And dev</v>
      </c>
      <c r="S7" s="7" t="str">
        <f>IF(patch[[#This Row],[reviewer]]=patch[[#This Row],[tmp-owner.email]], "author", _xlfn.IFNA(VLOOKUP(patch[[#This Row],[reviewer]],OrgTree!$A:$K, 11, 0), "not ICG SWFW"))</f>
        <v>BJ And dev</v>
      </c>
      <c r="T7" s="7" t="str">
        <f>IF(ISBLANK(patch[[#This Row],[mergeDate]]), "", MID(YEAR(patch[[#This Row],[mergeDate]]), 3,2)&amp;"'ww"&amp;WEEKNUM(patch[[#This Row],[mergeDate]]))</f>
        <v>16'ww40</v>
      </c>
      <c r="U7" s="7" t="str">
        <f>IF(ISBLANK(patch[[#This Row],[mergeDate]]), U6, MID(YEAR(patch[[#This Row],[mergeDate]]), 3,2)&amp;"'m"&amp;MONTH(patch[[#This Row],[mergeDate]]))</f>
        <v>16'm9</v>
      </c>
      <c r="V7" s="7" t="str">
        <f>IF(ISBLANK(patch[[#This Row],[project]]), "",SUM(patch[[#This Row],[BJ -1 num]:[SH -1 num]]))</f>
        <v/>
      </c>
      <c r="W7" s="7" t="str">
        <f>IF(ISBLANK(patch[[#This Row],[project]]), "",COUNTIFS($A:$A,patch[[#This Row],[number]],$S:$S, "BJ And dev",$AC:$AC, "Review-1"))</f>
        <v/>
      </c>
      <c r="X7" s="7" t="str">
        <f>IF(ISBLANK(patch[[#This Row],[project]]), "",COUNTIFS($A:$A,patch[[#This Row],[number]],$S:$S, "FL And dev",$AC:$AC, "Review-1"))</f>
        <v/>
      </c>
      <c r="Y7" s="7" t="str">
        <f>IF(ISBLANK(patch[[#This Row],[project]]), "",COUNTIFS($A:$A,patch[[#This Row],[number]],$S:$S, "SH And dev",$AC:$AC, "Review-1"))</f>
        <v/>
      </c>
      <c r="Z7" s="7" t="str">
        <f>IF(ISBLANK(patch[[#This Row],[project]]), "",COUNTIFS($A:$A,patch[[#This Row],[number]],$S:$S, "BJ And dev",$AD:$AD, "&lt;&gt;IntegratorValidationComment"))</f>
        <v/>
      </c>
      <c r="AA7" s="7" t="str">
        <f>IF(ISBLANK(patch[[#This Row],[project]]), "",COUNTIFS($A:$A,patch[[#This Row],[number]],$S:$S, "FL And dev",$AD:$AD, "&lt;&gt;IntegratorValidationComment"))</f>
        <v/>
      </c>
      <c r="AB7" s="7" t="str">
        <f>IF(ISBLANK(patch[[#This Row],[project]]), "",COUNTIFS($A:$A,patch[[#This Row],[number]],$S:$S, "SH And dev",$AD:$AD, "&lt;&gt;IntegratorValidationComment"))</f>
        <v/>
      </c>
      <c r="AC7" s="7" t="str">
        <f>IF(OR(ISNUMBER(FIND("Review-1", patch[[#This Row],[comments]])), ISNUMBER(FIND("Approver-1", patch[[#This Row],[comments]]))), "Review-1", "")</f>
        <v/>
      </c>
      <c r="AD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 s="7">
        <f>IF(ISBLANK(patch[[#This Row],[number]]),AE6,patch[[#This Row],[ifCommon]])</f>
        <v>0</v>
      </c>
    </row>
    <row r="8" spans="1:31">
      <c r="A8" s="151">
        <v>148926</v>
      </c>
      <c r="B8" s="151"/>
      <c r="C8" s="151"/>
      <c r="D8" s="151"/>
      <c r="E8" s="151"/>
      <c r="F8" s="151"/>
      <c r="G8" s="151"/>
      <c r="H8" s="151"/>
      <c r="I8" s="151"/>
      <c r="J8" s="152">
        <v>42643.649629629632</v>
      </c>
      <c r="K8" s="151"/>
      <c r="L8" s="151" t="s">
        <v>59</v>
      </c>
      <c r="M8" s="152">
        <v>42641.737719907411</v>
      </c>
      <c r="N8" s="151" t="s">
        <v>2582</v>
      </c>
      <c r="O8" s="151"/>
      <c r="P8" s="151"/>
      <c r="Q8" s="7" t="str">
        <f>IF(ISBLANK(patch[[#This Row],[OwnerEmail]]),Q7,patch[[#This Row],[OwnerEmail]])</f>
        <v>liang.l.yang@intel.com</v>
      </c>
      <c r="R8" s="7" t="str">
        <f>_xlfn.IFNA(VLOOKUP(patch[[#This Row],[tmp-owner.email]],OrgTree!$A:$K, 11, 0), "not ICG SWFW")</f>
        <v>BJ And dev</v>
      </c>
      <c r="S8" s="7" t="str">
        <f>IF(patch[[#This Row],[reviewer]]=patch[[#This Row],[tmp-owner.email]], "author", _xlfn.IFNA(VLOOKUP(patch[[#This Row],[reviewer]],OrgTree!$A:$K, 11, 0), "not ICG SWFW"))</f>
        <v>BJ And dev</v>
      </c>
      <c r="T8" s="7" t="str">
        <f>IF(ISBLANK(patch[[#This Row],[mergeDate]]), "", MID(YEAR(patch[[#This Row],[mergeDate]]), 3,2)&amp;"'ww"&amp;WEEKNUM(patch[[#This Row],[mergeDate]]))</f>
        <v>16'ww40</v>
      </c>
      <c r="U8" s="7" t="str">
        <f>IF(ISBLANK(patch[[#This Row],[mergeDate]]), U7, MID(YEAR(patch[[#This Row],[mergeDate]]), 3,2)&amp;"'m"&amp;MONTH(patch[[#This Row],[mergeDate]]))</f>
        <v>16'm9</v>
      </c>
      <c r="V8" s="7" t="str">
        <f>IF(ISBLANK(patch[[#This Row],[project]]), "",SUM(patch[[#This Row],[BJ -1 num]:[SH -1 num]]))</f>
        <v/>
      </c>
      <c r="W8" s="7" t="str">
        <f>IF(ISBLANK(patch[[#This Row],[project]]), "",COUNTIFS($A:$A,patch[[#This Row],[number]],$S:$S, "BJ And dev",$AC:$AC, "Review-1"))</f>
        <v/>
      </c>
      <c r="X8" s="7" t="str">
        <f>IF(ISBLANK(patch[[#This Row],[project]]), "",COUNTIFS($A:$A,patch[[#This Row],[number]],$S:$S, "FL And dev",$AC:$AC, "Review-1"))</f>
        <v/>
      </c>
      <c r="Y8" s="7" t="str">
        <f>IF(ISBLANK(patch[[#This Row],[project]]), "",COUNTIFS($A:$A,patch[[#This Row],[number]],$S:$S, "SH And dev",$AC:$AC, "Review-1"))</f>
        <v/>
      </c>
      <c r="Z8" s="7" t="str">
        <f>IF(ISBLANK(patch[[#This Row],[project]]), "",COUNTIFS($A:$A,patch[[#This Row],[number]],$S:$S, "BJ And dev",$AD:$AD, "&lt;&gt;IntegratorValidationComment"))</f>
        <v/>
      </c>
      <c r="AA8" s="7" t="str">
        <f>IF(ISBLANK(patch[[#This Row],[project]]), "",COUNTIFS($A:$A,patch[[#This Row],[number]],$S:$S, "FL And dev",$AD:$AD, "&lt;&gt;IntegratorValidationComment"))</f>
        <v/>
      </c>
      <c r="AB8" s="7" t="str">
        <f>IF(ISBLANK(patch[[#This Row],[project]]), "",COUNTIFS($A:$A,patch[[#This Row],[number]],$S:$S, "SH And dev",$AD:$AD, "&lt;&gt;IntegratorValidationComment"))</f>
        <v/>
      </c>
      <c r="AC8" s="7" t="str">
        <f>IF(OR(ISNUMBER(FIND("Review-1", patch[[#This Row],[comments]])), ISNUMBER(FIND("Approver-1", patch[[#This Row],[comments]]))), "Review-1", "")</f>
        <v/>
      </c>
      <c r="AD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 s="7">
        <f>IF(ISBLANK(patch[[#This Row],[number]]),AE7,patch[[#This Row],[ifCommon]])</f>
        <v>0</v>
      </c>
    </row>
    <row r="9" spans="1:31">
      <c r="A9" s="151">
        <v>148926</v>
      </c>
      <c r="B9" s="151"/>
      <c r="C9" s="151"/>
      <c r="D9" s="151"/>
      <c r="E9" s="151"/>
      <c r="F9" s="151"/>
      <c r="G9" s="151"/>
      <c r="H9" s="151"/>
      <c r="I9" s="151"/>
      <c r="J9" s="152">
        <v>42643.649629629632</v>
      </c>
      <c r="K9" s="151"/>
      <c r="L9" s="151" t="s">
        <v>59</v>
      </c>
      <c r="M9" s="152">
        <v>42641.740289351852</v>
      </c>
      <c r="N9" s="151" t="s">
        <v>2583</v>
      </c>
      <c r="O9" s="151"/>
      <c r="P9" s="151"/>
      <c r="Q9" s="7" t="str">
        <f>IF(ISBLANK(patch[[#This Row],[OwnerEmail]]),Q8,patch[[#This Row],[OwnerEmail]])</f>
        <v>liang.l.yang@intel.com</v>
      </c>
      <c r="R9" s="7" t="str">
        <f>_xlfn.IFNA(VLOOKUP(patch[[#This Row],[tmp-owner.email]],OrgTree!$A:$K, 11, 0), "not ICG SWFW")</f>
        <v>BJ And dev</v>
      </c>
      <c r="S9" s="7" t="str">
        <f>IF(patch[[#This Row],[reviewer]]=patch[[#This Row],[tmp-owner.email]], "author", _xlfn.IFNA(VLOOKUP(patch[[#This Row],[reviewer]],OrgTree!$A:$K, 11, 0), "not ICG SWFW"))</f>
        <v>BJ And dev</v>
      </c>
      <c r="T9" s="7" t="str">
        <f>IF(ISBLANK(patch[[#This Row],[mergeDate]]), "", MID(YEAR(patch[[#This Row],[mergeDate]]), 3,2)&amp;"'ww"&amp;WEEKNUM(patch[[#This Row],[mergeDate]]))</f>
        <v>16'ww40</v>
      </c>
      <c r="U9" s="7" t="str">
        <f>IF(ISBLANK(patch[[#This Row],[mergeDate]]), U8, MID(YEAR(patch[[#This Row],[mergeDate]]), 3,2)&amp;"'m"&amp;MONTH(patch[[#This Row],[mergeDate]]))</f>
        <v>16'm9</v>
      </c>
      <c r="V9" s="7" t="str">
        <f>IF(ISBLANK(patch[[#This Row],[project]]), "",SUM(patch[[#This Row],[BJ -1 num]:[SH -1 num]]))</f>
        <v/>
      </c>
      <c r="W9" s="7" t="str">
        <f>IF(ISBLANK(patch[[#This Row],[project]]), "",COUNTIFS($A:$A,patch[[#This Row],[number]],$S:$S, "BJ And dev",$AC:$AC, "Review-1"))</f>
        <v/>
      </c>
      <c r="X9" s="7" t="str">
        <f>IF(ISBLANK(patch[[#This Row],[project]]), "",COUNTIFS($A:$A,patch[[#This Row],[number]],$S:$S, "FL And dev",$AC:$AC, "Review-1"))</f>
        <v/>
      </c>
      <c r="Y9" s="7" t="str">
        <f>IF(ISBLANK(patch[[#This Row],[project]]), "",COUNTIFS($A:$A,patch[[#This Row],[number]],$S:$S, "SH And dev",$AC:$AC, "Review-1"))</f>
        <v/>
      </c>
      <c r="Z9" s="7" t="str">
        <f>IF(ISBLANK(patch[[#This Row],[project]]), "",COUNTIFS($A:$A,patch[[#This Row],[number]],$S:$S, "BJ And dev",$AD:$AD, "&lt;&gt;IntegratorValidationComment"))</f>
        <v/>
      </c>
      <c r="AA9" s="7" t="str">
        <f>IF(ISBLANK(patch[[#This Row],[project]]), "",COUNTIFS($A:$A,patch[[#This Row],[number]],$S:$S, "FL And dev",$AD:$AD, "&lt;&gt;IntegratorValidationComment"))</f>
        <v/>
      </c>
      <c r="AB9" s="7" t="str">
        <f>IF(ISBLANK(patch[[#This Row],[project]]), "",COUNTIFS($A:$A,patch[[#This Row],[number]],$S:$S, "SH And dev",$AD:$AD, "&lt;&gt;IntegratorValidationComment"))</f>
        <v/>
      </c>
      <c r="AC9" s="7" t="str">
        <f>IF(OR(ISNUMBER(FIND("Review-1", patch[[#This Row],[comments]])), ISNUMBER(FIND("Approver-1", patch[[#This Row],[comments]]))), "Review-1", "")</f>
        <v/>
      </c>
      <c r="AD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 s="7">
        <f>IF(ISBLANK(patch[[#This Row],[number]]),AE8,patch[[#This Row],[ifCommon]])</f>
        <v>0</v>
      </c>
    </row>
    <row r="10" spans="1:31">
      <c r="A10" s="151">
        <v>148926</v>
      </c>
      <c r="B10" s="151"/>
      <c r="C10" s="151"/>
      <c r="D10" s="151"/>
      <c r="E10" s="151"/>
      <c r="F10" s="151"/>
      <c r="G10" s="151"/>
      <c r="H10" s="151"/>
      <c r="I10" s="151"/>
      <c r="J10" s="152">
        <v>42643.649629629632</v>
      </c>
      <c r="K10" s="151"/>
      <c r="L10" s="151" t="s">
        <v>55</v>
      </c>
      <c r="M10" s="152">
        <v>42641.751250000001</v>
      </c>
      <c r="N10" s="151" t="s">
        <v>1829</v>
      </c>
      <c r="O10" s="151"/>
      <c r="P10" s="151"/>
      <c r="Q10" s="7" t="str">
        <f>IF(ISBLANK(patch[[#This Row],[OwnerEmail]]),Q9,patch[[#This Row],[OwnerEmail]])</f>
        <v>liang.l.yang@intel.com</v>
      </c>
      <c r="R10" s="7" t="str">
        <f>_xlfn.IFNA(VLOOKUP(patch[[#This Row],[tmp-owner.email]],OrgTree!$A:$K, 11, 0), "not ICG SWFW")</f>
        <v>BJ And dev</v>
      </c>
      <c r="S10" s="7" t="str">
        <f>IF(patch[[#This Row],[reviewer]]=patch[[#This Row],[tmp-owner.email]], "author", _xlfn.IFNA(VLOOKUP(patch[[#This Row],[reviewer]],OrgTree!$A:$K, 11, 0), "not ICG SWFW"))</f>
        <v>author</v>
      </c>
      <c r="T10" s="7" t="str">
        <f>IF(ISBLANK(patch[[#This Row],[mergeDate]]), "", MID(YEAR(patch[[#This Row],[mergeDate]]), 3,2)&amp;"'ww"&amp;WEEKNUM(patch[[#This Row],[mergeDate]]))</f>
        <v>16'ww40</v>
      </c>
      <c r="U10" s="7" t="str">
        <f>IF(ISBLANK(patch[[#This Row],[mergeDate]]), U9, MID(YEAR(patch[[#This Row],[mergeDate]]), 3,2)&amp;"'m"&amp;MONTH(patch[[#This Row],[mergeDate]]))</f>
        <v>16'm9</v>
      </c>
      <c r="V10" s="7" t="str">
        <f>IF(ISBLANK(patch[[#This Row],[project]]), "",SUM(patch[[#This Row],[BJ -1 num]:[SH -1 num]]))</f>
        <v/>
      </c>
      <c r="W10" s="7" t="str">
        <f>IF(ISBLANK(patch[[#This Row],[project]]), "",COUNTIFS($A:$A,patch[[#This Row],[number]],$S:$S, "BJ And dev",$AC:$AC, "Review-1"))</f>
        <v/>
      </c>
      <c r="X10" s="7" t="str">
        <f>IF(ISBLANK(patch[[#This Row],[project]]), "",COUNTIFS($A:$A,patch[[#This Row],[number]],$S:$S, "FL And dev",$AC:$AC, "Review-1"))</f>
        <v/>
      </c>
      <c r="Y10" s="7" t="str">
        <f>IF(ISBLANK(patch[[#This Row],[project]]), "",COUNTIFS($A:$A,patch[[#This Row],[number]],$S:$S, "SH And dev",$AC:$AC, "Review-1"))</f>
        <v/>
      </c>
      <c r="Z10" s="7" t="str">
        <f>IF(ISBLANK(patch[[#This Row],[project]]), "",COUNTIFS($A:$A,patch[[#This Row],[number]],$S:$S, "BJ And dev",$AD:$AD, "&lt;&gt;IntegratorValidationComment"))</f>
        <v/>
      </c>
      <c r="AA10" s="7" t="str">
        <f>IF(ISBLANK(patch[[#This Row],[project]]), "",COUNTIFS($A:$A,patch[[#This Row],[number]],$S:$S, "FL And dev",$AD:$AD, "&lt;&gt;IntegratorValidationComment"))</f>
        <v/>
      </c>
      <c r="AB10" s="7" t="str">
        <f>IF(ISBLANK(patch[[#This Row],[project]]), "",COUNTIFS($A:$A,patch[[#This Row],[number]],$S:$S, "SH And dev",$AD:$AD, "&lt;&gt;IntegratorValidationComment"))</f>
        <v/>
      </c>
      <c r="AC10" s="7" t="str">
        <f>IF(OR(ISNUMBER(FIND("Review-1", patch[[#This Row],[comments]])), ISNUMBER(FIND("Approver-1", patch[[#This Row],[comments]]))), "Review-1", "")</f>
        <v/>
      </c>
      <c r="AD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 s="7">
        <f>IF(ISBLANK(patch[[#This Row],[number]]),AE9,patch[[#This Row],[ifCommon]])</f>
        <v>0</v>
      </c>
    </row>
    <row r="11" spans="1:31">
      <c r="A11" s="151">
        <v>148926</v>
      </c>
      <c r="B11" s="151"/>
      <c r="C11" s="151"/>
      <c r="D11" s="151"/>
      <c r="E11" s="151"/>
      <c r="F11" s="151"/>
      <c r="G11" s="151"/>
      <c r="H11" s="151"/>
      <c r="I11" s="151"/>
      <c r="J11" s="152">
        <v>42643.649629629632</v>
      </c>
      <c r="K11" s="151"/>
      <c r="L11" s="151" t="s">
        <v>55</v>
      </c>
      <c r="M11" s="152">
        <v>42641.751250000001</v>
      </c>
      <c r="N11" s="151" t="s">
        <v>2450</v>
      </c>
      <c r="O11" s="151"/>
      <c r="P11" s="151"/>
      <c r="Q11" s="7" t="str">
        <f>IF(ISBLANK(patch[[#This Row],[OwnerEmail]]),Q10,patch[[#This Row],[OwnerEmail]])</f>
        <v>liang.l.yang@intel.com</v>
      </c>
      <c r="R11" s="7" t="str">
        <f>_xlfn.IFNA(VLOOKUP(patch[[#This Row],[tmp-owner.email]],OrgTree!$A:$K, 11, 0), "not ICG SWFW")</f>
        <v>BJ And dev</v>
      </c>
      <c r="S11" s="7" t="str">
        <f>IF(patch[[#This Row],[reviewer]]=patch[[#This Row],[tmp-owner.email]], "author", _xlfn.IFNA(VLOOKUP(patch[[#This Row],[reviewer]],OrgTree!$A:$K, 11, 0), "not ICG SWFW"))</f>
        <v>author</v>
      </c>
      <c r="T11" s="7" t="str">
        <f>IF(ISBLANK(patch[[#This Row],[mergeDate]]), "", MID(YEAR(patch[[#This Row],[mergeDate]]), 3,2)&amp;"'ww"&amp;WEEKNUM(patch[[#This Row],[mergeDate]]))</f>
        <v>16'ww40</v>
      </c>
      <c r="U11" s="7" t="str">
        <f>IF(ISBLANK(patch[[#This Row],[mergeDate]]), U10, MID(YEAR(patch[[#This Row],[mergeDate]]), 3,2)&amp;"'m"&amp;MONTH(patch[[#This Row],[mergeDate]]))</f>
        <v>16'm9</v>
      </c>
      <c r="V11" s="7" t="str">
        <f>IF(ISBLANK(patch[[#This Row],[project]]), "",SUM(patch[[#This Row],[BJ -1 num]:[SH -1 num]]))</f>
        <v/>
      </c>
      <c r="W11" s="7" t="str">
        <f>IF(ISBLANK(patch[[#This Row],[project]]), "",COUNTIFS($A:$A,patch[[#This Row],[number]],$S:$S, "BJ And dev",$AC:$AC, "Review-1"))</f>
        <v/>
      </c>
      <c r="X11" s="7" t="str">
        <f>IF(ISBLANK(patch[[#This Row],[project]]), "",COUNTIFS($A:$A,patch[[#This Row],[number]],$S:$S, "FL And dev",$AC:$AC, "Review-1"))</f>
        <v/>
      </c>
      <c r="Y11" s="7" t="str">
        <f>IF(ISBLANK(patch[[#This Row],[project]]), "",COUNTIFS($A:$A,patch[[#This Row],[number]],$S:$S, "SH And dev",$AC:$AC, "Review-1"))</f>
        <v/>
      </c>
      <c r="Z11" s="7" t="str">
        <f>IF(ISBLANK(patch[[#This Row],[project]]), "",COUNTIFS($A:$A,patch[[#This Row],[number]],$S:$S, "BJ And dev",$AD:$AD, "&lt;&gt;IntegratorValidationComment"))</f>
        <v/>
      </c>
      <c r="AA11" s="7" t="str">
        <f>IF(ISBLANK(patch[[#This Row],[project]]), "",COUNTIFS($A:$A,patch[[#This Row],[number]],$S:$S, "FL And dev",$AD:$AD, "&lt;&gt;IntegratorValidationComment"))</f>
        <v/>
      </c>
      <c r="AB11" s="7" t="str">
        <f>IF(ISBLANK(patch[[#This Row],[project]]), "",COUNTIFS($A:$A,patch[[#This Row],[number]],$S:$S, "SH And dev",$AD:$AD, "&lt;&gt;IntegratorValidationComment"))</f>
        <v/>
      </c>
      <c r="AC11" s="7" t="str">
        <f>IF(OR(ISNUMBER(FIND("Review-1", patch[[#This Row],[comments]])), ISNUMBER(FIND("Approver-1", patch[[#This Row],[comments]]))), "Review-1", "")</f>
        <v/>
      </c>
      <c r="AD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 s="7">
        <f>IF(ISBLANK(patch[[#This Row],[number]]),AE10,patch[[#This Row],[ifCommon]])</f>
        <v>0</v>
      </c>
    </row>
    <row r="12" spans="1:31">
      <c r="A12" s="151">
        <v>148926</v>
      </c>
      <c r="B12" s="151"/>
      <c r="C12" s="151"/>
      <c r="D12" s="151"/>
      <c r="E12" s="151"/>
      <c r="F12" s="151"/>
      <c r="G12" s="151"/>
      <c r="H12" s="151"/>
      <c r="I12" s="151"/>
      <c r="J12" s="152">
        <v>42643.649629629632</v>
      </c>
      <c r="K12" s="151"/>
      <c r="L12" s="151" t="s">
        <v>59</v>
      </c>
      <c r="M12" s="152">
        <v>42641.75849537037</v>
      </c>
      <c r="N12" s="151" t="s">
        <v>2584</v>
      </c>
      <c r="O12" s="151"/>
      <c r="P12" s="151"/>
      <c r="Q12" s="7" t="str">
        <f>IF(ISBLANK(patch[[#This Row],[OwnerEmail]]),Q11,patch[[#This Row],[OwnerEmail]])</f>
        <v>liang.l.yang@intel.com</v>
      </c>
      <c r="R12" s="7" t="str">
        <f>_xlfn.IFNA(VLOOKUP(patch[[#This Row],[tmp-owner.email]],OrgTree!$A:$K, 11, 0), "not ICG SWFW")</f>
        <v>BJ And dev</v>
      </c>
      <c r="S12" s="7" t="str">
        <f>IF(patch[[#This Row],[reviewer]]=patch[[#This Row],[tmp-owner.email]], "author", _xlfn.IFNA(VLOOKUP(patch[[#This Row],[reviewer]],OrgTree!$A:$K, 11, 0), "not ICG SWFW"))</f>
        <v>BJ And dev</v>
      </c>
      <c r="T12" s="7" t="str">
        <f>IF(ISBLANK(patch[[#This Row],[mergeDate]]), "", MID(YEAR(patch[[#This Row],[mergeDate]]), 3,2)&amp;"'ww"&amp;WEEKNUM(patch[[#This Row],[mergeDate]]))</f>
        <v>16'ww40</v>
      </c>
      <c r="U12" s="7" t="str">
        <f>IF(ISBLANK(patch[[#This Row],[mergeDate]]), U11, MID(YEAR(patch[[#This Row],[mergeDate]]), 3,2)&amp;"'m"&amp;MONTH(patch[[#This Row],[mergeDate]]))</f>
        <v>16'm9</v>
      </c>
      <c r="V12" s="7" t="str">
        <f>IF(ISBLANK(patch[[#This Row],[project]]), "",SUM(patch[[#This Row],[BJ -1 num]:[SH -1 num]]))</f>
        <v/>
      </c>
      <c r="W12" s="7" t="str">
        <f>IF(ISBLANK(patch[[#This Row],[project]]), "",COUNTIFS($A:$A,patch[[#This Row],[number]],$S:$S, "BJ And dev",$AC:$AC, "Review-1"))</f>
        <v/>
      </c>
      <c r="X12" s="7" t="str">
        <f>IF(ISBLANK(patch[[#This Row],[project]]), "",COUNTIFS($A:$A,patch[[#This Row],[number]],$S:$S, "FL And dev",$AC:$AC, "Review-1"))</f>
        <v/>
      </c>
      <c r="Y12" s="7" t="str">
        <f>IF(ISBLANK(patch[[#This Row],[project]]), "",COUNTIFS($A:$A,patch[[#This Row],[number]],$S:$S, "SH And dev",$AC:$AC, "Review-1"))</f>
        <v/>
      </c>
      <c r="Z12" s="7" t="str">
        <f>IF(ISBLANK(patch[[#This Row],[project]]), "",COUNTIFS($A:$A,patch[[#This Row],[number]],$S:$S, "BJ And dev",$AD:$AD, "&lt;&gt;IntegratorValidationComment"))</f>
        <v/>
      </c>
      <c r="AA12" s="7" t="str">
        <f>IF(ISBLANK(patch[[#This Row],[project]]), "",COUNTIFS($A:$A,patch[[#This Row],[number]],$S:$S, "FL And dev",$AD:$AD, "&lt;&gt;IntegratorValidationComment"))</f>
        <v/>
      </c>
      <c r="AB12" s="7" t="str">
        <f>IF(ISBLANK(patch[[#This Row],[project]]), "",COUNTIFS($A:$A,patch[[#This Row],[number]],$S:$S, "SH And dev",$AD:$AD, "&lt;&gt;IntegratorValidationComment"))</f>
        <v/>
      </c>
      <c r="AC12" s="7" t="str">
        <f>IF(OR(ISNUMBER(FIND("Review-1", patch[[#This Row],[comments]])), ISNUMBER(FIND("Approver-1", patch[[#This Row],[comments]]))), "Review-1", "")</f>
        <v/>
      </c>
      <c r="AD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 s="7">
        <f>IF(ISBLANK(patch[[#This Row],[number]]),AE11,patch[[#This Row],[ifCommon]])</f>
        <v>0</v>
      </c>
    </row>
    <row r="13" spans="1:31">
      <c r="A13" s="151">
        <v>148926</v>
      </c>
      <c r="B13" s="151"/>
      <c r="C13" s="151"/>
      <c r="D13" s="151"/>
      <c r="E13" s="151"/>
      <c r="F13" s="151"/>
      <c r="G13" s="151"/>
      <c r="H13" s="151"/>
      <c r="I13" s="151"/>
      <c r="J13" s="152">
        <v>42643.649629629632</v>
      </c>
      <c r="K13" s="151"/>
      <c r="L13" s="151" t="s">
        <v>32</v>
      </c>
      <c r="M13" s="152">
        <v>42641.765613425923</v>
      </c>
      <c r="N13" s="151" t="s">
        <v>48</v>
      </c>
      <c r="O13" s="151"/>
      <c r="P13" s="151"/>
      <c r="Q13" s="7" t="str">
        <f>IF(ISBLANK(patch[[#This Row],[OwnerEmail]]),Q12,patch[[#This Row],[OwnerEmail]])</f>
        <v>liang.l.yang@intel.com</v>
      </c>
      <c r="R13" s="7" t="str">
        <f>_xlfn.IFNA(VLOOKUP(patch[[#This Row],[tmp-owner.email]],OrgTree!$A:$K, 11, 0), "not ICG SWFW")</f>
        <v>BJ And dev</v>
      </c>
      <c r="S13" s="7" t="str">
        <f>IF(patch[[#This Row],[reviewer]]=patch[[#This Row],[tmp-owner.email]], "author", _xlfn.IFNA(VLOOKUP(patch[[#This Row],[reviewer]],OrgTree!$A:$K, 11, 0), "not ICG SWFW"))</f>
        <v>BJ And dev</v>
      </c>
      <c r="T13" s="7" t="str">
        <f>IF(ISBLANK(patch[[#This Row],[mergeDate]]), "", MID(YEAR(patch[[#This Row],[mergeDate]]), 3,2)&amp;"'ww"&amp;WEEKNUM(patch[[#This Row],[mergeDate]]))</f>
        <v>16'ww40</v>
      </c>
      <c r="U13" s="7" t="str">
        <f>IF(ISBLANK(patch[[#This Row],[mergeDate]]), U12, MID(YEAR(patch[[#This Row],[mergeDate]]), 3,2)&amp;"'m"&amp;MONTH(patch[[#This Row],[mergeDate]]))</f>
        <v>16'm9</v>
      </c>
      <c r="V13" s="7" t="str">
        <f>IF(ISBLANK(patch[[#This Row],[project]]), "",SUM(patch[[#This Row],[BJ -1 num]:[SH -1 num]]))</f>
        <v/>
      </c>
      <c r="W13" s="7" t="str">
        <f>IF(ISBLANK(patch[[#This Row],[project]]), "",COUNTIFS($A:$A,patch[[#This Row],[number]],$S:$S, "BJ And dev",$AC:$AC, "Review-1"))</f>
        <v/>
      </c>
      <c r="X13" s="7" t="str">
        <f>IF(ISBLANK(patch[[#This Row],[project]]), "",COUNTIFS($A:$A,patch[[#This Row],[number]],$S:$S, "FL And dev",$AC:$AC, "Review-1"))</f>
        <v/>
      </c>
      <c r="Y13" s="7" t="str">
        <f>IF(ISBLANK(patch[[#This Row],[project]]), "",COUNTIFS($A:$A,patch[[#This Row],[number]],$S:$S, "SH And dev",$AC:$AC, "Review-1"))</f>
        <v/>
      </c>
      <c r="Z13" s="7" t="str">
        <f>IF(ISBLANK(patch[[#This Row],[project]]), "",COUNTIFS($A:$A,patch[[#This Row],[number]],$S:$S, "BJ And dev",$AD:$AD, "&lt;&gt;IntegratorValidationComment"))</f>
        <v/>
      </c>
      <c r="AA13" s="7" t="str">
        <f>IF(ISBLANK(patch[[#This Row],[project]]), "",COUNTIFS($A:$A,patch[[#This Row],[number]],$S:$S, "FL And dev",$AD:$AD, "&lt;&gt;IntegratorValidationComment"))</f>
        <v/>
      </c>
      <c r="AB13" s="7" t="str">
        <f>IF(ISBLANK(patch[[#This Row],[project]]), "",COUNTIFS($A:$A,patch[[#This Row],[number]],$S:$S, "SH And dev",$AD:$AD, "&lt;&gt;IntegratorValidationComment"))</f>
        <v/>
      </c>
      <c r="AC13" s="7" t="str">
        <f>IF(OR(ISNUMBER(FIND("Review-1", patch[[#This Row],[comments]])), ISNUMBER(FIND("Approver-1", patch[[#This Row],[comments]]))), "Review-1", "")</f>
        <v/>
      </c>
      <c r="AD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 s="7">
        <f>IF(ISBLANK(patch[[#This Row],[number]]),AE12,patch[[#This Row],[ifCommon]])</f>
        <v>0</v>
      </c>
    </row>
    <row r="14" spans="1:31">
      <c r="A14" s="151">
        <v>148926</v>
      </c>
      <c r="B14" s="151"/>
      <c r="C14" s="151"/>
      <c r="D14" s="151"/>
      <c r="E14" s="151"/>
      <c r="F14" s="151"/>
      <c r="G14" s="151"/>
      <c r="H14" s="151"/>
      <c r="I14" s="151"/>
      <c r="J14" s="152">
        <v>42643.649629629632</v>
      </c>
      <c r="K14" s="151"/>
      <c r="L14" s="151" t="s">
        <v>59</v>
      </c>
      <c r="M14" s="152">
        <v>42641.773761574077</v>
      </c>
      <c r="N14" s="151" t="s">
        <v>2585</v>
      </c>
      <c r="O14" s="151"/>
      <c r="P14" s="151"/>
      <c r="Q14" s="7" t="str">
        <f>IF(ISBLANK(patch[[#This Row],[OwnerEmail]]),Q13,patch[[#This Row],[OwnerEmail]])</f>
        <v>liang.l.yang@intel.com</v>
      </c>
      <c r="R14" s="7" t="str">
        <f>_xlfn.IFNA(VLOOKUP(patch[[#This Row],[tmp-owner.email]],OrgTree!$A:$K, 11, 0), "not ICG SWFW")</f>
        <v>BJ And dev</v>
      </c>
      <c r="S14" s="7" t="str">
        <f>IF(patch[[#This Row],[reviewer]]=patch[[#This Row],[tmp-owner.email]], "author", _xlfn.IFNA(VLOOKUP(patch[[#This Row],[reviewer]],OrgTree!$A:$K, 11, 0), "not ICG SWFW"))</f>
        <v>BJ And dev</v>
      </c>
      <c r="T14" s="7" t="str">
        <f>IF(ISBLANK(patch[[#This Row],[mergeDate]]), "", MID(YEAR(patch[[#This Row],[mergeDate]]), 3,2)&amp;"'ww"&amp;WEEKNUM(patch[[#This Row],[mergeDate]]))</f>
        <v>16'ww40</v>
      </c>
      <c r="U14" s="7" t="str">
        <f>IF(ISBLANK(patch[[#This Row],[mergeDate]]), U13, MID(YEAR(patch[[#This Row],[mergeDate]]), 3,2)&amp;"'m"&amp;MONTH(patch[[#This Row],[mergeDate]]))</f>
        <v>16'm9</v>
      </c>
      <c r="V14" s="7" t="str">
        <f>IF(ISBLANK(patch[[#This Row],[project]]), "",SUM(patch[[#This Row],[BJ -1 num]:[SH -1 num]]))</f>
        <v/>
      </c>
      <c r="W14" s="7" t="str">
        <f>IF(ISBLANK(patch[[#This Row],[project]]), "",COUNTIFS($A:$A,patch[[#This Row],[number]],$S:$S, "BJ And dev",$AC:$AC, "Review-1"))</f>
        <v/>
      </c>
      <c r="X14" s="7" t="str">
        <f>IF(ISBLANK(patch[[#This Row],[project]]), "",COUNTIFS($A:$A,patch[[#This Row],[number]],$S:$S, "FL And dev",$AC:$AC, "Review-1"))</f>
        <v/>
      </c>
      <c r="Y14" s="7" t="str">
        <f>IF(ISBLANK(patch[[#This Row],[project]]), "",COUNTIFS($A:$A,patch[[#This Row],[number]],$S:$S, "SH And dev",$AC:$AC, "Review-1"))</f>
        <v/>
      </c>
      <c r="Z14" s="7" t="str">
        <f>IF(ISBLANK(patch[[#This Row],[project]]), "",COUNTIFS($A:$A,patch[[#This Row],[number]],$S:$S, "BJ And dev",$AD:$AD, "&lt;&gt;IntegratorValidationComment"))</f>
        <v/>
      </c>
      <c r="AA14" s="7" t="str">
        <f>IF(ISBLANK(patch[[#This Row],[project]]), "",COUNTIFS($A:$A,patch[[#This Row],[number]],$S:$S, "FL And dev",$AD:$AD, "&lt;&gt;IntegratorValidationComment"))</f>
        <v/>
      </c>
      <c r="AB14" s="7" t="str">
        <f>IF(ISBLANK(patch[[#This Row],[project]]), "",COUNTIFS($A:$A,patch[[#This Row],[number]],$S:$S, "SH And dev",$AD:$AD, "&lt;&gt;IntegratorValidationComment"))</f>
        <v/>
      </c>
      <c r="AC14" s="7" t="str">
        <f>IF(OR(ISNUMBER(FIND("Review-1", patch[[#This Row],[comments]])), ISNUMBER(FIND("Approver-1", patch[[#This Row],[comments]]))), "Review-1", "")</f>
        <v/>
      </c>
      <c r="AD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 s="7">
        <f>IF(ISBLANK(patch[[#This Row],[number]]),AE13,patch[[#This Row],[ifCommon]])</f>
        <v>0</v>
      </c>
    </row>
    <row r="15" spans="1:31">
      <c r="A15" s="151">
        <v>148926</v>
      </c>
      <c r="B15" s="151"/>
      <c r="C15" s="151"/>
      <c r="D15" s="151"/>
      <c r="E15" s="151"/>
      <c r="F15" s="151"/>
      <c r="G15" s="151"/>
      <c r="H15" s="151"/>
      <c r="I15" s="151"/>
      <c r="J15" s="152">
        <v>42643.649629629632</v>
      </c>
      <c r="K15" s="151"/>
      <c r="L15" s="151" t="s">
        <v>55</v>
      </c>
      <c r="M15" s="152">
        <v>42641.782025462962</v>
      </c>
      <c r="N15" s="151" t="s">
        <v>2451</v>
      </c>
      <c r="O15" s="151"/>
      <c r="P15" s="151"/>
      <c r="Q15" s="7" t="str">
        <f>IF(ISBLANK(patch[[#This Row],[OwnerEmail]]),Q14,patch[[#This Row],[OwnerEmail]])</f>
        <v>liang.l.yang@intel.com</v>
      </c>
      <c r="R15" s="7" t="str">
        <f>_xlfn.IFNA(VLOOKUP(patch[[#This Row],[tmp-owner.email]],OrgTree!$A:$K, 11, 0), "not ICG SWFW")</f>
        <v>BJ And dev</v>
      </c>
      <c r="S15" s="7" t="str">
        <f>IF(patch[[#This Row],[reviewer]]=patch[[#This Row],[tmp-owner.email]], "author", _xlfn.IFNA(VLOOKUP(patch[[#This Row],[reviewer]],OrgTree!$A:$K, 11, 0), "not ICG SWFW"))</f>
        <v>author</v>
      </c>
      <c r="T15" s="7" t="str">
        <f>IF(ISBLANK(patch[[#This Row],[mergeDate]]), "", MID(YEAR(patch[[#This Row],[mergeDate]]), 3,2)&amp;"'ww"&amp;WEEKNUM(patch[[#This Row],[mergeDate]]))</f>
        <v>16'ww40</v>
      </c>
      <c r="U15" s="7" t="str">
        <f>IF(ISBLANK(patch[[#This Row],[mergeDate]]), U14, MID(YEAR(patch[[#This Row],[mergeDate]]), 3,2)&amp;"'m"&amp;MONTH(patch[[#This Row],[mergeDate]]))</f>
        <v>16'm9</v>
      </c>
      <c r="V15" s="7" t="str">
        <f>IF(ISBLANK(patch[[#This Row],[project]]), "",SUM(patch[[#This Row],[BJ -1 num]:[SH -1 num]]))</f>
        <v/>
      </c>
      <c r="W15" s="7" t="str">
        <f>IF(ISBLANK(patch[[#This Row],[project]]), "",COUNTIFS($A:$A,patch[[#This Row],[number]],$S:$S, "BJ And dev",$AC:$AC, "Review-1"))</f>
        <v/>
      </c>
      <c r="X15" s="7" t="str">
        <f>IF(ISBLANK(patch[[#This Row],[project]]), "",COUNTIFS($A:$A,patch[[#This Row],[number]],$S:$S, "FL And dev",$AC:$AC, "Review-1"))</f>
        <v/>
      </c>
      <c r="Y15" s="7" t="str">
        <f>IF(ISBLANK(patch[[#This Row],[project]]), "",COUNTIFS($A:$A,patch[[#This Row],[number]],$S:$S, "SH And dev",$AC:$AC, "Review-1"))</f>
        <v/>
      </c>
      <c r="Z15" s="7" t="str">
        <f>IF(ISBLANK(patch[[#This Row],[project]]), "",COUNTIFS($A:$A,patch[[#This Row],[number]],$S:$S, "BJ And dev",$AD:$AD, "&lt;&gt;IntegratorValidationComment"))</f>
        <v/>
      </c>
      <c r="AA15" s="7" t="str">
        <f>IF(ISBLANK(patch[[#This Row],[project]]), "",COUNTIFS($A:$A,patch[[#This Row],[number]],$S:$S, "FL And dev",$AD:$AD, "&lt;&gt;IntegratorValidationComment"))</f>
        <v/>
      </c>
      <c r="AB15" s="7" t="str">
        <f>IF(ISBLANK(patch[[#This Row],[project]]), "",COUNTIFS($A:$A,patch[[#This Row],[number]],$S:$S, "SH And dev",$AD:$AD, "&lt;&gt;IntegratorValidationComment"))</f>
        <v/>
      </c>
      <c r="AC15" s="7" t="str">
        <f>IF(OR(ISNUMBER(FIND("Review-1", patch[[#This Row],[comments]])), ISNUMBER(FIND("Approver-1", patch[[#This Row],[comments]]))), "Review-1", "")</f>
        <v/>
      </c>
      <c r="AD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 s="7">
        <f>IF(ISBLANK(patch[[#This Row],[number]]),AE14,patch[[#This Row],[ifCommon]])</f>
        <v>0</v>
      </c>
    </row>
    <row r="16" spans="1:31">
      <c r="A16" s="151">
        <v>148926</v>
      </c>
      <c r="B16" s="151"/>
      <c r="C16" s="151"/>
      <c r="D16" s="151"/>
      <c r="E16" s="151"/>
      <c r="F16" s="151"/>
      <c r="G16" s="151"/>
      <c r="H16" s="151"/>
      <c r="I16" s="151"/>
      <c r="J16" s="152">
        <v>42643.649629629632</v>
      </c>
      <c r="K16" s="151"/>
      <c r="L16" s="151" t="s">
        <v>55</v>
      </c>
      <c r="M16" s="152">
        <v>42641.782025462962</v>
      </c>
      <c r="N16" s="151" t="s">
        <v>49</v>
      </c>
      <c r="O16" s="151"/>
      <c r="P16" s="151"/>
      <c r="Q16" s="7" t="str">
        <f>IF(ISBLANK(patch[[#This Row],[OwnerEmail]]),Q15,patch[[#This Row],[OwnerEmail]])</f>
        <v>liang.l.yang@intel.com</v>
      </c>
      <c r="R16" s="7" t="str">
        <f>_xlfn.IFNA(VLOOKUP(patch[[#This Row],[tmp-owner.email]],OrgTree!$A:$K, 11, 0), "not ICG SWFW")</f>
        <v>BJ And dev</v>
      </c>
      <c r="S16" s="7" t="str">
        <f>IF(patch[[#This Row],[reviewer]]=patch[[#This Row],[tmp-owner.email]], "author", _xlfn.IFNA(VLOOKUP(patch[[#This Row],[reviewer]],OrgTree!$A:$K, 11, 0), "not ICG SWFW"))</f>
        <v>author</v>
      </c>
      <c r="T16" s="7" t="str">
        <f>IF(ISBLANK(patch[[#This Row],[mergeDate]]), "", MID(YEAR(patch[[#This Row],[mergeDate]]), 3,2)&amp;"'ww"&amp;WEEKNUM(patch[[#This Row],[mergeDate]]))</f>
        <v>16'ww40</v>
      </c>
      <c r="U16" s="7" t="str">
        <f>IF(ISBLANK(patch[[#This Row],[mergeDate]]), U15, MID(YEAR(patch[[#This Row],[mergeDate]]), 3,2)&amp;"'m"&amp;MONTH(patch[[#This Row],[mergeDate]]))</f>
        <v>16'm9</v>
      </c>
      <c r="V16" s="7" t="str">
        <f>IF(ISBLANK(patch[[#This Row],[project]]), "",SUM(patch[[#This Row],[BJ -1 num]:[SH -1 num]]))</f>
        <v/>
      </c>
      <c r="W16" s="7" t="str">
        <f>IF(ISBLANK(patch[[#This Row],[project]]), "",COUNTIFS($A:$A,patch[[#This Row],[number]],$S:$S, "BJ And dev",$AC:$AC, "Review-1"))</f>
        <v/>
      </c>
      <c r="X16" s="7" t="str">
        <f>IF(ISBLANK(patch[[#This Row],[project]]), "",COUNTIFS($A:$A,patch[[#This Row],[number]],$S:$S, "FL And dev",$AC:$AC, "Review-1"))</f>
        <v/>
      </c>
      <c r="Y16" s="7" t="str">
        <f>IF(ISBLANK(patch[[#This Row],[project]]), "",COUNTIFS($A:$A,patch[[#This Row],[number]],$S:$S, "SH And dev",$AC:$AC, "Review-1"))</f>
        <v/>
      </c>
      <c r="Z16" s="7" t="str">
        <f>IF(ISBLANK(patch[[#This Row],[project]]), "",COUNTIFS($A:$A,patch[[#This Row],[number]],$S:$S, "BJ And dev",$AD:$AD, "&lt;&gt;IntegratorValidationComment"))</f>
        <v/>
      </c>
      <c r="AA16" s="7" t="str">
        <f>IF(ISBLANK(patch[[#This Row],[project]]), "",COUNTIFS($A:$A,patch[[#This Row],[number]],$S:$S, "FL And dev",$AD:$AD, "&lt;&gt;IntegratorValidationComment"))</f>
        <v/>
      </c>
      <c r="AB16" s="7" t="str">
        <f>IF(ISBLANK(patch[[#This Row],[project]]), "",COUNTIFS($A:$A,patch[[#This Row],[number]],$S:$S, "SH And dev",$AD:$AD, "&lt;&gt;IntegratorValidationComment"))</f>
        <v/>
      </c>
      <c r="AC16" s="7" t="str">
        <f>IF(OR(ISNUMBER(FIND("Review-1", patch[[#This Row],[comments]])), ISNUMBER(FIND("Approver-1", patch[[#This Row],[comments]]))), "Review-1", "")</f>
        <v/>
      </c>
      <c r="AD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 s="7">
        <f>IF(ISBLANK(patch[[#This Row],[number]]),AE15,patch[[#This Row],[ifCommon]])</f>
        <v>0</v>
      </c>
    </row>
    <row r="17" spans="1:31">
      <c r="A17" s="151">
        <v>148926</v>
      </c>
      <c r="B17" s="151"/>
      <c r="C17" s="151"/>
      <c r="D17" s="151"/>
      <c r="E17" s="151"/>
      <c r="F17" s="151"/>
      <c r="G17" s="151"/>
      <c r="H17" s="151"/>
      <c r="I17" s="151"/>
      <c r="J17" s="152">
        <v>42643.649629629632</v>
      </c>
      <c r="K17" s="151"/>
      <c r="L17" s="151" t="s">
        <v>59</v>
      </c>
      <c r="M17" s="152">
        <v>42641.786446759259</v>
      </c>
      <c r="N17" s="151" t="s">
        <v>2586</v>
      </c>
      <c r="O17" s="151"/>
      <c r="P17" s="151"/>
      <c r="Q17" s="7" t="str">
        <f>IF(ISBLANK(patch[[#This Row],[OwnerEmail]]),Q16,patch[[#This Row],[OwnerEmail]])</f>
        <v>liang.l.yang@intel.com</v>
      </c>
      <c r="R17" s="7" t="str">
        <f>_xlfn.IFNA(VLOOKUP(patch[[#This Row],[tmp-owner.email]],OrgTree!$A:$K, 11, 0), "not ICG SWFW")</f>
        <v>BJ And dev</v>
      </c>
      <c r="S17" s="7" t="str">
        <f>IF(patch[[#This Row],[reviewer]]=patch[[#This Row],[tmp-owner.email]], "author", _xlfn.IFNA(VLOOKUP(patch[[#This Row],[reviewer]],OrgTree!$A:$K, 11, 0), "not ICG SWFW"))</f>
        <v>BJ And dev</v>
      </c>
      <c r="T17" s="7" t="str">
        <f>IF(ISBLANK(patch[[#This Row],[mergeDate]]), "", MID(YEAR(patch[[#This Row],[mergeDate]]), 3,2)&amp;"'ww"&amp;WEEKNUM(patch[[#This Row],[mergeDate]]))</f>
        <v>16'ww40</v>
      </c>
      <c r="U17" s="7" t="str">
        <f>IF(ISBLANK(patch[[#This Row],[mergeDate]]), U16, MID(YEAR(patch[[#This Row],[mergeDate]]), 3,2)&amp;"'m"&amp;MONTH(patch[[#This Row],[mergeDate]]))</f>
        <v>16'm9</v>
      </c>
      <c r="V17" s="7" t="str">
        <f>IF(ISBLANK(patch[[#This Row],[project]]), "",SUM(patch[[#This Row],[BJ -1 num]:[SH -1 num]]))</f>
        <v/>
      </c>
      <c r="W17" s="7" t="str">
        <f>IF(ISBLANK(patch[[#This Row],[project]]), "",COUNTIFS($A:$A,patch[[#This Row],[number]],$S:$S, "BJ And dev",$AC:$AC, "Review-1"))</f>
        <v/>
      </c>
      <c r="X17" s="7" t="str">
        <f>IF(ISBLANK(patch[[#This Row],[project]]), "",COUNTIFS($A:$A,patch[[#This Row],[number]],$S:$S, "FL And dev",$AC:$AC, "Review-1"))</f>
        <v/>
      </c>
      <c r="Y17" s="7" t="str">
        <f>IF(ISBLANK(patch[[#This Row],[project]]), "",COUNTIFS($A:$A,patch[[#This Row],[number]],$S:$S, "SH And dev",$AC:$AC, "Review-1"))</f>
        <v/>
      </c>
      <c r="Z17" s="7" t="str">
        <f>IF(ISBLANK(patch[[#This Row],[project]]), "",COUNTIFS($A:$A,patch[[#This Row],[number]],$S:$S, "BJ And dev",$AD:$AD, "&lt;&gt;IntegratorValidationComment"))</f>
        <v/>
      </c>
      <c r="AA17" s="7" t="str">
        <f>IF(ISBLANK(patch[[#This Row],[project]]), "",COUNTIFS($A:$A,patch[[#This Row],[number]],$S:$S, "FL And dev",$AD:$AD, "&lt;&gt;IntegratorValidationComment"))</f>
        <v/>
      </c>
      <c r="AB17" s="7" t="str">
        <f>IF(ISBLANK(patch[[#This Row],[project]]), "",COUNTIFS($A:$A,patch[[#This Row],[number]],$S:$S, "SH And dev",$AD:$AD, "&lt;&gt;IntegratorValidationComment"))</f>
        <v/>
      </c>
      <c r="AC17" s="7" t="str">
        <f>IF(OR(ISNUMBER(FIND("Review-1", patch[[#This Row],[comments]])), ISNUMBER(FIND("Approver-1", patch[[#This Row],[comments]]))), "Review-1", "")</f>
        <v/>
      </c>
      <c r="AD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 s="7">
        <f>IF(ISBLANK(patch[[#This Row],[number]]),AE16,patch[[#This Row],[ifCommon]])</f>
        <v>0</v>
      </c>
    </row>
    <row r="18" spans="1:31">
      <c r="A18" s="151">
        <v>148926</v>
      </c>
      <c r="B18" s="151"/>
      <c r="C18" s="151"/>
      <c r="D18" s="151"/>
      <c r="E18" s="151"/>
      <c r="F18" s="151"/>
      <c r="G18" s="151"/>
      <c r="H18" s="151"/>
      <c r="I18" s="151"/>
      <c r="J18" s="152">
        <v>42643.649629629632</v>
      </c>
      <c r="K18" s="151"/>
      <c r="L18" s="151" t="s">
        <v>55</v>
      </c>
      <c r="M18" s="152">
        <v>42641.78765046296</v>
      </c>
      <c r="N18" s="151" t="s">
        <v>2453</v>
      </c>
      <c r="O18" s="151"/>
      <c r="P18" s="151"/>
      <c r="Q18" s="7" t="str">
        <f>IF(ISBLANK(patch[[#This Row],[OwnerEmail]]),Q17,patch[[#This Row],[OwnerEmail]])</f>
        <v>liang.l.yang@intel.com</v>
      </c>
      <c r="R18" s="7" t="str">
        <f>_xlfn.IFNA(VLOOKUP(patch[[#This Row],[tmp-owner.email]],OrgTree!$A:$K, 11, 0), "not ICG SWFW")</f>
        <v>BJ And dev</v>
      </c>
      <c r="S18" s="7" t="str">
        <f>IF(patch[[#This Row],[reviewer]]=patch[[#This Row],[tmp-owner.email]], "author", _xlfn.IFNA(VLOOKUP(patch[[#This Row],[reviewer]],OrgTree!$A:$K, 11, 0), "not ICG SWFW"))</f>
        <v>author</v>
      </c>
      <c r="T18" s="7" t="str">
        <f>IF(ISBLANK(patch[[#This Row],[mergeDate]]), "", MID(YEAR(patch[[#This Row],[mergeDate]]), 3,2)&amp;"'ww"&amp;WEEKNUM(patch[[#This Row],[mergeDate]]))</f>
        <v>16'ww40</v>
      </c>
      <c r="U18" s="7" t="str">
        <f>IF(ISBLANK(patch[[#This Row],[mergeDate]]), U17, MID(YEAR(patch[[#This Row],[mergeDate]]), 3,2)&amp;"'m"&amp;MONTH(patch[[#This Row],[mergeDate]]))</f>
        <v>16'm9</v>
      </c>
      <c r="V18" s="7" t="str">
        <f>IF(ISBLANK(patch[[#This Row],[project]]), "",SUM(patch[[#This Row],[BJ -1 num]:[SH -1 num]]))</f>
        <v/>
      </c>
      <c r="W18" s="7" t="str">
        <f>IF(ISBLANK(patch[[#This Row],[project]]), "",COUNTIFS($A:$A,patch[[#This Row],[number]],$S:$S, "BJ And dev",$AC:$AC, "Review-1"))</f>
        <v/>
      </c>
      <c r="X18" s="7" t="str">
        <f>IF(ISBLANK(patch[[#This Row],[project]]), "",COUNTIFS($A:$A,patch[[#This Row],[number]],$S:$S, "FL And dev",$AC:$AC, "Review-1"))</f>
        <v/>
      </c>
      <c r="Y18" s="7" t="str">
        <f>IF(ISBLANK(patch[[#This Row],[project]]), "",COUNTIFS($A:$A,patch[[#This Row],[number]],$S:$S, "SH And dev",$AC:$AC, "Review-1"))</f>
        <v/>
      </c>
      <c r="Z18" s="7" t="str">
        <f>IF(ISBLANK(patch[[#This Row],[project]]), "",COUNTIFS($A:$A,patch[[#This Row],[number]],$S:$S, "BJ And dev",$AD:$AD, "&lt;&gt;IntegratorValidationComment"))</f>
        <v/>
      </c>
      <c r="AA18" s="7" t="str">
        <f>IF(ISBLANK(patch[[#This Row],[project]]), "",COUNTIFS($A:$A,patch[[#This Row],[number]],$S:$S, "FL And dev",$AD:$AD, "&lt;&gt;IntegratorValidationComment"))</f>
        <v/>
      </c>
      <c r="AB18" s="7" t="str">
        <f>IF(ISBLANK(patch[[#This Row],[project]]), "",COUNTIFS($A:$A,patch[[#This Row],[number]],$S:$S, "SH And dev",$AD:$AD, "&lt;&gt;IntegratorValidationComment"))</f>
        <v/>
      </c>
      <c r="AC18" s="7" t="str">
        <f>IF(OR(ISNUMBER(FIND("Review-1", patch[[#This Row],[comments]])), ISNUMBER(FIND("Approver-1", patch[[#This Row],[comments]]))), "Review-1", "")</f>
        <v/>
      </c>
      <c r="AD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 s="7">
        <f>IF(ISBLANK(patch[[#This Row],[number]]),AE17,patch[[#This Row],[ifCommon]])</f>
        <v>0</v>
      </c>
    </row>
    <row r="19" spans="1:31">
      <c r="A19" s="151">
        <v>148926</v>
      </c>
      <c r="B19" s="151"/>
      <c r="C19" s="151"/>
      <c r="D19" s="151"/>
      <c r="E19" s="151"/>
      <c r="F19" s="151"/>
      <c r="G19" s="151"/>
      <c r="H19" s="151"/>
      <c r="I19" s="151"/>
      <c r="J19" s="152">
        <v>42643.649629629632</v>
      </c>
      <c r="K19" s="151"/>
      <c r="L19" s="151" t="s">
        <v>55</v>
      </c>
      <c r="M19" s="152">
        <v>42641.78765046296</v>
      </c>
      <c r="N19" s="151" t="s">
        <v>1855</v>
      </c>
      <c r="O19" s="151"/>
      <c r="P19" s="151"/>
      <c r="Q19" s="7" t="str">
        <f>IF(ISBLANK(patch[[#This Row],[OwnerEmail]]),Q18,patch[[#This Row],[OwnerEmail]])</f>
        <v>liang.l.yang@intel.com</v>
      </c>
      <c r="R19" s="7" t="str">
        <f>_xlfn.IFNA(VLOOKUP(patch[[#This Row],[tmp-owner.email]],OrgTree!$A:$K, 11, 0), "not ICG SWFW")</f>
        <v>BJ And dev</v>
      </c>
      <c r="S19" s="7" t="str">
        <f>IF(patch[[#This Row],[reviewer]]=patch[[#This Row],[tmp-owner.email]], "author", _xlfn.IFNA(VLOOKUP(patch[[#This Row],[reviewer]],OrgTree!$A:$K, 11, 0), "not ICG SWFW"))</f>
        <v>author</v>
      </c>
      <c r="T19" s="7" t="str">
        <f>IF(ISBLANK(patch[[#This Row],[mergeDate]]), "", MID(YEAR(patch[[#This Row],[mergeDate]]), 3,2)&amp;"'ww"&amp;WEEKNUM(patch[[#This Row],[mergeDate]]))</f>
        <v>16'ww40</v>
      </c>
      <c r="U19" s="7" t="str">
        <f>IF(ISBLANK(patch[[#This Row],[mergeDate]]), U18, MID(YEAR(patch[[#This Row],[mergeDate]]), 3,2)&amp;"'m"&amp;MONTH(patch[[#This Row],[mergeDate]]))</f>
        <v>16'm9</v>
      </c>
      <c r="V19" s="7" t="str">
        <f>IF(ISBLANK(patch[[#This Row],[project]]), "",SUM(patch[[#This Row],[BJ -1 num]:[SH -1 num]]))</f>
        <v/>
      </c>
      <c r="W19" s="7" t="str">
        <f>IF(ISBLANK(patch[[#This Row],[project]]), "",COUNTIFS($A:$A,patch[[#This Row],[number]],$S:$S, "BJ And dev",$AC:$AC, "Review-1"))</f>
        <v/>
      </c>
      <c r="X19" s="7" t="str">
        <f>IF(ISBLANK(patch[[#This Row],[project]]), "",COUNTIFS($A:$A,patch[[#This Row],[number]],$S:$S, "FL And dev",$AC:$AC, "Review-1"))</f>
        <v/>
      </c>
      <c r="Y19" s="7" t="str">
        <f>IF(ISBLANK(patch[[#This Row],[project]]), "",COUNTIFS($A:$A,patch[[#This Row],[number]],$S:$S, "SH And dev",$AC:$AC, "Review-1"))</f>
        <v/>
      </c>
      <c r="Z19" s="7" t="str">
        <f>IF(ISBLANK(patch[[#This Row],[project]]), "",COUNTIFS($A:$A,patch[[#This Row],[number]],$S:$S, "BJ And dev",$AD:$AD, "&lt;&gt;IntegratorValidationComment"))</f>
        <v/>
      </c>
      <c r="AA19" s="7" t="str">
        <f>IF(ISBLANK(patch[[#This Row],[project]]), "",COUNTIFS($A:$A,patch[[#This Row],[number]],$S:$S, "FL And dev",$AD:$AD, "&lt;&gt;IntegratorValidationComment"))</f>
        <v/>
      </c>
      <c r="AB19" s="7" t="str">
        <f>IF(ISBLANK(patch[[#This Row],[project]]), "",COUNTIFS($A:$A,patch[[#This Row],[number]],$S:$S, "SH And dev",$AD:$AD, "&lt;&gt;IntegratorValidationComment"))</f>
        <v/>
      </c>
      <c r="AC19" s="7" t="str">
        <f>IF(OR(ISNUMBER(FIND("Review-1", patch[[#This Row],[comments]])), ISNUMBER(FIND("Approver-1", patch[[#This Row],[comments]]))), "Review-1", "")</f>
        <v/>
      </c>
      <c r="AD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 s="7">
        <f>IF(ISBLANK(patch[[#This Row],[number]]),AE18,patch[[#This Row],[ifCommon]])</f>
        <v>0</v>
      </c>
    </row>
    <row r="20" spans="1:31">
      <c r="A20" s="151">
        <v>148926</v>
      </c>
      <c r="B20" s="151"/>
      <c r="C20" s="151"/>
      <c r="D20" s="151"/>
      <c r="E20" s="151"/>
      <c r="F20" s="151"/>
      <c r="G20" s="151"/>
      <c r="H20" s="151"/>
      <c r="I20" s="151"/>
      <c r="J20" s="152">
        <v>42643.649629629632</v>
      </c>
      <c r="K20" s="151"/>
      <c r="L20" s="151" t="s">
        <v>59</v>
      </c>
      <c r="M20" s="152">
        <v>42641.79042824074</v>
      </c>
      <c r="N20" s="151" t="s">
        <v>2587</v>
      </c>
      <c r="O20" s="151"/>
      <c r="P20" s="151"/>
      <c r="Q20" s="7" t="str">
        <f>IF(ISBLANK(patch[[#This Row],[OwnerEmail]]),Q19,patch[[#This Row],[OwnerEmail]])</f>
        <v>liang.l.yang@intel.com</v>
      </c>
      <c r="R20" s="7" t="str">
        <f>_xlfn.IFNA(VLOOKUP(patch[[#This Row],[tmp-owner.email]],OrgTree!$A:$K, 11, 0), "not ICG SWFW")</f>
        <v>BJ And dev</v>
      </c>
      <c r="S20" s="7" t="str">
        <f>IF(patch[[#This Row],[reviewer]]=patch[[#This Row],[tmp-owner.email]], "author", _xlfn.IFNA(VLOOKUP(patch[[#This Row],[reviewer]],OrgTree!$A:$K, 11, 0), "not ICG SWFW"))</f>
        <v>BJ And dev</v>
      </c>
      <c r="T20" s="7" t="str">
        <f>IF(ISBLANK(patch[[#This Row],[mergeDate]]), "", MID(YEAR(patch[[#This Row],[mergeDate]]), 3,2)&amp;"'ww"&amp;WEEKNUM(patch[[#This Row],[mergeDate]]))</f>
        <v>16'ww40</v>
      </c>
      <c r="U20" s="7" t="str">
        <f>IF(ISBLANK(patch[[#This Row],[mergeDate]]), U19, MID(YEAR(patch[[#This Row],[mergeDate]]), 3,2)&amp;"'m"&amp;MONTH(patch[[#This Row],[mergeDate]]))</f>
        <v>16'm9</v>
      </c>
      <c r="V20" s="7" t="str">
        <f>IF(ISBLANK(patch[[#This Row],[project]]), "",SUM(patch[[#This Row],[BJ -1 num]:[SH -1 num]]))</f>
        <v/>
      </c>
      <c r="W20" s="7" t="str">
        <f>IF(ISBLANK(patch[[#This Row],[project]]), "",COUNTIFS($A:$A,patch[[#This Row],[number]],$S:$S, "BJ And dev",$AC:$AC, "Review-1"))</f>
        <v/>
      </c>
      <c r="X20" s="7" t="str">
        <f>IF(ISBLANK(patch[[#This Row],[project]]), "",COUNTIFS($A:$A,patch[[#This Row],[number]],$S:$S, "FL And dev",$AC:$AC, "Review-1"))</f>
        <v/>
      </c>
      <c r="Y20" s="7" t="str">
        <f>IF(ISBLANK(patch[[#This Row],[project]]), "",COUNTIFS($A:$A,patch[[#This Row],[number]],$S:$S, "SH And dev",$AC:$AC, "Review-1"))</f>
        <v/>
      </c>
      <c r="Z20" s="7" t="str">
        <f>IF(ISBLANK(patch[[#This Row],[project]]), "",COUNTIFS($A:$A,patch[[#This Row],[number]],$S:$S, "BJ And dev",$AD:$AD, "&lt;&gt;IntegratorValidationComment"))</f>
        <v/>
      </c>
      <c r="AA20" s="7" t="str">
        <f>IF(ISBLANK(patch[[#This Row],[project]]), "",COUNTIFS($A:$A,patch[[#This Row],[number]],$S:$S, "FL And dev",$AD:$AD, "&lt;&gt;IntegratorValidationComment"))</f>
        <v/>
      </c>
      <c r="AB20" s="7" t="str">
        <f>IF(ISBLANK(patch[[#This Row],[project]]), "",COUNTIFS($A:$A,patch[[#This Row],[number]],$S:$S, "SH And dev",$AD:$AD, "&lt;&gt;IntegratorValidationComment"))</f>
        <v/>
      </c>
      <c r="AC20" s="7" t="str">
        <f>IF(OR(ISNUMBER(FIND("Review-1", patch[[#This Row],[comments]])), ISNUMBER(FIND("Approver-1", patch[[#This Row],[comments]]))), "Review-1", "")</f>
        <v/>
      </c>
      <c r="AD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 s="7">
        <f>IF(ISBLANK(patch[[#This Row],[number]]),AE19,patch[[#This Row],[ifCommon]])</f>
        <v>0</v>
      </c>
    </row>
    <row r="21" spans="1:31">
      <c r="A21" s="151">
        <v>148926</v>
      </c>
      <c r="B21" s="151"/>
      <c r="C21" s="151"/>
      <c r="D21" s="151"/>
      <c r="E21" s="151"/>
      <c r="F21" s="151"/>
      <c r="G21" s="151"/>
      <c r="H21" s="151"/>
      <c r="I21" s="152"/>
      <c r="J21" s="152">
        <v>42643.649629629632</v>
      </c>
      <c r="K21" s="151"/>
      <c r="L21" s="151" t="s">
        <v>59</v>
      </c>
      <c r="M21" s="152">
        <v>42641.793032407397</v>
      </c>
      <c r="N21" s="151" t="s">
        <v>2588</v>
      </c>
      <c r="O21" s="151"/>
      <c r="P21" s="151"/>
      <c r="Q21" s="7" t="str">
        <f>IF(ISBLANK(patch[[#This Row],[OwnerEmail]]),Q20,patch[[#This Row],[OwnerEmail]])</f>
        <v>liang.l.yang@intel.com</v>
      </c>
      <c r="R21" s="7" t="str">
        <f>_xlfn.IFNA(VLOOKUP(patch[[#This Row],[tmp-owner.email]],OrgTree!$A:$K, 11, 0), "not ICG SWFW")</f>
        <v>BJ And dev</v>
      </c>
      <c r="S21" s="7" t="str">
        <f>IF(patch[[#This Row],[reviewer]]=patch[[#This Row],[tmp-owner.email]], "author", _xlfn.IFNA(VLOOKUP(patch[[#This Row],[reviewer]],OrgTree!$A:$K, 11, 0), "not ICG SWFW"))</f>
        <v>BJ And dev</v>
      </c>
      <c r="T21" s="7" t="str">
        <f>IF(ISBLANK(patch[[#This Row],[mergeDate]]), "", MID(YEAR(patch[[#This Row],[mergeDate]]), 3,2)&amp;"'ww"&amp;WEEKNUM(patch[[#This Row],[mergeDate]]))</f>
        <v>16'ww40</v>
      </c>
      <c r="U21" s="7" t="str">
        <f>IF(ISBLANK(patch[[#This Row],[mergeDate]]), U20, MID(YEAR(patch[[#This Row],[mergeDate]]), 3,2)&amp;"'m"&amp;MONTH(patch[[#This Row],[mergeDate]]))</f>
        <v>16'm9</v>
      </c>
      <c r="V21" s="7" t="str">
        <f>IF(ISBLANK(patch[[#This Row],[project]]), "",SUM(patch[[#This Row],[BJ -1 num]:[SH -1 num]]))</f>
        <v/>
      </c>
      <c r="W21" s="7" t="str">
        <f>IF(ISBLANK(patch[[#This Row],[project]]), "",COUNTIFS($A:$A,patch[[#This Row],[number]],$S:$S, "BJ And dev",$AC:$AC, "Review-1"))</f>
        <v/>
      </c>
      <c r="X21" s="7" t="str">
        <f>IF(ISBLANK(patch[[#This Row],[project]]), "",COUNTIFS($A:$A,patch[[#This Row],[number]],$S:$S, "FL And dev",$AC:$AC, "Review-1"))</f>
        <v/>
      </c>
      <c r="Y21" s="7" t="str">
        <f>IF(ISBLANK(patch[[#This Row],[project]]), "",COUNTIFS($A:$A,patch[[#This Row],[number]],$S:$S, "SH And dev",$AC:$AC, "Review-1"))</f>
        <v/>
      </c>
      <c r="Z21" s="7" t="str">
        <f>IF(ISBLANK(patch[[#This Row],[project]]), "",COUNTIFS($A:$A,patch[[#This Row],[number]],$S:$S, "BJ And dev",$AD:$AD, "&lt;&gt;IntegratorValidationComment"))</f>
        <v/>
      </c>
      <c r="AA21" s="7" t="str">
        <f>IF(ISBLANK(patch[[#This Row],[project]]), "",COUNTIFS($A:$A,patch[[#This Row],[number]],$S:$S, "FL And dev",$AD:$AD, "&lt;&gt;IntegratorValidationComment"))</f>
        <v/>
      </c>
      <c r="AB21" s="7" t="str">
        <f>IF(ISBLANK(patch[[#This Row],[project]]), "",COUNTIFS($A:$A,patch[[#This Row],[number]],$S:$S, "SH And dev",$AD:$AD, "&lt;&gt;IntegratorValidationComment"))</f>
        <v/>
      </c>
      <c r="AC21" s="7" t="str">
        <f>IF(OR(ISNUMBER(FIND("Review-1", patch[[#This Row],[comments]])), ISNUMBER(FIND("Approver-1", patch[[#This Row],[comments]]))), "Review-1", "")</f>
        <v/>
      </c>
      <c r="AD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 s="7">
        <f>IF(ISBLANK(patch[[#This Row],[number]]),AE20,patch[[#This Row],[ifCommon]])</f>
        <v>0</v>
      </c>
    </row>
    <row r="22" spans="1:31">
      <c r="A22" s="151">
        <v>148926</v>
      </c>
      <c r="B22" s="151"/>
      <c r="C22" s="151"/>
      <c r="D22" s="151"/>
      <c r="E22" s="151"/>
      <c r="F22" s="151"/>
      <c r="G22" s="151"/>
      <c r="H22" s="151"/>
      <c r="I22" s="151"/>
      <c r="J22" s="152">
        <v>42643.649629629632</v>
      </c>
      <c r="K22" s="151"/>
      <c r="L22" s="151" t="s">
        <v>59</v>
      </c>
      <c r="M22" s="152">
        <v>42641.795891203707</v>
      </c>
      <c r="N22" s="151" t="s">
        <v>2589</v>
      </c>
      <c r="O22" s="151"/>
      <c r="P22" s="151"/>
      <c r="Q22" s="7" t="str">
        <f>IF(ISBLANK(patch[[#This Row],[OwnerEmail]]),Q21,patch[[#This Row],[OwnerEmail]])</f>
        <v>liang.l.yang@intel.com</v>
      </c>
      <c r="R22" s="7" t="str">
        <f>_xlfn.IFNA(VLOOKUP(patch[[#This Row],[tmp-owner.email]],OrgTree!$A:$K, 11, 0), "not ICG SWFW")</f>
        <v>BJ And dev</v>
      </c>
      <c r="S22" s="7" t="str">
        <f>IF(patch[[#This Row],[reviewer]]=patch[[#This Row],[tmp-owner.email]], "author", _xlfn.IFNA(VLOOKUP(patch[[#This Row],[reviewer]],OrgTree!$A:$K, 11, 0), "not ICG SWFW"))</f>
        <v>BJ And dev</v>
      </c>
      <c r="T22" s="7" t="str">
        <f>IF(ISBLANK(patch[[#This Row],[mergeDate]]), "", MID(YEAR(patch[[#This Row],[mergeDate]]), 3,2)&amp;"'ww"&amp;WEEKNUM(patch[[#This Row],[mergeDate]]))</f>
        <v>16'ww40</v>
      </c>
      <c r="U22" s="7" t="str">
        <f>IF(ISBLANK(patch[[#This Row],[mergeDate]]), U21, MID(YEAR(patch[[#This Row],[mergeDate]]), 3,2)&amp;"'m"&amp;MONTH(patch[[#This Row],[mergeDate]]))</f>
        <v>16'm9</v>
      </c>
      <c r="V22" s="7" t="str">
        <f>IF(ISBLANK(patch[[#This Row],[project]]), "",SUM(patch[[#This Row],[BJ -1 num]:[SH -1 num]]))</f>
        <v/>
      </c>
      <c r="W22" s="7" t="str">
        <f>IF(ISBLANK(patch[[#This Row],[project]]), "",COUNTIFS($A:$A,patch[[#This Row],[number]],$S:$S, "BJ And dev",$AC:$AC, "Review-1"))</f>
        <v/>
      </c>
      <c r="X22" s="7" t="str">
        <f>IF(ISBLANK(patch[[#This Row],[project]]), "",COUNTIFS($A:$A,patch[[#This Row],[number]],$S:$S, "FL And dev",$AC:$AC, "Review-1"))</f>
        <v/>
      </c>
      <c r="Y22" s="7" t="str">
        <f>IF(ISBLANK(patch[[#This Row],[project]]), "",COUNTIFS($A:$A,patch[[#This Row],[number]],$S:$S, "SH And dev",$AC:$AC, "Review-1"))</f>
        <v/>
      </c>
      <c r="Z22" s="7" t="str">
        <f>IF(ISBLANK(patch[[#This Row],[project]]), "",COUNTIFS($A:$A,patch[[#This Row],[number]],$S:$S, "BJ And dev",$AD:$AD, "&lt;&gt;IntegratorValidationComment"))</f>
        <v/>
      </c>
      <c r="AA22" s="7" t="str">
        <f>IF(ISBLANK(patch[[#This Row],[project]]), "",COUNTIFS($A:$A,patch[[#This Row],[number]],$S:$S, "FL And dev",$AD:$AD, "&lt;&gt;IntegratorValidationComment"))</f>
        <v/>
      </c>
      <c r="AB22" s="7" t="str">
        <f>IF(ISBLANK(patch[[#This Row],[project]]), "",COUNTIFS($A:$A,patch[[#This Row],[number]],$S:$S, "SH And dev",$AD:$AD, "&lt;&gt;IntegratorValidationComment"))</f>
        <v/>
      </c>
      <c r="AC22" s="7" t="str">
        <f>IF(OR(ISNUMBER(FIND("Review-1", patch[[#This Row],[comments]])), ISNUMBER(FIND("Approver-1", patch[[#This Row],[comments]]))), "Review-1", "")</f>
        <v/>
      </c>
      <c r="AD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 s="7">
        <f>IF(ISBLANK(patch[[#This Row],[number]]),AE21,patch[[#This Row],[ifCommon]])</f>
        <v>0</v>
      </c>
    </row>
    <row r="23" spans="1:31">
      <c r="A23" s="151">
        <v>148926</v>
      </c>
      <c r="B23" s="151"/>
      <c r="C23" s="151"/>
      <c r="D23" s="151"/>
      <c r="E23" s="151"/>
      <c r="F23" s="151"/>
      <c r="G23" s="151"/>
      <c r="H23" s="151"/>
      <c r="I23" s="151"/>
      <c r="J23" s="152">
        <v>42643.649629629632</v>
      </c>
      <c r="K23" s="151"/>
      <c r="L23" s="151" t="s">
        <v>55</v>
      </c>
      <c r="M23" s="152">
        <v>42641.796759259261</v>
      </c>
      <c r="N23" s="151" t="s">
        <v>1853</v>
      </c>
      <c r="O23" s="151"/>
      <c r="P23" s="151"/>
      <c r="Q23" s="7" t="str">
        <f>IF(ISBLANK(patch[[#This Row],[OwnerEmail]]),Q22,patch[[#This Row],[OwnerEmail]])</f>
        <v>liang.l.yang@intel.com</v>
      </c>
      <c r="R23" s="7" t="str">
        <f>_xlfn.IFNA(VLOOKUP(patch[[#This Row],[tmp-owner.email]],OrgTree!$A:$K, 11, 0), "not ICG SWFW")</f>
        <v>BJ And dev</v>
      </c>
      <c r="S23" s="7" t="str">
        <f>IF(patch[[#This Row],[reviewer]]=patch[[#This Row],[tmp-owner.email]], "author", _xlfn.IFNA(VLOOKUP(patch[[#This Row],[reviewer]],OrgTree!$A:$K, 11, 0), "not ICG SWFW"))</f>
        <v>author</v>
      </c>
      <c r="T23" s="7" t="str">
        <f>IF(ISBLANK(patch[[#This Row],[mergeDate]]), "", MID(YEAR(patch[[#This Row],[mergeDate]]), 3,2)&amp;"'ww"&amp;WEEKNUM(patch[[#This Row],[mergeDate]]))</f>
        <v>16'ww40</v>
      </c>
      <c r="U23" s="7" t="str">
        <f>IF(ISBLANK(patch[[#This Row],[mergeDate]]), U22, MID(YEAR(patch[[#This Row],[mergeDate]]), 3,2)&amp;"'m"&amp;MONTH(patch[[#This Row],[mergeDate]]))</f>
        <v>16'm9</v>
      </c>
      <c r="V23" s="7" t="str">
        <f>IF(ISBLANK(patch[[#This Row],[project]]), "",SUM(patch[[#This Row],[BJ -1 num]:[SH -1 num]]))</f>
        <v/>
      </c>
      <c r="W23" s="7" t="str">
        <f>IF(ISBLANK(patch[[#This Row],[project]]), "",COUNTIFS($A:$A,patch[[#This Row],[number]],$S:$S, "BJ And dev",$AC:$AC, "Review-1"))</f>
        <v/>
      </c>
      <c r="X23" s="7" t="str">
        <f>IF(ISBLANK(patch[[#This Row],[project]]), "",COUNTIFS($A:$A,patch[[#This Row],[number]],$S:$S, "FL And dev",$AC:$AC, "Review-1"))</f>
        <v/>
      </c>
      <c r="Y23" s="7" t="str">
        <f>IF(ISBLANK(patch[[#This Row],[project]]), "",COUNTIFS($A:$A,patch[[#This Row],[number]],$S:$S, "SH And dev",$AC:$AC, "Review-1"))</f>
        <v/>
      </c>
      <c r="Z23" s="7" t="str">
        <f>IF(ISBLANK(patch[[#This Row],[project]]), "",COUNTIFS($A:$A,patch[[#This Row],[number]],$S:$S, "BJ And dev",$AD:$AD, "&lt;&gt;IntegratorValidationComment"))</f>
        <v/>
      </c>
      <c r="AA23" s="7" t="str">
        <f>IF(ISBLANK(patch[[#This Row],[project]]), "",COUNTIFS($A:$A,patch[[#This Row],[number]],$S:$S, "FL And dev",$AD:$AD, "&lt;&gt;IntegratorValidationComment"))</f>
        <v/>
      </c>
      <c r="AB23" s="7" t="str">
        <f>IF(ISBLANK(patch[[#This Row],[project]]), "",COUNTIFS($A:$A,patch[[#This Row],[number]],$S:$S, "SH And dev",$AD:$AD, "&lt;&gt;IntegratorValidationComment"))</f>
        <v/>
      </c>
      <c r="AC23" s="7" t="str">
        <f>IF(OR(ISNUMBER(FIND("Review-1", patch[[#This Row],[comments]])), ISNUMBER(FIND("Approver-1", patch[[#This Row],[comments]]))), "Review-1", "")</f>
        <v/>
      </c>
      <c r="AD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 s="7">
        <f>IF(ISBLANK(patch[[#This Row],[number]]),AE22,patch[[#This Row],[ifCommon]])</f>
        <v>0</v>
      </c>
    </row>
    <row r="24" spans="1:31">
      <c r="A24" s="151">
        <v>148926</v>
      </c>
      <c r="B24" s="151"/>
      <c r="C24" s="151"/>
      <c r="D24" s="151"/>
      <c r="E24" s="151"/>
      <c r="F24" s="151"/>
      <c r="G24" s="151"/>
      <c r="H24" s="151"/>
      <c r="I24" s="151"/>
      <c r="J24" s="152">
        <v>42643.649629629632</v>
      </c>
      <c r="K24" s="151"/>
      <c r="L24" s="151" t="s">
        <v>63</v>
      </c>
      <c r="M24" s="152">
        <v>42642.490115740737</v>
      </c>
      <c r="N24" s="151" t="s">
        <v>1853</v>
      </c>
      <c r="O24" s="151"/>
      <c r="P24" s="151"/>
      <c r="Q24" s="7" t="str">
        <f>IF(ISBLANK(patch[[#This Row],[OwnerEmail]]),Q23,patch[[#This Row],[OwnerEmail]])</f>
        <v>liang.l.yang@intel.com</v>
      </c>
      <c r="R24" s="7" t="str">
        <f>_xlfn.IFNA(VLOOKUP(patch[[#This Row],[tmp-owner.email]],OrgTree!$A:$K, 11, 0), "not ICG SWFW")</f>
        <v>BJ And dev</v>
      </c>
      <c r="S24" s="7" t="str">
        <f>IF(patch[[#This Row],[reviewer]]=patch[[#This Row],[tmp-owner.email]], "author", _xlfn.IFNA(VLOOKUP(patch[[#This Row],[reviewer]],OrgTree!$A:$K, 11, 0), "not ICG SWFW"))</f>
        <v>BJ And dev</v>
      </c>
      <c r="T24" s="7" t="str">
        <f>IF(ISBLANK(patch[[#This Row],[mergeDate]]), "", MID(YEAR(patch[[#This Row],[mergeDate]]), 3,2)&amp;"'ww"&amp;WEEKNUM(patch[[#This Row],[mergeDate]]))</f>
        <v>16'ww40</v>
      </c>
      <c r="U24" s="7" t="str">
        <f>IF(ISBLANK(patch[[#This Row],[mergeDate]]), U23, MID(YEAR(patch[[#This Row],[mergeDate]]), 3,2)&amp;"'m"&amp;MONTH(patch[[#This Row],[mergeDate]]))</f>
        <v>16'm9</v>
      </c>
      <c r="V24" s="7" t="str">
        <f>IF(ISBLANK(patch[[#This Row],[project]]), "",SUM(patch[[#This Row],[BJ -1 num]:[SH -1 num]]))</f>
        <v/>
      </c>
      <c r="W24" s="7" t="str">
        <f>IF(ISBLANK(patch[[#This Row],[project]]), "",COUNTIFS($A:$A,patch[[#This Row],[number]],$S:$S, "BJ And dev",$AC:$AC, "Review-1"))</f>
        <v/>
      </c>
      <c r="X24" s="7" t="str">
        <f>IF(ISBLANK(patch[[#This Row],[project]]), "",COUNTIFS($A:$A,patch[[#This Row],[number]],$S:$S, "FL And dev",$AC:$AC, "Review-1"))</f>
        <v/>
      </c>
      <c r="Y24" s="7" t="str">
        <f>IF(ISBLANK(patch[[#This Row],[project]]), "",COUNTIFS($A:$A,patch[[#This Row],[number]],$S:$S, "SH And dev",$AC:$AC, "Review-1"))</f>
        <v/>
      </c>
      <c r="Z24" s="7" t="str">
        <f>IF(ISBLANK(patch[[#This Row],[project]]), "",COUNTIFS($A:$A,patch[[#This Row],[number]],$S:$S, "BJ And dev",$AD:$AD, "&lt;&gt;IntegratorValidationComment"))</f>
        <v/>
      </c>
      <c r="AA24" s="7" t="str">
        <f>IF(ISBLANK(patch[[#This Row],[project]]), "",COUNTIFS($A:$A,patch[[#This Row],[number]],$S:$S, "FL And dev",$AD:$AD, "&lt;&gt;IntegratorValidationComment"))</f>
        <v/>
      </c>
      <c r="AB24" s="7" t="str">
        <f>IF(ISBLANK(patch[[#This Row],[project]]), "",COUNTIFS($A:$A,patch[[#This Row],[number]],$S:$S, "SH And dev",$AD:$AD, "&lt;&gt;IntegratorValidationComment"))</f>
        <v/>
      </c>
      <c r="AC24" s="7" t="str">
        <f>IF(OR(ISNUMBER(FIND("Review-1", patch[[#This Row],[comments]])), ISNUMBER(FIND("Approver-1", patch[[#This Row],[comments]]))), "Review-1", "")</f>
        <v/>
      </c>
      <c r="AD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 s="7">
        <f>IF(ISBLANK(patch[[#This Row],[number]]),AE23,patch[[#This Row],[ifCommon]])</f>
        <v>0</v>
      </c>
    </row>
    <row r="25" spans="1:31">
      <c r="A25" s="151">
        <v>148926</v>
      </c>
      <c r="B25" s="151"/>
      <c r="C25" s="151"/>
      <c r="D25" s="151"/>
      <c r="E25" s="151"/>
      <c r="F25" s="151"/>
      <c r="G25" s="151"/>
      <c r="H25" s="151"/>
      <c r="I25" s="151"/>
      <c r="J25" s="152">
        <v>42643.649629629632</v>
      </c>
      <c r="K25" s="151"/>
      <c r="L25" s="151" t="s">
        <v>59</v>
      </c>
      <c r="M25" s="152">
        <v>42642.490416666667</v>
      </c>
      <c r="N25" s="151" t="s">
        <v>2486</v>
      </c>
      <c r="O25" s="151"/>
      <c r="P25" s="151"/>
      <c r="Q25" s="7" t="str">
        <f>IF(ISBLANK(patch[[#This Row],[OwnerEmail]]),Q24,patch[[#This Row],[OwnerEmail]])</f>
        <v>liang.l.yang@intel.com</v>
      </c>
      <c r="R25" s="7" t="str">
        <f>_xlfn.IFNA(VLOOKUP(patch[[#This Row],[tmp-owner.email]],OrgTree!$A:$K, 11, 0), "not ICG SWFW")</f>
        <v>BJ And dev</v>
      </c>
      <c r="S25" s="7" t="str">
        <f>IF(patch[[#This Row],[reviewer]]=patch[[#This Row],[tmp-owner.email]], "author", _xlfn.IFNA(VLOOKUP(patch[[#This Row],[reviewer]],OrgTree!$A:$K, 11, 0), "not ICG SWFW"))</f>
        <v>BJ And dev</v>
      </c>
      <c r="T25" s="7" t="str">
        <f>IF(ISBLANK(patch[[#This Row],[mergeDate]]), "", MID(YEAR(patch[[#This Row],[mergeDate]]), 3,2)&amp;"'ww"&amp;WEEKNUM(patch[[#This Row],[mergeDate]]))</f>
        <v>16'ww40</v>
      </c>
      <c r="U25" s="7" t="str">
        <f>IF(ISBLANK(patch[[#This Row],[mergeDate]]), U24, MID(YEAR(patch[[#This Row],[mergeDate]]), 3,2)&amp;"'m"&amp;MONTH(patch[[#This Row],[mergeDate]]))</f>
        <v>16'm9</v>
      </c>
      <c r="V25" s="7" t="str">
        <f>IF(ISBLANK(patch[[#This Row],[project]]), "",SUM(patch[[#This Row],[BJ -1 num]:[SH -1 num]]))</f>
        <v/>
      </c>
      <c r="W25" s="7" t="str">
        <f>IF(ISBLANK(patch[[#This Row],[project]]), "",COUNTIFS($A:$A,patch[[#This Row],[number]],$S:$S, "BJ And dev",$AC:$AC, "Review-1"))</f>
        <v/>
      </c>
      <c r="X25" s="7" t="str">
        <f>IF(ISBLANK(patch[[#This Row],[project]]), "",COUNTIFS($A:$A,patch[[#This Row],[number]],$S:$S, "FL And dev",$AC:$AC, "Review-1"))</f>
        <v/>
      </c>
      <c r="Y25" s="7" t="str">
        <f>IF(ISBLANK(patch[[#This Row],[project]]), "",COUNTIFS($A:$A,patch[[#This Row],[number]],$S:$S, "SH And dev",$AC:$AC, "Review-1"))</f>
        <v/>
      </c>
      <c r="Z25" s="7" t="str">
        <f>IF(ISBLANK(patch[[#This Row],[project]]), "",COUNTIFS($A:$A,patch[[#This Row],[number]],$S:$S, "BJ And dev",$AD:$AD, "&lt;&gt;IntegratorValidationComment"))</f>
        <v/>
      </c>
      <c r="AA25" s="7" t="str">
        <f>IF(ISBLANK(patch[[#This Row],[project]]), "",COUNTIFS($A:$A,patch[[#This Row],[number]],$S:$S, "FL And dev",$AD:$AD, "&lt;&gt;IntegratorValidationComment"))</f>
        <v/>
      </c>
      <c r="AB25" s="7" t="str">
        <f>IF(ISBLANK(patch[[#This Row],[project]]), "",COUNTIFS($A:$A,patch[[#This Row],[number]],$S:$S, "SH And dev",$AD:$AD, "&lt;&gt;IntegratorValidationComment"))</f>
        <v/>
      </c>
      <c r="AC25" s="7" t="str">
        <f>IF(OR(ISNUMBER(FIND("Review-1", patch[[#This Row],[comments]])), ISNUMBER(FIND("Approver-1", patch[[#This Row],[comments]]))), "Review-1", "")</f>
        <v/>
      </c>
      <c r="AD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 s="7">
        <f>IF(ISBLANK(patch[[#This Row],[number]]),AE24,patch[[#This Row],[ifCommon]])</f>
        <v>0</v>
      </c>
    </row>
    <row r="26" spans="1:31">
      <c r="A26" s="151">
        <v>148926</v>
      </c>
      <c r="B26" s="151"/>
      <c r="C26" s="151"/>
      <c r="D26" s="151"/>
      <c r="E26" s="151"/>
      <c r="F26" s="151"/>
      <c r="G26" s="151"/>
      <c r="H26" s="151"/>
      <c r="I26" s="151"/>
      <c r="J26" s="152">
        <v>42643.649629629632</v>
      </c>
      <c r="K26" s="151"/>
      <c r="L26" s="151" t="s">
        <v>32</v>
      </c>
      <c r="M26" s="152">
        <v>42642.495844907397</v>
      </c>
      <c r="N26" s="151" t="s">
        <v>1853</v>
      </c>
      <c r="O26" s="151"/>
      <c r="P26" s="151"/>
      <c r="Q26" s="7" t="str">
        <f>IF(ISBLANK(patch[[#This Row],[OwnerEmail]]),Q25,patch[[#This Row],[OwnerEmail]])</f>
        <v>liang.l.yang@intel.com</v>
      </c>
      <c r="R26" s="7" t="str">
        <f>_xlfn.IFNA(VLOOKUP(patch[[#This Row],[tmp-owner.email]],OrgTree!$A:$K, 11, 0), "not ICG SWFW")</f>
        <v>BJ And dev</v>
      </c>
      <c r="S26" s="7" t="str">
        <f>IF(patch[[#This Row],[reviewer]]=patch[[#This Row],[tmp-owner.email]], "author", _xlfn.IFNA(VLOOKUP(patch[[#This Row],[reviewer]],OrgTree!$A:$K, 11, 0), "not ICG SWFW"))</f>
        <v>BJ And dev</v>
      </c>
      <c r="T26" s="7" t="str">
        <f>IF(ISBLANK(patch[[#This Row],[mergeDate]]), "", MID(YEAR(patch[[#This Row],[mergeDate]]), 3,2)&amp;"'ww"&amp;WEEKNUM(patch[[#This Row],[mergeDate]]))</f>
        <v>16'ww40</v>
      </c>
      <c r="U26" s="7" t="str">
        <f>IF(ISBLANK(patch[[#This Row],[mergeDate]]), U25, MID(YEAR(patch[[#This Row],[mergeDate]]), 3,2)&amp;"'m"&amp;MONTH(patch[[#This Row],[mergeDate]]))</f>
        <v>16'm9</v>
      </c>
      <c r="V26" s="7" t="str">
        <f>IF(ISBLANK(patch[[#This Row],[project]]), "",SUM(patch[[#This Row],[BJ -1 num]:[SH -1 num]]))</f>
        <v/>
      </c>
      <c r="W26" s="7" t="str">
        <f>IF(ISBLANK(patch[[#This Row],[project]]), "",COUNTIFS($A:$A,patch[[#This Row],[number]],$S:$S, "BJ And dev",$AC:$AC, "Review-1"))</f>
        <v/>
      </c>
      <c r="X26" s="7" t="str">
        <f>IF(ISBLANK(patch[[#This Row],[project]]), "",COUNTIFS($A:$A,patch[[#This Row],[number]],$S:$S, "FL And dev",$AC:$AC, "Review-1"))</f>
        <v/>
      </c>
      <c r="Y26" s="7" t="str">
        <f>IF(ISBLANK(patch[[#This Row],[project]]), "",COUNTIFS($A:$A,patch[[#This Row],[number]],$S:$S, "SH And dev",$AC:$AC, "Review-1"))</f>
        <v/>
      </c>
      <c r="Z26" s="7" t="str">
        <f>IF(ISBLANK(patch[[#This Row],[project]]), "",COUNTIFS($A:$A,patch[[#This Row],[number]],$S:$S, "BJ And dev",$AD:$AD, "&lt;&gt;IntegratorValidationComment"))</f>
        <v/>
      </c>
      <c r="AA26" s="7" t="str">
        <f>IF(ISBLANK(patch[[#This Row],[project]]), "",COUNTIFS($A:$A,patch[[#This Row],[number]],$S:$S, "FL And dev",$AD:$AD, "&lt;&gt;IntegratorValidationComment"))</f>
        <v/>
      </c>
      <c r="AB26" s="7" t="str">
        <f>IF(ISBLANK(patch[[#This Row],[project]]), "",COUNTIFS($A:$A,patch[[#This Row],[number]],$S:$S, "SH And dev",$AD:$AD, "&lt;&gt;IntegratorValidationComment"))</f>
        <v/>
      </c>
      <c r="AC26" s="7" t="str">
        <f>IF(OR(ISNUMBER(FIND("Review-1", patch[[#This Row],[comments]])), ISNUMBER(FIND("Approver-1", patch[[#This Row],[comments]]))), "Review-1", "")</f>
        <v/>
      </c>
      <c r="AD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 s="7">
        <f>IF(ISBLANK(patch[[#This Row],[number]]),AE25,patch[[#This Row],[ifCommon]])</f>
        <v>0</v>
      </c>
    </row>
    <row r="27" spans="1:31">
      <c r="A27" s="151">
        <v>148926</v>
      </c>
      <c r="B27" s="151"/>
      <c r="C27" s="151"/>
      <c r="D27" s="151"/>
      <c r="E27" s="151"/>
      <c r="F27" s="151"/>
      <c r="G27" s="151"/>
      <c r="H27" s="151"/>
      <c r="I27" s="151"/>
      <c r="J27" s="152">
        <v>42643.649629629632</v>
      </c>
      <c r="K27" s="151"/>
      <c r="L27" s="151" t="s">
        <v>115</v>
      </c>
      <c r="M27" s="152">
        <v>42643.439768518518</v>
      </c>
      <c r="N27" s="151" t="s">
        <v>2492</v>
      </c>
      <c r="O27" s="151"/>
      <c r="P27" s="151"/>
      <c r="Q27" s="7" t="str">
        <f>IF(ISBLANK(patch[[#This Row],[OwnerEmail]]),Q26,patch[[#This Row],[OwnerEmail]])</f>
        <v>liang.l.yang@intel.com</v>
      </c>
      <c r="R27" s="7" t="str">
        <f>_xlfn.IFNA(VLOOKUP(patch[[#This Row],[tmp-owner.email]],OrgTree!$A:$K, 11, 0), "not ICG SWFW")</f>
        <v>BJ And dev</v>
      </c>
      <c r="S27" s="7" t="str">
        <f>IF(patch[[#This Row],[reviewer]]=patch[[#This Row],[tmp-owner.email]], "author", _xlfn.IFNA(VLOOKUP(patch[[#This Row],[reviewer]],OrgTree!$A:$K, 11, 0), "not ICG SWFW"))</f>
        <v>Val</v>
      </c>
      <c r="T27" s="7" t="str">
        <f>IF(ISBLANK(patch[[#This Row],[mergeDate]]), "", MID(YEAR(patch[[#This Row],[mergeDate]]), 3,2)&amp;"'ww"&amp;WEEKNUM(patch[[#This Row],[mergeDate]]))</f>
        <v>16'ww40</v>
      </c>
      <c r="U27" s="7" t="str">
        <f>IF(ISBLANK(patch[[#This Row],[mergeDate]]), U26, MID(YEAR(patch[[#This Row],[mergeDate]]), 3,2)&amp;"'m"&amp;MONTH(patch[[#This Row],[mergeDate]]))</f>
        <v>16'm9</v>
      </c>
      <c r="V27" s="7" t="str">
        <f>IF(ISBLANK(patch[[#This Row],[project]]), "",SUM(patch[[#This Row],[BJ -1 num]:[SH -1 num]]))</f>
        <v/>
      </c>
      <c r="W27" s="7" t="str">
        <f>IF(ISBLANK(patch[[#This Row],[project]]), "",COUNTIFS($A:$A,patch[[#This Row],[number]],$S:$S, "BJ And dev",$AC:$AC, "Review-1"))</f>
        <v/>
      </c>
      <c r="X27" s="7" t="str">
        <f>IF(ISBLANK(patch[[#This Row],[project]]), "",COUNTIFS($A:$A,patch[[#This Row],[number]],$S:$S, "FL And dev",$AC:$AC, "Review-1"))</f>
        <v/>
      </c>
      <c r="Y27" s="7" t="str">
        <f>IF(ISBLANK(patch[[#This Row],[project]]), "",COUNTIFS($A:$A,patch[[#This Row],[number]],$S:$S, "SH And dev",$AC:$AC, "Review-1"))</f>
        <v/>
      </c>
      <c r="Z27" s="7" t="str">
        <f>IF(ISBLANK(patch[[#This Row],[project]]), "",COUNTIFS($A:$A,patch[[#This Row],[number]],$S:$S, "BJ And dev",$AD:$AD, "&lt;&gt;IntegratorValidationComment"))</f>
        <v/>
      </c>
      <c r="AA27" s="7" t="str">
        <f>IF(ISBLANK(patch[[#This Row],[project]]), "",COUNTIFS($A:$A,patch[[#This Row],[number]],$S:$S, "FL And dev",$AD:$AD, "&lt;&gt;IntegratorValidationComment"))</f>
        <v/>
      </c>
      <c r="AB27" s="7" t="str">
        <f>IF(ISBLANK(patch[[#This Row],[project]]), "",COUNTIFS($A:$A,patch[[#This Row],[number]],$S:$S, "SH And dev",$AD:$AD, "&lt;&gt;IntegratorValidationComment"))</f>
        <v/>
      </c>
      <c r="AC27" s="7" t="str">
        <f>IF(OR(ISNUMBER(FIND("Review-1", patch[[#This Row],[comments]])), ISNUMBER(FIND("Approver-1", patch[[#This Row],[comments]]))), "Review-1", "")</f>
        <v/>
      </c>
      <c r="AD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7" s="7">
        <f>IF(ISBLANK(patch[[#This Row],[number]]),AE26,patch[[#This Row],[ifCommon]])</f>
        <v>0</v>
      </c>
    </row>
    <row r="28" spans="1:31">
      <c r="A28" s="151">
        <v>148951</v>
      </c>
      <c r="B28" s="151" t="s">
        <v>2490</v>
      </c>
      <c r="C28" s="151" t="s">
        <v>2491</v>
      </c>
      <c r="D28" s="151" t="s">
        <v>2590</v>
      </c>
      <c r="E28" s="151" t="s">
        <v>61</v>
      </c>
      <c r="F28" s="151" t="s">
        <v>23</v>
      </c>
      <c r="G28" s="151" t="s">
        <v>2591</v>
      </c>
      <c r="H28" s="151" t="s">
        <v>2592</v>
      </c>
      <c r="I28" s="152">
        <v>42641.832476851851</v>
      </c>
      <c r="J28" s="152">
        <v>42643.649594907409</v>
      </c>
      <c r="K28" s="151" t="s">
        <v>2445</v>
      </c>
      <c r="L28" s="151" t="s">
        <v>61</v>
      </c>
      <c r="M28" s="152">
        <v>42641.832476851851</v>
      </c>
      <c r="N28" s="151" t="s">
        <v>25</v>
      </c>
      <c r="O28" s="151"/>
      <c r="P28" s="151" t="s">
        <v>2553</v>
      </c>
      <c r="Q28" s="7" t="str">
        <f>IF(ISBLANK(patch[[#This Row],[OwnerEmail]]),Q27,patch[[#This Row],[OwnerEmail]])</f>
        <v>john.mathew@intel.com</v>
      </c>
      <c r="R28" s="7" t="str">
        <f>_xlfn.IFNA(VLOOKUP(patch[[#This Row],[tmp-owner.email]],OrgTree!$A:$K, 11, 0), "not ICG SWFW")</f>
        <v>FL And dev</v>
      </c>
      <c r="S28" s="7" t="str">
        <f>IF(patch[[#This Row],[reviewer]]=patch[[#This Row],[tmp-owner.email]], "author", _xlfn.IFNA(VLOOKUP(patch[[#This Row],[reviewer]],OrgTree!$A:$K, 11, 0), "not ICG SWFW"))</f>
        <v>author</v>
      </c>
      <c r="T28" s="7" t="str">
        <f>IF(ISBLANK(patch[[#This Row],[mergeDate]]), "", MID(YEAR(patch[[#This Row],[mergeDate]]), 3,2)&amp;"'ww"&amp;WEEKNUM(patch[[#This Row],[mergeDate]]))</f>
        <v>16'ww40</v>
      </c>
      <c r="U28" s="7" t="str">
        <f>IF(ISBLANK(patch[[#This Row],[mergeDate]]), U27, MID(YEAR(patch[[#This Row],[mergeDate]]), 3,2)&amp;"'m"&amp;MONTH(patch[[#This Row],[mergeDate]]))</f>
        <v>16'm9</v>
      </c>
      <c r="V28" s="7">
        <f>IF(ISBLANK(patch[[#This Row],[project]]), "",SUM(patch[[#This Row],[BJ -1 num]:[SH -1 num]]))</f>
        <v>0</v>
      </c>
      <c r="W28" s="7">
        <f>IF(ISBLANK(patch[[#This Row],[project]]), "",COUNTIFS($A:$A,patch[[#This Row],[number]],$S:$S, "BJ And dev",$AC:$AC, "Review-1"))</f>
        <v>0</v>
      </c>
      <c r="X28" s="7">
        <f>IF(ISBLANK(patch[[#This Row],[project]]), "",COUNTIFS($A:$A,patch[[#This Row],[number]],$S:$S, "FL And dev",$AC:$AC, "Review-1"))</f>
        <v>0</v>
      </c>
      <c r="Y28" s="7">
        <f>IF(ISBLANK(patch[[#This Row],[project]]), "",COUNTIFS($A:$A,patch[[#This Row],[number]],$S:$S, "SH And dev",$AC:$AC, "Review-1"))</f>
        <v>0</v>
      </c>
      <c r="Z28" s="7">
        <f>IF(ISBLANK(patch[[#This Row],[project]]), "",COUNTIFS($A:$A,patch[[#This Row],[number]],$S:$S, "BJ And dev",$AD:$AD, "&lt;&gt;IntegratorValidationComment"))</f>
        <v>4</v>
      </c>
      <c r="AA28" s="7">
        <f>IF(ISBLANK(patch[[#This Row],[project]]), "",COUNTIFS($A:$A,patch[[#This Row],[number]],$S:$S, "FL And dev",$AD:$AD, "&lt;&gt;IntegratorValidationComment"))</f>
        <v>0</v>
      </c>
      <c r="AB28" s="7">
        <f>IF(ISBLANK(patch[[#This Row],[project]]), "",COUNTIFS($A:$A,patch[[#This Row],[number]],$S:$S, "SH And dev",$AD:$AD, "&lt;&gt;IntegratorValidationComment"))</f>
        <v>0</v>
      </c>
      <c r="AC28" s="7" t="str">
        <f>IF(OR(ISNUMBER(FIND("Review-1", patch[[#This Row],[comments]])), ISNUMBER(FIND("Approver-1", patch[[#This Row],[comments]]))), "Review-1", "")</f>
        <v/>
      </c>
      <c r="AD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 s="7" t="str">
        <f>IF(ISBLANK(patch[[#This Row],[number]]),AE27,patch[[#This Row],[ifCommon]])</f>
        <v>not AndrHAL</v>
      </c>
    </row>
    <row r="29" spans="1:31">
      <c r="A29" s="151">
        <v>148951</v>
      </c>
      <c r="B29" s="151"/>
      <c r="C29" s="151"/>
      <c r="D29" s="151"/>
      <c r="E29" s="151"/>
      <c r="F29" s="151"/>
      <c r="G29" s="151"/>
      <c r="H29" s="151"/>
      <c r="I29" s="152"/>
      <c r="J29" s="152">
        <v>42643.649594907409</v>
      </c>
      <c r="K29" s="151"/>
      <c r="L29" s="151" t="s">
        <v>61</v>
      </c>
      <c r="M29" s="152">
        <v>42641.832488425927</v>
      </c>
      <c r="N29" s="151" t="s">
        <v>2428</v>
      </c>
      <c r="O29" s="151"/>
      <c r="P29" s="151"/>
      <c r="Q29" s="7" t="str">
        <f>IF(ISBLANK(patch[[#This Row],[OwnerEmail]]),Q28,patch[[#This Row],[OwnerEmail]])</f>
        <v>john.mathew@intel.com</v>
      </c>
      <c r="R29" s="7" t="str">
        <f>_xlfn.IFNA(VLOOKUP(patch[[#This Row],[tmp-owner.email]],OrgTree!$A:$K, 11, 0), "not ICG SWFW")</f>
        <v>FL And dev</v>
      </c>
      <c r="S29" s="7" t="str">
        <f>IF(patch[[#This Row],[reviewer]]=patch[[#This Row],[tmp-owner.email]], "author", _xlfn.IFNA(VLOOKUP(patch[[#This Row],[reviewer]],OrgTree!$A:$K, 11, 0), "not ICG SWFW"))</f>
        <v>author</v>
      </c>
      <c r="T29" s="7" t="str">
        <f>IF(ISBLANK(patch[[#This Row],[mergeDate]]), "", MID(YEAR(patch[[#This Row],[mergeDate]]), 3,2)&amp;"'ww"&amp;WEEKNUM(patch[[#This Row],[mergeDate]]))</f>
        <v>16'ww40</v>
      </c>
      <c r="U29" s="7" t="str">
        <f>IF(ISBLANK(patch[[#This Row],[mergeDate]]), U28, MID(YEAR(patch[[#This Row],[mergeDate]]), 3,2)&amp;"'m"&amp;MONTH(patch[[#This Row],[mergeDate]]))</f>
        <v>16'm9</v>
      </c>
      <c r="V29" s="7" t="str">
        <f>IF(ISBLANK(patch[[#This Row],[project]]), "",SUM(patch[[#This Row],[BJ -1 num]:[SH -1 num]]))</f>
        <v/>
      </c>
      <c r="W29" s="7" t="str">
        <f>IF(ISBLANK(patch[[#This Row],[project]]), "",COUNTIFS($A:$A,patch[[#This Row],[number]],$S:$S, "BJ And dev",$AC:$AC, "Review-1"))</f>
        <v/>
      </c>
      <c r="X29" s="7" t="str">
        <f>IF(ISBLANK(patch[[#This Row],[project]]), "",COUNTIFS($A:$A,patch[[#This Row],[number]],$S:$S, "FL And dev",$AC:$AC, "Review-1"))</f>
        <v/>
      </c>
      <c r="Y29" s="7" t="str">
        <f>IF(ISBLANK(patch[[#This Row],[project]]), "",COUNTIFS($A:$A,patch[[#This Row],[number]],$S:$S, "SH And dev",$AC:$AC, "Review-1"))</f>
        <v/>
      </c>
      <c r="Z29" s="7" t="str">
        <f>IF(ISBLANK(patch[[#This Row],[project]]), "",COUNTIFS($A:$A,patch[[#This Row],[number]],$S:$S, "BJ And dev",$AD:$AD, "&lt;&gt;IntegratorValidationComment"))</f>
        <v/>
      </c>
      <c r="AA29" s="7" t="str">
        <f>IF(ISBLANK(patch[[#This Row],[project]]), "",COUNTIFS($A:$A,patch[[#This Row],[number]],$S:$S, "FL And dev",$AD:$AD, "&lt;&gt;IntegratorValidationComment"))</f>
        <v/>
      </c>
      <c r="AB29" s="7" t="str">
        <f>IF(ISBLANK(patch[[#This Row],[project]]), "",COUNTIFS($A:$A,patch[[#This Row],[number]],$S:$S, "SH And dev",$AD:$AD, "&lt;&gt;IntegratorValidationComment"))</f>
        <v/>
      </c>
      <c r="AC29" s="7" t="str">
        <f>IF(OR(ISNUMBER(FIND("Review-1", patch[[#This Row],[comments]])), ISNUMBER(FIND("Approver-1", patch[[#This Row],[comments]]))), "Review-1", "")</f>
        <v/>
      </c>
      <c r="AD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9" s="7">
        <f>IF(ISBLANK(patch[[#This Row],[number]]),AE28,patch[[#This Row],[ifCommon]])</f>
        <v>0</v>
      </c>
    </row>
    <row r="30" spans="1:31">
      <c r="A30" s="151">
        <v>148951</v>
      </c>
      <c r="B30" s="151"/>
      <c r="C30" s="151"/>
      <c r="D30" s="151"/>
      <c r="E30" s="151"/>
      <c r="F30" s="151"/>
      <c r="G30" s="151"/>
      <c r="H30" s="151"/>
      <c r="I30" s="151"/>
      <c r="J30" s="152">
        <v>42643.649594907409</v>
      </c>
      <c r="K30" s="151"/>
      <c r="L30" s="151" t="s">
        <v>61</v>
      </c>
      <c r="M30" s="152">
        <v>42641.833009259259</v>
      </c>
      <c r="N30" s="151" t="s">
        <v>65</v>
      </c>
      <c r="O30" s="151"/>
      <c r="P30" s="151"/>
      <c r="Q30" s="7" t="str">
        <f>IF(ISBLANK(patch[[#This Row],[OwnerEmail]]),Q29,patch[[#This Row],[OwnerEmail]])</f>
        <v>john.mathew@intel.com</v>
      </c>
      <c r="R30" s="7" t="str">
        <f>_xlfn.IFNA(VLOOKUP(patch[[#This Row],[tmp-owner.email]],OrgTree!$A:$K, 11, 0), "not ICG SWFW")</f>
        <v>FL And dev</v>
      </c>
      <c r="S30" s="7" t="str">
        <f>IF(patch[[#This Row],[reviewer]]=patch[[#This Row],[tmp-owner.email]], "author", _xlfn.IFNA(VLOOKUP(patch[[#This Row],[reviewer]],OrgTree!$A:$K, 11, 0), "not ICG SWFW"))</f>
        <v>author</v>
      </c>
      <c r="T30" s="7" t="str">
        <f>IF(ISBLANK(patch[[#This Row],[mergeDate]]), "", MID(YEAR(patch[[#This Row],[mergeDate]]), 3,2)&amp;"'ww"&amp;WEEKNUM(patch[[#This Row],[mergeDate]]))</f>
        <v>16'ww40</v>
      </c>
      <c r="U30" s="7" t="str">
        <f>IF(ISBLANK(patch[[#This Row],[mergeDate]]), U29, MID(YEAR(patch[[#This Row],[mergeDate]]), 3,2)&amp;"'m"&amp;MONTH(patch[[#This Row],[mergeDate]]))</f>
        <v>16'm9</v>
      </c>
      <c r="V30" s="7" t="str">
        <f>IF(ISBLANK(patch[[#This Row],[project]]), "",SUM(patch[[#This Row],[BJ -1 num]:[SH -1 num]]))</f>
        <v/>
      </c>
      <c r="W30" s="7" t="str">
        <f>IF(ISBLANK(patch[[#This Row],[project]]), "",COUNTIFS($A:$A,patch[[#This Row],[number]],$S:$S, "BJ And dev",$AC:$AC, "Review-1"))</f>
        <v/>
      </c>
      <c r="X30" s="7" t="str">
        <f>IF(ISBLANK(patch[[#This Row],[project]]), "",COUNTIFS($A:$A,patch[[#This Row],[number]],$S:$S, "FL And dev",$AC:$AC, "Review-1"))</f>
        <v/>
      </c>
      <c r="Y30" s="7" t="str">
        <f>IF(ISBLANK(patch[[#This Row],[project]]), "",COUNTIFS($A:$A,patch[[#This Row],[number]],$S:$S, "SH And dev",$AC:$AC, "Review-1"))</f>
        <v/>
      </c>
      <c r="Z30" s="7" t="str">
        <f>IF(ISBLANK(patch[[#This Row],[project]]), "",COUNTIFS($A:$A,patch[[#This Row],[number]],$S:$S, "BJ And dev",$AD:$AD, "&lt;&gt;IntegratorValidationComment"))</f>
        <v/>
      </c>
      <c r="AA30" s="7" t="str">
        <f>IF(ISBLANK(patch[[#This Row],[project]]), "",COUNTIFS($A:$A,patch[[#This Row],[number]],$S:$S, "FL And dev",$AD:$AD, "&lt;&gt;IntegratorValidationComment"))</f>
        <v/>
      </c>
      <c r="AB30" s="7" t="str">
        <f>IF(ISBLANK(patch[[#This Row],[project]]), "",COUNTIFS($A:$A,patch[[#This Row],[number]],$S:$S, "SH And dev",$AD:$AD, "&lt;&gt;IntegratorValidationComment"))</f>
        <v/>
      </c>
      <c r="AC30" s="7" t="str">
        <f>IF(OR(ISNUMBER(FIND("Review-1", patch[[#This Row],[comments]])), ISNUMBER(FIND("Approver-1", patch[[#This Row],[comments]]))), "Review-1", "")</f>
        <v/>
      </c>
      <c r="AD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0" s="7">
        <f>IF(ISBLANK(patch[[#This Row],[number]]),AE29,patch[[#This Row],[ifCommon]])</f>
        <v>0</v>
      </c>
    </row>
    <row r="31" spans="1:31">
      <c r="A31" s="151">
        <v>148951</v>
      </c>
      <c r="B31" s="151"/>
      <c r="C31" s="151"/>
      <c r="D31" s="151"/>
      <c r="E31" s="151"/>
      <c r="F31" s="151"/>
      <c r="G31" s="151"/>
      <c r="H31" s="151"/>
      <c r="I31" s="151"/>
      <c r="J31" s="152">
        <v>42643.649594907409</v>
      </c>
      <c r="K31" s="151"/>
      <c r="L31" s="151" t="s">
        <v>61</v>
      </c>
      <c r="M31" s="152">
        <v>42641.833009259259</v>
      </c>
      <c r="N31" s="151" t="s">
        <v>2429</v>
      </c>
      <c r="O31" s="151"/>
      <c r="P31" s="151"/>
      <c r="Q31" s="7" t="str">
        <f>IF(ISBLANK(patch[[#This Row],[OwnerEmail]]),Q30,patch[[#This Row],[OwnerEmail]])</f>
        <v>john.mathew@intel.com</v>
      </c>
      <c r="R31" s="7" t="str">
        <f>_xlfn.IFNA(VLOOKUP(patch[[#This Row],[tmp-owner.email]],OrgTree!$A:$K, 11, 0), "not ICG SWFW")</f>
        <v>FL And dev</v>
      </c>
      <c r="S31" s="7" t="str">
        <f>IF(patch[[#This Row],[reviewer]]=patch[[#This Row],[tmp-owner.email]], "author", _xlfn.IFNA(VLOOKUP(patch[[#This Row],[reviewer]],OrgTree!$A:$K, 11, 0), "not ICG SWFW"))</f>
        <v>author</v>
      </c>
      <c r="T31" s="7" t="str">
        <f>IF(ISBLANK(patch[[#This Row],[mergeDate]]), "", MID(YEAR(patch[[#This Row],[mergeDate]]), 3,2)&amp;"'ww"&amp;WEEKNUM(patch[[#This Row],[mergeDate]]))</f>
        <v>16'ww40</v>
      </c>
      <c r="U31" s="7" t="str">
        <f>IF(ISBLANK(patch[[#This Row],[mergeDate]]), U30, MID(YEAR(patch[[#This Row],[mergeDate]]), 3,2)&amp;"'m"&amp;MONTH(patch[[#This Row],[mergeDate]]))</f>
        <v>16'm9</v>
      </c>
      <c r="V31" s="7" t="str">
        <f>IF(ISBLANK(patch[[#This Row],[project]]), "",SUM(patch[[#This Row],[BJ -1 num]:[SH -1 num]]))</f>
        <v/>
      </c>
      <c r="W31" s="7" t="str">
        <f>IF(ISBLANK(patch[[#This Row],[project]]), "",COUNTIFS($A:$A,patch[[#This Row],[number]],$S:$S, "BJ And dev",$AC:$AC, "Review-1"))</f>
        <v/>
      </c>
      <c r="X31" s="7" t="str">
        <f>IF(ISBLANK(patch[[#This Row],[project]]), "",COUNTIFS($A:$A,patch[[#This Row],[number]],$S:$S, "FL And dev",$AC:$AC, "Review-1"))</f>
        <v/>
      </c>
      <c r="Y31" s="7" t="str">
        <f>IF(ISBLANK(patch[[#This Row],[project]]), "",COUNTIFS($A:$A,patch[[#This Row],[number]],$S:$S, "SH And dev",$AC:$AC, "Review-1"))</f>
        <v/>
      </c>
      <c r="Z31" s="7" t="str">
        <f>IF(ISBLANK(patch[[#This Row],[project]]), "",COUNTIFS($A:$A,patch[[#This Row],[number]],$S:$S, "BJ And dev",$AD:$AD, "&lt;&gt;IntegratorValidationComment"))</f>
        <v/>
      </c>
      <c r="AA31" s="7" t="str">
        <f>IF(ISBLANK(patch[[#This Row],[project]]), "",COUNTIFS($A:$A,patch[[#This Row],[number]],$S:$S, "FL And dev",$AD:$AD, "&lt;&gt;IntegratorValidationComment"))</f>
        <v/>
      </c>
      <c r="AB31" s="7" t="str">
        <f>IF(ISBLANK(patch[[#This Row],[project]]), "",COUNTIFS($A:$A,patch[[#This Row],[number]],$S:$S, "SH And dev",$AD:$AD, "&lt;&gt;IntegratorValidationComment"))</f>
        <v/>
      </c>
      <c r="AC31" s="7" t="str">
        <f>IF(OR(ISNUMBER(FIND("Review-1", patch[[#This Row],[comments]])), ISNUMBER(FIND("Approver-1", patch[[#This Row],[comments]]))), "Review-1", "")</f>
        <v/>
      </c>
      <c r="AD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1" s="7">
        <f>IF(ISBLANK(patch[[#This Row],[number]]),AE30,patch[[#This Row],[ifCommon]])</f>
        <v>0</v>
      </c>
    </row>
    <row r="32" spans="1:31">
      <c r="A32" s="151">
        <v>148951</v>
      </c>
      <c r="B32" s="151"/>
      <c r="C32" s="151"/>
      <c r="D32" s="151"/>
      <c r="E32" s="151"/>
      <c r="F32" s="151"/>
      <c r="G32" s="151"/>
      <c r="H32" s="151"/>
      <c r="I32" s="151"/>
      <c r="J32" s="152">
        <v>42643.649594907409</v>
      </c>
      <c r="K32" s="151"/>
      <c r="L32" s="151" t="s">
        <v>61</v>
      </c>
      <c r="M32" s="152">
        <v>42641.833124999997</v>
      </c>
      <c r="N32" s="151" t="s">
        <v>27</v>
      </c>
      <c r="O32" s="151"/>
      <c r="P32" s="151"/>
      <c r="Q32" s="7" t="str">
        <f>IF(ISBLANK(patch[[#This Row],[OwnerEmail]]),Q31,patch[[#This Row],[OwnerEmail]])</f>
        <v>john.mathew@intel.com</v>
      </c>
      <c r="R32" s="7" t="str">
        <f>_xlfn.IFNA(VLOOKUP(patch[[#This Row],[tmp-owner.email]],OrgTree!$A:$K, 11, 0), "not ICG SWFW")</f>
        <v>FL And dev</v>
      </c>
      <c r="S32" s="7" t="str">
        <f>IF(patch[[#This Row],[reviewer]]=patch[[#This Row],[tmp-owner.email]], "author", _xlfn.IFNA(VLOOKUP(patch[[#This Row],[reviewer]],OrgTree!$A:$K, 11, 0), "not ICG SWFW"))</f>
        <v>author</v>
      </c>
      <c r="T32" s="7" t="str">
        <f>IF(ISBLANK(patch[[#This Row],[mergeDate]]), "", MID(YEAR(patch[[#This Row],[mergeDate]]), 3,2)&amp;"'ww"&amp;WEEKNUM(patch[[#This Row],[mergeDate]]))</f>
        <v>16'ww40</v>
      </c>
      <c r="U32" s="7" t="str">
        <f>IF(ISBLANK(patch[[#This Row],[mergeDate]]), U31, MID(YEAR(patch[[#This Row],[mergeDate]]), 3,2)&amp;"'m"&amp;MONTH(patch[[#This Row],[mergeDate]]))</f>
        <v>16'm9</v>
      </c>
      <c r="V32" s="7" t="str">
        <f>IF(ISBLANK(patch[[#This Row],[project]]), "",SUM(patch[[#This Row],[BJ -1 num]:[SH -1 num]]))</f>
        <v/>
      </c>
      <c r="W32" s="7" t="str">
        <f>IF(ISBLANK(patch[[#This Row],[project]]), "",COUNTIFS($A:$A,patch[[#This Row],[number]],$S:$S, "BJ And dev",$AC:$AC, "Review-1"))</f>
        <v/>
      </c>
      <c r="X32" s="7" t="str">
        <f>IF(ISBLANK(patch[[#This Row],[project]]), "",COUNTIFS($A:$A,patch[[#This Row],[number]],$S:$S, "FL And dev",$AC:$AC, "Review-1"))</f>
        <v/>
      </c>
      <c r="Y32" s="7" t="str">
        <f>IF(ISBLANK(patch[[#This Row],[project]]), "",COUNTIFS($A:$A,patch[[#This Row],[number]],$S:$S, "SH And dev",$AC:$AC, "Review-1"))</f>
        <v/>
      </c>
      <c r="Z32" s="7" t="str">
        <f>IF(ISBLANK(patch[[#This Row],[project]]), "",COUNTIFS($A:$A,patch[[#This Row],[number]],$S:$S, "BJ And dev",$AD:$AD, "&lt;&gt;IntegratorValidationComment"))</f>
        <v/>
      </c>
      <c r="AA32" s="7" t="str">
        <f>IF(ISBLANK(patch[[#This Row],[project]]), "",COUNTIFS($A:$A,patch[[#This Row],[number]],$S:$S, "FL And dev",$AD:$AD, "&lt;&gt;IntegratorValidationComment"))</f>
        <v/>
      </c>
      <c r="AB32" s="7" t="str">
        <f>IF(ISBLANK(patch[[#This Row],[project]]), "",COUNTIFS($A:$A,patch[[#This Row],[number]],$S:$S, "SH And dev",$AD:$AD, "&lt;&gt;IntegratorValidationComment"))</f>
        <v/>
      </c>
      <c r="AC32" s="7" t="str">
        <f>IF(OR(ISNUMBER(FIND("Review-1", patch[[#This Row],[comments]])), ISNUMBER(FIND("Approver-1", patch[[#This Row],[comments]]))), "Review-1", "")</f>
        <v/>
      </c>
      <c r="AD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2" s="7">
        <f>IF(ISBLANK(patch[[#This Row],[number]]),AE31,patch[[#This Row],[ifCommon]])</f>
        <v>0</v>
      </c>
    </row>
    <row r="33" spans="1:31">
      <c r="A33" s="151">
        <v>148951</v>
      </c>
      <c r="B33" s="151"/>
      <c r="C33" s="151"/>
      <c r="D33" s="151"/>
      <c r="E33" s="151"/>
      <c r="F33" s="151"/>
      <c r="G33" s="151"/>
      <c r="H33" s="151"/>
      <c r="I33" s="151"/>
      <c r="J33" s="152">
        <v>42643.649594907409</v>
      </c>
      <c r="K33" s="151"/>
      <c r="L33" s="151" t="s">
        <v>61</v>
      </c>
      <c r="M33" s="152">
        <v>42641.863576388889</v>
      </c>
      <c r="N33" s="151" t="s">
        <v>1829</v>
      </c>
      <c r="O33" s="151"/>
      <c r="P33" s="151"/>
      <c r="Q33" s="7" t="str">
        <f>IF(ISBLANK(patch[[#This Row],[OwnerEmail]]),Q32,patch[[#This Row],[OwnerEmail]])</f>
        <v>john.mathew@intel.com</v>
      </c>
      <c r="R33" s="7" t="str">
        <f>_xlfn.IFNA(VLOOKUP(patch[[#This Row],[tmp-owner.email]],OrgTree!$A:$K, 11, 0), "not ICG SWFW")</f>
        <v>FL And dev</v>
      </c>
      <c r="S33" s="7" t="str">
        <f>IF(patch[[#This Row],[reviewer]]=patch[[#This Row],[tmp-owner.email]], "author", _xlfn.IFNA(VLOOKUP(patch[[#This Row],[reviewer]],OrgTree!$A:$K, 11, 0), "not ICG SWFW"))</f>
        <v>author</v>
      </c>
      <c r="T33" s="7" t="str">
        <f>IF(ISBLANK(patch[[#This Row],[mergeDate]]), "", MID(YEAR(patch[[#This Row],[mergeDate]]), 3,2)&amp;"'ww"&amp;WEEKNUM(patch[[#This Row],[mergeDate]]))</f>
        <v>16'ww40</v>
      </c>
      <c r="U33" s="7" t="str">
        <f>IF(ISBLANK(patch[[#This Row],[mergeDate]]), U32, MID(YEAR(patch[[#This Row],[mergeDate]]), 3,2)&amp;"'m"&amp;MONTH(patch[[#This Row],[mergeDate]]))</f>
        <v>16'm9</v>
      </c>
      <c r="V33" s="7" t="str">
        <f>IF(ISBLANK(patch[[#This Row],[project]]), "",SUM(patch[[#This Row],[BJ -1 num]:[SH -1 num]]))</f>
        <v/>
      </c>
      <c r="W33" s="7" t="str">
        <f>IF(ISBLANK(patch[[#This Row],[project]]), "",COUNTIFS($A:$A,patch[[#This Row],[number]],$S:$S, "BJ And dev",$AC:$AC, "Review-1"))</f>
        <v/>
      </c>
      <c r="X33" s="7" t="str">
        <f>IF(ISBLANK(patch[[#This Row],[project]]), "",COUNTIFS($A:$A,patch[[#This Row],[number]],$S:$S, "FL And dev",$AC:$AC, "Review-1"))</f>
        <v/>
      </c>
      <c r="Y33" s="7" t="str">
        <f>IF(ISBLANK(patch[[#This Row],[project]]), "",COUNTIFS($A:$A,patch[[#This Row],[number]],$S:$S, "SH And dev",$AC:$AC, "Review-1"))</f>
        <v/>
      </c>
      <c r="Z33" s="7" t="str">
        <f>IF(ISBLANK(patch[[#This Row],[project]]), "",COUNTIFS($A:$A,patch[[#This Row],[number]],$S:$S, "BJ And dev",$AD:$AD, "&lt;&gt;IntegratorValidationComment"))</f>
        <v/>
      </c>
      <c r="AA33" s="7" t="str">
        <f>IF(ISBLANK(patch[[#This Row],[project]]), "",COUNTIFS($A:$A,patch[[#This Row],[number]],$S:$S, "FL And dev",$AD:$AD, "&lt;&gt;IntegratorValidationComment"))</f>
        <v/>
      </c>
      <c r="AB33" s="7" t="str">
        <f>IF(ISBLANK(patch[[#This Row],[project]]), "",COUNTIFS($A:$A,patch[[#This Row],[number]],$S:$S, "SH And dev",$AD:$AD, "&lt;&gt;IntegratorValidationComment"))</f>
        <v/>
      </c>
      <c r="AC33" s="7" t="str">
        <f>IF(OR(ISNUMBER(FIND("Review-1", patch[[#This Row],[comments]])), ISNUMBER(FIND("Approver-1", patch[[#This Row],[comments]]))), "Review-1", "")</f>
        <v/>
      </c>
      <c r="AD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3" s="7">
        <f>IF(ISBLANK(patch[[#This Row],[number]]),AE32,patch[[#This Row],[ifCommon]])</f>
        <v>0</v>
      </c>
    </row>
    <row r="34" spans="1:31">
      <c r="A34" s="151">
        <v>148951</v>
      </c>
      <c r="B34" s="151"/>
      <c r="C34" s="151"/>
      <c r="D34" s="151"/>
      <c r="E34" s="151"/>
      <c r="F34" s="151"/>
      <c r="G34" s="151"/>
      <c r="H34" s="151"/>
      <c r="I34" s="151"/>
      <c r="J34" s="152">
        <v>42643.649594907409</v>
      </c>
      <c r="K34" s="151"/>
      <c r="L34" s="151" t="s">
        <v>61</v>
      </c>
      <c r="M34" s="152">
        <v>42641.863576388889</v>
      </c>
      <c r="N34" s="151" t="s">
        <v>2450</v>
      </c>
      <c r="O34" s="151"/>
      <c r="P34" s="151"/>
      <c r="Q34" s="7" t="str">
        <f>IF(ISBLANK(patch[[#This Row],[OwnerEmail]]),Q33,patch[[#This Row],[OwnerEmail]])</f>
        <v>john.mathew@intel.com</v>
      </c>
      <c r="R34" s="7" t="str">
        <f>_xlfn.IFNA(VLOOKUP(patch[[#This Row],[tmp-owner.email]],OrgTree!$A:$K, 11, 0), "not ICG SWFW")</f>
        <v>FL And dev</v>
      </c>
      <c r="S34" s="7" t="str">
        <f>IF(patch[[#This Row],[reviewer]]=patch[[#This Row],[tmp-owner.email]], "author", _xlfn.IFNA(VLOOKUP(patch[[#This Row],[reviewer]],OrgTree!$A:$K, 11, 0), "not ICG SWFW"))</f>
        <v>author</v>
      </c>
      <c r="T34" s="7" t="str">
        <f>IF(ISBLANK(patch[[#This Row],[mergeDate]]), "", MID(YEAR(patch[[#This Row],[mergeDate]]), 3,2)&amp;"'ww"&amp;WEEKNUM(patch[[#This Row],[mergeDate]]))</f>
        <v>16'ww40</v>
      </c>
      <c r="U34" s="7" t="str">
        <f>IF(ISBLANK(patch[[#This Row],[mergeDate]]), U33, MID(YEAR(patch[[#This Row],[mergeDate]]), 3,2)&amp;"'m"&amp;MONTH(patch[[#This Row],[mergeDate]]))</f>
        <v>16'm9</v>
      </c>
      <c r="V34" s="7" t="str">
        <f>IF(ISBLANK(patch[[#This Row],[project]]), "",SUM(patch[[#This Row],[BJ -1 num]:[SH -1 num]]))</f>
        <v/>
      </c>
      <c r="W34" s="7" t="str">
        <f>IF(ISBLANK(patch[[#This Row],[project]]), "",COUNTIFS($A:$A,patch[[#This Row],[number]],$S:$S, "BJ And dev",$AC:$AC, "Review-1"))</f>
        <v/>
      </c>
      <c r="X34" s="7" t="str">
        <f>IF(ISBLANK(patch[[#This Row],[project]]), "",COUNTIFS($A:$A,patch[[#This Row],[number]],$S:$S, "FL And dev",$AC:$AC, "Review-1"))</f>
        <v/>
      </c>
      <c r="Y34" s="7" t="str">
        <f>IF(ISBLANK(patch[[#This Row],[project]]), "",COUNTIFS($A:$A,patch[[#This Row],[number]],$S:$S, "SH And dev",$AC:$AC, "Review-1"))</f>
        <v/>
      </c>
      <c r="Z34" s="7" t="str">
        <f>IF(ISBLANK(patch[[#This Row],[project]]), "",COUNTIFS($A:$A,patch[[#This Row],[number]],$S:$S, "BJ And dev",$AD:$AD, "&lt;&gt;IntegratorValidationComment"))</f>
        <v/>
      </c>
      <c r="AA34" s="7" t="str">
        <f>IF(ISBLANK(patch[[#This Row],[project]]), "",COUNTIFS($A:$A,patch[[#This Row],[number]],$S:$S, "FL And dev",$AD:$AD, "&lt;&gt;IntegratorValidationComment"))</f>
        <v/>
      </c>
      <c r="AB34" s="7" t="str">
        <f>IF(ISBLANK(patch[[#This Row],[project]]), "",COUNTIFS($A:$A,patch[[#This Row],[number]],$S:$S, "SH And dev",$AD:$AD, "&lt;&gt;IntegratorValidationComment"))</f>
        <v/>
      </c>
      <c r="AC34" s="7" t="str">
        <f>IF(OR(ISNUMBER(FIND("Review-1", patch[[#This Row],[comments]])), ISNUMBER(FIND("Approver-1", patch[[#This Row],[comments]]))), "Review-1", "")</f>
        <v/>
      </c>
      <c r="AD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4" s="7">
        <f>IF(ISBLANK(patch[[#This Row],[number]]),AE33,patch[[#This Row],[ifCommon]])</f>
        <v>0</v>
      </c>
    </row>
    <row r="35" spans="1:31">
      <c r="A35" s="151">
        <v>148951</v>
      </c>
      <c r="B35" s="151"/>
      <c r="C35" s="151"/>
      <c r="D35" s="151"/>
      <c r="E35" s="151"/>
      <c r="F35" s="151"/>
      <c r="G35" s="151"/>
      <c r="H35" s="151"/>
      <c r="I35" s="151"/>
      <c r="J35" s="152">
        <v>42643.649594907409</v>
      </c>
      <c r="K35" s="151"/>
      <c r="L35" s="151" t="s">
        <v>61</v>
      </c>
      <c r="M35" s="152">
        <v>42641.863946759258</v>
      </c>
      <c r="N35" s="151" t="s">
        <v>48</v>
      </c>
      <c r="O35" s="151"/>
      <c r="P35" s="151"/>
      <c r="Q35" s="7" t="str">
        <f>IF(ISBLANK(patch[[#This Row],[OwnerEmail]]),Q34,patch[[#This Row],[OwnerEmail]])</f>
        <v>john.mathew@intel.com</v>
      </c>
      <c r="R35" s="7" t="str">
        <f>_xlfn.IFNA(VLOOKUP(patch[[#This Row],[tmp-owner.email]],OrgTree!$A:$K, 11, 0), "not ICG SWFW")</f>
        <v>FL And dev</v>
      </c>
      <c r="S35" s="7" t="str">
        <f>IF(patch[[#This Row],[reviewer]]=patch[[#This Row],[tmp-owner.email]], "author", _xlfn.IFNA(VLOOKUP(patch[[#This Row],[reviewer]],OrgTree!$A:$K, 11, 0), "not ICG SWFW"))</f>
        <v>author</v>
      </c>
      <c r="T35" s="7" t="str">
        <f>IF(ISBLANK(patch[[#This Row],[mergeDate]]), "", MID(YEAR(patch[[#This Row],[mergeDate]]), 3,2)&amp;"'ww"&amp;WEEKNUM(patch[[#This Row],[mergeDate]]))</f>
        <v>16'ww40</v>
      </c>
      <c r="U35" s="7" t="str">
        <f>IF(ISBLANK(patch[[#This Row],[mergeDate]]), U34, MID(YEAR(patch[[#This Row],[mergeDate]]), 3,2)&amp;"'m"&amp;MONTH(patch[[#This Row],[mergeDate]]))</f>
        <v>16'm9</v>
      </c>
      <c r="V35" s="7" t="str">
        <f>IF(ISBLANK(patch[[#This Row],[project]]), "",SUM(patch[[#This Row],[BJ -1 num]:[SH -1 num]]))</f>
        <v/>
      </c>
      <c r="W35" s="7" t="str">
        <f>IF(ISBLANK(patch[[#This Row],[project]]), "",COUNTIFS($A:$A,patch[[#This Row],[number]],$S:$S, "BJ And dev",$AC:$AC, "Review-1"))</f>
        <v/>
      </c>
      <c r="X35" s="7" t="str">
        <f>IF(ISBLANK(patch[[#This Row],[project]]), "",COUNTIFS($A:$A,patch[[#This Row],[number]],$S:$S, "FL And dev",$AC:$AC, "Review-1"))</f>
        <v/>
      </c>
      <c r="Y35" s="7" t="str">
        <f>IF(ISBLANK(patch[[#This Row],[project]]), "",COUNTIFS($A:$A,patch[[#This Row],[number]],$S:$S, "SH And dev",$AC:$AC, "Review-1"))</f>
        <v/>
      </c>
      <c r="Z35" s="7" t="str">
        <f>IF(ISBLANK(patch[[#This Row],[project]]), "",COUNTIFS($A:$A,patch[[#This Row],[number]],$S:$S, "BJ And dev",$AD:$AD, "&lt;&gt;IntegratorValidationComment"))</f>
        <v/>
      </c>
      <c r="AA35" s="7" t="str">
        <f>IF(ISBLANK(patch[[#This Row],[project]]), "",COUNTIFS($A:$A,patch[[#This Row],[number]],$S:$S, "FL And dev",$AD:$AD, "&lt;&gt;IntegratorValidationComment"))</f>
        <v/>
      </c>
      <c r="AB35" s="7" t="str">
        <f>IF(ISBLANK(patch[[#This Row],[project]]), "",COUNTIFS($A:$A,patch[[#This Row],[number]],$S:$S, "SH And dev",$AD:$AD, "&lt;&gt;IntegratorValidationComment"))</f>
        <v/>
      </c>
      <c r="AC35" s="7" t="str">
        <f>IF(OR(ISNUMBER(FIND("Review-1", patch[[#This Row],[comments]])), ISNUMBER(FIND("Approver-1", patch[[#This Row],[comments]]))), "Review-1", "")</f>
        <v/>
      </c>
      <c r="AD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5" s="7">
        <f>IF(ISBLANK(patch[[#This Row],[number]]),AE34,patch[[#This Row],[ifCommon]])</f>
        <v>0</v>
      </c>
    </row>
    <row r="36" spans="1:31">
      <c r="A36" s="151">
        <v>148951</v>
      </c>
      <c r="B36" s="151"/>
      <c r="C36" s="151"/>
      <c r="D36" s="151"/>
      <c r="E36" s="151"/>
      <c r="F36" s="151"/>
      <c r="G36" s="151"/>
      <c r="H36" s="151"/>
      <c r="I36" s="151"/>
      <c r="J36" s="152">
        <v>42643.649594907409</v>
      </c>
      <c r="K36" s="151"/>
      <c r="L36" s="151" t="s">
        <v>32</v>
      </c>
      <c r="M36" s="152">
        <v>42642.371747685182</v>
      </c>
      <c r="N36" s="151" t="s">
        <v>48</v>
      </c>
      <c r="O36" s="151"/>
      <c r="P36" s="151"/>
      <c r="Q36" s="7" t="str">
        <f>IF(ISBLANK(patch[[#This Row],[OwnerEmail]]),Q35,patch[[#This Row],[OwnerEmail]])</f>
        <v>john.mathew@intel.com</v>
      </c>
      <c r="R36" s="7" t="str">
        <f>_xlfn.IFNA(VLOOKUP(patch[[#This Row],[tmp-owner.email]],OrgTree!$A:$K, 11, 0), "not ICG SWFW")</f>
        <v>FL And dev</v>
      </c>
      <c r="S36" s="7" t="str">
        <f>IF(patch[[#This Row],[reviewer]]=patch[[#This Row],[tmp-owner.email]], "author", _xlfn.IFNA(VLOOKUP(patch[[#This Row],[reviewer]],OrgTree!$A:$K, 11, 0), "not ICG SWFW"))</f>
        <v>BJ And dev</v>
      </c>
      <c r="T36" s="7" t="str">
        <f>IF(ISBLANK(patch[[#This Row],[mergeDate]]), "", MID(YEAR(patch[[#This Row],[mergeDate]]), 3,2)&amp;"'ww"&amp;WEEKNUM(patch[[#This Row],[mergeDate]]))</f>
        <v>16'ww40</v>
      </c>
      <c r="U36" s="7" t="str">
        <f>IF(ISBLANK(patch[[#This Row],[mergeDate]]), U35, MID(YEAR(patch[[#This Row],[mergeDate]]), 3,2)&amp;"'m"&amp;MONTH(patch[[#This Row],[mergeDate]]))</f>
        <v>16'm9</v>
      </c>
      <c r="V36" s="7" t="str">
        <f>IF(ISBLANK(patch[[#This Row],[project]]), "",SUM(patch[[#This Row],[BJ -1 num]:[SH -1 num]]))</f>
        <v/>
      </c>
      <c r="W36" s="7" t="str">
        <f>IF(ISBLANK(patch[[#This Row],[project]]), "",COUNTIFS($A:$A,patch[[#This Row],[number]],$S:$S, "BJ And dev",$AC:$AC, "Review-1"))</f>
        <v/>
      </c>
      <c r="X36" s="7" t="str">
        <f>IF(ISBLANK(patch[[#This Row],[project]]), "",COUNTIFS($A:$A,patch[[#This Row],[number]],$S:$S, "FL And dev",$AC:$AC, "Review-1"))</f>
        <v/>
      </c>
      <c r="Y36" s="7" t="str">
        <f>IF(ISBLANK(patch[[#This Row],[project]]), "",COUNTIFS($A:$A,patch[[#This Row],[number]],$S:$S, "SH And dev",$AC:$AC, "Review-1"))</f>
        <v/>
      </c>
      <c r="Z36" s="7" t="str">
        <f>IF(ISBLANK(patch[[#This Row],[project]]), "",COUNTIFS($A:$A,patch[[#This Row],[number]],$S:$S, "BJ And dev",$AD:$AD, "&lt;&gt;IntegratorValidationComment"))</f>
        <v/>
      </c>
      <c r="AA36" s="7" t="str">
        <f>IF(ISBLANK(patch[[#This Row],[project]]), "",COUNTIFS($A:$A,patch[[#This Row],[number]],$S:$S, "FL And dev",$AD:$AD, "&lt;&gt;IntegratorValidationComment"))</f>
        <v/>
      </c>
      <c r="AB36" s="7" t="str">
        <f>IF(ISBLANK(patch[[#This Row],[project]]), "",COUNTIFS($A:$A,patch[[#This Row],[number]],$S:$S, "SH And dev",$AD:$AD, "&lt;&gt;IntegratorValidationComment"))</f>
        <v/>
      </c>
      <c r="AC36" s="7" t="str">
        <f>IF(OR(ISNUMBER(FIND("Review-1", patch[[#This Row],[comments]])), ISNUMBER(FIND("Approver-1", patch[[#This Row],[comments]]))), "Review-1", "")</f>
        <v/>
      </c>
      <c r="AD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6" s="7">
        <f>IF(ISBLANK(patch[[#This Row],[number]]),AE35,patch[[#This Row],[ifCommon]])</f>
        <v>0</v>
      </c>
    </row>
    <row r="37" spans="1:31">
      <c r="A37" s="151">
        <v>148951</v>
      </c>
      <c r="B37" s="151"/>
      <c r="C37" s="151"/>
      <c r="D37" s="151"/>
      <c r="E37" s="151"/>
      <c r="F37" s="151"/>
      <c r="G37" s="151"/>
      <c r="H37" s="151"/>
      <c r="I37" s="151"/>
      <c r="J37" s="152">
        <v>42643.649594907409</v>
      </c>
      <c r="K37" s="151"/>
      <c r="L37" s="151" t="s">
        <v>59</v>
      </c>
      <c r="M37" s="152">
        <v>42642.376643518517</v>
      </c>
      <c r="N37" s="151" t="s">
        <v>2593</v>
      </c>
      <c r="O37" s="151"/>
      <c r="P37" s="151"/>
      <c r="Q37" s="7" t="str">
        <f>IF(ISBLANK(patch[[#This Row],[OwnerEmail]]),Q36,patch[[#This Row],[OwnerEmail]])</f>
        <v>john.mathew@intel.com</v>
      </c>
      <c r="R37" s="7" t="str">
        <f>_xlfn.IFNA(VLOOKUP(patch[[#This Row],[tmp-owner.email]],OrgTree!$A:$K, 11, 0), "not ICG SWFW")</f>
        <v>FL And dev</v>
      </c>
      <c r="S37" s="7" t="str">
        <f>IF(patch[[#This Row],[reviewer]]=patch[[#This Row],[tmp-owner.email]], "author", _xlfn.IFNA(VLOOKUP(patch[[#This Row],[reviewer]],OrgTree!$A:$K, 11, 0), "not ICG SWFW"))</f>
        <v>BJ And dev</v>
      </c>
      <c r="T37" s="7" t="str">
        <f>IF(ISBLANK(patch[[#This Row],[mergeDate]]), "", MID(YEAR(patch[[#This Row],[mergeDate]]), 3,2)&amp;"'ww"&amp;WEEKNUM(patch[[#This Row],[mergeDate]]))</f>
        <v>16'ww40</v>
      </c>
      <c r="U37" s="7" t="str">
        <f>IF(ISBLANK(patch[[#This Row],[mergeDate]]), U36, MID(YEAR(patch[[#This Row],[mergeDate]]), 3,2)&amp;"'m"&amp;MONTH(patch[[#This Row],[mergeDate]]))</f>
        <v>16'm9</v>
      </c>
      <c r="V37" s="7" t="str">
        <f>IF(ISBLANK(patch[[#This Row],[project]]), "",SUM(patch[[#This Row],[BJ -1 num]:[SH -1 num]]))</f>
        <v/>
      </c>
      <c r="W37" s="7" t="str">
        <f>IF(ISBLANK(patch[[#This Row],[project]]), "",COUNTIFS($A:$A,patch[[#This Row],[number]],$S:$S, "BJ And dev",$AC:$AC, "Review-1"))</f>
        <v/>
      </c>
      <c r="X37" s="7" t="str">
        <f>IF(ISBLANK(patch[[#This Row],[project]]), "",COUNTIFS($A:$A,patch[[#This Row],[number]],$S:$S, "FL And dev",$AC:$AC, "Review-1"))</f>
        <v/>
      </c>
      <c r="Y37" s="7" t="str">
        <f>IF(ISBLANK(patch[[#This Row],[project]]), "",COUNTIFS($A:$A,patch[[#This Row],[number]],$S:$S, "SH And dev",$AC:$AC, "Review-1"))</f>
        <v/>
      </c>
      <c r="Z37" s="7" t="str">
        <f>IF(ISBLANK(patch[[#This Row],[project]]), "",COUNTIFS($A:$A,patch[[#This Row],[number]],$S:$S, "BJ And dev",$AD:$AD, "&lt;&gt;IntegratorValidationComment"))</f>
        <v/>
      </c>
      <c r="AA37" s="7" t="str">
        <f>IF(ISBLANK(patch[[#This Row],[project]]), "",COUNTIFS($A:$A,patch[[#This Row],[number]],$S:$S, "FL And dev",$AD:$AD, "&lt;&gt;IntegratorValidationComment"))</f>
        <v/>
      </c>
      <c r="AB37" s="7" t="str">
        <f>IF(ISBLANK(patch[[#This Row],[project]]), "",COUNTIFS($A:$A,patch[[#This Row],[number]],$S:$S, "SH And dev",$AD:$AD, "&lt;&gt;IntegratorValidationComment"))</f>
        <v/>
      </c>
      <c r="AC37" s="7" t="str">
        <f>IF(OR(ISNUMBER(FIND("Review-1", patch[[#This Row],[comments]])), ISNUMBER(FIND("Approver-1", patch[[#This Row],[comments]]))), "Review-1", "")</f>
        <v/>
      </c>
      <c r="AD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7" s="7">
        <f>IF(ISBLANK(patch[[#This Row],[number]]),AE36,patch[[#This Row],[ifCommon]])</f>
        <v>0</v>
      </c>
    </row>
    <row r="38" spans="1:31">
      <c r="A38" s="151">
        <v>148951</v>
      </c>
      <c r="B38" s="151"/>
      <c r="C38" s="151"/>
      <c r="D38" s="151"/>
      <c r="E38" s="151"/>
      <c r="F38" s="151"/>
      <c r="G38" s="151"/>
      <c r="H38" s="151"/>
      <c r="I38" s="151"/>
      <c r="J38" s="152">
        <v>42643.649594907409</v>
      </c>
      <c r="K38" s="151"/>
      <c r="L38" s="151" t="s">
        <v>59</v>
      </c>
      <c r="M38" s="152">
        <v>42642.39471064815</v>
      </c>
      <c r="N38" s="151" t="s">
        <v>2594</v>
      </c>
      <c r="O38" s="151"/>
      <c r="P38" s="151"/>
      <c r="Q38" s="7" t="str">
        <f>IF(ISBLANK(patch[[#This Row],[OwnerEmail]]),Q37,patch[[#This Row],[OwnerEmail]])</f>
        <v>john.mathew@intel.com</v>
      </c>
      <c r="R38" s="7" t="str">
        <f>_xlfn.IFNA(VLOOKUP(patch[[#This Row],[tmp-owner.email]],OrgTree!$A:$K, 11, 0), "not ICG SWFW")</f>
        <v>FL And dev</v>
      </c>
      <c r="S38" s="7" t="str">
        <f>IF(patch[[#This Row],[reviewer]]=patch[[#This Row],[tmp-owner.email]], "author", _xlfn.IFNA(VLOOKUP(patch[[#This Row],[reviewer]],OrgTree!$A:$K, 11, 0), "not ICG SWFW"))</f>
        <v>BJ And dev</v>
      </c>
      <c r="T38" s="7" t="str">
        <f>IF(ISBLANK(patch[[#This Row],[mergeDate]]), "", MID(YEAR(patch[[#This Row],[mergeDate]]), 3,2)&amp;"'ww"&amp;WEEKNUM(patch[[#This Row],[mergeDate]]))</f>
        <v>16'ww40</v>
      </c>
      <c r="U38" s="7" t="str">
        <f>IF(ISBLANK(patch[[#This Row],[mergeDate]]), U37, MID(YEAR(patch[[#This Row],[mergeDate]]), 3,2)&amp;"'m"&amp;MONTH(patch[[#This Row],[mergeDate]]))</f>
        <v>16'm9</v>
      </c>
      <c r="V38" s="7" t="str">
        <f>IF(ISBLANK(patch[[#This Row],[project]]), "",SUM(patch[[#This Row],[BJ -1 num]:[SH -1 num]]))</f>
        <v/>
      </c>
      <c r="W38" s="7" t="str">
        <f>IF(ISBLANK(patch[[#This Row],[project]]), "",COUNTIFS($A:$A,patch[[#This Row],[number]],$S:$S, "BJ And dev",$AC:$AC, "Review-1"))</f>
        <v/>
      </c>
      <c r="X38" s="7" t="str">
        <f>IF(ISBLANK(patch[[#This Row],[project]]), "",COUNTIFS($A:$A,patch[[#This Row],[number]],$S:$S, "FL And dev",$AC:$AC, "Review-1"))</f>
        <v/>
      </c>
      <c r="Y38" s="7" t="str">
        <f>IF(ISBLANK(patch[[#This Row],[project]]), "",COUNTIFS($A:$A,patch[[#This Row],[number]],$S:$S, "SH And dev",$AC:$AC, "Review-1"))</f>
        <v/>
      </c>
      <c r="Z38" s="7" t="str">
        <f>IF(ISBLANK(patch[[#This Row],[project]]), "",COUNTIFS($A:$A,patch[[#This Row],[number]],$S:$S, "BJ And dev",$AD:$AD, "&lt;&gt;IntegratorValidationComment"))</f>
        <v/>
      </c>
      <c r="AA38" s="7" t="str">
        <f>IF(ISBLANK(patch[[#This Row],[project]]), "",COUNTIFS($A:$A,patch[[#This Row],[number]],$S:$S, "FL And dev",$AD:$AD, "&lt;&gt;IntegratorValidationComment"))</f>
        <v/>
      </c>
      <c r="AB38" s="7" t="str">
        <f>IF(ISBLANK(patch[[#This Row],[project]]), "",COUNTIFS($A:$A,patch[[#This Row],[number]],$S:$S, "SH And dev",$AD:$AD, "&lt;&gt;IntegratorValidationComment"))</f>
        <v/>
      </c>
      <c r="AC38" s="7" t="str">
        <f>IF(OR(ISNUMBER(FIND("Review-1", patch[[#This Row],[comments]])), ISNUMBER(FIND("Approver-1", patch[[#This Row],[comments]]))), "Review-1", "")</f>
        <v/>
      </c>
      <c r="AD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8" s="7">
        <f>IF(ISBLANK(patch[[#This Row],[number]]),AE37,patch[[#This Row],[ifCommon]])</f>
        <v>0</v>
      </c>
    </row>
    <row r="39" spans="1:31">
      <c r="A39" s="151">
        <v>148951</v>
      </c>
      <c r="B39" s="151"/>
      <c r="C39" s="151"/>
      <c r="D39" s="151"/>
      <c r="E39" s="151"/>
      <c r="F39" s="151"/>
      <c r="G39" s="151"/>
      <c r="H39" s="151"/>
      <c r="I39" s="152"/>
      <c r="J39" s="152">
        <v>42643.649594907409</v>
      </c>
      <c r="K39" s="151"/>
      <c r="L39" s="151" t="s">
        <v>59</v>
      </c>
      <c r="M39" s="152">
        <v>42642.577962962961</v>
      </c>
      <c r="N39" s="151" t="s">
        <v>1831</v>
      </c>
      <c r="O39" s="151"/>
      <c r="P39" s="151"/>
      <c r="Q39" s="7" t="str">
        <f>IF(ISBLANK(patch[[#This Row],[OwnerEmail]]),Q38,patch[[#This Row],[OwnerEmail]])</f>
        <v>john.mathew@intel.com</v>
      </c>
      <c r="R39" s="7" t="str">
        <f>_xlfn.IFNA(VLOOKUP(patch[[#This Row],[tmp-owner.email]],OrgTree!$A:$K, 11, 0), "not ICG SWFW")</f>
        <v>FL And dev</v>
      </c>
      <c r="S39" s="7" t="str">
        <f>IF(patch[[#This Row],[reviewer]]=patch[[#This Row],[tmp-owner.email]], "author", _xlfn.IFNA(VLOOKUP(patch[[#This Row],[reviewer]],OrgTree!$A:$K, 11, 0), "not ICG SWFW"))</f>
        <v>BJ And dev</v>
      </c>
      <c r="T39" s="7" t="str">
        <f>IF(ISBLANK(patch[[#This Row],[mergeDate]]), "", MID(YEAR(patch[[#This Row],[mergeDate]]), 3,2)&amp;"'ww"&amp;WEEKNUM(patch[[#This Row],[mergeDate]]))</f>
        <v>16'ww40</v>
      </c>
      <c r="U39" s="7" t="str">
        <f>IF(ISBLANK(patch[[#This Row],[mergeDate]]), U38, MID(YEAR(patch[[#This Row],[mergeDate]]), 3,2)&amp;"'m"&amp;MONTH(patch[[#This Row],[mergeDate]]))</f>
        <v>16'm9</v>
      </c>
      <c r="V39" s="7" t="str">
        <f>IF(ISBLANK(patch[[#This Row],[project]]), "",SUM(patch[[#This Row],[BJ -1 num]:[SH -1 num]]))</f>
        <v/>
      </c>
      <c r="W39" s="7" t="str">
        <f>IF(ISBLANK(patch[[#This Row],[project]]), "",COUNTIFS($A:$A,patch[[#This Row],[number]],$S:$S, "BJ And dev",$AC:$AC, "Review-1"))</f>
        <v/>
      </c>
      <c r="X39" s="7" t="str">
        <f>IF(ISBLANK(patch[[#This Row],[project]]), "",COUNTIFS($A:$A,patch[[#This Row],[number]],$S:$S, "FL And dev",$AC:$AC, "Review-1"))</f>
        <v/>
      </c>
      <c r="Y39" s="7" t="str">
        <f>IF(ISBLANK(patch[[#This Row],[project]]), "",COUNTIFS($A:$A,patch[[#This Row],[number]],$S:$S, "SH And dev",$AC:$AC, "Review-1"))</f>
        <v/>
      </c>
      <c r="Z39" s="7" t="str">
        <f>IF(ISBLANK(patch[[#This Row],[project]]), "",COUNTIFS($A:$A,patch[[#This Row],[number]],$S:$S, "BJ And dev",$AD:$AD, "&lt;&gt;IntegratorValidationComment"))</f>
        <v/>
      </c>
      <c r="AA39" s="7" t="str">
        <f>IF(ISBLANK(patch[[#This Row],[project]]), "",COUNTIFS($A:$A,patch[[#This Row],[number]],$S:$S, "FL And dev",$AD:$AD, "&lt;&gt;IntegratorValidationComment"))</f>
        <v/>
      </c>
      <c r="AB39" s="7" t="str">
        <f>IF(ISBLANK(patch[[#This Row],[project]]), "",COUNTIFS($A:$A,patch[[#This Row],[number]],$S:$S, "SH And dev",$AD:$AD, "&lt;&gt;IntegratorValidationComment"))</f>
        <v/>
      </c>
      <c r="AC39" s="7" t="str">
        <f>IF(OR(ISNUMBER(FIND("Review-1", patch[[#This Row],[comments]])), ISNUMBER(FIND("Approver-1", patch[[#This Row],[comments]]))), "Review-1", "")</f>
        <v/>
      </c>
      <c r="AD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9" s="7">
        <f>IF(ISBLANK(patch[[#This Row],[number]]),AE38,patch[[#This Row],[ifCommon]])</f>
        <v>0</v>
      </c>
    </row>
    <row r="40" spans="1:31">
      <c r="A40" s="151">
        <v>148951</v>
      </c>
      <c r="B40" s="151"/>
      <c r="C40" s="151"/>
      <c r="D40" s="151"/>
      <c r="E40" s="151"/>
      <c r="F40" s="151"/>
      <c r="G40" s="151"/>
      <c r="H40" s="151"/>
      <c r="I40" s="151"/>
      <c r="J40" s="152">
        <v>42643.649594907409</v>
      </c>
      <c r="K40" s="151"/>
      <c r="L40" s="151" t="s">
        <v>115</v>
      </c>
      <c r="M40" s="152">
        <v>42643.439699074072</v>
      </c>
      <c r="N40" s="151" t="s">
        <v>2497</v>
      </c>
      <c r="O40" s="151"/>
      <c r="P40" s="151"/>
      <c r="Q40" s="7" t="str">
        <f>IF(ISBLANK(patch[[#This Row],[OwnerEmail]]),Q39,patch[[#This Row],[OwnerEmail]])</f>
        <v>john.mathew@intel.com</v>
      </c>
      <c r="R40" s="7" t="str">
        <f>_xlfn.IFNA(VLOOKUP(patch[[#This Row],[tmp-owner.email]],OrgTree!$A:$K, 11, 0), "not ICG SWFW")</f>
        <v>FL And dev</v>
      </c>
      <c r="S40" s="7" t="str">
        <f>IF(patch[[#This Row],[reviewer]]=patch[[#This Row],[tmp-owner.email]], "author", _xlfn.IFNA(VLOOKUP(patch[[#This Row],[reviewer]],OrgTree!$A:$K, 11, 0), "not ICG SWFW"))</f>
        <v>Val</v>
      </c>
      <c r="T40" s="7" t="str">
        <f>IF(ISBLANK(patch[[#This Row],[mergeDate]]), "", MID(YEAR(patch[[#This Row],[mergeDate]]), 3,2)&amp;"'ww"&amp;WEEKNUM(patch[[#This Row],[mergeDate]]))</f>
        <v>16'ww40</v>
      </c>
      <c r="U40" s="7" t="str">
        <f>IF(ISBLANK(patch[[#This Row],[mergeDate]]), U39, MID(YEAR(patch[[#This Row],[mergeDate]]), 3,2)&amp;"'m"&amp;MONTH(patch[[#This Row],[mergeDate]]))</f>
        <v>16'm9</v>
      </c>
      <c r="V40" s="7" t="str">
        <f>IF(ISBLANK(patch[[#This Row],[project]]), "",SUM(patch[[#This Row],[BJ -1 num]:[SH -1 num]]))</f>
        <v/>
      </c>
      <c r="W40" s="7" t="str">
        <f>IF(ISBLANK(patch[[#This Row],[project]]), "",COUNTIFS($A:$A,patch[[#This Row],[number]],$S:$S, "BJ And dev",$AC:$AC, "Review-1"))</f>
        <v/>
      </c>
      <c r="X40" s="7" t="str">
        <f>IF(ISBLANK(patch[[#This Row],[project]]), "",COUNTIFS($A:$A,patch[[#This Row],[number]],$S:$S, "FL And dev",$AC:$AC, "Review-1"))</f>
        <v/>
      </c>
      <c r="Y40" s="7" t="str">
        <f>IF(ISBLANK(patch[[#This Row],[project]]), "",COUNTIFS($A:$A,patch[[#This Row],[number]],$S:$S, "SH And dev",$AC:$AC, "Review-1"))</f>
        <v/>
      </c>
      <c r="Z40" s="7" t="str">
        <f>IF(ISBLANK(patch[[#This Row],[project]]), "",COUNTIFS($A:$A,patch[[#This Row],[number]],$S:$S, "BJ And dev",$AD:$AD, "&lt;&gt;IntegratorValidationComment"))</f>
        <v/>
      </c>
      <c r="AA40" s="7" t="str">
        <f>IF(ISBLANK(patch[[#This Row],[project]]), "",COUNTIFS($A:$A,patch[[#This Row],[number]],$S:$S, "FL And dev",$AD:$AD, "&lt;&gt;IntegratorValidationComment"))</f>
        <v/>
      </c>
      <c r="AB40" s="7" t="str">
        <f>IF(ISBLANK(patch[[#This Row],[project]]), "",COUNTIFS($A:$A,patch[[#This Row],[number]],$S:$S, "SH And dev",$AD:$AD, "&lt;&gt;IntegratorValidationComment"))</f>
        <v/>
      </c>
      <c r="AC40" s="7" t="str">
        <f>IF(OR(ISNUMBER(FIND("Review-1", patch[[#This Row],[comments]])), ISNUMBER(FIND("Approver-1", patch[[#This Row],[comments]]))), "Review-1", "")</f>
        <v/>
      </c>
      <c r="AD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40" s="7">
        <f>IF(ISBLANK(patch[[#This Row],[number]]),AE39,patch[[#This Row],[ifCommon]])</f>
        <v>0</v>
      </c>
    </row>
    <row r="41" spans="1:31">
      <c r="A41" s="151">
        <v>149024</v>
      </c>
      <c r="B41" s="151" t="s">
        <v>2490</v>
      </c>
      <c r="C41" s="151" t="s">
        <v>2491</v>
      </c>
      <c r="D41" s="151" t="s">
        <v>2595</v>
      </c>
      <c r="E41" s="151" t="s">
        <v>1203</v>
      </c>
      <c r="F41" s="151" t="s">
        <v>23</v>
      </c>
      <c r="G41" s="151" t="s">
        <v>2596</v>
      </c>
      <c r="H41" s="151" t="s">
        <v>2597</v>
      </c>
      <c r="I41" s="152">
        <v>42642.053460648152</v>
      </c>
      <c r="J41" s="152">
        <v>42643.649502314824</v>
      </c>
      <c r="K41" s="151" t="s">
        <v>2445</v>
      </c>
      <c r="L41" s="151" t="s">
        <v>1203</v>
      </c>
      <c r="M41" s="152">
        <v>42642.053460648152</v>
      </c>
      <c r="N41" s="151" t="s">
        <v>2428</v>
      </c>
      <c r="O41" s="151"/>
      <c r="P41" s="151" t="s">
        <v>2542</v>
      </c>
      <c r="Q41" s="7" t="str">
        <f>IF(ISBLANK(patch[[#This Row],[OwnerEmail]]),Q40,patch[[#This Row],[OwnerEmail]])</f>
        <v>xi.cao@intel.com</v>
      </c>
      <c r="R41" s="7" t="str">
        <f>_xlfn.IFNA(VLOOKUP(patch[[#This Row],[tmp-owner.email]],OrgTree!$A:$K, 11, 0), "not ICG SWFW")</f>
        <v>BJ And dev</v>
      </c>
      <c r="S41" s="7" t="str">
        <f>IF(patch[[#This Row],[reviewer]]=patch[[#This Row],[tmp-owner.email]], "author", _xlfn.IFNA(VLOOKUP(patch[[#This Row],[reviewer]],OrgTree!$A:$K, 11, 0), "not ICG SWFW"))</f>
        <v>author</v>
      </c>
      <c r="T41" s="7" t="str">
        <f>IF(ISBLANK(patch[[#This Row],[mergeDate]]), "", MID(YEAR(patch[[#This Row],[mergeDate]]), 3,2)&amp;"'ww"&amp;WEEKNUM(patch[[#This Row],[mergeDate]]))</f>
        <v>16'ww40</v>
      </c>
      <c r="U41" s="7" t="str">
        <f>IF(ISBLANK(patch[[#This Row],[mergeDate]]), U40, MID(YEAR(patch[[#This Row],[mergeDate]]), 3,2)&amp;"'m"&amp;MONTH(patch[[#This Row],[mergeDate]]))</f>
        <v>16'm9</v>
      </c>
      <c r="V41" s="7">
        <f>IF(ISBLANK(patch[[#This Row],[project]]), "",SUM(patch[[#This Row],[BJ -1 num]:[SH -1 num]]))</f>
        <v>0</v>
      </c>
      <c r="W41" s="7">
        <f>IF(ISBLANK(patch[[#This Row],[project]]), "",COUNTIFS($A:$A,patch[[#This Row],[number]],$S:$S, "BJ And dev",$AC:$AC, "Review-1"))</f>
        <v>0</v>
      </c>
      <c r="X41" s="7">
        <f>IF(ISBLANK(patch[[#This Row],[project]]), "",COUNTIFS($A:$A,patch[[#This Row],[number]],$S:$S, "FL And dev",$AC:$AC, "Review-1"))</f>
        <v>0</v>
      </c>
      <c r="Y41" s="7">
        <f>IF(ISBLANK(patch[[#This Row],[project]]), "",COUNTIFS($A:$A,patch[[#This Row],[number]],$S:$S, "SH And dev",$AC:$AC, "Review-1"))</f>
        <v>0</v>
      </c>
      <c r="Z41" s="7">
        <f>IF(ISBLANK(patch[[#This Row],[project]]), "",COUNTIFS($A:$A,patch[[#This Row],[number]],$S:$S, "BJ And dev",$AD:$AD, "&lt;&gt;IntegratorValidationComment"))</f>
        <v>6</v>
      </c>
      <c r="AA41" s="7">
        <f>IF(ISBLANK(patch[[#This Row],[project]]), "",COUNTIFS($A:$A,patch[[#This Row],[number]],$S:$S, "FL And dev",$AD:$AD, "&lt;&gt;IntegratorValidationComment"))</f>
        <v>0</v>
      </c>
      <c r="AB41" s="7">
        <f>IF(ISBLANK(patch[[#This Row],[project]]), "",COUNTIFS($A:$A,patch[[#This Row],[number]],$S:$S, "SH And dev",$AD:$AD, "&lt;&gt;IntegratorValidationComment"))</f>
        <v>0</v>
      </c>
      <c r="AC41" s="7" t="str">
        <f>IF(OR(ISNUMBER(FIND("Review-1", patch[[#This Row],[comments]])), ISNUMBER(FIND("Approver-1", patch[[#This Row],[comments]]))), "Review-1", "")</f>
        <v/>
      </c>
      <c r="AD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1" s="7" t="str">
        <f>IF(ISBLANK(patch[[#This Row],[number]]),AE40,patch[[#This Row],[ifCommon]])</f>
        <v>not AndrHAL</v>
      </c>
    </row>
    <row r="42" spans="1:31">
      <c r="A42" s="151">
        <v>149024</v>
      </c>
      <c r="B42" s="151"/>
      <c r="C42" s="151"/>
      <c r="D42" s="151"/>
      <c r="E42" s="151"/>
      <c r="F42" s="151"/>
      <c r="G42" s="151"/>
      <c r="H42" s="151"/>
      <c r="I42" s="151"/>
      <c r="J42" s="152">
        <v>42643.649502314824</v>
      </c>
      <c r="K42" s="151"/>
      <c r="L42" s="151" t="s">
        <v>1203</v>
      </c>
      <c r="M42" s="152">
        <v>42642.053460648152</v>
      </c>
      <c r="N42" s="151" t="s">
        <v>25</v>
      </c>
      <c r="O42" s="151"/>
      <c r="P42" s="151"/>
      <c r="Q42" s="7" t="str">
        <f>IF(ISBLANK(patch[[#This Row],[OwnerEmail]]),Q41,patch[[#This Row],[OwnerEmail]])</f>
        <v>xi.cao@intel.com</v>
      </c>
      <c r="R42" s="7" t="str">
        <f>_xlfn.IFNA(VLOOKUP(patch[[#This Row],[tmp-owner.email]],OrgTree!$A:$K, 11, 0), "not ICG SWFW")</f>
        <v>BJ And dev</v>
      </c>
      <c r="S42" s="7" t="str">
        <f>IF(patch[[#This Row],[reviewer]]=patch[[#This Row],[tmp-owner.email]], "author", _xlfn.IFNA(VLOOKUP(patch[[#This Row],[reviewer]],OrgTree!$A:$K, 11, 0), "not ICG SWFW"))</f>
        <v>author</v>
      </c>
      <c r="T42" s="7" t="str">
        <f>IF(ISBLANK(patch[[#This Row],[mergeDate]]), "", MID(YEAR(patch[[#This Row],[mergeDate]]), 3,2)&amp;"'ww"&amp;WEEKNUM(patch[[#This Row],[mergeDate]]))</f>
        <v>16'ww40</v>
      </c>
      <c r="U42" s="7" t="str">
        <f>IF(ISBLANK(patch[[#This Row],[mergeDate]]), U41, MID(YEAR(patch[[#This Row],[mergeDate]]), 3,2)&amp;"'m"&amp;MONTH(patch[[#This Row],[mergeDate]]))</f>
        <v>16'm9</v>
      </c>
      <c r="V42" s="7" t="str">
        <f>IF(ISBLANK(patch[[#This Row],[project]]), "",SUM(patch[[#This Row],[BJ -1 num]:[SH -1 num]]))</f>
        <v/>
      </c>
      <c r="W42" s="7" t="str">
        <f>IF(ISBLANK(patch[[#This Row],[project]]), "",COUNTIFS($A:$A,patch[[#This Row],[number]],$S:$S, "BJ And dev",$AC:$AC, "Review-1"))</f>
        <v/>
      </c>
      <c r="X42" s="7" t="str">
        <f>IF(ISBLANK(patch[[#This Row],[project]]), "",COUNTIFS($A:$A,patch[[#This Row],[number]],$S:$S, "FL And dev",$AC:$AC, "Review-1"))</f>
        <v/>
      </c>
      <c r="Y42" s="7" t="str">
        <f>IF(ISBLANK(patch[[#This Row],[project]]), "",COUNTIFS($A:$A,patch[[#This Row],[number]],$S:$S, "SH And dev",$AC:$AC, "Review-1"))</f>
        <v/>
      </c>
      <c r="Z42" s="7" t="str">
        <f>IF(ISBLANK(patch[[#This Row],[project]]), "",COUNTIFS($A:$A,patch[[#This Row],[number]],$S:$S, "BJ And dev",$AD:$AD, "&lt;&gt;IntegratorValidationComment"))</f>
        <v/>
      </c>
      <c r="AA42" s="7" t="str">
        <f>IF(ISBLANK(patch[[#This Row],[project]]), "",COUNTIFS($A:$A,patch[[#This Row],[number]],$S:$S, "FL And dev",$AD:$AD, "&lt;&gt;IntegratorValidationComment"))</f>
        <v/>
      </c>
      <c r="AB42" s="7" t="str">
        <f>IF(ISBLANK(patch[[#This Row],[project]]), "",COUNTIFS($A:$A,patch[[#This Row],[number]],$S:$S, "SH And dev",$AD:$AD, "&lt;&gt;IntegratorValidationComment"))</f>
        <v/>
      </c>
      <c r="AC42" s="7" t="str">
        <f>IF(OR(ISNUMBER(FIND("Review-1", patch[[#This Row],[comments]])), ISNUMBER(FIND("Approver-1", patch[[#This Row],[comments]]))), "Review-1", "")</f>
        <v/>
      </c>
      <c r="AD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2" s="7">
        <f>IF(ISBLANK(patch[[#This Row],[number]]),AE41,patch[[#This Row],[ifCommon]])</f>
        <v>0</v>
      </c>
    </row>
    <row r="43" spans="1:31">
      <c r="A43" s="151">
        <v>149024</v>
      </c>
      <c r="B43" s="151"/>
      <c r="C43" s="151"/>
      <c r="D43" s="151"/>
      <c r="E43" s="151"/>
      <c r="F43" s="151"/>
      <c r="G43" s="151"/>
      <c r="H43" s="151"/>
      <c r="I43" s="151"/>
      <c r="J43" s="152">
        <v>42643.649502314824</v>
      </c>
      <c r="K43" s="151"/>
      <c r="L43" s="151" t="s">
        <v>1203</v>
      </c>
      <c r="M43" s="152">
        <v>42642.059155092589</v>
      </c>
      <c r="N43" s="151" t="s">
        <v>40</v>
      </c>
      <c r="O43" s="151"/>
      <c r="P43" s="151"/>
      <c r="Q43" s="7" t="str">
        <f>IF(ISBLANK(patch[[#This Row],[OwnerEmail]]),Q42,patch[[#This Row],[OwnerEmail]])</f>
        <v>xi.cao@intel.com</v>
      </c>
      <c r="R43" s="7" t="str">
        <f>_xlfn.IFNA(VLOOKUP(patch[[#This Row],[tmp-owner.email]],OrgTree!$A:$K, 11, 0), "not ICG SWFW")</f>
        <v>BJ And dev</v>
      </c>
      <c r="S43" s="7" t="str">
        <f>IF(patch[[#This Row],[reviewer]]=patch[[#This Row],[tmp-owner.email]], "author", _xlfn.IFNA(VLOOKUP(patch[[#This Row],[reviewer]],OrgTree!$A:$K, 11, 0), "not ICG SWFW"))</f>
        <v>author</v>
      </c>
      <c r="T43" s="7" t="str">
        <f>IF(ISBLANK(patch[[#This Row],[mergeDate]]), "", MID(YEAR(patch[[#This Row],[mergeDate]]), 3,2)&amp;"'ww"&amp;WEEKNUM(patch[[#This Row],[mergeDate]]))</f>
        <v>16'ww40</v>
      </c>
      <c r="U43" s="7" t="str">
        <f>IF(ISBLANK(patch[[#This Row],[mergeDate]]), U42, MID(YEAR(patch[[#This Row],[mergeDate]]), 3,2)&amp;"'m"&amp;MONTH(patch[[#This Row],[mergeDate]]))</f>
        <v>16'm9</v>
      </c>
      <c r="V43" s="7" t="str">
        <f>IF(ISBLANK(patch[[#This Row],[project]]), "",SUM(patch[[#This Row],[BJ -1 num]:[SH -1 num]]))</f>
        <v/>
      </c>
      <c r="W43" s="7" t="str">
        <f>IF(ISBLANK(patch[[#This Row],[project]]), "",COUNTIFS($A:$A,patch[[#This Row],[number]],$S:$S, "BJ And dev",$AC:$AC, "Review-1"))</f>
        <v/>
      </c>
      <c r="X43" s="7" t="str">
        <f>IF(ISBLANK(patch[[#This Row],[project]]), "",COUNTIFS($A:$A,patch[[#This Row],[number]],$S:$S, "FL And dev",$AC:$AC, "Review-1"))</f>
        <v/>
      </c>
      <c r="Y43" s="7" t="str">
        <f>IF(ISBLANK(patch[[#This Row],[project]]), "",COUNTIFS($A:$A,patch[[#This Row],[number]],$S:$S, "SH And dev",$AC:$AC, "Review-1"))</f>
        <v/>
      </c>
      <c r="Z43" s="7" t="str">
        <f>IF(ISBLANK(patch[[#This Row],[project]]), "",COUNTIFS($A:$A,patch[[#This Row],[number]],$S:$S, "BJ And dev",$AD:$AD, "&lt;&gt;IntegratorValidationComment"))</f>
        <v/>
      </c>
      <c r="AA43" s="7" t="str">
        <f>IF(ISBLANK(patch[[#This Row],[project]]), "",COUNTIFS($A:$A,patch[[#This Row],[number]],$S:$S, "FL And dev",$AD:$AD, "&lt;&gt;IntegratorValidationComment"))</f>
        <v/>
      </c>
      <c r="AB43" s="7" t="str">
        <f>IF(ISBLANK(patch[[#This Row],[project]]), "",COUNTIFS($A:$A,patch[[#This Row],[number]],$S:$S, "SH And dev",$AD:$AD, "&lt;&gt;IntegratorValidationComment"))</f>
        <v/>
      </c>
      <c r="AC43" s="7" t="str">
        <f>IF(OR(ISNUMBER(FIND("Review-1", patch[[#This Row],[comments]])), ISNUMBER(FIND("Approver-1", patch[[#This Row],[comments]]))), "Review-1", "")</f>
        <v/>
      </c>
      <c r="AD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3" s="7">
        <f>IF(ISBLANK(patch[[#This Row],[number]]),AE42,patch[[#This Row],[ifCommon]])</f>
        <v>0</v>
      </c>
    </row>
    <row r="44" spans="1:31">
      <c r="A44" s="151">
        <v>149024</v>
      </c>
      <c r="B44" s="151"/>
      <c r="C44" s="151"/>
      <c r="D44" s="151"/>
      <c r="E44" s="151"/>
      <c r="F44" s="151"/>
      <c r="G44" s="151"/>
      <c r="H44" s="151"/>
      <c r="I44" s="151"/>
      <c r="J44" s="152">
        <v>42643.649502314824</v>
      </c>
      <c r="K44" s="151"/>
      <c r="L44" s="151" t="s">
        <v>59</v>
      </c>
      <c r="M44" s="152">
        <v>42642.080381944441</v>
      </c>
      <c r="N44" s="151" t="s">
        <v>2598</v>
      </c>
      <c r="O44" s="151"/>
      <c r="P44" s="151"/>
      <c r="Q44" s="7" t="str">
        <f>IF(ISBLANK(patch[[#This Row],[OwnerEmail]]),Q43,patch[[#This Row],[OwnerEmail]])</f>
        <v>xi.cao@intel.com</v>
      </c>
      <c r="R44" s="7" t="str">
        <f>_xlfn.IFNA(VLOOKUP(patch[[#This Row],[tmp-owner.email]],OrgTree!$A:$K, 11, 0), "not ICG SWFW")</f>
        <v>BJ And dev</v>
      </c>
      <c r="S44" s="7" t="str">
        <f>IF(patch[[#This Row],[reviewer]]=patch[[#This Row],[tmp-owner.email]], "author", _xlfn.IFNA(VLOOKUP(patch[[#This Row],[reviewer]],OrgTree!$A:$K, 11, 0), "not ICG SWFW"))</f>
        <v>BJ And dev</v>
      </c>
      <c r="T44" s="7" t="str">
        <f>IF(ISBLANK(patch[[#This Row],[mergeDate]]), "", MID(YEAR(patch[[#This Row],[mergeDate]]), 3,2)&amp;"'ww"&amp;WEEKNUM(patch[[#This Row],[mergeDate]]))</f>
        <v>16'ww40</v>
      </c>
      <c r="U44" s="7" t="str">
        <f>IF(ISBLANK(patch[[#This Row],[mergeDate]]), U43, MID(YEAR(patch[[#This Row],[mergeDate]]), 3,2)&amp;"'m"&amp;MONTH(patch[[#This Row],[mergeDate]]))</f>
        <v>16'm9</v>
      </c>
      <c r="V44" s="7" t="str">
        <f>IF(ISBLANK(patch[[#This Row],[project]]), "",SUM(patch[[#This Row],[BJ -1 num]:[SH -1 num]]))</f>
        <v/>
      </c>
      <c r="W44" s="7" t="str">
        <f>IF(ISBLANK(patch[[#This Row],[project]]), "",COUNTIFS($A:$A,patch[[#This Row],[number]],$S:$S, "BJ And dev",$AC:$AC, "Review-1"))</f>
        <v/>
      </c>
      <c r="X44" s="7" t="str">
        <f>IF(ISBLANK(patch[[#This Row],[project]]), "",COUNTIFS($A:$A,patch[[#This Row],[number]],$S:$S, "FL And dev",$AC:$AC, "Review-1"))</f>
        <v/>
      </c>
      <c r="Y44" s="7" t="str">
        <f>IF(ISBLANK(patch[[#This Row],[project]]), "",COUNTIFS($A:$A,patch[[#This Row],[number]],$S:$S, "SH And dev",$AC:$AC, "Review-1"))</f>
        <v/>
      </c>
      <c r="Z44" s="7" t="str">
        <f>IF(ISBLANK(patch[[#This Row],[project]]), "",COUNTIFS($A:$A,patch[[#This Row],[number]],$S:$S, "BJ And dev",$AD:$AD, "&lt;&gt;IntegratorValidationComment"))</f>
        <v/>
      </c>
      <c r="AA44" s="7" t="str">
        <f>IF(ISBLANK(patch[[#This Row],[project]]), "",COUNTIFS($A:$A,patch[[#This Row],[number]],$S:$S, "FL And dev",$AD:$AD, "&lt;&gt;IntegratorValidationComment"))</f>
        <v/>
      </c>
      <c r="AB44" s="7" t="str">
        <f>IF(ISBLANK(patch[[#This Row],[project]]), "",COUNTIFS($A:$A,patch[[#This Row],[number]],$S:$S, "SH And dev",$AD:$AD, "&lt;&gt;IntegratorValidationComment"))</f>
        <v/>
      </c>
      <c r="AC44" s="7" t="str">
        <f>IF(OR(ISNUMBER(FIND("Review-1", patch[[#This Row],[comments]])), ISNUMBER(FIND("Approver-1", patch[[#This Row],[comments]]))), "Review-1", "")</f>
        <v/>
      </c>
      <c r="AD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4" s="7">
        <f>IF(ISBLANK(patch[[#This Row],[number]]),AE43,patch[[#This Row],[ifCommon]])</f>
        <v>0</v>
      </c>
    </row>
    <row r="45" spans="1:31">
      <c r="A45" s="151">
        <v>149024</v>
      </c>
      <c r="B45" s="151"/>
      <c r="C45" s="151"/>
      <c r="D45" s="151"/>
      <c r="E45" s="151"/>
      <c r="F45" s="151"/>
      <c r="G45" s="151"/>
      <c r="H45" s="151"/>
      <c r="I45" s="151"/>
      <c r="J45" s="152">
        <v>42643.649502314824</v>
      </c>
      <c r="K45" s="151"/>
      <c r="L45" s="151" t="s">
        <v>59</v>
      </c>
      <c r="M45" s="152">
        <v>42642.081932870373</v>
      </c>
      <c r="N45" s="151" t="s">
        <v>2599</v>
      </c>
      <c r="O45" s="151"/>
      <c r="P45" s="151"/>
      <c r="Q45" s="7" t="str">
        <f>IF(ISBLANK(patch[[#This Row],[OwnerEmail]]),Q44,patch[[#This Row],[OwnerEmail]])</f>
        <v>xi.cao@intel.com</v>
      </c>
      <c r="R45" s="7" t="str">
        <f>_xlfn.IFNA(VLOOKUP(patch[[#This Row],[tmp-owner.email]],OrgTree!$A:$K, 11, 0), "not ICG SWFW")</f>
        <v>BJ And dev</v>
      </c>
      <c r="S45" s="7" t="str">
        <f>IF(patch[[#This Row],[reviewer]]=patch[[#This Row],[tmp-owner.email]], "author", _xlfn.IFNA(VLOOKUP(patch[[#This Row],[reviewer]],OrgTree!$A:$K, 11, 0), "not ICG SWFW"))</f>
        <v>BJ And dev</v>
      </c>
      <c r="T45" s="7" t="str">
        <f>IF(ISBLANK(patch[[#This Row],[mergeDate]]), "", MID(YEAR(patch[[#This Row],[mergeDate]]), 3,2)&amp;"'ww"&amp;WEEKNUM(patch[[#This Row],[mergeDate]]))</f>
        <v>16'ww40</v>
      </c>
      <c r="U45" s="7" t="str">
        <f>IF(ISBLANK(patch[[#This Row],[mergeDate]]), U44, MID(YEAR(patch[[#This Row],[mergeDate]]), 3,2)&amp;"'m"&amp;MONTH(patch[[#This Row],[mergeDate]]))</f>
        <v>16'm9</v>
      </c>
      <c r="V45" s="7" t="str">
        <f>IF(ISBLANK(patch[[#This Row],[project]]), "",SUM(patch[[#This Row],[BJ -1 num]:[SH -1 num]]))</f>
        <v/>
      </c>
      <c r="W45" s="7" t="str">
        <f>IF(ISBLANK(patch[[#This Row],[project]]), "",COUNTIFS($A:$A,patch[[#This Row],[number]],$S:$S, "BJ And dev",$AC:$AC, "Review-1"))</f>
        <v/>
      </c>
      <c r="X45" s="7" t="str">
        <f>IF(ISBLANK(patch[[#This Row],[project]]), "",COUNTIFS($A:$A,patch[[#This Row],[number]],$S:$S, "FL And dev",$AC:$AC, "Review-1"))</f>
        <v/>
      </c>
      <c r="Y45" s="7" t="str">
        <f>IF(ISBLANK(patch[[#This Row],[project]]), "",COUNTIFS($A:$A,patch[[#This Row],[number]],$S:$S, "SH And dev",$AC:$AC, "Review-1"))</f>
        <v/>
      </c>
      <c r="Z45" s="7" t="str">
        <f>IF(ISBLANK(patch[[#This Row],[project]]), "",COUNTIFS($A:$A,patch[[#This Row],[number]],$S:$S, "BJ And dev",$AD:$AD, "&lt;&gt;IntegratorValidationComment"))</f>
        <v/>
      </c>
      <c r="AA45" s="7" t="str">
        <f>IF(ISBLANK(patch[[#This Row],[project]]), "",COUNTIFS($A:$A,patch[[#This Row],[number]],$S:$S, "FL And dev",$AD:$AD, "&lt;&gt;IntegratorValidationComment"))</f>
        <v/>
      </c>
      <c r="AB45" s="7" t="str">
        <f>IF(ISBLANK(patch[[#This Row],[project]]), "",COUNTIFS($A:$A,patch[[#This Row],[number]],$S:$S, "SH And dev",$AD:$AD, "&lt;&gt;IntegratorValidationComment"))</f>
        <v/>
      </c>
      <c r="AC45" s="7" t="str">
        <f>IF(OR(ISNUMBER(FIND("Review-1", patch[[#This Row],[comments]])), ISNUMBER(FIND("Approver-1", patch[[#This Row],[comments]]))), "Review-1", "")</f>
        <v/>
      </c>
      <c r="AD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5" s="7">
        <f>IF(ISBLANK(patch[[#This Row],[number]]),AE44,patch[[#This Row],[ifCommon]])</f>
        <v>0</v>
      </c>
    </row>
    <row r="46" spans="1:31">
      <c r="A46" s="151">
        <v>149024</v>
      </c>
      <c r="B46" s="151"/>
      <c r="C46" s="151"/>
      <c r="D46" s="151"/>
      <c r="E46" s="151"/>
      <c r="F46" s="151"/>
      <c r="G46" s="151"/>
      <c r="H46" s="151"/>
      <c r="I46" s="151"/>
      <c r="J46" s="152">
        <v>42643.649502314824</v>
      </c>
      <c r="K46" s="151"/>
      <c r="L46" s="151" t="s">
        <v>59</v>
      </c>
      <c r="M46" s="152">
        <v>42642.376944444448</v>
      </c>
      <c r="N46" s="151" t="s">
        <v>2600</v>
      </c>
      <c r="O46" s="151"/>
      <c r="P46" s="151"/>
      <c r="Q46" s="7" t="str">
        <f>IF(ISBLANK(patch[[#This Row],[OwnerEmail]]),Q45,patch[[#This Row],[OwnerEmail]])</f>
        <v>xi.cao@intel.com</v>
      </c>
      <c r="R46" s="7" t="str">
        <f>_xlfn.IFNA(VLOOKUP(patch[[#This Row],[tmp-owner.email]],OrgTree!$A:$K, 11, 0), "not ICG SWFW")</f>
        <v>BJ And dev</v>
      </c>
      <c r="S46" s="7" t="str">
        <f>IF(patch[[#This Row],[reviewer]]=patch[[#This Row],[tmp-owner.email]], "author", _xlfn.IFNA(VLOOKUP(patch[[#This Row],[reviewer]],OrgTree!$A:$K, 11, 0), "not ICG SWFW"))</f>
        <v>BJ And dev</v>
      </c>
      <c r="T46" s="7" t="str">
        <f>IF(ISBLANK(patch[[#This Row],[mergeDate]]), "", MID(YEAR(patch[[#This Row],[mergeDate]]), 3,2)&amp;"'ww"&amp;WEEKNUM(patch[[#This Row],[mergeDate]]))</f>
        <v>16'ww40</v>
      </c>
      <c r="U46" s="7" t="str">
        <f>IF(ISBLANK(patch[[#This Row],[mergeDate]]), U45, MID(YEAR(patch[[#This Row],[mergeDate]]), 3,2)&amp;"'m"&amp;MONTH(patch[[#This Row],[mergeDate]]))</f>
        <v>16'm9</v>
      </c>
      <c r="V46" s="7" t="str">
        <f>IF(ISBLANK(patch[[#This Row],[project]]), "",SUM(patch[[#This Row],[BJ -1 num]:[SH -1 num]]))</f>
        <v/>
      </c>
      <c r="W46" s="7" t="str">
        <f>IF(ISBLANK(patch[[#This Row],[project]]), "",COUNTIFS($A:$A,patch[[#This Row],[number]],$S:$S, "BJ And dev",$AC:$AC, "Review-1"))</f>
        <v/>
      </c>
      <c r="X46" s="7" t="str">
        <f>IF(ISBLANK(patch[[#This Row],[project]]), "",COUNTIFS($A:$A,patch[[#This Row],[number]],$S:$S, "FL And dev",$AC:$AC, "Review-1"))</f>
        <v/>
      </c>
      <c r="Y46" s="7" t="str">
        <f>IF(ISBLANK(patch[[#This Row],[project]]), "",COUNTIFS($A:$A,patch[[#This Row],[number]],$S:$S, "SH And dev",$AC:$AC, "Review-1"))</f>
        <v/>
      </c>
      <c r="Z46" s="7" t="str">
        <f>IF(ISBLANK(patch[[#This Row],[project]]), "",COUNTIFS($A:$A,patch[[#This Row],[number]],$S:$S, "BJ And dev",$AD:$AD, "&lt;&gt;IntegratorValidationComment"))</f>
        <v/>
      </c>
      <c r="AA46" s="7" t="str">
        <f>IF(ISBLANK(patch[[#This Row],[project]]), "",COUNTIFS($A:$A,patch[[#This Row],[number]],$S:$S, "FL And dev",$AD:$AD, "&lt;&gt;IntegratorValidationComment"))</f>
        <v/>
      </c>
      <c r="AB46" s="7" t="str">
        <f>IF(ISBLANK(patch[[#This Row],[project]]), "",COUNTIFS($A:$A,patch[[#This Row],[number]],$S:$S, "SH And dev",$AD:$AD, "&lt;&gt;IntegratorValidationComment"))</f>
        <v/>
      </c>
      <c r="AC46" s="7" t="str">
        <f>IF(OR(ISNUMBER(FIND("Review-1", patch[[#This Row],[comments]])), ISNUMBER(FIND("Approver-1", patch[[#This Row],[comments]]))), "Review-1", "")</f>
        <v/>
      </c>
      <c r="AD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6" s="7">
        <f>IF(ISBLANK(patch[[#This Row],[number]]),AE45,patch[[#This Row],[ifCommon]])</f>
        <v>0</v>
      </c>
    </row>
    <row r="47" spans="1:31">
      <c r="A47" s="151">
        <v>149024</v>
      </c>
      <c r="B47" s="151"/>
      <c r="C47" s="151"/>
      <c r="D47" s="151"/>
      <c r="E47" s="151"/>
      <c r="F47" s="151"/>
      <c r="G47" s="151"/>
      <c r="H47" s="151"/>
      <c r="I47" s="151"/>
      <c r="J47" s="152">
        <v>42643.649502314824</v>
      </c>
      <c r="K47" s="151"/>
      <c r="L47" s="151" t="s">
        <v>59</v>
      </c>
      <c r="M47" s="152">
        <v>42642.380324074067</v>
      </c>
      <c r="N47" s="151" t="s">
        <v>2601</v>
      </c>
      <c r="O47" s="151"/>
      <c r="P47" s="151"/>
      <c r="Q47" s="7" t="str">
        <f>IF(ISBLANK(patch[[#This Row],[OwnerEmail]]),Q46,patch[[#This Row],[OwnerEmail]])</f>
        <v>xi.cao@intel.com</v>
      </c>
      <c r="R47" s="7" t="str">
        <f>_xlfn.IFNA(VLOOKUP(patch[[#This Row],[tmp-owner.email]],OrgTree!$A:$K, 11, 0), "not ICG SWFW")</f>
        <v>BJ And dev</v>
      </c>
      <c r="S47" s="7" t="str">
        <f>IF(patch[[#This Row],[reviewer]]=patch[[#This Row],[tmp-owner.email]], "author", _xlfn.IFNA(VLOOKUP(patch[[#This Row],[reviewer]],OrgTree!$A:$K, 11, 0), "not ICG SWFW"))</f>
        <v>BJ And dev</v>
      </c>
      <c r="T47" s="7" t="str">
        <f>IF(ISBLANK(patch[[#This Row],[mergeDate]]), "", MID(YEAR(patch[[#This Row],[mergeDate]]), 3,2)&amp;"'ww"&amp;WEEKNUM(patch[[#This Row],[mergeDate]]))</f>
        <v>16'ww40</v>
      </c>
      <c r="U47" s="7" t="str">
        <f>IF(ISBLANK(patch[[#This Row],[mergeDate]]), U46, MID(YEAR(patch[[#This Row],[mergeDate]]), 3,2)&amp;"'m"&amp;MONTH(patch[[#This Row],[mergeDate]]))</f>
        <v>16'm9</v>
      </c>
      <c r="V47" s="7" t="str">
        <f>IF(ISBLANK(patch[[#This Row],[project]]), "",SUM(patch[[#This Row],[BJ -1 num]:[SH -1 num]]))</f>
        <v/>
      </c>
      <c r="W47" s="7" t="str">
        <f>IF(ISBLANK(patch[[#This Row],[project]]), "",COUNTIFS($A:$A,patch[[#This Row],[number]],$S:$S, "BJ And dev",$AC:$AC, "Review-1"))</f>
        <v/>
      </c>
      <c r="X47" s="7" t="str">
        <f>IF(ISBLANK(patch[[#This Row],[project]]), "",COUNTIFS($A:$A,patch[[#This Row],[number]],$S:$S, "FL And dev",$AC:$AC, "Review-1"))</f>
        <v/>
      </c>
      <c r="Y47" s="7" t="str">
        <f>IF(ISBLANK(patch[[#This Row],[project]]), "",COUNTIFS($A:$A,patch[[#This Row],[number]],$S:$S, "SH And dev",$AC:$AC, "Review-1"))</f>
        <v/>
      </c>
      <c r="Z47" s="7" t="str">
        <f>IF(ISBLANK(patch[[#This Row],[project]]), "",COUNTIFS($A:$A,patch[[#This Row],[number]],$S:$S, "BJ And dev",$AD:$AD, "&lt;&gt;IntegratorValidationComment"))</f>
        <v/>
      </c>
      <c r="AA47" s="7" t="str">
        <f>IF(ISBLANK(patch[[#This Row],[project]]), "",COUNTIFS($A:$A,patch[[#This Row],[number]],$S:$S, "FL And dev",$AD:$AD, "&lt;&gt;IntegratorValidationComment"))</f>
        <v/>
      </c>
      <c r="AB47" s="7" t="str">
        <f>IF(ISBLANK(patch[[#This Row],[project]]), "",COUNTIFS($A:$A,patch[[#This Row],[number]],$S:$S, "SH And dev",$AD:$AD, "&lt;&gt;IntegratorValidationComment"))</f>
        <v/>
      </c>
      <c r="AC47" s="7" t="str">
        <f>IF(OR(ISNUMBER(FIND("Review-1", patch[[#This Row],[comments]])), ISNUMBER(FIND("Approver-1", patch[[#This Row],[comments]]))), "Review-1", "")</f>
        <v/>
      </c>
      <c r="AD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7" s="7">
        <f>IF(ISBLANK(patch[[#This Row],[number]]),AE46,patch[[#This Row],[ifCommon]])</f>
        <v>0</v>
      </c>
    </row>
    <row r="48" spans="1:31">
      <c r="A48" s="151">
        <v>149024</v>
      </c>
      <c r="B48" s="151"/>
      <c r="C48" s="151"/>
      <c r="D48" s="151"/>
      <c r="E48" s="151"/>
      <c r="F48" s="151"/>
      <c r="G48" s="151"/>
      <c r="H48" s="151"/>
      <c r="I48" s="151"/>
      <c r="J48" s="152">
        <v>42643.649502314824</v>
      </c>
      <c r="K48" s="151"/>
      <c r="L48" s="151" t="s">
        <v>32</v>
      </c>
      <c r="M48" s="152">
        <v>42642.503136574072</v>
      </c>
      <c r="N48" s="151" t="s">
        <v>40</v>
      </c>
      <c r="O48" s="151"/>
      <c r="P48" s="151"/>
      <c r="Q48" s="7" t="str">
        <f>IF(ISBLANK(patch[[#This Row],[OwnerEmail]]),Q47,patch[[#This Row],[OwnerEmail]])</f>
        <v>xi.cao@intel.com</v>
      </c>
      <c r="R48" s="7" t="str">
        <f>_xlfn.IFNA(VLOOKUP(patch[[#This Row],[tmp-owner.email]],OrgTree!$A:$K, 11, 0), "not ICG SWFW")</f>
        <v>BJ And dev</v>
      </c>
      <c r="S48" s="7" t="str">
        <f>IF(patch[[#This Row],[reviewer]]=patch[[#This Row],[tmp-owner.email]], "author", _xlfn.IFNA(VLOOKUP(patch[[#This Row],[reviewer]],OrgTree!$A:$K, 11, 0), "not ICG SWFW"))</f>
        <v>BJ And dev</v>
      </c>
      <c r="T48" s="7" t="str">
        <f>IF(ISBLANK(patch[[#This Row],[mergeDate]]), "", MID(YEAR(patch[[#This Row],[mergeDate]]), 3,2)&amp;"'ww"&amp;WEEKNUM(patch[[#This Row],[mergeDate]]))</f>
        <v>16'ww40</v>
      </c>
      <c r="U48" s="7" t="str">
        <f>IF(ISBLANK(patch[[#This Row],[mergeDate]]), U47, MID(YEAR(patch[[#This Row],[mergeDate]]), 3,2)&amp;"'m"&amp;MONTH(patch[[#This Row],[mergeDate]]))</f>
        <v>16'm9</v>
      </c>
      <c r="V48" s="7" t="str">
        <f>IF(ISBLANK(patch[[#This Row],[project]]), "",SUM(patch[[#This Row],[BJ -1 num]:[SH -1 num]]))</f>
        <v/>
      </c>
      <c r="W48" s="7" t="str">
        <f>IF(ISBLANK(patch[[#This Row],[project]]), "",COUNTIFS($A:$A,patch[[#This Row],[number]],$S:$S, "BJ And dev",$AC:$AC, "Review-1"))</f>
        <v/>
      </c>
      <c r="X48" s="7" t="str">
        <f>IF(ISBLANK(patch[[#This Row],[project]]), "",COUNTIFS($A:$A,patch[[#This Row],[number]],$S:$S, "FL And dev",$AC:$AC, "Review-1"))</f>
        <v/>
      </c>
      <c r="Y48" s="7" t="str">
        <f>IF(ISBLANK(patch[[#This Row],[project]]), "",COUNTIFS($A:$A,patch[[#This Row],[number]],$S:$S, "SH And dev",$AC:$AC, "Review-1"))</f>
        <v/>
      </c>
      <c r="Z48" s="7" t="str">
        <f>IF(ISBLANK(patch[[#This Row],[project]]), "",COUNTIFS($A:$A,patch[[#This Row],[number]],$S:$S, "BJ And dev",$AD:$AD, "&lt;&gt;IntegratorValidationComment"))</f>
        <v/>
      </c>
      <c r="AA48" s="7" t="str">
        <f>IF(ISBLANK(patch[[#This Row],[project]]), "",COUNTIFS($A:$A,patch[[#This Row],[number]],$S:$S, "FL And dev",$AD:$AD, "&lt;&gt;IntegratorValidationComment"))</f>
        <v/>
      </c>
      <c r="AB48" s="7" t="str">
        <f>IF(ISBLANK(patch[[#This Row],[project]]), "",COUNTIFS($A:$A,patch[[#This Row],[number]],$S:$S, "SH And dev",$AD:$AD, "&lt;&gt;IntegratorValidationComment"))</f>
        <v/>
      </c>
      <c r="AC48" s="7" t="str">
        <f>IF(OR(ISNUMBER(FIND("Review-1", patch[[#This Row],[comments]])), ISNUMBER(FIND("Approver-1", patch[[#This Row],[comments]]))), "Review-1", "")</f>
        <v/>
      </c>
      <c r="AD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8" s="7">
        <f>IF(ISBLANK(patch[[#This Row],[number]]),AE47,patch[[#This Row],[ifCommon]])</f>
        <v>0</v>
      </c>
    </row>
    <row r="49" spans="1:31">
      <c r="A49" s="151">
        <v>149024</v>
      </c>
      <c r="B49" s="151"/>
      <c r="C49" s="151"/>
      <c r="D49" s="151"/>
      <c r="E49" s="151"/>
      <c r="F49" s="151"/>
      <c r="G49" s="151"/>
      <c r="H49" s="151"/>
      <c r="I49" s="151"/>
      <c r="J49" s="152">
        <v>42643.649502314824</v>
      </c>
      <c r="K49" s="151"/>
      <c r="L49" s="151" t="s">
        <v>55</v>
      </c>
      <c r="M49" s="152">
        <v>42642.751851851863</v>
      </c>
      <c r="N49" s="151" t="s">
        <v>1880</v>
      </c>
      <c r="O49" s="151"/>
      <c r="P49" s="151"/>
      <c r="Q49" s="7" t="str">
        <f>IF(ISBLANK(patch[[#This Row],[OwnerEmail]]),Q48,patch[[#This Row],[OwnerEmail]])</f>
        <v>xi.cao@intel.com</v>
      </c>
      <c r="R49" s="7" t="str">
        <f>_xlfn.IFNA(VLOOKUP(patch[[#This Row],[tmp-owner.email]],OrgTree!$A:$K, 11, 0), "not ICG SWFW")</f>
        <v>BJ And dev</v>
      </c>
      <c r="S49" s="7" t="str">
        <f>IF(patch[[#This Row],[reviewer]]=patch[[#This Row],[tmp-owner.email]], "author", _xlfn.IFNA(VLOOKUP(patch[[#This Row],[reviewer]],OrgTree!$A:$K, 11, 0), "not ICG SWFW"))</f>
        <v>BJ And dev</v>
      </c>
      <c r="T49" s="7" t="str">
        <f>IF(ISBLANK(patch[[#This Row],[mergeDate]]), "", MID(YEAR(patch[[#This Row],[mergeDate]]), 3,2)&amp;"'ww"&amp;WEEKNUM(patch[[#This Row],[mergeDate]]))</f>
        <v>16'ww40</v>
      </c>
      <c r="U49" s="7" t="str">
        <f>IF(ISBLANK(patch[[#This Row],[mergeDate]]), U48, MID(YEAR(patch[[#This Row],[mergeDate]]), 3,2)&amp;"'m"&amp;MONTH(patch[[#This Row],[mergeDate]]))</f>
        <v>16'm9</v>
      </c>
      <c r="V49" s="7" t="str">
        <f>IF(ISBLANK(patch[[#This Row],[project]]), "",SUM(patch[[#This Row],[BJ -1 num]:[SH -1 num]]))</f>
        <v/>
      </c>
      <c r="W49" s="7" t="str">
        <f>IF(ISBLANK(patch[[#This Row],[project]]), "",COUNTIFS($A:$A,patch[[#This Row],[number]],$S:$S, "BJ And dev",$AC:$AC, "Review-1"))</f>
        <v/>
      </c>
      <c r="X49" s="7" t="str">
        <f>IF(ISBLANK(patch[[#This Row],[project]]), "",COUNTIFS($A:$A,patch[[#This Row],[number]],$S:$S, "FL And dev",$AC:$AC, "Review-1"))</f>
        <v/>
      </c>
      <c r="Y49" s="7" t="str">
        <f>IF(ISBLANK(patch[[#This Row],[project]]), "",COUNTIFS($A:$A,patch[[#This Row],[number]],$S:$S, "SH And dev",$AC:$AC, "Review-1"))</f>
        <v/>
      </c>
      <c r="Z49" s="7" t="str">
        <f>IF(ISBLANK(patch[[#This Row],[project]]), "",COUNTIFS($A:$A,patch[[#This Row],[number]],$S:$S, "BJ And dev",$AD:$AD, "&lt;&gt;IntegratorValidationComment"))</f>
        <v/>
      </c>
      <c r="AA49" s="7" t="str">
        <f>IF(ISBLANK(patch[[#This Row],[project]]), "",COUNTIFS($A:$A,patch[[#This Row],[number]],$S:$S, "FL And dev",$AD:$AD, "&lt;&gt;IntegratorValidationComment"))</f>
        <v/>
      </c>
      <c r="AB49" s="7" t="str">
        <f>IF(ISBLANK(patch[[#This Row],[project]]), "",COUNTIFS($A:$A,patch[[#This Row],[number]],$S:$S, "SH And dev",$AD:$AD, "&lt;&gt;IntegratorValidationComment"))</f>
        <v/>
      </c>
      <c r="AC49" s="7" t="str">
        <f>IF(OR(ISNUMBER(FIND("Review-1", patch[[#This Row],[comments]])), ISNUMBER(FIND("Approver-1", patch[[#This Row],[comments]]))), "Review-1", "")</f>
        <v/>
      </c>
      <c r="AD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9" s="7">
        <f>IF(ISBLANK(patch[[#This Row],[number]]),AE48,patch[[#This Row],[ifCommon]])</f>
        <v>0</v>
      </c>
    </row>
    <row r="50" spans="1:31">
      <c r="A50" s="151">
        <v>149024</v>
      </c>
      <c r="B50" s="151"/>
      <c r="C50" s="151"/>
      <c r="D50" s="151"/>
      <c r="E50" s="151"/>
      <c r="F50" s="151"/>
      <c r="G50" s="151"/>
      <c r="H50" s="151"/>
      <c r="I50" s="151"/>
      <c r="J50" s="152">
        <v>42643.649502314824</v>
      </c>
      <c r="K50" s="151"/>
      <c r="L50" s="151" t="s">
        <v>115</v>
      </c>
      <c r="M50" s="152">
        <v>42643.439629629633</v>
      </c>
      <c r="N50" s="151" t="s">
        <v>2494</v>
      </c>
      <c r="O50" s="151"/>
      <c r="P50" s="151"/>
      <c r="Q50" s="7" t="str">
        <f>IF(ISBLANK(patch[[#This Row],[OwnerEmail]]),Q49,patch[[#This Row],[OwnerEmail]])</f>
        <v>xi.cao@intel.com</v>
      </c>
      <c r="R50" s="7" t="str">
        <f>_xlfn.IFNA(VLOOKUP(patch[[#This Row],[tmp-owner.email]],OrgTree!$A:$K, 11, 0), "not ICG SWFW")</f>
        <v>BJ And dev</v>
      </c>
      <c r="S50" s="7" t="str">
        <f>IF(patch[[#This Row],[reviewer]]=patch[[#This Row],[tmp-owner.email]], "author", _xlfn.IFNA(VLOOKUP(patch[[#This Row],[reviewer]],OrgTree!$A:$K, 11, 0), "not ICG SWFW"))</f>
        <v>Val</v>
      </c>
      <c r="T50" s="7" t="str">
        <f>IF(ISBLANK(patch[[#This Row],[mergeDate]]), "", MID(YEAR(patch[[#This Row],[mergeDate]]), 3,2)&amp;"'ww"&amp;WEEKNUM(patch[[#This Row],[mergeDate]]))</f>
        <v>16'ww40</v>
      </c>
      <c r="U50" s="7" t="str">
        <f>IF(ISBLANK(patch[[#This Row],[mergeDate]]), U49, MID(YEAR(patch[[#This Row],[mergeDate]]), 3,2)&amp;"'m"&amp;MONTH(patch[[#This Row],[mergeDate]]))</f>
        <v>16'm9</v>
      </c>
      <c r="V50" s="7" t="str">
        <f>IF(ISBLANK(patch[[#This Row],[project]]), "",SUM(patch[[#This Row],[BJ -1 num]:[SH -1 num]]))</f>
        <v/>
      </c>
      <c r="W50" s="7" t="str">
        <f>IF(ISBLANK(patch[[#This Row],[project]]), "",COUNTIFS($A:$A,patch[[#This Row],[number]],$S:$S, "BJ And dev",$AC:$AC, "Review-1"))</f>
        <v/>
      </c>
      <c r="X50" s="7" t="str">
        <f>IF(ISBLANK(patch[[#This Row],[project]]), "",COUNTIFS($A:$A,patch[[#This Row],[number]],$S:$S, "FL And dev",$AC:$AC, "Review-1"))</f>
        <v/>
      </c>
      <c r="Y50" s="7" t="str">
        <f>IF(ISBLANK(patch[[#This Row],[project]]), "",COUNTIFS($A:$A,patch[[#This Row],[number]],$S:$S, "SH And dev",$AC:$AC, "Review-1"))</f>
        <v/>
      </c>
      <c r="Z50" s="7" t="str">
        <f>IF(ISBLANK(patch[[#This Row],[project]]), "",COUNTIFS($A:$A,patch[[#This Row],[number]],$S:$S, "BJ And dev",$AD:$AD, "&lt;&gt;IntegratorValidationComment"))</f>
        <v/>
      </c>
      <c r="AA50" s="7" t="str">
        <f>IF(ISBLANK(patch[[#This Row],[project]]), "",COUNTIFS($A:$A,patch[[#This Row],[number]],$S:$S, "FL And dev",$AD:$AD, "&lt;&gt;IntegratorValidationComment"))</f>
        <v/>
      </c>
      <c r="AB50" s="7" t="str">
        <f>IF(ISBLANK(patch[[#This Row],[project]]), "",COUNTIFS($A:$A,patch[[#This Row],[number]],$S:$S, "SH And dev",$AD:$AD, "&lt;&gt;IntegratorValidationComment"))</f>
        <v/>
      </c>
      <c r="AC50" s="7" t="str">
        <f>IF(OR(ISNUMBER(FIND("Review-1", patch[[#This Row],[comments]])), ISNUMBER(FIND("Approver-1", patch[[#This Row],[comments]]))), "Review-1", "")</f>
        <v/>
      </c>
      <c r="AD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50" s="7">
        <f>IF(ISBLANK(patch[[#This Row],[number]]),AE49,patch[[#This Row],[ifCommon]])</f>
        <v>0</v>
      </c>
    </row>
    <row r="51" spans="1:31">
      <c r="A51" s="151">
        <v>148878</v>
      </c>
      <c r="B51" s="151" t="s">
        <v>2493</v>
      </c>
      <c r="C51" s="151" t="s">
        <v>2491</v>
      </c>
      <c r="D51" s="151" t="s">
        <v>2602</v>
      </c>
      <c r="E51" s="151" t="s">
        <v>1203</v>
      </c>
      <c r="F51" s="151" t="s">
        <v>23</v>
      </c>
      <c r="G51" s="151" t="s">
        <v>2603</v>
      </c>
      <c r="H51" s="151" t="s">
        <v>2604</v>
      </c>
      <c r="I51" s="152">
        <v>42641.590613425928</v>
      </c>
      <c r="J51" s="152">
        <v>42642.672129629631</v>
      </c>
      <c r="K51" s="151" t="s">
        <v>2445</v>
      </c>
      <c r="L51" s="151" t="s">
        <v>1203</v>
      </c>
      <c r="M51" s="152">
        <v>42641.590613425928</v>
      </c>
      <c r="N51" s="151" t="s">
        <v>2428</v>
      </c>
      <c r="O51" s="151"/>
      <c r="P51" s="151" t="s">
        <v>2556</v>
      </c>
      <c r="Q51" s="7" t="str">
        <f>IF(ISBLANK(patch[[#This Row],[OwnerEmail]]),Q50,patch[[#This Row],[OwnerEmail]])</f>
        <v>xi.cao@intel.com</v>
      </c>
      <c r="R51" s="7" t="str">
        <f>_xlfn.IFNA(VLOOKUP(patch[[#This Row],[tmp-owner.email]],OrgTree!$A:$K, 11, 0), "not ICG SWFW")</f>
        <v>BJ And dev</v>
      </c>
      <c r="S51" s="7" t="str">
        <f>IF(patch[[#This Row],[reviewer]]=patch[[#This Row],[tmp-owner.email]], "author", _xlfn.IFNA(VLOOKUP(patch[[#This Row],[reviewer]],OrgTree!$A:$K, 11, 0), "not ICG SWFW"))</f>
        <v>author</v>
      </c>
      <c r="T51" s="7" t="str">
        <f>IF(ISBLANK(patch[[#This Row],[mergeDate]]), "", MID(YEAR(patch[[#This Row],[mergeDate]]), 3,2)&amp;"'ww"&amp;WEEKNUM(patch[[#This Row],[mergeDate]]))</f>
        <v>16'ww40</v>
      </c>
      <c r="U51" s="7" t="str">
        <f>IF(ISBLANK(patch[[#This Row],[mergeDate]]), U50, MID(YEAR(patch[[#This Row],[mergeDate]]), 3,2)&amp;"'m"&amp;MONTH(patch[[#This Row],[mergeDate]]))</f>
        <v>16'm9</v>
      </c>
      <c r="V51" s="7">
        <f>IF(ISBLANK(patch[[#This Row],[project]]), "",SUM(patch[[#This Row],[BJ -1 num]:[SH -1 num]]))</f>
        <v>0</v>
      </c>
      <c r="W51" s="7">
        <f>IF(ISBLANK(patch[[#This Row],[project]]), "",COUNTIFS($A:$A,patch[[#This Row],[number]],$S:$S, "BJ And dev",$AC:$AC, "Review-1"))</f>
        <v>0</v>
      </c>
      <c r="X51" s="7">
        <f>IF(ISBLANK(patch[[#This Row],[project]]), "",COUNTIFS($A:$A,patch[[#This Row],[number]],$S:$S, "FL And dev",$AC:$AC, "Review-1"))</f>
        <v>0</v>
      </c>
      <c r="Y51" s="7">
        <f>IF(ISBLANK(patch[[#This Row],[project]]), "",COUNTIFS($A:$A,patch[[#This Row],[number]],$S:$S, "SH And dev",$AC:$AC, "Review-1"))</f>
        <v>0</v>
      </c>
      <c r="Z51" s="7">
        <f>IF(ISBLANK(patch[[#This Row],[project]]), "",COUNTIFS($A:$A,patch[[#This Row],[number]],$S:$S, "BJ And dev",$AD:$AD, "&lt;&gt;IntegratorValidationComment"))</f>
        <v>6</v>
      </c>
      <c r="AA51" s="7">
        <f>IF(ISBLANK(patch[[#This Row],[project]]), "",COUNTIFS($A:$A,patch[[#This Row],[number]],$S:$S, "FL And dev",$AD:$AD, "&lt;&gt;IntegratorValidationComment"))</f>
        <v>0</v>
      </c>
      <c r="AB51" s="7">
        <f>IF(ISBLANK(patch[[#This Row],[project]]), "",COUNTIFS($A:$A,patch[[#This Row],[number]],$S:$S, "SH And dev",$AD:$AD, "&lt;&gt;IntegratorValidationComment"))</f>
        <v>0</v>
      </c>
      <c r="AC51" s="7" t="str">
        <f>IF(OR(ISNUMBER(FIND("Review-1", patch[[#This Row],[comments]])), ISNUMBER(FIND("Approver-1", patch[[#This Row],[comments]]))), "Review-1", "")</f>
        <v/>
      </c>
      <c r="AD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1" s="7" t="str">
        <f>IF(ISBLANK(patch[[#This Row],[number]]),AE50,patch[[#This Row],[ifCommon]])</f>
        <v>not AndrHAL</v>
      </c>
    </row>
    <row r="52" spans="1:31">
      <c r="A52" s="151">
        <v>148878</v>
      </c>
      <c r="B52" s="151"/>
      <c r="C52" s="151"/>
      <c r="D52" s="151"/>
      <c r="E52" s="151"/>
      <c r="F52" s="151"/>
      <c r="G52" s="151"/>
      <c r="H52" s="151"/>
      <c r="I52" s="151"/>
      <c r="J52" s="152">
        <v>42642.672129629631</v>
      </c>
      <c r="K52" s="151"/>
      <c r="L52" s="151" t="s">
        <v>1203</v>
      </c>
      <c r="M52" s="152">
        <v>42641.590613425928</v>
      </c>
      <c r="N52" s="151" t="s">
        <v>25</v>
      </c>
      <c r="O52" s="151"/>
      <c r="P52" s="151"/>
      <c r="Q52" s="7" t="str">
        <f>IF(ISBLANK(patch[[#This Row],[OwnerEmail]]),Q51,patch[[#This Row],[OwnerEmail]])</f>
        <v>xi.cao@intel.com</v>
      </c>
      <c r="R52" s="7" t="str">
        <f>_xlfn.IFNA(VLOOKUP(patch[[#This Row],[tmp-owner.email]],OrgTree!$A:$K, 11, 0), "not ICG SWFW")</f>
        <v>BJ And dev</v>
      </c>
      <c r="S52" s="7" t="str">
        <f>IF(patch[[#This Row],[reviewer]]=patch[[#This Row],[tmp-owner.email]], "author", _xlfn.IFNA(VLOOKUP(patch[[#This Row],[reviewer]],OrgTree!$A:$K, 11, 0), "not ICG SWFW"))</f>
        <v>author</v>
      </c>
      <c r="T52" s="7" t="str">
        <f>IF(ISBLANK(patch[[#This Row],[mergeDate]]), "", MID(YEAR(patch[[#This Row],[mergeDate]]), 3,2)&amp;"'ww"&amp;WEEKNUM(patch[[#This Row],[mergeDate]]))</f>
        <v>16'ww40</v>
      </c>
      <c r="U52" s="7" t="str">
        <f>IF(ISBLANK(patch[[#This Row],[mergeDate]]), U51, MID(YEAR(patch[[#This Row],[mergeDate]]), 3,2)&amp;"'m"&amp;MONTH(patch[[#This Row],[mergeDate]]))</f>
        <v>16'm9</v>
      </c>
      <c r="V52" s="7" t="str">
        <f>IF(ISBLANK(patch[[#This Row],[project]]), "",SUM(patch[[#This Row],[BJ -1 num]:[SH -1 num]]))</f>
        <v/>
      </c>
      <c r="W52" s="7" t="str">
        <f>IF(ISBLANK(patch[[#This Row],[project]]), "",COUNTIFS($A:$A,patch[[#This Row],[number]],$S:$S, "BJ And dev",$AC:$AC, "Review-1"))</f>
        <v/>
      </c>
      <c r="X52" s="7" t="str">
        <f>IF(ISBLANK(patch[[#This Row],[project]]), "",COUNTIFS($A:$A,patch[[#This Row],[number]],$S:$S, "FL And dev",$AC:$AC, "Review-1"))</f>
        <v/>
      </c>
      <c r="Y52" s="7" t="str">
        <f>IF(ISBLANK(patch[[#This Row],[project]]), "",COUNTIFS($A:$A,patch[[#This Row],[number]],$S:$S, "SH And dev",$AC:$AC, "Review-1"))</f>
        <v/>
      </c>
      <c r="Z52" s="7" t="str">
        <f>IF(ISBLANK(patch[[#This Row],[project]]), "",COUNTIFS($A:$A,patch[[#This Row],[number]],$S:$S, "BJ And dev",$AD:$AD, "&lt;&gt;IntegratorValidationComment"))</f>
        <v/>
      </c>
      <c r="AA52" s="7" t="str">
        <f>IF(ISBLANK(patch[[#This Row],[project]]), "",COUNTIFS($A:$A,patch[[#This Row],[number]],$S:$S, "FL And dev",$AD:$AD, "&lt;&gt;IntegratorValidationComment"))</f>
        <v/>
      </c>
      <c r="AB52" s="7" t="str">
        <f>IF(ISBLANK(patch[[#This Row],[project]]), "",COUNTIFS($A:$A,patch[[#This Row],[number]],$S:$S, "SH And dev",$AD:$AD, "&lt;&gt;IntegratorValidationComment"))</f>
        <v/>
      </c>
      <c r="AC52" s="7" t="str">
        <f>IF(OR(ISNUMBER(FIND("Review-1", patch[[#This Row],[comments]])), ISNUMBER(FIND("Approver-1", patch[[#This Row],[comments]]))), "Review-1", "")</f>
        <v/>
      </c>
      <c r="AD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2" s="7">
        <f>IF(ISBLANK(patch[[#This Row],[number]]),AE51,patch[[#This Row],[ifCommon]])</f>
        <v>0</v>
      </c>
    </row>
    <row r="53" spans="1:31">
      <c r="A53" s="151">
        <v>148878</v>
      </c>
      <c r="B53" s="151"/>
      <c r="C53" s="151"/>
      <c r="D53" s="151"/>
      <c r="E53" s="151"/>
      <c r="F53" s="151"/>
      <c r="G53" s="151"/>
      <c r="H53" s="151"/>
      <c r="I53" s="151"/>
      <c r="J53" s="152">
        <v>42642.672129629631</v>
      </c>
      <c r="K53" s="151"/>
      <c r="L53" s="151" t="s">
        <v>1203</v>
      </c>
      <c r="M53" s="152">
        <v>42641.590891203698</v>
      </c>
      <c r="N53" s="151" t="s">
        <v>40</v>
      </c>
      <c r="O53" s="151"/>
      <c r="P53" s="151"/>
      <c r="Q53" s="7" t="str">
        <f>IF(ISBLANK(patch[[#This Row],[OwnerEmail]]),Q52,patch[[#This Row],[OwnerEmail]])</f>
        <v>xi.cao@intel.com</v>
      </c>
      <c r="R53" s="7" t="str">
        <f>_xlfn.IFNA(VLOOKUP(patch[[#This Row],[tmp-owner.email]],OrgTree!$A:$K, 11, 0), "not ICG SWFW")</f>
        <v>BJ And dev</v>
      </c>
      <c r="S53" s="7" t="str">
        <f>IF(patch[[#This Row],[reviewer]]=patch[[#This Row],[tmp-owner.email]], "author", _xlfn.IFNA(VLOOKUP(patch[[#This Row],[reviewer]],OrgTree!$A:$K, 11, 0), "not ICG SWFW"))</f>
        <v>author</v>
      </c>
      <c r="T53" s="7" t="str">
        <f>IF(ISBLANK(patch[[#This Row],[mergeDate]]), "", MID(YEAR(patch[[#This Row],[mergeDate]]), 3,2)&amp;"'ww"&amp;WEEKNUM(patch[[#This Row],[mergeDate]]))</f>
        <v>16'ww40</v>
      </c>
      <c r="U53" s="7" t="str">
        <f>IF(ISBLANK(patch[[#This Row],[mergeDate]]), U52, MID(YEAR(patch[[#This Row],[mergeDate]]), 3,2)&amp;"'m"&amp;MONTH(patch[[#This Row],[mergeDate]]))</f>
        <v>16'm9</v>
      </c>
      <c r="V53" s="7" t="str">
        <f>IF(ISBLANK(patch[[#This Row],[project]]), "",SUM(patch[[#This Row],[BJ -1 num]:[SH -1 num]]))</f>
        <v/>
      </c>
      <c r="W53" s="7" t="str">
        <f>IF(ISBLANK(patch[[#This Row],[project]]), "",COUNTIFS($A:$A,patch[[#This Row],[number]],$S:$S, "BJ And dev",$AC:$AC, "Review-1"))</f>
        <v/>
      </c>
      <c r="X53" s="7" t="str">
        <f>IF(ISBLANK(patch[[#This Row],[project]]), "",COUNTIFS($A:$A,patch[[#This Row],[number]],$S:$S, "FL And dev",$AC:$AC, "Review-1"))</f>
        <v/>
      </c>
      <c r="Y53" s="7" t="str">
        <f>IF(ISBLANK(patch[[#This Row],[project]]), "",COUNTIFS($A:$A,patch[[#This Row],[number]],$S:$S, "SH And dev",$AC:$AC, "Review-1"))</f>
        <v/>
      </c>
      <c r="Z53" s="7" t="str">
        <f>IF(ISBLANK(patch[[#This Row],[project]]), "",COUNTIFS($A:$A,patch[[#This Row],[number]],$S:$S, "BJ And dev",$AD:$AD, "&lt;&gt;IntegratorValidationComment"))</f>
        <v/>
      </c>
      <c r="AA53" s="7" t="str">
        <f>IF(ISBLANK(patch[[#This Row],[project]]), "",COUNTIFS($A:$A,patch[[#This Row],[number]],$S:$S, "FL And dev",$AD:$AD, "&lt;&gt;IntegratorValidationComment"))</f>
        <v/>
      </c>
      <c r="AB53" s="7" t="str">
        <f>IF(ISBLANK(patch[[#This Row],[project]]), "",COUNTIFS($A:$A,patch[[#This Row],[number]],$S:$S, "SH And dev",$AD:$AD, "&lt;&gt;IntegratorValidationComment"))</f>
        <v/>
      </c>
      <c r="AC53" s="7" t="str">
        <f>IF(OR(ISNUMBER(FIND("Review-1", patch[[#This Row],[comments]])), ISNUMBER(FIND("Approver-1", patch[[#This Row],[comments]]))), "Review-1", "")</f>
        <v/>
      </c>
      <c r="AD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3" s="7">
        <f>IF(ISBLANK(patch[[#This Row],[number]]),AE52,patch[[#This Row],[ifCommon]])</f>
        <v>0</v>
      </c>
    </row>
    <row r="54" spans="1:31">
      <c r="A54" s="151">
        <v>148878</v>
      </c>
      <c r="B54" s="151"/>
      <c r="C54" s="151"/>
      <c r="D54" s="151"/>
      <c r="E54" s="151"/>
      <c r="F54" s="151"/>
      <c r="G54" s="151"/>
      <c r="H54" s="151"/>
      <c r="I54" s="151"/>
      <c r="J54" s="152">
        <v>42642.672129629631</v>
      </c>
      <c r="K54" s="151"/>
      <c r="L54" s="151" t="s">
        <v>59</v>
      </c>
      <c r="M54" s="152">
        <v>42641.598009259258</v>
      </c>
      <c r="N54" s="151" t="s">
        <v>2605</v>
      </c>
      <c r="O54" s="151"/>
      <c r="P54" s="151"/>
      <c r="Q54" s="7" t="str">
        <f>IF(ISBLANK(patch[[#This Row],[OwnerEmail]]),Q53,patch[[#This Row],[OwnerEmail]])</f>
        <v>xi.cao@intel.com</v>
      </c>
      <c r="R54" s="7" t="str">
        <f>_xlfn.IFNA(VLOOKUP(patch[[#This Row],[tmp-owner.email]],OrgTree!$A:$K, 11, 0), "not ICG SWFW")</f>
        <v>BJ And dev</v>
      </c>
      <c r="S54" s="7" t="str">
        <f>IF(patch[[#This Row],[reviewer]]=patch[[#This Row],[tmp-owner.email]], "author", _xlfn.IFNA(VLOOKUP(patch[[#This Row],[reviewer]],OrgTree!$A:$K, 11, 0), "not ICG SWFW"))</f>
        <v>BJ And dev</v>
      </c>
      <c r="T54" s="7" t="str">
        <f>IF(ISBLANK(patch[[#This Row],[mergeDate]]), "", MID(YEAR(patch[[#This Row],[mergeDate]]), 3,2)&amp;"'ww"&amp;WEEKNUM(patch[[#This Row],[mergeDate]]))</f>
        <v>16'ww40</v>
      </c>
      <c r="U54" s="7" t="str">
        <f>IF(ISBLANK(patch[[#This Row],[mergeDate]]), U53, MID(YEAR(patch[[#This Row],[mergeDate]]), 3,2)&amp;"'m"&amp;MONTH(patch[[#This Row],[mergeDate]]))</f>
        <v>16'm9</v>
      </c>
      <c r="V54" s="7" t="str">
        <f>IF(ISBLANK(patch[[#This Row],[project]]), "",SUM(patch[[#This Row],[BJ -1 num]:[SH -1 num]]))</f>
        <v/>
      </c>
      <c r="W54" s="7" t="str">
        <f>IF(ISBLANK(patch[[#This Row],[project]]), "",COUNTIFS($A:$A,patch[[#This Row],[number]],$S:$S, "BJ And dev",$AC:$AC, "Review-1"))</f>
        <v/>
      </c>
      <c r="X54" s="7" t="str">
        <f>IF(ISBLANK(patch[[#This Row],[project]]), "",COUNTIFS($A:$A,patch[[#This Row],[number]],$S:$S, "FL And dev",$AC:$AC, "Review-1"))</f>
        <v/>
      </c>
      <c r="Y54" s="7" t="str">
        <f>IF(ISBLANK(patch[[#This Row],[project]]), "",COUNTIFS($A:$A,patch[[#This Row],[number]],$S:$S, "SH And dev",$AC:$AC, "Review-1"))</f>
        <v/>
      </c>
      <c r="Z54" s="7" t="str">
        <f>IF(ISBLANK(patch[[#This Row],[project]]), "",COUNTIFS($A:$A,patch[[#This Row],[number]],$S:$S, "BJ And dev",$AD:$AD, "&lt;&gt;IntegratorValidationComment"))</f>
        <v/>
      </c>
      <c r="AA54" s="7" t="str">
        <f>IF(ISBLANK(patch[[#This Row],[project]]), "",COUNTIFS($A:$A,patch[[#This Row],[number]],$S:$S, "FL And dev",$AD:$AD, "&lt;&gt;IntegratorValidationComment"))</f>
        <v/>
      </c>
      <c r="AB54" s="7" t="str">
        <f>IF(ISBLANK(patch[[#This Row],[project]]), "",COUNTIFS($A:$A,patch[[#This Row],[number]],$S:$S, "SH And dev",$AD:$AD, "&lt;&gt;IntegratorValidationComment"))</f>
        <v/>
      </c>
      <c r="AC54" s="7" t="str">
        <f>IF(OR(ISNUMBER(FIND("Review-1", patch[[#This Row],[comments]])), ISNUMBER(FIND("Approver-1", patch[[#This Row],[comments]]))), "Review-1", "")</f>
        <v/>
      </c>
      <c r="AD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4" s="7">
        <f>IF(ISBLANK(patch[[#This Row],[number]]),AE53,patch[[#This Row],[ifCommon]])</f>
        <v>0</v>
      </c>
    </row>
    <row r="55" spans="1:31">
      <c r="A55" s="151">
        <v>148878</v>
      </c>
      <c r="B55" s="151"/>
      <c r="C55" s="151"/>
      <c r="D55" s="151"/>
      <c r="E55" s="151"/>
      <c r="F55" s="151"/>
      <c r="G55" s="151"/>
      <c r="H55" s="151"/>
      <c r="I55" s="151"/>
      <c r="J55" s="152">
        <v>42642.672129629631</v>
      </c>
      <c r="K55" s="151"/>
      <c r="L55" s="151" t="s">
        <v>59</v>
      </c>
      <c r="M55" s="152">
        <v>42641.600173611107</v>
      </c>
      <c r="N55" s="151" t="s">
        <v>2606</v>
      </c>
      <c r="O55" s="151"/>
      <c r="P55" s="151"/>
      <c r="Q55" s="7" t="str">
        <f>IF(ISBLANK(patch[[#This Row],[OwnerEmail]]),Q54,patch[[#This Row],[OwnerEmail]])</f>
        <v>xi.cao@intel.com</v>
      </c>
      <c r="R55" s="7" t="str">
        <f>_xlfn.IFNA(VLOOKUP(patch[[#This Row],[tmp-owner.email]],OrgTree!$A:$K, 11, 0), "not ICG SWFW")</f>
        <v>BJ And dev</v>
      </c>
      <c r="S55" s="7" t="str">
        <f>IF(patch[[#This Row],[reviewer]]=patch[[#This Row],[tmp-owner.email]], "author", _xlfn.IFNA(VLOOKUP(patch[[#This Row],[reviewer]],OrgTree!$A:$K, 11, 0), "not ICG SWFW"))</f>
        <v>BJ And dev</v>
      </c>
      <c r="T55" s="7" t="str">
        <f>IF(ISBLANK(patch[[#This Row],[mergeDate]]), "", MID(YEAR(patch[[#This Row],[mergeDate]]), 3,2)&amp;"'ww"&amp;WEEKNUM(patch[[#This Row],[mergeDate]]))</f>
        <v>16'ww40</v>
      </c>
      <c r="U55" s="7" t="str">
        <f>IF(ISBLANK(patch[[#This Row],[mergeDate]]), U54, MID(YEAR(patch[[#This Row],[mergeDate]]), 3,2)&amp;"'m"&amp;MONTH(patch[[#This Row],[mergeDate]]))</f>
        <v>16'm9</v>
      </c>
      <c r="V55" s="7" t="str">
        <f>IF(ISBLANK(patch[[#This Row],[project]]), "",SUM(patch[[#This Row],[BJ -1 num]:[SH -1 num]]))</f>
        <v/>
      </c>
      <c r="W55" s="7" t="str">
        <f>IF(ISBLANK(patch[[#This Row],[project]]), "",COUNTIFS($A:$A,patch[[#This Row],[number]],$S:$S, "BJ And dev",$AC:$AC, "Review-1"))</f>
        <v/>
      </c>
      <c r="X55" s="7" t="str">
        <f>IF(ISBLANK(patch[[#This Row],[project]]), "",COUNTIFS($A:$A,patch[[#This Row],[number]],$S:$S, "FL And dev",$AC:$AC, "Review-1"))</f>
        <v/>
      </c>
      <c r="Y55" s="7" t="str">
        <f>IF(ISBLANK(patch[[#This Row],[project]]), "",COUNTIFS($A:$A,patch[[#This Row],[number]],$S:$S, "SH And dev",$AC:$AC, "Review-1"))</f>
        <v/>
      </c>
      <c r="Z55" s="7" t="str">
        <f>IF(ISBLANK(patch[[#This Row],[project]]), "",COUNTIFS($A:$A,patch[[#This Row],[number]],$S:$S, "BJ And dev",$AD:$AD, "&lt;&gt;IntegratorValidationComment"))</f>
        <v/>
      </c>
      <c r="AA55" s="7" t="str">
        <f>IF(ISBLANK(patch[[#This Row],[project]]), "",COUNTIFS($A:$A,patch[[#This Row],[number]],$S:$S, "FL And dev",$AD:$AD, "&lt;&gt;IntegratorValidationComment"))</f>
        <v/>
      </c>
      <c r="AB55" s="7" t="str">
        <f>IF(ISBLANK(patch[[#This Row],[project]]), "",COUNTIFS($A:$A,patch[[#This Row],[number]],$S:$S, "SH And dev",$AD:$AD, "&lt;&gt;IntegratorValidationComment"))</f>
        <v/>
      </c>
      <c r="AC55" s="7" t="str">
        <f>IF(OR(ISNUMBER(FIND("Review-1", patch[[#This Row],[comments]])), ISNUMBER(FIND("Approver-1", patch[[#This Row],[comments]]))), "Review-1", "")</f>
        <v/>
      </c>
      <c r="AD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5" s="7">
        <f>IF(ISBLANK(patch[[#This Row],[number]]),AE54,patch[[#This Row],[ifCommon]])</f>
        <v>0</v>
      </c>
    </row>
    <row r="56" spans="1:31">
      <c r="A56" s="151">
        <v>148878</v>
      </c>
      <c r="B56" s="151"/>
      <c r="C56" s="151"/>
      <c r="D56" s="151"/>
      <c r="E56" s="151"/>
      <c r="F56" s="151"/>
      <c r="G56" s="151"/>
      <c r="H56" s="151"/>
      <c r="I56" s="151"/>
      <c r="J56" s="152">
        <v>42642.672129629631</v>
      </c>
      <c r="K56" s="151"/>
      <c r="L56" s="151" t="s">
        <v>32</v>
      </c>
      <c r="M56" s="152">
        <v>42641.602638888893</v>
      </c>
      <c r="N56" s="151" t="s">
        <v>40</v>
      </c>
      <c r="O56" s="151"/>
      <c r="P56" s="151"/>
      <c r="Q56" s="7" t="str">
        <f>IF(ISBLANK(patch[[#This Row],[OwnerEmail]]),Q55,patch[[#This Row],[OwnerEmail]])</f>
        <v>xi.cao@intel.com</v>
      </c>
      <c r="R56" s="7" t="str">
        <f>_xlfn.IFNA(VLOOKUP(patch[[#This Row],[tmp-owner.email]],OrgTree!$A:$K, 11, 0), "not ICG SWFW")</f>
        <v>BJ And dev</v>
      </c>
      <c r="S56" s="7" t="str">
        <f>IF(patch[[#This Row],[reviewer]]=patch[[#This Row],[tmp-owner.email]], "author", _xlfn.IFNA(VLOOKUP(patch[[#This Row],[reviewer]],OrgTree!$A:$K, 11, 0), "not ICG SWFW"))</f>
        <v>BJ And dev</v>
      </c>
      <c r="T56" s="7" t="str">
        <f>IF(ISBLANK(patch[[#This Row],[mergeDate]]), "", MID(YEAR(patch[[#This Row],[mergeDate]]), 3,2)&amp;"'ww"&amp;WEEKNUM(patch[[#This Row],[mergeDate]]))</f>
        <v>16'ww40</v>
      </c>
      <c r="U56" s="7" t="str">
        <f>IF(ISBLANK(patch[[#This Row],[mergeDate]]), U55, MID(YEAR(patch[[#This Row],[mergeDate]]), 3,2)&amp;"'m"&amp;MONTH(patch[[#This Row],[mergeDate]]))</f>
        <v>16'm9</v>
      </c>
      <c r="V56" s="7" t="str">
        <f>IF(ISBLANK(patch[[#This Row],[project]]), "",SUM(patch[[#This Row],[BJ -1 num]:[SH -1 num]]))</f>
        <v/>
      </c>
      <c r="W56" s="7" t="str">
        <f>IF(ISBLANK(patch[[#This Row],[project]]), "",COUNTIFS($A:$A,patch[[#This Row],[number]],$S:$S, "BJ And dev",$AC:$AC, "Review-1"))</f>
        <v/>
      </c>
      <c r="X56" s="7" t="str">
        <f>IF(ISBLANK(patch[[#This Row],[project]]), "",COUNTIFS($A:$A,patch[[#This Row],[number]],$S:$S, "FL And dev",$AC:$AC, "Review-1"))</f>
        <v/>
      </c>
      <c r="Y56" s="7" t="str">
        <f>IF(ISBLANK(patch[[#This Row],[project]]), "",COUNTIFS($A:$A,patch[[#This Row],[number]],$S:$S, "SH And dev",$AC:$AC, "Review-1"))</f>
        <v/>
      </c>
      <c r="Z56" s="7" t="str">
        <f>IF(ISBLANK(patch[[#This Row],[project]]), "",COUNTIFS($A:$A,patch[[#This Row],[number]],$S:$S, "BJ And dev",$AD:$AD, "&lt;&gt;IntegratorValidationComment"))</f>
        <v/>
      </c>
      <c r="AA56" s="7" t="str">
        <f>IF(ISBLANK(patch[[#This Row],[project]]), "",COUNTIFS($A:$A,patch[[#This Row],[number]],$S:$S, "FL And dev",$AD:$AD, "&lt;&gt;IntegratorValidationComment"))</f>
        <v/>
      </c>
      <c r="AB56" s="7" t="str">
        <f>IF(ISBLANK(patch[[#This Row],[project]]), "",COUNTIFS($A:$A,patch[[#This Row],[number]],$S:$S, "SH And dev",$AD:$AD, "&lt;&gt;IntegratorValidationComment"))</f>
        <v/>
      </c>
      <c r="AC56" s="7" t="str">
        <f>IF(OR(ISNUMBER(FIND("Review-1", patch[[#This Row],[comments]])), ISNUMBER(FIND("Approver-1", patch[[#This Row],[comments]]))), "Review-1", "")</f>
        <v/>
      </c>
      <c r="AD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6" s="7">
        <f>IF(ISBLANK(patch[[#This Row],[number]]),AE55,patch[[#This Row],[ifCommon]])</f>
        <v>0</v>
      </c>
    </row>
    <row r="57" spans="1:31">
      <c r="A57" s="151">
        <v>148878</v>
      </c>
      <c r="B57" s="151"/>
      <c r="C57" s="151"/>
      <c r="D57" s="151"/>
      <c r="E57" s="151"/>
      <c r="F57" s="151"/>
      <c r="G57" s="151"/>
      <c r="H57" s="151"/>
      <c r="I57" s="151"/>
      <c r="J57" s="152">
        <v>42642.672129629631</v>
      </c>
      <c r="K57" s="151"/>
      <c r="L57" s="151" t="s">
        <v>63</v>
      </c>
      <c r="M57" s="152">
        <v>42641.616979166669</v>
      </c>
      <c r="N57" s="151" t="s">
        <v>40</v>
      </c>
      <c r="O57" s="151"/>
      <c r="P57" s="151"/>
      <c r="Q57" s="7" t="str">
        <f>IF(ISBLANK(patch[[#This Row],[OwnerEmail]]),Q56,patch[[#This Row],[OwnerEmail]])</f>
        <v>xi.cao@intel.com</v>
      </c>
      <c r="R57" s="7" t="str">
        <f>_xlfn.IFNA(VLOOKUP(patch[[#This Row],[tmp-owner.email]],OrgTree!$A:$K, 11, 0), "not ICG SWFW")</f>
        <v>BJ And dev</v>
      </c>
      <c r="S57" s="7" t="str">
        <f>IF(patch[[#This Row],[reviewer]]=patch[[#This Row],[tmp-owner.email]], "author", _xlfn.IFNA(VLOOKUP(patch[[#This Row],[reviewer]],OrgTree!$A:$K, 11, 0), "not ICG SWFW"))</f>
        <v>BJ And dev</v>
      </c>
      <c r="T57" s="7" t="str">
        <f>IF(ISBLANK(patch[[#This Row],[mergeDate]]), "", MID(YEAR(patch[[#This Row],[mergeDate]]), 3,2)&amp;"'ww"&amp;WEEKNUM(patch[[#This Row],[mergeDate]]))</f>
        <v>16'ww40</v>
      </c>
      <c r="U57" s="7" t="str">
        <f>IF(ISBLANK(patch[[#This Row],[mergeDate]]), U56, MID(YEAR(patch[[#This Row],[mergeDate]]), 3,2)&amp;"'m"&amp;MONTH(patch[[#This Row],[mergeDate]]))</f>
        <v>16'm9</v>
      </c>
      <c r="V57" s="7" t="str">
        <f>IF(ISBLANK(patch[[#This Row],[project]]), "",SUM(patch[[#This Row],[BJ -1 num]:[SH -1 num]]))</f>
        <v/>
      </c>
      <c r="W57" s="7" t="str">
        <f>IF(ISBLANK(patch[[#This Row],[project]]), "",COUNTIFS($A:$A,patch[[#This Row],[number]],$S:$S, "BJ And dev",$AC:$AC, "Review-1"))</f>
        <v/>
      </c>
      <c r="X57" s="7" t="str">
        <f>IF(ISBLANK(patch[[#This Row],[project]]), "",COUNTIFS($A:$A,patch[[#This Row],[number]],$S:$S, "FL And dev",$AC:$AC, "Review-1"))</f>
        <v/>
      </c>
      <c r="Y57" s="7" t="str">
        <f>IF(ISBLANK(patch[[#This Row],[project]]), "",COUNTIFS($A:$A,patch[[#This Row],[number]],$S:$S, "SH And dev",$AC:$AC, "Review-1"))</f>
        <v/>
      </c>
      <c r="Z57" s="7" t="str">
        <f>IF(ISBLANK(patch[[#This Row],[project]]), "",COUNTIFS($A:$A,patch[[#This Row],[number]],$S:$S, "BJ And dev",$AD:$AD, "&lt;&gt;IntegratorValidationComment"))</f>
        <v/>
      </c>
      <c r="AA57" s="7" t="str">
        <f>IF(ISBLANK(patch[[#This Row],[project]]), "",COUNTIFS($A:$A,patch[[#This Row],[number]],$S:$S, "FL And dev",$AD:$AD, "&lt;&gt;IntegratorValidationComment"))</f>
        <v/>
      </c>
      <c r="AB57" s="7" t="str">
        <f>IF(ISBLANK(patch[[#This Row],[project]]), "",COUNTIFS($A:$A,patch[[#This Row],[number]],$S:$S, "SH And dev",$AD:$AD, "&lt;&gt;IntegratorValidationComment"))</f>
        <v/>
      </c>
      <c r="AC57" s="7" t="str">
        <f>IF(OR(ISNUMBER(FIND("Review-1", patch[[#This Row],[comments]])), ISNUMBER(FIND("Approver-1", patch[[#This Row],[comments]]))), "Review-1", "")</f>
        <v/>
      </c>
      <c r="AD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7" s="7">
        <f>IF(ISBLANK(patch[[#This Row],[number]]),AE56,patch[[#This Row],[ifCommon]])</f>
        <v>0</v>
      </c>
    </row>
    <row r="58" spans="1:31">
      <c r="A58" s="151">
        <v>148878</v>
      </c>
      <c r="B58" s="151"/>
      <c r="C58" s="151"/>
      <c r="D58" s="151"/>
      <c r="E58" s="151"/>
      <c r="F58" s="151"/>
      <c r="G58" s="151"/>
      <c r="H58" s="151"/>
      <c r="I58" s="151"/>
      <c r="J58" s="152">
        <v>42642.672129629631</v>
      </c>
      <c r="K58" s="151"/>
      <c r="L58" s="151" t="s">
        <v>59</v>
      </c>
      <c r="M58" s="152">
        <v>42641.625925925917</v>
      </c>
      <c r="N58" s="151" t="s">
        <v>2607</v>
      </c>
      <c r="O58" s="151"/>
      <c r="P58" s="151"/>
      <c r="Q58" s="7" t="str">
        <f>IF(ISBLANK(patch[[#This Row],[OwnerEmail]]),Q57,patch[[#This Row],[OwnerEmail]])</f>
        <v>xi.cao@intel.com</v>
      </c>
      <c r="R58" s="7" t="str">
        <f>_xlfn.IFNA(VLOOKUP(patch[[#This Row],[tmp-owner.email]],OrgTree!$A:$K, 11, 0), "not ICG SWFW")</f>
        <v>BJ And dev</v>
      </c>
      <c r="S58" s="7" t="str">
        <f>IF(patch[[#This Row],[reviewer]]=patch[[#This Row],[tmp-owner.email]], "author", _xlfn.IFNA(VLOOKUP(patch[[#This Row],[reviewer]],OrgTree!$A:$K, 11, 0), "not ICG SWFW"))</f>
        <v>BJ And dev</v>
      </c>
      <c r="T58" s="7" t="str">
        <f>IF(ISBLANK(patch[[#This Row],[mergeDate]]), "", MID(YEAR(patch[[#This Row],[mergeDate]]), 3,2)&amp;"'ww"&amp;WEEKNUM(patch[[#This Row],[mergeDate]]))</f>
        <v>16'ww40</v>
      </c>
      <c r="U58" s="7" t="str">
        <f>IF(ISBLANK(patch[[#This Row],[mergeDate]]), U57, MID(YEAR(patch[[#This Row],[mergeDate]]), 3,2)&amp;"'m"&amp;MONTH(patch[[#This Row],[mergeDate]]))</f>
        <v>16'm9</v>
      </c>
      <c r="V58" s="7" t="str">
        <f>IF(ISBLANK(patch[[#This Row],[project]]), "",SUM(patch[[#This Row],[BJ -1 num]:[SH -1 num]]))</f>
        <v/>
      </c>
      <c r="W58" s="7" t="str">
        <f>IF(ISBLANK(patch[[#This Row],[project]]), "",COUNTIFS($A:$A,patch[[#This Row],[number]],$S:$S, "BJ And dev",$AC:$AC, "Review-1"))</f>
        <v/>
      </c>
      <c r="X58" s="7" t="str">
        <f>IF(ISBLANK(patch[[#This Row],[project]]), "",COUNTIFS($A:$A,patch[[#This Row],[number]],$S:$S, "FL And dev",$AC:$AC, "Review-1"))</f>
        <v/>
      </c>
      <c r="Y58" s="7" t="str">
        <f>IF(ISBLANK(patch[[#This Row],[project]]), "",COUNTIFS($A:$A,patch[[#This Row],[number]],$S:$S, "SH And dev",$AC:$AC, "Review-1"))</f>
        <v/>
      </c>
      <c r="Z58" s="7" t="str">
        <f>IF(ISBLANK(patch[[#This Row],[project]]), "",COUNTIFS($A:$A,patch[[#This Row],[number]],$S:$S, "BJ And dev",$AD:$AD, "&lt;&gt;IntegratorValidationComment"))</f>
        <v/>
      </c>
      <c r="AA58" s="7" t="str">
        <f>IF(ISBLANK(patch[[#This Row],[project]]), "",COUNTIFS($A:$A,patch[[#This Row],[number]],$S:$S, "FL And dev",$AD:$AD, "&lt;&gt;IntegratorValidationComment"))</f>
        <v/>
      </c>
      <c r="AB58" s="7" t="str">
        <f>IF(ISBLANK(patch[[#This Row],[project]]), "",COUNTIFS($A:$A,patch[[#This Row],[number]],$S:$S, "SH And dev",$AD:$AD, "&lt;&gt;IntegratorValidationComment"))</f>
        <v/>
      </c>
      <c r="AC58" s="7" t="str">
        <f>IF(OR(ISNUMBER(FIND("Review-1", patch[[#This Row],[comments]])), ISNUMBER(FIND("Approver-1", patch[[#This Row],[comments]]))), "Review-1", "")</f>
        <v/>
      </c>
      <c r="AD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8" s="7">
        <f>IF(ISBLANK(patch[[#This Row],[number]]),AE57,patch[[#This Row],[ifCommon]])</f>
        <v>0</v>
      </c>
    </row>
    <row r="59" spans="1:31">
      <c r="A59" s="151">
        <v>148878</v>
      </c>
      <c r="B59" s="151"/>
      <c r="C59" s="151"/>
      <c r="D59" s="151"/>
      <c r="E59" s="151"/>
      <c r="F59" s="151"/>
      <c r="G59" s="151"/>
      <c r="H59" s="151"/>
      <c r="I59" s="151"/>
      <c r="J59" s="152">
        <v>42642.672129629631</v>
      </c>
      <c r="K59" s="151"/>
      <c r="L59" s="151" t="s">
        <v>59</v>
      </c>
      <c r="M59" s="152">
        <v>42641.626620370371</v>
      </c>
      <c r="N59" s="151" t="s">
        <v>1880</v>
      </c>
      <c r="O59" s="151"/>
      <c r="P59" s="151"/>
      <c r="Q59" s="7" t="str">
        <f>IF(ISBLANK(patch[[#This Row],[OwnerEmail]]),Q58,patch[[#This Row],[OwnerEmail]])</f>
        <v>xi.cao@intel.com</v>
      </c>
      <c r="R59" s="7" t="str">
        <f>_xlfn.IFNA(VLOOKUP(patch[[#This Row],[tmp-owner.email]],OrgTree!$A:$K, 11, 0), "not ICG SWFW")</f>
        <v>BJ And dev</v>
      </c>
      <c r="S59" s="7" t="str">
        <f>IF(patch[[#This Row],[reviewer]]=patch[[#This Row],[tmp-owner.email]], "author", _xlfn.IFNA(VLOOKUP(patch[[#This Row],[reviewer]],OrgTree!$A:$K, 11, 0), "not ICG SWFW"))</f>
        <v>BJ And dev</v>
      </c>
      <c r="T59" s="7" t="str">
        <f>IF(ISBLANK(patch[[#This Row],[mergeDate]]), "", MID(YEAR(patch[[#This Row],[mergeDate]]), 3,2)&amp;"'ww"&amp;WEEKNUM(patch[[#This Row],[mergeDate]]))</f>
        <v>16'ww40</v>
      </c>
      <c r="U59" s="7" t="str">
        <f>IF(ISBLANK(patch[[#This Row],[mergeDate]]), U58, MID(YEAR(patch[[#This Row],[mergeDate]]), 3,2)&amp;"'m"&amp;MONTH(patch[[#This Row],[mergeDate]]))</f>
        <v>16'm9</v>
      </c>
      <c r="V59" s="7" t="str">
        <f>IF(ISBLANK(patch[[#This Row],[project]]), "",SUM(patch[[#This Row],[BJ -1 num]:[SH -1 num]]))</f>
        <v/>
      </c>
      <c r="W59" s="7" t="str">
        <f>IF(ISBLANK(patch[[#This Row],[project]]), "",COUNTIFS($A:$A,patch[[#This Row],[number]],$S:$S, "BJ And dev",$AC:$AC, "Review-1"))</f>
        <v/>
      </c>
      <c r="X59" s="7" t="str">
        <f>IF(ISBLANK(patch[[#This Row],[project]]), "",COUNTIFS($A:$A,patch[[#This Row],[number]],$S:$S, "FL And dev",$AC:$AC, "Review-1"))</f>
        <v/>
      </c>
      <c r="Y59" s="7" t="str">
        <f>IF(ISBLANK(patch[[#This Row],[project]]), "",COUNTIFS($A:$A,patch[[#This Row],[number]],$S:$S, "SH And dev",$AC:$AC, "Review-1"))</f>
        <v/>
      </c>
      <c r="Z59" s="7" t="str">
        <f>IF(ISBLANK(patch[[#This Row],[project]]), "",COUNTIFS($A:$A,patch[[#This Row],[number]],$S:$S, "BJ And dev",$AD:$AD, "&lt;&gt;IntegratorValidationComment"))</f>
        <v/>
      </c>
      <c r="AA59" s="7" t="str">
        <f>IF(ISBLANK(patch[[#This Row],[project]]), "",COUNTIFS($A:$A,patch[[#This Row],[number]],$S:$S, "FL And dev",$AD:$AD, "&lt;&gt;IntegratorValidationComment"))</f>
        <v/>
      </c>
      <c r="AB59" s="7" t="str">
        <f>IF(ISBLANK(patch[[#This Row],[project]]), "",COUNTIFS($A:$A,patch[[#This Row],[number]],$S:$S, "SH And dev",$AD:$AD, "&lt;&gt;IntegratorValidationComment"))</f>
        <v/>
      </c>
      <c r="AC59" s="7" t="str">
        <f>IF(OR(ISNUMBER(FIND("Review-1", patch[[#This Row],[comments]])), ISNUMBER(FIND("Approver-1", patch[[#This Row],[comments]]))), "Review-1", "")</f>
        <v/>
      </c>
      <c r="AD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9" s="7">
        <f>IF(ISBLANK(patch[[#This Row],[number]]),AE58,patch[[#This Row],[ifCommon]])</f>
        <v>0</v>
      </c>
    </row>
    <row r="60" spans="1:31">
      <c r="A60" s="151">
        <v>148878</v>
      </c>
      <c r="B60" s="151"/>
      <c r="C60" s="151"/>
      <c r="D60" s="151"/>
      <c r="E60" s="151"/>
      <c r="F60" s="151"/>
      <c r="G60" s="151"/>
      <c r="H60" s="151"/>
      <c r="I60" s="152"/>
      <c r="J60" s="152">
        <v>42642.672129629631</v>
      </c>
      <c r="K60" s="151"/>
      <c r="L60" s="151" t="s">
        <v>115</v>
      </c>
      <c r="M60" s="152">
        <v>42642.417951388888</v>
      </c>
      <c r="N60" s="151" t="s">
        <v>2494</v>
      </c>
      <c r="O60" s="151"/>
      <c r="P60" s="151"/>
      <c r="Q60" s="7" t="str">
        <f>IF(ISBLANK(patch[[#This Row],[OwnerEmail]]),Q59,patch[[#This Row],[OwnerEmail]])</f>
        <v>xi.cao@intel.com</v>
      </c>
      <c r="R60" s="7" t="str">
        <f>_xlfn.IFNA(VLOOKUP(patch[[#This Row],[tmp-owner.email]],OrgTree!$A:$K, 11, 0), "not ICG SWFW")</f>
        <v>BJ And dev</v>
      </c>
      <c r="S60" s="7" t="str">
        <f>IF(patch[[#This Row],[reviewer]]=patch[[#This Row],[tmp-owner.email]], "author", _xlfn.IFNA(VLOOKUP(patch[[#This Row],[reviewer]],OrgTree!$A:$K, 11, 0), "not ICG SWFW"))</f>
        <v>Val</v>
      </c>
      <c r="T60" s="7" t="str">
        <f>IF(ISBLANK(patch[[#This Row],[mergeDate]]), "", MID(YEAR(patch[[#This Row],[mergeDate]]), 3,2)&amp;"'ww"&amp;WEEKNUM(patch[[#This Row],[mergeDate]]))</f>
        <v>16'ww40</v>
      </c>
      <c r="U60" s="7" t="str">
        <f>IF(ISBLANK(patch[[#This Row],[mergeDate]]), U59, MID(YEAR(patch[[#This Row],[mergeDate]]), 3,2)&amp;"'m"&amp;MONTH(patch[[#This Row],[mergeDate]]))</f>
        <v>16'm9</v>
      </c>
      <c r="V60" s="7" t="str">
        <f>IF(ISBLANK(patch[[#This Row],[project]]), "",SUM(patch[[#This Row],[BJ -1 num]:[SH -1 num]]))</f>
        <v/>
      </c>
      <c r="W60" s="7" t="str">
        <f>IF(ISBLANK(patch[[#This Row],[project]]), "",COUNTIFS($A:$A,patch[[#This Row],[number]],$S:$S, "BJ And dev",$AC:$AC, "Review-1"))</f>
        <v/>
      </c>
      <c r="X60" s="7" t="str">
        <f>IF(ISBLANK(patch[[#This Row],[project]]), "",COUNTIFS($A:$A,patch[[#This Row],[number]],$S:$S, "FL And dev",$AC:$AC, "Review-1"))</f>
        <v/>
      </c>
      <c r="Y60" s="7" t="str">
        <f>IF(ISBLANK(patch[[#This Row],[project]]), "",COUNTIFS($A:$A,patch[[#This Row],[number]],$S:$S, "SH And dev",$AC:$AC, "Review-1"))</f>
        <v/>
      </c>
      <c r="Z60" s="7" t="str">
        <f>IF(ISBLANK(patch[[#This Row],[project]]), "",COUNTIFS($A:$A,patch[[#This Row],[number]],$S:$S, "BJ And dev",$AD:$AD, "&lt;&gt;IntegratorValidationComment"))</f>
        <v/>
      </c>
      <c r="AA60" s="7" t="str">
        <f>IF(ISBLANK(patch[[#This Row],[project]]), "",COUNTIFS($A:$A,patch[[#This Row],[number]],$S:$S, "FL And dev",$AD:$AD, "&lt;&gt;IntegratorValidationComment"))</f>
        <v/>
      </c>
      <c r="AB60" s="7" t="str">
        <f>IF(ISBLANK(patch[[#This Row],[project]]), "",COUNTIFS($A:$A,patch[[#This Row],[number]],$S:$S, "SH And dev",$AD:$AD, "&lt;&gt;IntegratorValidationComment"))</f>
        <v/>
      </c>
      <c r="AC60" s="7" t="str">
        <f>IF(OR(ISNUMBER(FIND("Review-1", patch[[#This Row],[comments]])), ISNUMBER(FIND("Approver-1", patch[[#This Row],[comments]]))), "Review-1", "")</f>
        <v/>
      </c>
      <c r="AD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60" s="7">
        <f>IF(ISBLANK(patch[[#This Row],[number]]),AE59,patch[[#This Row],[ifCommon]])</f>
        <v>0</v>
      </c>
    </row>
    <row r="61" spans="1:31">
      <c r="A61" s="151">
        <v>148858</v>
      </c>
      <c r="B61" s="151" t="s">
        <v>2490</v>
      </c>
      <c r="C61" s="151" t="s">
        <v>2491</v>
      </c>
      <c r="D61" s="151" t="s">
        <v>2608</v>
      </c>
      <c r="E61" s="151" t="s">
        <v>1203</v>
      </c>
      <c r="F61" s="151" t="s">
        <v>23</v>
      </c>
      <c r="G61" s="151" t="s">
        <v>2609</v>
      </c>
      <c r="H61" s="151" t="s">
        <v>2610</v>
      </c>
      <c r="I61" s="152">
        <v>42641.566319444442</v>
      </c>
      <c r="J61" s="152">
        <v>42642.672060185178</v>
      </c>
      <c r="K61" s="151" t="s">
        <v>2445</v>
      </c>
      <c r="L61" s="151" t="s">
        <v>1203</v>
      </c>
      <c r="M61" s="152">
        <v>42641.566319444442</v>
      </c>
      <c r="N61" s="151" t="s">
        <v>2428</v>
      </c>
      <c r="O61" s="151"/>
      <c r="P61" s="151" t="s">
        <v>2611</v>
      </c>
      <c r="Q61" s="7" t="str">
        <f>IF(ISBLANK(patch[[#This Row],[OwnerEmail]]),Q60,patch[[#This Row],[OwnerEmail]])</f>
        <v>xi.cao@intel.com</v>
      </c>
      <c r="R61" s="7" t="str">
        <f>_xlfn.IFNA(VLOOKUP(patch[[#This Row],[tmp-owner.email]],OrgTree!$A:$K, 11, 0), "not ICG SWFW")</f>
        <v>BJ And dev</v>
      </c>
      <c r="S61" s="7" t="str">
        <f>IF(patch[[#This Row],[reviewer]]=patch[[#This Row],[tmp-owner.email]], "author", _xlfn.IFNA(VLOOKUP(patch[[#This Row],[reviewer]],OrgTree!$A:$K, 11, 0), "not ICG SWFW"))</f>
        <v>author</v>
      </c>
      <c r="T61" s="7" t="str">
        <f>IF(ISBLANK(patch[[#This Row],[mergeDate]]), "", MID(YEAR(patch[[#This Row],[mergeDate]]), 3,2)&amp;"'ww"&amp;WEEKNUM(patch[[#This Row],[mergeDate]]))</f>
        <v>16'ww40</v>
      </c>
      <c r="U61" s="7" t="str">
        <f>IF(ISBLANK(patch[[#This Row],[mergeDate]]), U60, MID(YEAR(patch[[#This Row],[mergeDate]]), 3,2)&amp;"'m"&amp;MONTH(patch[[#This Row],[mergeDate]]))</f>
        <v>16'm9</v>
      </c>
      <c r="V61" s="7">
        <f>IF(ISBLANK(patch[[#This Row],[project]]), "",SUM(patch[[#This Row],[BJ -1 num]:[SH -1 num]]))</f>
        <v>1</v>
      </c>
      <c r="W61" s="7">
        <f>IF(ISBLANK(patch[[#This Row],[project]]), "",COUNTIFS($A:$A,patch[[#This Row],[number]],$S:$S, "BJ And dev",$AC:$AC, "Review-1"))</f>
        <v>1</v>
      </c>
      <c r="X61" s="7">
        <f>IF(ISBLANK(patch[[#This Row],[project]]), "",COUNTIFS($A:$A,patch[[#This Row],[number]],$S:$S, "FL And dev",$AC:$AC, "Review-1"))</f>
        <v>0</v>
      </c>
      <c r="Y61" s="7">
        <f>IF(ISBLANK(patch[[#This Row],[project]]), "",COUNTIFS($A:$A,patch[[#This Row],[number]],$S:$S, "SH And dev",$AC:$AC, "Review-1"))</f>
        <v>0</v>
      </c>
      <c r="Z61" s="7">
        <f>IF(ISBLANK(patch[[#This Row],[project]]), "",COUNTIFS($A:$A,patch[[#This Row],[number]],$S:$S, "BJ And dev",$AD:$AD, "&lt;&gt;IntegratorValidationComment"))</f>
        <v>6</v>
      </c>
      <c r="AA61" s="7">
        <f>IF(ISBLANK(patch[[#This Row],[project]]), "",COUNTIFS($A:$A,patch[[#This Row],[number]],$S:$S, "FL And dev",$AD:$AD, "&lt;&gt;IntegratorValidationComment"))</f>
        <v>0</v>
      </c>
      <c r="AB61" s="7">
        <f>IF(ISBLANK(patch[[#This Row],[project]]), "",COUNTIFS($A:$A,patch[[#This Row],[number]],$S:$S, "SH And dev",$AD:$AD, "&lt;&gt;IntegratorValidationComment"))</f>
        <v>0</v>
      </c>
      <c r="AC61" s="7" t="str">
        <f>IF(OR(ISNUMBER(FIND("Review-1", patch[[#This Row],[comments]])), ISNUMBER(FIND("Approver-1", patch[[#This Row],[comments]]))), "Review-1", "")</f>
        <v/>
      </c>
      <c r="AD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1" s="7" t="str">
        <f>IF(ISBLANK(patch[[#This Row],[number]]),AE60,patch[[#This Row],[ifCommon]])</f>
        <v>not AndrHAL</v>
      </c>
    </row>
    <row r="62" spans="1:31">
      <c r="A62" s="151">
        <v>148858</v>
      </c>
      <c r="B62" s="151"/>
      <c r="C62" s="151"/>
      <c r="D62" s="151"/>
      <c r="E62" s="151"/>
      <c r="F62" s="151"/>
      <c r="G62" s="151"/>
      <c r="H62" s="151"/>
      <c r="I62" s="151"/>
      <c r="J62" s="152">
        <v>42642.672060185178</v>
      </c>
      <c r="K62" s="151"/>
      <c r="L62" s="151" t="s">
        <v>1203</v>
      </c>
      <c r="M62" s="152">
        <v>42641.566319444442</v>
      </c>
      <c r="N62" s="151" t="s">
        <v>25</v>
      </c>
      <c r="O62" s="151"/>
      <c r="P62" s="151"/>
      <c r="Q62" s="7" t="str">
        <f>IF(ISBLANK(patch[[#This Row],[OwnerEmail]]),Q61,patch[[#This Row],[OwnerEmail]])</f>
        <v>xi.cao@intel.com</v>
      </c>
      <c r="R62" s="7" t="str">
        <f>_xlfn.IFNA(VLOOKUP(patch[[#This Row],[tmp-owner.email]],OrgTree!$A:$K, 11, 0), "not ICG SWFW")</f>
        <v>BJ And dev</v>
      </c>
      <c r="S62" s="7" t="str">
        <f>IF(patch[[#This Row],[reviewer]]=patch[[#This Row],[tmp-owner.email]], "author", _xlfn.IFNA(VLOOKUP(patch[[#This Row],[reviewer]],OrgTree!$A:$K, 11, 0), "not ICG SWFW"))</f>
        <v>author</v>
      </c>
      <c r="T62" s="7" t="str">
        <f>IF(ISBLANK(patch[[#This Row],[mergeDate]]), "", MID(YEAR(patch[[#This Row],[mergeDate]]), 3,2)&amp;"'ww"&amp;WEEKNUM(patch[[#This Row],[mergeDate]]))</f>
        <v>16'ww40</v>
      </c>
      <c r="U62" s="7" t="str">
        <f>IF(ISBLANK(patch[[#This Row],[mergeDate]]), U61, MID(YEAR(patch[[#This Row],[mergeDate]]), 3,2)&amp;"'m"&amp;MONTH(patch[[#This Row],[mergeDate]]))</f>
        <v>16'm9</v>
      </c>
      <c r="V62" s="7" t="str">
        <f>IF(ISBLANK(patch[[#This Row],[project]]), "",SUM(patch[[#This Row],[BJ -1 num]:[SH -1 num]]))</f>
        <v/>
      </c>
      <c r="W62" s="7" t="str">
        <f>IF(ISBLANK(patch[[#This Row],[project]]), "",COUNTIFS($A:$A,patch[[#This Row],[number]],$S:$S, "BJ And dev",$AC:$AC, "Review-1"))</f>
        <v/>
      </c>
      <c r="X62" s="7" t="str">
        <f>IF(ISBLANK(patch[[#This Row],[project]]), "",COUNTIFS($A:$A,patch[[#This Row],[number]],$S:$S, "FL And dev",$AC:$AC, "Review-1"))</f>
        <v/>
      </c>
      <c r="Y62" s="7" t="str">
        <f>IF(ISBLANK(patch[[#This Row],[project]]), "",COUNTIFS($A:$A,patch[[#This Row],[number]],$S:$S, "SH And dev",$AC:$AC, "Review-1"))</f>
        <v/>
      </c>
      <c r="Z62" s="7" t="str">
        <f>IF(ISBLANK(patch[[#This Row],[project]]), "",COUNTIFS($A:$A,patch[[#This Row],[number]],$S:$S, "BJ And dev",$AD:$AD, "&lt;&gt;IntegratorValidationComment"))</f>
        <v/>
      </c>
      <c r="AA62" s="7" t="str">
        <f>IF(ISBLANK(patch[[#This Row],[project]]), "",COUNTIFS($A:$A,patch[[#This Row],[number]],$S:$S, "FL And dev",$AD:$AD, "&lt;&gt;IntegratorValidationComment"))</f>
        <v/>
      </c>
      <c r="AB62" s="7" t="str">
        <f>IF(ISBLANK(patch[[#This Row],[project]]), "",COUNTIFS($A:$A,patch[[#This Row],[number]],$S:$S, "SH And dev",$AD:$AD, "&lt;&gt;IntegratorValidationComment"))</f>
        <v/>
      </c>
      <c r="AC62" s="7" t="str">
        <f>IF(OR(ISNUMBER(FIND("Review-1", patch[[#This Row],[comments]])), ISNUMBER(FIND("Approver-1", patch[[#This Row],[comments]]))), "Review-1", "")</f>
        <v/>
      </c>
      <c r="AD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2" s="7">
        <f>IF(ISBLANK(patch[[#This Row],[number]]),AE61,patch[[#This Row],[ifCommon]])</f>
        <v>0</v>
      </c>
    </row>
    <row r="63" spans="1:31">
      <c r="A63" s="151">
        <v>148858</v>
      </c>
      <c r="B63" s="151"/>
      <c r="C63" s="151"/>
      <c r="D63" s="151"/>
      <c r="E63" s="151"/>
      <c r="F63" s="151"/>
      <c r="G63" s="151"/>
      <c r="H63" s="151"/>
      <c r="I63" s="151"/>
      <c r="J63" s="152">
        <v>42642.672060185178</v>
      </c>
      <c r="K63" s="151"/>
      <c r="L63" s="151" t="s">
        <v>59</v>
      </c>
      <c r="M63" s="152">
        <v>42641.57130787037</v>
      </c>
      <c r="N63" s="151" t="s">
        <v>2612</v>
      </c>
      <c r="O63" s="151"/>
      <c r="P63" s="151"/>
      <c r="Q63" s="7" t="str">
        <f>IF(ISBLANK(patch[[#This Row],[OwnerEmail]]),Q62,patch[[#This Row],[OwnerEmail]])</f>
        <v>xi.cao@intel.com</v>
      </c>
      <c r="R63" s="7" t="str">
        <f>_xlfn.IFNA(VLOOKUP(patch[[#This Row],[tmp-owner.email]],OrgTree!$A:$K, 11, 0), "not ICG SWFW")</f>
        <v>BJ And dev</v>
      </c>
      <c r="S63" s="7" t="str">
        <f>IF(patch[[#This Row],[reviewer]]=patch[[#This Row],[tmp-owner.email]], "author", _xlfn.IFNA(VLOOKUP(patch[[#This Row],[reviewer]],OrgTree!$A:$K, 11, 0), "not ICG SWFW"))</f>
        <v>BJ And dev</v>
      </c>
      <c r="T63" s="7" t="str">
        <f>IF(ISBLANK(patch[[#This Row],[mergeDate]]), "", MID(YEAR(patch[[#This Row],[mergeDate]]), 3,2)&amp;"'ww"&amp;WEEKNUM(patch[[#This Row],[mergeDate]]))</f>
        <v>16'ww40</v>
      </c>
      <c r="U63" s="7" t="str">
        <f>IF(ISBLANK(patch[[#This Row],[mergeDate]]), U62, MID(YEAR(patch[[#This Row],[mergeDate]]), 3,2)&amp;"'m"&amp;MONTH(patch[[#This Row],[mergeDate]]))</f>
        <v>16'm9</v>
      </c>
      <c r="V63" s="7" t="str">
        <f>IF(ISBLANK(patch[[#This Row],[project]]), "",SUM(patch[[#This Row],[BJ -1 num]:[SH -1 num]]))</f>
        <v/>
      </c>
      <c r="W63" s="7" t="str">
        <f>IF(ISBLANK(patch[[#This Row],[project]]), "",COUNTIFS($A:$A,patch[[#This Row],[number]],$S:$S, "BJ And dev",$AC:$AC, "Review-1"))</f>
        <v/>
      </c>
      <c r="X63" s="7" t="str">
        <f>IF(ISBLANK(patch[[#This Row],[project]]), "",COUNTIFS($A:$A,patch[[#This Row],[number]],$S:$S, "FL And dev",$AC:$AC, "Review-1"))</f>
        <v/>
      </c>
      <c r="Y63" s="7" t="str">
        <f>IF(ISBLANK(patch[[#This Row],[project]]), "",COUNTIFS($A:$A,patch[[#This Row],[number]],$S:$S, "SH And dev",$AC:$AC, "Review-1"))</f>
        <v/>
      </c>
      <c r="Z63" s="7" t="str">
        <f>IF(ISBLANK(patch[[#This Row],[project]]), "",COUNTIFS($A:$A,patch[[#This Row],[number]],$S:$S, "BJ And dev",$AD:$AD, "&lt;&gt;IntegratorValidationComment"))</f>
        <v/>
      </c>
      <c r="AA63" s="7" t="str">
        <f>IF(ISBLANK(patch[[#This Row],[project]]), "",COUNTIFS($A:$A,patch[[#This Row],[number]],$S:$S, "FL And dev",$AD:$AD, "&lt;&gt;IntegratorValidationComment"))</f>
        <v/>
      </c>
      <c r="AB63" s="7" t="str">
        <f>IF(ISBLANK(patch[[#This Row],[project]]), "",COUNTIFS($A:$A,patch[[#This Row],[number]],$S:$S, "SH And dev",$AD:$AD, "&lt;&gt;IntegratorValidationComment"))</f>
        <v/>
      </c>
      <c r="AC63" s="7" t="str">
        <f>IF(OR(ISNUMBER(FIND("Review-1", patch[[#This Row],[comments]])), ISNUMBER(FIND("Approver-1", patch[[#This Row],[comments]]))), "Review-1", "")</f>
        <v/>
      </c>
      <c r="AD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3" s="7">
        <f>IF(ISBLANK(patch[[#This Row],[number]]),AE62,patch[[#This Row],[ifCommon]])</f>
        <v>0</v>
      </c>
    </row>
    <row r="64" spans="1:31">
      <c r="A64" s="151">
        <v>148858</v>
      </c>
      <c r="B64" s="151"/>
      <c r="C64" s="151"/>
      <c r="D64" s="151"/>
      <c r="E64" s="151"/>
      <c r="F64" s="151"/>
      <c r="G64" s="151"/>
      <c r="H64" s="151"/>
      <c r="I64" s="151"/>
      <c r="J64" s="152">
        <v>42642.672060185178</v>
      </c>
      <c r="K64" s="151"/>
      <c r="L64" s="151" t="s">
        <v>59</v>
      </c>
      <c r="M64" s="152">
        <v>42641.574178240742</v>
      </c>
      <c r="N64" s="151" t="s">
        <v>2613</v>
      </c>
      <c r="O64" s="151"/>
      <c r="P64" s="151"/>
      <c r="Q64" s="7" t="str">
        <f>IF(ISBLANK(patch[[#This Row],[OwnerEmail]]),Q63,patch[[#This Row],[OwnerEmail]])</f>
        <v>xi.cao@intel.com</v>
      </c>
      <c r="R64" s="7" t="str">
        <f>_xlfn.IFNA(VLOOKUP(patch[[#This Row],[tmp-owner.email]],OrgTree!$A:$K, 11, 0), "not ICG SWFW")</f>
        <v>BJ And dev</v>
      </c>
      <c r="S64" s="7" t="str">
        <f>IF(patch[[#This Row],[reviewer]]=patch[[#This Row],[tmp-owner.email]], "author", _xlfn.IFNA(VLOOKUP(patch[[#This Row],[reviewer]],OrgTree!$A:$K, 11, 0), "not ICG SWFW"))</f>
        <v>BJ And dev</v>
      </c>
      <c r="T64" s="7" t="str">
        <f>IF(ISBLANK(patch[[#This Row],[mergeDate]]), "", MID(YEAR(patch[[#This Row],[mergeDate]]), 3,2)&amp;"'ww"&amp;WEEKNUM(patch[[#This Row],[mergeDate]]))</f>
        <v>16'ww40</v>
      </c>
      <c r="U64" s="7" t="str">
        <f>IF(ISBLANK(patch[[#This Row],[mergeDate]]), U63, MID(YEAR(patch[[#This Row],[mergeDate]]), 3,2)&amp;"'m"&amp;MONTH(patch[[#This Row],[mergeDate]]))</f>
        <v>16'm9</v>
      </c>
      <c r="V64" s="7" t="str">
        <f>IF(ISBLANK(patch[[#This Row],[project]]), "",SUM(patch[[#This Row],[BJ -1 num]:[SH -1 num]]))</f>
        <v/>
      </c>
      <c r="W64" s="7" t="str">
        <f>IF(ISBLANK(patch[[#This Row],[project]]), "",COUNTIFS($A:$A,patch[[#This Row],[number]],$S:$S, "BJ And dev",$AC:$AC, "Review-1"))</f>
        <v/>
      </c>
      <c r="X64" s="7" t="str">
        <f>IF(ISBLANK(patch[[#This Row],[project]]), "",COUNTIFS($A:$A,patch[[#This Row],[number]],$S:$S, "FL And dev",$AC:$AC, "Review-1"))</f>
        <v/>
      </c>
      <c r="Y64" s="7" t="str">
        <f>IF(ISBLANK(patch[[#This Row],[project]]), "",COUNTIFS($A:$A,patch[[#This Row],[number]],$S:$S, "SH And dev",$AC:$AC, "Review-1"))</f>
        <v/>
      </c>
      <c r="Z64" s="7" t="str">
        <f>IF(ISBLANK(patch[[#This Row],[project]]), "",COUNTIFS($A:$A,patch[[#This Row],[number]],$S:$S, "BJ And dev",$AD:$AD, "&lt;&gt;IntegratorValidationComment"))</f>
        <v/>
      </c>
      <c r="AA64" s="7" t="str">
        <f>IF(ISBLANK(patch[[#This Row],[project]]), "",COUNTIFS($A:$A,patch[[#This Row],[number]],$S:$S, "FL And dev",$AD:$AD, "&lt;&gt;IntegratorValidationComment"))</f>
        <v/>
      </c>
      <c r="AB64" s="7" t="str">
        <f>IF(ISBLANK(patch[[#This Row],[project]]), "",COUNTIFS($A:$A,patch[[#This Row],[number]],$S:$S, "SH And dev",$AD:$AD, "&lt;&gt;IntegratorValidationComment"))</f>
        <v/>
      </c>
      <c r="AC64" s="7" t="str">
        <f>IF(OR(ISNUMBER(FIND("Review-1", patch[[#This Row],[comments]])), ISNUMBER(FIND("Approver-1", patch[[#This Row],[comments]]))), "Review-1", "")</f>
        <v/>
      </c>
      <c r="AD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4" s="7">
        <f>IF(ISBLANK(patch[[#This Row],[number]]),AE63,patch[[#This Row],[ifCommon]])</f>
        <v>0</v>
      </c>
    </row>
    <row r="65" spans="1:31">
      <c r="A65" s="151">
        <v>148858</v>
      </c>
      <c r="B65" s="151"/>
      <c r="C65" s="151"/>
      <c r="D65" s="151"/>
      <c r="E65" s="151"/>
      <c r="F65" s="151"/>
      <c r="G65" s="151"/>
      <c r="H65" s="151"/>
      <c r="I65" s="151"/>
      <c r="J65" s="152">
        <v>42642.672060185178</v>
      </c>
      <c r="K65" s="151"/>
      <c r="L65" s="151" t="s">
        <v>1203</v>
      </c>
      <c r="M65" s="152">
        <v>42641.590775462973</v>
      </c>
      <c r="N65" s="151" t="s">
        <v>40</v>
      </c>
      <c r="O65" s="151"/>
      <c r="P65" s="151"/>
      <c r="Q65" s="7" t="str">
        <f>IF(ISBLANK(patch[[#This Row],[OwnerEmail]]),Q64,patch[[#This Row],[OwnerEmail]])</f>
        <v>xi.cao@intel.com</v>
      </c>
      <c r="R65" s="7" t="str">
        <f>_xlfn.IFNA(VLOOKUP(patch[[#This Row],[tmp-owner.email]],OrgTree!$A:$K, 11, 0), "not ICG SWFW")</f>
        <v>BJ And dev</v>
      </c>
      <c r="S65" s="7" t="str">
        <f>IF(patch[[#This Row],[reviewer]]=patch[[#This Row],[tmp-owner.email]], "author", _xlfn.IFNA(VLOOKUP(patch[[#This Row],[reviewer]],OrgTree!$A:$K, 11, 0), "not ICG SWFW"))</f>
        <v>author</v>
      </c>
      <c r="T65" s="7" t="str">
        <f>IF(ISBLANK(patch[[#This Row],[mergeDate]]), "", MID(YEAR(patch[[#This Row],[mergeDate]]), 3,2)&amp;"'ww"&amp;WEEKNUM(patch[[#This Row],[mergeDate]]))</f>
        <v>16'ww40</v>
      </c>
      <c r="U65" s="7" t="str">
        <f>IF(ISBLANK(patch[[#This Row],[mergeDate]]), U64, MID(YEAR(patch[[#This Row],[mergeDate]]), 3,2)&amp;"'m"&amp;MONTH(patch[[#This Row],[mergeDate]]))</f>
        <v>16'm9</v>
      </c>
      <c r="V65" s="7" t="str">
        <f>IF(ISBLANK(patch[[#This Row],[project]]), "",SUM(patch[[#This Row],[BJ -1 num]:[SH -1 num]]))</f>
        <v/>
      </c>
      <c r="W65" s="7" t="str">
        <f>IF(ISBLANK(patch[[#This Row],[project]]), "",COUNTIFS($A:$A,patch[[#This Row],[number]],$S:$S, "BJ And dev",$AC:$AC, "Review-1"))</f>
        <v/>
      </c>
      <c r="X65" s="7" t="str">
        <f>IF(ISBLANK(patch[[#This Row],[project]]), "",COUNTIFS($A:$A,patch[[#This Row],[number]],$S:$S, "FL And dev",$AC:$AC, "Review-1"))</f>
        <v/>
      </c>
      <c r="Y65" s="7" t="str">
        <f>IF(ISBLANK(patch[[#This Row],[project]]), "",COUNTIFS($A:$A,patch[[#This Row],[number]],$S:$S, "SH And dev",$AC:$AC, "Review-1"))</f>
        <v/>
      </c>
      <c r="Z65" s="7" t="str">
        <f>IF(ISBLANK(patch[[#This Row],[project]]), "",COUNTIFS($A:$A,patch[[#This Row],[number]],$S:$S, "BJ And dev",$AD:$AD, "&lt;&gt;IntegratorValidationComment"))</f>
        <v/>
      </c>
      <c r="AA65" s="7" t="str">
        <f>IF(ISBLANK(patch[[#This Row],[project]]), "",COUNTIFS($A:$A,patch[[#This Row],[number]],$S:$S, "FL And dev",$AD:$AD, "&lt;&gt;IntegratorValidationComment"))</f>
        <v/>
      </c>
      <c r="AB65" s="7" t="str">
        <f>IF(ISBLANK(patch[[#This Row],[project]]), "",COUNTIFS($A:$A,patch[[#This Row],[number]],$S:$S, "SH And dev",$AD:$AD, "&lt;&gt;IntegratorValidationComment"))</f>
        <v/>
      </c>
      <c r="AC65" s="7" t="str">
        <f>IF(OR(ISNUMBER(FIND("Review-1", patch[[#This Row],[comments]])), ISNUMBER(FIND("Approver-1", patch[[#This Row],[comments]]))), "Review-1", "")</f>
        <v/>
      </c>
      <c r="AD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5" s="7">
        <f>IF(ISBLANK(patch[[#This Row],[number]]),AE64,patch[[#This Row],[ifCommon]])</f>
        <v>0</v>
      </c>
    </row>
    <row r="66" spans="1:31">
      <c r="A66" s="151">
        <v>148858</v>
      </c>
      <c r="B66" s="151"/>
      <c r="C66" s="151"/>
      <c r="D66" s="151"/>
      <c r="E66" s="151"/>
      <c r="F66" s="151"/>
      <c r="G66" s="151"/>
      <c r="H66" s="151"/>
      <c r="I66" s="151"/>
      <c r="J66" s="152">
        <v>42642.672060185178</v>
      </c>
      <c r="K66" s="151"/>
      <c r="L66" s="151" t="s">
        <v>63</v>
      </c>
      <c r="M66" s="152">
        <v>42641.594872685193</v>
      </c>
      <c r="N66" s="151" t="s">
        <v>2457</v>
      </c>
      <c r="O66" s="151" t="s">
        <v>2614</v>
      </c>
      <c r="P66" s="151"/>
      <c r="Q66" s="7" t="str">
        <f>IF(ISBLANK(patch[[#This Row],[OwnerEmail]]),Q65,patch[[#This Row],[OwnerEmail]])</f>
        <v>xi.cao@intel.com</v>
      </c>
      <c r="R66" s="7" t="str">
        <f>_xlfn.IFNA(VLOOKUP(patch[[#This Row],[tmp-owner.email]],OrgTree!$A:$K, 11, 0), "not ICG SWFW")</f>
        <v>BJ And dev</v>
      </c>
      <c r="S66" s="7" t="str">
        <f>IF(patch[[#This Row],[reviewer]]=patch[[#This Row],[tmp-owner.email]], "author", _xlfn.IFNA(VLOOKUP(patch[[#This Row],[reviewer]],OrgTree!$A:$K, 11, 0), "not ICG SWFW"))</f>
        <v>BJ And dev</v>
      </c>
      <c r="T66" s="7" t="str">
        <f>IF(ISBLANK(patch[[#This Row],[mergeDate]]), "", MID(YEAR(patch[[#This Row],[mergeDate]]), 3,2)&amp;"'ww"&amp;WEEKNUM(patch[[#This Row],[mergeDate]]))</f>
        <v>16'ww40</v>
      </c>
      <c r="U66" s="7" t="str">
        <f>IF(ISBLANK(patch[[#This Row],[mergeDate]]), U65, MID(YEAR(patch[[#This Row],[mergeDate]]), 3,2)&amp;"'m"&amp;MONTH(patch[[#This Row],[mergeDate]]))</f>
        <v>16'm9</v>
      </c>
      <c r="V66" s="7" t="str">
        <f>IF(ISBLANK(patch[[#This Row],[project]]), "",SUM(patch[[#This Row],[BJ -1 num]:[SH -1 num]]))</f>
        <v/>
      </c>
      <c r="W66" s="7" t="str">
        <f>IF(ISBLANK(patch[[#This Row],[project]]), "",COUNTIFS($A:$A,patch[[#This Row],[number]],$S:$S, "BJ And dev",$AC:$AC, "Review-1"))</f>
        <v/>
      </c>
      <c r="X66" s="7" t="str">
        <f>IF(ISBLANK(patch[[#This Row],[project]]), "",COUNTIFS($A:$A,patch[[#This Row],[number]],$S:$S, "FL And dev",$AC:$AC, "Review-1"))</f>
        <v/>
      </c>
      <c r="Y66" s="7" t="str">
        <f>IF(ISBLANK(patch[[#This Row],[project]]), "",COUNTIFS($A:$A,patch[[#This Row],[number]],$S:$S, "SH And dev",$AC:$AC, "Review-1"))</f>
        <v/>
      </c>
      <c r="Z66" s="7" t="str">
        <f>IF(ISBLANK(patch[[#This Row],[project]]), "",COUNTIFS($A:$A,patch[[#This Row],[number]],$S:$S, "BJ And dev",$AD:$AD, "&lt;&gt;IntegratorValidationComment"))</f>
        <v/>
      </c>
      <c r="AA66" s="7" t="str">
        <f>IF(ISBLANK(patch[[#This Row],[project]]), "",COUNTIFS($A:$A,patch[[#This Row],[number]],$S:$S, "FL And dev",$AD:$AD, "&lt;&gt;IntegratorValidationComment"))</f>
        <v/>
      </c>
      <c r="AB66" s="7" t="str">
        <f>IF(ISBLANK(patch[[#This Row],[project]]), "",COUNTIFS($A:$A,patch[[#This Row],[number]],$S:$S, "SH And dev",$AD:$AD, "&lt;&gt;IntegratorValidationComment"))</f>
        <v/>
      </c>
      <c r="AC66" s="7" t="str">
        <f>IF(OR(ISNUMBER(FIND("Review-1", patch[[#This Row],[comments]])), ISNUMBER(FIND("Approver-1", patch[[#This Row],[comments]]))), "Review-1", "")</f>
        <v>Review-1</v>
      </c>
      <c r="AD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6" s="7">
        <f>IF(ISBLANK(patch[[#This Row],[number]]),AE65,patch[[#This Row],[ifCommon]])</f>
        <v>0</v>
      </c>
    </row>
    <row r="67" spans="1:31">
      <c r="A67" s="151">
        <v>148858</v>
      </c>
      <c r="B67" s="151"/>
      <c r="C67" s="151"/>
      <c r="D67" s="151"/>
      <c r="E67" s="151"/>
      <c r="F67" s="151"/>
      <c r="G67" s="151"/>
      <c r="H67" s="151"/>
      <c r="I67" s="151"/>
      <c r="J67" s="152">
        <v>42642.672060185178</v>
      </c>
      <c r="K67" s="151"/>
      <c r="L67" s="151" t="s">
        <v>1203</v>
      </c>
      <c r="M67" s="152">
        <v>42641.597071759257</v>
      </c>
      <c r="N67" s="151" t="s">
        <v>2448</v>
      </c>
      <c r="O67" s="151" t="s">
        <v>2615</v>
      </c>
      <c r="P67" s="151"/>
      <c r="Q67" s="7" t="str">
        <f>IF(ISBLANK(patch[[#This Row],[OwnerEmail]]),Q66,patch[[#This Row],[OwnerEmail]])</f>
        <v>xi.cao@intel.com</v>
      </c>
      <c r="R67" s="7" t="str">
        <f>_xlfn.IFNA(VLOOKUP(patch[[#This Row],[tmp-owner.email]],OrgTree!$A:$K, 11, 0), "not ICG SWFW")</f>
        <v>BJ And dev</v>
      </c>
      <c r="S67" s="7" t="str">
        <f>IF(patch[[#This Row],[reviewer]]=patch[[#This Row],[tmp-owner.email]], "author", _xlfn.IFNA(VLOOKUP(patch[[#This Row],[reviewer]],OrgTree!$A:$K, 11, 0), "not ICG SWFW"))</f>
        <v>author</v>
      </c>
      <c r="T67" s="7" t="str">
        <f>IF(ISBLANK(patch[[#This Row],[mergeDate]]), "", MID(YEAR(patch[[#This Row],[mergeDate]]), 3,2)&amp;"'ww"&amp;WEEKNUM(patch[[#This Row],[mergeDate]]))</f>
        <v>16'ww40</v>
      </c>
      <c r="U67" s="7" t="str">
        <f>IF(ISBLANK(patch[[#This Row],[mergeDate]]), U66, MID(YEAR(patch[[#This Row],[mergeDate]]), 3,2)&amp;"'m"&amp;MONTH(patch[[#This Row],[mergeDate]]))</f>
        <v>16'm9</v>
      </c>
      <c r="V67" s="7" t="str">
        <f>IF(ISBLANK(patch[[#This Row],[project]]), "",SUM(patch[[#This Row],[BJ -1 num]:[SH -1 num]]))</f>
        <v/>
      </c>
      <c r="W67" s="7" t="str">
        <f>IF(ISBLANK(patch[[#This Row],[project]]), "",COUNTIFS($A:$A,patch[[#This Row],[number]],$S:$S, "BJ And dev",$AC:$AC, "Review-1"))</f>
        <v/>
      </c>
      <c r="X67" s="7" t="str">
        <f>IF(ISBLANK(patch[[#This Row],[project]]), "",COUNTIFS($A:$A,patch[[#This Row],[number]],$S:$S, "FL And dev",$AC:$AC, "Review-1"))</f>
        <v/>
      </c>
      <c r="Y67" s="7" t="str">
        <f>IF(ISBLANK(patch[[#This Row],[project]]), "",COUNTIFS($A:$A,patch[[#This Row],[number]],$S:$S, "SH And dev",$AC:$AC, "Review-1"))</f>
        <v/>
      </c>
      <c r="Z67" s="7" t="str">
        <f>IF(ISBLANK(patch[[#This Row],[project]]), "",COUNTIFS($A:$A,patch[[#This Row],[number]],$S:$S, "BJ And dev",$AD:$AD, "&lt;&gt;IntegratorValidationComment"))</f>
        <v/>
      </c>
      <c r="AA67" s="7" t="str">
        <f>IF(ISBLANK(patch[[#This Row],[project]]), "",COUNTIFS($A:$A,patch[[#This Row],[number]],$S:$S, "FL And dev",$AD:$AD, "&lt;&gt;IntegratorValidationComment"))</f>
        <v/>
      </c>
      <c r="AB67" s="7" t="str">
        <f>IF(ISBLANK(patch[[#This Row],[project]]), "",COUNTIFS($A:$A,patch[[#This Row],[number]],$S:$S, "SH And dev",$AD:$AD, "&lt;&gt;IntegratorValidationComment"))</f>
        <v/>
      </c>
      <c r="AC67" s="7" t="str">
        <f>IF(OR(ISNUMBER(FIND("Review-1", patch[[#This Row],[comments]])), ISNUMBER(FIND("Approver-1", patch[[#This Row],[comments]]))), "Review-1", "")</f>
        <v/>
      </c>
      <c r="AD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7" s="7">
        <f>IF(ISBLANK(patch[[#This Row],[number]]),AE66,patch[[#This Row],[ifCommon]])</f>
        <v>0</v>
      </c>
    </row>
    <row r="68" spans="1:31">
      <c r="A68" s="151">
        <v>148858</v>
      </c>
      <c r="B68" s="151"/>
      <c r="C68" s="151"/>
      <c r="D68" s="151"/>
      <c r="E68" s="151"/>
      <c r="F68" s="151"/>
      <c r="G68" s="151"/>
      <c r="H68" s="151"/>
      <c r="I68" s="151"/>
      <c r="J68" s="152">
        <v>42642.672060185178</v>
      </c>
      <c r="K68" s="151"/>
      <c r="L68" s="151" t="s">
        <v>32</v>
      </c>
      <c r="M68" s="152">
        <v>42641.602488425917</v>
      </c>
      <c r="N68" s="151" t="s">
        <v>40</v>
      </c>
      <c r="O68" s="151"/>
      <c r="P68" s="151"/>
      <c r="Q68" s="7" t="str">
        <f>IF(ISBLANK(patch[[#This Row],[OwnerEmail]]),Q67,patch[[#This Row],[OwnerEmail]])</f>
        <v>xi.cao@intel.com</v>
      </c>
      <c r="R68" s="7" t="str">
        <f>_xlfn.IFNA(VLOOKUP(patch[[#This Row],[tmp-owner.email]],OrgTree!$A:$K, 11, 0), "not ICG SWFW")</f>
        <v>BJ And dev</v>
      </c>
      <c r="S68" s="7" t="str">
        <f>IF(patch[[#This Row],[reviewer]]=patch[[#This Row],[tmp-owner.email]], "author", _xlfn.IFNA(VLOOKUP(patch[[#This Row],[reviewer]],OrgTree!$A:$K, 11, 0), "not ICG SWFW"))</f>
        <v>BJ And dev</v>
      </c>
      <c r="T68" s="7" t="str">
        <f>IF(ISBLANK(patch[[#This Row],[mergeDate]]), "", MID(YEAR(patch[[#This Row],[mergeDate]]), 3,2)&amp;"'ww"&amp;WEEKNUM(patch[[#This Row],[mergeDate]]))</f>
        <v>16'ww40</v>
      </c>
      <c r="U68" s="7" t="str">
        <f>IF(ISBLANK(patch[[#This Row],[mergeDate]]), U67, MID(YEAR(patch[[#This Row],[mergeDate]]), 3,2)&amp;"'m"&amp;MONTH(patch[[#This Row],[mergeDate]]))</f>
        <v>16'm9</v>
      </c>
      <c r="V68" s="7" t="str">
        <f>IF(ISBLANK(patch[[#This Row],[project]]), "",SUM(patch[[#This Row],[BJ -1 num]:[SH -1 num]]))</f>
        <v/>
      </c>
      <c r="W68" s="7" t="str">
        <f>IF(ISBLANK(patch[[#This Row],[project]]), "",COUNTIFS($A:$A,patch[[#This Row],[number]],$S:$S, "BJ And dev",$AC:$AC, "Review-1"))</f>
        <v/>
      </c>
      <c r="X68" s="7" t="str">
        <f>IF(ISBLANK(patch[[#This Row],[project]]), "",COUNTIFS($A:$A,patch[[#This Row],[number]],$S:$S, "FL And dev",$AC:$AC, "Review-1"))</f>
        <v/>
      </c>
      <c r="Y68" s="7" t="str">
        <f>IF(ISBLANK(patch[[#This Row],[project]]), "",COUNTIFS($A:$A,patch[[#This Row],[number]],$S:$S, "SH And dev",$AC:$AC, "Review-1"))</f>
        <v/>
      </c>
      <c r="Z68" s="7" t="str">
        <f>IF(ISBLANK(patch[[#This Row],[project]]), "",COUNTIFS($A:$A,patch[[#This Row],[number]],$S:$S, "BJ And dev",$AD:$AD, "&lt;&gt;IntegratorValidationComment"))</f>
        <v/>
      </c>
      <c r="AA68" s="7" t="str">
        <f>IF(ISBLANK(patch[[#This Row],[project]]), "",COUNTIFS($A:$A,patch[[#This Row],[number]],$S:$S, "FL And dev",$AD:$AD, "&lt;&gt;IntegratorValidationComment"))</f>
        <v/>
      </c>
      <c r="AB68" s="7" t="str">
        <f>IF(ISBLANK(patch[[#This Row],[project]]), "",COUNTIFS($A:$A,patch[[#This Row],[number]],$S:$S, "SH And dev",$AD:$AD, "&lt;&gt;IntegratorValidationComment"))</f>
        <v/>
      </c>
      <c r="AC68" s="7" t="str">
        <f>IF(OR(ISNUMBER(FIND("Review-1", patch[[#This Row],[comments]])), ISNUMBER(FIND("Approver-1", patch[[#This Row],[comments]]))), "Review-1", "")</f>
        <v/>
      </c>
      <c r="AD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8" s="7">
        <f>IF(ISBLANK(patch[[#This Row],[number]]),AE67,patch[[#This Row],[ifCommon]])</f>
        <v>0</v>
      </c>
    </row>
    <row r="69" spans="1:31">
      <c r="A69" s="151">
        <v>148858</v>
      </c>
      <c r="B69" s="151"/>
      <c r="C69" s="151"/>
      <c r="D69" s="151"/>
      <c r="E69" s="151"/>
      <c r="F69" s="151"/>
      <c r="G69" s="151"/>
      <c r="H69" s="151"/>
      <c r="I69" s="151"/>
      <c r="J69" s="152">
        <v>42642.672060185178</v>
      </c>
      <c r="K69" s="151"/>
      <c r="L69" s="151" t="s">
        <v>63</v>
      </c>
      <c r="M69" s="152">
        <v>42641.603101851862</v>
      </c>
      <c r="N69" s="151" t="s">
        <v>40</v>
      </c>
      <c r="O69" s="151"/>
      <c r="P69" s="151"/>
      <c r="Q69" s="7" t="str">
        <f>IF(ISBLANK(patch[[#This Row],[OwnerEmail]]),Q68,patch[[#This Row],[OwnerEmail]])</f>
        <v>xi.cao@intel.com</v>
      </c>
      <c r="R69" s="7" t="str">
        <f>_xlfn.IFNA(VLOOKUP(patch[[#This Row],[tmp-owner.email]],OrgTree!$A:$K, 11, 0), "not ICG SWFW")</f>
        <v>BJ And dev</v>
      </c>
      <c r="S69" s="7" t="str">
        <f>IF(patch[[#This Row],[reviewer]]=patch[[#This Row],[tmp-owner.email]], "author", _xlfn.IFNA(VLOOKUP(patch[[#This Row],[reviewer]],OrgTree!$A:$K, 11, 0), "not ICG SWFW"))</f>
        <v>BJ And dev</v>
      </c>
      <c r="T69" s="7" t="str">
        <f>IF(ISBLANK(patch[[#This Row],[mergeDate]]), "", MID(YEAR(patch[[#This Row],[mergeDate]]), 3,2)&amp;"'ww"&amp;WEEKNUM(patch[[#This Row],[mergeDate]]))</f>
        <v>16'ww40</v>
      </c>
      <c r="U69" s="7" t="str">
        <f>IF(ISBLANK(patch[[#This Row],[mergeDate]]), U68, MID(YEAR(patch[[#This Row],[mergeDate]]), 3,2)&amp;"'m"&amp;MONTH(patch[[#This Row],[mergeDate]]))</f>
        <v>16'm9</v>
      </c>
      <c r="V69" s="7" t="str">
        <f>IF(ISBLANK(patch[[#This Row],[project]]), "",SUM(patch[[#This Row],[BJ -1 num]:[SH -1 num]]))</f>
        <v/>
      </c>
      <c r="W69" s="7" t="str">
        <f>IF(ISBLANK(patch[[#This Row],[project]]), "",COUNTIFS($A:$A,patch[[#This Row],[number]],$S:$S, "BJ And dev",$AC:$AC, "Review-1"))</f>
        <v/>
      </c>
      <c r="X69" s="7" t="str">
        <f>IF(ISBLANK(patch[[#This Row],[project]]), "",COUNTIFS($A:$A,patch[[#This Row],[number]],$S:$S, "FL And dev",$AC:$AC, "Review-1"))</f>
        <v/>
      </c>
      <c r="Y69" s="7" t="str">
        <f>IF(ISBLANK(patch[[#This Row],[project]]), "",COUNTIFS($A:$A,patch[[#This Row],[number]],$S:$S, "SH And dev",$AC:$AC, "Review-1"))</f>
        <v/>
      </c>
      <c r="Z69" s="7" t="str">
        <f>IF(ISBLANK(patch[[#This Row],[project]]), "",COUNTIFS($A:$A,patch[[#This Row],[number]],$S:$S, "BJ And dev",$AD:$AD, "&lt;&gt;IntegratorValidationComment"))</f>
        <v/>
      </c>
      <c r="AA69" s="7" t="str">
        <f>IF(ISBLANK(patch[[#This Row],[project]]), "",COUNTIFS($A:$A,patch[[#This Row],[number]],$S:$S, "FL And dev",$AD:$AD, "&lt;&gt;IntegratorValidationComment"))</f>
        <v/>
      </c>
      <c r="AB69" s="7" t="str">
        <f>IF(ISBLANK(patch[[#This Row],[project]]), "",COUNTIFS($A:$A,patch[[#This Row],[number]],$S:$S, "SH And dev",$AD:$AD, "&lt;&gt;IntegratorValidationComment"))</f>
        <v/>
      </c>
      <c r="AC69" s="7" t="str">
        <f>IF(OR(ISNUMBER(FIND("Review-1", patch[[#This Row],[comments]])), ISNUMBER(FIND("Approver-1", patch[[#This Row],[comments]]))), "Review-1", "")</f>
        <v/>
      </c>
      <c r="AD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9" s="7">
        <f>IF(ISBLANK(patch[[#This Row],[number]]),AE68,patch[[#This Row],[ifCommon]])</f>
        <v>0</v>
      </c>
    </row>
    <row r="70" spans="1:31">
      <c r="A70" s="151">
        <v>148858</v>
      </c>
      <c r="B70" s="151"/>
      <c r="C70" s="151"/>
      <c r="D70" s="151"/>
      <c r="E70" s="151"/>
      <c r="F70" s="151"/>
      <c r="G70" s="151"/>
      <c r="H70" s="151"/>
      <c r="I70" s="152"/>
      <c r="J70" s="152">
        <v>42642.672060185178</v>
      </c>
      <c r="K70" s="151"/>
      <c r="L70" s="151" t="s">
        <v>59</v>
      </c>
      <c r="M70" s="152">
        <v>42641.622754629629</v>
      </c>
      <c r="N70" s="151" t="s">
        <v>1880</v>
      </c>
      <c r="O70" s="151"/>
      <c r="P70" s="151"/>
      <c r="Q70" s="7" t="str">
        <f>IF(ISBLANK(patch[[#This Row],[OwnerEmail]]),Q69,patch[[#This Row],[OwnerEmail]])</f>
        <v>xi.cao@intel.com</v>
      </c>
      <c r="R70" s="7" t="str">
        <f>_xlfn.IFNA(VLOOKUP(patch[[#This Row],[tmp-owner.email]],OrgTree!$A:$K, 11, 0), "not ICG SWFW")</f>
        <v>BJ And dev</v>
      </c>
      <c r="S70" s="7" t="str">
        <f>IF(patch[[#This Row],[reviewer]]=patch[[#This Row],[tmp-owner.email]], "author", _xlfn.IFNA(VLOOKUP(patch[[#This Row],[reviewer]],OrgTree!$A:$K, 11, 0), "not ICG SWFW"))</f>
        <v>BJ And dev</v>
      </c>
      <c r="T70" s="7" t="str">
        <f>IF(ISBLANK(patch[[#This Row],[mergeDate]]), "", MID(YEAR(patch[[#This Row],[mergeDate]]), 3,2)&amp;"'ww"&amp;WEEKNUM(patch[[#This Row],[mergeDate]]))</f>
        <v>16'ww40</v>
      </c>
      <c r="U70" s="7" t="str">
        <f>IF(ISBLANK(patch[[#This Row],[mergeDate]]), U69, MID(YEAR(patch[[#This Row],[mergeDate]]), 3,2)&amp;"'m"&amp;MONTH(patch[[#This Row],[mergeDate]]))</f>
        <v>16'm9</v>
      </c>
      <c r="V70" s="7" t="str">
        <f>IF(ISBLANK(patch[[#This Row],[project]]), "",SUM(patch[[#This Row],[BJ -1 num]:[SH -1 num]]))</f>
        <v/>
      </c>
      <c r="W70" s="7" t="str">
        <f>IF(ISBLANK(patch[[#This Row],[project]]), "",COUNTIFS($A:$A,patch[[#This Row],[number]],$S:$S, "BJ And dev",$AC:$AC, "Review-1"))</f>
        <v/>
      </c>
      <c r="X70" s="7" t="str">
        <f>IF(ISBLANK(patch[[#This Row],[project]]), "",COUNTIFS($A:$A,patch[[#This Row],[number]],$S:$S, "FL And dev",$AC:$AC, "Review-1"))</f>
        <v/>
      </c>
      <c r="Y70" s="7" t="str">
        <f>IF(ISBLANK(patch[[#This Row],[project]]), "",COUNTIFS($A:$A,patch[[#This Row],[number]],$S:$S, "SH And dev",$AC:$AC, "Review-1"))</f>
        <v/>
      </c>
      <c r="Z70" s="7" t="str">
        <f>IF(ISBLANK(patch[[#This Row],[project]]), "",COUNTIFS($A:$A,patch[[#This Row],[number]],$S:$S, "BJ And dev",$AD:$AD, "&lt;&gt;IntegratorValidationComment"))</f>
        <v/>
      </c>
      <c r="AA70" s="7" t="str">
        <f>IF(ISBLANK(patch[[#This Row],[project]]), "",COUNTIFS($A:$A,patch[[#This Row],[number]],$S:$S, "FL And dev",$AD:$AD, "&lt;&gt;IntegratorValidationComment"))</f>
        <v/>
      </c>
      <c r="AB70" s="7" t="str">
        <f>IF(ISBLANK(patch[[#This Row],[project]]), "",COUNTIFS($A:$A,patch[[#This Row],[number]],$S:$S, "SH And dev",$AD:$AD, "&lt;&gt;IntegratorValidationComment"))</f>
        <v/>
      </c>
      <c r="AC70" s="7" t="str">
        <f>IF(OR(ISNUMBER(FIND("Review-1", patch[[#This Row],[comments]])), ISNUMBER(FIND("Approver-1", patch[[#This Row],[comments]]))), "Review-1", "")</f>
        <v/>
      </c>
      <c r="AD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0" s="7">
        <f>IF(ISBLANK(patch[[#This Row],[number]]),AE69,patch[[#This Row],[ifCommon]])</f>
        <v>0</v>
      </c>
    </row>
    <row r="71" spans="1:31">
      <c r="A71" s="151">
        <v>148858</v>
      </c>
      <c r="B71" s="151"/>
      <c r="C71" s="151"/>
      <c r="D71" s="151"/>
      <c r="E71" s="151"/>
      <c r="F71" s="151"/>
      <c r="G71" s="151"/>
      <c r="H71" s="151"/>
      <c r="I71" s="151"/>
      <c r="J71" s="152">
        <v>42642.672060185178</v>
      </c>
      <c r="K71" s="151"/>
      <c r="L71" s="151" t="s">
        <v>115</v>
      </c>
      <c r="M71" s="152">
        <v>42642.417858796303</v>
      </c>
      <c r="N71" s="151" t="s">
        <v>2494</v>
      </c>
      <c r="O71" s="151"/>
      <c r="P71" s="151"/>
      <c r="Q71" s="7" t="str">
        <f>IF(ISBLANK(patch[[#This Row],[OwnerEmail]]),Q70,patch[[#This Row],[OwnerEmail]])</f>
        <v>xi.cao@intel.com</v>
      </c>
      <c r="R71" s="7" t="str">
        <f>_xlfn.IFNA(VLOOKUP(patch[[#This Row],[tmp-owner.email]],OrgTree!$A:$K, 11, 0), "not ICG SWFW")</f>
        <v>BJ And dev</v>
      </c>
      <c r="S71" s="7" t="str">
        <f>IF(patch[[#This Row],[reviewer]]=patch[[#This Row],[tmp-owner.email]], "author", _xlfn.IFNA(VLOOKUP(patch[[#This Row],[reviewer]],OrgTree!$A:$K, 11, 0), "not ICG SWFW"))</f>
        <v>Val</v>
      </c>
      <c r="T71" s="7" t="str">
        <f>IF(ISBLANK(patch[[#This Row],[mergeDate]]), "", MID(YEAR(patch[[#This Row],[mergeDate]]), 3,2)&amp;"'ww"&amp;WEEKNUM(patch[[#This Row],[mergeDate]]))</f>
        <v>16'ww40</v>
      </c>
      <c r="U71" s="7" t="str">
        <f>IF(ISBLANK(patch[[#This Row],[mergeDate]]), U70, MID(YEAR(patch[[#This Row],[mergeDate]]), 3,2)&amp;"'m"&amp;MONTH(patch[[#This Row],[mergeDate]]))</f>
        <v>16'm9</v>
      </c>
      <c r="V71" s="7" t="str">
        <f>IF(ISBLANK(patch[[#This Row],[project]]), "",SUM(patch[[#This Row],[BJ -1 num]:[SH -1 num]]))</f>
        <v/>
      </c>
      <c r="W71" s="7" t="str">
        <f>IF(ISBLANK(patch[[#This Row],[project]]), "",COUNTIFS($A:$A,patch[[#This Row],[number]],$S:$S, "BJ And dev",$AC:$AC, "Review-1"))</f>
        <v/>
      </c>
      <c r="X71" s="7" t="str">
        <f>IF(ISBLANK(patch[[#This Row],[project]]), "",COUNTIFS($A:$A,patch[[#This Row],[number]],$S:$S, "FL And dev",$AC:$AC, "Review-1"))</f>
        <v/>
      </c>
      <c r="Y71" s="7" t="str">
        <f>IF(ISBLANK(patch[[#This Row],[project]]), "",COUNTIFS($A:$A,patch[[#This Row],[number]],$S:$S, "SH And dev",$AC:$AC, "Review-1"))</f>
        <v/>
      </c>
      <c r="Z71" s="7" t="str">
        <f>IF(ISBLANK(patch[[#This Row],[project]]), "",COUNTIFS($A:$A,patch[[#This Row],[number]],$S:$S, "BJ And dev",$AD:$AD, "&lt;&gt;IntegratorValidationComment"))</f>
        <v/>
      </c>
      <c r="AA71" s="7" t="str">
        <f>IF(ISBLANK(patch[[#This Row],[project]]), "",COUNTIFS($A:$A,patch[[#This Row],[number]],$S:$S, "FL And dev",$AD:$AD, "&lt;&gt;IntegratorValidationComment"))</f>
        <v/>
      </c>
      <c r="AB71" s="7" t="str">
        <f>IF(ISBLANK(patch[[#This Row],[project]]), "",COUNTIFS($A:$A,patch[[#This Row],[number]],$S:$S, "SH And dev",$AD:$AD, "&lt;&gt;IntegratorValidationComment"))</f>
        <v/>
      </c>
      <c r="AC71" s="7" t="str">
        <f>IF(OR(ISNUMBER(FIND("Review-1", patch[[#This Row],[comments]])), ISNUMBER(FIND("Approver-1", patch[[#This Row],[comments]]))), "Review-1", "")</f>
        <v/>
      </c>
      <c r="AD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71" s="7">
        <f>IF(ISBLANK(patch[[#This Row],[number]]),AE70,patch[[#This Row],[ifCommon]])</f>
        <v>0</v>
      </c>
    </row>
    <row r="72" spans="1:31">
      <c r="A72" s="151">
        <v>148585</v>
      </c>
      <c r="B72" s="151" t="s">
        <v>2490</v>
      </c>
      <c r="C72" s="151" t="s">
        <v>2491</v>
      </c>
      <c r="D72" s="151" t="s">
        <v>2616</v>
      </c>
      <c r="E72" s="151" t="s">
        <v>24</v>
      </c>
      <c r="F72" s="151" t="s">
        <v>23</v>
      </c>
      <c r="G72" s="151" t="s">
        <v>2617</v>
      </c>
      <c r="H72" s="151" t="s">
        <v>2618</v>
      </c>
      <c r="I72" s="152">
        <v>42640.707615740743</v>
      </c>
      <c r="J72" s="152">
        <v>42642.672025462962</v>
      </c>
      <c r="K72" s="151" t="s">
        <v>2445</v>
      </c>
      <c r="L72" s="151" t="s">
        <v>24</v>
      </c>
      <c r="M72" s="152">
        <v>42640.707615740743</v>
      </c>
      <c r="N72" s="151" t="s">
        <v>25</v>
      </c>
      <c r="O72" s="151"/>
      <c r="P72" s="151" t="s">
        <v>2619</v>
      </c>
      <c r="Q72" s="7" t="str">
        <f>IF(ISBLANK(patch[[#This Row],[OwnerEmail]]),Q71,patch[[#This Row],[OwnerEmail]])</f>
        <v>qingwu.zhang@intel.com</v>
      </c>
      <c r="R72" s="7" t="str">
        <f>_xlfn.IFNA(VLOOKUP(patch[[#This Row],[tmp-owner.email]],OrgTree!$A:$K, 11, 0), "not ICG SWFW")</f>
        <v>BJ And dev</v>
      </c>
      <c r="S72" s="7" t="str">
        <f>IF(patch[[#This Row],[reviewer]]=patch[[#This Row],[tmp-owner.email]], "author", _xlfn.IFNA(VLOOKUP(patch[[#This Row],[reviewer]],OrgTree!$A:$K, 11, 0), "not ICG SWFW"))</f>
        <v>author</v>
      </c>
      <c r="T72" s="7" t="str">
        <f>IF(ISBLANK(patch[[#This Row],[mergeDate]]), "", MID(YEAR(patch[[#This Row],[mergeDate]]), 3,2)&amp;"'ww"&amp;WEEKNUM(patch[[#This Row],[mergeDate]]))</f>
        <v>16'ww40</v>
      </c>
      <c r="U72" s="7" t="str">
        <f>IF(ISBLANK(patch[[#This Row],[mergeDate]]), U71, MID(YEAR(patch[[#This Row],[mergeDate]]), 3,2)&amp;"'m"&amp;MONTH(patch[[#This Row],[mergeDate]]))</f>
        <v>16'm9</v>
      </c>
      <c r="V72" s="7">
        <f>IF(ISBLANK(patch[[#This Row],[project]]), "",SUM(patch[[#This Row],[BJ -1 num]:[SH -1 num]]))</f>
        <v>0</v>
      </c>
      <c r="W72" s="7">
        <f>IF(ISBLANK(patch[[#This Row],[project]]), "",COUNTIFS($A:$A,patch[[#This Row],[number]],$S:$S, "BJ And dev",$AC:$AC, "Review-1"))</f>
        <v>0</v>
      </c>
      <c r="X72" s="7">
        <f>IF(ISBLANK(patch[[#This Row],[project]]), "",COUNTIFS($A:$A,patch[[#This Row],[number]],$S:$S, "FL And dev",$AC:$AC, "Review-1"))</f>
        <v>0</v>
      </c>
      <c r="Y72" s="7">
        <f>IF(ISBLANK(patch[[#This Row],[project]]), "",COUNTIFS($A:$A,patch[[#This Row],[number]],$S:$S, "SH And dev",$AC:$AC, "Review-1"))</f>
        <v>0</v>
      </c>
      <c r="Z72" s="7">
        <f>IF(ISBLANK(patch[[#This Row],[project]]), "",COUNTIFS($A:$A,patch[[#This Row],[number]],$S:$S, "BJ And dev",$AD:$AD, "&lt;&gt;IntegratorValidationComment"))</f>
        <v>13</v>
      </c>
      <c r="AA72" s="7">
        <f>IF(ISBLANK(patch[[#This Row],[project]]), "",COUNTIFS($A:$A,patch[[#This Row],[number]],$S:$S, "FL And dev",$AD:$AD, "&lt;&gt;IntegratorValidationComment"))</f>
        <v>0</v>
      </c>
      <c r="AB72" s="7">
        <f>IF(ISBLANK(patch[[#This Row],[project]]), "",COUNTIFS($A:$A,patch[[#This Row],[number]],$S:$S, "SH And dev",$AD:$AD, "&lt;&gt;IntegratorValidationComment"))</f>
        <v>0</v>
      </c>
      <c r="AC72" s="7" t="str">
        <f>IF(OR(ISNUMBER(FIND("Review-1", patch[[#This Row],[comments]])), ISNUMBER(FIND("Approver-1", patch[[#This Row],[comments]]))), "Review-1", "")</f>
        <v/>
      </c>
      <c r="AD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2" s="7" t="str">
        <f>IF(ISBLANK(patch[[#This Row],[number]]),AE71,patch[[#This Row],[ifCommon]])</f>
        <v>not AndrHAL</v>
      </c>
    </row>
    <row r="73" spans="1:31">
      <c r="A73" s="151">
        <v>148585</v>
      </c>
      <c r="B73" s="151"/>
      <c r="C73" s="151"/>
      <c r="D73" s="151"/>
      <c r="E73" s="151"/>
      <c r="F73" s="151"/>
      <c r="G73" s="151"/>
      <c r="H73" s="151"/>
      <c r="I73" s="151"/>
      <c r="J73" s="152">
        <v>42642.672025462962</v>
      </c>
      <c r="K73" s="151"/>
      <c r="L73" s="151" t="s">
        <v>24</v>
      </c>
      <c r="M73" s="152">
        <v>42640.707615740743</v>
      </c>
      <c r="N73" s="151" t="s">
        <v>2458</v>
      </c>
      <c r="O73" s="151"/>
      <c r="P73" s="151"/>
      <c r="Q73" s="7" t="str">
        <f>IF(ISBLANK(patch[[#This Row],[OwnerEmail]]),Q72,patch[[#This Row],[OwnerEmail]])</f>
        <v>qingwu.zhang@intel.com</v>
      </c>
      <c r="R73" s="7" t="str">
        <f>_xlfn.IFNA(VLOOKUP(patch[[#This Row],[tmp-owner.email]],OrgTree!$A:$K, 11, 0), "not ICG SWFW")</f>
        <v>BJ And dev</v>
      </c>
      <c r="S73" s="7" t="str">
        <f>IF(patch[[#This Row],[reviewer]]=patch[[#This Row],[tmp-owner.email]], "author", _xlfn.IFNA(VLOOKUP(patch[[#This Row],[reviewer]],OrgTree!$A:$K, 11, 0), "not ICG SWFW"))</f>
        <v>author</v>
      </c>
      <c r="T73" s="7" t="str">
        <f>IF(ISBLANK(patch[[#This Row],[mergeDate]]), "", MID(YEAR(patch[[#This Row],[mergeDate]]), 3,2)&amp;"'ww"&amp;WEEKNUM(patch[[#This Row],[mergeDate]]))</f>
        <v>16'ww40</v>
      </c>
      <c r="U73" s="7" t="str">
        <f>IF(ISBLANK(patch[[#This Row],[mergeDate]]), U72, MID(YEAR(patch[[#This Row],[mergeDate]]), 3,2)&amp;"'m"&amp;MONTH(patch[[#This Row],[mergeDate]]))</f>
        <v>16'm9</v>
      </c>
      <c r="V73" s="7" t="str">
        <f>IF(ISBLANK(patch[[#This Row],[project]]), "",SUM(patch[[#This Row],[BJ -1 num]:[SH -1 num]]))</f>
        <v/>
      </c>
      <c r="W73" s="7" t="str">
        <f>IF(ISBLANK(patch[[#This Row],[project]]), "",COUNTIFS($A:$A,patch[[#This Row],[number]],$S:$S, "BJ And dev",$AC:$AC, "Review-1"))</f>
        <v/>
      </c>
      <c r="X73" s="7" t="str">
        <f>IF(ISBLANK(patch[[#This Row],[project]]), "",COUNTIFS($A:$A,patch[[#This Row],[number]],$S:$S, "FL And dev",$AC:$AC, "Review-1"))</f>
        <v/>
      </c>
      <c r="Y73" s="7" t="str">
        <f>IF(ISBLANK(patch[[#This Row],[project]]), "",COUNTIFS($A:$A,patch[[#This Row],[number]],$S:$S, "SH And dev",$AC:$AC, "Review-1"))</f>
        <v/>
      </c>
      <c r="Z73" s="7" t="str">
        <f>IF(ISBLANK(patch[[#This Row],[project]]), "",COUNTIFS($A:$A,patch[[#This Row],[number]],$S:$S, "BJ And dev",$AD:$AD, "&lt;&gt;IntegratorValidationComment"))</f>
        <v/>
      </c>
      <c r="AA73" s="7" t="str">
        <f>IF(ISBLANK(patch[[#This Row],[project]]), "",COUNTIFS($A:$A,patch[[#This Row],[number]],$S:$S, "FL And dev",$AD:$AD, "&lt;&gt;IntegratorValidationComment"))</f>
        <v/>
      </c>
      <c r="AB73" s="7" t="str">
        <f>IF(ISBLANK(patch[[#This Row],[project]]), "",COUNTIFS($A:$A,patch[[#This Row],[number]],$S:$S, "SH And dev",$AD:$AD, "&lt;&gt;IntegratorValidationComment"))</f>
        <v/>
      </c>
      <c r="AC73" s="7" t="str">
        <f>IF(OR(ISNUMBER(FIND("Review-1", patch[[#This Row],[comments]])), ISNUMBER(FIND("Approver-1", patch[[#This Row],[comments]]))), "Review-1", "")</f>
        <v/>
      </c>
      <c r="AD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3" s="7">
        <f>IF(ISBLANK(patch[[#This Row],[number]]),AE72,patch[[#This Row],[ifCommon]])</f>
        <v>0</v>
      </c>
    </row>
    <row r="74" spans="1:31">
      <c r="A74" s="151">
        <v>148585</v>
      </c>
      <c r="B74" s="151"/>
      <c r="C74" s="151"/>
      <c r="D74" s="151"/>
      <c r="E74" s="151"/>
      <c r="F74" s="151"/>
      <c r="G74" s="151"/>
      <c r="H74" s="151"/>
      <c r="I74" s="151"/>
      <c r="J74" s="152">
        <v>42642.672025462962</v>
      </c>
      <c r="K74" s="151"/>
      <c r="L74" s="151" t="s">
        <v>24</v>
      </c>
      <c r="M74" s="152">
        <v>42640.775416666656</v>
      </c>
      <c r="N74" s="151" t="s">
        <v>29</v>
      </c>
      <c r="O74" s="151"/>
      <c r="P74" s="151"/>
      <c r="Q74" s="7" t="str">
        <f>IF(ISBLANK(patch[[#This Row],[OwnerEmail]]),Q73,patch[[#This Row],[OwnerEmail]])</f>
        <v>qingwu.zhang@intel.com</v>
      </c>
      <c r="R74" s="7" t="str">
        <f>_xlfn.IFNA(VLOOKUP(patch[[#This Row],[tmp-owner.email]],OrgTree!$A:$K, 11, 0), "not ICG SWFW")</f>
        <v>BJ And dev</v>
      </c>
      <c r="S74" s="7" t="str">
        <f>IF(patch[[#This Row],[reviewer]]=patch[[#This Row],[tmp-owner.email]], "author", _xlfn.IFNA(VLOOKUP(patch[[#This Row],[reviewer]],OrgTree!$A:$K, 11, 0), "not ICG SWFW"))</f>
        <v>author</v>
      </c>
      <c r="T74" s="7" t="str">
        <f>IF(ISBLANK(patch[[#This Row],[mergeDate]]), "", MID(YEAR(patch[[#This Row],[mergeDate]]), 3,2)&amp;"'ww"&amp;WEEKNUM(patch[[#This Row],[mergeDate]]))</f>
        <v>16'ww40</v>
      </c>
      <c r="U74" s="7" t="str">
        <f>IF(ISBLANK(patch[[#This Row],[mergeDate]]), U73, MID(YEAR(patch[[#This Row],[mergeDate]]), 3,2)&amp;"'m"&amp;MONTH(patch[[#This Row],[mergeDate]]))</f>
        <v>16'm9</v>
      </c>
      <c r="V74" s="7" t="str">
        <f>IF(ISBLANK(patch[[#This Row],[project]]), "",SUM(patch[[#This Row],[BJ -1 num]:[SH -1 num]]))</f>
        <v/>
      </c>
      <c r="W74" s="7" t="str">
        <f>IF(ISBLANK(patch[[#This Row],[project]]), "",COUNTIFS($A:$A,patch[[#This Row],[number]],$S:$S, "BJ And dev",$AC:$AC, "Review-1"))</f>
        <v/>
      </c>
      <c r="X74" s="7" t="str">
        <f>IF(ISBLANK(patch[[#This Row],[project]]), "",COUNTIFS($A:$A,patch[[#This Row],[number]],$S:$S, "FL And dev",$AC:$AC, "Review-1"))</f>
        <v/>
      </c>
      <c r="Y74" s="7" t="str">
        <f>IF(ISBLANK(patch[[#This Row],[project]]), "",COUNTIFS($A:$A,patch[[#This Row],[number]],$S:$S, "SH And dev",$AC:$AC, "Review-1"))</f>
        <v/>
      </c>
      <c r="Z74" s="7" t="str">
        <f>IF(ISBLANK(patch[[#This Row],[project]]), "",COUNTIFS($A:$A,patch[[#This Row],[number]],$S:$S, "BJ And dev",$AD:$AD, "&lt;&gt;IntegratorValidationComment"))</f>
        <v/>
      </c>
      <c r="AA74" s="7" t="str">
        <f>IF(ISBLANK(patch[[#This Row],[project]]), "",COUNTIFS($A:$A,patch[[#This Row],[number]],$S:$S, "FL And dev",$AD:$AD, "&lt;&gt;IntegratorValidationComment"))</f>
        <v/>
      </c>
      <c r="AB74" s="7" t="str">
        <f>IF(ISBLANK(patch[[#This Row],[project]]), "",COUNTIFS($A:$A,patch[[#This Row],[number]],$S:$S, "SH And dev",$AD:$AD, "&lt;&gt;IntegratorValidationComment"))</f>
        <v/>
      </c>
      <c r="AC74" s="7" t="str">
        <f>IF(OR(ISNUMBER(FIND("Review-1", patch[[#This Row],[comments]])), ISNUMBER(FIND("Approver-1", patch[[#This Row],[comments]]))), "Review-1", "")</f>
        <v/>
      </c>
      <c r="AD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4" s="7">
        <f>IF(ISBLANK(patch[[#This Row],[number]]),AE73,patch[[#This Row],[ifCommon]])</f>
        <v>0</v>
      </c>
    </row>
    <row r="75" spans="1:31">
      <c r="A75" s="151">
        <v>148585</v>
      </c>
      <c r="B75" s="151"/>
      <c r="C75" s="151"/>
      <c r="D75" s="151"/>
      <c r="E75" s="151"/>
      <c r="F75" s="151"/>
      <c r="G75" s="151"/>
      <c r="H75" s="151"/>
      <c r="I75" s="151"/>
      <c r="J75" s="152">
        <v>42642.672025462962</v>
      </c>
      <c r="K75" s="151"/>
      <c r="L75" s="151" t="s">
        <v>24</v>
      </c>
      <c r="M75" s="152">
        <v>42640.775416666656</v>
      </c>
      <c r="N75" s="151" t="s">
        <v>2461</v>
      </c>
      <c r="O75" s="151"/>
      <c r="P75" s="151"/>
      <c r="Q75" s="7" t="str">
        <f>IF(ISBLANK(patch[[#This Row],[OwnerEmail]]),Q74,patch[[#This Row],[OwnerEmail]])</f>
        <v>qingwu.zhang@intel.com</v>
      </c>
      <c r="R75" s="7" t="str">
        <f>_xlfn.IFNA(VLOOKUP(patch[[#This Row],[tmp-owner.email]],OrgTree!$A:$K, 11, 0), "not ICG SWFW")</f>
        <v>BJ And dev</v>
      </c>
      <c r="S75" s="7" t="str">
        <f>IF(patch[[#This Row],[reviewer]]=patch[[#This Row],[tmp-owner.email]], "author", _xlfn.IFNA(VLOOKUP(patch[[#This Row],[reviewer]],OrgTree!$A:$K, 11, 0), "not ICG SWFW"))</f>
        <v>author</v>
      </c>
      <c r="T75" s="7" t="str">
        <f>IF(ISBLANK(patch[[#This Row],[mergeDate]]), "", MID(YEAR(patch[[#This Row],[mergeDate]]), 3,2)&amp;"'ww"&amp;WEEKNUM(patch[[#This Row],[mergeDate]]))</f>
        <v>16'ww40</v>
      </c>
      <c r="U75" s="7" t="str">
        <f>IF(ISBLANK(patch[[#This Row],[mergeDate]]), U74, MID(YEAR(patch[[#This Row],[mergeDate]]), 3,2)&amp;"'m"&amp;MONTH(patch[[#This Row],[mergeDate]]))</f>
        <v>16'm9</v>
      </c>
      <c r="V75" s="7" t="str">
        <f>IF(ISBLANK(patch[[#This Row],[project]]), "",SUM(patch[[#This Row],[BJ -1 num]:[SH -1 num]]))</f>
        <v/>
      </c>
      <c r="W75" s="7" t="str">
        <f>IF(ISBLANK(patch[[#This Row],[project]]), "",COUNTIFS($A:$A,patch[[#This Row],[number]],$S:$S, "BJ And dev",$AC:$AC, "Review-1"))</f>
        <v/>
      </c>
      <c r="X75" s="7" t="str">
        <f>IF(ISBLANK(patch[[#This Row],[project]]), "",COUNTIFS($A:$A,patch[[#This Row],[number]],$S:$S, "FL And dev",$AC:$AC, "Review-1"))</f>
        <v/>
      </c>
      <c r="Y75" s="7" t="str">
        <f>IF(ISBLANK(patch[[#This Row],[project]]), "",COUNTIFS($A:$A,patch[[#This Row],[number]],$S:$S, "SH And dev",$AC:$AC, "Review-1"))</f>
        <v/>
      </c>
      <c r="Z75" s="7" t="str">
        <f>IF(ISBLANK(patch[[#This Row],[project]]), "",COUNTIFS($A:$A,patch[[#This Row],[number]],$S:$S, "BJ And dev",$AD:$AD, "&lt;&gt;IntegratorValidationComment"))</f>
        <v/>
      </c>
      <c r="AA75" s="7" t="str">
        <f>IF(ISBLANK(patch[[#This Row],[project]]), "",COUNTIFS($A:$A,patch[[#This Row],[number]],$S:$S, "FL And dev",$AD:$AD, "&lt;&gt;IntegratorValidationComment"))</f>
        <v/>
      </c>
      <c r="AB75" s="7" t="str">
        <f>IF(ISBLANK(patch[[#This Row],[project]]), "",COUNTIFS($A:$A,patch[[#This Row],[number]],$S:$S, "SH And dev",$AD:$AD, "&lt;&gt;IntegratorValidationComment"))</f>
        <v/>
      </c>
      <c r="AC75" s="7" t="str">
        <f>IF(OR(ISNUMBER(FIND("Review-1", patch[[#This Row],[comments]])), ISNUMBER(FIND("Approver-1", patch[[#This Row],[comments]]))), "Review-1", "")</f>
        <v/>
      </c>
      <c r="AD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5" s="7">
        <f>IF(ISBLANK(patch[[#This Row],[number]]),AE74,patch[[#This Row],[ifCommon]])</f>
        <v>0</v>
      </c>
    </row>
    <row r="76" spans="1:31">
      <c r="A76" s="151">
        <v>148585</v>
      </c>
      <c r="B76" s="151"/>
      <c r="C76" s="151"/>
      <c r="D76" s="151"/>
      <c r="E76" s="151"/>
      <c r="F76" s="151"/>
      <c r="G76" s="151"/>
      <c r="H76" s="151"/>
      <c r="I76" s="151"/>
      <c r="J76" s="152">
        <v>42642.672025462962</v>
      </c>
      <c r="K76" s="151"/>
      <c r="L76" s="151" t="s">
        <v>24</v>
      </c>
      <c r="M76" s="152">
        <v>42641.442719907413</v>
      </c>
      <c r="N76" s="151" t="s">
        <v>2450</v>
      </c>
      <c r="O76" s="151"/>
      <c r="P76" s="151"/>
      <c r="Q76" s="7" t="str">
        <f>IF(ISBLANK(patch[[#This Row],[OwnerEmail]]),Q75,patch[[#This Row],[OwnerEmail]])</f>
        <v>qingwu.zhang@intel.com</v>
      </c>
      <c r="R76" s="7" t="str">
        <f>_xlfn.IFNA(VLOOKUP(patch[[#This Row],[tmp-owner.email]],OrgTree!$A:$K, 11, 0), "not ICG SWFW")</f>
        <v>BJ And dev</v>
      </c>
      <c r="S76" s="7" t="str">
        <f>IF(patch[[#This Row],[reviewer]]=patch[[#This Row],[tmp-owner.email]], "author", _xlfn.IFNA(VLOOKUP(patch[[#This Row],[reviewer]],OrgTree!$A:$K, 11, 0), "not ICG SWFW"))</f>
        <v>author</v>
      </c>
      <c r="T76" s="7" t="str">
        <f>IF(ISBLANK(patch[[#This Row],[mergeDate]]), "", MID(YEAR(patch[[#This Row],[mergeDate]]), 3,2)&amp;"'ww"&amp;WEEKNUM(patch[[#This Row],[mergeDate]]))</f>
        <v>16'ww40</v>
      </c>
      <c r="U76" s="7" t="str">
        <f>IF(ISBLANK(patch[[#This Row],[mergeDate]]), U75, MID(YEAR(patch[[#This Row],[mergeDate]]), 3,2)&amp;"'m"&amp;MONTH(patch[[#This Row],[mergeDate]]))</f>
        <v>16'm9</v>
      </c>
      <c r="V76" s="7" t="str">
        <f>IF(ISBLANK(patch[[#This Row],[project]]), "",SUM(patch[[#This Row],[BJ -1 num]:[SH -1 num]]))</f>
        <v/>
      </c>
      <c r="W76" s="7" t="str">
        <f>IF(ISBLANK(patch[[#This Row],[project]]), "",COUNTIFS($A:$A,patch[[#This Row],[number]],$S:$S, "BJ And dev",$AC:$AC, "Review-1"))</f>
        <v/>
      </c>
      <c r="X76" s="7" t="str">
        <f>IF(ISBLANK(patch[[#This Row],[project]]), "",COUNTIFS($A:$A,patch[[#This Row],[number]],$S:$S, "FL And dev",$AC:$AC, "Review-1"))</f>
        <v/>
      </c>
      <c r="Y76" s="7" t="str">
        <f>IF(ISBLANK(patch[[#This Row],[project]]), "",COUNTIFS($A:$A,patch[[#This Row],[number]],$S:$S, "SH And dev",$AC:$AC, "Review-1"))</f>
        <v/>
      </c>
      <c r="Z76" s="7" t="str">
        <f>IF(ISBLANK(patch[[#This Row],[project]]), "",COUNTIFS($A:$A,patch[[#This Row],[number]],$S:$S, "BJ And dev",$AD:$AD, "&lt;&gt;IntegratorValidationComment"))</f>
        <v/>
      </c>
      <c r="AA76" s="7" t="str">
        <f>IF(ISBLANK(patch[[#This Row],[project]]), "",COUNTIFS($A:$A,patch[[#This Row],[number]],$S:$S, "FL And dev",$AD:$AD, "&lt;&gt;IntegratorValidationComment"))</f>
        <v/>
      </c>
      <c r="AB76" s="7" t="str">
        <f>IF(ISBLANK(patch[[#This Row],[project]]), "",COUNTIFS($A:$A,patch[[#This Row],[number]],$S:$S, "SH And dev",$AD:$AD, "&lt;&gt;IntegratorValidationComment"))</f>
        <v/>
      </c>
      <c r="AC76" s="7" t="str">
        <f>IF(OR(ISNUMBER(FIND("Review-1", patch[[#This Row],[comments]])), ISNUMBER(FIND("Approver-1", patch[[#This Row],[comments]]))), "Review-1", "")</f>
        <v/>
      </c>
      <c r="AD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6" s="7">
        <f>IF(ISBLANK(patch[[#This Row],[number]]),AE75,patch[[#This Row],[ifCommon]])</f>
        <v>0</v>
      </c>
    </row>
    <row r="77" spans="1:31">
      <c r="A77" s="151">
        <v>148585</v>
      </c>
      <c r="B77" s="151"/>
      <c r="C77" s="151"/>
      <c r="D77" s="151"/>
      <c r="E77" s="151"/>
      <c r="F77" s="151"/>
      <c r="G77" s="151"/>
      <c r="H77" s="151"/>
      <c r="I77" s="151"/>
      <c r="J77" s="152">
        <v>42642.672025462962</v>
      </c>
      <c r="K77" s="151"/>
      <c r="L77" s="151" t="s">
        <v>24</v>
      </c>
      <c r="M77" s="152">
        <v>42641.442719907413</v>
      </c>
      <c r="N77" s="151" t="s">
        <v>2509</v>
      </c>
      <c r="O77" s="151"/>
      <c r="P77" s="151"/>
      <c r="Q77" s="7" t="str">
        <f>IF(ISBLANK(patch[[#This Row],[OwnerEmail]]),Q76,patch[[#This Row],[OwnerEmail]])</f>
        <v>qingwu.zhang@intel.com</v>
      </c>
      <c r="R77" s="7" t="str">
        <f>_xlfn.IFNA(VLOOKUP(patch[[#This Row],[tmp-owner.email]],OrgTree!$A:$K, 11, 0), "not ICG SWFW")</f>
        <v>BJ And dev</v>
      </c>
      <c r="S77" s="7" t="str">
        <f>IF(patch[[#This Row],[reviewer]]=patch[[#This Row],[tmp-owner.email]], "author", _xlfn.IFNA(VLOOKUP(patch[[#This Row],[reviewer]],OrgTree!$A:$K, 11, 0), "not ICG SWFW"))</f>
        <v>author</v>
      </c>
      <c r="T77" s="7" t="str">
        <f>IF(ISBLANK(patch[[#This Row],[mergeDate]]), "", MID(YEAR(patch[[#This Row],[mergeDate]]), 3,2)&amp;"'ww"&amp;WEEKNUM(patch[[#This Row],[mergeDate]]))</f>
        <v>16'ww40</v>
      </c>
      <c r="U77" s="7" t="str">
        <f>IF(ISBLANK(patch[[#This Row],[mergeDate]]), U76, MID(YEAR(patch[[#This Row],[mergeDate]]), 3,2)&amp;"'m"&amp;MONTH(patch[[#This Row],[mergeDate]]))</f>
        <v>16'm9</v>
      </c>
      <c r="V77" s="7" t="str">
        <f>IF(ISBLANK(patch[[#This Row],[project]]), "",SUM(patch[[#This Row],[BJ -1 num]:[SH -1 num]]))</f>
        <v/>
      </c>
      <c r="W77" s="7" t="str">
        <f>IF(ISBLANK(patch[[#This Row],[project]]), "",COUNTIFS($A:$A,patch[[#This Row],[number]],$S:$S, "BJ And dev",$AC:$AC, "Review-1"))</f>
        <v/>
      </c>
      <c r="X77" s="7" t="str">
        <f>IF(ISBLANK(patch[[#This Row],[project]]), "",COUNTIFS($A:$A,patch[[#This Row],[number]],$S:$S, "FL And dev",$AC:$AC, "Review-1"))</f>
        <v/>
      </c>
      <c r="Y77" s="7" t="str">
        <f>IF(ISBLANK(patch[[#This Row],[project]]), "",COUNTIFS($A:$A,patch[[#This Row],[number]],$S:$S, "SH And dev",$AC:$AC, "Review-1"))</f>
        <v/>
      </c>
      <c r="Z77" s="7" t="str">
        <f>IF(ISBLANK(patch[[#This Row],[project]]), "",COUNTIFS($A:$A,patch[[#This Row],[number]],$S:$S, "BJ And dev",$AD:$AD, "&lt;&gt;IntegratorValidationComment"))</f>
        <v/>
      </c>
      <c r="AA77" s="7" t="str">
        <f>IF(ISBLANK(patch[[#This Row],[project]]), "",COUNTIFS($A:$A,patch[[#This Row],[number]],$S:$S, "FL And dev",$AD:$AD, "&lt;&gt;IntegratorValidationComment"))</f>
        <v/>
      </c>
      <c r="AB77" s="7" t="str">
        <f>IF(ISBLANK(patch[[#This Row],[project]]), "",COUNTIFS($A:$A,patch[[#This Row],[number]],$S:$S, "SH And dev",$AD:$AD, "&lt;&gt;IntegratorValidationComment"))</f>
        <v/>
      </c>
      <c r="AC77" s="7" t="str">
        <f>IF(OR(ISNUMBER(FIND("Review-1", patch[[#This Row],[comments]])), ISNUMBER(FIND("Approver-1", patch[[#This Row],[comments]]))), "Review-1", "")</f>
        <v/>
      </c>
      <c r="AD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7" s="7">
        <f>IF(ISBLANK(patch[[#This Row],[number]]),AE76,patch[[#This Row],[ifCommon]])</f>
        <v>0</v>
      </c>
    </row>
    <row r="78" spans="1:31">
      <c r="A78" s="151">
        <v>148585</v>
      </c>
      <c r="B78" s="151"/>
      <c r="C78" s="151"/>
      <c r="D78" s="151"/>
      <c r="E78" s="151"/>
      <c r="F78" s="151"/>
      <c r="G78" s="151"/>
      <c r="H78" s="151"/>
      <c r="I78" s="151"/>
      <c r="J78" s="152">
        <v>42642.672025462962</v>
      </c>
      <c r="K78" s="151"/>
      <c r="L78" s="151" t="s">
        <v>24</v>
      </c>
      <c r="M78" s="152">
        <v>42641.442928240736</v>
      </c>
      <c r="N78" s="151" t="s">
        <v>48</v>
      </c>
      <c r="O78" s="151"/>
      <c r="P78" s="151"/>
      <c r="Q78" s="7" t="str">
        <f>IF(ISBLANK(patch[[#This Row],[OwnerEmail]]),Q77,patch[[#This Row],[OwnerEmail]])</f>
        <v>qingwu.zhang@intel.com</v>
      </c>
      <c r="R78" s="7" t="str">
        <f>_xlfn.IFNA(VLOOKUP(patch[[#This Row],[tmp-owner.email]],OrgTree!$A:$K, 11, 0), "not ICG SWFW")</f>
        <v>BJ And dev</v>
      </c>
      <c r="S78" s="7" t="str">
        <f>IF(patch[[#This Row],[reviewer]]=patch[[#This Row],[tmp-owner.email]], "author", _xlfn.IFNA(VLOOKUP(patch[[#This Row],[reviewer]],OrgTree!$A:$K, 11, 0), "not ICG SWFW"))</f>
        <v>author</v>
      </c>
      <c r="T78" s="7" t="str">
        <f>IF(ISBLANK(patch[[#This Row],[mergeDate]]), "", MID(YEAR(patch[[#This Row],[mergeDate]]), 3,2)&amp;"'ww"&amp;WEEKNUM(patch[[#This Row],[mergeDate]]))</f>
        <v>16'ww40</v>
      </c>
      <c r="U78" s="7" t="str">
        <f>IF(ISBLANK(patch[[#This Row],[mergeDate]]), U77, MID(YEAR(patch[[#This Row],[mergeDate]]), 3,2)&amp;"'m"&amp;MONTH(patch[[#This Row],[mergeDate]]))</f>
        <v>16'm9</v>
      </c>
      <c r="V78" s="7" t="str">
        <f>IF(ISBLANK(patch[[#This Row],[project]]), "",SUM(patch[[#This Row],[BJ -1 num]:[SH -1 num]]))</f>
        <v/>
      </c>
      <c r="W78" s="7" t="str">
        <f>IF(ISBLANK(patch[[#This Row],[project]]), "",COUNTIFS($A:$A,patch[[#This Row],[number]],$S:$S, "BJ And dev",$AC:$AC, "Review-1"))</f>
        <v/>
      </c>
      <c r="X78" s="7" t="str">
        <f>IF(ISBLANK(patch[[#This Row],[project]]), "",COUNTIFS($A:$A,patch[[#This Row],[number]],$S:$S, "FL And dev",$AC:$AC, "Review-1"))</f>
        <v/>
      </c>
      <c r="Y78" s="7" t="str">
        <f>IF(ISBLANK(patch[[#This Row],[project]]), "",COUNTIFS($A:$A,patch[[#This Row],[number]],$S:$S, "SH And dev",$AC:$AC, "Review-1"))</f>
        <v/>
      </c>
      <c r="Z78" s="7" t="str">
        <f>IF(ISBLANK(patch[[#This Row],[project]]), "",COUNTIFS($A:$A,patch[[#This Row],[number]],$S:$S, "BJ And dev",$AD:$AD, "&lt;&gt;IntegratorValidationComment"))</f>
        <v/>
      </c>
      <c r="AA78" s="7" t="str">
        <f>IF(ISBLANK(patch[[#This Row],[project]]), "",COUNTIFS($A:$A,patch[[#This Row],[number]],$S:$S, "FL And dev",$AD:$AD, "&lt;&gt;IntegratorValidationComment"))</f>
        <v/>
      </c>
      <c r="AB78" s="7" t="str">
        <f>IF(ISBLANK(patch[[#This Row],[project]]), "",COUNTIFS($A:$A,patch[[#This Row],[number]],$S:$S, "SH And dev",$AD:$AD, "&lt;&gt;IntegratorValidationComment"))</f>
        <v/>
      </c>
      <c r="AC78" s="7" t="str">
        <f>IF(OR(ISNUMBER(FIND("Review-1", patch[[#This Row],[comments]])), ISNUMBER(FIND("Approver-1", patch[[#This Row],[comments]]))), "Review-1", "")</f>
        <v/>
      </c>
      <c r="AD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8" s="7">
        <f>IF(ISBLANK(patch[[#This Row],[number]]),AE77,patch[[#This Row],[ifCommon]])</f>
        <v>0</v>
      </c>
    </row>
    <row r="79" spans="1:31">
      <c r="A79" s="151">
        <v>148585</v>
      </c>
      <c r="B79" s="151"/>
      <c r="C79" s="151"/>
      <c r="D79" s="151"/>
      <c r="E79" s="151"/>
      <c r="F79" s="151"/>
      <c r="G79" s="151"/>
      <c r="H79" s="151"/>
      <c r="I79" s="151"/>
      <c r="J79" s="152">
        <v>42642.672025462962</v>
      </c>
      <c r="K79" s="151"/>
      <c r="L79" s="151" t="s">
        <v>59</v>
      </c>
      <c r="M79" s="152">
        <v>42641.446562500001</v>
      </c>
      <c r="N79" s="151" t="s">
        <v>2620</v>
      </c>
      <c r="O79" s="151"/>
      <c r="P79" s="151"/>
      <c r="Q79" s="7" t="str">
        <f>IF(ISBLANK(patch[[#This Row],[OwnerEmail]]),Q78,patch[[#This Row],[OwnerEmail]])</f>
        <v>qingwu.zhang@intel.com</v>
      </c>
      <c r="R79" s="7" t="str">
        <f>_xlfn.IFNA(VLOOKUP(patch[[#This Row],[tmp-owner.email]],OrgTree!$A:$K, 11, 0), "not ICG SWFW")</f>
        <v>BJ And dev</v>
      </c>
      <c r="S79" s="7" t="str">
        <f>IF(patch[[#This Row],[reviewer]]=patch[[#This Row],[tmp-owner.email]], "author", _xlfn.IFNA(VLOOKUP(patch[[#This Row],[reviewer]],OrgTree!$A:$K, 11, 0), "not ICG SWFW"))</f>
        <v>BJ And dev</v>
      </c>
      <c r="T79" s="7" t="str">
        <f>IF(ISBLANK(patch[[#This Row],[mergeDate]]), "", MID(YEAR(patch[[#This Row],[mergeDate]]), 3,2)&amp;"'ww"&amp;WEEKNUM(patch[[#This Row],[mergeDate]]))</f>
        <v>16'ww40</v>
      </c>
      <c r="U79" s="7" t="str">
        <f>IF(ISBLANK(patch[[#This Row],[mergeDate]]), U78, MID(YEAR(patch[[#This Row],[mergeDate]]), 3,2)&amp;"'m"&amp;MONTH(patch[[#This Row],[mergeDate]]))</f>
        <v>16'm9</v>
      </c>
      <c r="V79" s="7" t="str">
        <f>IF(ISBLANK(patch[[#This Row],[project]]), "",SUM(patch[[#This Row],[BJ -1 num]:[SH -1 num]]))</f>
        <v/>
      </c>
      <c r="W79" s="7" t="str">
        <f>IF(ISBLANK(patch[[#This Row],[project]]), "",COUNTIFS($A:$A,patch[[#This Row],[number]],$S:$S, "BJ And dev",$AC:$AC, "Review-1"))</f>
        <v/>
      </c>
      <c r="X79" s="7" t="str">
        <f>IF(ISBLANK(patch[[#This Row],[project]]), "",COUNTIFS($A:$A,patch[[#This Row],[number]],$S:$S, "FL And dev",$AC:$AC, "Review-1"))</f>
        <v/>
      </c>
      <c r="Y79" s="7" t="str">
        <f>IF(ISBLANK(patch[[#This Row],[project]]), "",COUNTIFS($A:$A,patch[[#This Row],[number]],$S:$S, "SH And dev",$AC:$AC, "Review-1"))</f>
        <v/>
      </c>
      <c r="Z79" s="7" t="str">
        <f>IF(ISBLANK(patch[[#This Row],[project]]), "",COUNTIFS($A:$A,patch[[#This Row],[number]],$S:$S, "BJ And dev",$AD:$AD, "&lt;&gt;IntegratorValidationComment"))</f>
        <v/>
      </c>
      <c r="AA79" s="7" t="str">
        <f>IF(ISBLANK(patch[[#This Row],[project]]), "",COUNTIFS($A:$A,patch[[#This Row],[number]],$S:$S, "FL And dev",$AD:$AD, "&lt;&gt;IntegratorValidationComment"))</f>
        <v/>
      </c>
      <c r="AB79" s="7" t="str">
        <f>IF(ISBLANK(patch[[#This Row],[project]]), "",COUNTIFS($A:$A,patch[[#This Row],[number]],$S:$S, "SH And dev",$AD:$AD, "&lt;&gt;IntegratorValidationComment"))</f>
        <v/>
      </c>
      <c r="AC79" s="7" t="str">
        <f>IF(OR(ISNUMBER(FIND("Review-1", patch[[#This Row],[comments]])), ISNUMBER(FIND("Approver-1", patch[[#This Row],[comments]]))), "Review-1", "")</f>
        <v/>
      </c>
      <c r="AD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9" s="7">
        <f>IF(ISBLANK(patch[[#This Row],[number]]),AE78,patch[[#This Row],[ifCommon]])</f>
        <v>0</v>
      </c>
    </row>
    <row r="80" spans="1:31">
      <c r="A80" s="151">
        <v>148585</v>
      </c>
      <c r="B80" s="151"/>
      <c r="C80" s="151"/>
      <c r="D80" s="151"/>
      <c r="E80" s="151"/>
      <c r="F80" s="151"/>
      <c r="G80" s="151"/>
      <c r="H80" s="151"/>
      <c r="I80" s="151"/>
      <c r="J80" s="152">
        <v>42642.672025462962</v>
      </c>
      <c r="K80" s="151"/>
      <c r="L80" s="151" t="s">
        <v>59</v>
      </c>
      <c r="M80" s="152">
        <v>42641.456817129627</v>
      </c>
      <c r="N80" s="151" t="s">
        <v>2621</v>
      </c>
      <c r="O80" s="151"/>
      <c r="P80" s="151"/>
      <c r="Q80" s="7" t="str">
        <f>IF(ISBLANK(patch[[#This Row],[OwnerEmail]]),Q79,patch[[#This Row],[OwnerEmail]])</f>
        <v>qingwu.zhang@intel.com</v>
      </c>
      <c r="R80" s="7" t="str">
        <f>_xlfn.IFNA(VLOOKUP(patch[[#This Row],[tmp-owner.email]],OrgTree!$A:$K, 11, 0), "not ICG SWFW")</f>
        <v>BJ And dev</v>
      </c>
      <c r="S80" s="7" t="str">
        <f>IF(patch[[#This Row],[reviewer]]=patch[[#This Row],[tmp-owner.email]], "author", _xlfn.IFNA(VLOOKUP(patch[[#This Row],[reviewer]],OrgTree!$A:$K, 11, 0), "not ICG SWFW"))</f>
        <v>BJ And dev</v>
      </c>
      <c r="T80" s="7" t="str">
        <f>IF(ISBLANK(patch[[#This Row],[mergeDate]]), "", MID(YEAR(patch[[#This Row],[mergeDate]]), 3,2)&amp;"'ww"&amp;WEEKNUM(patch[[#This Row],[mergeDate]]))</f>
        <v>16'ww40</v>
      </c>
      <c r="U80" s="7" t="str">
        <f>IF(ISBLANK(patch[[#This Row],[mergeDate]]), U79, MID(YEAR(patch[[#This Row],[mergeDate]]), 3,2)&amp;"'m"&amp;MONTH(patch[[#This Row],[mergeDate]]))</f>
        <v>16'm9</v>
      </c>
      <c r="V80" s="7" t="str">
        <f>IF(ISBLANK(patch[[#This Row],[project]]), "",SUM(patch[[#This Row],[BJ -1 num]:[SH -1 num]]))</f>
        <v/>
      </c>
      <c r="W80" s="7" t="str">
        <f>IF(ISBLANK(patch[[#This Row],[project]]), "",COUNTIFS($A:$A,patch[[#This Row],[number]],$S:$S, "BJ And dev",$AC:$AC, "Review-1"))</f>
        <v/>
      </c>
      <c r="X80" s="7" t="str">
        <f>IF(ISBLANK(patch[[#This Row],[project]]), "",COUNTIFS($A:$A,patch[[#This Row],[number]],$S:$S, "FL And dev",$AC:$AC, "Review-1"))</f>
        <v/>
      </c>
      <c r="Y80" s="7" t="str">
        <f>IF(ISBLANK(patch[[#This Row],[project]]), "",COUNTIFS($A:$A,patch[[#This Row],[number]],$S:$S, "SH And dev",$AC:$AC, "Review-1"))</f>
        <v/>
      </c>
      <c r="Z80" s="7" t="str">
        <f>IF(ISBLANK(patch[[#This Row],[project]]), "",COUNTIFS($A:$A,patch[[#This Row],[number]],$S:$S, "BJ And dev",$AD:$AD, "&lt;&gt;IntegratorValidationComment"))</f>
        <v/>
      </c>
      <c r="AA80" s="7" t="str">
        <f>IF(ISBLANK(patch[[#This Row],[project]]), "",COUNTIFS($A:$A,patch[[#This Row],[number]],$S:$S, "FL And dev",$AD:$AD, "&lt;&gt;IntegratorValidationComment"))</f>
        <v/>
      </c>
      <c r="AB80" s="7" t="str">
        <f>IF(ISBLANK(patch[[#This Row],[project]]), "",COUNTIFS($A:$A,patch[[#This Row],[number]],$S:$S, "SH And dev",$AD:$AD, "&lt;&gt;IntegratorValidationComment"))</f>
        <v/>
      </c>
      <c r="AC80" s="7" t="str">
        <f>IF(OR(ISNUMBER(FIND("Review-1", patch[[#This Row],[comments]])), ISNUMBER(FIND("Approver-1", patch[[#This Row],[comments]]))), "Review-1", "")</f>
        <v/>
      </c>
      <c r="AD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0" s="7">
        <f>IF(ISBLANK(patch[[#This Row],[number]]),AE79,patch[[#This Row],[ifCommon]])</f>
        <v>0</v>
      </c>
    </row>
    <row r="81" spans="1:31">
      <c r="A81" s="151">
        <v>148585</v>
      </c>
      <c r="B81" s="151"/>
      <c r="C81" s="151"/>
      <c r="D81" s="151"/>
      <c r="E81" s="151"/>
      <c r="F81" s="151"/>
      <c r="G81" s="151"/>
      <c r="H81" s="151"/>
      <c r="I81" s="151"/>
      <c r="J81" s="152">
        <v>42642.672025462962</v>
      </c>
      <c r="K81" s="151"/>
      <c r="L81" s="151" t="s">
        <v>59</v>
      </c>
      <c r="M81" s="152">
        <v>42641.459849537037</v>
      </c>
      <c r="N81" s="151" t="s">
        <v>2622</v>
      </c>
      <c r="O81" s="151"/>
      <c r="P81" s="151"/>
      <c r="Q81" s="7" t="str">
        <f>IF(ISBLANK(patch[[#This Row],[OwnerEmail]]),Q80,patch[[#This Row],[OwnerEmail]])</f>
        <v>qingwu.zhang@intel.com</v>
      </c>
      <c r="R81" s="7" t="str">
        <f>_xlfn.IFNA(VLOOKUP(patch[[#This Row],[tmp-owner.email]],OrgTree!$A:$K, 11, 0), "not ICG SWFW")</f>
        <v>BJ And dev</v>
      </c>
      <c r="S81" s="7" t="str">
        <f>IF(patch[[#This Row],[reviewer]]=patch[[#This Row],[tmp-owner.email]], "author", _xlfn.IFNA(VLOOKUP(patch[[#This Row],[reviewer]],OrgTree!$A:$K, 11, 0), "not ICG SWFW"))</f>
        <v>BJ And dev</v>
      </c>
      <c r="T81" s="7" t="str">
        <f>IF(ISBLANK(patch[[#This Row],[mergeDate]]), "", MID(YEAR(patch[[#This Row],[mergeDate]]), 3,2)&amp;"'ww"&amp;WEEKNUM(patch[[#This Row],[mergeDate]]))</f>
        <v>16'ww40</v>
      </c>
      <c r="U81" s="7" t="str">
        <f>IF(ISBLANK(patch[[#This Row],[mergeDate]]), U80, MID(YEAR(patch[[#This Row],[mergeDate]]), 3,2)&amp;"'m"&amp;MONTH(patch[[#This Row],[mergeDate]]))</f>
        <v>16'm9</v>
      </c>
      <c r="V81" s="7" t="str">
        <f>IF(ISBLANK(patch[[#This Row],[project]]), "",SUM(patch[[#This Row],[BJ -1 num]:[SH -1 num]]))</f>
        <v/>
      </c>
      <c r="W81" s="7" t="str">
        <f>IF(ISBLANK(patch[[#This Row],[project]]), "",COUNTIFS($A:$A,patch[[#This Row],[number]],$S:$S, "BJ And dev",$AC:$AC, "Review-1"))</f>
        <v/>
      </c>
      <c r="X81" s="7" t="str">
        <f>IF(ISBLANK(patch[[#This Row],[project]]), "",COUNTIFS($A:$A,patch[[#This Row],[number]],$S:$S, "FL And dev",$AC:$AC, "Review-1"))</f>
        <v/>
      </c>
      <c r="Y81" s="7" t="str">
        <f>IF(ISBLANK(patch[[#This Row],[project]]), "",COUNTIFS($A:$A,patch[[#This Row],[number]],$S:$S, "SH And dev",$AC:$AC, "Review-1"))</f>
        <v/>
      </c>
      <c r="Z81" s="7" t="str">
        <f>IF(ISBLANK(patch[[#This Row],[project]]), "",COUNTIFS($A:$A,patch[[#This Row],[number]],$S:$S, "BJ And dev",$AD:$AD, "&lt;&gt;IntegratorValidationComment"))</f>
        <v/>
      </c>
      <c r="AA81" s="7" t="str">
        <f>IF(ISBLANK(patch[[#This Row],[project]]), "",COUNTIFS($A:$A,patch[[#This Row],[number]],$S:$S, "FL And dev",$AD:$AD, "&lt;&gt;IntegratorValidationComment"))</f>
        <v/>
      </c>
      <c r="AB81" s="7" t="str">
        <f>IF(ISBLANK(patch[[#This Row],[project]]), "",COUNTIFS($A:$A,patch[[#This Row],[number]],$S:$S, "SH And dev",$AD:$AD, "&lt;&gt;IntegratorValidationComment"))</f>
        <v/>
      </c>
      <c r="AC81" s="7" t="str">
        <f>IF(OR(ISNUMBER(FIND("Review-1", patch[[#This Row],[comments]])), ISNUMBER(FIND("Approver-1", patch[[#This Row],[comments]]))), "Review-1", "")</f>
        <v/>
      </c>
      <c r="AD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1" s="7">
        <f>IF(ISBLANK(patch[[#This Row],[number]]),AE80,patch[[#This Row],[ifCommon]])</f>
        <v>0</v>
      </c>
    </row>
    <row r="82" spans="1:31">
      <c r="A82" s="151">
        <v>148585</v>
      </c>
      <c r="B82" s="151"/>
      <c r="C82" s="151"/>
      <c r="D82" s="151"/>
      <c r="E82" s="151"/>
      <c r="F82" s="151"/>
      <c r="G82" s="151"/>
      <c r="H82" s="151"/>
      <c r="I82" s="151"/>
      <c r="J82" s="152">
        <v>42642.672025462962</v>
      </c>
      <c r="K82" s="151"/>
      <c r="L82" s="151" t="s">
        <v>24</v>
      </c>
      <c r="M82" s="152">
        <v>42641.583043981482</v>
      </c>
      <c r="N82" s="151" t="s">
        <v>49</v>
      </c>
      <c r="O82" s="151"/>
      <c r="P82" s="151"/>
      <c r="Q82" s="7" t="str">
        <f>IF(ISBLANK(patch[[#This Row],[OwnerEmail]]),Q81,patch[[#This Row],[OwnerEmail]])</f>
        <v>qingwu.zhang@intel.com</v>
      </c>
      <c r="R82" s="7" t="str">
        <f>_xlfn.IFNA(VLOOKUP(patch[[#This Row],[tmp-owner.email]],OrgTree!$A:$K, 11, 0), "not ICG SWFW")</f>
        <v>BJ And dev</v>
      </c>
      <c r="S82" s="7" t="str">
        <f>IF(patch[[#This Row],[reviewer]]=patch[[#This Row],[tmp-owner.email]], "author", _xlfn.IFNA(VLOOKUP(patch[[#This Row],[reviewer]],OrgTree!$A:$K, 11, 0), "not ICG SWFW"))</f>
        <v>author</v>
      </c>
      <c r="T82" s="7" t="str">
        <f>IF(ISBLANK(patch[[#This Row],[mergeDate]]), "", MID(YEAR(patch[[#This Row],[mergeDate]]), 3,2)&amp;"'ww"&amp;WEEKNUM(patch[[#This Row],[mergeDate]]))</f>
        <v>16'ww40</v>
      </c>
      <c r="U82" s="7" t="str">
        <f>IF(ISBLANK(patch[[#This Row],[mergeDate]]), U81, MID(YEAR(patch[[#This Row],[mergeDate]]), 3,2)&amp;"'m"&amp;MONTH(patch[[#This Row],[mergeDate]]))</f>
        <v>16'm9</v>
      </c>
      <c r="V82" s="7" t="str">
        <f>IF(ISBLANK(patch[[#This Row],[project]]), "",SUM(patch[[#This Row],[BJ -1 num]:[SH -1 num]]))</f>
        <v/>
      </c>
      <c r="W82" s="7" t="str">
        <f>IF(ISBLANK(patch[[#This Row],[project]]), "",COUNTIFS($A:$A,patch[[#This Row],[number]],$S:$S, "BJ And dev",$AC:$AC, "Review-1"))</f>
        <v/>
      </c>
      <c r="X82" s="7" t="str">
        <f>IF(ISBLANK(patch[[#This Row],[project]]), "",COUNTIFS($A:$A,patch[[#This Row],[number]],$S:$S, "FL And dev",$AC:$AC, "Review-1"))</f>
        <v/>
      </c>
      <c r="Y82" s="7" t="str">
        <f>IF(ISBLANK(patch[[#This Row],[project]]), "",COUNTIFS($A:$A,patch[[#This Row],[number]],$S:$S, "SH And dev",$AC:$AC, "Review-1"))</f>
        <v/>
      </c>
      <c r="Z82" s="7" t="str">
        <f>IF(ISBLANK(patch[[#This Row],[project]]), "",COUNTIFS($A:$A,patch[[#This Row],[number]],$S:$S, "BJ And dev",$AD:$AD, "&lt;&gt;IntegratorValidationComment"))</f>
        <v/>
      </c>
      <c r="AA82" s="7" t="str">
        <f>IF(ISBLANK(patch[[#This Row],[project]]), "",COUNTIFS($A:$A,patch[[#This Row],[number]],$S:$S, "FL And dev",$AD:$AD, "&lt;&gt;IntegratorValidationComment"))</f>
        <v/>
      </c>
      <c r="AB82" s="7" t="str">
        <f>IF(ISBLANK(patch[[#This Row],[project]]), "",COUNTIFS($A:$A,patch[[#This Row],[number]],$S:$S, "SH And dev",$AD:$AD, "&lt;&gt;IntegratorValidationComment"))</f>
        <v/>
      </c>
      <c r="AC82" s="7" t="str">
        <f>IF(OR(ISNUMBER(FIND("Review-1", patch[[#This Row],[comments]])), ISNUMBER(FIND("Approver-1", patch[[#This Row],[comments]]))), "Review-1", "")</f>
        <v/>
      </c>
      <c r="AD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2" s="7">
        <f>IF(ISBLANK(patch[[#This Row],[number]]),AE81,patch[[#This Row],[ifCommon]])</f>
        <v>0</v>
      </c>
    </row>
    <row r="83" spans="1:31">
      <c r="A83" s="151">
        <v>148585</v>
      </c>
      <c r="B83" s="151"/>
      <c r="C83" s="151"/>
      <c r="D83" s="151"/>
      <c r="E83" s="151"/>
      <c r="F83" s="151"/>
      <c r="G83" s="151"/>
      <c r="H83" s="151"/>
      <c r="I83" s="151"/>
      <c r="J83" s="152">
        <v>42642.672025462962</v>
      </c>
      <c r="K83" s="151"/>
      <c r="L83" s="151" t="s">
        <v>24</v>
      </c>
      <c r="M83" s="152">
        <v>42641.583043981482</v>
      </c>
      <c r="N83" s="151" t="s">
        <v>2451</v>
      </c>
      <c r="O83" s="151"/>
      <c r="P83" s="151"/>
      <c r="Q83" s="7" t="str">
        <f>IF(ISBLANK(patch[[#This Row],[OwnerEmail]]),Q82,patch[[#This Row],[OwnerEmail]])</f>
        <v>qingwu.zhang@intel.com</v>
      </c>
      <c r="R83" s="7" t="str">
        <f>_xlfn.IFNA(VLOOKUP(patch[[#This Row],[tmp-owner.email]],OrgTree!$A:$K, 11, 0), "not ICG SWFW")</f>
        <v>BJ And dev</v>
      </c>
      <c r="S83" s="7" t="str">
        <f>IF(patch[[#This Row],[reviewer]]=patch[[#This Row],[tmp-owner.email]], "author", _xlfn.IFNA(VLOOKUP(patch[[#This Row],[reviewer]],OrgTree!$A:$K, 11, 0), "not ICG SWFW"))</f>
        <v>author</v>
      </c>
      <c r="T83" s="7" t="str">
        <f>IF(ISBLANK(patch[[#This Row],[mergeDate]]), "", MID(YEAR(patch[[#This Row],[mergeDate]]), 3,2)&amp;"'ww"&amp;WEEKNUM(patch[[#This Row],[mergeDate]]))</f>
        <v>16'ww40</v>
      </c>
      <c r="U83" s="7" t="str">
        <f>IF(ISBLANK(patch[[#This Row],[mergeDate]]), U82, MID(YEAR(patch[[#This Row],[mergeDate]]), 3,2)&amp;"'m"&amp;MONTH(patch[[#This Row],[mergeDate]]))</f>
        <v>16'm9</v>
      </c>
      <c r="V83" s="7" t="str">
        <f>IF(ISBLANK(patch[[#This Row],[project]]), "",SUM(patch[[#This Row],[BJ -1 num]:[SH -1 num]]))</f>
        <v/>
      </c>
      <c r="W83" s="7" t="str">
        <f>IF(ISBLANK(patch[[#This Row],[project]]), "",COUNTIFS($A:$A,patch[[#This Row],[number]],$S:$S, "BJ And dev",$AC:$AC, "Review-1"))</f>
        <v/>
      </c>
      <c r="X83" s="7" t="str">
        <f>IF(ISBLANK(patch[[#This Row],[project]]), "",COUNTIFS($A:$A,patch[[#This Row],[number]],$S:$S, "FL And dev",$AC:$AC, "Review-1"))</f>
        <v/>
      </c>
      <c r="Y83" s="7" t="str">
        <f>IF(ISBLANK(patch[[#This Row],[project]]), "",COUNTIFS($A:$A,patch[[#This Row],[number]],$S:$S, "SH And dev",$AC:$AC, "Review-1"))</f>
        <v/>
      </c>
      <c r="Z83" s="7" t="str">
        <f>IF(ISBLANK(patch[[#This Row],[project]]), "",COUNTIFS($A:$A,patch[[#This Row],[number]],$S:$S, "BJ And dev",$AD:$AD, "&lt;&gt;IntegratorValidationComment"))</f>
        <v/>
      </c>
      <c r="AA83" s="7" t="str">
        <f>IF(ISBLANK(patch[[#This Row],[project]]), "",COUNTIFS($A:$A,patch[[#This Row],[number]],$S:$S, "FL And dev",$AD:$AD, "&lt;&gt;IntegratorValidationComment"))</f>
        <v/>
      </c>
      <c r="AB83" s="7" t="str">
        <f>IF(ISBLANK(patch[[#This Row],[project]]), "",COUNTIFS($A:$A,patch[[#This Row],[number]],$S:$S, "SH And dev",$AD:$AD, "&lt;&gt;IntegratorValidationComment"))</f>
        <v/>
      </c>
      <c r="AC83" s="7" t="str">
        <f>IF(OR(ISNUMBER(FIND("Review-1", patch[[#This Row],[comments]])), ISNUMBER(FIND("Approver-1", patch[[#This Row],[comments]]))), "Review-1", "")</f>
        <v/>
      </c>
      <c r="AD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3" s="7">
        <f>IF(ISBLANK(patch[[#This Row],[number]]),AE82,patch[[#This Row],[ifCommon]])</f>
        <v>0</v>
      </c>
    </row>
    <row r="84" spans="1:31">
      <c r="A84" s="151">
        <v>148585</v>
      </c>
      <c r="B84" s="151"/>
      <c r="C84" s="151"/>
      <c r="D84" s="151"/>
      <c r="E84" s="151"/>
      <c r="F84" s="151"/>
      <c r="G84" s="151"/>
      <c r="H84" s="151"/>
      <c r="I84" s="151"/>
      <c r="J84" s="152">
        <v>42642.672025462962</v>
      </c>
      <c r="K84" s="151"/>
      <c r="L84" s="151" t="s">
        <v>59</v>
      </c>
      <c r="M84" s="152">
        <v>42641.584699074083</v>
      </c>
      <c r="N84" s="151" t="s">
        <v>2623</v>
      </c>
      <c r="O84" s="151"/>
      <c r="P84" s="151"/>
      <c r="Q84" s="7" t="str">
        <f>IF(ISBLANK(patch[[#This Row],[OwnerEmail]]),Q83,patch[[#This Row],[OwnerEmail]])</f>
        <v>qingwu.zhang@intel.com</v>
      </c>
      <c r="R84" s="7" t="str">
        <f>_xlfn.IFNA(VLOOKUP(patch[[#This Row],[tmp-owner.email]],OrgTree!$A:$K, 11, 0), "not ICG SWFW")</f>
        <v>BJ And dev</v>
      </c>
      <c r="S84" s="7" t="str">
        <f>IF(patch[[#This Row],[reviewer]]=patch[[#This Row],[tmp-owner.email]], "author", _xlfn.IFNA(VLOOKUP(patch[[#This Row],[reviewer]],OrgTree!$A:$K, 11, 0), "not ICG SWFW"))</f>
        <v>BJ And dev</v>
      </c>
      <c r="T84" s="7" t="str">
        <f>IF(ISBLANK(patch[[#This Row],[mergeDate]]), "", MID(YEAR(patch[[#This Row],[mergeDate]]), 3,2)&amp;"'ww"&amp;WEEKNUM(patch[[#This Row],[mergeDate]]))</f>
        <v>16'ww40</v>
      </c>
      <c r="U84" s="7" t="str">
        <f>IF(ISBLANK(patch[[#This Row],[mergeDate]]), U83, MID(YEAR(patch[[#This Row],[mergeDate]]), 3,2)&amp;"'m"&amp;MONTH(patch[[#This Row],[mergeDate]]))</f>
        <v>16'm9</v>
      </c>
      <c r="V84" s="7" t="str">
        <f>IF(ISBLANK(patch[[#This Row],[project]]), "",SUM(patch[[#This Row],[BJ -1 num]:[SH -1 num]]))</f>
        <v/>
      </c>
      <c r="W84" s="7" t="str">
        <f>IF(ISBLANK(patch[[#This Row],[project]]), "",COUNTIFS($A:$A,patch[[#This Row],[number]],$S:$S, "BJ And dev",$AC:$AC, "Review-1"))</f>
        <v/>
      </c>
      <c r="X84" s="7" t="str">
        <f>IF(ISBLANK(patch[[#This Row],[project]]), "",COUNTIFS($A:$A,patch[[#This Row],[number]],$S:$S, "FL And dev",$AC:$AC, "Review-1"))</f>
        <v/>
      </c>
      <c r="Y84" s="7" t="str">
        <f>IF(ISBLANK(patch[[#This Row],[project]]), "",COUNTIFS($A:$A,patch[[#This Row],[number]],$S:$S, "SH And dev",$AC:$AC, "Review-1"))</f>
        <v/>
      </c>
      <c r="Z84" s="7" t="str">
        <f>IF(ISBLANK(patch[[#This Row],[project]]), "",COUNTIFS($A:$A,patch[[#This Row],[number]],$S:$S, "BJ And dev",$AD:$AD, "&lt;&gt;IntegratorValidationComment"))</f>
        <v/>
      </c>
      <c r="AA84" s="7" t="str">
        <f>IF(ISBLANK(patch[[#This Row],[project]]), "",COUNTIFS($A:$A,patch[[#This Row],[number]],$S:$S, "FL And dev",$AD:$AD, "&lt;&gt;IntegratorValidationComment"))</f>
        <v/>
      </c>
      <c r="AB84" s="7" t="str">
        <f>IF(ISBLANK(patch[[#This Row],[project]]), "",COUNTIFS($A:$A,patch[[#This Row],[number]],$S:$S, "SH And dev",$AD:$AD, "&lt;&gt;IntegratorValidationComment"))</f>
        <v/>
      </c>
      <c r="AC84" s="7" t="str">
        <f>IF(OR(ISNUMBER(FIND("Review-1", patch[[#This Row],[comments]])), ISNUMBER(FIND("Approver-1", patch[[#This Row],[comments]]))), "Review-1", "")</f>
        <v/>
      </c>
      <c r="AD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4" s="7">
        <f>IF(ISBLANK(patch[[#This Row],[number]]),AE83,patch[[#This Row],[ifCommon]])</f>
        <v>0</v>
      </c>
    </row>
    <row r="85" spans="1:31">
      <c r="A85" s="151">
        <v>148585</v>
      </c>
      <c r="B85" s="151"/>
      <c r="C85" s="151"/>
      <c r="D85" s="151"/>
      <c r="E85" s="151"/>
      <c r="F85" s="151"/>
      <c r="G85" s="151"/>
      <c r="H85" s="151"/>
      <c r="I85" s="151"/>
      <c r="J85" s="152">
        <v>42642.672025462962</v>
      </c>
      <c r="K85" s="151"/>
      <c r="L85" s="151" t="s">
        <v>24</v>
      </c>
      <c r="M85" s="152">
        <v>42641.586875000001</v>
      </c>
      <c r="N85" s="151" t="s">
        <v>1855</v>
      </c>
      <c r="O85" s="151"/>
      <c r="P85" s="151"/>
      <c r="Q85" s="7" t="str">
        <f>IF(ISBLANK(patch[[#This Row],[OwnerEmail]]),Q84,patch[[#This Row],[OwnerEmail]])</f>
        <v>qingwu.zhang@intel.com</v>
      </c>
      <c r="R85" s="7" t="str">
        <f>_xlfn.IFNA(VLOOKUP(patch[[#This Row],[tmp-owner.email]],OrgTree!$A:$K, 11, 0), "not ICG SWFW")</f>
        <v>BJ And dev</v>
      </c>
      <c r="S85" s="7" t="str">
        <f>IF(patch[[#This Row],[reviewer]]=patch[[#This Row],[tmp-owner.email]], "author", _xlfn.IFNA(VLOOKUP(patch[[#This Row],[reviewer]],OrgTree!$A:$K, 11, 0), "not ICG SWFW"))</f>
        <v>author</v>
      </c>
      <c r="T85" s="7" t="str">
        <f>IF(ISBLANK(patch[[#This Row],[mergeDate]]), "", MID(YEAR(patch[[#This Row],[mergeDate]]), 3,2)&amp;"'ww"&amp;WEEKNUM(patch[[#This Row],[mergeDate]]))</f>
        <v>16'ww40</v>
      </c>
      <c r="U85" s="7" t="str">
        <f>IF(ISBLANK(patch[[#This Row],[mergeDate]]), U84, MID(YEAR(patch[[#This Row],[mergeDate]]), 3,2)&amp;"'m"&amp;MONTH(patch[[#This Row],[mergeDate]]))</f>
        <v>16'm9</v>
      </c>
      <c r="V85" s="7" t="str">
        <f>IF(ISBLANK(patch[[#This Row],[project]]), "",SUM(patch[[#This Row],[BJ -1 num]:[SH -1 num]]))</f>
        <v/>
      </c>
      <c r="W85" s="7" t="str">
        <f>IF(ISBLANK(patch[[#This Row],[project]]), "",COUNTIFS($A:$A,patch[[#This Row],[number]],$S:$S, "BJ And dev",$AC:$AC, "Review-1"))</f>
        <v/>
      </c>
      <c r="X85" s="7" t="str">
        <f>IF(ISBLANK(patch[[#This Row],[project]]), "",COUNTIFS($A:$A,patch[[#This Row],[number]],$S:$S, "FL And dev",$AC:$AC, "Review-1"))</f>
        <v/>
      </c>
      <c r="Y85" s="7" t="str">
        <f>IF(ISBLANK(patch[[#This Row],[project]]), "",COUNTIFS($A:$A,patch[[#This Row],[number]],$S:$S, "SH And dev",$AC:$AC, "Review-1"))</f>
        <v/>
      </c>
      <c r="Z85" s="7" t="str">
        <f>IF(ISBLANK(patch[[#This Row],[project]]), "",COUNTIFS($A:$A,patch[[#This Row],[number]],$S:$S, "BJ And dev",$AD:$AD, "&lt;&gt;IntegratorValidationComment"))</f>
        <v/>
      </c>
      <c r="AA85" s="7" t="str">
        <f>IF(ISBLANK(patch[[#This Row],[project]]), "",COUNTIFS($A:$A,patch[[#This Row],[number]],$S:$S, "FL And dev",$AD:$AD, "&lt;&gt;IntegratorValidationComment"))</f>
        <v/>
      </c>
      <c r="AB85" s="7" t="str">
        <f>IF(ISBLANK(patch[[#This Row],[project]]), "",COUNTIFS($A:$A,patch[[#This Row],[number]],$S:$S, "SH And dev",$AD:$AD, "&lt;&gt;IntegratorValidationComment"))</f>
        <v/>
      </c>
      <c r="AC85" s="7" t="str">
        <f>IF(OR(ISNUMBER(FIND("Review-1", patch[[#This Row],[comments]])), ISNUMBER(FIND("Approver-1", patch[[#This Row],[comments]]))), "Review-1", "")</f>
        <v/>
      </c>
      <c r="AD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5" s="7">
        <f>IF(ISBLANK(patch[[#This Row],[number]]),AE84,patch[[#This Row],[ifCommon]])</f>
        <v>0</v>
      </c>
    </row>
    <row r="86" spans="1:31">
      <c r="A86" s="151">
        <v>148585</v>
      </c>
      <c r="B86" s="151"/>
      <c r="C86" s="151"/>
      <c r="D86" s="151"/>
      <c r="E86" s="151"/>
      <c r="F86" s="151"/>
      <c r="G86" s="151"/>
      <c r="H86" s="151"/>
      <c r="I86" s="151"/>
      <c r="J86" s="152">
        <v>42642.672025462962</v>
      </c>
      <c r="K86" s="151"/>
      <c r="L86" s="151" t="s">
        <v>24</v>
      </c>
      <c r="M86" s="152">
        <v>42641.586875000001</v>
      </c>
      <c r="N86" s="151" t="s">
        <v>2453</v>
      </c>
      <c r="O86" s="151"/>
      <c r="P86" s="151"/>
      <c r="Q86" s="7" t="str">
        <f>IF(ISBLANK(patch[[#This Row],[OwnerEmail]]),Q85,patch[[#This Row],[OwnerEmail]])</f>
        <v>qingwu.zhang@intel.com</v>
      </c>
      <c r="R86" s="7" t="str">
        <f>_xlfn.IFNA(VLOOKUP(patch[[#This Row],[tmp-owner.email]],OrgTree!$A:$K, 11, 0), "not ICG SWFW")</f>
        <v>BJ And dev</v>
      </c>
      <c r="S86" s="7" t="str">
        <f>IF(patch[[#This Row],[reviewer]]=patch[[#This Row],[tmp-owner.email]], "author", _xlfn.IFNA(VLOOKUP(patch[[#This Row],[reviewer]],OrgTree!$A:$K, 11, 0), "not ICG SWFW"))</f>
        <v>author</v>
      </c>
      <c r="T86" s="7" t="str">
        <f>IF(ISBLANK(patch[[#This Row],[mergeDate]]), "", MID(YEAR(patch[[#This Row],[mergeDate]]), 3,2)&amp;"'ww"&amp;WEEKNUM(patch[[#This Row],[mergeDate]]))</f>
        <v>16'ww40</v>
      </c>
      <c r="U86" s="7" t="str">
        <f>IF(ISBLANK(patch[[#This Row],[mergeDate]]), U85, MID(YEAR(patch[[#This Row],[mergeDate]]), 3,2)&amp;"'m"&amp;MONTH(patch[[#This Row],[mergeDate]]))</f>
        <v>16'm9</v>
      </c>
      <c r="V86" s="7" t="str">
        <f>IF(ISBLANK(patch[[#This Row],[project]]), "",SUM(patch[[#This Row],[BJ -1 num]:[SH -1 num]]))</f>
        <v/>
      </c>
      <c r="W86" s="7" t="str">
        <f>IF(ISBLANK(patch[[#This Row],[project]]), "",COUNTIFS($A:$A,patch[[#This Row],[number]],$S:$S, "BJ And dev",$AC:$AC, "Review-1"))</f>
        <v/>
      </c>
      <c r="X86" s="7" t="str">
        <f>IF(ISBLANK(patch[[#This Row],[project]]), "",COUNTIFS($A:$A,patch[[#This Row],[number]],$S:$S, "FL And dev",$AC:$AC, "Review-1"))</f>
        <v/>
      </c>
      <c r="Y86" s="7" t="str">
        <f>IF(ISBLANK(patch[[#This Row],[project]]), "",COUNTIFS($A:$A,patch[[#This Row],[number]],$S:$S, "SH And dev",$AC:$AC, "Review-1"))</f>
        <v/>
      </c>
      <c r="Z86" s="7" t="str">
        <f>IF(ISBLANK(patch[[#This Row],[project]]), "",COUNTIFS($A:$A,patch[[#This Row],[number]],$S:$S, "BJ And dev",$AD:$AD, "&lt;&gt;IntegratorValidationComment"))</f>
        <v/>
      </c>
      <c r="AA86" s="7" t="str">
        <f>IF(ISBLANK(patch[[#This Row],[project]]), "",COUNTIFS($A:$A,patch[[#This Row],[number]],$S:$S, "FL And dev",$AD:$AD, "&lt;&gt;IntegratorValidationComment"))</f>
        <v/>
      </c>
      <c r="AB86" s="7" t="str">
        <f>IF(ISBLANK(patch[[#This Row],[project]]), "",COUNTIFS($A:$A,patch[[#This Row],[number]],$S:$S, "SH And dev",$AD:$AD, "&lt;&gt;IntegratorValidationComment"))</f>
        <v/>
      </c>
      <c r="AC86" s="7" t="str">
        <f>IF(OR(ISNUMBER(FIND("Review-1", patch[[#This Row],[comments]])), ISNUMBER(FIND("Approver-1", patch[[#This Row],[comments]]))), "Review-1", "")</f>
        <v/>
      </c>
      <c r="AD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6" s="7">
        <f>IF(ISBLANK(patch[[#This Row],[number]]),AE85,patch[[#This Row],[ifCommon]])</f>
        <v>0</v>
      </c>
    </row>
    <row r="87" spans="1:31">
      <c r="A87" s="151">
        <v>148585</v>
      </c>
      <c r="B87" s="151"/>
      <c r="C87" s="151"/>
      <c r="D87" s="151"/>
      <c r="E87" s="151"/>
      <c r="F87" s="151"/>
      <c r="G87" s="151"/>
      <c r="H87" s="151"/>
      <c r="I87" s="151"/>
      <c r="J87" s="152">
        <v>42642.672025462962</v>
      </c>
      <c r="K87" s="151"/>
      <c r="L87" s="151" t="s">
        <v>59</v>
      </c>
      <c r="M87" s="152">
        <v>42641.591747685183</v>
      </c>
      <c r="N87" s="151" t="s">
        <v>2624</v>
      </c>
      <c r="O87" s="151"/>
      <c r="P87" s="151"/>
      <c r="Q87" s="7" t="str">
        <f>IF(ISBLANK(patch[[#This Row],[OwnerEmail]]),Q86,patch[[#This Row],[OwnerEmail]])</f>
        <v>qingwu.zhang@intel.com</v>
      </c>
      <c r="R87" s="7" t="str">
        <f>_xlfn.IFNA(VLOOKUP(patch[[#This Row],[tmp-owner.email]],OrgTree!$A:$K, 11, 0), "not ICG SWFW")</f>
        <v>BJ And dev</v>
      </c>
      <c r="S87" s="7" t="str">
        <f>IF(patch[[#This Row],[reviewer]]=patch[[#This Row],[tmp-owner.email]], "author", _xlfn.IFNA(VLOOKUP(patch[[#This Row],[reviewer]],OrgTree!$A:$K, 11, 0), "not ICG SWFW"))</f>
        <v>BJ And dev</v>
      </c>
      <c r="T87" s="7" t="str">
        <f>IF(ISBLANK(patch[[#This Row],[mergeDate]]), "", MID(YEAR(patch[[#This Row],[mergeDate]]), 3,2)&amp;"'ww"&amp;WEEKNUM(patch[[#This Row],[mergeDate]]))</f>
        <v>16'ww40</v>
      </c>
      <c r="U87" s="7" t="str">
        <f>IF(ISBLANK(patch[[#This Row],[mergeDate]]), U86, MID(YEAR(patch[[#This Row],[mergeDate]]), 3,2)&amp;"'m"&amp;MONTH(patch[[#This Row],[mergeDate]]))</f>
        <v>16'm9</v>
      </c>
      <c r="V87" s="7" t="str">
        <f>IF(ISBLANK(patch[[#This Row],[project]]), "",SUM(patch[[#This Row],[BJ -1 num]:[SH -1 num]]))</f>
        <v/>
      </c>
      <c r="W87" s="7" t="str">
        <f>IF(ISBLANK(patch[[#This Row],[project]]), "",COUNTIFS($A:$A,patch[[#This Row],[number]],$S:$S, "BJ And dev",$AC:$AC, "Review-1"))</f>
        <v/>
      </c>
      <c r="X87" s="7" t="str">
        <f>IF(ISBLANK(patch[[#This Row],[project]]), "",COUNTIFS($A:$A,patch[[#This Row],[number]],$S:$S, "FL And dev",$AC:$AC, "Review-1"))</f>
        <v/>
      </c>
      <c r="Y87" s="7" t="str">
        <f>IF(ISBLANK(patch[[#This Row],[project]]), "",COUNTIFS($A:$A,patch[[#This Row],[number]],$S:$S, "SH And dev",$AC:$AC, "Review-1"))</f>
        <v/>
      </c>
      <c r="Z87" s="7" t="str">
        <f>IF(ISBLANK(patch[[#This Row],[project]]), "",COUNTIFS($A:$A,patch[[#This Row],[number]],$S:$S, "BJ And dev",$AD:$AD, "&lt;&gt;IntegratorValidationComment"))</f>
        <v/>
      </c>
      <c r="AA87" s="7" t="str">
        <f>IF(ISBLANK(patch[[#This Row],[project]]), "",COUNTIFS($A:$A,patch[[#This Row],[number]],$S:$S, "FL And dev",$AD:$AD, "&lt;&gt;IntegratorValidationComment"))</f>
        <v/>
      </c>
      <c r="AB87" s="7" t="str">
        <f>IF(ISBLANK(patch[[#This Row],[project]]), "",COUNTIFS($A:$A,patch[[#This Row],[number]],$S:$S, "SH And dev",$AD:$AD, "&lt;&gt;IntegratorValidationComment"))</f>
        <v/>
      </c>
      <c r="AC87" s="7" t="str">
        <f>IF(OR(ISNUMBER(FIND("Review-1", patch[[#This Row],[comments]])), ISNUMBER(FIND("Approver-1", patch[[#This Row],[comments]]))), "Review-1", "")</f>
        <v/>
      </c>
      <c r="AD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7" s="7">
        <f>IF(ISBLANK(patch[[#This Row],[number]]),AE86,patch[[#This Row],[ifCommon]])</f>
        <v>0</v>
      </c>
    </row>
    <row r="88" spans="1:31">
      <c r="A88" s="151">
        <v>148585</v>
      </c>
      <c r="B88" s="151"/>
      <c r="C88" s="151"/>
      <c r="D88" s="151"/>
      <c r="E88" s="151"/>
      <c r="F88" s="151"/>
      <c r="G88" s="151"/>
      <c r="H88" s="151"/>
      <c r="I88" s="151"/>
      <c r="J88" s="152">
        <v>42642.672025462962</v>
      </c>
      <c r="K88" s="151"/>
      <c r="L88" s="151" t="s">
        <v>59</v>
      </c>
      <c r="M88" s="152">
        <v>42641.593530092592</v>
      </c>
      <c r="N88" s="151" t="s">
        <v>2625</v>
      </c>
      <c r="O88" s="151"/>
      <c r="P88" s="151"/>
      <c r="Q88" s="7" t="str">
        <f>IF(ISBLANK(patch[[#This Row],[OwnerEmail]]),Q87,patch[[#This Row],[OwnerEmail]])</f>
        <v>qingwu.zhang@intel.com</v>
      </c>
      <c r="R88" s="7" t="str">
        <f>_xlfn.IFNA(VLOOKUP(patch[[#This Row],[tmp-owner.email]],OrgTree!$A:$K, 11, 0), "not ICG SWFW")</f>
        <v>BJ And dev</v>
      </c>
      <c r="S88" s="7" t="str">
        <f>IF(patch[[#This Row],[reviewer]]=patch[[#This Row],[tmp-owner.email]], "author", _xlfn.IFNA(VLOOKUP(patch[[#This Row],[reviewer]],OrgTree!$A:$K, 11, 0), "not ICG SWFW"))</f>
        <v>BJ And dev</v>
      </c>
      <c r="T88" s="7" t="str">
        <f>IF(ISBLANK(patch[[#This Row],[mergeDate]]), "", MID(YEAR(patch[[#This Row],[mergeDate]]), 3,2)&amp;"'ww"&amp;WEEKNUM(patch[[#This Row],[mergeDate]]))</f>
        <v>16'ww40</v>
      </c>
      <c r="U88" s="7" t="str">
        <f>IF(ISBLANK(patch[[#This Row],[mergeDate]]), U87, MID(YEAR(patch[[#This Row],[mergeDate]]), 3,2)&amp;"'m"&amp;MONTH(patch[[#This Row],[mergeDate]]))</f>
        <v>16'm9</v>
      </c>
      <c r="V88" s="7" t="str">
        <f>IF(ISBLANK(patch[[#This Row],[project]]), "",SUM(patch[[#This Row],[BJ -1 num]:[SH -1 num]]))</f>
        <v/>
      </c>
      <c r="W88" s="7" t="str">
        <f>IF(ISBLANK(patch[[#This Row],[project]]), "",COUNTIFS($A:$A,patch[[#This Row],[number]],$S:$S, "BJ And dev",$AC:$AC, "Review-1"))</f>
        <v/>
      </c>
      <c r="X88" s="7" t="str">
        <f>IF(ISBLANK(patch[[#This Row],[project]]), "",COUNTIFS($A:$A,patch[[#This Row],[number]],$S:$S, "FL And dev",$AC:$AC, "Review-1"))</f>
        <v/>
      </c>
      <c r="Y88" s="7" t="str">
        <f>IF(ISBLANK(patch[[#This Row],[project]]), "",COUNTIFS($A:$A,patch[[#This Row],[number]],$S:$S, "SH And dev",$AC:$AC, "Review-1"))</f>
        <v/>
      </c>
      <c r="Z88" s="7" t="str">
        <f>IF(ISBLANK(patch[[#This Row],[project]]), "",COUNTIFS($A:$A,patch[[#This Row],[number]],$S:$S, "BJ And dev",$AD:$AD, "&lt;&gt;IntegratorValidationComment"))</f>
        <v/>
      </c>
      <c r="AA88" s="7" t="str">
        <f>IF(ISBLANK(patch[[#This Row],[project]]), "",COUNTIFS($A:$A,patch[[#This Row],[number]],$S:$S, "FL And dev",$AD:$AD, "&lt;&gt;IntegratorValidationComment"))</f>
        <v/>
      </c>
      <c r="AB88" s="7" t="str">
        <f>IF(ISBLANK(patch[[#This Row],[project]]), "",COUNTIFS($A:$A,patch[[#This Row],[number]],$S:$S, "SH And dev",$AD:$AD, "&lt;&gt;IntegratorValidationComment"))</f>
        <v/>
      </c>
      <c r="AC88" s="7" t="str">
        <f>IF(OR(ISNUMBER(FIND("Review-1", patch[[#This Row],[comments]])), ISNUMBER(FIND("Approver-1", patch[[#This Row],[comments]]))), "Review-1", "")</f>
        <v/>
      </c>
      <c r="AD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8" s="7">
        <f>IF(ISBLANK(patch[[#This Row],[number]]),AE87,patch[[#This Row],[ifCommon]])</f>
        <v>0</v>
      </c>
    </row>
    <row r="89" spans="1:31">
      <c r="A89" s="151">
        <v>148585</v>
      </c>
      <c r="B89" s="151"/>
      <c r="C89" s="151"/>
      <c r="D89" s="151"/>
      <c r="E89" s="151"/>
      <c r="F89" s="151"/>
      <c r="G89" s="151"/>
      <c r="H89" s="151"/>
      <c r="I89" s="151"/>
      <c r="J89" s="152">
        <v>42642.672025462962</v>
      </c>
      <c r="K89" s="151"/>
      <c r="L89" s="151" t="s">
        <v>24</v>
      </c>
      <c r="M89" s="152">
        <v>42641.608171296299</v>
      </c>
      <c r="N89" s="151" t="s">
        <v>2465</v>
      </c>
      <c r="O89" s="151"/>
      <c r="P89" s="151"/>
      <c r="Q89" s="7" t="str">
        <f>IF(ISBLANK(patch[[#This Row],[OwnerEmail]]),Q88,patch[[#This Row],[OwnerEmail]])</f>
        <v>qingwu.zhang@intel.com</v>
      </c>
      <c r="R89" s="7" t="str">
        <f>_xlfn.IFNA(VLOOKUP(patch[[#This Row],[tmp-owner.email]],OrgTree!$A:$K, 11, 0), "not ICG SWFW")</f>
        <v>BJ And dev</v>
      </c>
      <c r="S89" s="7" t="str">
        <f>IF(patch[[#This Row],[reviewer]]=patch[[#This Row],[tmp-owner.email]], "author", _xlfn.IFNA(VLOOKUP(patch[[#This Row],[reviewer]],OrgTree!$A:$K, 11, 0), "not ICG SWFW"))</f>
        <v>author</v>
      </c>
      <c r="T89" s="7" t="str">
        <f>IF(ISBLANK(patch[[#This Row],[mergeDate]]), "", MID(YEAR(patch[[#This Row],[mergeDate]]), 3,2)&amp;"'ww"&amp;WEEKNUM(patch[[#This Row],[mergeDate]]))</f>
        <v>16'ww40</v>
      </c>
      <c r="U89" s="7" t="str">
        <f>IF(ISBLANK(patch[[#This Row],[mergeDate]]), U88, MID(YEAR(patch[[#This Row],[mergeDate]]), 3,2)&amp;"'m"&amp;MONTH(patch[[#This Row],[mergeDate]]))</f>
        <v>16'm9</v>
      </c>
      <c r="V89" s="7" t="str">
        <f>IF(ISBLANK(patch[[#This Row],[project]]), "",SUM(patch[[#This Row],[BJ -1 num]:[SH -1 num]]))</f>
        <v/>
      </c>
      <c r="W89" s="7" t="str">
        <f>IF(ISBLANK(patch[[#This Row],[project]]), "",COUNTIFS($A:$A,patch[[#This Row],[number]],$S:$S, "BJ And dev",$AC:$AC, "Review-1"))</f>
        <v/>
      </c>
      <c r="X89" s="7" t="str">
        <f>IF(ISBLANK(patch[[#This Row],[project]]), "",COUNTIFS($A:$A,patch[[#This Row],[number]],$S:$S, "FL And dev",$AC:$AC, "Review-1"))</f>
        <v/>
      </c>
      <c r="Y89" s="7" t="str">
        <f>IF(ISBLANK(patch[[#This Row],[project]]), "",COUNTIFS($A:$A,patch[[#This Row],[number]],$S:$S, "SH And dev",$AC:$AC, "Review-1"))</f>
        <v/>
      </c>
      <c r="Z89" s="7" t="str">
        <f>IF(ISBLANK(patch[[#This Row],[project]]), "",COUNTIFS($A:$A,patch[[#This Row],[number]],$S:$S, "BJ And dev",$AD:$AD, "&lt;&gt;IntegratorValidationComment"))</f>
        <v/>
      </c>
      <c r="AA89" s="7" t="str">
        <f>IF(ISBLANK(patch[[#This Row],[project]]), "",COUNTIFS($A:$A,patch[[#This Row],[number]],$S:$S, "FL And dev",$AD:$AD, "&lt;&gt;IntegratorValidationComment"))</f>
        <v/>
      </c>
      <c r="AB89" s="7" t="str">
        <f>IF(ISBLANK(patch[[#This Row],[project]]), "",COUNTIFS($A:$A,patch[[#This Row],[number]],$S:$S, "SH And dev",$AD:$AD, "&lt;&gt;IntegratorValidationComment"))</f>
        <v/>
      </c>
      <c r="AC89" s="7" t="str">
        <f>IF(OR(ISNUMBER(FIND("Review-1", patch[[#This Row],[comments]])), ISNUMBER(FIND("Approver-1", patch[[#This Row],[comments]]))), "Review-1", "")</f>
        <v/>
      </c>
      <c r="AD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9" s="7">
        <f>IF(ISBLANK(patch[[#This Row],[number]]),AE88,patch[[#This Row],[ifCommon]])</f>
        <v>0</v>
      </c>
    </row>
    <row r="90" spans="1:31">
      <c r="A90" s="151">
        <v>148585</v>
      </c>
      <c r="B90" s="151"/>
      <c r="C90" s="151"/>
      <c r="D90" s="151"/>
      <c r="E90" s="151"/>
      <c r="F90" s="151"/>
      <c r="G90" s="151"/>
      <c r="H90" s="151"/>
      <c r="I90" s="151"/>
      <c r="J90" s="152">
        <v>42642.672025462962</v>
      </c>
      <c r="K90" s="151"/>
      <c r="L90" s="151" t="s">
        <v>24</v>
      </c>
      <c r="M90" s="152">
        <v>42641.608171296299</v>
      </c>
      <c r="N90" s="151" t="s">
        <v>1842</v>
      </c>
      <c r="O90" s="151"/>
      <c r="P90" s="151"/>
      <c r="Q90" s="7" t="str">
        <f>IF(ISBLANK(patch[[#This Row],[OwnerEmail]]),Q89,patch[[#This Row],[OwnerEmail]])</f>
        <v>qingwu.zhang@intel.com</v>
      </c>
      <c r="R90" s="7" t="str">
        <f>_xlfn.IFNA(VLOOKUP(patch[[#This Row],[tmp-owner.email]],OrgTree!$A:$K, 11, 0), "not ICG SWFW")</f>
        <v>BJ And dev</v>
      </c>
      <c r="S90" s="7" t="str">
        <f>IF(patch[[#This Row],[reviewer]]=patch[[#This Row],[tmp-owner.email]], "author", _xlfn.IFNA(VLOOKUP(patch[[#This Row],[reviewer]],OrgTree!$A:$K, 11, 0), "not ICG SWFW"))</f>
        <v>author</v>
      </c>
      <c r="T90" s="7" t="str">
        <f>IF(ISBLANK(patch[[#This Row],[mergeDate]]), "", MID(YEAR(patch[[#This Row],[mergeDate]]), 3,2)&amp;"'ww"&amp;WEEKNUM(patch[[#This Row],[mergeDate]]))</f>
        <v>16'ww40</v>
      </c>
      <c r="U90" s="7" t="str">
        <f>IF(ISBLANK(patch[[#This Row],[mergeDate]]), U89, MID(YEAR(patch[[#This Row],[mergeDate]]), 3,2)&amp;"'m"&amp;MONTH(patch[[#This Row],[mergeDate]]))</f>
        <v>16'm9</v>
      </c>
      <c r="V90" s="7" t="str">
        <f>IF(ISBLANK(patch[[#This Row],[project]]), "",SUM(patch[[#This Row],[BJ -1 num]:[SH -1 num]]))</f>
        <v/>
      </c>
      <c r="W90" s="7" t="str">
        <f>IF(ISBLANK(patch[[#This Row],[project]]), "",COUNTIFS($A:$A,patch[[#This Row],[number]],$S:$S, "BJ And dev",$AC:$AC, "Review-1"))</f>
        <v/>
      </c>
      <c r="X90" s="7" t="str">
        <f>IF(ISBLANK(patch[[#This Row],[project]]), "",COUNTIFS($A:$A,patch[[#This Row],[number]],$S:$S, "FL And dev",$AC:$AC, "Review-1"))</f>
        <v/>
      </c>
      <c r="Y90" s="7" t="str">
        <f>IF(ISBLANK(patch[[#This Row],[project]]), "",COUNTIFS($A:$A,patch[[#This Row],[number]],$S:$S, "SH And dev",$AC:$AC, "Review-1"))</f>
        <v/>
      </c>
      <c r="Z90" s="7" t="str">
        <f>IF(ISBLANK(patch[[#This Row],[project]]), "",COUNTIFS($A:$A,patch[[#This Row],[number]],$S:$S, "BJ And dev",$AD:$AD, "&lt;&gt;IntegratorValidationComment"))</f>
        <v/>
      </c>
      <c r="AA90" s="7" t="str">
        <f>IF(ISBLANK(patch[[#This Row],[project]]), "",COUNTIFS($A:$A,patch[[#This Row],[number]],$S:$S, "FL And dev",$AD:$AD, "&lt;&gt;IntegratorValidationComment"))</f>
        <v/>
      </c>
      <c r="AB90" s="7" t="str">
        <f>IF(ISBLANK(patch[[#This Row],[project]]), "",COUNTIFS($A:$A,patch[[#This Row],[number]],$S:$S, "SH And dev",$AD:$AD, "&lt;&gt;IntegratorValidationComment"))</f>
        <v/>
      </c>
      <c r="AC90" s="7" t="str">
        <f>IF(OR(ISNUMBER(FIND("Review-1", patch[[#This Row],[comments]])), ISNUMBER(FIND("Approver-1", patch[[#This Row],[comments]]))), "Review-1", "")</f>
        <v/>
      </c>
      <c r="AD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0" s="7">
        <f>IF(ISBLANK(patch[[#This Row],[number]]),AE89,patch[[#This Row],[ifCommon]])</f>
        <v>0</v>
      </c>
    </row>
    <row r="91" spans="1:31">
      <c r="A91" s="151">
        <v>148585</v>
      </c>
      <c r="B91" s="151"/>
      <c r="C91" s="151"/>
      <c r="D91" s="151"/>
      <c r="E91" s="151"/>
      <c r="F91" s="151"/>
      <c r="G91" s="151"/>
      <c r="H91" s="151"/>
      <c r="I91" s="151"/>
      <c r="J91" s="152">
        <v>42642.672025462962</v>
      </c>
      <c r="K91" s="151"/>
      <c r="L91" s="151" t="s">
        <v>59</v>
      </c>
      <c r="M91" s="152">
        <v>42641.612719907411</v>
      </c>
      <c r="N91" s="151" t="s">
        <v>2626</v>
      </c>
      <c r="O91" s="151"/>
      <c r="P91" s="151"/>
      <c r="Q91" s="7" t="str">
        <f>IF(ISBLANK(patch[[#This Row],[OwnerEmail]]),Q90,patch[[#This Row],[OwnerEmail]])</f>
        <v>qingwu.zhang@intel.com</v>
      </c>
      <c r="R91" s="7" t="str">
        <f>_xlfn.IFNA(VLOOKUP(patch[[#This Row],[tmp-owner.email]],OrgTree!$A:$K, 11, 0), "not ICG SWFW")</f>
        <v>BJ And dev</v>
      </c>
      <c r="S91" s="7" t="str">
        <f>IF(patch[[#This Row],[reviewer]]=patch[[#This Row],[tmp-owner.email]], "author", _xlfn.IFNA(VLOOKUP(patch[[#This Row],[reviewer]],OrgTree!$A:$K, 11, 0), "not ICG SWFW"))</f>
        <v>BJ And dev</v>
      </c>
      <c r="T91" s="7" t="str">
        <f>IF(ISBLANK(patch[[#This Row],[mergeDate]]), "", MID(YEAR(patch[[#This Row],[mergeDate]]), 3,2)&amp;"'ww"&amp;WEEKNUM(patch[[#This Row],[mergeDate]]))</f>
        <v>16'ww40</v>
      </c>
      <c r="U91" s="7" t="str">
        <f>IF(ISBLANK(patch[[#This Row],[mergeDate]]), U90, MID(YEAR(patch[[#This Row],[mergeDate]]), 3,2)&amp;"'m"&amp;MONTH(patch[[#This Row],[mergeDate]]))</f>
        <v>16'm9</v>
      </c>
      <c r="V91" s="7" t="str">
        <f>IF(ISBLANK(patch[[#This Row],[project]]), "",SUM(patch[[#This Row],[BJ -1 num]:[SH -1 num]]))</f>
        <v/>
      </c>
      <c r="W91" s="7" t="str">
        <f>IF(ISBLANK(patch[[#This Row],[project]]), "",COUNTIFS($A:$A,patch[[#This Row],[number]],$S:$S, "BJ And dev",$AC:$AC, "Review-1"))</f>
        <v/>
      </c>
      <c r="X91" s="7" t="str">
        <f>IF(ISBLANK(patch[[#This Row],[project]]), "",COUNTIFS($A:$A,patch[[#This Row],[number]],$S:$S, "FL And dev",$AC:$AC, "Review-1"))</f>
        <v/>
      </c>
      <c r="Y91" s="7" t="str">
        <f>IF(ISBLANK(patch[[#This Row],[project]]), "",COUNTIFS($A:$A,patch[[#This Row],[number]],$S:$S, "SH And dev",$AC:$AC, "Review-1"))</f>
        <v/>
      </c>
      <c r="Z91" s="7" t="str">
        <f>IF(ISBLANK(patch[[#This Row],[project]]), "",COUNTIFS($A:$A,patch[[#This Row],[number]],$S:$S, "BJ And dev",$AD:$AD, "&lt;&gt;IntegratorValidationComment"))</f>
        <v/>
      </c>
      <c r="AA91" s="7" t="str">
        <f>IF(ISBLANK(patch[[#This Row],[project]]), "",COUNTIFS($A:$A,patch[[#This Row],[number]],$S:$S, "FL And dev",$AD:$AD, "&lt;&gt;IntegratorValidationComment"))</f>
        <v/>
      </c>
      <c r="AB91" s="7" t="str">
        <f>IF(ISBLANK(patch[[#This Row],[project]]), "",COUNTIFS($A:$A,patch[[#This Row],[number]],$S:$S, "SH And dev",$AD:$AD, "&lt;&gt;IntegratorValidationComment"))</f>
        <v/>
      </c>
      <c r="AC91" s="7" t="str">
        <f>IF(OR(ISNUMBER(FIND("Review-1", patch[[#This Row],[comments]])), ISNUMBER(FIND("Approver-1", patch[[#This Row],[comments]]))), "Review-1", "")</f>
        <v/>
      </c>
      <c r="AD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1" s="7">
        <f>IF(ISBLANK(patch[[#This Row],[number]]),AE90,patch[[#This Row],[ifCommon]])</f>
        <v>0</v>
      </c>
    </row>
    <row r="92" spans="1:31">
      <c r="A92" s="151">
        <v>148585</v>
      </c>
      <c r="B92" s="151"/>
      <c r="C92" s="151"/>
      <c r="D92" s="151"/>
      <c r="E92" s="151"/>
      <c r="F92" s="151"/>
      <c r="G92" s="151"/>
      <c r="H92" s="151"/>
      <c r="I92" s="152"/>
      <c r="J92" s="152">
        <v>42642.672025462962</v>
      </c>
      <c r="K92" s="151"/>
      <c r="L92" s="151" t="s">
        <v>59</v>
      </c>
      <c r="M92" s="152">
        <v>42641.615474537037</v>
      </c>
      <c r="N92" s="151" t="s">
        <v>2627</v>
      </c>
      <c r="O92" s="151"/>
      <c r="P92" s="151"/>
      <c r="Q92" s="7" t="str">
        <f>IF(ISBLANK(patch[[#This Row],[OwnerEmail]]),Q91,patch[[#This Row],[OwnerEmail]])</f>
        <v>qingwu.zhang@intel.com</v>
      </c>
      <c r="R92" s="7" t="str">
        <f>_xlfn.IFNA(VLOOKUP(patch[[#This Row],[tmp-owner.email]],OrgTree!$A:$K, 11, 0), "not ICG SWFW")</f>
        <v>BJ And dev</v>
      </c>
      <c r="S92" s="7" t="str">
        <f>IF(patch[[#This Row],[reviewer]]=patch[[#This Row],[tmp-owner.email]], "author", _xlfn.IFNA(VLOOKUP(patch[[#This Row],[reviewer]],OrgTree!$A:$K, 11, 0), "not ICG SWFW"))</f>
        <v>BJ And dev</v>
      </c>
      <c r="T92" s="7" t="str">
        <f>IF(ISBLANK(patch[[#This Row],[mergeDate]]), "", MID(YEAR(patch[[#This Row],[mergeDate]]), 3,2)&amp;"'ww"&amp;WEEKNUM(patch[[#This Row],[mergeDate]]))</f>
        <v>16'ww40</v>
      </c>
      <c r="U92" s="7" t="str">
        <f>IF(ISBLANK(patch[[#This Row],[mergeDate]]), U91, MID(YEAR(patch[[#This Row],[mergeDate]]), 3,2)&amp;"'m"&amp;MONTH(patch[[#This Row],[mergeDate]]))</f>
        <v>16'm9</v>
      </c>
      <c r="V92" s="7" t="str">
        <f>IF(ISBLANK(patch[[#This Row],[project]]), "",SUM(patch[[#This Row],[BJ -1 num]:[SH -1 num]]))</f>
        <v/>
      </c>
      <c r="W92" s="7" t="str">
        <f>IF(ISBLANK(patch[[#This Row],[project]]), "",COUNTIFS($A:$A,patch[[#This Row],[number]],$S:$S, "BJ And dev",$AC:$AC, "Review-1"))</f>
        <v/>
      </c>
      <c r="X92" s="7" t="str">
        <f>IF(ISBLANK(patch[[#This Row],[project]]), "",COUNTIFS($A:$A,patch[[#This Row],[number]],$S:$S, "FL And dev",$AC:$AC, "Review-1"))</f>
        <v/>
      </c>
      <c r="Y92" s="7" t="str">
        <f>IF(ISBLANK(patch[[#This Row],[project]]), "",COUNTIFS($A:$A,patch[[#This Row],[number]],$S:$S, "SH And dev",$AC:$AC, "Review-1"))</f>
        <v/>
      </c>
      <c r="Z92" s="7" t="str">
        <f>IF(ISBLANK(patch[[#This Row],[project]]), "",COUNTIFS($A:$A,patch[[#This Row],[number]],$S:$S, "BJ And dev",$AD:$AD, "&lt;&gt;IntegratorValidationComment"))</f>
        <v/>
      </c>
      <c r="AA92" s="7" t="str">
        <f>IF(ISBLANK(patch[[#This Row],[project]]), "",COUNTIFS($A:$A,patch[[#This Row],[number]],$S:$S, "FL And dev",$AD:$AD, "&lt;&gt;IntegratorValidationComment"))</f>
        <v/>
      </c>
      <c r="AB92" s="7" t="str">
        <f>IF(ISBLANK(patch[[#This Row],[project]]), "",COUNTIFS($A:$A,patch[[#This Row],[number]],$S:$S, "SH And dev",$AD:$AD, "&lt;&gt;IntegratorValidationComment"))</f>
        <v/>
      </c>
      <c r="AC92" s="7" t="str">
        <f>IF(OR(ISNUMBER(FIND("Review-1", patch[[#This Row],[comments]])), ISNUMBER(FIND("Approver-1", patch[[#This Row],[comments]]))), "Review-1", "")</f>
        <v/>
      </c>
      <c r="AD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2" s="7">
        <f>IF(ISBLANK(patch[[#This Row],[number]]),AE91,patch[[#This Row],[ifCommon]])</f>
        <v>0</v>
      </c>
    </row>
    <row r="93" spans="1:31">
      <c r="A93" s="151">
        <v>148585</v>
      </c>
      <c r="B93" s="151"/>
      <c r="C93" s="151"/>
      <c r="D93" s="151"/>
      <c r="E93" s="151"/>
      <c r="F93" s="151"/>
      <c r="G93" s="151"/>
      <c r="H93" s="151"/>
      <c r="I93" s="151"/>
      <c r="J93" s="152">
        <v>42642.672025462962</v>
      </c>
      <c r="K93" s="151"/>
      <c r="L93" s="151" t="s">
        <v>59</v>
      </c>
      <c r="M93" s="152">
        <v>42641.621550925927</v>
      </c>
      <c r="N93" s="151" t="s">
        <v>2628</v>
      </c>
      <c r="O93" s="151"/>
      <c r="P93" s="151"/>
      <c r="Q93" s="7" t="str">
        <f>IF(ISBLANK(patch[[#This Row],[OwnerEmail]]),Q92,patch[[#This Row],[OwnerEmail]])</f>
        <v>qingwu.zhang@intel.com</v>
      </c>
      <c r="R93" s="7" t="str">
        <f>_xlfn.IFNA(VLOOKUP(patch[[#This Row],[tmp-owner.email]],OrgTree!$A:$K, 11, 0), "not ICG SWFW")</f>
        <v>BJ And dev</v>
      </c>
      <c r="S93" s="7" t="str">
        <f>IF(patch[[#This Row],[reviewer]]=patch[[#This Row],[tmp-owner.email]], "author", _xlfn.IFNA(VLOOKUP(patch[[#This Row],[reviewer]],OrgTree!$A:$K, 11, 0), "not ICG SWFW"))</f>
        <v>BJ And dev</v>
      </c>
      <c r="T93" s="7" t="str">
        <f>IF(ISBLANK(patch[[#This Row],[mergeDate]]), "", MID(YEAR(patch[[#This Row],[mergeDate]]), 3,2)&amp;"'ww"&amp;WEEKNUM(patch[[#This Row],[mergeDate]]))</f>
        <v>16'ww40</v>
      </c>
      <c r="U93" s="7" t="str">
        <f>IF(ISBLANK(patch[[#This Row],[mergeDate]]), U92, MID(YEAR(patch[[#This Row],[mergeDate]]), 3,2)&amp;"'m"&amp;MONTH(patch[[#This Row],[mergeDate]]))</f>
        <v>16'm9</v>
      </c>
      <c r="V93" s="7" t="str">
        <f>IF(ISBLANK(patch[[#This Row],[project]]), "",SUM(patch[[#This Row],[BJ -1 num]:[SH -1 num]]))</f>
        <v/>
      </c>
      <c r="W93" s="7" t="str">
        <f>IF(ISBLANK(patch[[#This Row],[project]]), "",COUNTIFS($A:$A,patch[[#This Row],[number]],$S:$S, "BJ And dev",$AC:$AC, "Review-1"))</f>
        <v/>
      </c>
      <c r="X93" s="7" t="str">
        <f>IF(ISBLANK(patch[[#This Row],[project]]), "",COUNTIFS($A:$A,patch[[#This Row],[number]],$S:$S, "FL And dev",$AC:$AC, "Review-1"))</f>
        <v/>
      </c>
      <c r="Y93" s="7" t="str">
        <f>IF(ISBLANK(patch[[#This Row],[project]]), "",COUNTIFS($A:$A,patch[[#This Row],[number]],$S:$S, "SH And dev",$AC:$AC, "Review-1"))</f>
        <v/>
      </c>
      <c r="Z93" s="7" t="str">
        <f>IF(ISBLANK(patch[[#This Row],[project]]), "",COUNTIFS($A:$A,patch[[#This Row],[number]],$S:$S, "BJ And dev",$AD:$AD, "&lt;&gt;IntegratorValidationComment"))</f>
        <v/>
      </c>
      <c r="AA93" s="7" t="str">
        <f>IF(ISBLANK(patch[[#This Row],[project]]), "",COUNTIFS($A:$A,patch[[#This Row],[number]],$S:$S, "FL And dev",$AD:$AD, "&lt;&gt;IntegratorValidationComment"))</f>
        <v/>
      </c>
      <c r="AB93" s="7" t="str">
        <f>IF(ISBLANK(patch[[#This Row],[project]]), "",COUNTIFS($A:$A,patch[[#This Row],[number]],$S:$S, "SH And dev",$AD:$AD, "&lt;&gt;IntegratorValidationComment"))</f>
        <v/>
      </c>
      <c r="AC93" s="7" t="str">
        <f>IF(OR(ISNUMBER(FIND("Review-1", patch[[#This Row],[comments]])), ISNUMBER(FIND("Approver-1", patch[[#This Row],[comments]]))), "Review-1", "")</f>
        <v/>
      </c>
      <c r="AD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3" s="7">
        <f>IF(ISBLANK(patch[[#This Row],[number]]),AE92,patch[[#This Row],[ifCommon]])</f>
        <v>0</v>
      </c>
    </row>
    <row r="94" spans="1:31">
      <c r="A94" s="151">
        <v>148585</v>
      </c>
      <c r="B94" s="151"/>
      <c r="C94" s="151"/>
      <c r="D94" s="151"/>
      <c r="E94" s="151"/>
      <c r="F94" s="151"/>
      <c r="G94" s="151"/>
      <c r="H94" s="151"/>
      <c r="I94" s="151"/>
      <c r="J94" s="152">
        <v>42642.672025462962</v>
      </c>
      <c r="K94" s="151"/>
      <c r="L94" s="151" t="s">
        <v>24</v>
      </c>
      <c r="M94" s="152">
        <v>42641.625474537039</v>
      </c>
      <c r="N94" s="151" t="s">
        <v>1843</v>
      </c>
      <c r="O94" s="151"/>
      <c r="P94" s="151"/>
      <c r="Q94" s="7" t="str">
        <f>IF(ISBLANK(patch[[#This Row],[OwnerEmail]]),Q93,patch[[#This Row],[OwnerEmail]])</f>
        <v>qingwu.zhang@intel.com</v>
      </c>
      <c r="R94" s="7" t="str">
        <f>_xlfn.IFNA(VLOOKUP(patch[[#This Row],[tmp-owner.email]],OrgTree!$A:$K, 11, 0), "not ICG SWFW")</f>
        <v>BJ And dev</v>
      </c>
      <c r="S94" s="7" t="str">
        <f>IF(patch[[#This Row],[reviewer]]=patch[[#This Row],[tmp-owner.email]], "author", _xlfn.IFNA(VLOOKUP(patch[[#This Row],[reviewer]],OrgTree!$A:$K, 11, 0), "not ICG SWFW"))</f>
        <v>author</v>
      </c>
      <c r="T94" s="7" t="str">
        <f>IF(ISBLANK(patch[[#This Row],[mergeDate]]), "", MID(YEAR(patch[[#This Row],[mergeDate]]), 3,2)&amp;"'ww"&amp;WEEKNUM(patch[[#This Row],[mergeDate]]))</f>
        <v>16'ww40</v>
      </c>
      <c r="U94" s="7" t="str">
        <f>IF(ISBLANK(patch[[#This Row],[mergeDate]]), U93, MID(YEAR(patch[[#This Row],[mergeDate]]), 3,2)&amp;"'m"&amp;MONTH(patch[[#This Row],[mergeDate]]))</f>
        <v>16'm9</v>
      </c>
      <c r="V94" s="7" t="str">
        <f>IF(ISBLANK(patch[[#This Row],[project]]), "",SUM(patch[[#This Row],[BJ -1 num]:[SH -1 num]]))</f>
        <v/>
      </c>
      <c r="W94" s="7" t="str">
        <f>IF(ISBLANK(patch[[#This Row],[project]]), "",COUNTIFS($A:$A,patch[[#This Row],[number]],$S:$S, "BJ And dev",$AC:$AC, "Review-1"))</f>
        <v/>
      </c>
      <c r="X94" s="7" t="str">
        <f>IF(ISBLANK(patch[[#This Row],[project]]), "",COUNTIFS($A:$A,patch[[#This Row],[number]],$S:$S, "FL And dev",$AC:$AC, "Review-1"))</f>
        <v/>
      </c>
      <c r="Y94" s="7" t="str">
        <f>IF(ISBLANK(patch[[#This Row],[project]]), "",COUNTIFS($A:$A,patch[[#This Row],[number]],$S:$S, "SH And dev",$AC:$AC, "Review-1"))</f>
        <v/>
      </c>
      <c r="Z94" s="7" t="str">
        <f>IF(ISBLANK(patch[[#This Row],[project]]), "",COUNTIFS($A:$A,patch[[#This Row],[number]],$S:$S, "BJ And dev",$AD:$AD, "&lt;&gt;IntegratorValidationComment"))</f>
        <v/>
      </c>
      <c r="AA94" s="7" t="str">
        <f>IF(ISBLANK(patch[[#This Row],[project]]), "",COUNTIFS($A:$A,patch[[#This Row],[number]],$S:$S, "FL And dev",$AD:$AD, "&lt;&gt;IntegratorValidationComment"))</f>
        <v/>
      </c>
      <c r="AB94" s="7" t="str">
        <f>IF(ISBLANK(patch[[#This Row],[project]]), "",COUNTIFS($A:$A,patch[[#This Row],[number]],$S:$S, "SH And dev",$AD:$AD, "&lt;&gt;IntegratorValidationComment"))</f>
        <v/>
      </c>
      <c r="AC94" s="7" t="str">
        <f>IF(OR(ISNUMBER(FIND("Review-1", patch[[#This Row],[comments]])), ISNUMBER(FIND("Approver-1", patch[[#This Row],[comments]]))), "Review-1", "")</f>
        <v/>
      </c>
      <c r="AD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4" s="7">
        <f>IF(ISBLANK(patch[[#This Row],[number]]),AE93,patch[[#This Row],[ifCommon]])</f>
        <v>0</v>
      </c>
    </row>
    <row r="95" spans="1:31">
      <c r="A95" s="151">
        <v>148585</v>
      </c>
      <c r="B95" s="151"/>
      <c r="C95" s="151"/>
      <c r="D95" s="151"/>
      <c r="E95" s="151"/>
      <c r="F95" s="151"/>
      <c r="G95" s="151"/>
      <c r="H95" s="151"/>
      <c r="I95" s="151"/>
      <c r="J95" s="152">
        <v>42642.672025462962</v>
      </c>
      <c r="K95" s="151"/>
      <c r="L95" s="151" t="s">
        <v>32</v>
      </c>
      <c r="M95" s="152">
        <v>42641.654004629629</v>
      </c>
      <c r="N95" s="151" t="s">
        <v>2629</v>
      </c>
      <c r="O95" s="151" t="s">
        <v>2630</v>
      </c>
      <c r="P95" s="151"/>
      <c r="Q95" s="7" t="str">
        <f>IF(ISBLANK(patch[[#This Row],[OwnerEmail]]),Q94,patch[[#This Row],[OwnerEmail]])</f>
        <v>qingwu.zhang@intel.com</v>
      </c>
      <c r="R95" s="7" t="str">
        <f>_xlfn.IFNA(VLOOKUP(patch[[#This Row],[tmp-owner.email]],OrgTree!$A:$K, 11, 0), "not ICG SWFW")</f>
        <v>BJ And dev</v>
      </c>
      <c r="S95" s="7" t="str">
        <f>IF(patch[[#This Row],[reviewer]]=patch[[#This Row],[tmp-owner.email]], "author", _xlfn.IFNA(VLOOKUP(patch[[#This Row],[reviewer]],OrgTree!$A:$K, 11, 0), "not ICG SWFW"))</f>
        <v>BJ And dev</v>
      </c>
      <c r="T95" s="7" t="str">
        <f>IF(ISBLANK(patch[[#This Row],[mergeDate]]), "", MID(YEAR(patch[[#This Row],[mergeDate]]), 3,2)&amp;"'ww"&amp;WEEKNUM(patch[[#This Row],[mergeDate]]))</f>
        <v>16'ww40</v>
      </c>
      <c r="U95" s="7" t="str">
        <f>IF(ISBLANK(patch[[#This Row],[mergeDate]]), U94, MID(YEAR(patch[[#This Row],[mergeDate]]), 3,2)&amp;"'m"&amp;MONTH(patch[[#This Row],[mergeDate]]))</f>
        <v>16'm9</v>
      </c>
      <c r="V95" s="7" t="str">
        <f>IF(ISBLANK(patch[[#This Row],[project]]), "",SUM(patch[[#This Row],[BJ -1 num]:[SH -1 num]]))</f>
        <v/>
      </c>
      <c r="W95" s="7" t="str">
        <f>IF(ISBLANK(patch[[#This Row],[project]]), "",COUNTIFS($A:$A,patch[[#This Row],[number]],$S:$S, "BJ And dev",$AC:$AC, "Review-1"))</f>
        <v/>
      </c>
      <c r="X95" s="7" t="str">
        <f>IF(ISBLANK(patch[[#This Row],[project]]), "",COUNTIFS($A:$A,patch[[#This Row],[number]],$S:$S, "FL And dev",$AC:$AC, "Review-1"))</f>
        <v/>
      </c>
      <c r="Y95" s="7" t="str">
        <f>IF(ISBLANK(patch[[#This Row],[project]]), "",COUNTIFS($A:$A,patch[[#This Row],[number]],$S:$S, "SH And dev",$AC:$AC, "Review-1"))</f>
        <v/>
      </c>
      <c r="Z95" s="7" t="str">
        <f>IF(ISBLANK(patch[[#This Row],[project]]), "",COUNTIFS($A:$A,patch[[#This Row],[number]],$S:$S, "BJ And dev",$AD:$AD, "&lt;&gt;IntegratorValidationComment"))</f>
        <v/>
      </c>
      <c r="AA95" s="7" t="str">
        <f>IF(ISBLANK(patch[[#This Row],[project]]), "",COUNTIFS($A:$A,patch[[#This Row],[number]],$S:$S, "FL And dev",$AD:$AD, "&lt;&gt;IntegratorValidationComment"))</f>
        <v/>
      </c>
      <c r="AB95" s="7" t="str">
        <f>IF(ISBLANK(patch[[#This Row],[project]]), "",COUNTIFS($A:$A,patch[[#This Row],[number]],$S:$S, "SH And dev",$AD:$AD, "&lt;&gt;IntegratorValidationComment"))</f>
        <v/>
      </c>
      <c r="AC95" s="7" t="str">
        <f>IF(OR(ISNUMBER(FIND("Review-1", patch[[#This Row],[comments]])), ISNUMBER(FIND("Approver-1", patch[[#This Row],[comments]]))), "Review-1", "")</f>
        <v/>
      </c>
      <c r="AD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5" s="7">
        <f>IF(ISBLANK(patch[[#This Row],[number]]),AE94,patch[[#This Row],[ifCommon]])</f>
        <v>0</v>
      </c>
    </row>
    <row r="96" spans="1:31">
      <c r="A96" s="151">
        <v>148585</v>
      </c>
      <c r="B96" s="151"/>
      <c r="C96" s="151"/>
      <c r="D96" s="151"/>
      <c r="E96" s="151"/>
      <c r="F96" s="151"/>
      <c r="G96" s="151"/>
      <c r="H96" s="151"/>
      <c r="I96" s="151"/>
      <c r="J96" s="152">
        <v>42642.672025462962</v>
      </c>
      <c r="K96" s="151"/>
      <c r="L96" s="151" t="s">
        <v>1237</v>
      </c>
      <c r="M96" s="152">
        <v>42641.679756944453</v>
      </c>
      <c r="N96" s="151" t="s">
        <v>1843</v>
      </c>
      <c r="O96" s="151"/>
      <c r="P96" s="151"/>
      <c r="Q96" s="7" t="str">
        <f>IF(ISBLANK(patch[[#This Row],[OwnerEmail]]),Q95,patch[[#This Row],[OwnerEmail]])</f>
        <v>qingwu.zhang@intel.com</v>
      </c>
      <c r="R96" s="7" t="str">
        <f>_xlfn.IFNA(VLOOKUP(patch[[#This Row],[tmp-owner.email]],OrgTree!$A:$K, 11, 0), "not ICG SWFW")</f>
        <v>BJ And dev</v>
      </c>
      <c r="S96" s="7" t="str">
        <f>IF(patch[[#This Row],[reviewer]]=patch[[#This Row],[tmp-owner.email]], "author", _xlfn.IFNA(VLOOKUP(patch[[#This Row],[reviewer]],OrgTree!$A:$K, 11, 0), "not ICG SWFW"))</f>
        <v>BJ And dev</v>
      </c>
      <c r="T96" s="7" t="str">
        <f>IF(ISBLANK(patch[[#This Row],[mergeDate]]), "", MID(YEAR(patch[[#This Row],[mergeDate]]), 3,2)&amp;"'ww"&amp;WEEKNUM(patch[[#This Row],[mergeDate]]))</f>
        <v>16'ww40</v>
      </c>
      <c r="U96" s="7" t="str">
        <f>IF(ISBLANK(patch[[#This Row],[mergeDate]]), U95, MID(YEAR(patch[[#This Row],[mergeDate]]), 3,2)&amp;"'m"&amp;MONTH(patch[[#This Row],[mergeDate]]))</f>
        <v>16'm9</v>
      </c>
      <c r="V96" s="7" t="str">
        <f>IF(ISBLANK(patch[[#This Row],[project]]), "",SUM(patch[[#This Row],[BJ -1 num]:[SH -1 num]]))</f>
        <v/>
      </c>
      <c r="W96" s="7" t="str">
        <f>IF(ISBLANK(patch[[#This Row],[project]]), "",COUNTIFS($A:$A,patch[[#This Row],[number]],$S:$S, "BJ And dev",$AC:$AC, "Review-1"))</f>
        <v/>
      </c>
      <c r="X96" s="7" t="str">
        <f>IF(ISBLANK(patch[[#This Row],[project]]), "",COUNTIFS($A:$A,patch[[#This Row],[number]],$S:$S, "FL And dev",$AC:$AC, "Review-1"))</f>
        <v/>
      </c>
      <c r="Y96" s="7" t="str">
        <f>IF(ISBLANK(patch[[#This Row],[project]]), "",COUNTIFS($A:$A,patch[[#This Row],[number]],$S:$S, "SH And dev",$AC:$AC, "Review-1"))</f>
        <v/>
      </c>
      <c r="Z96" s="7" t="str">
        <f>IF(ISBLANK(patch[[#This Row],[project]]), "",COUNTIFS($A:$A,patch[[#This Row],[number]],$S:$S, "BJ And dev",$AD:$AD, "&lt;&gt;IntegratorValidationComment"))</f>
        <v/>
      </c>
      <c r="AA96" s="7" t="str">
        <f>IF(ISBLANK(patch[[#This Row],[project]]), "",COUNTIFS($A:$A,patch[[#This Row],[number]],$S:$S, "FL And dev",$AD:$AD, "&lt;&gt;IntegratorValidationComment"))</f>
        <v/>
      </c>
      <c r="AB96" s="7" t="str">
        <f>IF(ISBLANK(patch[[#This Row],[project]]), "",COUNTIFS($A:$A,patch[[#This Row],[number]],$S:$S, "SH And dev",$AD:$AD, "&lt;&gt;IntegratorValidationComment"))</f>
        <v/>
      </c>
      <c r="AC96" s="7" t="str">
        <f>IF(OR(ISNUMBER(FIND("Review-1", patch[[#This Row],[comments]])), ISNUMBER(FIND("Approver-1", patch[[#This Row],[comments]]))), "Review-1", "")</f>
        <v/>
      </c>
      <c r="AD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6" s="7">
        <f>IF(ISBLANK(patch[[#This Row],[number]]),AE95,patch[[#This Row],[ifCommon]])</f>
        <v>0</v>
      </c>
    </row>
    <row r="97" spans="1:31">
      <c r="A97" s="151">
        <v>148585</v>
      </c>
      <c r="B97" s="151"/>
      <c r="C97" s="151"/>
      <c r="D97" s="151"/>
      <c r="E97" s="151"/>
      <c r="F97" s="151"/>
      <c r="G97" s="151"/>
      <c r="H97" s="151"/>
      <c r="I97" s="151"/>
      <c r="J97" s="152">
        <v>42642.672025462962</v>
      </c>
      <c r="K97" s="151"/>
      <c r="L97" s="151" t="s">
        <v>24</v>
      </c>
      <c r="M97" s="152">
        <v>42641.682986111111</v>
      </c>
      <c r="N97" s="151" t="s">
        <v>2481</v>
      </c>
      <c r="O97" s="151" t="s">
        <v>2631</v>
      </c>
      <c r="P97" s="151"/>
      <c r="Q97" s="7" t="str">
        <f>IF(ISBLANK(patch[[#This Row],[OwnerEmail]]),Q96,patch[[#This Row],[OwnerEmail]])</f>
        <v>qingwu.zhang@intel.com</v>
      </c>
      <c r="R97" s="7" t="str">
        <f>_xlfn.IFNA(VLOOKUP(patch[[#This Row],[tmp-owner.email]],OrgTree!$A:$K, 11, 0), "not ICG SWFW")</f>
        <v>BJ And dev</v>
      </c>
      <c r="S97" s="7" t="str">
        <f>IF(patch[[#This Row],[reviewer]]=patch[[#This Row],[tmp-owner.email]], "author", _xlfn.IFNA(VLOOKUP(patch[[#This Row],[reviewer]],OrgTree!$A:$K, 11, 0), "not ICG SWFW"))</f>
        <v>author</v>
      </c>
      <c r="T97" s="7" t="str">
        <f>IF(ISBLANK(patch[[#This Row],[mergeDate]]), "", MID(YEAR(patch[[#This Row],[mergeDate]]), 3,2)&amp;"'ww"&amp;WEEKNUM(patch[[#This Row],[mergeDate]]))</f>
        <v>16'ww40</v>
      </c>
      <c r="U97" s="7" t="str">
        <f>IF(ISBLANK(patch[[#This Row],[mergeDate]]), U96, MID(YEAR(patch[[#This Row],[mergeDate]]), 3,2)&amp;"'m"&amp;MONTH(patch[[#This Row],[mergeDate]]))</f>
        <v>16'm9</v>
      </c>
      <c r="V97" s="7" t="str">
        <f>IF(ISBLANK(patch[[#This Row],[project]]), "",SUM(patch[[#This Row],[BJ -1 num]:[SH -1 num]]))</f>
        <v/>
      </c>
      <c r="W97" s="7" t="str">
        <f>IF(ISBLANK(patch[[#This Row],[project]]), "",COUNTIFS($A:$A,patch[[#This Row],[number]],$S:$S, "BJ And dev",$AC:$AC, "Review-1"))</f>
        <v/>
      </c>
      <c r="X97" s="7" t="str">
        <f>IF(ISBLANK(patch[[#This Row],[project]]), "",COUNTIFS($A:$A,patch[[#This Row],[number]],$S:$S, "FL And dev",$AC:$AC, "Review-1"))</f>
        <v/>
      </c>
      <c r="Y97" s="7" t="str">
        <f>IF(ISBLANK(patch[[#This Row],[project]]), "",COUNTIFS($A:$A,patch[[#This Row],[number]],$S:$S, "SH And dev",$AC:$AC, "Review-1"))</f>
        <v/>
      </c>
      <c r="Z97" s="7" t="str">
        <f>IF(ISBLANK(patch[[#This Row],[project]]), "",COUNTIFS($A:$A,patch[[#This Row],[number]],$S:$S, "BJ And dev",$AD:$AD, "&lt;&gt;IntegratorValidationComment"))</f>
        <v/>
      </c>
      <c r="AA97" s="7" t="str">
        <f>IF(ISBLANK(patch[[#This Row],[project]]), "",COUNTIFS($A:$A,patch[[#This Row],[number]],$S:$S, "FL And dev",$AD:$AD, "&lt;&gt;IntegratorValidationComment"))</f>
        <v/>
      </c>
      <c r="AB97" s="7" t="str">
        <f>IF(ISBLANK(patch[[#This Row],[project]]), "",COUNTIFS($A:$A,patch[[#This Row],[number]],$S:$S, "SH And dev",$AD:$AD, "&lt;&gt;IntegratorValidationComment"))</f>
        <v/>
      </c>
      <c r="AC97" s="7" t="str">
        <f>IF(OR(ISNUMBER(FIND("Review-1", patch[[#This Row],[comments]])), ISNUMBER(FIND("Approver-1", patch[[#This Row],[comments]]))), "Review-1", "")</f>
        <v/>
      </c>
      <c r="AD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7" s="7">
        <f>IF(ISBLANK(patch[[#This Row],[number]]),AE96,patch[[#This Row],[ifCommon]])</f>
        <v>0</v>
      </c>
    </row>
    <row r="98" spans="1:31">
      <c r="A98" s="151">
        <v>148585</v>
      </c>
      <c r="B98" s="151"/>
      <c r="C98" s="151"/>
      <c r="D98" s="151"/>
      <c r="E98" s="151"/>
      <c r="F98" s="151"/>
      <c r="G98" s="151"/>
      <c r="H98" s="151"/>
      <c r="I98" s="152"/>
      <c r="J98" s="152">
        <v>42642.672025462962</v>
      </c>
      <c r="K98" s="151"/>
      <c r="L98" s="151" t="s">
        <v>59</v>
      </c>
      <c r="M98" s="152">
        <v>42641.687974537039</v>
      </c>
      <c r="N98" s="151" t="s">
        <v>2632</v>
      </c>
      <c r="O98" s="151"/>
      <c r="P98" s="151"/>
      <c r="Q98" s="7" t="str">
        <f>IF(ISBLANK(patch[[#This Row],[OwnerEmail]]),Q97,patch[[#This Row],[OwnerEmail]])</f>
        <v>qingwu.zhang@intel.com</v>
      </c>
      <c r="R98" s="7" t="str">
        <f>_xlfn.IFNA(VLOOKUP(patch[[#This Row],[tmp-owner.email]],OrgTree!$A:$K, 11, 0), "not ICG SWFW")</f>
        <v>BJ And dev</v>
      </c>
      <c r="S98" s="7" t="str">
        <f>IF(patch[[#This Row],[reviewer]]=patch[[#This Row],[tmp-owner.email]], "author", _xlfn.IFNA(VLOOKUP(patch[[#This Row],[reviewer]],OrgTree!$A:$K, 11, 0), "not ICG SWFW"))</f>
        <v>BJ And dev</v>
      </c>
      <c r="T98" s="7" t="str">
        <f>IF(ISBLANK(patch[[#This Row],[mergeDate]]), "", MID(YEAR(patch[[#This Row],[mergeDate]]), 3,2)&amp;"'ww"&amp;WEEKNUM(patch[[#This Row],[mergeDate]]))</f>
        <v>16'ww40</v>
      </c>
      <c r="U98" s="7" t="str">
        <f>IF(ISBLANK(patch[[#This Row],[mergeDate]]), U97, MID(YEAR(patch[[#This Row],[mergeDate]]), 3,2)&amp;"'m"&amp;MONTH(patch[[#This Row],[mergeDate]]))</f>
        <v>16'm9</v>
      </c>
      <c r="V98" s="7" t="str">
        <f>IF(ISBLANK(patch[[#This Row],[project]]), "",SUM(patch[[#This Row],[BJ -1 num]:[SH -1 num]]))</f>
        <v/>
      </c>
      <c r="W98" s="7" t="str">
        <f>IF(ISBLANK(patch[[#This Row],[project]]), "",COUNTIFS($A:$A,patch[[#This Row],[number]],$S:$S, "BJ And dev",$AC:$AC, "Review-1"))</f>
        <v/>
      </c>
      <c r="X98" s="7" t="str">
        <f>IF(ISBLANK(patch[[#This Row],[project]]), "",COUNTIFS($A:$A,patch[[#This Row],[number]],$S:$S, "FL And dev",$AC:$AC, "Review-1"))</f>
        <v/>
      </c>
      <c r="Y98" s="7" t="str">
        <f>IF(ISBLANK(patch[[#This Row],[project]]), "",COUNTIFS($A:$A,patch[[#This Row],[number]],$S:$S, "SH And dev",$AC:$AC, "Review-1"))</f>
        <v/>
      </c>
      <c r="Z98" s="7" t="str">
        <f>IF(ISBLANK(patch[[#This Row],[project]]), "",COUNTIFS($A:$A,patch[[#This Row],[number]],$S:$S, "BJ And dev",$AD:$AD, "&lt;&gt;IntegratorValidationComment"))</f>
        <v/>
      </c>
      <c r="AA98" s="7" t="str">
        <f>IF(ISBLANK(patch[[#This Row],[project]]), "",COUNTIFS($A:$A,patch[[#This Row],[number]],$S:$S, "FL And dev",$AD:$AD, "&lt;&gt;IntegratorValidationComment"))</f>
        <v/>
      </c>
      <c r="AB98" s="7" t="str">
        <f>IF(ISBLANK(patch[[#This Row],[project]]), "",COUNTIFS($A:$A,patch[[#This Row],[number]],$S:$S, "SH And dev",$AD:$AD, "&lt;&gt;IntegratorValidationComment"))</f>
        <v/>
      </c>
      <c r="AC98" s="7" t="str">
        <f>IF(OR(ISNUMBER(FIND("Review-1", patch[[#This Row],[comments]])), ISNUMBER(FIND("Approver-1", patch[[#This Row],[comments]]))), "Review-1", "")</f>
        <v/>
      </c>
      <c r="AD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8" s="7">
        <f>IF(ISBLANK(patch[[#This Row],[number]]),AE97,patch[[#This Row],[ifCommon]])</f>
        <v>0</v>
      </c>
    </row>
    <row r="99" spans="1:31">
      <c r="A99" s="151">
        <v>148585</v>
      </c>
      <c r="B99" s="151"/>
      <c r="C99" s="151"/>
      <c r="D99" s="151"/>
      <c r="E99" s="151"/>
      <c r="F99" s="151"/>
      <c r="G99" s="151"/>
      <c r="H99" s="151"/>
      <c r="I99" s="151"/>
      <c r="J99" s="152">
        <v>42642.672025462962</v>
      </c>
      <c r="K99" s="151"/>
      <c r="L99" s="151" t="s">
        <v>59</v>
      </c>
      <c r="M99" s="152">
        <v>42641.725416666668</v>
      </c>
      <c r="N99" s="151" t="s">
        <v>1931</v>
      </c>
      <c r="O99" s="151"/>
      <c r="P99" s="151"/>
      <c r="Q99" s="7" t="str">
        <f>IF(ISBLANK(patch[[#This Row],[OwnerEmail]]),Q98,patch[[#This Row],[OwnerEmail]])</f>
        <v>qingwu.zhang@intel.com</v>
      </c>
      <c r="R99" s="7" t="str">
        <f>_xlfn.IFNA(VLOOKUP(patch[[#This Row],[tmp-owner.email]],OrgTree!$A:$K, 11, 0), "not ICG SWFW")</f>
        <v>BJ And dev</v>
      </c>
      <c r="S99" s="7" t="str">
        <f>IF(patch[[#This Row],[reviewer]]=patch[[#This Row],[tmp-owner.email]], "author", _xlfn.IFNA(VLOOKUP(patch[[#This Row],[reviewer]],OrgTree!$A:$K, 11, 0), "not ICG SWFW"))</f>
        <v>BJ And dev</v>
      </c>
      <c r="T99" s="7" t="str">
        <f>IF(ISBLANK(patch[[#This Row],[mergeDate]]), "", MID(YEAR(patch[[#This Row],[mergeDate]]), 3,2)&amp;"'ww"&amp;WEEKNUM(patch[[#This Row],[mergeDate]]))</f>
        <v>16'ww40</v>
      </c>
      <c r="U99" s="7" t="str">
        <f>IF(ISBLANK(patch[[#This Row],[mergeDate]]), U98, MID(YEAR(patch[[#This Row],[mergeDate]]), 3,2)&amp;"'m"&amp;MONTH(patch[[#This Row],[mergeDate]]))</f>
        <v>16'm9</v>
      </c>
      <c r="V99" s="7" t="str">
        <f>IF(ISBLANK(patch[[#This Row],[project]]), "",SUM(patch[[#This Row],[BJ -1 num]:[SH -1 num]]))</f>
        <v/>
      </c>
      <c r="W99" s="7" t="str">
        <f>IF(ISBLANK(patch[[#This Row],[project]]), "",COUNTIFS($A:$A,patch[[#This Row],[number]],$S:$S, "BJ And dev",$AC:$AC, "Review-1"))</f>
        <v/>
      </c>
      <c r="X99" s="7" t="str">
        <f>IF(ISBLANK(patch[[#This Row],[project]]), "",COUNTIFS($A:$A,patch[[#This Row],[number]],$S:$S, "FL And dev",$AC:$AC, "Review-1"))</f>
        <v/>
      </c>
      <c r="Y99" s="7" t="str">
        <f>IF(ISBLANK(patch[[#This Row],[project]]), "",COUNTIFS($A:$A,patch[[#This Row],[number]],$S:$S, "SH And dev",$AC:$AC, "Review-1"))</f>
        <v/>
      </c>
      <c r="Z99" s="7" t="str">
        <f>IF(ISBLANK(patch[[#This Row],[project]]), "",COUNTIFS($A:$A,patch[[#This Row],[number]],$S:$S, "BJ And dev",$AD:$AD, "&lt;&gt;IntegratorValidationComment"))</f>
        <v/>
      </c>
      <c r="AA99" s="7" t="str">
        <f>IF(ISBLANK(patch[[#This Row],[project]]), "",COUNTIFS($A:$A,patch[[#This Row],[number]],$S:$S, "FL And dev",$AD:$AD, "&lt;&gt;IntegratorValidationComment"))</f>
        <v/>
      </c>
      <c r="AB99" s="7" t="str">
        <f>IF(ISBLANK(patch[[#This Row],[project]]), "",COUNTIFS($A:$A,patch[[#This Row],[number]],$S:$S, "SH And dev",$AD:$AD, "&lt;&gt;IntegratorValidationComment"))</f>
        <v/>
      </c>
      <c r="AC99" s="7" t="str">
        <f>IF(OR(ISNUMBER(FIND("Review-1", patch[[#This Row],[comments]])), ISNUMBER(FIND("Approver-1", patch[[#This Row],[comments]]))), "Review-1", "")</f>
        <v/>
      </c>
      <c r="AD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9" s="7">
        <f>IF(ISBLANK(patch[[#This Row],[number]]),AE98,patch[[#This Row],[ifCommon]])</f>
        <v>0</v>
      </c>
    </row>
    <row r="100" spans="1:31">
      <c r="A100" s="151">
        <v>148585</v>
      </c>
      <c r="B100" s="151"/>
      <c r="C100" s="151"/>
      <c r="D100" s="151"/>
      <c r="E100" s="151"/>
      <c r="F100" s="151"/>
      <c r="G100" s="151"/>
      <c r="H100" s="151"/>
      <c r="I100" s="151"/>
      <c r="J100" s="152">
        <v>42642.672025462962</v>
      </c>
      <c r="K100" s="151"/>
      <c r="L100" s="151" t="s">
        <v>115</v>
      </c>
      <c r="M100" s="152">
        <v>42642.41778935185</v>
      </c>
      <c r="N100" s="151" t="s">
        <v>2513</v>
      </c>
      <c r="O100" s="151"/>
      <c r="P100" s="151"/>
      <c r="Q100" s="7" t="str">
        <f>IF(ISBLANK(patch[[#This Row],[OwnerEmail]]),Q99,patch[[#This Row],[OwnerEmail]])</f>
        <v>qingwu.zhang@intel.com</v>
      </c>
      <c r="R100" s="7" t="str">
        <f>_xlfn.IFNA(VLOOKUP(patch[[#This Row],[tmp-owner.email]],OrgTree!$A:$K, 11, 0), "not ICG SWFW")</f>
        <v>BJ And dev</v>
      </c>
      <c r="S100" s="7" t="str">
        <f>IF(patch[[#This Row],[reviewer]]=patch[[#This Row],[tmp-owner.email]], "author", _xlfn.IFNA(VLOOKUP(patch[[#This Row],[reviewer]],OrgTree!$A:$K, 11, 0), "not ICG SWFW"))</f>
        <v>Val</v>
      </c>
      <c r="T100" s="7" t="str">
        <f>IF(ISBLANK(patch[[#This Row],[mergeDate]]), "", MID(YEAR(patch[[#This Row],[mergeDate]]), 3,2)&amp;"'ww"&amp;WEEKNUM(patch[[#This Row],[mergeDate]]))</f>
        <v>16'ww40</v>
      </c>
      <c r="U100" s="7" t="str">
        <f>IF(ISBLANK(patch[[#This Row],[mergeDate]]), U99, MID(YEAR(patch[[#This Row],[mergeDate]]), 3,2)&amp;"'m"&amp;MONTH(patch[[#This Row],[mergeDate]]))</f>
        <v>16'm9</v>
      </c>
      <c r="V100" s="7" t="str">
        <f>IF(ISBLANK(patch[[#This Row],[project]]), "",SUM(patch[[#This Row],[BJ -1 num]:[SH -1 num]]))</f>
        <v/>
      </c>
      <c r="W100" s="7" t="str">
        <f>IF(ISBLANK(patch[[#This Row],[project]]), "",COUNTIFS($A:$A,patch[[#This Row],[number]],$S:$S, "BJ And dev",$AC:$AC, "Review-1"))</f>
        <v/>
      </c>
      <c r="X100" s="7" t="str">
        <f>IF(ISBLANK(patch[[#This Row],[project]]), "",COUNTIFS($A:$A,patch[[#This Row],[number]],$S:$S, "FL And dev",$AC:$AC, "Review-1"))</f>
        <v/>
      </c>
      <c r="Y100" s="7" t="str">
        <f>IF(ISBLANK(patch[[#This Row],[project]]), "",COUNTIFS($A:$A,patch[[#This Row],[number]],$S:$S, "SH And dev",$AC:$AC, "Review-1"))</f>
        <v/>
      </c>
      <c r="Z100" s="7" t="str">
        <f>IF(ISBLANK(patch[[#This Row],[project]]), "",COUNTIFS($A:$A,patch[[#This Row],[number]],$S:$S, "BJ And dev",$AD:$AD, "&lt;&gt;IntegratorValidationComment"))</f>
        <v/>
      </c>
      <c r="AA100" s="7" t="str">
        <f>IF(ISBLANK(patch[[#This Row],[project]]), "",COUNTIFS($A:$A,patch[[#This Row],[number]],$S:$S, "FL And dev",$AD:$AD, "&lt;&gt;IntegratorValidationComment"))</f>
        <v/>
      </c>
      <c r="AB100" s="7" t="str">
        <f>IF(ISBLANK(patch[[#This Row],[project]]), "",COUNTIFS($A:$A,patch[[#This Row],[number]],$S:$S, "SH And dev",$AD:$AD, "&lt;&gt;IntegratorValidationComment"))</f>
        <v/>
      </c>
      <c r="AC100" s="7" t="str">
        <f>IF(OR(ISNUMBER(FIND("Review-1", patch[[#This Row],[comments]])), ISNUMBER(FIND("Approver-1", patch[[#This Row],[comments]]))), "Review-1", "")</f>
        <v/>
      </c>
      <c r="AD1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00" s="7">
        <f>IF(ISBLANK(patch[[#This Row],[number]]),AE99,patch[[#This Row],[ifCommon]])</f>
        <v>0</v>
      </c>
    </row>
    <row r="101" spans="1:31">
      <c r="A101" s="151">
        <v>148135</v>
      </c>
      <c r="B101" s="151" t="s">
        <v>2490</v>
      </c>
      <c r="C101" s="151" t="s">
        <v>2491</v>
      </c>
      <c r="D101" s="151" t="s">
        <v>2633</v>
      </c>
      <c r="E101" s="151" t="s">
        <v>63</v>
      </c>
      <c r="F101" s="151" t="s">
        <v>23</v>
      </c>
      <c r="G101" s="151" t="s">
        <v>2634</v>
      </c>
      <c r="H101" s="151" t="s">
        <v>2635</v>
      </c>
      <c r="I101" s="152">
        <v>42639.577893518523</v>
      </c>
      <c r="J101" s="152">
        <v>42640.698819444442</v>
      </c>
      <c r="K101" s="151" t="s">
        <v>2445</v>
      </c>
      <c r="L101" s="151" t="s">
        <v>63</v>
      </c>
      <c r="M101" s="152">
        <v>42639.577893518523</v>
      </c>
      <c r="N101" s="151" t="s">
        <v>25</v>
      </c>
      <c r="O101" s="151"/>
      <c r="P101" s="151" t="s">
        <v>2636</v>
      </c>
      <c r="Q101" s="7" t="str">
        <f>IF(ISBLANK(patch[[#This Row],[OwnerEmail]]),Q100,patch[[#This Row],[OwnerEmail]])</f>
        <v>zongx.li@intel.com</v>
      </c>
      <c r="R101" s="7" t="str">
        <f>_xlfn.IFNA(VLOOKUP(patch[[#This Row],[tmp-owner.email]],OrgTree!$A:$K, 11, 0), "not ICG SWFW")</f>
        <v>BJ And dev</v>
      </c>
      <c r="S101" s="7" t="str">
        <f>IF(patch[[#This Row],[reviewer]]=patch[[#This Row],[tmp-owner.email]], "author", _xlfn.IFNA(VLOOKUP(patch[[#This Row],[reviewer]],OrgTree!$A:$K, 11, 0), "not ICG SWFW"))</f>
        <v>author</v>
      </c>
      <c r="T101" s="7" t="str">
        <f>IF(ISBLANK(patch[[#This Row],[mergeDate]]), "", MID(YEAR(patch[[#This Row],[mergeDate]]), 3,2)&amp;"'ww"&amp;WEEKNUM(patch[[#This Row],[mergeDate]]))</f>
        <v>16'ww40</v>
      </c>
      <c r="U101" s="7" t="str">
        <f>IF(ISBLANK(patch[[#This Row],[mergeDate]]), U100, MID(YEAR(patch[[#This Row],[mergeDate]]), 3,2)&amp;"'m"&amp;MONTH(patch[[#This Row],[mergeDate]]))</f>
        <v>16'm9</v>
      </c>
      <c r="V101" s="7">
        <f>IF(ISBLANK(patch[[#This Row],[project]]), "",SUM(patch[[#This Row],[BJ -1 num]:[SH -1 num]]))</f>
        <v>0</v>
      </c>
      <c r="W101" s="7">
        <f>IF(ISBLANK(patch[[#This Row],[project]]), "",COUNTIFS($A:$A,patch[[#This Row],[number]],$S:$S, "BJ And dev",$AC:$AC, "Review-1"))</f>
        <v>0</v>
      </c>
      <c r="X101" s="7">
        <f>IF(ISBLANK(patch[[#This Row],[project]]), "",COUNTIFS($A:$A,patch[[#This Row],[number]],$S:$S, "FL And dev",$AC:$AC, "Review-1"))</f>
        <v>0</v>
      </c>
      <c r="Y101" s="7">
        <f>IF(ISBLANK(patch[[#This Row],[project]]), "",COUNTIFS($A:$A,patch[[#This Row],[number]],$S:$S, "SH And dev",$AC:$AC, "Review-1"))</f>
        <v>0</v>
      </c>
      <c r="Z101" s="7">
        <f>IF(ISBLANK(patch[[#This Row],[project]]), "",COUNTIFS($A:$A,patch[[#This Row],[number]],$S:$S, "BJ And dev",$AD:$AD, "&lt;&gt;IntegratorValidationComment"))</f>
        <v>4</v>
      </c>
      <c r="AA101" s="7">
        <f>IF(ISBLANK(patch[[#This Row],[project]]), "",COUNTIFS($A:$A,patch[[#This Row],[number]],$S:$S, "FL And dev",$AD:$AD, "&lt;&gt;IntegratorValidationComment"))</f>
        <v>0</v>
      </c>
      <c r="AB101" s="7">
        <f>IF(ISBLANK(patch[[#This Row],[project]]), "",COUNTIFS($A:$A,patch[[#This Row],[number]],$S:$S, "SH And dev",$AD:$AD, "&lt;&gt;IntegratorValidationComment"))</f>
        <v>0</v>
      </c>
      <c r="AC101" s="7" t="str">
        <f>IF(OR(ISNUMBER(FIND("Review-1", patch[[#This Row],[comments]])), ISNUMBER(FIND("Approver-1", patch[[#This Row],[comments]]))), "Review-1", "")</f>
        <v/>
      </c>
      <c r="AD1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1" s="7" t="str">
        <f>IF(ISBLANK(patch[[#This Row],[number]]),AE100,patch[[#This Row],[ifCommon]])</f>
        <v>not AndrHAL</v>
      </c>
    </row>
    <row r="102" spans="1:31">
      <c r="A102" s="151">
        <v>148135</v>
      </c>
      <c r="B102" s="151"/>
      <c r="C102" s="151"/>
      <c r="D102" s="151"/>
      <c r="E102" s="151"/>
      <c r="F102" s="151"/>
      <c r="G102" s="151"/>
      <c r="H102" s="151"/>
      <c r="I102" s="151"/>
      <c r="J102" s="152">
        <v>42640.698819444442</v>
      </c>
      <c r="K102" s="151"/>
      <c r="L102" s="151" t="s">
        <v>63</v>
      </c>
      <c r="M102" s="152">
        <v>42639.577916666669</v>
      </c>
      <c r="N102" s="151" t="s">
        <v>2428</v>
      </c>
      <c r="O102" s="151"/>
      <c r="P102" s="151"/>
      <c r="Q102" s="7" t="str">
        <f>IF(ISBLANK(patch[[#This Row],[OwnerEmail]]),Q101,patch[[#This Row],[OwnerEmail]])</f>
        <v>zongx.li@intel.com</v>
      </c>
      <c r="R102" s="7" t="str">
        <f>_xlfn.IFNA(VLOOKUP(patch[[#This Row],[tmp-owner.email]],OrgTree!$A:$K, 11, 0), "not ICG SWFW")</f>
        <v>BJ And dev</v>
      </c>
      <c r="S102" s="7" t="str">
        <f>IF(patch[[#This Row],[reviewer]]=patch[[#This Row],[tmp-owner.email]], "author", _xlfn.IFNA(VLOOKUP(patch[[#This Row],[reviewer]],OrgTree!$A:$K, 11, 0), "not ICG SWFW"))</f>
        <v>author</v>
      </c>
      <c r="T102" s="7" t="str">
        <f>IF(ISBLANK(patch[[#This Row],[mergeDate]]), "", MID(YEAR(patch[[#This Row],[mergeDate]]), 3,2)&amp;"'ww"&amp;WEEKNUM(patch[[#This Row],[mergeDate]]))</f>
        <v>16'ww40</v>
      </c>
      <c r="U102" s="7" t="str">
        <f>IF(ISBLANK(patch[[#This Row],[mergeDate]]), U101, MID(YEAR(patch[[#This Row],[mergeDate]]), 3,2)&amp;"'m"&amp;MONTH(patch[[#This Row],[mergeDate]]))</f>
        <v>16'm9</v>
      </c>
      <c r="V102" s="7" t="str">
        <f>IF(ISBLANK(patch[[#This Row],[project]]), "",SUM(patch[[#This Row],[BJ -1 num]:[SH -1 num]]))</f>
        <v/>
      </c>
      <c r="W102" s="7" t="str">
        <f>IF(ISBLANK(patch[[#This Row],[project]]), "",COUNTIFS($A:$A,patch[[#This Row],[number]],$S:$S, "BJ And dev",$AC:$AC, "Review-1"))</f>
        <v/>
      </c>
      <c r="X102" s="7" t="str">
        <f>IF(ISBLANK(patch[[#This Row],[project]]), "",COUNTIFS($A:$A,patch[[#This Row],[number]],$S:$S, "FL And dev",$AC:$AC, "Review-1"))</f>
        <v/>
      </c>
      <c r="Y102" s="7" t="str">
        <f>IF(ISBLANK(patch[[#This Row],[project]]), "",COUNTIFS($A:$A,patch[[#This Row],[number]],$S:$S, "SH And dev",$AC:$AC, "Review-1"))</f>
        <v/>
      </c>
      <c r="Z102" s="7" t="str">
        <f>IF(ISBLANK(patch[[#This Row],[project]]), "",COUNTIFS($A:$A,patch[[#This Row],[number]],$S:$S, "BJ And dev",$AD:$AD, "&lt;&gt;IntegratorValidationComment"))</f>
        <v/>
      </c>
      <c r="AA102" s="7" t="str">
        <f>IF(ISBLANK(patch[[#This Row],[project]]), "",COUNTIFS($A:$A,patch[[#This Row],[number]],$S:$S, "FL And dev",$AD:$AD, "&lt;&gt;IntegratorValidationComment"))</f>
        <v/>
      </c>
      <c r="AB102" s="7" t="str">
        <f>IF(ISBLANK(patch[[#This Row],[project]]), "",COUNTIFS($A:$A,patch[[#This Row],[number]],$S:$S, "SH And dev",$AD:$AD, "&lt;&gt;IntegratorValidationComment"))</f>
        <v/>
      </c>
      <c r="AC102" s="7" t="str">
        <f>IF(OR(ISNUMBER(FIND("Review-1", patch[[#This Row],[comments]])), ISNUMBER(FIND("Approver-1", patch[[#This Row],[comments]]))), "Review-1", "")</f>
        <v/>
      </c>
      <c r="AD1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2" s="7">
        <f>IF(ISBLANK(patch[[#This Row],[number]]),AE101,patch[[#This Row],[ifCommon]])</f>
        <v>0</v>
      </c>
    </row>
    <row r="103" spans="1:31">
      <c r="A103" s="151">
        <v>148135</v>
      </c>
      <c r="B103" s="151"/>
      <c r="C103" s="151"/>
      <c r="D103" s="151"/>
      <c r="E103" s="151"/>
      <c r="F103" s="151"/>
      <c r="G103" s="151"/>
      <c r="H103" s="151"/>
      <c r="I103" s="151"/>
      <c r="J103" s="152">
        <v>42640.698819444442</v>
      </c>
      <c r="K103" s="151"/>
      <c r="L103" s="151" t="s">
        <v>63</v>
      </c>
      <c r="M103" s="152">
        <v>42639.579398148147</v>
      </c>
      <c r="N103" s="151" t="s">
        <v>40</v>
      </c>
      <c r="O103" s="151"/>
      <c r="P103" s="151"/>
      <c r="Q103" s="7" t="str">
        <f>IF(ISBLANK(patch[[#This Row],[OwnerEmail]]),Q102,patch[[#This Row],[OwnerEmail]])</f>
        <v>zongx.li@intel.com</v>
      </c>
      <c r="R103" s="7" t="str">
        <f>_xlfn.IFNA(VLOOKUP(patch[[#This Row],[tmp-owner.email]],OrgTree!$A:$K, 11, 0), "not ICG SWFW")</f>
        <v>BJ And dev</v>
      </c>
      <c r="S103" s="7" t="str">
        <f>IF(patch[[#This Row],[reviewer]]=patch[[#This Row],[tmp-owner.email]], "author", _xlfn.IFNA(VLOOKUP(patch[[#This Row],[reviewer]],OrgTree!$A:$K, 11, 0), "not ICG SWFW"))</f>
        <v>author</v>
      </c>
      <c r="T103" s="7" t="str">
        <f>IF(ISBLANK(patch[[#This Row],[mergeDate]]), "", MID(YEAR(patch[[#This Row],[mergeDate]]), 3,2)&amp;"'ww"&amp;WEEKNUM(patch[[#This Row],[mergeDate]]))</f>
        <v>16'ww40</v>
      </c>
      <c r="U103" s="7" t="str">
        <f>IF(ISBLANK(patch[[#This Row],[mergeDate]]), U102, MID(YEAR(patch[[#This Row],[mergeDate]]), 3,2)&amp;"'m"&amp;MONTH(patch[[#This Row],[mergeDate]]))</f>
        <v>16'm9</v>
      </c>
      <c r="V103" s="7" t="str">
        <f>IF(ISBLANK(patch[[#This Row],[project]]), "",SUM(patch[[#This Row],[BJ -1 num]:[SH -1 num]]))</f>
        <v/>
      </c>
      <c r="W103" s="7" t="str">
        <f>IF(ISBLANK(patch[[#This Row],[project]]), "",COUNTIFS($A:$A,patch[[#This Row],[number]],$S:$S, "BJ And dev",$AC:$AC, "Review-1"))</f>
        <v/>
      </c>
      <c r="X103" s="7" t="str">
        <f>IF(ISBLANK(patch[[#This Row],[project]]), "",COUNTIFS($A:$A,patch[[#This Row],[number]],$S:$S, "FL And dev",$AC:$AC, "Review-1"))</f>
        <v/>
      </c>
      <c r="Y103" s="7" t="str">
        <f>IF(ISBLANK(patch[[#This Row],[project]]), "",COUNTIFS($A:$A,patch[[#This Row],[number]],$S:$S, "SH And dev",$AC:$AC, "Review-1"))</f>
        <v/>
      </c>
      <c r="Z103" s="7" t="str">
        <f>IF(ISBLANK(patch[[#This Row],[project]]), "",COUNTIFS($A:$A,patch[[#This Row],[number]],$S:$S, "BJ And dev",$AD:$AD, "&lt;&gt;IntegratorValidationComment"))</f>
        <v/>
      </c>
      <c r="AA103" s="7" t="str">
        <f>IF(ISBLANK(patch[[#This Row],[project]]), "",COUNTIFS($A:$A,patch[[#This Row],[number]],$S:$S, "FL And dev",$AD:$AD, "&lt;&gt;IntegratorValidationComment"))</f>
        <v/>
      </c>
      <c r="AB103" s="7" t="str">
        <f>IF(ISBLANK(patch[[#This Row],[project]]), "",COUNTIFS($A:$A,patch[[#This Row],[number]],$S:$S, "SH And dev",$AD:$AD, "&lt;&gt;IntegratorValidationComment"))</f>
        <v/>
      </c>
      <c r="AC103" s="7" t="str">
        <f>IF(OR(ISNUMBER(FIND("Review-1", patch[[#This Row],[comments]])), ISNUMBER(FIND("Approver-1", patch[[#This Row],[comments]]))), "Review-1", "")</f>
        <v/>
      </c>
      <c r="AD1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3" s="7">
        <f>IF(ISBLANK(patch[[#This Row],[number]]),AE102,patch[[#This Row],[ifCommon]])</f>
        <v>0</v>
      </c>
    </row>
    <row r="104" spans="1:31">
      <c r="A104" s="151">
        <v>148135</v>
      </c>
      <c r="B104" s="151"/>
      <c r="C104" s="151"/>
      <c r="D104" s="151"/>
      <c r="E104" s="151"/>
      <c r="F104" s="151"/>
      <c r="G104" s="151"/>
      <c r="H104" s="151"/>
      <c r="I104" s="151"/>
      <c r="J104" s="152">
        <v>42640.698819444442</v>
      </c>
      <c r="K104" s="151"/>
      <c r="L104" s="151" t="s">
        <v>59</v>
      </c>
      <c r="M104" s="152">
        <v>42639.585428240738</v>
      </c>
      <c r="N104" s="151" t="s">
        <v>2637</v>
      </c>
      <c r="O104" s="151"/>
      <c r="P104" s="151"/>
      <c r="Q104" s="7" t="str">
        <f>IF(ISBLANK(patch[[#This Row],[OwnerEmail]]),Q103,patch[[#This Row],[OwnerEmail]])</f>
        <v>zongx.li@intel.com</v>
      </c>
      <c r="R104" s="7" t="str">
        <f>_xlfn.IFNA(VLOOKUP(patch[[#This Row],[tmp-owner.email]],OrgTree!$A:$K, 11, 0), "not ICG SWFW")</f>
        <v>BJ And dev</v>
      </c>
      <c r="S104" s="7" t="str">
        <f>IF(patch[[#This Row],[reviewer]]=patch[[#This Row],[tmp-owner.email]], "author", _xlfn.IFNA(VLOOKUP(patch[[#This Row],[reviewer]],OrgTree!$A:$K, 11, 0), "not ICG SWFW"))</f>
        <v>BJ And dev</v>
      </c>
      <c r="T104" s="7" t="str">
        <f>IF(ISBLANK(patch[[#This Row],[mergeDate]]), "", MID(YEAR(patch[[#This Row],[mergeDate]]), 3,2)&amp;"'ww"&amp;WEEKNUM(patch[[#This Row],[mergeDate]]))</f>
        <v>16'ww40</v>
      </c>
      <c r="U104" s="7" t="str">
        <f>IF(ISBLANK(patch[[#This Row],[mergeDate]]), U103, MID(YEAR(patch[[#This Row],[mergeDate]]), 3,2)&amp;"'m"&amp;MONTH(patch[[#This Row],[mergeDate]]))</f>
        <v>16'm9</v>
      </c>
      <c r="V104" s="7" t="str">
        <f>IF(ISBLANK(patch[[#This Row],[project]]), "",SUM(patch[[#This Row],[BJ -1 num]:[SH -1 num]]))</f>
        <v/>
      </c>
      <c r="W104" s="7" t="str">
        <f>IF(ISBLANK(patch[[#This Row],[project]]), "",COUNTIFS($A:$A,patch[[#This Row],[number]],$S:$S, "BJ And dev",$AC:$AC, "Review-1"))</f>
        <v/>
      </c>
      <c r="X104" s="7" t="str">
        <f>IF(ISBLANK(patch[[#This Row],[project]]), "",COUNTIFS($A:$A,patch[[#This Row],[number]],$S:$S, "FL And dev",$AC:$AC, "Review-1"))</f>
        <v/>
      </c>
      <c r="Y104" s="7" t="str">
        <f>IF(ISBLANK(patch[[#This Row],[project]]), "",COUNTIFS($A:$A,patch[[#This Row],[number]],$S:$S, "SH And dev",$AC:$AC, "Review-1"))</f>
        <v/>
      </c>
      <c r="Z104" s="7" t="str">
        <f>IF(ISBLANK(patch[[#This Row],[project]]), "",COUNTIFS($A:$A,patch[[#This Row],[number]],$S:$S, "BJ And dev",$AD:$AD, "&lt;&gt;IntegratorValidationComment"))</f>
        <v/>
      </c>
      <c r="AA104" s="7" t="str">
        <f>IF(ISBLANK(patch[[#This Row],[project]]), "",COUNTIFS($A:$A,patch[[#This Row],[number]],$S:$S, "FL And dev",$AD:$AD, "&lt;&gt;IntegratorValidationComment"))</f>
        <v/>
      </c>
      <c r="AB104" s="7" t="str">
        <f>IF(ISBLANK(patch[[#This Row],[project]]), "",COUNTIFS($A:$A,patch[[#This Row],[number]],$S:$S, "SH And dev",$AD:$AD, "&lt;&gt;IntegratorValidationComment"))</f>
        <v/>
      </c>
      <c r="AC104" s="7" t="str">
        <f>IF(OR(ISNUMBER(FIND("Review-1", patch[[#This Row],[comments]])), ISNUMBER(FIND("Approver-1", patch[[#This Row],[comments]]))), "Review-1", "")</f>
        <v/>
      </c>
      <c r="AD1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4" s="7">
        <f>IF(ISBLANK(patch[[#This Row],[number]]),AE103,patch[[#This Row],[ifCommon]])</f>
        <v>0</v>
      </c>
    </row>
    <row r="105" spans="1:31">
      <c r="A105" s="151">
        <v>148135</v>
      </c>
      <c r="B105" s="151"/>
      <c r="C105" s="151"/>
      <c r="D105" s="151"/>
      <c r="E105" s="151"/>
      <c r="F105" s="151"/>
      <c r="G105" s="151"/>
      <c r="H105" s="151"/>
      <c r="I105" s="151"/>
      <c r="J105" s="152">
        <v>42640.698819444442</v>
      </c>
      <c r="K105" s="151"/>
      <c r="L105" s="151" t="s">
        <v>59</v>
      </c>
      <c r="M105" s="152">
        <v>42639.588634259257</v>
      </c>
      <c r="N105" s="151" t="s">
        <v>2638</v>
      </c>
      <c r="O105" s="151"/>
      <c r="P105" s="151"/>
      <c r="Q105" s="7" t="str">
        <f>IF(ISBLANK(patch[[#This Row],[OwnerEmail]]),Q104,patch[[#This Row],[OwnerEmail]])</f>
        <v>zongx.li@intel.com</v>
      </c>
      <c r="R105" s="7" t="str">
        <f>_xlfn.IFNA(VLOOKUP(patch[[#This Row],[tmp-owner.email]],OrgTree!$A:$K, 11, 0), "not ICG SWFW")</f>
        <v>BJ And dev</v>
      </c>
      <c r="S105" s="7" t="str">
        <f>IF(patch[[#This Row],[reviewer]]=patch[[#This Row],[tmp-owner.email]], "author", _xlfn.IFNA(VLOOKUP(patch[[#This Row],[reviewer]],OrgTree!$A:$K, 11, 0), "not ICG SWFW"))</f>
        <v>BJ And dev</v>
      </c>
      <c r="T105" s="7" t="str">
        <f>IF(ISBLANK(patch[[#This Row],[mergeDate]]), "", MID(YEAR(patch[[#This Row],[mergeDate]]), 3,2)&amp;"'ww"&amp;WEEKNUM(patch[[#This Row],[mergeDate]]))</f>
        <v>16'ww40</v>
      </c>
      <c r="U105" s="7" t="str">
        <f>IF(ISBLANK(patch[[#This Row],[mergeDate]]), U104, MID(YEAR(patch[[#This Row],[mergeDate]]), 3,2)&amp;"'m"&amp;MONTH(patch[[#This Row],[mergeDate]]))</f>
        <v>16'm9</v>
      </c>
      <c r="V105" s="7" t="str">
        <f>IF(ISBLANK(patch[[#This Row],[project]]), "",SUM(patch[[#This Row],[BJ -1 num]:[SH -1 num]]))</f>
        <v/>
      </c>
      <c r="W105" s="7" t="str">
        <f>IF(ISBLANK(patch[[#This Row],[project]]), "",COUNTIFS($A:$A,patch[[#This Row],[number]],$S:$S, "BJ And dev",$AC:$AC, "Review-1"))</f>
        <v/>
      </c>
      <c r="X105" s="7" t="str">
        <f>IF(ISBLANK(patch[[#This Row],[project]]), "",COUNTIFS($A:$A,patch[[#This Row],[number]],$S:$S, "FL And dev",$AC:$AC, "Review-1"))</f>
        <v/>
      </c>
      <c r="Y105" s="7" t="str">
        <f>IF(ISBLANK(patch[[#This Row],[project]]), "",COUNTIFS($A:$A,patch[[#This Row],[number]],$S:$S, "SH And dev",$AC:$AC, "Review-1"))</f>
        <v/>
      </c>
      <c r="Z105" s="7" t="str">
        <f>IF(ISBLANK(patch[[#This Row],[project]]), "",COUNTIFS($A:$A,patch[[#This Row],[number]],$S:$S, "BJ And dev",$AD:$AD, "&lt;&gt;IntegratorValidationComment"))</f>
        <v/>
      </c>
      <c r="AA105" s="7" t="str">
        <f>IF(ISBLANK(patch[[#This Row],[project]]), "",COUNTIFS($A:$A,patch[[#This Row],[number]],$S:$S, "FL And dev",$AD:$AD, "&lt;&gt;IntegratorValidationComment"))</f>
        <v/>
      </c>
      <c r="AB105" s="7" t="str">
        <f>IF(ISBLANK(patch[[#This Row],[project]]), "",COUNTIFS($A:$A,patch[[#This Row],[number]],$S:$S, "SH And dev",$AD:$AD, "&lt;&gt;IntegratorValidationComment"))</f>
        <v/>
      </c>
      <c r="AC105" s="7" t="str">
        <f>IF(OR(ISNUMBER(FIND("Review-1", patch[[#This Row],[comments]])), ISNUMBER(FIND("Approver-1", patch[[#This Row],[comments]]))), "Review-1", "")</f>
        <v/>
      </c>
      <c r="AD1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5" s="7">
        <f>IF(ISBLANK(patch[[#This Row],[number]]),AE104,patch[[#This Row],[ifCommon]])</f>
        <v>0</v>
      </c>
    </row>
    <row r="106" spans="1:31">
      <c r="A106" s="151">
        <v>148135</v>
      </c>
      <c r="B106" s="151"/>
      <c r="C106" s="151"/>
      <c r="D106" s="151"/>
      <c r="E106" s="151"/>
      <c r="F106" s="151"/>
      <c r="G106" s="151"/>
      <c r="H106" s="151"/>
      <c r="I106" s="151"/>
      <c r="J106" s="152">
        <v>42640.698819444442</v>
      </c>
      <c r="K106" s="151"/>
      <c r="L106" s="151" t="s">
        <v>32</v>
      </c>
      <c r="M106" s="152">
        <v>42639.639317129629</v>
      </c>
      <c r="N106" s="151" t="s">
        <v>40</v>
      </c>
      <c r="O106" s="151"/>
      <c r="P106" s="151"/>
      <c r="Q106" s="7" t="str">
        <f>IF(ISBLANK(patch[[#This Row],[OwnerEmail]]),Q105,patch[[#This Row],[OwnerEmail]])</f>
        <v>zongx.li@intel.com</v>
      </c>
      <c r="R106" s="7" t="str">
        <f>_xlfn.IFNA(VLOOKUP(patch[[#This Row],[tmp-owner.email]],OrgTree!$A:$K, 11, 0), "not ICG SWFW")</f>
        <v>BJ And dev</v>
      </c>
      <c r="S106" s="7" t="str">
        <f>IF(patch[[#This Row],[reviewer]]=patch[[#This Row],[tmp-owner.email]], "author", _xlfn.IFNA(VLOOKUP(patch[[#This Row],[reviewer]],OrgTree!$A:$K, 11, 0), "not ICG SWFW"))</f>
        <v>BJ And dev</v>
      </c>
      <c r="T106" s="7" t="str">
        <f>IF(ISBLANK(patch[[#This Row],[mergeDate]]), "", MID(YEAR(patch[[#This Row],[mergeDate]]), 3,2)&amp;"'ww"&amp;WEEKNUM(patch[[#This Row],[mergeDate]]))</f>
        <v>16'ww40</v>
      </c>
      <c r="U106" s="7" t="str">
        <f>IF(ISBLANK(patch[[#This Row],[mergeDate]]), U105, MID(YEAR(patch[[#This Row],[mergeDate]]), 3,2)&amp;"'m"&amp;MONTH(patch[[#This Row],[mergeDate]]))</f>
        <v>16'm9</v>
      </c>
      <c r="V106" s="7" t="str">
        <f>IF(ISBLANK(patch[[#This Row],[project]]), "",SUM(patch[[#This Row],[BJ -1 num]:[SH -1 num]]))</f>
        <v/>
      </c>
      <c r="W106" s="7" t="str">
        <f>IF(ISBLANK(patch[[#This Row],[project]]), "",COUNTIFS($A:$A,patch[[#This Row],[number]],$S:$S, "BJ And dev",$AC:$AC, "Review-1"))</f>
        <v/>
      </c>
      <c r="X106" s="7" t="str">
        <f>IF(ISBLANK(patch[[#This Row],[project]]), "",COUNTIFS($A:$A,patch[[#This Row],[number]],$S:$S, "FL And dev",$AC:$AC, "Review-1"))</f>
        <v/>
      </c>
      <c r="Y106" s="7" t="str">
        <f>IF(ISBLANK(patch[[#This Row],[project]]), "",COUNTIFS($A:$A,patch[[#This Row],[number]],$S:$S, "SH And dev",$AC:$AC, "Review-1"))</f>
        <v/>
      </c>
      <c r="Z106" s="7" t="str">
        <f>IF(ISBLANK(patch[[#This Row],[project]]), "",COUNTIFS($A:$A,patch[[#This Row],[number]],$S:$S, "BJ And dev",$AD:$AD, "&lt;&gt;IntegratorValidationComment"))</f>
        <v/>
      </c>
      <c r="AA106" s="7" t="str">
        <f>IF(ISBLANK(patch[[#This Row],[project]]), "",COUNTIFS($A:$A,patch[[#This Row],[number]],$S:$S, "FL And dev",$AD:$AD, "&lt;&gt;IntegratorValidationComment"))</f>
        <v/>
      </c>
      <c r="AB106" s="7" t="str">
        <f>IF(ISBLANK(patch[[#This Row],[project]]), "",COUNTIFS($A:$A,patch[[#This Row],[number]],$S:$S, "SH And dev",$AD:$AD, "&lt;&gt;IntegratorValidationComment"))</f>
        <v/>
      </c>
      <c r="AC106" s="7" t="str">
        <f>IF(OR(ISNUMBER(FIND("Review-1", patch[[#This Row],[comments]])), ISNUMBER(FIND("Approver-1", patch[[#This Row],[comments]]))), "Review-1", "")</f>
        <v/>
      </c>
      <c r="AD1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6" s="7">
        <f>IF(ISBLANK(patch[[#This Row],[number]]),AE105,patch[[#This Row],[ifCommon]])</f>
        <v>0</v>
      </c>
    </row>
    <row r="107" spans="1:31">
      <c r="A107" s="151">
        <v>148135</v>
      </c>
      <c r="B107" s="151"/>
      <c r="C107" s="151"/>
      <c r="D107" s="151"/>
      <c r="E107" s="151"/>
      <c r="F107" s="151"/>
      <c r="G107" s="151"/>
      <c r="H107" s="151"/>
      <c r="I107" s="151"/>
      <c r="J107" s="152">
        <v>42640.698819444442</v>
      </c>
      <c r="K107" s="151"/>
      <c r="L107" s="151" t="s">
        <v>24</v>
      </c>
      <c r="M107" s="152">
        <v>42639.679537037038</v>
      </c>
      <c r="N107" s="151" t="s">
        <v>1880</v>
      </c>
      <c r="O107" s="151"/>
      <c r="P107" s="151"/>
      <c r="Q107" s="7" t="str">
        <f>IF(ISBLANK(patch[[#This Row],[OwnerEmail]]),Q106,patch[[#This Row],[OwnerEmail]])</f>
        <v>zongx.li@intel.com</v>
      </c>
      <c r="R107" s="7" t="str">
        <f>_xlfn.IFNA(VLOOKUP(patch[[#This Row],[tmp-owner.email]],OrgTree!$A:$K, 11, 0), "not ICG SWFW")</f>
        <v>BJ And dev</v>
      </c>
      <c r="S107" s="7" t="str">
        <f>IF(patch[[#This Row],[reviewer]]=patch[[#This Row],[tmp-owner.email]], "author", _xlfn.IFNA(VLOOKUP(patch[[#This Row],[reviewer]],OrgTree!$A:$K, 11, 0), "not ICG SWFW"))</f>
        <v>BJ And dev</v>
      </c>
      <c r="T107" s="7" t="str">
        <f>IF(ISBLANK(patch[[#This Row],[mergeDate]]), "", MID(YEAR(patch[[#This Row],[mergeDate]]), 3,2)&amp;"'ww"&amp;WEEKNUM(patch[[#This Row],[mergeDate]]))</f>
        <v>16'ww40</v>
      </c>
      <c r="U107" s="7" t="str">
        <f>IF(ISBLANK(patch[[#This Row],[mergeDate]]), U106, MID(YEAR(patch[[#This Row],[mergeDate]]), 3,2)&amp;"'m"&amp;MONTH(patch[[#This Row],[mergeDate]]))</f>
        <v>16'm9</v>
      </c>
      <c r="V107" s="7" t="str">
        <f>IF(ISBLANK(patch[[#This Row],[project]]), "",SUM(patch[[#This Row],[BJ -1 num]:[SH -1 num]]))</f>
        <v/>
      </c>
      <c r="W107" s="7" t="str">
        <f>IF(ISBLANK(patch[[#This Row],[project]]), "",COUNTIFS($A:$A,patch[[#This Row],[number]],$S:$S, "BJ And dev",$AC:$AC, "Review-1"))</f>
        <v/>
      </c>
      <c r="X107" s="7" t="str">
        <f>IF(ISBLANK(patch[[#This Row],[project]]), "",COUNTIFS($A:$A,patch[[#This Row],[number]],$S:$S, "FL And dev",$AC:$AC, "Review-1"))</f>
        <v/>
      </c>
      <c r="Y107" s="7" t="str">
        <f>IF(ISBLANK(patch[[#This Row],[project]]), "",COUNTIFS($A:$A,patch[[#This Row],[number]],$S:$S, "SH And dev",$AC:$AC, "Review-1"))</f>
        <v/>
      </c>
      <c r="Z107" s="7" t="str">
        <f>IF(ISBLANK(patch[[#This Row],[project]]), "",COUNTIFS($A:$A,patch[[#This Row],[number]],$S:$S, "BJ And dev",$AD:$AD, "&lt;&gt;IntegratorValidationComment"))</f>
        <v/>
      </c>
      <c r="AA107" s="7" t="str">
        <f>IF(ISBLANK(patch[[#This Row],[project]]), "",COUNTIFS($A:$A,patch[[#This Row],[number]],$S:$S, "FL And dev",$AD:$AD, "&lt;&gt;IntegratorValidationComment"))</f>
        <v/>
      </c>
      <c r="AB107" s="7" t="str">
        <f>IF(ISBLANK(patch[[#This Row],[project]]), "",COUNTIFS($A:$A,patch[[#This Row],[number]],$S:$S, "SH And dev",$AD:$AD, "&lt;&gt;IntegratorValidationComment"))</f>
        <v/>
      </c>
      <c r="AC107" s="7" t="str">
        <f>IF(OR(ISNUMBER(FIND("Review-1", patch[[#This Row],[comments]])), ISNUMBER(FIND("Approver-1", patch[[#This Row],[comments]]))), "Review-1", "")</f>
        <v/>
      </c>
      <c r="AD1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7" s="7">
        <f>IF(ISBLANK(patch[[#This Row],[number]]),AE106,patch[[#This Row],[ifCommon]])</f>
        <v>0</v>
      </c>
    </row>
    <row r="108" spans="1:31">
      <c r="A108" s="151">
        <v>148135</v>
      </c>
      <c r="B108" s="151"/>
      <c r="C108" s="151"/>
      <c r="D108" s="151"/>
      <c r="E108" s="151"/>
      <c r="F108" s="151"/>
      <c r="G108" s="151"/>
      <c r="H108" s="151"/>
      <c r="I108" s="151"/>
      <c r="J108" s="152">
        <v>42640.698819444442</v>
      </c>
      <c r="K108" s="151"/>
      <c r="L108" s="151" t="s">
        <v>115</v>
      </c>
      <c r="M108" s="152">
        <v>42640.483449074083</v>
      </c>
      <c r="N108" s="151" t="s">
        <v>2494</v>
      </c>
      <c r="O108" s="151"/>
      <c r="P108" s="151"/>
      <c r="Q108" s="7" t="str">
        <f>IF(ISBLANK(patch[[#This Row],[OwnerEmail]]),Q107,patch[[#This Row],[OwnerEmail]])</f>
        <v>zongx.li@intel.com</v>
      </c>
      <c r="R108" s="7" t="str">
        <f>_xlfn.IFNA(VLOOKUP(patch[[#This Row],[tmp-owner.email]],OrgTree!$A:$K, 11, 0), "not ICG SWFW")</f>
        <v>BJ And dev</v>
      </c>
      <c r="S108" s="7" t="str">
        <f>IF(patch[[#This Row],[reviewer]]=patch[[#This Row],[tmp-owner.email]], "author", _xlfn.IFNA(VLOOKUP(patch[[#This Row],[reviewer]],OrgTree!$A:$K, 11, 0), "not ICG SWFW"))</f>
        <v>Val</v>
      </c>
      <c r="T108" s="7" t="str">
        <f>IF(ISBLANK(patch[[#This Row],[mergeDate]]), "", MID(YEAR(patch[[#This Row],[mergeDate]]), 3,2)&amp;"'ww"&amp;WEEKNUM(patch[[#This Row],[mergeDate]]))</f>
        <v>16'ww40</v>
      </c>
      <c r="U108" s="7" t="str">
        <f>IF(ISBLANK(patch[[#This Row],[mergeDate]]), U107, MID(YEAR(patch[[#This Row],[mergeDate]]), 3,2)&amp;"'m"&amp;MONTH(patch[[#This Row],[mergeDate]]))</f>
        <v>16'm9</v>
      </c>
      <c r="V108" s="7" t="str">
        <f>IF(ISBLANK(patch[[#This Row],[project]]), "",SUM(patch[[#This Row],[BJ -1 num]:[SH -1 num]]))</f>
        <v/>
      </c>
      <c r="W108" s="7" t="str">
        <f>IF(ISBLANK(patch[[#This Row],[project]]), "",COUNTIFS($A:$A,patch[[#This Row],[number]],$S:$S, "BJ And dev",$AC:$AC, "Review-1"))</f>
        <v/>
      </c>
      <c r="X108" s="7" t="str">
        <f>IF(ISBLANK(patch[[#This Row],[project]]), "",COUNTIFS($A:$A,patch[[#This Row],[number]],$S:$S, "FL And dev",$AC:$AC, "Review-1"))</f>
        <v/>
      </c>
      <c r="Y108" s="7" t="str">
        <f>IF(ISBLANK(patch[[#This Row],[project]]), "",COUNTIFS($A:$A,patch[[#This Row],[number]],$S:$S, "SH And dev",$AC:$AC, "Review-1"))</f>
        <v/>
      </c>
      <c r="Z108" s="7" t="str">
        <f>IF(ISBLANK(patch[[#This Row],[project]]), "",COUNTIFS($A:$A,patch[[#This Row],[number]],$S:$S, "BJ And dev",$AD:$AD, "&lt;&gt;IntegratorValidationComment"))</f>
        <v/>
      </c>
      <c r="AA108" s="7" t="str">
        <f>IF(ISBLANK(patch[[#This Row],[project]]), "",COUNTIFS($A:$A,patch[[#This Row],[number]],$S:$S, "FL And dev",$AD:$AD, "&lt;&gt;IntegratorValidationComment"))</f>
        <v/>
      </c>
      <c r="AB108" s="7" t="str">
        <f>IF(ISBLANK(patch[[#This Row],[project]]), "",COUNTIFS($A:$A,patch[[#This Row],[number]],$S:$S, "SH And dev",$AD:$AD, "&lt;&gt;IntegratorValidationComment"))</f>
        <v/>
      </c>
      <c r="AC108" s="7" t="str">
        <f>IF(OR(ISNUMBER(FIND("Review-1", patch[[#This Row],[comments]])), ISNUMBER(FIND("Approver-1", patch[[#This Row],[comments]]))), "Review-1", "")</f>
        <v/>
      </c>
      <c r="AD1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08" s="7">
        <f>IF(ISBLANK(patch[[#This Row],[number]]),AE107,patch[[#This Row],[ifCommon]])</f>
        <v>0</v>
      </c>
    </row>
    <row r="109" spans="1:31">
      <c r="A109" s="151">
        <v>148135</v>
      </c>
      <c r="B109" s="151"/>
      <c r="C109" s="151"/>
      <c r="D109" s="151"/>
      <c r="E109" s="151"/>
      <c r="F109" s="151"/>
      <c r="G109" s="151"/>
      <c r="H109" s="151"/>
      <c r="I109" s="151"/>
      <c r="J109" s="152">
        <v>42640.698819444442</v>
      </c>
      <c r="K109" s="151"/>
      <c r="L109" s="151" t="s">
        <v>115</v>
      </c>
      <c r="M109" s="152">
        <v>42640.532546296286</v>
      </c>
      <c r="N109" s="151" t="s">
        <v>2571</v>
      </c>
      <c r="O109" s="151"/>
      <c r="P109" s="151"/>
      <c r="Q109" s="7" t="str">
        <f>IF(ISBLANK(patch[[#This Row],[OwnerEmail]]),Q108,patch[[#This Row],[OwnerEmail]])</f>
        <v>zongx.li@intel.com</v>
      </c>
      <c r="R109" s="7" t="str">
        <f>_xlfn.IFNA(VLOOKUP(patch[[#This Row],[tmp-owner.email]],OrgTree!$A:$K, 11, 0), "not ICG SWFW")</f>
        <v>BJ And dev</v>
      </c>
      <c r="S109" s="7" t="str">
        <f>IF(patch[[#This Row],[reviewer]]=patch[[#This Row],[tmp-owner.email]], "author", _xlfn.IFNA(VLOOKUP(patch[[#This Row],[reviewer]],OrgTree!$A:$K, 11, 0), "not ICG SWFW"))</f>
        <v>Val</v>
      </c>
      <c r="T109" s="7" t="str">
        <f>IF(ISBLANK(patch[[#This Row],[mergeDate]]), "", MID(YEAR(patch[[#This Row],[mergeDate]]), 3,2)&amp;"'ww"&amp;WEEKNUM(patch[[#This Row],[mergeDate]]))</f>
        <v>16'ww40</v>
      </c>
      <c r="U109" s="7" t="str">
        <f>IF(ISBLANK(patch[[#This Row],[mergeDate]]), U108, MID(YEAR(patch[[#This Row],[mergeDate]]), 3,2)&amp;"'m"&amp;MONTH(patch[[#This Row],[mergeDate]]))</f>
        <v>16'm9</v>
      </c>
      <c r="V109" s="7" t="str">
        <f>IF(ISBLANK(patch[[#This Row],[project]]), "",SUM(patch[[#This Row],[BJ -1 num]:[SH -1 num]]))</f>
        <v/>
      </c>
      <c r="W109" s="7" t="str">
        <f>IF(ISBLANK(patch[[#This Row],[project]]), "",COUNTIFS($A:$A,patch[[#This Row],[number]],$S:$S, "BJ And dev",$AC:$AC, "Review-1"))</f>
        <v/>
      </c>
      <c r="X109" s="7" t="str">
        <f>IF(ISBLANK(patch[[#This Row],[project]]), "",COUNTIFS($A:$A,patch[[#This Row],[number]],$S:$S, "FL And dev",$AC:$AC, "Review-1"))</f>
        <v/>
      </c>
      <c r="Y109" s="7" t="str">
        <f>IF(ISBLANK(patch[[#This Row],[project]]), "",COUNTIFS($A:$A,patch[[#This Row],[number]],$S:$S, "SH And dev",$AC:$AC, "Review-1"))</f>
        <v/>
      </c>
      <c r="Z109" s="7" t="str">
        <f>IF(ISBLANK(patch[[#This Row],[project]]), "",COUNTIFS($A:$A,patch[[#This Row],[number]],$S:$S, "BJ And dev",$AD:$AD, "&lt;&gt;IntegratorValidationComment"))</f>
        <v/>
      </c>
      <c r="AA109" s="7" t="str">
        <f>IF(ISBLANK(patch[[#This Row],[project]]), "",COUNTIFS($A:$A,patch[[#This Row],[number]],$S:$S, "FL And dev",$AD:$AD, "&lt;&gt;IntegratorValidationComment"))</f>
        <v/>
      </c>
      <c r="AB109" s="7" t="str">
        <f>IF(ISBLANK(patch[[#This Row],[project]]), "",COUNTIFS($A:$A,patch[[#This Row],[number]],$S:$S, "SH And dev",$AD:$AD, "&lt;&gt;IntegratorValidationComment"))</f>
        <v/>
      </c>
      <c r="AC109" s="7" t="str">
        <f>IF(OR(ISNUMBER(FIND("Review-1", patch[[#This Row],[comments]])), ISNUMBER(FIND("Approver-1", patch[[#This Row],[comments]]))), "Review-1", "")</f>
        <v/>
      </c>
      <c r="AD1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09" s="7">
        <f>IF(ISBLANK(patch[[#This Row],[number]]),AE108,patch[[#This Row],[ifCommon]])</f>
        <v>0</v>
      </c>
    </row>
    <row r="110" spans="1:31">
      <c r="A110" s="151">
        <v>148135</v>
      </c>
      <c r="B110" s="151"/>
      <c r="C110" s="151"/>
      <c r="D110" s="151"/>
      <c r="E110" s="151"/>
      <c r="F110" s="151"/>
      <c r="G110" s="151"/>
      <c r="H110" s="151"/>
      <c r="I110" s="151"/>
      <c r="J110" s="152">
        <v>42640.698819444442</v>
      </c>
      <c r="K110" s="151"/>
      <c r="L110" s="151" t="s">
        <v>115</v>
      </c>
      <c r="M110" s="152">
        <v>42640.565266203703</v>
      </c>
      <c r="N110" s="151" t="s">
        <v>2494</v>
      </c>
      <c r="O110" s="151"/>
      <c r="P110" s="151"/>
      <c r="Q110" s="7" t="str">
        <f>IF(ISBLANK(patch[[#This Row],[OwnerEmail]]),Q109,patch[[#This Row],[OwnerEmail]])</f>
        <v>zongx.li@intel.com</v>
      </c>
      <c r="R110" s="7" t="str">
        <f>_xlfn.IFNA(VLOOKUP(patch[[#This Row],[tmp-owner.email]],OrgTree!$A:$K, 11, 0), "not ICG SWFW")</f>
        <v>BJ And dev</v>
      </c>
      <c r="S110" s="7" t="str">
        <f>IF(patch[[#This Row],[reviewer]]=patch[[#This Row],[tmp-owner.email]], "author", _xlfn.IFNA(VLOOKUP(patch[[#This Row],[reviewer]],OrgTree!$A:$K, 11, 0), "not ICG SWFW"))</f>
        <v>Val</v>
      </c>
      <c r="T110" s="7" t="str">
        <f>IF(ISBLANK(patch[[#This Row],[mergeDate]]), "", MID(YEAR(patch[[#This Row],[mergeDate]]), 3,2)&amp;"'ww"&amp;WEEKNUM(patch[[#This Row],[mergeDate]]))</f>
        <v>16'ww40</v>
      </c>
      <c r="U110" s="7" t="str">
        <f>IF(ISBLANK(patch[[#This Row],[mergeDate]]), U109, MID(YEAR(patch[[#This Row],[mergeDate]]), 3,2)&amp;"'m"&amp;MONTH(patch[[#This Row],[mergeDate]]))</f>
        <v>16'm9</v>
      </c>
      <c r="V110" s="7" t="str">
        <f>IF(ISBLANK(patch[[#This Row],[project]]), "",SUM(patch[[#This Row],[BJ -1 num]:[SH -1 num]]))</f>
        <v/>
      </c>
      <c r="W110" s="7" t="str">
        <f>IF(ISBLANK(patch[[#This Row],[project]]), "",COUNTIFS($A:$A,patch[[#This Row],[number]],$S:$S, "BJ And dev",$AC:$AC, "Review-1"))</f>
        <v/>
      </c>
      <c r="X110" s="7" t="str">
        <f>IF(ISBLANK(patch[[#This Row],[project]]), "",COUNTIFS($A:$A,patch[[#This Row],[number]],$S:$S, "FL And dev",$AC:$AC, "Review-1"))</f>
        <v/>
      </c>
      <c r="Y110" s="7" t="str">
        <f>IF(ISBLANK(patch[[#This Row],[project]]), "",COUNTIFS($A:$A,patch[[#This Row],[number]],$S:$S, "SH And dev",$AC:$AC, "Review-1"))</f>
        <v/>
      </c>
      <c r="Z110" s="7" t="str">
        <f>IF(ISBLANK(patch[[#This Row],[project]]), "",COUNTIFS($A:$A,patch[[#This Row],[number]],$S:$S, "BJ And dev",$AD:$AD, "&lt;&gt;IntegratorValidationComment"))</f>
        <v/>
      </c>
      <c r="AA110" s="7" t="str">
        <f>IF(ISBLANK(patch[[#This Row],[project]]), "",COUNTIFS($A:$A,patch[[#This Row],[number]],$S:$S, "FL And dev",$AD:$AD, "&lt;&gt;IntegratorValidationComment"))</f>
        <v/>
      </c>
      <c r="AB110" s="7" t="str">
        <f>IF(ISBLANK(patch[[#This Row],[project]]), "",COUNTIFS($A:$A,patch[[#This Row],[number]],$S:$S, "SH And dev",$AD:$AD, "&lt;&gt;IntegratorValidationComment"))</f>
        <v/>
      </c>
      <c r="AC110" s="7" t="str">
        <f>IF(OR(ISNUMBER(FIND("Review-1", patch[[#This Row],[comments]])), ISNUMBER(FIND("Approver-1", patch[[#This Row],[comments]]))), "Review-1", "")</f>
        <v/>
      </c>
      <c r="AD1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10" s="7">
        <f>IF(ISBLANK(patch[[#This Row],[number]]),AE109,patch[[#This Row],[ifCommon]])</f>
        <v>0</v>
      </c>
    </row>
    <row r="111" spans="1:31">
      <c r="A111" s="151">
        <v>148135</v>
      </c>
      <c r="B111" s="151"/>
      <c r="C111" s="151"/>
      <c r="D111" s="151"/>
      <c r="E111" s="151"/>
      <c r="F111" s="151"/>
      <c r="G111" s="151"/>
      <c r="H111" s="151"/>
      <c r="I111" s="151"/>
      <c r="J111" s="152">
        <v>42640.698819444442</v>
      </c>
      <c r="K111" s="151"/>
      <c r="L111" s="151" t="s">
        <v>115</v>
      </c>
      <c r="M111" s="152">
        <v>42640.698773148149</v>
      </c>
      <c r="N111" s="151" t="s">
        <v>2505</v>
      </c>
      <c r="O111" s="151"/>
      <c r="P111" s="151"/>
      <c r="Q111" s="7" t="str">
        <f>IF(ISBLANK(patch[[#This Row],[OwnerEmail]]),Q110,patch[[#This Row],[OwnerEmail]])</f>
        <v>zongx.li@intel.com</v>
      </c>
      <c r="R111" s="7" t="str">
        <f>_xlfn.IFNA(VLOOKUP(patch[[#This Row],[tmp-owner.email]],OrgTree!$A:$K, 11, 0), "not ICG SWFW")</f>
        <v>BJ And dev</v>
      </c>
      <c r="S111" s="7" t="str">
        <f>IF(patch[[#This Row],[reviewer]]=patch[[#This Row],[tmp-owner.email]], "author", _xlfn.IFNA(VLOOKUP(patch[[#This Row],[reviewer]],OrgTree!$A:$K, 11, 0), "not ICG SWFW"))</f>
        <v>Val</v>
      </c>
      <c r="T111" s="7" t="str">
        <f>IF(ISBLANK(patch[[#This Row],[mergeDate]]), "", MID(YEAR(patch[[#This Row],[mergeDate]]), 3,2)&amp;"'ww"&amp;WEEKNUM(patch[[#This Row],[mergeDate]]))</f>
        <v>16'ww40</v>
      </c>
      <c r="U111" s="7" t="str">
        <f>IF(ISBLANK(patch[[#This Row],[mergeDate]]), U110, MID(YEAR(patch[[#This Row],[mergeDate]]), 3,2)&amp;"'m"&amp;MONTH(patch[[#This Row],[mergeDate]]))</f>
        <v>16'm9</v>
      </c>
      <c r="V111" s="7" t="str">
        <f>IF(ISBLANK(patch[[#This Row],[project]]), "",SUM(patch[[#This Row],[BJ -1 num]:[SH -1 num]]))</f>
        <v/>
      </c>
      <c r="W111" s="7" t="str">
        <f>IF(ISBLANK(patch[[#This Row],[project]]), "",COUNTIFS($A:$A,patch[[#This Row],[number]],$S:$S, "BJ And dev",$AC:$AC, "Review-1"))</f>
        <v/>
      </c>
      <c r="X111" s="7" t="str">
        <f>IF(ISBLANK(patch[[#This Row],[project]]), "",COUNTIFS($A:$A,patch[[#This Row],[number]],$S:$S, "FL And dev",$AC:$AC, "Review-1"))</f>
        <v/>
      </c>
      <c r="Y111" s="7" t="str">
        <f>IF(ISBLANK(patch[[#This Row],[project]]), "",COUNTIFS($A:$A,patch[[#This Row],[number]],$S:$S, "SH And dev",$AC:$AC, "Review-1"))</f>
        <v/>
      </c>
      <c r="Z111" s="7" t="str">
        <f>IF(ISBLANK(patch[[#This Row],[project]]), "",COUNTIFS($A:$A,patch[[#This Row],[number]],$S:$S, "BJ And dev",$AD:$AD, "&lt;&gt;IntegratorValidationComment"))</f>
        <v/>
      </c>
      <c r="AA111" s="7" t="str">
        <f>IF(ISBLANK(patch[[#This Row],[project]]), "",COUNTIFS($A:$A,patch[[#This Row],[number]],$S:$S, "FL And dev",$AD:$AD, "&lt;&gt;IntegratorValidationComment"))</f>
        <v/>
      </c>
      <c r="AB111" s="7" t="str">
        <f>IF(ISBLANK(patch[[#This Row],[project]]), "",COUNTIFS($A:$A,patch[[#This Row],[number]],$S:$S, "SH And dev",$AD:$AD, "&lt;&gt;IntegratorValidationComment"))</f>
        <v/>
      </c>
      <c r="AC111" s="7" t="str">
        <f>IF(OR(ISNUMBER(FIND("Review-1", patch[[#This Row],[comments]])), ISNUMBER(FIND("Approver-1", patch[[#This Row],[comments]]))), "Review-1", "")</f>
        <v/>
      </c>
      <c r="AD1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1" s="7">
        <f>IF(ISBLANK(patch[[#This Row],[number]]),AE110,patch[[#This Row],[ifCommon]])</f>
        <v>0</v>
      </c>
    </row>
    <row r="112" spans="1:31">
      <c r="A112" s="151">
        <v>148135</v>
      </c>
      <c r="B112" s="151"/>
      <c r="C112" s="151"/>
      <c r="D112" s="151"/>
      <c r="E112" s="151"/>
      <c r="F112" s="151"/>
      <c r="G112" s="151"/>
      <c r="H112" s="151"/>
      <c r="I112" s="151"/>
      <c r="J112" s="152">
        <v>42640.698819444442</v>
      </c>
      <c r="K112" s="151"/>
      <c r="L112" s="151" t="s">
        <v>115</v>
      </c>
      <c r="M112" s="152">
        <v>42640.698773148149</v>
      </c>
      <c r="N112" s="151" t="s">
        <v>2429</v>
      </c>
      <c r="O112" s="151"/>
      <c r="P112" s="151"/>
      <c r="Q112" s="7" t="str">
        <f>IF(ISBLANK(patch[[#This Row],[OwnerEmail]]),Q111,patch[[#This Row],[OwnerEmail]])</f>
        <v>zongx.li@intel.com</v>
      </c>
      <c r="R112" s="7" t="str">
        <f>_xlfn.IFNA(VLOOKUP(patch[[#This Row],[tmp-owner.email]],OrgTree!$A:$K, 11, 0), "not ICG SWFW")</f>
        <v>BJ And dev</v>
      </c>
      <c r="S112" s="7" t="str">
        <f>IF(patch[[#This Row],[reviewer]]=patch[[#This Row],[tmp-owner.email]], "author", _xlfn.IFNA(VLOOKUP(patch[[#This Row],[reviewer]],OrgTree!$A:$K, 11, 0), "not ICG SWFW"))</f>
        <v>Val</v>
      </c>
      <c r="T112" s="7" t="str">
        <f>IF(ISBLANK(patch[[#This Row],[mergeDate]]), "", MID(YEAR(patch[[#This Row],[mergeDate]]), 3,2)&amp;"'ww"&amp;WEEKNUM(patch[[#This Row],[mergeDate]]))</f>
        <v>16'ww40</v>
      </c>
      <c r="U112" s="7" t="str">
        <f>IF(ISBLANK(patch[[#This Row],[mergeDate]]), U111, MID(YEAR(patch[[#This Row],[mergeDate]]), 3,2)&amp;"'m"&amp;MONTH(patch[[#This Row],[mergeDate]]))</f>
        <v>16'm9</v>
      </c>
      <c r="V112" s="7" t="str">
        <f>IF(ISBLANK(patch[[#This Row],[project]]), "",SUM(patch[[#This Row],[BJ -1 num]:[SH -1 num]]))</f>
        <v/>
      </c>
      <c r="W112" s="7" t="str">
        <f>IF(ISBLANK(patch[[#This Row],[project]]), "",COUNTIFS($A:$A,patch[[#This Row],[number]],$S:$S, "BJ And dev",$AC:$AC, "Review-1"))</f>
        <v/>
      </c>
      <c r="X112" s="7" t="str">
        <f>IF(ISBLANK(patch[[#This Row],[project]]), "",COUNTIFS($A:$A,patch[[#This Row],[number]],$S:$S, "FL And dev",$AC:$AC, "Review-1"))</f>
        <v/>
      </c>
      <c r="Y112" s="7" t="str">
        <f>IF(ISBLANK(patch[[#This Row],[project]]), "",COUNTIFS($A:$A,patch[[#This Row],[number]],$S:$S, "SH And dev",$AC:$AC, "Review-1"))</f>
        <v/>
      </c>
      <c r="Z112" s="7" t="str">
        <f>IF(ISBLANK(patch[[#This Row],[project]]), "",COUNTIFS($A:$A,patch[[#This Row],[number]],$S:$S, "BJ And dev",$AD:$AD, "&lt;&gt;IntegratorValidationComment"))</f>
        <v/>
      </c>
      <c r="AA112" s="7" t="str">
        <f>IF(ISBLANK(patch[[#This Row],[project]]), "",COUNTIFS($A:$A,patch[[#This Row],[number]],$S:$S, "FL And dev",$AD:$AD, "&lt;&gt;IntegratorValidationComment"))</f>
        <v/>
      </c>
      <c r="AB112" s="7" t="str">
        <f>IF(ISBLANK(patch[[#This Row],[project]]), "",COUNTIFS($A:$A,patch[[#This Row],[number]],$S:$S, "SH And dev",$AD:$AD, "&lt;&gt;IntegratorValidationComment"))</f>
        <v/>
      </c>
      <c r="AC112" s="7" t="str">
        <f>IF(OR(ISNUMBER(FIND("Review-1", patch[[#This Row],[comments]])), ISNUMBER(FIND("Approver-1", patch[[#This Row],[comments]]))), "Review-1", "")</f>
        <v/>
      </c>
      <c r="AD1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2" s="7">
        <f>IF(ISBLANK(patch[[#This Row],[number]]),AE111,patch[[#This Row],[ifCommon]])</f>
        <v>0</v>
      </c>
    </row>
    <row r="113" spans="1:31">
      <c r="A113" s="151">
        <v>146922</v>
      </c>
      <c r="B113" s="151" t="s">
        <v>2493</v>
      </c>
      <c r="C113" s="151" t="s">
        <v>2491</v>
      </c>
      <c r="D113" s="151" t="s">
        <v>2639</v>
      </c>
      <c r="E113" s="151" t="s">
        <v>1203</v>
      </c>
      <c r="F113" s="151" t="s">
        <v>23</v>
      </c>
      <c r="G113" s="151" t="s">
        <v>2640</v>
      </c>
      <c r="H113" s="151" t="s">
        <v>2641</v>
      </c>
      <c r="I113" s="152">
        <v>42634.492685185192</v>
      </c>
      <c r="J113" s="152">
        <v>42640.690821759257</v>
      </c>
      <c r="K113" s="151" t="s">
        <v>2445</v>
      </c>
      <c r="L113" s="151" t="s">
        <v>1203</v>
      </c>
      <c r="M113" s="152">
        <v>42634.492685185192</v>
      </c>
      <c r="N113" s="151" t="s">
        <v>2428</v>
      </c>
      <c r="O113" s="151"/>
      <c r="P113" s="151" t="s">
        <v>2642</v>
      </c>
      <c r="Q113" s="7" t="str">
        <f>IF(ISBLANK(patch[[#This Row],[OwnerEmail]]),Q112,patch[[#This Row],[OwnerEmail]])</f>
        <v>xi.cao@intel.com</v>
      </c>
      <c r="R113" s="7" t="str">
        <f>_xlfn.IFNA(VLOOKUP(patch[[#This Row],[tmp-owner.email]],OrgTree!$A:$K, 11, 0), "not ICG SWFW")</f>
        <v>BJ And dev</v>
      </c>
      <c r="S113" s="7" t="str">
        <f>IF(patch[[#This Row],[reviewer]]=patch[[#This Row],[tmp-owner.email]], "author", _xlfn.IFNA(VLOOKUP(patch[[#This Row],[reviewer]],OrgTree!$A:$K, 11, 0), "not ICG SWFW"))</f>
        <v>author</v>
      </c>
      <c r="T113" s="7" t="str">
        <f>IF(ISBLANK(patch[[#This Row],[mergeDate]]), "", MID(YEAR(patch[[#This Row],[mergeDate]]), 3,2)&amp;"'ww"&amp;WEEKNUM(patch[[#This Row],[mergeDate]]))</f>
        <v>16'ww40</v>
      </c>
      <c r="U113" s="7" t="str">
        <f>IF(ISBLANK(patch[[#This Row],[mergeDate]]), U112, MID(YEAR(patch[[#This Row],[mergeDate]]), 3,2)&amp;"'m"&amp;MONTH(patch[[#This Row],[mergeDate]]))</f>
        <v>16'm9</v>
      </c>
      <c r="V113" s="7">
        <f>IF(ISBLANK(patch[[#This Row],[project]]), "",SUM(patch[[#This Row],[BJ -1 num]:[SH -1 num]]))</f>
        <v>4</v>
      </c>
      <c r="W113" s="7">
        <f>IF(ISBLANK(patch[[#This Row],[project]]), "",COUNTIFS($A:$A,patch[[#This Row],[number]],$S:$S, "BJ And dev",$AC:$AC, "Review-1"))</f>
        <v>4</v>
      </c>
      <c r="X113" s="7">
        <f>IF(ISBLANK(patch[[#This Row],[project]]), "",COUNTIFS($A:$A,patch[[#This Row],[number]],$S:$S, "FL And dev",$AC:$AC, "Review-1"))</f>
        <v>0</v>
      </c>
      <c r="Y113" s="7">
        <f>IF(ISBLANK(patch[[#This Row],[project]]), "",COUNTIFS($A:$A,patch[[#This Row],[number]],$S:$S, "SH And dev",$AC:$AC, "Review-1"))</f>
        <v>0</v>
      </c>
      <c r="Z113" s="7">
        <f>IF(ISBLANK(patch[[#This Row],[project]]), "",COUNTIFS($A:$A,patch[[#This Row],[number]],$S:$S, "BJ And dev",$AD:$AD, "&lt;&gt;IntegratorValidationComment"))</f>
        <v>46</v>
      </c>
      <c r="AA113" s="7">
        <f>IF(ISBLANK(patch[[#This Row],[project]]), "",COUNTIFS($A:$A,patch[[#This Row],[number]],$S:$S, "FL And dev",$AD:$AD, "&lt;&gt;IntegratorValidationComment"))</f>
        <v>0</v>
      </c>
      <c r="AB113" s="7">
        <f>IF(ISBLANK(patch[[#This Row],[project]]), "",COUNTIFS($A:$A,patch[[#This Row],[number]],$S:$S, "SH And dev",$AD:$AD, "&lt;&gt;IntegratorValidationComment"))</f>
        <v>0</v>
      </c>
      <c r="AC113" s="7" t="str">
        <f>IF(OR(ISNUMBER(FIND("Review-1", patch[[#This Row],[comments]])), ISNUMBER(FIND("Approver-1", patch[[#This Row],[comments]]))), "Review-1", "")</f>
        <v/>
      </c>
      <c r="AD1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3" s="7" t="str">
        <f>IF(ISBLANK(patch[[#This Row],[number]]),AE112,patch[[#This Row],[ifCommon]])</f>
        <v>not AndrHAL</v>
      </c>
    </row>
    <row r="114" spans="1:31">
      <c r="A114" s="151">
        <v>146922</v>
      </c>
      <c r="B114" s="151"/>
      <c r="C114" s="151"/>
      <c r="D114" s="151"/>
      <c r="E114" s="151"/>
      <c r="F114" s="151"/>
      <c r="G114" s="151"/>
      <c r="H114" s="151"/>
      <c r="I114" s="151"/>
      <c r="J114" s="152">
        <v>42640.690821759257</v>
      </c>
      <c r="K114" s="151"/>
      <c r="L114" s="151" t="s">
        <v>1203</v>
      </c>
      <c r="M114" s="152">
        <v>42634.492685185192</v>
      </c>
      <c r="N114" s="151" t="s">
        <v>25</v>
      </c>
      <c r="O114" s="151"/>
      <c r="P114" s="151"/>
      <c r="Q114" s="7" t="str">
        <f>IF(ISBLANK(patch[[#This Row],[OwnerEmail]]),Q113,patch[[#This Row],[OwnerEmail]])</f>
        <v>xi.cao@intel.com</v>
      </c>
      <c r="R114" s="7" t="str">
        <f>_xlfn.IFNA(VLOOKUP(patch[[#This Row],[tmp-owner.email]],OrgTree!$A:$K, 11, 0), "not ICG SWFW")</f>
        <v>BJ And dev</v>
      </c>
      <c r="S114" s="7" t="str">
        <f>IF(patch[[#This Row],[reviewer]]=patch[[#This Row],[tmp-owner.email]], "author", _xlfn.IFNA(VLOOKUP(patch[[#This Row],[reviewer]],OrgTree!$A:$K, 11, 0), "not ICG SWFW"))</f>
        <v>author</v>
      </c>
      <c r="T114" s="7" t="str">
        <f>IF(ISBLANK(patch[[#This Row],[mergeDate]]), "", MID(YEAR(patch[[#This Row],[mergeDate]]), 3,2)&amp;"'ww"&amp;WEEKNUM(patch[[#This Row],[mergeDate]]))</f>
        <v>16'ww40</v>
      </c>
      <c r="U114" s="7" t="str">
        <f>IF(ISBLANK(patch[[#This Row],[mergeDate]]), U113, MID(YEAR(patch[[#This Row],[mergeDate]]), 3,2)&amp;"'m"&amp;MONTH(patch[[#This Row],[mergeDate]]))</f>
        <v>16'm9</v>
      </c>
      <c r="V114" s="7" t="str">
        <f>IF(ISBLANK(patch[[#This Row],[project]]), "",SUM(patch[[#This Row],[BJ -1 num]:[SH -1 num]]))</f>
        <v/>
      </c>
      <c r="W114" s="7" t="str">
        <f>IF(ISBLANK(patch[[#This Row],[project]]), "",COUNTIFS($A:$A,patch[[#This Row],[number]],$S:$S, "BJ And dev",$AC:$AC, "Review-1"))</f>
        <v/>
      </c>
      <c r="X114" s="7" t="str">
        <f>IF(ISBLANK(patch[[#This Row],[project]]), "",COUNTIFS($A:$A,patch[[#This Row],[number]],$S:$S, "FL And dev",$AC:$AC, "Review-1"))</f>
        <v/>
      </c>
      <c r="Y114" s="7" t="str">
        <f>IF(ISBLANK(patch[[#This Row],[project]]), "",COUNTIFS($A:$A,patch[[#This Row],[number]],$S:$S, "SH And dev",$AC:$AC, "Review-1"))</f>
        <v/>
      </c>
      <c r="Z114" s="7" t="str">
        <f>IF(ISBLANK(patch[[#This Row],[project]]), "",COUNTIFS($A:$A,patch[[#This Row],[number]],$S:$S, "BJ And dev",$AD:$AD, "&lt;&gt;IntegratorValidationComment"))</f>
        <v/>
      </c>
      <c r="AA114" s="7" t="str">
        <f>IF(ISBLANK(patch[[#This Row],[project]]), "",COUNTIFS($A:$A,patch[[#This Row],[number]],$S:$S, "FL And dev",$AD:$AD, "&lt;&gt;IntegratorValidationComment"))</f>
        <v/>
      </c>
      <c r="AB114" s="7" t="str">
        <f>IF(ISBLANK(patch[[#This Row],[project]]), "",COUNTIFS($A:$A,patch[[#This Row],[number]],$S:$S, "SH And dev",$AD:$AD, "&lt;&gt;IntegratorValidationComment"))</f>
        <v/>
      </c>
      <c r="AC114" s="7" t="str">
        <f>IF(OR(ISNUMBER(FIND("Review-1", patch[[#This Row],[comments]])), ISNUMBER(FIND("Approver-1", patch[[#This Row],[comments]]))), "Review-1", "")</f>
        <v/>
      </c>
      <c r="AD1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4" s="7">
        <f>IF(ISBLANK(patch[[#This Row],[number]]),AE113,patch[[#This Row],[ifCommon]])</f>
        <v>0</v>
      </c>
    </row>
    <row r="115" spans="1:31">
      <c r="A115" s="151">
        <v>146922</v>
      </c>
      <c r="B115" s="151"/>
      <c r="C115" s="151"/>
      <c r="D115" s="151"/>
      <c r="E115" s="151"/>
      <c r="F115" s="151"/>
      <c r="G115" s="151"/>
      <c r="H115" s="151"/>
      <c r="I115" s="151"/>
      <c r="J115" s="152">
        <v>42640.690821759257</v>
      </c>
      <c r="K115" s="151"/>
      <c r="L115" s="151" t="s">
        <v>59</v>
      </c>
      <c r="M115" s="152">
        <v>42634.493634259263</v>
      </c>
      <c r="N115" s="151" t="s">
        <v>2643</v>
      </c>
      <c r="O115" s="151"/>
      <c r="P115" s="151"/>
      <c r="Q115" s="7" t="str">
        <f>IF(ISBLANK(patch[[#This Row],[OwnerEmail]]),Q114,patch[[#This Row],[OwnerEmail]])</f>
        <v>xi.cao@intel.com</v>
      </c>
      <c r="R115" s="7" t="str">
        <f>_xlfn.IFNA(VLOOKUP(patch[[#This Row],[tmp-owner.email]],OrgTree!$A:$K, 11, 0), "not ICG SWFW")</f>
        <v>BJ And dev</v>
      </c>
      <c r="S115" s="7" t="str">
        <f>IF(patch[[#This Row],[reviewer]]=patch[[#This Row],[tmp-owner.email]], "author", _xlfn.IFNA(VLOOKUP(patch[[#This Row],[reviewer]],OrgTree!$A:$K, 11, 0), "not ICG SWFW"))</f>
        <v>BJ And dev</v>
      </c>
      <c r="T115" s="7" t="str">
        <f>IF(ISBLANK(patch[[#This Row],[mergeDate]]), "", MID(YEAR(patch[[#This Row],[mergeDate]]), 3,2)&amp;"'ww"&amp;WEEKNUM(patch[[#This Row],[mergeDate]]))</f>
        <v>16'ww40</v>
      </c>
      <c r="U115" s="7" t="str">
        <f>IF(ISBLANK(patch[[#This Row],[mergeDate]]), U114, MID(YEAR(patch[[#This Row],[mergeDate]]), 3,2)&amp;"'m"&amp;MONTH(patch[[#This Row],[mergeDate]]))</f>
        <v>16'm9</v>
      </c>
      <c r="V115" s="7" t="str">
        <f>IF(ISBLANK(patch[[#This Row],[project]]), "",SUM(patch[[#This Row],[BJ -1 num]:[SH -1 num]]))</f>
        <v/>
      </c>
      <c r="W115" s="7" t="str">
        <f>IF(ISBLANK(patch[[#This Row],[project]]), "",COUNTIFS($A:$A,patch[[#This Row],[number]],$S:$S, "BJ And dev",$AC:$AC, "Review-1"))</f>
        <v/>
      </c>
      <c r="X115" s="7" t="str">
        <f>IF(ISBLANK(patch[[#This Row],[project]]), "",COUNTIFS($A:$A,patch[[#This Row],[number]],$S:$S, "FL And dev",$AC:$AC, "Review-1"))</f>
        <v/>
      </c>
      <c r="Y115" s="7" t="str">
        <f>IF(ISBLANK(patch[[#This Row],[project]]), "",COUNTIFS($A:$A,patch[[#This Row],[number]],$S:$S, "SH And dev",$AC:$AC, "Review-1"))</f>
        <v/>
      </c>
      <c r="Z115" s="7" t="str">
        <f>IF(ISBLANK(patch[[#This Row],[project]]), "",COUNTIFS($A:$A,patch[[#This Row],[number]],$S:$S, "BJ And dev",$AD:$AD, "&lt;&gt;IntegratorValidationComment"))</f>
        <v/>
      </c>
      <c r="AA115" s="7" t="str">
        <f>IF(ISBLANK(patch[[#This Row],[project]]), "",COUNTIFS($A:$A,patch[[#This Row],[number]],$S:$S, "FL And dev",$AD:$AD, "&lt;&gt;IntegratorValidationComment"))</f>
        <v/>
      </c>
      <c r="AB115" s="7" t="str">
        <f>IF(ISBLANK(patch[[#This Row],[project]]), "",COUNTIFS($A:$A,patch[[#This Row],[number]],$S:$S, "SH And dev",$AD:$AD, "&lt;&gt;IntegratorValidationComment"))</f>
        <v/>
      </c>
      <c r="AC115" s="7" t="str">
        <f>IF(OR(ISNUMBER(FIND("Review-1", patch[[#This Row],[comments]])), ISNUMBER(FIND("Approver-1", patch[[#This Row],[comments]]))), "Review-1", "")</f>
        <v/>
      </c>
      <c r="AD1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5" s="7">
        <f>IF(ISBLANK(patch[[#This Row],[number]]),AE114,patch[[#This Row],[ifCommon]])</f>
        <v>0</v>
      </c>
    </row>
    <row r="116" spans="1:31">
      <c r="A116" s="151">
        <v>146922</v>
      </c>
      <c r="B116" s="151"/>
      <c r="C116" s="151"/>
      <c r="D116" s="151"/>
      <c r="E116" s="151"/>
      <c r="F116" s="151"/>
      <c r="G116" s="151"/>
      <c r="H116" s="151"/>
      <c r="I116" s="151"/>
      <c r="J116" s="152">
        <v>42640.690821759257</v>
      </c>
      <c r="K116" s="151"/>
      <c r="L116" s="151" t="s">
        <v>59</v>
      </c>
      <c r="M116" s="152">
        <v>42634.509525462963</v>
      </c>
      <c r="N116" s="151" t="s">
        <v>2644</v>
      </c>
      <c r="O116" s="151"/>
      <c r="P116" s="151"/>
      <c r="Q116" s="7" t="str">
        <f>IF(ISBLANK(patch[[#This Row],[OwnerEmail]]),Q115,patch[[#This Row],[OwnerEmail]])</f>
        <v>xi.cao@intel.com</v>
      </c>
      <c r="R116" s="7" t="str">
        <f>_xlfn.IFNA(VLOOKUP(patch[[#This Row],[tmp-owner.email]],OrgTree!$A:$K, 11, 0), "not ICG SWFW")</f>
        <v>BJ And dev</v>
      </c>
      <c r="S116" s="7" t="str">
        <f>IF(patch[[#This Row],[reviewer]]=patch[[#This Row],[tmp-owner.email]], "author", _xlfn.IFNA(VLOOKUP(patch[[#This Row],[reviewer]],OrgTree!$A:$K, 11, 0), "not ICG SWFW"))</f>
        <v>BJ And dev</v>
      </c>
      <c r="T116" s="7" t="str">
        <f>IF(ISBLANK(patch[[#This Row],[mergeDate]]), "", MID(YEAR(patch[[#This Row],[mergeDate]]), 3,2)&amp;"'ww"&amp;WEEKNUM(patch[[#This Row],[mergeDate]]))</f>
        <v>16'ww40</v>
      </c>
      <c r="U116" s="7" t="str">
        <f>IF(ISBLANK(patch[[#This Row],[mergeDate]]), U115, MID(YEAR(patch[[#This Row],[mergeDate]]), 3,2)&amp;"'m"&amp;MONTH(patch[[#This Row],[mergeDate]]))</f>
        <v>16'm9</v>
      </c>
      <c r="V116" s="7" t="str">
        <f>IF(ISBLANK(patch[[#This Row],[project]]), "",SUM(patch[[#This Row],[BJ -1 num]:[SH -1 num]]))</f>
        <v/>
      </c>
      <c r="W116" s="7" t="str">
        <f>IF(ISBLANK(patch[[#This Row],[project]]), "",COUNTIFS($A:$A,patch[[#This Row],[number]],$S:$S, "BJ And dev",$AC:$AC, "Review-1"))</f>
        <v/>
      </c>
      <c r="X116" s="7" t="str">
        <f>IF(ISBLANK(patch[[#This Row],[project]]), "",COUNTIFS($A:$A,patch[[#This Row],[number]],$S:$S, "FL And dev",$AC:$AC, "Review-1"))</f>
        <v/>
      </c>
      <c r="Y116" s="7" t="str">
        <f>IF(ISBLANK(patch[[#This Row],[project]]), "",COUNTIFS($A:$A,patch[[#This Row],[number]],$S:$S, "SH And dev",$AC:$AC, "Review-1"))</f>
        <v/>
      </c>
      <c r="Z116" s="7" t="str">
        <f>IF(ISBLANK(patch[[#This Row],[project]]), "",COUNTIFS($A:$A,patch[[#This Row],[number]],$S:$S, "BJ And dev",$AD:$AD, "&lt;&gt;IntegratorValidationComment"))</f>
        <v/>
      </c>
      <c r="AA116" s="7" t="str">
        <f>IF(ISBLANK(patch[[#This Row],[project]]), "",COUNTIFS($A:$A,patch[[#This Row],[number]],$S:$S, "FL And dev",$AD:$AD, "&lt;&gt;IntegratorValidationComment"))</f>
        <v/>
      </c>
      <c r="AB116" s="7" t="str">
        <f>IF(ISBLANK(patch[[#This Row],[project]]), "",COUNTIFS($A:$A,patch[[#This Row],[number]],$S:$S, "SH And dev",$AD:$AD, "&lt;&gt;IntegratorValidationComment"))</f>
        <v/>
      </c>
      <c r="AC116" s="7" t="str">
        <f>IF(OR(ISNUMBER(FIND("Review-1", patch[[#This Row],[comments]])), ISNUMBER(FIND("Approver-1", patch[[#This Row],[comments]]))), "Review-1", "")</f>
        <v/>
      </c>
      <c r="AD1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6" s="7">
        <f>IF(ISBLANK(patch[[#This Row],[number]]),AE115,patch[[#This Row],[ifCommon]])</f>
        <v>0</v>
      </c>
    </row>
    <row r="117" spans="1:31">
      <c r="A117" s="151">
        <v>146922</v>
      </c>
      <c r="B117" s="151"/>
      <c r="C117" s="151"/>
      <c r="D117" s="151"/>
      <c r="E117" s="151"/>
      <c r="F117" s="151"/>
      <c r="G117" s="151"/>
      <c r="H117" s="151"/>
      <c r="I117" s="151"/>
      <c r="J117" s="152">
        <v>42640.690821759257</v>
      </c>
      <c r="K117" s="151"/>
      <c r="L117" s="151" t="s">
        <v>1203</v>
      </c>
      <c r="M117" s="152">
        <v>42634.511921296304</v>
      </c>
      <c r="N117" s="151" t="s">
        <v>29</v>
      </c>
      <c r="O117" s="151"/>
      <c r="P117" s="151"/>
      <c r="Q117" s="7" t="str">
        <f>IF(ISBLANK(patch[[#This Row],[OwnerEmail]]),Q116,patch[[#This Row],[OwnerEmail]])</f>
        <v>xi.cao@intel.com</v>
      </c>
      <c r="R117" s="7" t="str">
        <f>_xlfn.IFNA(VLOOKUP(patch[[#This Row],[tmp-owner.email]],OrgTree!$A:$K, 11, 0), "not ICG SWFW")</f>
        <v>BJ And dev</v>
      </c>
      <c r="S117" s="7" t="str">
        <f>IF(patch[[#This Row],[reviewer]]=patch[[#This Row],[tmp-owner.email]], "author", _xlfn.IFNA(VLOOKUP(patch[[#This Row],[reviewer]],OrgTree!$A:$K, 11, 0), "not ICG SWFW"))</f>
        <v>author</v>
      </c>
      <c r="T117" s="7" t="str">
        <f>IF(ISBLANK(patch[[#This Row],[mergeDate]]), "", MID(YEAR(patch[[#This Row],[mergeDate]]), 3,2)&amp;"'ww"&amp;WEEKNUM(patch[[#This Row],[mergeDate]]))</f>
        <v>16'ww40</v>
      </c>
      <c r="U117" s="7" t="str">
        <f>IF(ISBLANK(patch[[#This Row],[mergeDate]]), U116, MID(YEAR(patch[[#This Row],[mergeDate]]), 3,2)&amp;"'m"&amp;MONTH(patch[[#This Row],[mergeDate]]))</f>
        <v>16'm9</v>
      </c>
      <c r="V117" s="7" t="str">
        <f>IF(ISBLANK(patch[[#This Row],[project]]), "",SUM(patch[[#This Row],[BJ -1 num]:[SH -1 num]]))</f>
        <v/>
      </c>
      <c r="W117" s="7" t="str">
        <f>IF(ISBLANK(patch[[#This Row],[project]]), "",COUNTIFS($A:$A,patch[[#This Row],[number]],$S:$S, "BJ And dev",$AC:$AC, "Review-1"))</f>
        <v/>
      </c>
      <c r="X117" s="7" t="str">
        <f>IF(ISBLANK(patch[[#This Row],[project]]), "",COUNTIFS($A:$A,patch[[#This Row],[number]],$S:$S, "FL And dev",$AC:$AC, "Review-1"))</f>
        <v/>
      </c>
      <c r="Y117" s="7" t="str">
        <f>IF(ISBLANK(patch[[#This Row],[project]]), "",COUNTIFS($A:$A,patch[[#This Row],[number]],$S:$S, "SH And dev",$AC:$AC, "Review-1"))</f>
        <v/>
      </c>
      <c r="Z117" s="7" t="str">
        <f>IF(ISBLANK(patch[[#This Row],[project]]), "",COUNTIFS($A:$A,patch[[#This Row],[number]],$S:$S, "BJ And dev",$AD:$AD, "&lt;&gt;IntegratorValidationComment"))</f>
        <v/>
      </c>
      <c r="AA117" s="7" t="str">
        <f>IF(ISBLANK(patch[[#This Row],[project]]), "",COUNTIFS($A:$A,patch[[#This Row],[number]],$S:$S, "FL And dev",$AD:$AD, "&lt;&gt;IntegratorValidationComment"))</f>
        <v/>
      </c>
      <c r="AB117" s="7" t="str">
        <f>IF(ISBLANK(patch[[#This Row],[project]]), "",COUNTIFS($A:$A,patch[[#This Row],[number]],$S:$S, "SH And dev",$AD:$AD, "&lt;&gt;IntegratorValidationComment"))</f>
        <v/>
      </c>
      <c r="AC117" s="7" t="str">
        <f>IF(OR(ISNUMBER(FIND("Review-1", patch[[#This Row],[comments]])), ISNUMBER(FIND("Approver-1", patch[[#This Row],[comments]]))), "Review-1", "")</f>
        <v/>
      </c>
      <c r="AD1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7" s="7">
        <f>IF(ISBLANK(patch[[#This Row],[number]]),AE116,patch[[#This Row],[ifCommon]])</f>
        <v>0</v>
      </c>
    </row>
    <row r="118" spans="1:31">
      <c r="A118" s="151">
        <v>146922</v>
      </c>
      <c r="B118" s="151"/>
      <c r="C118" s="151"/>
      <c r="D118" s="151"/>
      <c r="E118" s="151"/>
      <c r="F118" s="151"/>
      <c r="G118" s="151"/>
      <c r="H118" s="151"/>
      <c r="I118" s="152"/>
      <c r="J118" s="152">
        <v>42640.690821759257</v>
      </c>
      <c r="K118" s="151"/>
      <c r="L118" s="151" t="s">
        <v>1203</v>
      </c>
      <c r="M118" s="152">
        <v>42634.511921296304</v>
      </c>
      <c r="N118" s="151" t="s">
        <v>2429</v>
      </c>
      <c r="O118" s="151"/>
      <c r="P118" s="151"/>
      <c r="Q118" s="7" t="str">
        <f>IF(ISBLANK(patch[[#This Row],[OwnerEmail]]),Q117,patch[[#This Row],[OwnerEmail]])</f>
        <v>xi.cao@intel.com</v>
      </c>
      <c r="R118" s="7" t="str">
        <f>_xlfn.IFNA(VLOOKUP(patch[[#This Row],[tmp-owner.email]],OrgTree!$A:$K, 11, 0), "not ICG SWFW")</f>
        <v>BJ And dev</v>
      </c>
      <c r="S118" s="7" t="str">
        <f>IF(patch[[#This Row],[reviewer]]=patch[[#This Row],[tmp-owner.email]], "author", _xlfn.IFNA(VLOOKUP(patch[[#This Row],[reviewer]],OrgTree!$A:$K, 11, 0), "not ICG SWFW"))</f>
        <v>author</v>
      </c>
      <c r="T118" s="7" t="str">
        <f>IF(ISBLANK(patch[[#This Row],[mergeDate]]), "", MID(YEAR(patch[[#This Row],[mergeDate]]), 3,2)&amp;"'ww"&amp;WEEKNUM(patch[[#This Row],[mergeDate]]))</f>
        <v>16'ww40</v>
      </c>
      <c r="U118" s="7" t="str">
        <f>IF(ISBLANK(patch[[#This Row],[mergeDate]]), U117, MID(YEAR(patch[[#This Row],[mergeDate]]), 3,2)&amp;"'m"&amp;MONTH(patch[[#This Row],[mergeDate]]))</f>
        <v>16'm9</v>
      </c>
      <c r="V118" s="7" t="str">
        <f>IF(ISBLANK(patch[[#This Row],[project]]), "",SUM(patch[[#This Row],[BJ -1 num]:[SH -1 num]]))</f>
        <v/>
      </c>
      <c r="W118" s="7" t="str">
        <f>IF(ISBLANK(patch[[#This Row],[project]]), "",COUNTIFS($A:$A,patch[[#This Row],[number]],$S:$S, "BJ And dev",$AC:$AC, "Review-1"))</f>
        <v/>
      </c>
      <c r="X118" s="7" t="str">
        <f>IF(ISBLANK(patch[[#This Row],[project]]), "",COUNTIFS($A:$A,patch[[#This Row],[number]],$S:$S, "FL And dev",$AC:$AC, "Review-1"))</f>
        <v/>
      </c>
      <c r="Y118" s="7" t="str">
        <f>IF(ISBLANK(patch[[#This Row],[project]]), "",COUNTIFS($A:$A,patch[[#This Row],[number]],$S:$S, "SH And dev",$AC:$AC, "Review-1"))</f>
        <v/>
      </c>
      <c r="Z118" s="7" t="str">
        <f>IF(ISBLANK(patch[[#This Row],[project]]), "",COUNTIFS($A:$A,patch[[#This Row],[number]],$S:$S, "BJ And dev",$AD:$AD, "&lt;&gt;IntegratorValidationComment"))</f>
        <v/>
      </c>
      <c r="AA118" s="7" t="str">
        <f>IF(ISBLANK(patch[[#This Row],[project]]), "",COUNTIFS($A:$A,patch[[#This Row],[number]],$S:$S, "FL And dev",$AD:$AD, "&lt;&gt;IntegratorValidationComment"))</f>
        <v/>
      </c>
      <c r="AB118" s="7" t="str">
        <f>IF(ISBLANK(patch[[#This Row],[project]]), "",COUNTIFS($A:$A,patch[[#This Row],[number]],$S:$S, "SH And dev",$AD:$AD, "&lt;&gt;IntegratorValidationComment"))</f>
        <v/>
      </c>
      <c r="AC118" s="7" t="str">
        <f>IF(OR(ISNUMBER(FIND("Review-1", patch[[#This Row],[comments]])), ISNUMBER(FIND("Approver-1", patch[[#This Row],[comments]]))), "Review-1", "")</f>
        <v/>
      </c>
      <c r="AD1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8" s="7">
        <f>IF(ISBLANK(patch[[#This Row],[number]]),AE117,patch[[#This Row],[ifCommon]])</f>
        <v>0</v>
      </c>
    </row>
    <row r="119" spans="1:31">
      <c r="A119" s="151">
        <v>146922</v>
      </c>
      <c r="B119" s="151"/>
      <c r="C119" s="151"/>
      <c r="D119" s="151"/>
      <c r="E119" s="151"/>
      <c r="F119" s="151"/>
      <c r="G119" s="151"/>
      <c r="H119" s="151"/>
      <c r="I119" s="151"/>
      <c r="J119" s="152">
        <v>42640.690821759257</v>
      </c>
      <c r="K119" s="151"/>
      <c r="L119" s="151" t="s">
        <v>59</v>
      </c>
      <c r="M119" s="152">
        <v>42634.514502314807</v>
      </c>
      <c r="N119" s="151" t="s">
        <v>2645</v>
      </c>
      <c r="O119" s="151"/>
      <c r="P119" s="151"/>
      <c r="Q119" s="7" t="str">
        <f>IF(ISBLANK(patch[[#This Row],[OwnerEmail]]),Q118,patch[[#This Row],[OwnerEmail]])</f>
        <v>xi.cao@intel.com</v>
      </c>
      <c r="R119" s="7" t="str">
        <f>_xlfn.IFNA(VLOOKUP(patch[[#This Row],[tmp-owner.email]],OrgTree!$A:$K, 11, 0), "not ICG SWFW")</f>
        <v>BJ And dev</v>
      </c>
      <c r="S119" s="7" t="str">
        <f>IF(patch[[#This Row],[reviewer]]=patch[[#This Row],[tmp-owner.email]], "author", _xlfn.IFNA(VLOOKUP(patch[[#This Row],[reviewer]],OrgTree!$A:$K, 11, 0), "not ICG SWFW"))</f>
        <v>BJ And dev</v>
      </c>
      <c r="T119" s="7" t="str">
        <f>IF(ISBLANK(patch[[#This Row],[mergeDate]]), "", MID(YEAR(patch[[#This Row],[mergeDate]]), 3,2)&amp;"'ww"&amp;WEEKNUM(patch[[#This Row],[mergeDate]]))</f>
        <v>16'ww40</v>
      </c>
      <c r="U119" s="7" t="str">
        <f>IF(ISBLANK(patch[[#This Row],[mergeDate]]), U118, MID(YEAR(patch[[#This Row],[mergeDate]]), 3,2)&amp;"'m"&amp;MONTH(patch[[#This Row],[mergeDate]]))</f>
        <v>16'm9</v>
      </c>
      <c r="V119" s="7" t="str">
        <f>IF(ISBLANK(patch[[#This Row],[project]]), "",SUM(patch[[#This Row],[BJ -1 num]:[SH -1 num]]))</f>
        <v/>
      </c>
      <c r="W119" s="7" t="str">
        <f>IF(ISBLANK(patch[[#This Row],[project]]), "",COUNTIFS($A:$A,patch[[#This Row],[number]],$S:$S, "BJ And dev",$AC:$AC, "Review-1"))</f>
        <v/>
      </c>
      <c r="X119" s="7" t="str">
        <f>IF(ISBLANK(patch[[#This Row],[project]]), "",COUNTIFS($A:$A,patch[[#This Row],[number]],$S:$S, "FL And dev",$AC:$AC, "Review-1"))</f>
        <v/>
      </c>
      <c r="Y119" s="7" t="str">
        <f>IF(ISBLANK(patch[[#This Row],[project]]), "",COUNTIFS($A:$A,patch[[#This Row],[number]],$S:$S, "SH And dev",$AC:$AC, "Review-1"))</f>
        <v/>
      </c>
      <c r="Z119" s="7" t="str">
        <f>IF(ISBLANK(patch[[#This Row],[project]]), "",COUNTIFS($A:$A,patch[[#This Row],[number]],$S:$S, "BJ And dev",$AD:$AD, "&lt;&gt;IntegratorValidationComment"))</f>
        <v/>
      </c>
      <c r="AA119" s="7" t="str">
        <f>IF(ISBLANK(patch[[#This Row],[project]]), "",COUNTIFS($A:$A,patch[[#This Row],[number]],$S:$S, "FL And dev",$AD:$AD, "&lt;&gt;IntegratorValidationComment"))</f>
        <v/>
      </c>
      <c r="AB119" s="7" t="str">
        <f>IF(ISBLANK(patch[[#This Row],[project]]), "",COUNTIFS($A:$A,patch[[#This Row],[number]],$S:$S, "SH And dev",$AD:$AD, "&lt;&gt;IntegratorValidationComment"))</f>
        <v/>
      </c>
      <c r="AC119" s="7" t="str">
        <f>IF(OR(ISNUMBER(FIND("Review-1", patch[[#This Row],[comments]])), ISNUMBER(FIND("Approver-1", patch[[#This Row],[comments]]))), "Review-1", "")</f>
        <v/>
      </c>
      <c r="AD1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9" s="7">
        <f>IF(ISBLANK(patch[[#This Row],[number]]),AE118,patch[[#This Row],[ifCommon]])</f>
        <v>0</v>
      </c>
    </row>
    <row r="120" spans="1:31">
      <c r="A120" s="151">
        <v>146922</v>
      </c>
      <c r="B120" s="151"/>
      <c r="C120" s="151"/>
      <c r="D120" s="151"/>
      <c r="E120" s="151"/>
      <c r="F120" s="151"/>
      <c r="G120" s="151"/>
      <c r="H120" s="151"/>
      <c r="I120" s="151"/>
      <c r="J120" s="152">
        <v>42640.690821759257</v>
      </c>
      <c r="K120" s="151"/>
      <c r="L120" s="151" t="s">
        <v>59</v>
      </c>
      <c r="M120" s="152">
        <v>42634.517326388886</v>
      </c>
      <c r="N120" s="151" t="s">
        <v>2646</v>
      </c>
      <c r="O120" s="151"/>
      <c r="P120" s="151"/>
      <c r="Q120" s="7" t="str">
        <f>IF(ISBLANK(patch[[#This Row],[OwnerEmail]]),Q119,patch[[#This Row],[OwnerEmail]])</f>
        <v>xi.cao@intel.com</v>
      </c>
      <c r="R120" s="7" t="str">
        <f>_xlfn.IFNA(VLOOKUP(patch[[#This Row],[tmp-owner.email]],OrgTree!$A:$K, 11, 0), "not ICG SWFW")</f>
        <v>BJ And dev</v>
      </c>
      <c r="S120" s="7" t="str">
        <f>IF(patch[[#This Row],[reviewer]]=patch[[#This Row],[tmp-owner.email]], "author", _xlfn.IFNA(VLOOKUP(patch[[#This Row],[reviewer]],OrgTree!$A:$K, 11, 0), "not ICG SWFW"))</f>
        <v>BJ And dev</v>
      </c>
      <c r="T120" s="7" t="str">
        <f>IF(ISBLANK(patch[[#This Row],[mergeDate]]), "", MID(YEAR(patch[[#This Row],[mergeDate]]), 3,2)&amp;"'ww"&amp;WEEKNUM(patch[[#This Row],[mergeDate]]))</f>
        <v>16'ww40</v>
      </c>
      <c r="U120" s="7" t="str">
        <f>IF(ISBLANK(patch[[#This Row],[mergeDate]]), U119, MID(YEAR(patch[[#This Row],[mergeDate]]), 3,2)&amp;"'m"&amp;MONTH(patch[[#This Row],[mergeDate]]))</f>
        <v>16'm9</v>
      </c>
      <c r="V120" s="7" t="str">
        <f>IF(ISBLANK(patch[[#This Row],[project]]), "",SUM(patch[[#This Row],[BJ -1 num]:[SH -1 num]]))</f>
        <v/>
      </c>
      <c r="W120" s="7" t="str">
        <f>IF(ISBLANK(patch[[#This Row],[project]]), "",COUNTIFS($A:$A,patch[[#This Row],[number]],$S:$S, "BJ And dev",$AC:$AC, "Review-1"))</f>
        <v/>
      </c>
      <c r="X120" s="7" t="str">
        <f>IF(ISBLANK(patch[[#This Row],[project]]), "",COUNTIFS($A:$A,patch[[#This Row],[number]],$S:$S, "FL And dev",$AC:$AC, "Review-1"))</f>
        <v/>
      </c>
      <c r="Y120" s="7" t="str">
        <f>IF(ISBLANK(patch[[#This Row],[project]]), "",COUNTIFS($A:$A,patch[[#This Row],[number]],$S:$S, "SH And dev",$AC:$AC, "Review-1"))</f>
        <v/>
      </c>
      <c r="Z120" s="7" t="str">
        <f>IF(ISBLANK(patch[[#This Row],[project]]), "",COUNTIFS($A:$A,patch[[#This Row],[number]],$S:$S, "BJ And dev",$AD:$AD, "&lt;&gt;IntegratorValidationComment"))</f>
        <v/>
      </c>
      <c r="AA120" s="7" t="str">
        <f>IF(ISBLANK(patch[[#This Row],[project]]), "",COUNTIFS($A:$A,patch[[#This Row],[number]],$S:$S, "FL And dev",$AD:$AD, "&lt;&gt;IntegratorValidationComment"))</f>
        <v/>
      </c>
      <c r="AB120" s="7" t="str">
        <f>IF(ISBLANK(patch[[#This Row],[project]]), "",COUNTIFS($A:$A,patch[[#This Row],[number]],$S:$S, "SH And dev",$AD:$AD, "&lt;&gt;IntegratorValidationComment"))</f>
        <v/>
      </c>
      <c r="AC120" s="7" t="str">
        <f>IF(OR(ISNUMBER(FIND("Review-1", patch[[#This Row],[comments]])), ISNUMBER(FIND("Approver-1", patch[[#This Row],[comments]]))), "Review-1", "")</f>
        <v/>
      </c>
      <c r="AD1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0" s="7">
        <f>IF(ISBLANK(patch[[#This Row],[number]]),AE119,patch[[#This Row],[ifCommon]])</f>
        <v>0</v>
      </c>
    </row>
    <row r="121" spans="1:31">
      <c r="A121" s="151">
        <v>146922</v>
      </c>
      <c r="B121" s="151"/>
      <c r="C121" s="151"/>
      <c r="D121" s="151"/>
      <c r="E121" s="151"/>
      <c r="F121" s="151"/>
      <c r="G121" s="151"/>
      <c r="H121" s="151"/>
      <c r="I121" s="151"/>
      <c r="J121" s="152">
        <v>42640.690821759257</v>
      </c>
      <c r="K121" s="151"/>
      <c r="L121" s="151" t="s">
        <v>71</v>
      </c>
      <c r="M121" s="152">
        <v>42634.551932870367</v>
      </c>
      <c r="N121" s="151" t="s">
        <v>2500</v>
      </c>
      <c r="O121" s="151" t="s">
        <v>2647</v>
      </c>
      <c r="P121" s="151"/>
      <c r="Q121" s="7" t="str">
        <f>IF(ISBLANK(patch[[#This Row],[OwnerEmail]]),Q120,patch[[#This Row],[OwnerEmail]])</f>
        <v>xi.cao@intel.com</v>
      </c>
      <c r="R121" s="7" t="str">
        <f>_xlfn.IFNA(VLOOKUP(patch[[#This Row],[tmp-owner.email]],OrgTree!$A:$K, 11, 0), "not ICG SWFW")</f>
        <v>BJ And dev</v>
      </c>
      <c r="S121" s="7" t="str">
        <f>IF(patch[[#This Row],[reviewer]]=patch[[#This Row],[tmp-owner.email]], "author", _xlfn.IFNA(VLOOKUP(patch[[#This Row],[reviewer]],OrgTree!$A:$K, 11, 0), "not ICG SWFW"))</f>
        <v>BJ And dev</v>
      </c>
      <c r="T121" s="7" t="str">
        <f>IF(ISBLANK(patch[[#This Row],[mergeDate]]), "", MID(YEAR(patch[[#This Row],[mergeDate]]), 3,2)&amp;"'ww"&amp;WEEKNUM(patch[[#This Row],[mergeDate]]))</f>
        <v>16'ww40</v>
      </c>
      <c r="U121" s="7" t="str">
        <f>IF(ISBLANK(patch[[#This Row],[mergeDate]]), U120, MID(YEAR(patch[[#This Row],[mergeDate]]), 3,2)&amp;"'m"&amp;MONTH(patch[[#This Row],[mergeDate]]))</f>
        <v>16'm9</v>
      </c>
      <c r="V121" s="7" t="str">
        <f>IF(ISBLANK(patch[[#This Row],[project]]), "",SUM(patch[[#This Row],[BJ -1 num]:[SH -1 num]]))</f>
        <v/>
      </c>
      <c r="W121" s="7" t="str">
        <f>IF(ISBLANK(patch[[#This Row],[project]]), "",COUNTIFS($A:$A,patch[[#This Row],[number]],$S:$S, "BJ And dev",$AC:$AC, "Review-1"))</f>
        <v/>
      </c>
      <c r="X121" s="7" t="str">
        <f>IF(ISBLANK(patch[[#This Row],[project]]), "",COUNTIFS($A:$A,patch[[#This Row],[number]],$S:$S, "FL And dev",$AC:$AC, "Review-1"))</f>
        <v/>
      </c>
      <c r="Y121" s="7" t="str">
        <f>IF(ISBLANK(patch[[#This Row],[project]]), "",COUNTIFS($A:$A,patch[[#This Row],[number]],$S:$S, "SH And dev",$AC:$AC, "Review-1"))</f>
        <v/>
      </c>
      <c r="Z121" s="7" t="str">
        <f>IF(ISBLANK(patch[[#This Row],[project]]), "",COUNTIFS($A:$A,patch[[#This Row],[number]],$S:$S, "BJ And dev",$AD:$AD, "&lt;&gt;IntegratorValidationComment"))</f>
        <v/>
      </c>
      <c r="AA121" s="7" t="str">
        <f>IF(ISBLANK(patch[[#This Row],[project]]), "",COUNTIFS($A:$A,patch[[#This Row],[number]],$S:$S, "FL And dev",$AD:$AD, "&lt;&gt;IntegratorValidationComment"))</f>
        <v/>
      </c>
      <c r="AB121" s="7" t="str">
        <f>IF(ISBLANK(patch[[#This Row],[project]]), "",COUNTIFS($A:$A,patch[[#This Row],[number]],$S:$S, "SH And dev",$AD:$AD, "&lt;&gt;IntegratorValidationComment"))</f>
        <v/>
      </c>
      <c r="AC121" s="7" t="str">
        <f>IF(OR(ISNUMBER(FIND("Review-1", patch[[#This Row],[comments]])), ISNUMBER(FIND("Approver-1", patch[[#This Row],[comments]]))), "Review-1", "")</f>
        <v>Review-1</v>
      </c>
      <c r="AD1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1" s="7">
        <f>IF(ISBLANK(patch[[#This Row],[number]]),AE120,patch[[#This Row],[ifCommon]])</f>
        <v>0</v>
      </c>
    </row>
    <row r="122" spans="1:31">
      <c r="A122" s="151">
        <v>146922</v>
      </c>
      <c r="B122" s="151"/>
      <c r="C122" s="151"/>
      <c r="D122" s="151"/>
      <c r="E122" s="151"/>
      <c r="F122" s="151"/>
      <c r="G122" s="151"/>
      <c r="H122" s="151"/>
      <c r="I122" s="151"/>
      <c r="J122" s="152">
        <v>42640.690821759257</v>
      </c>
      <c r="K122" s="151"/>
      <c r="L122" s="151" t="s">
        <v>1203</v>
      </c>
      <c r="M122" s="152">
        <v>42635.476423611108</v>
      </c>
      <c r="N122" s="151" t="s">
        <v>2450</v>
      </c>
      <c r="O122" s="151"/>
      <c r="P122" s="151"/>
      <c r="Q122" s="7" t="str">
        <f>IF(ISBLANK(patch[[#This Row],[OwnerEmail]]),Q121,patch[[#This Row],[OwnerEmail]])</f>
        <v>xi.cao@intel.com</v>
      </c>
      <c r="R122" s="7" t="str">
        <f>_xlfn.IFNA(VLOOKUP(patch[[#This Row],[tmp-owner.email]],OrgTree!$A:$K, 11, 0), "not ICG SWFW")</f>
        <v>BJ And dev</v>
      </c>
      <c r="S122" s="7" t="str">
        <f>IF(patch[[#This Row],[reviewer]]=patch[[#This Row],[tmp-owner.email]], "author", _xlfn.IFNA(VLOOKUP(patch[[#This Row],[reviewer]],OrgTree!$A:$K, 11, 0), "not ICG SWFW"))</f>
        <v>author</v>
      </c>
      <c r="T122" s="7" t="str">
        <f>IF(ISBLANK(patch[[#This Row],[mergeDate]]), "", MID(YEAR(patch[[#This Row],[mergeDate]]), 3,2)&amp;"'ww"&amp;WEEKNUM(patch[[#This Row],[mergeDate]]))</f>
        <v>16'ww40</v>
      </c>
      <c r="U122" s="7" t="str">
        <f>IF(ISBLANK(patch[[#This Row],[mergeDate]]), U121, MID(YEAR(patch[[#This Row],[mergeDate]]), 3,2)&amp;"'m"&amp;MONTH(patch[[#This Row],[mergeDate]]))</f>
        <v>16'm9</v>
      </c>
      <c r="V122" s="7" t="str">
        <f>IF(ISBLANK(patch[[#This Row],[project]]), "",SUM(patch[[#This Row],[BJ -1 num]:[SH -1 num]]))</f>
        <v/>
      </c>
      <c r="W122" s="7" t="str">
        <f>IF(ISBLANK(patch[[#This Row],[project]]), "",COUNTIFS($A:$A,patch[[#This Row],[number]],$S:$S, "BJ And dev",$AC:$AC, "Review-1"))</f>
        <v/>
      </c>
      <c r="X122" s="7" t="str">
        <f>IF(ISBLANK(patch[[#This Row],[project]]), "",COUNTIFS($A:$A,patch[[#This Row],[number]],$S:$S, "FL And dev",$AC:$AC, "Review-1"))</f>
        <v/>
      </c>
      <c r="Y122" s="7" t="str">
        <f>IF(ISBLANK(patch[[#This Row],[project]]), "",COUNTIFS($A:$A,patch[[#This Row],[number]],$S:$S, "SH And dev",$AC:$AC, "Review-1"))</f>
        <v/>
      </c>
      <c r="Z122" s="7" t="str">
        <f>IF(ISBLANK(patch[[#This Row],[project]]), "",COUNTIFS($A:$A,patch[[#This Row],[number]],$S:$S, "BJ And dev",$AD:$AD, "&lt;&gt;IntegratorValidationComment"))</f>
        <v/>
      </c>
      <c r="AA122" s="7" t="str">
        <f>IF(ISBLANK(patch[[#This Row],[project]]), "",COUNTIFS($A:$A,patch[[#This Row],[number]],$S:$S, "FL And dev",$AD:$AD, "&lt;&gt;IntegratorValidationComment"))</f>
        <v/>
      </c>
      <c r="AB122" s="7" t="str">
        <f>IF(ISBLANK(patch[[#This Row],[project]]), "",COUNTIFS($A:$A,patch[[#This Row],[number]],$S:$S, "SH And dev",$AD:$AD, "&lt;&gt;IntegratorValidationComment"))</f>
        <v/>
      </c>
      <c r="AC122" s="7" t="str">
        <f>IF(OR(ISNUMBER(FIND("Review-1", patch[[#This Row],[comments]])), ISNUMBER(FIND("Approver-1", patch[[#This Row],[comments]]))), "Review-1", "")</f>
        <v/>
      </c>
      <c r="AD1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2" s="7">
        <f>IF(ISBLANK(patch[[#This Row],[number]]),AE121,patch[[#This Row],[ifCommon]])</f>
        <v>0</v>
      </c>
    </row>
    <row r="123" spans="1:31">
      <c r="A123" s="151">
        <v>146922</v>
      </c>
      <c r="B123" s="151"/>
      <c r="C123" s="151"/>
      <c r="D123" s="151"/>
      <c r="E123" s="151"/>
      <c r="F123" s="151"/>
      <c r="G123" s="151"/>
      <c r="H123" s="151"/>
      <c r="I123" s="151"/>
      <c r="J123" s="152">
        <v>42640.690821759257</v>
      </c>
      <c r="K123" s="151"/>
      <c r="L123" s="151" t="s">
        <v>1203</v>
      </c>
      <c r="M123" s="152">
        <v>42635.476423611108</v>
      </c>
      <c r="N123" s="151" t="s">
        <v>1829</v>
      </c>
      <c r="O123" s="151"/>
      <c r="P123" s="151"/>
      <c r="Q123" s="7" t="str">
        <f>IF(ISBLANK(patch[[#This Row],[OwnerEmail]]),Q122,patch[[#This Row],[OwnerEmail]])</f>
        <v>xi.cao@intel.com</v>
      </c>
      <c r="R123" s="7" t="str">
        <f>_xlfn.IFNA(VLOOKUP(patch[[#This Row],[tmp-owner.email]],OrgTree!$A:$K, 11, 0), "not ICG SWFW")</f>
        <v>BJ And dev</v>
      </c>
      <c r="S123" s="7" t="str">
        <f>IF(patch[[#This Row],[reviewer]]=patch[[#This Row],[tmp-owner.email]], "author", _xlfn.IFNA(VLOOKUP(patch[[#This Row],[reviewer]],OrgTree!$A:$K, 11, 0), "not ICG SWFW"))</f>
        <v>author</v>
      </c>
      <c r="T123" s="7" t="str">
        <f>IF(ISBLANK(patch[[#This Row],[mergeDate]]), "", MID(YEAR(patch[[#This Row],[mergeDate]]), 3,2)&amp;"'ww"&amp;WEEKNUM(patch[[#This Row],[mergeDate]]))</f>
        <v>16'ww40</v>
      </c>
      <c r="U123" s="7" t="str">
        <f>IF(ISBLANK(patch[[#This Row],[mergeDate]]), U122, MID(YEAR(patch[[#This Row],[mergeDate]]), 3,2)&amp;"'m"&amp;MONTH(patch[[#This Row],[mergeDate]]))</f>
        <v>16'm9</v>
      </c>
      <c r="V123" s="7" t="str">
        <f>IF(ISBLANK(patch[[#This Row],[project]]), "",SUM(patch[[#This Row],[BJ -1 num]:[SH -1 num]]))</f>
        <v/>
      </c>
      <c r="W123" s="7" t="str">
        <f>IF(ISBLANK(patch[[#This Row],[project]]), "",COUNTIFS($A:$A,patch[[#This Row],[number]],$S:$S, "BJ And dev",$AC:$AC, "Review-1"))</f>
        <v/>
      </c>
      <c r="X123" s="7" t="str">
        <f>IF(ISBLANK(patch[[#This Row],[project]]), "",COUNTIFS($A:$A,patch[[#This Row],[number]],$S:$S, "FL And dev",$AC:$AC, "Review-1"))</f>
        <v/>
      </c>
      <c r="Y123" s="7" t="str">
        <f>IF(ISBLANK(patch[[#This Row],[project]]), "",COUNTIFS($A:$A,patch[[#This Row],[number]],$S:$S, "SH And dev",$AC:$AC, "Review-1"))</f>
        <v/>
      </c>
      <c r="Z123" s="7" t="str">
        <f>IF(ISBLANK(patch[[#This Row],[project]]), "",COUNTIFS($A:$A,patch[[#This Row],[number]],$S:$S, "BJ And dev",$AD:$AD, "&lt;&gt;IntegratorValidationComment"))</f>
        <v/>
      </c>
      <c r="AA123" s="7" t="str">
        <f>IF(ISBLANK(patch[[#This Row],[project]]), "",COUNTIFS($A:$A,patch[[#This Row],[number]],$S:$S, "FL And dev",$AD:$AD, "&lt;&gt;IntegratorValidationComment"))</f>
        <v/>
      </c>
      <c r="AB123" s="7" t="str">
        <f>IF(ISBLANK(patch[[#This Row],[project]]), "",COUNTIFS($A:$A,patch[[#This Row],[number]],$S:$S, "SH And dev",$AD:$AD, "&lt;&gt;IntegratorValidationComment"))</f>
        <v/>
      </c>
      <c r="AC123" s="7" t="str">
        <f>IF(OR(ISNUMBER(FIND("Review-1", patch[[#This Row],[comments]])), ISNUMBER(FIND("Approver-1", patch[[#This Row],[comments]]))), "Review-1", "")</f>
        <v/>
      </c>
      <c r="AD1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3" s="7">
        <f>IF(ISBLANK(patch[[#This Row],[number]]),AE122,patch[[#This Row],[ifCommon]])</f>
        <v>0</v>
      </c>
    </row>
    <row r="124" spans="1:31">
      <c r="A124" s="151">
        <v>146922</v>
      </c>
      <c r="B124" s="151"/>
      <c r="C124" s="151"/>
      <c r="D124" s="151"/>
      <c r="E124" s="151"/>
      <c r="F124" s="151"/>
      <c r="G124" s="151"/>
      <c r="H124" s="151"/>
      <c r="I124" s="151"/>
      <c r="J124" s="152">
        <v>42640.690821759257</v>
      </c>
      <c r="K124" s="151"/>
      <c r="L124" s="151" t="s">
        <v>59</v>
      </c>
      <c r="M124" s="152">
        <v>42635.479733796303</v>
      </c>
      <c r="N124" s="151" t="s">
        <v>2648</v>
      </c>
      <c r="O124" s="151"/>
      <c r="P124" s="151"/>
      <c r="Q124" s="7" t="str">
        <f>IF(ISBLANK(patch[[#This Row],[OwnerEmail]]),Q123,patch[[#This Row],[OwnerEmail]])</f>
        <v>xi.cao@intel.com</v>
      </c>
      <c r="R124" s="7" t="str">
        <f>_xlfn.IFNA(VLOOKUP(patch[[#This Row],[tmp-owner.email]],OrgTree!$A:$K, 11, 0), "not ICG SWFW")</f>
        <v>BJ And dev</v>
      </c>
      <c r="S124" s="7" t="str">
        <f>IF(patch[[#This Row],[reviewer]]=patch[[#This Row],[tmp-owner.email]], "author", _xlfn.IFNA(VLOOKUP(patch[[#This Row],[reviewer]],OrgTree!$A:$K, 11, 0), "not ICG SWFW"))</f>
        <v>BJ And dev</v>
      </c>
      <c r="T124" s="7" t="str">
        <f>IF(ISBLANK(patch[[#This Row],[mergeDate]]), "", MID(YEAR(patch[[#This Row],[mergeDate]]), 3,2)&amp;"'ww"&amp;WEEKNUM(patch[[#This Row],[mergeDate]]))</f>
        <v>16'ww40</v>
      </c>
      <c r="U124" s="7" t="str">
        <f>IF(ISBLANK(patch[[#This Row],[mergeDate]]), U123, MID(YEAR(patch[[#This Row],[mergeDate]]), 3,2)&amp;"'m"&amp;MONTH(patch[[#This Row],[mergeDate]]))</f>
        <v>16'm9</v>
      </c>
      <c r="V124" s="7" t="str">
        <f>IF(ISBLANK(patch[[#This Row],[project]]), "",SUM(patch[[#This Row],[BJ -1 num]:[SH -1 num]]))</f>
        <v/>
      </c>
      <c r="W124" s="7" t="str">
        <f>IF(ISBLANK(patch[[#This Row],[project]]), "",COUNTIFS($A:$A,patch[[#This Row],[number]],$S:$S, "BJ And dev",$AC:$AC, "Review-1"))</f>
        <v/>
      </c>
      <c r="X124" s="7" t="str">
        <f>IF(ISBLANK(patch[[#This Row],[project]]), "",COUNTIFS($A:$A,patch[[#This Row],[number]],$S:$S, "FL And dev",$AC:$AC, "Review-1"))</f>
        <v/>
      </c>
      <c r="Y124" s="7" t="str">
        <f>IF(ISBLANK(patch[[#This Row],[project]]), "",COUNTIFS($A:$A,patch[[#This Row],[number]],$S:$S, "SH And dev",$AC:$AC, "Review-1"))</f>
        <v/>
      </c>
      <c r="Z124" s="7" t="str">
        <f>IF(ISBLANK(patch[[#This Row],[project]]), "",COUNTIFS($A:$A,patch[[#This Row],[number]],$S:$S, "BJ And dev",$AD:$AD, "&lt;&gt;IntegratorValidationComment"))</f>
        <v/>
      </c>
      <c r="AA124" s="7" t="str">
        <f>IF(ISBLANK(patch[[#This Row],[project]]), "",COUNTIFS($A:$A,patch[[#This Row],[number]],$S:$S, "FL And dev",$AD:$AD, "&lt;&gt;IntegratorValidationComment"))</f>
        <v/>
      </c>
      <c r="AB124" s="7" t="str">
        <f>IF(ISBLANK(patch[[#This Row],[project]]), "",COUNTIFS($A:$A,patch[[#This Row],[number]],$S:$S, "SH And dev",$AD:$AD, "&lt;&gt;IntegratorValidationComment"))</f>
        <v/>
      </c>
      <c r="AC124" s="7" t="str">
        <f>IF(OR(ISNUMBER(FIND("Review-1", patch[[#This Row],[comments]])), ISNUMBER(FIND("Approver-1", patch[[#This Row],[comments]]))), "Review-1", "")</f>
        <v/>
      </c>
      <c r="AD1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4" s="7">
        <f>IF(ISBLANK(patch[[#This Row],[number]]),AE123,patch[[#This Row],[ifCommon]])</f>
        <v>0</v>
      </c>
    </row>
    <row r="125" spans="1:31">
      <c r="A125" s="151">
        <v>146922</v>
      </c>
      <c r="B125" s="151"/>
      <c r="C125" s="151"/>
      <c r="D125" s="151"/>
      <c r="E125" s="151"/>
      <c r="F125" s="151"/>
      <c r="G125" s="151"/>
      <c r="H125" s="151"/>
      <c r="I125" s="151"/>
      <c r="J125" s="152">
        <v>42640.690821759257</v>
      </c>
      <c r="K125" s="151"/>
      <c r="L125" s="151" t="s">
        <v>1203</v>
      </c>
      <c r="M125" s="152">
        <v>42635.481712962966</v>
      </c>
      <c r="N125" s="151" t="s">
        <v>48</v>
      </c>
      <c r="O125" s="151"/>
      <c r="P125" s="151"/>
      <c r="Q125" s="7" t="str">
        <f>IF(ISBLANK(patch[[#This Row],[OwnerEmail]]),Q124,patch[[#This Row],[OwnerEmail]])</f>
        <v>xi.cao@intel.com</v>
      </c>
      <c r="R125" s="7" t="str">
        <f>_xlfn.IFNA(VLOOKUP(patch[[#This Row],[tmp-owner.email]],OrgTree!$A:$K, 11, 0), "not ICG SWFW")</f>
        <v>BJ And dev</v>
      </c>
      <c r="S125" s="7" t="str">
        <f>IF(patch[[#This Row],[reviewer]]=patch[[#This Row],[tmp-owner.email]], "author", _xlfn.IFNA(VLOOKUP(patch[[#This Row],[reviewer]],OrgTree!$A:$K, 11, 0), "not ICG SWFW"))</f>
        <v>author</v>
      </c>
      <c r="T125" s="7" t="str">
        <f>IF(ISBLANK(patch[[#This Row],[mergeDate]]), "", MID(YEAR(patch[[#This Row],[mergeDate]]), 3,2)&amp;"'ww"&amp;WEEKNUM(patch[[#This Row],[mergeDate]]))</f>
        <v>16'ww40</v>
      </c>
      <c r="U125" s="7" t="str">
        <f>IF(ISBLANK(patch[[#This Row],[mergeDate]]), U124, MID(YEAR(patch[[#This Row],[mergeDate]]), 3,2)&amp;"'m"&amp;MONTH(patch[[#This Row],[mergeDate]]))</f>
        <v>16'm9</v>
      </c>
      <c r="V125" s="7" t="str">
        <f>IF(ISBLANK(patch[[#This Row],[project]]), "",SUM(patch[[#This Row],[BJ -1 num]:[SH -1 num]]))</f>
        <v/>
      </c>
      <c r="W125" s="7" t="str">
        <f>IF(ISBLANK(patch[[#This Row],[project]]), "",COUNTIFS($A:$A,patch[[#This Row],[number]],$S:$S, "BJ And dev",$AC:$AC, "Review-1"))</f>
        <v/>
      </c>
      <c r="X125" s="7" t="str">
        <f>IF(ISBLANK(patch[[#This Row],[project]]), "",COUNTIFS($A:$A,patch[[#This Row],[number]],$S:$S, "FL And dev",$AC:$AC, "Review-1"))</f>
        <v/>
      </c>
      <c r="Y125" s="7" t="str">
        <f>IF(ISBLANK(patch[[#This Row],[project]]), "",COUNTIFS($A:$A,patch[[#This Row],[number]],$S:$S, "SH And dev",$AC:$AC, "Review-1"))</f>
        <v/>
      </c>
      <c r="Z125" s="7" t="str">
        <f>IF(ISBLANK(patch[[#This Row],[project]]), "",COUNTIFS($A:$A,patch[[#This Row],[number]],$S:$S, "BJ And dev",$AD:$AD, "&lt;&gt;IntegratorValidationComment"))</f>
        <v/>
      </c>
      <c r="AA125" s="7" t="str">
        <f>IF(ISBLANK(patch[[#This Row],[project]]), "",COUNTIFS($A:$A,patch[[#This Row],[number]],$S:$S, "FL And dev",$AD:$AD, "&lt;&gt;IntegratorValidationComment"))</f>
        <v/>
      </c>
      <c r="AB125" s="7" t="str">
        <f>IF(ISBLANK(patch[[#This Row],[project]]), "",COUNTIFS($A:$A,patch[[#This Row],[number]],$S:$S, "SH And dev",$AD:$AD, "&lt;&gt;IntegratorValidationComment"))</f>
        <v/>
      </c>
      <c r="AC125" s="7" t="str">
        <f>IF(OR(ISNUMBER(FIND("Review-1", patch[[#This Row],[comments]])), ISNUMBER(FIND("Approver-1", patch[[#This Row],[comments]]))), "Review-1", "")</f>
        <v/>
      </c>
      <c r="AD1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5" s="7">
        <f>IF(ISBLANK(patch[[#This Row],[number]]),AE124,patch[[#This Row],[ifCommon]])</f>
        <v>0</v>
      </c>
    </row>
    <row r="126" spans="1:31">
      <c r="A126" s="151">
        <v>146922</v>
      </c>
      <c r="B126" s="151"/>
      <c r="C126" s="151"/>
      <c r="D126" s="151"/>
      <c r="E126" s="151"/>
      <c r="F126" s="151"/>
      <c r="G126" s="151"/>
      <c r="H126" s="151"/>
      <c r="I126" s="151"/>
      <c r="J126" s="152">
        <v>42640.690821759257</v>
      </c>
      <c r="K126" s="151"/>
      <c r="L126" s="151" t="s">
        <v>1203</v>
      </c>
      <c r="M126" s="152">
        <v>42635.481874999998</v>
      </c>
      <c r="N126" s="151" t="s">
        <v>2566</v>
      </c>
      <c r="O126" s="151"/>
      <c r="P126" s="151"/>
      <c r="Q126" s="7" t="str">
        <f>IF(ISBLANK(patch[[#This Row],[OwnerEmail]]),Q125,patch[[#This Row],[OwnerEmail]])</f>
        <v>xi.cao@intel.com</v>
      </c>
      <c r="R126" s="7" t="str">
        <f>_xlfn.IFNA(VLOOKUP(patch[[#This Row],[tmp-owner.email]],OrgTree!$A:$K, 11, 0), "not ICG SWFW")</f>
        <v>BJ And dev</v>
      </c>
      <c r="S126" s="7" t="str">
        <f>IF(patch[[#This Row],[reviewer]]=patch[[#This Row],[tmp-owner.email]], "author", _xlfn.IFNA(VLOOKUP(patch[[#This Row],[reviewer]],OrgTree!$A:$K, 11, 0), "not ICG SWFW"))</f>
        <v>author</v>
      </c>
      <c r="T126" s="7" t="str">
        <f>IF(ISBLANK(patch[[#This Row],[mergeDate]]), "", MID(YEAR(patch[[#This Row],[mergeDate]]), 3,2)&amp;"'ww"&amp;WEEKNUM(patch[[#This Row],[mergeDate]]))</f>
        <v>16'ww40</v>
      </c>
      <c r="U126" s="7" t="str">
        <f>IF(ISBLANK(patch[[#This Row],[mergeDate]]), U125, MID(YEAR(patch[[#This Row],[mergeDate]]), 3,2)&amp;"'m"&amp;MONTH(patch[[#This Row],[mergeDate]]))</f>
        <v>16'm9</v>
      </c>
      <c r="V126" s="7" t="str">
        <f>IF(ISBLANK(patch[[#This Row],[project]]), "",SUM(patch[[#This Row],[BJ -1 num]:[SH -1 num]]))</f>
        <v/>
      </c>
      <c r="W126" s="7" t="str">
        <f>IF(ISBLANK(patch[[#This Row],[project]]), "",COUNTIFS($A:$A,patch[[#This Row],[number]],$S:$S, "BJ And dev",$AC:$AC, "Review-1"))</f>
        <v/>
      </c>
      <c r="X126" s="7" t="str">
        <f>IF(ISBLANK(patch[[#This Row],[project]]), "",COUNTIFS($A:$A,patch[[#This Row],[number]],$S:$S, "FL And dev",$AC:$AC, "Review-1"))</f>
        <v/>
      </c>
      <c r="Y126" s="7" t="str">
        <f>IF(ISBLANK(patch[[#This Row],[project]]), "",COUNTIFS($A:$A,patch[[#This Row],[number]],$S:$S, "SH And dev",$AC:$AC, "Review-1"))</f>
        <v/>
      </c>
      <c r="Z126" s="7" t="str">
        <f>IF(ISBLANK(patch[[#This Row],[project]]), "",COUNTIFS($A:$A,patch[[#This Row],[number]],$S:$S, "BJ And dev",$AD:$AD, "&lt;&gt;IntegratorValidationComment"))</f>
        <v/>
      </c>
      <c r="AA126" s="7" t="str">
        <f>IF(ISBLANK(patch[[#This Row],[project]]), "",COUNTIFS($A:$A,patch[[#This Row],[number]],$S:$S, "FL And dev",$AD:$AD, "&lt;&gt;IntegratorValidationComment"))</f>
        <v/>
      </c>
      <c r="AB126" s="7" t="str">
        <f>IF(ISBLANK(patch[[#This Row],[project]]), "",COUNTIFS($A:$A,patch[[#This Row],[number]],$S:$S, "SH And dev",$AD:$AD, "&lt;&gt;IntegratorValidationComment"))</f>
        <v/>
      </c>
      <c r="AC126" s="7" t="str">
        <f>IF(OR(ISNUMBER(FIND("Review-1", patch[[#This Row],[comments]])), ISNUMBER(FIND("Approver-1", patch[[#This Row],[comments]]))), "Review-1", "")</f>
        <v/>
      </c>
      <c r="AD1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6" s="7">
        <f>IF(ISBLANK(patch[[#This Row],[number]]),AE125,patch[[#This Row],[ifCommon]])</f>
        <v>0</v>
      </c>
    </row>
    <row r="127" spans="1:31">
      <c r="A127" s="151">
        <v>146922</v>
      </c>
      <c r="B127" s="151"/>
      <c r="C127" s="151"/>
      <c r="D127" s="151"/>
      <c r="E127" s="151"/>
      <c r="F127" s="151"/>
      <c r="G127" s="151"/>
      <c r="H127" s="151"/>
      <c r="I127" s="151"/>
      <c r="J127" s="152">
        <v>42640.690821759257</v>
      </c>
      <c r="K127" s="151"/>
      <c r="L127" s="151" t="s">
        <v>59</v>
      </c>
      <c r="M127" s="152">
        <v>42635.482997685183</v>
      </c>
      <c r="N127" s="151" t="s">
        <v>2649</v>
      </c>
      <c r="O127" s="151"/>
      <c r="P127" s="151"/>
      <c r="Q127" s="7" t="str">
        <f>IF(ISBLANK(patch[[#This Row],[OwnerEmail]]),Q126,patch[[#This Row],[OwnerEmail]])</f>
        <v>xi.cao@intel.com</v>
      </c>
      <c r="R127" s="7" t="str">
        <f>_xlfn.IFNA(VLOOKUP(patch[[#This Row],[tmp-owner.email]],OrgTree!$A:$K, 11, 0), "not ICG SWFW")</f>
        <v>BJ And dev</v>
      </c>
      <c r="S127" s="7" t="str">
        <f>IF(patch[[#This Row],[reviewer]]=patch[[#This Row],[tmp-owner.email]], "author", _xlfn.IFNA(VLOOKUP(patch[[#This Row],[reviewer]],OrgTree!$A:$K, 11, 0), "not ICG SWFW"))</f>
        <v>BJ And dev</v>
      </c>
      <c r="T127" s="7" t="str">
        <f>IF(ISBLANK(patch[[#This Row],[mergeDate]]), "", MID(YEAR(patch[[#This Row],[mergeDate]]), 3,2)&amp;"'ww"&amp;WEEKNUM(patch[[#This Row],[mergeDate]]))</f>
        <v>16'ww40</v>
      </c>
      <c r="U127" s="7" t="str">
        <f>IF(ISBLANK(patch[[#This Row],[mergeDate]]), U126, MID(YEAR(patch[[#This Row],[mergeDate]]), 3,2)&amp;"'m"&amp;MONTH(patch[[#This Row],[mergeDate]]))</f>
        <v>16'm9</v>
      </c>
      <c r="V127" s="7" t="str">
        <f>IF(ISBLANK(patch[[#This Row],[project]]), "",SUM(patch[[#This Row],[BJ -1 num]:[SH -1 num]]))</f>
        <v/>
      </c>
      <c r="W127" s="7" t="str">
        <f>IF(ISBLANK(patch[[#This Row],[project]]), "",COUNTIFS($A:$A,patch[[#This Row],[number]],$S:$S, "BJ And dev",$AC:$AC, "Review-1"))</f>
        <v/>
      </c>
      <c r="X127" s="7" t="str">
        <f>IF(ISBLANK(patch[[#This Row],[project]]), "",COUNTIFS($A:$A,patch[[#This Row],[number]],$S:$S, "FL And dev",$AC:$AC, "Review-1"))</f>
        <v/>
      </c>
      <c r="Y127" s="7" t="str">
        <f>IF(ISBLANK(patch[[#This Row],[project]]), "",COUNTIFS($A:$A,patch[[#This Row],[number]],$S:$S, "SH And dev",$AC:$AC, "Review-1"))</f>
        <v/>
      </c>
      <c r="Z127" s="7" t="str">
        <f>IF(ISBLANK(patch[[#This Row],[project]]), "",COUNTIFS($A:$A,patch[[#This Row],[number]],$S:$S, "BJ And dev",$AD:$AD, "&lt;&gt;IntegratorValidationComment"))</f>
        <v/>
      </c>
      <c r="AA127" s="7" t="str">
        <f>IF(ISBLANK(patch[[#This Row],[project]]), "",COUNTIFS($A:$A,patch[[#This Row],[number]],$S:$S, "FL And dev",$AD:$AD, "&lt;&gt;IntegratorValidationComment"))</f>
        <v/>
      </c>
      <c r="AB127" s="7" t="str">
        <f>IF(ISBLANK(patch[[#This Row],[project]]), "",COUNTIFS($A:$A,patch[[#This Row],[number]],$S:$S, "SH And dev",$AD:$AD, "&lt;&gt;IntegratorValidationComment"))</f>
        <v/>
      </c>
      <c r="AC127" s="7" t="str">
        <f>IF(OR(ISNUMBER(FIND("Review-1", patch[[#This Row],[comments]])), ISNUMBER(FIND("Approver-1", patch[[#This Row],[comments]]))), "Review-1", "")</f>
        <v/>
      </c>
      <c r="AD1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7" s="7">
        <f>IF(ISBLANK(patch[[#This Row],[number]]),AE126,patch[[#This Row],[ifCommon]])</f>
        <v>0</v>
      </c>
    </row>
    <row r="128" spans="1:31">
      <c r="A128" s="151">
        <v>146922</v>
      </c>
      <c r="B128" s="151"/>
      <c r="C128" s="151"/>
      <c r="D128" s="151"/>
      <c r="E128" s="151"/>
      <c r="F128" s="151"/>
      <c r="G128" s="151"/>
      <c r="H128" s="151"/>
      <c r="I128" s="152"/>
      <c r="J128" s="152">
        <v>42640.690821759257</v>
      </c>
      <c r="K128" s="151"/>
      <c r="L128" s="151" t="s">
        <v>1203</v>
      </c>
      <c r="M128" s="152">
        <v>42635.492743055547</v>
      </c>
      <c r="N128" s="151" t="s">
        <v>49</v>
      </c>
      <c r="O128" s="151"/>
      <c r="P128" s="151"/>
      <c r="Q128" s="7" t="str">
        <f>IF(ISBLANK(patch[[#This Row],[OwnerEmail]]),Q127,patch[[#This Row],[OwnerEmail]])</f>
        <v>xi.cao@intel.com</v>
      </c>
      <c r="R128" s="7" t="str">
        <f>_xlfn.IFNA(VLOOKUP(patch[[#This Row],[tmp-owner.email]],OrgTree!$A:$K, 11, 0), "not ICG SWFW")</f>
        <v>BJ And dev</v>
      </c>
      <c r="S128" s="7" t="str">
        <f>IF(patch[[#This Row],[reviewer]]=patch[[#This Row],[tmp-owner.email]], "author", _xlfn.IFNA(VLOOKUP(patch[[#This Row],[reviewer]],OrgTree!$A:$K, 11, 0), "not ICG SWFW"))</f>
        <v>author</v>
      </c>
      <c r="T128" s="7" t="str">
        <f>IF(ISBLANK(patch[[#This Row],[mergeDate]]), "", MID(YEAR(patch[[#This Row],[mergeDate]]), 3,2)&amp;"'ww"&amp;WEEKNUM(patch[[#This Row],[mergeDate]]))</f>
        <v>16'ww40</v>
      </c>
      <c r="U128" s="7" t="str">
        <f>IF(ISBLANK(patch[[#This Row],[mergeDate]]), U127, MID(YEAR(patch[[#This Row],[mergeDate]]), 3,2)&amp;"'m"&amp;MONTH(patch[[#This Row],[mergeDate]]))</f>
        <v>16'm9</v>
      </c>
      <c r="V128" s="7" t="str">
        <f>IF(ISBLANK(patch[[#This Row],[project]]), "",SUM(patch[[#This Row],[BJ -1 num]:[SH -1 num]]))</f>
        <v/>
      </c>
      <c r="W128" s="7" t="str">
        <f>IF(ISBLANK(patch[[#This Row],[project]]), "",COUNTIFS($A:$A,patch[[#This Row],[number]],$S:$S, "BJ And dev",$AC:$AC, "Review-1"))</f>
        <v/>
      </c>
      <c r="X128" s="7" t="str">
        <f>IF(ISBLANK(patch[[#This Row],[project]]), "",COUNTIFS($A:$A,patch[[#This Row],[number]],$S:$S, "FL And dev",$AC:$AC, "Review-1"))</f>
        <v/>
      </c>
      <c r="Y128" s="7" t="str">
        <f>IF(ISBLANK(patch[[#This Row],[project]]), "",COUNTIFS($A:$A,patch[[#This Row],[number]],$S:$S, "SH And dev",$AC:$AC, "Review-1"))</f>
        <v/>
      </c>
      <c r="Z128" s="7" t="str">
        <f>IF(ISBLANK(patch[[#This Row],[project]]), "",COUNTIFS($A:$A,patch[[#This Row],[number]],$S:$S, "BJ And dev",$AD:$AD, "&lt;&gt;IntegratorValidationComment"))</f>
        <v/>
      </c>
      <c r="AA128" s="7" t="str">
        <f>IF(ISBLANK(patch[[#This Row],[project]]), "",COUNTIFS($A:$A,patch[[#This Row],[number]],$S:$S, "FL And dev",$AD:$AD, "&lt;&gt;IntegratorValidationComment"))</f>
        <v/>
      </c>
      <c r="AB128" s="7" t="str">
        <f>IF(ISBLANK(patch[[#This Row],[project]]), "",COUNTIFS($A:$A,patch[[#This Row],[number]],$S:$S, "SH And dev",$AD:$AD, "&lt;&gt;IntegratorValidationComment"))</f>
        <v/>
      </c>
      <c r="AC128" s="7" t="str">
        <f>IF(OR(ISNUMBER(FIND("Review-1", patch[[#This Row],[comments]])), ISNUMBER(FIND("Approver-1", patch[[#This Row],[comments]]))), "Review-1", "")</f>
        <v/>
      </c>
      <c r="AD1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8" s="7">
        <f>IF(ISBLANK(patch[[#This Row],[number]]),AE127,patch[[#This Row],[ifCommon]])</f>
        <v>0</v>
      </c>
    </row>
    <row r="129" spans="1:31">
      <c r="A129" s="151">
        <v>146922</v>
      </c>
      <c r="B129" s="151"/>
      <c r="C129" s="151"/>
      <c r="D129" s="151"/>
      <c r="E129" s="151"/>
      <c r="F129" s="151"/>
      <c r="G129" s="151"/>
      <c r="H129" s="151"/>
      <c r="I129" s="151"/>
      <c r="J129" s="152">
        <v>42640.690821759257</v>
      </c>
      <c r="K129" s="151"/>
      <c r="L129" s="151" t="s">
        <v>1203</v>
      </c>
      <c r="M129" s="152">
        <v>42635.492743055547</v>
      </c>
      <c r="N129" s="151" t="s">
        <v>2451</v>
      </c>
      <c r="O129" s="151"/>
      <c r="P129" s="151"/>
      <c r="Q129" s="7" t="str">
        <f>IF(ISBLANK(patch[[#This Row],[OwnerEmail]]),Q128,patch[[#This Row],[OwnerEmail]])</f>
        <v>xi.cao@intel.com</v>
      </c>
      <c r="R129" s="7" t="str">
        <f>_xlfn.IFNA(VLOOKUP(patch[[#This Row],[tmp-owner.email]],OrgTree!$A:$K, 11, 0), "not ICG SWFW")</f>
        <v>BJ And dev</v>
      </c>
      <c r="S129" s="7" t="str">
        <f>IF(patch[[#This Row],[reviewer]]=patch[[#This Row],[tmp-owner.email]], "author", _xlfn.IFNA(VLOOKUP(patch[[#This Row],[reviewer]],OrgTree!$A:$K, 11, 0), "not ICG SWFW"))</f>
        <v>author</v>
      </c>
      <c r="T129" s="7" t="str">
        <f>IF(ISBLANK(patch[[#This Row],[mergeDate]]), "", MID(YEAR(patch[[#This Row],[mergeDate]]), 3,2)&amp;"'ww"&amp;WEEKNUM(patch[[#This Row],[mergeDate]]))</f>
        <v>16'ww40</v>
      </c>
      <c r="U129" s="7" t="str">
        <f>IF(ISBLANK(patch[[#This Row],[mergeDate]]), U128, MID(YEAR(patch[[#This Row],[mergeDate]]), 3,2)&amp;"'m"&amp;MONTH(patch[[#This Row],[mergeDate]]))</f>
        <v>16'm9</v>
      </c>
      <c r="V129" s="7" t="str">
        <f>IF(ISBLANK(patch[[#This Row],[project]]), "",SUM(patch[[#This Row],[BJ -1 num]:[SH -1 num]]))</f>
        <v/>
      </c>
      <c r="W129" s="7" t="str">
        <f>IF(ISBLANK(patch[[#This Row],[project]]), "",COUNTIFS($A:$A,patch[[#This Row],[number]],$S:$S, "BJ And dev",$AC:$AC, "Review-1"))</f>
        <v/>
      </c>
      <c r="X129" s="7" t="str">
        <f>IF(ISBLANK(patch[[#This Row],[project]]), "",COUNTIFS($A:$A,patch[[#This Row],[number]],$S:$S, "FL And dev",$AC:$AC, "Review-1"))</f>
        <v/>
      </c>
      <c r="Y129" s="7" t="str">
        <f>IF(ISBLANK(patch[[#This Row],[project]]), "",COUNTIFS($A:$A,patch[[#This Row],[number]],$S:$S, "SH And dev",$AC:$AC, "Review-1"))</f>
        <v/>
      </c>
      <c r="Z129" s="7" t="str">
        <f>IF(ISBLANK(patch[[#This Row],[project]]), "",COUNTIFS($A:$A,patch[[#This Row],[number]],$S:$S, "BJ And dev",$AD:$AD, "&lt;&gt;IntegratorValidationComment"))</f>
        <v/>
      </c>
      <c r="AA129" s="7" t="str">
        <f>IF(ISBLANK(patch[[#This Row],[project]]), "",COUNTIFS($A:$A,patch[[#This Row],[number]],$S:$S, "FL And dev",$AD:$AD, "&lt;&gt;IntegratorValidationComment"))</f>
        <v/>
      </c>
      <c r="AB129" s="7" t="str">
        <f>IF(ISBLANK(patch[[#This Row],[project]]), "",COUNTIFS($A:$A,patch[[#This Row],[number]],$S:$S, "SH And dev",$AD:$AD, "&lt;&gt;IntegratorValidationComment"))</f>
        <v/>
      </c>
      <c r="AC129" s="7" t="str">
        <f>IF(OR(ISNUMBER(FIND("Review-1", patch[[#This Row],[comments]])), ISNUMBER(FIND("Approver-1", patch[[#This Row],[comments]]))), "Review-1", "")</f>
        <v/>
      </c>
      <c r="AD1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9" s="7">
        <f>IF(ISBLANK(patch[[#This Row],[number]]),AE128,patch[[#This Row],[ifCommon]])</f>
        <v>0</v>
      </c>
    </row>
    <row r="130" spans="1:31">
      <c r="A130" s="151">
        <v>146922</v>
      </c>
      <c r="B130" s="151"/>
      <c r="C130" s="151"/>
      <c r="D130" s="151"/>
      <c r="E130" s="151"/>
      <c r="F130" s="151"/>
      <c r="G130" s="151"/>
      <c r="H130" s="151"/>
      <c r="I130" s="151"/>
      <c r="J130" s="152">
        <v>42640.690821759257</v>
      </c>
      <c r="K130" s="151"/>
      <c r="L130" s="151" t="s">
        <v>59</v>
      </c>
      <c r="M130" s="152">
        <v>42635.493657407409</v>
      </c>
      <c r="N130" s="151" t="s">
        <v>2650</v>
      </c>
      <c r="O130" s="151"/>
      <c r="P130" s="151"/>
      <c r="Q130" s="7" t="str">
        <f>IF(ISBLANK(patch[[#This Row],[OwnerEmail]]),Q129,patch[[#This Row],[OwnerEmail]])</f>
        <v>xi.cao@intel.com</v>
      </c>
      <c r="R130" s="7" t="str">
        <f>_xlfn.IFNA(VLOOKUP(patch[[#This Row],[tmp-owner.email]],OrgTree!$A:$K, 11, 0), "not ICG SWFW")</f>
        <v>BJ And dev</v>
      </c>
      <c r="S130" s="7" t="str">
        <f>IF(patch[[#This Row],[reviewer]]=patch[[#This Row],[tmp-owner.email]], "author", _xlfn.IFNA(VLOOKUP(patch[[#This Row],[reviewer]],OrgTree!$A:$K, 11, 0), "not ICG SWFW"))</f>
        <v>BJ And dev</v>
      </c>
      <c r="T130" s="7" t="str">
        <f>IF(ISBLANK(patch[[#This Row],[mergeDate]]), "", MID(YEAR(patch[[#This Row],[mergeDate]]), 3,2)&amp;"'ww"&amp;WEEKNUM(patch[[#This Row],[mergeDate]]))</f>
        <v>16'ww40</v>
      </c>
      <c r="U130" s="7" t="str">
        <f>IF(ISBLANK(patch[[#This Row],[mergeDate]]), U129, MID(YEAR(patch[[#This Row],[mergeDate]]), 3,2)&amp;"'m"&amp;MONTH(patch[[#This Row],[mergeDate]]))</f>
        <v>16'm9</v>
      </c>
      <c r="V130" s="7" t="str">
        <f>IF(ISBLANK(patch[[#This Row],[project]]), "",SUM(patch[[#This Row],[BJ -1 num]:[SH -1 num]]))</f>
        <v/>
      </c>
      <c r="W130" s="7" t="str">
        <f>IF(ISBLANK(patch[[#This Row],[project]]), "",COUNTIFS($A:$A,patch[[#This Row],[number]],$S:$S, "BJ And dev",$AC:$AC, "Review-1"))</f>
        <v/>
      </c>
      <c r="X130" s="7" t="str">
        <f>IF(ISBLANK(patch[[#This Row],[project]]), "",COUNTIFS($A:$A,patch[[#This Row],[number]],$S:$S, "FL And dev",$AC:$AC, "Review-1"))</f>
        <v/>
      </c>
      <c r="Y130" s="7" t="str">
        <f>IF(ISBLANK(patch[[#This Row],[project]]), "",COUNTIFS($A:$A,patch[[#This Row],[number]],$S:$S, "SH And dev",$AC:$AC, "Review-1"))</f>
        <v/>
      </c>
      <c r="Z130" s="7" t="str">
        <f>IF(ISBLANK(patch[[#This Row],[project]]), "",COUNTIFS($A:$A,patch[[#This Row],[number]],$S:$S, "BJ And dev",$AD:$AD, "&lt;&gt;IntegratorValidationComment"))</f>
        <v/>
      </c>
      <c r="AA130" s="7" t="str">
        <f>IF(ISBLANK(patch[[#This Row],[project]]), "",COUNTIFS($A:$A,patch[[#This Row],[number]],$S:$S, "FL And dev",$AD:$AD, "&lt;&gt;IntegratorValidationComment"))</f>
        <v/>
      </c>
      <c r="AB130" s="7" t="str">
        <f>IF(ISBLANK(patch[[#This Row],[project]]), "",COUNTIFS($A:$A,patch[[#This Row],[number]],$S:$S, "SH And dev",$AD:$AD, "&lt;&gt;IntegratorValidationComment"))</f>
        <v/>
      </c>
      <c r="AC130" s="7" t="str">
        <f>IF(OR(ISNUMBER(FIND("Review-1", patch[[#This Row],[comments]])), ISNUMBER(FIND("Approver-1", patch[[#This Row],[comments]]))), "Review-1", "")</f>
        <v/>
      </c>
      <c r="AD1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0" s="7">
        <f>IF(ISBLANK(patch[[#This Row],[number]]),AE129,patch[[#This Row],[ifCommon]])</f>
        <v>0</v>
      </c>
    </row>
    <row r="131" spans="1:31">
      <c r="A131" s="151">
        <v>146922</v>
      </c>
      <c r="B131" s="151"/>
      <c r="C131" s="151"/>
      <c r="D131" s="151"/>
      <c r="E131" s="151"/>
      <c r="F131" s="151"/>
      <c r="G131" s="151"/>
      <c r="H131" s="151"/>
      <c r="I131" s="151"/>
      <c r="J131" s="152">
        <v>42640.690821759257</v>
      </c>
      <c r="K131" s="151"/>
      <c r="L131" s="151" t="s">
        <v>59</v>
      </c>
      <c r="M131" s="152">
        <v>42635.497071759259</v>
      </c>
      <c r="N131" s="151" t="s">
        <v>2651</v>
      </c>
      <c r="O131" s="151"/>
      <c r="P131" s="151"/>
      <c r="Q131" s="7" t="str">
        <f>IF(ISBLANK(patch[[#This Row],[OwnerEmail]]),Q130,patch[[#This Row],[OwnerEmail]])</f>
        <v>xi.cao@intel.com</v>
      </c>
      <c r="R131" s="7" t="str">
        <f>_xlfn.IFNA(VLOOKUP(patch[[#This Row],[tmp-owner.email]],OrgTree!$A:$K, 11, 0), "not ICG SWFW")</f>
        <v>BJ And dev</v>
      </c>
      <c r="S131" s="7" t="str">
        <f>IF(patch[[#This Row],[reviewer]]=patch[[#This Row],[tmp-owner.email]], "author", _xlfn.IFNA(VLOOKUP(patch[[#This Row],[reviewer]],OrgTree!$A:$K, 11, 0), "not ICG SWFW"))</f>
        <v>BJ And dev</v>
      </c>
      <c r="T131" s="7" t="str">
        <f>IF(ISBLANK(patch[[#This Row],[mergeDate]]), "", MID(YEAR(patch[[#This Row],[mergeDate]]), 3,2)&amp;"'ww"&amp;WEEKNUM(patch[[#This Row],[mergeDate]]))</f>
        <v>16'ww40</v>
      </c>
      <c r="U131" s="7" t="str">
        <f>IF(ISBLANK(patch[[#This Row],[mergeDate]]), U130, MID(YEAR(patch[[#This Row],[mergeDate]]), 3,2)&amp;"'m"&amp;MONTH(patch[[#This Row],[mergeDate]]))</f>
        <v>16'm9</v>
      </c>
      <c r="V131" s="7" t="str">
        <f>IF(ISBLANK(patch[[#This Row],[project]]), "",SUM(patch[[#This Row],[BJ -1 num]:[SH -1 num]]))</f>
        <v/>
      </c>
      <c r="W131" s="7" t="str">
        <f>IF(ISBLANK(patch[[#This Row],[project]]), "",COUNTIFS($A:$A,patch[[#This Row],[number]],$S:$S, "BJ And dev",$AC:$AC, "Review-1"))</f>
        <v/>
      </c>
      <c r="X131" s="7" t="str">
        <f>IF(ISBLANK(patch[[#This Row],[project]]), "",COUNTIFS($A:$A,patch[[#This Row],[number]],$S:$S, "FL And dev",$AC:$AC, "Review-1"))</f>
        <v/>
      </c>
      <c r="Y131" s="7" t="str">
        <f>IF(ISBLANK(patch[[#This Row],[project]]), "",COUNTIFS($A:$A,patch[[#This Row],[number]],$S:$S, "SH And dev",$AC:$AC, "Review-1"))</f>
        <v/>
      </c>
      <c r="Z131" s="7" t="str">
        <f>IF(ISBLANK(patch[[#This Row],[project]]), "",COUNTIFS($A:$A,patch[[#This Row],[number]],$S:$S, "BJ And dev",$AD:$AD, "&lt;&gt;IntegratorValidationComment"))</f>
        <v/>
      </c>
      <c r="AA131" s="7" t="str">
        <f>IF(ISBLANK(patch[[#This Row],[project]]), "",COUNTIFS($A:$A,patch[[#This Row],[number]],$S:$S, "FL And dev",$AD:$AD, "&lt;&gt;IntegratorValidationComment"))</f>
        <v/>
      </c>
      <c r="AB131" s="7" t="str">
        <f>IF(ISBLANK(patch[[#This Row],[project]]), "",COUNTIFS($A:$A,patch[[#This Row],[number]],$S:$S, "SH And dev",$AD:$AD, "&lt;&gt;IntegratorValidationComment"))</f>
        <v/>
      </c>
      <c r="AC131" s="7" t="str">
        <f>IF(OR(ISNUMBER(FIND("Review-1", patch[[#This Row],[comments]])), ISNUMBER(FIND("Approver-1", patch[[#This Row],[comments]]))), "Review-1", "")</f>
        <v/>
      </c>
      <c r="AD1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1" s="7">
        <f>IF(ISBLANK(patch[[#This Row],[number]]),AE130,patch[[#This Row],[ifCommon]])</f>
        <v>0</v>
      </c>
    </row>
    <row r="132" spans="1:31">
      <c r="A132" s="151">
        <v>146922</v>
      </c>
      <c r="B132" s="151"/>
      <c r="C132" s="151"/>
      <c r="D132" s="151"/>
      <c r="E132" s="151"/>
      <c r="F132" s="151"/>
      <c r="G132" s="151"/>
      <c r="H132" s="151"/>
      <c r="I132" s="151"/>
      <c r="J132" s="152">
        <v>42640.690821759257</v>
      </c>
      <c r="K132" s="151"/>
      <c r="L132" s="151" t="s">
        <v>1203</v>
      </c>
      <c r="M132" s="152">
        <v>42635.505208333343</v>
      </c>
      <c r="N132" s="151" t="s">
        <v>2453</v>
      </c>
      <c r="O132" s="151"/>
      <c r="P132" s="151"/>
      <c r="Q132" s="7" t="str">
        <f>IF(ISBLANK(patch[[#This Row],[OwnerEmail]]),Q131,patch[[#This Row],[OwnerEmail]])</f>
        <v>xi.cao@intel.com</v>
      </c>
      <c r="R132" s="7" t="str">
        <f>_xlfn.IFNA(VLOOKUP(patch[[#This Row],[tmp-owner.email]],OrgTree!$A:$K, 11, 0), "not ICG SWFW")</f>
        <v>BJ And dev</v>
      </c>
      <c r="S132" s="7" t="str">
        <f>IF(patch[[#This Row],[reviewer]]=patch[[#This Row],[tmp-owner.email]], "author", _xlfn.IFNA(VLOOKUP(patch[[#This Row],[reviewer]],OrgTree!$A:$K, 11, 0), "not ICG SWFW"))</f>
        <v>author</v>
      </c>
      <c r="T132" s="7" t="str">
        <f>IF(ISBLANK(patch[[#This Row],[mergeDate]]), "", MID(YEAR(patch[[#This Row],[mergeDate]]), 3,2)&amp;"'ww"&amp;WEEKNUM(patch[[#This Row],[mergeDate]]))</f>
        <v>16'ww40</v>
      </c>
      <c r="U132" s="7" t="str">
        <f>IF(ISBLANK(patch[[#This Row],[mergeDate]]), U131, MID(YEAR(patch[[#This Row],[mergeDate]]), 3,2)&amp;"'m"&amp;MONTH(patch[[#This Row],[mergeDate]]))</f>
        <v>16'm9</v>
      </c>
      <c r="V132" s="7" t="str">
        <f>IF(ISBLANK(patch[[#This Row],[project]]), "",SUM(patch[[#This Row],[BJ -1 num]:[SH -1 num]]))</f>
        <v/>
      </c>
      <c r="W132" s="7" t="str">
        <f>IF(ISBLANK(patch[[#This Row],[project]]), "",COUNTIFS($A:$A,patch[[#This Row],[number]],$S:$S, "BJ And dev",$AC:$AC, "Review-1"))</f>
        <v/>
      </c>
      <c r="X132" s="7" t="str">
        <f>IF(ISBLANK(patch[[#This Row],[project]]), "",COUNTIFS($A:$A,patch[[#This Row],[number]],$S:$S, "FL And dev",$AC:$AC, "Review-1"))</f>
        <v/>
      </c>
      <c r="Y132" s="7" t="str">
        <f>IF(ISBLANK(patch[[#This Row],[project]]), "",COUNTIFS($A:$A,patch[[#This Row],[number]],$S:$S, "SH And dev",$AC:$AC, "Review-1"))</f>
        <v/>
      </c>
      <c r="Z132" s="7" t="str">
        <f>IF(ISBLANK(patch[[#This Row],[project]]), "",COUNTIFS($A:$A,patch[[#This Row],[number]],$S:$S, "BJ And dev",$AD:$AD, "&lt;&gt;IntegratorValidationComment"))</f>
        <v/>
      </c>
      <c r="AA132" s="7" t="str">
        <f>IF(ISBLANK(patch[[#This Row],[project]]), "",COUNTIFS($A:$A,patch[[#This Row],[number]],$S:$S, "FL And dev",$AD:$AD, "&lt;&gt;IntegratorValidationComment"))</f>
        <v/>
      </c>
      <c r="AB132" s="7" t="str">
        <f>IF(ISBLANK(patch[[#This Row],[project]]), "",COUNTIFS($A:$A,patch[[#This Row],[number]],$S:$S, "SH And dev",$AD:$AD, "&lt;&gt;IntegratorValidationComment"))</f>
        <v/>
      </c>
      <c r="AC132" s="7" t="str">
        <f>IF(OR(ISNUMBER(FIND("Review-1", patch[[#This Row],[comments]])), ISNUMBER(FIND("Approver-1", patch[[#This Row],[comments]]))), "Review-1", "")</f>
        <v/>
      </c>
      <c r="AD1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2" s="7">
        <f>IF(ISBLANK(patch[[#This Row],[number]]),AE131,patch[[#This Row],[ifCommon]])</f>
        <v>0</v>
      </c>
    </row>
    <row r="133" spans="1:31">
      <c r="A133" s="151">
        <v>146922</v>
      </c>
      <c r="B133" s="151"/>
      <c r="C133" s="151"/>
      <c r="D133" s="151"/>
      <c r="E133" s="151"/>
      <c r="F133" s="151"/>
      <c r="G133" s="151"/>
      <c r="H133" s="151"/>
      <c r="I133" s="151"/>
      <c r="J133" s="152">
        <v>42640.690821759257</v>
      </c>
      <c r="K133" s="151"/>
      <c r="L133" s="151" t="s">
        <v>1203</v>
      </c>
      <c r="M133" s="152">
        <v>42635.505208333343</v>
      </c>
      <c r="N133" s="151" t="s">
        <v>2527</v>
      </c>
      <c r="O133" s="151"/>
      <c r="P133" s="151"/>
      <c r="Q133" s="7" t="str">
        <f>IF(ISBLANK(patch[[#This Row],[OwnerEmail]]),Q132,patch[[#This Row],[OwnerEmail]])</f>
        <v>xi.cao@intel.com</v>
      </c>
      <c r="R133" s="7" t="str">
        <f>_xlfn.IFNA(VLOOKUP(patch[[#This Row],[tmp-owner.email]],OrgTree!$A:$K, 11, 0), "not ICG SWFW")</f>
        <v>BJ And dev</v>
      </c>
      <c r="S133" s="7" t="str">
        <f>IF(patch[[#This Row],[reviewer]]=patch[[#This Row],[tmp-owner.email]], "author", _xlfn.IFNA(VLOOKUP(patch[[#This Row],[reviewer]],OrgTree!$A:$K, 11, 0), "not ICG SWFW"))</f>
        <v>author</v>
      </c>
      <c r="T133" s="7" t="str">
        <f>IF(ISBLANK(patch[[#This Row],[mergeDate]]), "", MID(YEAR(patch[[#This Row],[mergeDate]]), 3,2)&amp;"'ww"&amp;WEEKNUM(patch[[#This Row],[mergeDate]]))</f>
        <v>16'ww40</v>
      </c>
      <c r="U133" s="7" t="str">
        <f>IF(ISBLANK(patch[[#This Row],[mergeDate]]), U132, MID(YEAR(patch[[#This Row],[mergeDate]]), 3,2)&amp;"'m"&amp;MONTH(patch[[#This Row],[mergeDate]]))</f>
        <v>16'm9</v>
      </c>
      <c r="V133" s="7" t="str">
        <f>IF(ISBLANK(patch[[#This Row],[project]]), "",SUM(patch[[#This Row],[BJ -1 num]:[SH -1 num]]))</f>
        <v/>
      </c>
      <c r="W133" s="7" t="str">
        <f>IF(ISBLANK(patch[[#This Row],[project]]), "",COUNTIFS($A:$A,patch[[#This Row],[number]],$S:$S, "BJ And dev",$AC:$AC, "Review-1"))</f>
        <v/>
      </c>
      <c r="X133" s="7" t="str">
        <f>IF(ISBLANK(patch[[#This Row],[project]]), "",COUNTIFS($A:$A,patch[[#This Row],[number]],$S:$S, "FL And dev",$AC:$AC, "Review-1"))</f>
        <v/>
      </c>
      <c r="Y133" s="7" t="str">
        <f>IF(ISBLANK(patch[[#This Row],[project]]), "",COUNTIFS($A:$A,patch[[#This Row],[number]],$S:$S, "SH And dev",$AC:$AC, "Review-1"))</f>
        <v/>
      </c>
      <c r="Z133" s="7" t="str">
        <f>IF(ISBLANK(patch[[#This Row],[project]]), "",COUNTIFS($A:$A,patch[[#This Row],[number]],$S:$S, "BJ And dev",$AD:$AD, "&lt;&gt;IntegratorValidationComment"))</f>
        <v/>
      </c>
      <c r="AA133" s="7" t="str">
        <f>IF(ISBLANK(patch[[#This Row],[project]]), "",COUNTIFS($A:$A,patch[[#This Row],[number]],$S:$S, "FL And dev",$AD:$AD, "&lt;&gt;IntegratorValidationComment"))</f>
        <v/>
      </c>
      <c r="AB133" s="7" t="str">
        <f>IF(ISBLANK(patch[[#This Row],[project]]), "",COUNTIFS($A:$A,patch[[#This Row],[number]],$S:$S, "SH And dev",$AD:$AD, "&lt;&gt;IntegratorValidationComment"))</f>
        <v/>
      </c>
      <c r="AC133" s="7" t="str">
        <f>IF(OR(ISNUMBER(FIND("Review-1", patch[[#This Row],[comments]])), ISNUMBER(FIND("Approver-1", patch[[#This Row],[comments]]))), "Review-1", "")</f>
        <v/>
      </c>
      <c r="AD1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3" s="7">
        <f>IF(ISBLANK(patch[[#This Row],[number]]),AE132,patch[[#This Row],[ifCommon]])</f>
        <v>0</v>
      </c>
    </row>
    <row r="134" spans="1:31">
      <c r="A134" s="151">
        <v>146922</v>
      </c>
      <c r="B134" s="151"/>
      <c r="C134" s="151"/>
      <c r="D134" s="151"/>
      <c r="E134" s="151"/>
      <c r="F134" s="151"/>
      <c r="G134" s="151"/>
      <c r="H134" s="151"/>
      <c r="I134" s="151"/>
      <c r="J134" s="152">
        <v>42640.690821759257</v>
      </c>
      <c r="K134" s="151"/>
      <c r="L134" s="151" t="s">
        <v>32</v>
      </c>
      <c r="M134" s="152">
        <v>42635.507152777784</v>
      </c>
      <c r="N134" s="151" t="s">
        <v>2652</v>
      </c>
      <c r="O134" s="151" t="s">
        <v>2653</v>
      </c>
      <c r="P134" s="151"/>
      <c r="Q134" s="7" t="str">
        <f>IF(ISBLANK(patch[[#This Row],[OwnerEmail]]),Q133,patch[[#This Row],[OwnerEmail]])</f>
        <v>xi.cao@intel.com</v>
      </c>
      <c r="R134" s="7" t="str">
        <f>_xlfn.IFNA(VLOOKUP(patch[[#This Row],[tmp-owner.email]],OrgTree!$A:$K, 11, 0), "not ICG SWFW")</f>
        <v>BJ And dev</v>
      </c>
      <c r="S134" s="7" t="str">
        <f>IF(patch[[#This Row],[reviewer]]=patch[[#This Row],[tmp-owner.email]], "author", _xlfn.IFNA(VLOOKUP(patch[[#This Row],[reviewer]],OrgTree!$A:$K, 11, 0), "not ICG SWFW"))</f>
        <v>BJ And dev</v>
      </c>
      <c r="T134" s="7" t="str">
        <f>IF(ISBLANK(patch[[#This Row],[mergeDate]]), "", MID(YEAR(patch[[#This Row],[mergeDate]]), 3,2)&amp;"'ww"&amp;WEEKNUM(patch[[#This Row],[mergeDate]]))</f>
        <v>16'ww40</v>
      </c>
      <c r="U134" s="7" t="str">
        <f>IF(ISBLANK(patch[[#This Row],[mergeDate]]), U133, MID(YEAR(patch[[#This Row],[mergeDate]]), 3,2)&amp;"'m"&amp;MONTH(patch[[#This Row],[mergeDate]]))</f>
        <v>16'm9</v>
      </c>
      <c r="V134" s="7" t="str">
        <f>IF(ISBLANK(patch[[#This Row],[project]]), "",SUM(patch[[#This Row],[BJ -1 num]:[SH -1 num]]))</f>
        <v/>
      </c>
      <c r="W134" s="7" t="str">
        <f>IF(ISBLANK(patch[[#This Row],[project]]), "",COUNTIFS($A:$A,patch[[#This Row],[number]],$S:$S, "BJ And dev",$AC:$AC, "Review-1"))</f>
        <v/>
      </c>
      <c r="X134" s="7" t="str">
        <f>IF(ISBLANK(patch[[#This Row],[project]]), "",COUNTIFS($A:$A,patch[[#This Row],[number]],$S:$S, "FL And dev",$AC:$AC, "Review-1"))</f>
        <v/>
      </c>
      <c r="Y134" s="7" t="str">
        <f>IF(ISBLANK(patch[[#This Row],[project]]), "",COUNTIFS($A:$A,patch[[#This Row],[number]],$S:$S, "SH And dev",$AC:$AC, "Review-1"))</f>
        <v/>
      </c>
      <c r="Z134" s="7" t="str">
        <f>IF(ISBLANK(patch[[#This Row],[project]]), "",COUNTIFS($A:$A,patch[[#This Row],[number]],$S:$S, "BJ And dev",$AD:$AD, "&lt;&gt;IntegratorValidationComment"))</f>
        <v/>
      </c>
      <c r="AA134" s="7" t="str">
        <f>IF(ISBLANK(patch[[#This Row],[project]]), "",COUNTIFS($A:$A,patch[[#This Row],[number]],$S:$S, "FL And dev",$AD:$AD, "&lt;&gt;IntegratorValidationComment"))</f>
        <v/>
      </c>
      <c r="AB134" s="7" t="str">
        <f>IF(ISBLANK(patch[[#This Row],[project]]), "",COUNTIFS($A:$A,patch[[#This Row],[number]],$S:$S, "SH And dev",$AD:$AD, "&lt;&gt;IntegratorValidationComment"))</f>
        <v/>
      </c>
      <c r="AC134" s="7" t="str">
        <f>IF(OR(ISNUMBER(FIND("Review-1", patch[[#This Row],[comments]])), ISNUMBER(FIND("Approver-1", patch[[#This Row],[comments]]))), "Review-1", "")</f>
        <v/>
      </c>
      <c r="AD1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4" s="7">
        <f>IF(ISBLANK(patch[[#This Row],[number]]),AE133,patch[[#This Row],[ifCommon]])</f>
        <v>0</v>
      </c>
    </row>
    <row r="135" spans="1:31">
      <c r="A135" s="151">
        <v>146922</v>
      </c>
      <c r="B135" s="151"/>
      <c r="C135" s="151"/>
      <c r="D135" s="151"/>
      <c r="E135" s="151"/>
      <c r="F135" s="151"/>
      <c r="G135" s="151"/>
      <c r="H135" s="151"/>
      <c r="I135" s="151"/>
      <c r="J135" s="152">
        <v>42640.690821759257</v>
      </c>
      <c r="K135" s="151"/>
      <c r="L135" s="151" t="s">
        <v>59</v>
      </c>
      <c r="M135" s="152">
        <v>42635.507430555554</v>
      </c>
      <c r="N135" s="151" t="s">
        <v>2654</v>
      </c>
      <c r="O135" s="151"/>
      <c r="P135" s="151"/>
      <c r="Q135" s="7" t="str">
        <f>IF(ISBLANK(patch[[#This Row],[OwnerEmail]]),Q134,patch[[#This Row],[OwnerEmail]])</f>
        <v>xi.cao@intel.com</v>
      </c>
      <c r="R135" s="7" t="str">
        <f>_xlfn.IFNA(VLOOKUP(patch[[#This Row],[tmp-owner.email]],OrgTree!$A:$K, 11, 0), "not ICG SWFW")</f>
        <v>BJ And dev</v>
      </c>
      <c r="S135" s="7" t="str">
        <f>IF(patch[[#This Row],[reviewer]]=patch[[#This Row],[tmp-owner.email]], "author", _xlfn.IFNA(VLOOKUP(patch[[#This Row],[reviewer]],OrgTree!$A:$K, 11, 0), "not ICG SWFW"))</f>
        <v>BJ And dev</v>
      </c>
      <c r="T135" s="7" t="str">
        <f>IF(ISBLANK(patch[[#This Row],[mergeDate]]), "", MID(YEAR(patch[[#This Row],[mergeDate]]), 3,2)&amp;"'ww"&amp;WEEKNUM(patch[[#This Row],[mergeDate]]))</f>
        <v>16'ww40</v>
      </c>
      <c r="U135" s="7" t="str">
        <f>IF(ISBLANK(patch[[#This Row],[mergeDate]]), U134, MID(YEAR(patch[[#This Row],[mergeDate]]), 3,2)&amp;"'m"&amp;MONTH(patch[[#This Row],[mergeDate]]))</f>
        <v>16'm9</v>
      </c>
      <c r="V135" s="7" t="str">
        <f>IF(ISBLANK(patch[[#This Row],[project]]), "",SUM(patch[[#This Row],[BJ -1 num]:[SH -1 num]]))</f>
        <v/>
      </c>
      <c r="W135" s="7" t="str">
        <f>IF(ISBLANK(patch[[#This Row],[project]]), "",COUNTIFS($A:$A,patch[[#This Row],[number]],$S:$S, "BJ And dev",$AC:$AC, "Review-1"))</f>
        <v/>
      </c>
      <c r="X135" s="7" t="str">
        <f>IF(ISBLANK(patch[[#This Row],[project]]), "",COUNTIFS($A:$A,patch[[#This Row],[number]],$S:$S, "FL And dev",$AC:$AC, "Review-1"))</f>
        <v/>
      </c>
      <c r="Y135" s="7" t="str">
        <f>IF(ISBLANK(patch[[#This Row],[project]]), "",COUNTIFS($A:$A,patch[[#This Row],[number]],$S:$S, "SH And dev",$AC:$AC, "Review-1"))</f>
        <v/>
      </c>
      <c r="Z135" s="7" t="str">
        <f>IF(ISBLANK(patch[[#This Row],[project]]), "",COUNTIFS($A:$A,patch[[#This Row],[number]],$S:$S, "BJ And dev",$AD:$AD, "&lt;&gt;IntegratorValidationComment"))</f>
        <v/>
      </c>
      <c r="AA135" s="7" t="str">
        <f>IF(ISBLANK(patch[[#This Row],[project]]), "",COUNTIFS($A:$A,patch[[#This Row],[number]],$S:$S, "FL And dev",$AD:$AD, "&lt;&gt;IntegratorValidationComment"))</f>
        <v/>
      </c>
      <c r="AB135" s="7" t="str">
        <f>IF(ISBLANK(patch[[#This Row],[project]]), "",COUNTIFS($A:$A,patch[[#This Row],[number]],$S:$S, "SH And dev",$AD:$AD, "&lt;&gt;IntegratorValidationComment"))</f>
        <v/>
      </c>
      <c r="AC135" s="7" t="str">
        <f>IF(OR(ISNUMBER(FIND("Review-1", patch[[#This Row],[comments]])), ISNUMBER(FIND("Approver-1", patch[[#This Row],[comments]]))), "Review-1", "")</f>
        <v/>
      </c>
      <c r="AD1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5" s="7">
        <f>IF(ISBLANK(patch[[#This Row],[number]]),AE134,patch[[#This Row],[ifCommon]])</f>
        <v>0</v>
      </c>
    </row>
    <row r="136" spans="1:31">
      <c r="A136" s="151">
        <v>146922</v>
      </c>
      <c r="B136" s="151"/>
      <c r="C136" s="151"/>
      <c r="D136" s="151"/>
      <c r="E136" s="151"/>
      <c r="F136" s="151"/>
      <c r="G136" s="151"/>
      <c r="H136" s="151"/>
      <c r="I136" s="151"/>
      <c r="J136" s="152">
        <v>42640.690821759257</v>
      </c>
      <c r="K136" s="151"/>
      <c r="L136" s="151" t="s">
        <v>59</v>
      </c>
      <c r="M136" s="152">
        <v>42635.509930555563</v>
      </c>
      <c r="N136" s="151" t="s">
        <v>2655</v>
      </c>
      <c r="O136" s="151"/>
      <c r="P136" s="151"/>
      <c r="Q136" s="7" t="str">
        <f>IF(ISBLANK(patch[[#This Row],[OwnerEmail]]),Q135,patch[[#This Row],[OwnerEmail]])</f>
        <v>xi.cao@intel.com</v>
      </c>
      <c r="R136" s="7" t="str">
        <f>_xlfn.IFNA(VLOOKUP(patch[[#This Row],[tmp-owner.email]],OrgTree!$A:$K, 11, 0), "not ICG SWFW")</f>
        <v>BJ And dev</v>
      </c>
      <c r="S136" s="7" t="str">
        <f>IF(patch[[#This Row],[reviewer]]=patch[[#This Row],[tmp-owner.email]], "author", _xlfn.IFNA(VLOOKUP(patch[[#This Row],[reviewer]],OrgTree!$A:$K, 11, 0), "not ICG SWFW"))</f>
        <v>BJ And dev</v>
      </c>
      <c r="T136" s="7" t="str">
        <f>IF(ISBLANK(patch[[#This Row],[mergeDate]]), "", MID(YEAR(patch[[#This Row],[mergeDate]]), 3,2)&amp;"'ww"&amp;WEEKNUM(patch[[#This Row],[mergeDate]]))</f>
        <v>16'ww40</v>
      </c>
      <c r="U136" s="7" t="str">
        <f>IF(ISBLANK(patch[[#This Row],[mergeDate]]), U135, MID(YEAR(patch[[#This Row],[mergeDate]]), 3,2)&amp;"'m"&amp;MONTH(patch[[#This Row],[mergeDate]]))</f>
        <v>16'm9</v>
      </c>
      <c r="V136" s="7" t="str">
        <f>IF(ISBLANK(patch[[#This Row],[project]]), "",SUM(patch[[#This Row],[BJ -1 num]:[SH -1 num]]))</f>
        <v/>
      </c>
      <c r="W136" s="7" t="str">
        <f>IF(ISBLANK(patch[[#This Row],[project]]), "",COUNTIFS($A:$A,patch[[#This Row],[number]],$S:$S, "BJ And dev",$AC:$AC, "Review-1"))</f>
        <v/>
      </c>
      <c r="X136" s="7" t="str">
        <f>IF(ISBLANK(patch[[#This Row],[project]]), "",COUNTIFS($A:$A,patch[[#This Row],[number]],$S:$S, "FL And dev",$AC:$AC, "Review-1"))</f>
        <v/>
      </c>
      <c r="Y136" s="7" t="str">
        <f>IF(ISBLANK(patch[[#This Row],[project]]), "",COUNTIFS($A:$A,patch[[#This Row],[number]],$S:$S, "SH And dev",$AC:$AC, "Review-1"))</f>
        <v/>
      </c>
      <c r="Z136" s="7" t="str">
        <f>IF(ISBLANK(patch[[#This Row],[project]]), "",COUNTIFS($A:$A,patch[[#This Row],[number]],$S:$S, "BJ And dev",$AD:$AD, "&lt;&gt;IntegratorValidationComment"))</f>
        <v/>
      </c>
      <c r="AA136" s="7" t="str">
        <f>IF(ISBLANK(patch[[#This Row],[project]]), "",COUNTIFS($A:$A,patch[[#This Row],[number]],$S:$S, "FL And dev",$AD:$AD, "&lt;&gt;IntegratorValidationComment"))</f>
        <v/>
      </c>
      <c r="AB136" s="7" t="str">
        <f>IF(ISBLANK(patch[[#This Row],[project]]), "",COUNTIFS($A:$A,patch[[#This Row],[number]],$S:$S, "SH And dev",$AD:$AD, "&lt;&gt;IntegratorValidationComment"))</f>
        <v/>
      </c>
      <c r="AC136" s="7" t="str">
        <f>IF(OR(ISNUMBER(FIND("Review-1", patch[[#This Row],[comments]])), ISNUMBER(FIND("Approver-1", patch[[#This Row],[comments]]))), "Review-1", "")</f>
        <v/>
      </c>
      <c r="AD1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6" s="7">
        <f>IF(ISBLANK(patch[[#This Row],[number]]),AE135,patch[[#This Row],[ifCommon]])</f>
        <v>0</v>
      </c>
    </row>
    <row r="137" spans="1:31">
      <c r="A137" s="151">
        <v>146922</v>
      </c>
      <c r="B137" s="151"/>
      <c r="C137" s="151"/>
      <c r="D137" s="151"/>
      <c r="E137" s="151"/>
      <c r="F137" s="151"/>
      <c r="G137" s="151"/>
      <c r="H137" s="151"/>
      <c r="I137" s="151"/>
      <c r="J137" s="152">
        <v>42640.690821759257</v>
      </c>
      <c r="K137" s="151"/>
      <c r="L137" s="151" t="s">
        <v>59</v>
      </c>
      <c r="M137" s="152">
        <v>42635.510381944441</v>
      </c>
      <c r="N137" s="151" t="s">
        <v>2656</v>
      </c>
      <c r="O137" s="151"/>
      <c r="P137" s="151"/>
      <c r="Q137" s="7" t="str">
        <f>IF(ISBLANK(patch[[#This Row],[OwnerEmail]]),Q136,patch[[#This Row],[OwnerEmail]])</f>
        <v>xi.cao@intel.com</v>
      </c>
      <c r="R137" s="7" t="str">
        <f>_xlfn.IFNA(VLOOKUP(patch[[#This Row],[tmp-owner.email]],OrgTree!$A:$K, 11, 0), "not ICG SWFW")</f>
        <v>BJ And dev</v>
      </c>
      <c r="S137" s="7" t="str">
        <f>IF(patch[[#This Row],[reviewer]]=patch[[#This Row],[tmp-owner.email]], "author", _xlfn.IFNA(VLOOKUP(patch[[#This Row],[reviewer]],OrgTree!$A:$K, 11, 0), "not ICG SWFW"))</f>
        <v>BJ And dev</v>
      </c>
      <c r="T137" s="7" t="str">
        <f>IF(ISBLANK(patch[[#This Row],[mergeDate]]), "", MID(YEAR(patch[[#This Row],[mergeDate]]), 3,2)&amp;"'ww"&amp;WEEKNUM(patch[[#This Row],[mergeDate]]))</f>
        <v>16'ww40</v>
      </c>
      <c r="U137" s="7" t="str">
        <f>IF(ISBLANK(patch[[#This Row],[mergeDate]]), U136, MID(YEAR(patch[[#This Row],[mergeDate]]), 3,2)&amp;"'m"&amp;MONTH(patch[[#This Row],[mergeDate]]))</f>
        <v>16'm9</v>
      </c>
      <c r="V137" s="7" t="str">
        <f>IF(ISBLANK(patch[[#This Row],[project]]), "",SUM(patch[[#This Row],[BJ -1 num]:[SH -1 num]]))</f>
        <v/>
      </c>
      <c r="W137" s="7" t="str">
        <f>IF(ISBLANK(patch[[#This Row],[project]]), "",COUNTIFS($A:$A,patch[[#This Row],[number]],$S:$S, "BJ And dev",$AC:$AC, "Review-1"))</f>
        <v/>
      </c>
      <c r="X137" s="7" t="str">
        <f>IF(ISBLANK(patch[[#This Row],[project]]), "",COUNTIFS($A:$A,patch[[#This Row],[number]],$S:$S, "FL And dev",$AC:$AC, "Review-1"))</f>
        <v/>
      </c>
      <c r="Y137" s="7" t="str">
        <f>IF(ISBLANK(patch[[#This Row],[project]]), "",COUNTIFS($A:$A,patch[[#This Row],[number]],$S:$S, "SH And dev",$AC:$AC, "Review-1"))</f>
        <v/>
      </c>
      <c r="Z137" s="7" t="str">
        <f>IF(ISBLANK(patch[[#This Row],[project]]), "",COUNTIFS($A:$A,patch[[#This Row],[number]],$S:$S, "BJ And dev",$AD:$AD, "&lt;&gt;IntegratorValidationComment"))</f>
        <v/>
      </c>
      <c r="AA137" s="7" t="str">
        <f>IF(ISBLANK(patch[[#This Row],[project]]), "",COUNTIFS($A:$A,patch[[#This Row],[number]],$S:$S, "FL And dev",$AD:$AD, "&lt;&gt;IntegratorValidationComment"))</f>
        <v/>
      </c>
      <c r="AB137" s="7" t="str">
        <f>IF(ISBLANK(patch[[#This Row],[project]]), "",COUNTIFS($A:$A,patch[[#This Row],[number]],$S:$S, "SH And dev",$AD:$AD, "&lt;&gt;IntegratorValidationComment"))</f>
        <v/>
      </c>
      <c r="AC137" s="7" t="str">
        <f>IF(OR(ISNUMBER(FIND("Review-1", patch[[#This Row],[comments]])), ISNUMBER(FIND("Approver-1", patch[[#This Row],[comments]]))), "Review-1", "")</f>
        <v/>
      </c>
      <c r="AD1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7" s="7">
        <f>IF(ISBLANK(patch[[#This Row],[number]]),AE136,patch[[#This Row],[ifCommon]])</f>
        <v>0</v>
      </c>
    </row>
    <row r="138" spans="1:31">
      <c r="A138" s="151">
        <v>146922</v>
      </c>
      <c r="B138" s="151"/>
      <c r="C138" s="151"/>
      <c r="D138" s="151"/>
      <c r="E138" s="151"/>
      <c r="F138" s="151"/>
      <c r="G138" s="151"/>
      <c r="H138" s="151"/>
      <c r="I138" s="151"/>
      <c r="J138" s="152">
        <v>42640.690821759257</v>
      </c>
      <c r="K138" s="151"/>
      <c r="L138" s="151" t="s">
        <v>71</v>
      </c>
      <c r="M138" s="152">
        <v>42635.523530092592</v>
      </c>
      <c r="N138" s="151" t="s">
        <v>1853</v>
      </c>
      <c r="O138" s="151"/>
      <c r="P138" s="151"/>
      <c r="Q138" s="7" t="str">
        <f>IF(ISBLANK(patch[[#This Row],[OwnerEmail]]),Q137,patch[[#This Row],[OwnerEmail]])</f>
        <v>xi.cao@intel.com</v>
      </c>
      <c r="R138" s="7" t="str">
        <f>_xlfn.IFNA(VLOOKUP(patch[[#This Row],[tmp-owner.email]],OrgTree!$A:$K, 11, 0), "not ICG SWFW")</f>
        <v>BJ And dev</v>
      </c>
      <c r="S138" s="7" t="str">
        <f>IF(patch[[#This Row],[reviewer]]=patch[[#This Row],[tmp-owner.email]], "author", _xlfn.IFNA(VLOOKUP(patch[[#This Row],[reviewer]],OrgTree!$A:$K, 11, 0), "not ICG SWFW"))</f>
        <v>BJ And dev</v>
      </c>
      <c r="T138" s="7" t="str">
        <f>IF(ISBLANK(patch[[#This Row],[mergeDate]]), "", MID(YEAR(patch[[#This Row],[mergeDate]]), 3,2)&amp;"'ww"&amp;WEEKNUM(patch[[#This Row],[mergeDate]]))</f>
        <v>16'ww40</v>
      </c>
      <c r="U138" s="7" t="str">
        <f>IF(ISBLANK(patch[[#This Row],[mergeDate]]), U137, MID(YEAR(patch[[#This Row],[mergeDate]]), 3,2)&amp;"'m"&amp;MONTH(patch[[#This Row],[mergeDate]]))</f>
        <v>16'm9</v>
      </c>
      <c r="V138" s="7" t="str">
        <f>IF(ISBLANK(patch[[#This Row],[project]]), "",SUM(patch[[#This Row],[BJ -1 num]:[SH -1 num]]))</f>
        <v/>
      </c>
      <c r="W138" s="7" t="str">
        <f>IF(ISBLANK(patch[[#This Row],[project]]), "",COUNTIFS($A:$A,patch[[#This Row],[number]],$S:$S, "BJ And dev",$AC:$AC, "Review-1"))</f>
        <v/>
      </c>
      <c r="X138" s="7" t="str">
        <f>IF(ISBLANK(patch[[#This Row],[project]]), "",COUNTIFS($A:$A,patch[[#This Row],[number]],$S:$S, "FL And dev",$AC:$AC, "Review-1"))</f>
        <v/>
      </c>
      <c r="Y138" s="7" t="str">
        <f>IF(ISBLANK(patch[[#This Row],[project]]), "",COUNTIFS($A:$A,patch[[#This Row],[number]],$S:$S, "SH And dev",$AC:$AC, "Review-1"))</f>
        <v/>
      </c>
      <c r="Z138" s="7" t="str">
        <f>IF(ISBLANK(patch[[#This Row],[project]]), "",COUNTIFS($A:$A,patch[[#This Row],[number]],$S:$S, "BJ And dev",$AD:$AD, "&lt;&gt;IntegratorValidationComment"))</f>
        <v/>
      </c>
      <c r="AA138" s="7" t="str">
        <f>IF(ISBLANK(patch[[#This Row],[project]]), "",COUNTIFS($A:$A,patch[[#This Row],[number]],$S:$S, "FL And dev",$AD:$AD, "&lt;&gt;IntegratorValidationComment"))</f>
        <v/>
      </c>
      <c r="AB138" s="7" t="str">
        <f>IF(ISBLANK(patch[[#This Row],[project]]), "",COUNTIFS($A:$A,patch[[#This Row],[number]],$S:$S, "SH And dev",$AD:$AD, "&lt;&gt;IntegratorValidationComment"))</f>
        <v/>
      </c>
      <c r="AC138" s="7" t="str">
        <f>IF(OR(ISNUMBER(FIND("Review-1", patch[[#This Row],[comments]])), ISNUMBER(FIND("Approver-1", patch[[#This Row],[comments]]))), "Review-1", "")</f>
        <v/>
      </c>
      <c r="AD1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8" s="7">
        <f>IF(ISBLANK(patch[[#This Row],[number]]),AE137,patch[[#This Row],[ifCommon]])</f>
        <v>0</v>
      </c>
    </row>
    <row r="139" spans="1:31">
      <c r="A139" s="151">
        <v>146922</v>
      </c>
      <c r="B139" s="151"/>
      <c r="C139" s="151"/>
      <c r="D139" s="151"/>
      <c r="E139" s="151"/>
      <c r="F139" s="151"/>
      <c r="G139" s="151"/>
      <c r="H139" s="151"/>
      <c r="I139" s="151"/>
      <c r="J139" s="152">
        <v>42640.690821759257</v>
      </c>
      <c r="K139" s="151"/>
      <c r="L139" s="151" t="s">
        <v>59</v>
      </c>
      <c r="M139" s="152">
        <v>42635.531365740739</v>
      </c>
      <c r="N139" s="151" t="s">
        <v>2657</v>
      </c>
      <c r="O139" s="151"/>
      <c r="P139" s="151"/>
      <c r="Q139" s="7" t="str">
        <f>IF(ISBLANK(patch[[#This Row],[OwnerEmail]]),Q138,patch[[#This Row],[OwnerEmail]])</f>
        <v>xi.cao@intel.com</v>
      </c>
      <c r="R139" s="7" t="str">
        <f>_xlfn.IFNA(VLOOKUP(patch[[#This Row],[tmp-owner.email]],OrgTree!$A:$K, 11, 0), "not ICG SWFW")</f>
        <v>BJ And dev</v>
      </c>
      <c r="S139" s="7" t="str">
        <f>IF(patch[[#This Row],[reviewer]]=patch[[#This Row],[tmp-owner.email]], "author", _xlfn.IFNA(VLOOKUP(patch[[#This Row],[reviewer]],OrgTree!$A:$K, 11, 0), "not ICG SWFW"))</f>
        <v>BJ And dev</v>
      </c>
      <c r="T139" s="7" t="str">
        <f>IF(ISBLANK(patch[[#This Row],[mergeDate]]), "", MID(YEAR(patch[[#This Row],[mergeDate]]), 3,2)&amp;"'ww"&amp;WEEKNUM(patch[[#This Row],[mergeDate]]))</f>
        <v>16'ww40</v>
      </c>
      <c r="U139" s="7" t="str">
        <f>IF(ISBLANK(patch[[#This Row],[mergeDate]]), U138, MID(YEAR(patch[[#This Row],[mergeDate]]), 3,2)&amp;"'m"&amp;MONTH(patch[[#This Row],[mergeDate]]))</f>
        <v>16'm9</v>
      </c>
      <c r="V139" s="7" t="str">
        <f>IF(ISBLANK(patch[[#This Row],[project]]), "",SUM(patch[[#This Row],[BJ -1 num]:[SH -1 num]]))</f>
        <v/>
      </c>
      <c r="W139" s="7" t="str">
        <f>IF(ISBLANK(patch[[#This Row],[project]]), "",COUNTIFS($A:$A,patch[[#This Row],[number]],$S:$S, "BJ And dev",$AC:$AC, "Review-1"))</f>
        <v/>
      </c>
      <c r="X139" s="7" t="str">
        <f>IF(ISBLANK(patch[[#This Row],[project]]), "",COUNTIFS($A:$A,patch[[#This Row],[number]],$S:$S, "FL And dev",$AC:$AC, "Review-1"))</f>
        <v/>
      </c>
      <c r="Y139" s="7" t="str">
        <f>IF(ISBLANK(patch[[#This Row],[project]]), "",COUNTIFS($A:$A,patch[[#This Row],[number]],$S:$S, "SH And dev",$AC:$AC, "Review-1"))</f>
        <v/>
      </c>
      <c r="Z139" s="7" t="str">
        <f>IF(ISBLANK(patch[[#This Row],[project]]), "",COUNTIFS($A:$A,patch[[#This Row],[number]],$S:$S, "BJ And dev",$AD:$AD, "&lt;&gt;IntegratorValidationComment"))</f>
        <v/>
      </c>
      <c r="AA139" s="7" t="str">
        <f>IF(ISBLANK(patch[[#This Row],[project]]), "",COUNTIFS($A:$A,patch[[#This Row],[number]],$S:$S, "FL And dev",$AD:$AD, "&lt;&gt;IntegratorValidationComment"))</f>
        <v/>
      </c>
      <c r="AB139" s="7" t="str">
        <f>IF(ISBLANK(patch[[#This Row],[project]]), "",COUNTIFS($A:$A,patch[[#This Row],[number]],$S:$S, "SH And dev",$AD:$AD, "&lt;&gt;IntegratorValidationComment"))</f>
        <v/>
      </c>
      <c r="AC139" s="7" t="str">
        <f>IF(OR(ISNUMBER(FIND("Review-1", patch[[#This Row],[comments]])), ISNUMBER(FIND("Approver-1", patch[[#This Row],[comments]]))), "Review-1", "")</f>
        <v/>
      </c>
      <c r="AD1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9" s="7">
        <f>IF(ISBLANK(patch[[#This Row],[number]]),AE138,patch[[#This Row],[ifCommon]])</f>
        <v>0</v>
      </c>
    </row>
    <row r="140" spans="1:31">
      <c r="A140" s="151">
        <v>146922</v>
      </c>
      <c r="B140" s="151"/>
      <c r="C140" s="151"/>
      <c r="D140" s="151"/>
      <c r="E140" s="151"/>
      <c r="F140" s="151"/>
      <c r="G140" s="151"/>
      <c r="H140" s="151"/>
      <c r="I140" s="151"/>
      <c r="J140" s="152">
        <v>42640.690821759257</v>
      </c>
      <c r="K140" s="151"/>
      <c r="L140" s="151" t="s">
        <v>59</v>
      </c>
      <c r="M140" s="152">
        <v>42635.546481481477</v>
      </c>
      <c r="N140" s="151" t="s">
        <v>2658</v>
      </c>
      <c r="O140" s="151"/>
      <c r="P140" s="151"/>
      <c r="Q140" s="7" t="str">
        <f>IF(ISBLANK(patch[[#This Row],[OwnerEmail]]),Q139,patch[[#This Row],[OwnerEmail]])</f>
        <v>xi.cao@intel.com</v>
      </c>
      <c r="R140" s="7" t="str">
        <f>_xlfn.IFNA(VLOOKUP(patch[[#This Row],[tmp-owner.email]],OrgTree!$A:$K, 11, 0), "not ICG SWFW")</f>
        <v>BJ And dev</v>
      </c>
      <c r="S140" s="7" t="str">
        <f>IF(patch[[#This Row],[reviewer]]=patch[[#This Row],[tmp-owner.email]], "author", _xlfn.IFNA(VLOOKUP(patch[[#This Row],[reviewer]],OrgTree!$A:$K, 11, 0), "not ICG SWFW"))</f>
        <v>BJ And dev</v>
      </c>
      <c r="T140" s="7" t="str">
        <f>IF(ISBLANK(patch[[#This Row],[mergeDate]]), "", MID(YEAR(patch[[#This Row],[mergeDate]]), 3,2)&amp;"'ww"&amp;WEEKNUM(patch[[#This Row],[mergeDate]]))</f>
        <v>16'ww40</v>
      </c>
      <c r="U140" s="7" t="str">
        <f>IF(ISBLANK(patch[[#This Row],[mergeDate]]), U139, MID(YEAR(patch[[#This Row],[mergeDate]]), 3,2)&amp;"'m"&amp;MONTH(patch[[#This Row],[mergeDate]]))</f>
        <v>16'm9</v>
      </c>
      <c r="V140" s="7" t="str">
        <f>IF(ISBLANK(patch[[#This Row],[project]]), "",SUM(patch[[#This Row],[BJ -1 num]:[SH -1 num]]))</f>
        <v/>
      </c>
      <c r="W140" s="7" t="str">
        <f>IF(ISBLANK(patch[[#This Row],[project]]), "",COUNTIFS($A:$A,patch[[#This Row],[number]],$S:$S, "BJ And dev",$AC:$AC, "Review-1"))</f>
        <v/>
      </c>
      <c r="X140" s="7" t="str">
        <f>IF(ISBLANK(patch[[#This Row],[project]]), "",COUNTIFS($A:$A,patch[[#This Row],[number]],$S:$S, "FL And dev",$AC:$AC, "Review-1"))</f>
        <v/>
      </c>
      <c r="Y140" s="7" t="str">
        <f>IF(ISBLANK(patch[[#This Row],[project]]), "",COUNTIFS($A:$A,patch[[#This Row],[number]],$S:$S, "SH And dev",$AC:$AC, "Review-1"))</f>
        <v/>
      </c>
      <c r="Z140" s="7" t="str">
        <f>IF(ISBLANK(patch[[#This Row],[project]]), "",COUNTIFS($A:$A,patch[[#This Row],[number]],$S:$S, "BJ And dev",$AD:$AD, "&lt;&gt;IntegratorValidationComment"))</f>
        <v/>
      </c>
      <c r="AA140" s="7" t="str">
        <f>IF(ISBLANK(patch[[#This Row],[project]]), "",COUNTIFS($A:$A,patch[[#This Row],[number]],$S:$S, "FL And dev",$AD:$AD, "&lt;&gt;IntegratorValidationComment"))</f>
        <v/>
      </c>
      <c r="AB140" s="7" t="str">
        <f>IF(ISBLANK(patch[[#This Row],[project]]), "",COUNTIFS($A:$A,patch[[#This Row],[number]],$S:$S, "SH And dev",$AD:$AD, "&lt;&gt;IntegratorValidationComment"))</f>
        <v/>
      </c>
      <c r="AC140" s="7" t="str">
        <f>IF(OR(ISNUMBER(FIND("Review-1", patch[[#This Row],[comments]])), ISNUMBER(FIND("Approver-1", patch[[#This Row],[comments]]))), "Review-1", "")</f>
        <v/>
      </c>
      <c r="AD1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0" s="7">
        <f>IF(ISBLANK(patch[[#This Row],[number]]),AE139,patch[[#This Row],[ifCommon]])</f>
        <v>0</v>
      </c>
    </row>
    <row r="141" spans="1:31">
      <c r="A141" s="151">
        <v>146922</v>
      </c>
      <c r="B141" s="151"/>
      <c r="C141" s="151"/>
      <c r="D141" s="151"/>
      <c r="E141" s="151"/>
      <c r="F141" s="151"/>
      <c r="G141" s="151"/>
      <c r="H141" s="151"/>
      <c r="I141" s="151"/>
      <c r="J141" s="152">
        <v>42640.690821759257</v>
      </c>
      <c r="K141" s="151"/>
      <c r="L141" s="151" t="s">
        <v>59</v>
      </c>
      <c r="M141" s="152">
        <v>42635.603750000002</v>
      </c>
      <c r="N141" s="151" t="s">
        <v>2659</v>
      </c>
      <c r="O141" s="151"/>
      <c r="P141" s="151"/>
      <c r="Q141" s="7" t="str">
        <f>IF(ISBLANK(patch[[#This Row],[OwnerEmail]]),Q140,patch[[#This Row],[OwnerEmail]])</f>
        <v>xi.cao@intel.com</v>
      </c>
      <c r="R141" s="7" t="str">
        <f>_xlfn.IFNA(VLOOKUP(patch[[#This Row],[tmp-owner.email]],OrgTree!$A:$K, 11, 0), "not ICG SWFW")</f>
        <v>BJ And dev</v>
      </c>
      <c r="S141" s="7" t="str">
        <f>IF(patch[[#This Row],[reviewer]]=patch[[#This Row],[tmp-owner.email]], "author", _xlfn.IFNA(VLOOKUP(patch[[#This Row],[reviewer]],OrgTree!$A:$K, 11, 0), "not ICG SWFW"))</f>
        <v>BJ And dev</v>
      </c>
      <c r="T141" s="7" t="str">
        <f>IF(ISBLANK(patch[[#This Row],[mergeDate]]), "", MID(YEAR(patch[[#This Row],[mergeDate]]), 3,2)&amp;"'ww"&amp;WEEKNUM(patch[[#This Row],[mergeDate]]))</f>
        <v>16'ww40</v>
      </c>
      <c r="U141" s="7" t="str">
        <f>IF(ISBLANK(patch[[#This Row],[mergeDate]]), U140, MID(YEAR(patch[[#This Row],[mergeDate]]), 3,2)&amp;"'m"&amp;MONTH(patch[[#This Row],[mergeDate]]))</f>
        <v>16'm9</v>
      </c>
      <c r="V141" s="7" t="str">
        <f>IF(ISBLANK(patch[[#This Row],[project]]), "",SUM(patch[[#This Row],[BJ -1 num]:[SH -1 num]]))</f>
        <v/>
      </c>
      <c r="W141" s="7" t="str">
        <f>IF(ISBLANK(patch[[#This Row],[project]]), "",COUNTIFS($A:$A,patch[[#This Row],[number]],$S:$S, "BJ And dev",$AC:$AC, "Review-1"))</f>
        <v/>
      </c>
      <c r="X141" s="7" t="str">
        <f>IF(ISBLANK(patch[[#This Row],[project]]), "",COUNTIFS($A:$A,patch[[#This Row],[number]],$S:$S, "FL And dev",$AC:$AC, "Review-1"))</f>
        <v/>
      </c>
      <c r="Y141" s="7" t="str">
        <f>IF(ISBLANK(patch[[#This Row],[project]]), "",COUNTIFS($A:$A,patch[[#This Row],[number]],$S:$S, "SH And dev",$AC:$AC, "Review-1"))</f>
        <v/>
      </c>
      <c r="Z141" s="7" t="str">
        <f>IF(ISBLANK(patch[[#This Row],[project]]), "",COUNTIFS($A:$A,patch[[#This Row],[number]],$S:$S, "BJ And dev",$AD:$AD, "&lt;&gt;IntegratorValidationComment"))</f>
        <v/>
      </c>
      <c r="AA141" s="7" t="str">
        <f>IF(ISBLANK(patch[[#This Row],[project]]), "",COUNTIFS($A:$A,patch[[#This Row],[number]],$S:$S, "FL And dev",$AD:$AD, "&lt;&gt;IntegratorValidationComment"))</f>
        <v/>
      </c>
      <c r="AB141" s="7" t="str">
        <f>IF(ISBLANK(patch[[#This Row],[project]]), "",COUNTIFS($A:$A,patch[[#This Row],[number]],$S:$S, "SH And dev",$AD:$AD, "&lt;&gt;IntegratorValidationComment"))</f>
        <v/>
      </c>
      <c r="AC141" s="7" t="str">
        <f>IF(OR(ISNUMBER(FIND("Review-1", patch[[#This Row],[comments]])), ISNUMBER(FIND("Approver-1", patch[[#This Row],[comments]]))), "Review-1", "")</f>
        <v/>
      </c>
      <c r="AD1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1" s="7">
        <f>IF(ISBLANK(patch[[#This Row],[number]]),AE140,patch[[#This Row],[ifCommon]])</f>
        <v>0</v>
      </c>
    </row>
    <row r="142" spans="1:31">
      <c r="A142" s="151">
        <v>146922</v>
      </c>
      <c r="B142" s="151"/>
      <c r="C142" s="151"/>
      <c r="D142" s="151"/>
      <c r="E142" s="151"/>
      <c r="F142" s="151"/>
      <c r="G142" s="151"/>
      <c r="H142" s="151"/>
      <c r="I142" s="151"/>
      <c r="J142" s="152">
        <v>42640.690821759257</v>
      </c>
      <c r="K142" s="151"/>
      <c r="L142" s="151" t="s">
        <v>1203</v>
      </c>
      <c r="M142" s="152">
        <v>42635.608437499999</v>
      </c>
      <c r="N142" s="151" t="s">
        <v>1842</v>
      </c>
      <c r="O142" s="151"/>
      <c r="P142" s="151"/>
      <c r="Q142" s="7" t="str">
        <f>IF(ISBLANK(patch[[#This Row],[OwnerEmail]]),Q141,patch[[#This Row],[OwnerEmail]])</f>
        <v>xi.cao@intel.com</v>
      </c>
      <c r="R142" s="7" t="str">
        <f>_xlfn.IFNA(VLOOKUP(patch[[#This Row],[tmp-owner.email]],OrgTree!$A:$K, 11, 0), "not ICG SWFW")</f>
        <v>BJ And dev</v>
      </c>
      <c r="S142" s="7" t="str">
        <f>IF(patch[[#This Row],[reviewer]]=patch[[#This Row],[tmp-owner.email]], "author", _xlfn.IFNA(VLOOKUP(patch[[#This Row],[reviewer]],OrgTree!$A:$K, 11, 0), "not ICG SWFW"))</f>
        <v>author</v>
      </c>
      <c r="T142" s="7" t="str">
        <f>IF(ISBLANK(patch[[#This Row],[mergeDate]]), "", MID(YEAR(patch[[#This Row],[mergeDate]]), 3,2)&amp;"'ww"&amp;WEEKNUM(patch[[#This Row],[mergeDate]]))</f>
        <v>16'ww40</v>
      </c>
      <c r="U142" s="7" t="str">
        <f>IF(ISBLANK(patch[[#This Row],[mergeDate]]), U141, MID(YEAR(patch[[#This Row],[mergeDate]]), 3,2)&amp;"'m"&amp;MONTH(patch[[#This Row],[mergeDate]]))</f>
        <v>16'm9</v>
      </c>
      <c r="V142" s="7" t="str">
        <f>IF(ISBLANK(patch[[#This Row],[project]]), "",SUM(patch[[#This Row],[BJ -1 num]:[SH -1 num]]))</f>
        <v/>
      </c>
      <c r="W142" s="7" t="str">
        <f>IF(ISBLANK(patch[[#This Row],[project]]), "",COUNTIFS($A:$A,patch[[#This Row],[number]],$S:$S, "BJ And dev",$AC:$AC, "Review-1"))</f>
        <v/>
      </c>
      <c r="X142" s="7" t="str">
        <f>IF(ISBLANK(patch[[#This Row],[project]]), "",COUNTIFS($A:$A,patch[[#This Row],[number]],$S:$S, "FL And dev",$AC:$AC, "Review-1"))</f>
        <v/>
      </c>
      <c r="Y142" s="7" t="str">
        <f>IF(ISBLANK(patch[[#This Row],[project]]), "",COUNTIFS($A:$A,patch[[#This Row],[number]],$S:$S, "SH And dev",$AC:$AC, "Review-1"))</f>
        <v/>
      </c>
      <c r="Z142" s="7" t="str">
        <f>IF(ISBLANK(patch[[#This Row],[project]]), "",COUNTIFS($A:$A,patch[[#This Row],[number]],$S:$S, "BJ And dev",$AD:$AD, "&lt;&gt;IntegratorValidationComment"))</f>
        <v/>
      </c>
      <c r="AA142" s="7" t="str">
        <f>IF(ISBLANK(patch[[#This Row],[project]]), "",COUNTIFS($A:$A,patch[[#This Row],[number]],$S:$S, "FL And dev",$AD:$AD, "&lt;&gt;IntegratorValidationComment"))</f>
        <v/>
      </c>
      <c r="AB142" s="7" t="str">
        <f>IF(ISBLANK(patch[[#This Row],[project]]), "",COUNTIFS($A:$A,patch[[#This Row],[number]],$S:$S, "SH And dev",$AD:$AD, "&lt;&gt;IntegratorValidationComment"))</f>
        <v/>
      </c>
      <c r="AC142" s="7" t="str">
        <f>IF(OR(ISNUMBER(FIND("Review-1", patch[[#This Row],[comments]])), ISNUMBER(FIND("Approver-1", patch[[#This Row],[comments]]))), "Review-1", "")</f>
        <v/>
      </c>
      <c r="AD1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2" s="7">
        <f>IF(ISBLANK(patch[[#This Row],[number]]),AE141,patch[[#This Row],[ifCommon]])</f>
        <v>0</v>
      </c>
    </row>
    <row r="143" spans="1:31">
      <c r="A143" s="151">
        <v>146922</v>
      </c>
      <c r="B143" s="151"/>
      <c r="C143" s="151"/>
      <c r="D143" s="151"/>
      <c r="E143" s="151"/>
      <c r="F143" s="151"/>
      <c r="G143" s="151"/>
      <c r="H143" s="151"/>
      <c r="I143" s="151"/>
      <c r="J143" s="152">
        <v>42640.690821759257</v>
      </c>
      <c r="K143" s="151"/>
      <c r="L143" s="151" t="s">
        <v>1203</v>
      </c>
      <c r="M143" s="152">
        <v>42635.608437499999</v>
      </c>
      <c r="N143" s="151" t="s">
        <v>2465</v>
      </c>
      <c r="O143" s="151"/>
      <c r="P143" s="151"/>
      <c r="Q143" s="7" t="str">
        <f>IF(ISBLANK(patch[[#This Row],[OwnerEmail]]),Q142,patch[[#This Row],[OwnerEmail]])</f>
        <v>xi.cao@intel.com</v>
      </c>
      <c r="R143" s="7" t="str">
        <f>_xlfn.IFNA(VLOOKUP(patch[[#This Row],[tmp-owner.email]],OrgTree!$A:$K, 11, 0), "not ICG SWFW")</f>
        <v>BJ And dev</v>
      </c>
      <c r="S143" s="7" t="str">
        <f>IF(patch[[#This Row],[reviewer]]=patch[[#This Row],[tmp-owner.email]], "author", _xlfn.IFNA(VLOOKUP(patch[[#This Row],[reviewer]],OrgTree!$A:$K, 11, 0), "not ICG SWFW"))</f>
        <v>author</v>
      </c>
      <c r="T143" s="7" t="str">
        <f>IF(ISBLANK(patch[[#This Row],[mergeDate]]), "", MID(YEAR(patch[[#This Row],[mergeDate]]), 3,2)&amp;"'ww"&amp;WEEKNUM(patch[[#This Row],[mergeDate]]))</f>
        <v>16'ww40</v>
      </c>
      <c r="U143" s="7" t="str">
        <f>IF(ISBLANK(patch[[#This Row],[mergeDate]]), U142, MID(YEAR(patch[[#This Row],[mergeDate]]), 3,2)&amp;"'m"&amp;MONTH(patch[[#This Row],[mergeDate]]))</f>
        <v>16'm9</v>
      </c>
      <c r="V143" s="7" t="str">
        <f>IF(ISBLANK(patch[[#This Row],[project]]), "",SUM(patch[[#This Row],[BJ -1 num]:[SH -1 num]]))</f>
        <v/>
      </c>
      <c r="W143" s="7" t="str">
        <f>IF(ISBLANK(patch[[#This Row],[project]]), "",COUNTIFS($A:$A,patch[[#This Row],[number]],$S:$S, "BJ And dev",$AC:$AC, "Review-1"))</f>
        <v/>
      </c>
      <c r="X143" s="7" t="str">
        <f>IF(ISBLANK(patch[[#This Row],[project]]), "",COUNTIFS($A:$A,patch[[#This Row],[number]],$S:$S, "FL And dev",$AC:$AC, "Review-1"))</f>
        <v/>
      </c>
      <c r="Y143" s="7" t="str">
        <f>IF(ISBLANK(patch[[#This Row],[project]]), "",COUNTIFS($A:$A,patch[[#This Row],[number]],$S:$S, "SH And dev",$AC:$AC, "Review-1"))</f>
        <v/>
      </c>
      <c r="Z143" s="7" t="str">
        <f>IF(ISBLANK(patch[[#This Row],[project]]), "",COUNTIFS($A:$A,patch[[#This Row],[number]],$S:$S, "BJ And dev",$AD:$AD, "&lt;&gt;IntegratorValidationComment"))</f>
        <v/>
      </c>
      <c r="AA143" s="7" t="str">
        <f>IF(ISBLANK(patch[[#This Row],[project]]), "",COUNTIFS($A:$A,patch[[#This Row],[number]],$S:$S, "FL And dev",$AD:$AD, "&lt;&gt;IntegratorValidationComment"))</f>
        <v/>
      </c>
      <c r="AB143" s="7" t="str">
        <f>IF(ISBLANK(patch[[#This Row],[project]]), "",COUNTIFS($A:$A,patch[[#This Row],[number]],$S:$S, "SH And dev",$AD:$AD, "&lt;&gt;IntegratorValidationComment"))</f>
        <v/>
      </c>
      <c r="AC143" s="7" t="str">
        <f>IF(OR(ISNUMBER(FIND("Review-1", patch[[#This Row],[comments]])), ISNUMBER(FIND("Approver-1", patch[[#This Row],[comments]]))), "Review-1", "")</f>
        <v/>
      </c>
      <c r="AD1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3" s="7">
        <f>IF(ISBLANK(patch[[#This Row],[number]]),AE142,patch[[#This Row],[ifCommon]])</f>
        <v>0</v>
      </c>
    </row>
    <row r="144" spans="1:31">
      <c r="A144" s="151">
        <v>146922</v>
      </c>
      <c r="B144" s="151"/>
      <c r="C144" s="151"/>
      <c r="D144" s="151"/>
      <c r="E144" s="151"/>
      <c r="F144" s="151"/>
      <c r="G144" s="151"/>
      <c r="H144" s="151"/>
      <c r="I144" s="151"/>
      <c r="J144" s="152">
        <v>42640.690821759257</v>
      </c>
      <c r="K144" s="151"/>
      <c r="L144" s="151" t="s">
        <v>1203</v>
      </c>
      <c r="M144" s="152">
        <v>42635.614907407413</v>
      </c>
      <c r="N144" s="151" t="s">
        <v>2466</v>
      </c>
      <c r="O144" s="151"/>
      <c r="P144" s="151"/>
      <c r="Q144" s="7" t="str">
        <f>IF(ISBLANK(patch[[#This Row],[OwnerEmail]]),Q143,patch[[#This Row],[OwnerEmail]])</f>
        <v>xi.cao@intel.com</v>
      </c>
      <c r="R144" s="7" t="str">
        <f>_xlfn.IFNA(VLOOKUP(patch[[#This Row],[tmp-owner.email]],OrgTree!$A:$K, 11, 0), "not ICG SWFW")</f>
        <v>BJ And dev</v>
      </c>
      <c r="S144" s="7" t="str">
        <f>IF(patch[[#This Row],[reviewer]]=patch[[#This Row],[tmp-owner.email]], "author", _xlfn.IFNA(VLOOKUP(patch[[#This Row],[reviewer]],OrgTree!$A:$K, 11, 0), "not ICG SWFW"))</f>
        <v>author</v>
      </c>
      <c r="T144" s="7" t="str">
        <f>IF(ISBLANK(patch[[#This Row],[mergeDate]]), "", MID(YEAR(patch[[#This Row],[mergeDate]]), 3,2)&amp;"'ww"&amp;WEEKNUM(patch[[#This Row],[mergeDate]]))</f>
        <v>16'ww40</v>
      </c>
      <c r="U144" s="7" t="str">
        <f>IF(ISBLANK(patch[[#This Row],[mergeDate]]), U143, MID(YEAR(patch[[#This Row],[mergeDate]]), 3,2)&amp;"'m"&amp;MONTH(patch[[#This Row],[mergeDate]]))</f>
        <v>16'm9</v>
      </c>
      <c r="V144" s="7" t="str">
        <f>IF(ISBLANK(patch[[#This Row],[project]]), "",SUM(patch[[#This Row],[BJ -1 num]:[SH -1 num]]))</f>
        <v/>
      </c>
      <c r="W144" s="7" t="str">
        <f>IF(ISBLANK(patch[[#This Row],[project]]), "",COUNTIFS($A:$A,patch[[#This Row],[number]],$S:$S, "BJ And dev",$AC:$AC, "Review-1"))</f>
        <v/>
      </c>
      <c r="X144" s="7" t="str">
        <f>IF(ISBLANK(patch[[#This Row],[project]]), "",COUNTIFS($A:$A,patch[[#This Row],[number]],$S:$S, "FL And dev",$AC:$AC, "Review-1"))</f>
        <v/>
      </c>
      <c r="Y144" s="7" t="str">
        <f>IF(ISBLANK(patch[[#This Row],[project]]), "",COUNTIFS($A:$A,patch[[#This Row],[number]],$S:$S, "SH And dev",$AC:$AC, "Review-1"))</f>
        <v/>
      </c>
      <c r="Z144" s="7" t="str">
        <f>IF(ISBLANK(patch[[#This Row],[project]]), "",COUNTIFS($A:$A,patch[[#This Row],[number]],$S:$S, "BJ And dev",$AD:$AD, "&lt;&gt;IntegratorValidationComment"))</f>
        <v/>
      </c>
      <c r="AA144" s="7" t="str">
        <f>IF(ISBLANK(patch[[#This Row],[project]]), "",COUNTIFS($A:$A,patch[[#This Row],[number]],$S:$S, "FL And dev",$AD:$AD, "&lt;&gt;IntegratorValidationComment"))</f>
        <v/>
      </c>
      <c r="AB144" s="7" t="str">
        <f>IF(ISBLANK(patch[[#This Row],[project]]), "",COUNTIFS($A:$A,patch[[#This Row],[number]],$S:$S, "SH And dev",$AD:$AD, "&lt;&gt;IntegratorValidationComment"))</f>
        <v/>
      </c>
      <c r="AC144" s="7" t="str">
        <f>IF(OR(ISNUMBER(FIND("Review-1", patch[[#This Row],[comments]])), ISNUMBER(FIND("Approver-1", patch[[#This Row],[comments]]))), "Review-1", "")</f>
        <v/>
      </c>
      <c r="AD1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4" s="7">
        <f>IF(ISBLANK(patch[[#This Row],[number]]),AE143,patch[[#This Row],[ifCommon]])</f>
        <v>0</v>
      </c>
    </row>
    <row r="145" spans="1:31">
      <c r="A145" s="151">
        <v>146922</v>
      </c>
      <c r="B145" s="151"/>
      <c r="C145" s="151"/>
      <c r="D145" s="151"/>
      <c r="E145" s="151"/>
      <c r="F145" s="151"/>
      <c r="G145" s="151"/>
      <c r="H145" s="151"/>
      <c r="I145" s="151"/>
      <c r="J145" s="152">
        <v>42640.690821759257</v>
      </c>
      <c r="K145" s="151"/>
      <c r="L145" s="151" t="s">
        <v>1203</v>
      </c>
      <c r="M145" s="152">
        <v>42635.614907407413</v>
      </c>
      <c r="N145" s="151" t="s">
        <v>1862</v>
      </c>
      <c r="O145" s="151"/>
      <c r="P145" s="151"/>
      <c r="Q145" s="7" t="str">
        <f>IF(ISBLANK(patch[[#This Row],[OwnerEmail]]),Q144,patch[[#This Row],[OwnerEmail]])</f>
        <v>xi.cao@intel.com</v>
      </c>
      <c r="R145" s="7" t="str">
        <f>_xlfn.IFNA(VLOOKUP(patch[[#This Row],[tmp-owner.email]],OrgTree!$A:$K, 11, 0), "not ICG SWFW")</f>
        <v>BJ And dev</v>
      </c>
      <c r="S145" s="7" t="str">
        <f>IF(patch[[#This Row],[reviewer]]=patch[[#This Row],[tmp-owner.email]], "author", _xlfn.IFNA(VLOOKUP(patch[[#This Row],[reviewer]],OrgTree!$A:$K, 11, 0), "not ICG SWFW"))</f>
        <v>author</v>
      </c>
      <c r="T145" s="7" t="str">
        <f>IF(ISBLANK(patch[[#This Row],[mergeDate]]), "", MID(YEAR(patch[[#This Row],[mergeDate]]), 3,2)&amp;"'ww"&amp;WEEKNUM(patch[[#This Row],[mergeDate]]))</f>
        <v>16'ww40</v>
      </c>
      <c r="U145" s="7" t="str">
        <f>IF(ISBLANK(patch[[#This Row],[mergeDate]]), U144, MID(YEAR(patch[[#This Row],[mergeDate]]), 3,2)&amp;"'m"&amp;MONTH(patch[[#This Row],[mergeDate]]))</f>
        <v>16'm9</v>
      </c>
      <c r="V145" s="7" t="str">
        <f>IF(ISBLANK(patch[[#This Row],[project]]), "",SUM(patch[[#This Row],[BJ -1 num]:[SH -1 num]]))</f>
        <v/>
      </c>
      <c r="W145" s="7" t="str">
        <f>IF(ISBLANK(patch[[#This Row],[project]]), "",COUNTIFS($A:$A,patch[[#This Row],[number]],$S:$S, "BJ And dev",$AC:$AC, "Review-1"))</f>
        <v/>
      </c>
      <c r="X145" s="7" t="str">
        <f>IF(ISBLANK(patch[[#This Row],[project]]), "",COUNTIFS($A:$A,patch[[#This Row],[number]],$S:$S, "FL And dev",$AC:$AC, "Review-1"))</f>
        <v/>
      </c>
      <c r="Y145" s="7" t="str">
        <f>IF(ISBLANK(patch[[#This Row],[project]]), "",COUNTIFS($A:$A,patch[[#This Row],[number]],$S:$S, "SH And dev",$AC:$AC, "Review-1"))</f>
        <v/>
      </c>
      <c r="Z145" s="7" t="str">
        <f>IF(ISBLANK(patch[[#This Row],[project]]), "",COUNTIFS($A:$A,patch[[#This Row],[number]],$S:$S, "BJ And dev",$AD:$AD, "&lt;&gt;IntegratorValidationComment"))</f>
        <v/>
      </c>
      <c r="AA145" s="7" t="str">
        <f>IF(ISBLANK(patch[[#This Row],[project]]), "",COUNTIFS($A:$A,patch[[#This Row],[number]],$S:$S, "FL And dev",$AD:$AD, "&lt;&gt;IntegratorValidationComment"))</f>
        <v/>
      </c>
      <c r="AB145" s="7" t="str">
        <f>IF(ISBLANK(patch[[#This Row],[project]]), "",COUNTIFS($A:$A,patch[[#This Row],[number]],$S:$S, "SH And dev",$AD:$AD, "&lt;&gt;IntegratorValidationComment"))</f>
        <v/>
      </c>
      <c r="AC145" s="7" t="str">
        <f>IF(OR(ISNUMBER(FIND("Review-1", patch[[#This Row],[comments]])), ISNUMBER(FIND("Approver-1", patch[[#This Row],[comments]]))), "Review-1", "")</f>
        <v/>
      </c>
      <c r="AD1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5" s="7">
        <f>IF(ISBLANK(patch[[#This Row],[number]]),AE144,patch[[#This Row],[ifCommon]])</f>
        <v>0</v>
      </c>
    </row>
    <row r="146" spans="1:31">
      <c r="A146" s="151">
        <v>146922</v>
      </c>
      <c r="B146" s="151"/>
      <c r="C146" s="151"/>
      <c r="D146" s="151"/>
      <c r="E146" s="151"/>
      <c r="F146" s="151"/>
      <c r="G146" s="151"/>
      <c r="H146" s="151"/>
      <c r="I146" s="151"/>
      <c r="J146" s="152">
        <v>42640.690821759257</v>
      </c>
      <c r="K146" s="151"/>
      <c r="L146" s="151" t="s">
        <v>1203</v>
      </c>
      <c r="M146" s="152">
        <v>42635.615590277783</v>
      </c>
      <c r="N146" s="151" t="s">
        <v>1854</v>
      </c>
      <c r="O146" s="151"/>
      <c r="P146" s="151"/>
      <c r="Q146" s="7" t="str">
        <f>IF(ISBLANK(patch[[#This Row],[OwnerEmail]]),Q145,patch[[#This Row],[OwnerEmail]])</f>
        <v>xi.cao@intel.com</v>
      </c>
      <c r="R146" s="7" t="str">
        <f>_xlfn.IFNA(VLOOKUP(patch[[#This Row],[tmp-owner.email]],OrgTree!$A:$K, 11, 0), "not ICG SWFW")</f>
        <v>BJ And dev</v>
      </c>
      <c r="S146" s="7" t="str">
        <f>IF(patch[[#This Row],[reviewer]]=patch[[#This Row],[tmp-owner.email]], "author", _xlfn.IFNA(VLOOKUP(patch[[#This Row],[reviewer]],OrgTree!$A:$K, 11, 0), "not ICG SWFW"))</f>
        <v>author</v>
      </c>
      <c r="T146" s="7" t="str">
        <f>IF(ISBLANK(patch[[#This Row],[mergeDate]]), "", MID(YEAR(patch[[#This Row],[mergeDate]]), 3,2)&amp;"'ww"&amp;WEEKNUM(patch[[#This Row],[mergeDate]]))</f>
        <v>16'ww40</v>
      </c>
      <c r="U146" s="7" t="str">
        <f>IF(ISBLANK(patch[[#This Row],[mergeDate]]), U145, MID(YEAR(patch[[#This Row],[mergeDate]]), 3,2)&amp;"'m"&amp;MONTH(patch[[#This Row],[mergeDate]]))</f>
        <v>16'm9</v>
      </c>
      <c r="V146" s="7" t="str">
        <f>IF(ISBLANK(patch[[#This Row],[project]]), "",SUM(patch[[#This Row],[BJ -1 num]:[SH -1 num]]))</f>
        <v/>
      </c>
      <c r="W146" s="7" t="str">
        <f>IF(ISBLANK(patch[[#This Row],[project]]), "",COUNTIFS($A:$A,patch[[#This Row],[number]],$S:$S, "BJ And dev",$AC:$AC, "Review-1"))</f>
        <v/>
      </c>
      <c r="X146" s="7" t="str">
        <f>IF(ISBLANK(patch[[#This Row],[project]]), "",COUNTIFS($A:$A,patch[[#This Row],[number]],$S:$S, "FL And dev",$AC:$AC, "Review-1"))</f>
        <v/>
      </c>
      <c r="Y146" s="7" t="str">
        <f>IF(ISBLANK(patch[[#This Row],[project]]), "",COUNTIFS($A:$A,patch[[#This Row],[number]],$S:$S, "SH And dev",$AC:$AC, "Review-1"))</f>
        <v/>
      </c>
      <c r="Z146" s="7" t="str">
        <f>IF(ISBLANK(patch[[#This Row],[project]]), "",COUNTIFS($A:$A,patch[[#This Row],[number]],$S:$S, "BJ And dev",$AD:$AD, "&lt;&gt;IntegratorValidationComment"))</f>
        <v/>
      </c>
      <c r="AA146" s="7" t="str">
        <f>IF(ISBLANK(patch[[#This Row],[project]]), "",COUNTIFS($A:$A,patch[[#This Row],[number]],$S:$S, "FL And dev",$AD:$AD, "&lt;&gt;IntegratorValidationComment"))</f>
        <v/>
      </c>
      <c r="AB146" s="7" t="str">
        <f>IF(ISBLANK(patch[[#This Row],[project]]), "",COUNTIFS($A:$A,patch[[#This Row],[number]],$S:$S, "SH And dev",$AD:$AD, "&lt;&gt;IntegratorValidationComment"))</f>
        <v/>
      </c>
      <c r="AC146" s="7" t="str">
        <f>IF(OR(ISNUMBER(FIND("Review-1", patch[[#This Row],[comments]])), ISNUMBER(FIND("Approver-1", patch[[#This Row],[comments]]))), "Review-1", "")</f>
        <v/>
      </c>
      <c r="AD1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6" s="7">
        <f>IF(ISBLANK(patch[[#This Row],[number]]),AE145,patch[[#This Row],[ifCommon]])</f>
        <v>0</v>
      </c>
    </row>
    <row r="147" spans="1:31">
      <c r="A147" s="151">
        <v>146922</v>
      </c>
      <c r="B147" s="151"/>
      <c r="C147" s="151"/>
      <c r="D147" s="151"/>
      <c r="E147" s="151"/>
      <c r="F147" s="151"/>
      <c r="G147" s="151"/>
      <c r="H147" s="151"/>
      <c r="I147" s="151"/>
      <c r="J147" s="152">
        <v>42640.690821759257</v>
      </c>
      <c r="K147" s="151"/>
      <c r="L147" s="151" t="s">
        <v>59</v>
      </c>
      <c r="M147" s="152">
        <v>42635.61681712963</v>
      </c>
      <c r="N147" s="151" t="s">
        <v>2660</v>
      </c>
      <c r="O147" s="151"/>
      <c r="P147" s="151"/>
      <c r="Q147" s="7" t="str">
        <f>IF(ISBLANK(patch[[#This Row],[OwnerEmail]]),Q146,patch[[#This Row],[OwnerEmail]])</f>
        <v>xi.cao@intel.com</v>
      </c>
      <c r="R147" s="7" t="str">
        <f>_xlfn.IFNA(VLOOKUP(patch[[#This Row],[tmp-owner.email]],OrgTree!$A:$K, 11, 0), "not ICG SWFW")</f>
        <v>BJ And dev</v>
      </c>
      <c r="S147" s="7" t="str">
        <f>IF(patch[[#This Row],[reviewer]]=patch[[#This Row],[tmp-owner.email]], "author", _xlfn.IFNA(VLOOKUP(patch[[#This Row],[reviewer]],OrgTree!$A:$K, 11, 0), "not ICG SWFW"))</f>
        <v>BJ And dev</v>
      </c>
      <c r="T147" s="7" t="str">
        <f>IF(ISBLANK(patch[[#This Row],[mergeDate]]), "", MID(YEAR(patch[[#This Row],[mergeDate]]), 3,2)&amp;"'ww"&amp;WEEKNUM(patch[[#This Row],[mergeDate]]))</f>
        <v>16'ww40</v>
      </c>
      <c r="U147" s="7" t="str">
        <f>IF(ISBLANK(patch[[#This Row],[mergeDate]]), U146, MID(YEAR(patch[[#This Row],[mergeDate]]), 3,2)&amp;"'m"&amp;MONTH(patch[[#This Row],[mergeDate]]))</f>
        <v>16'm9</v>
      </c>
      <c r="V147" s="7" t="str">
        <f>IF(ISBLANK(patch[[#This Row],[project]]), "",SUM(patch[[#This Row],[BJ -1 num]:[SH -1 num]]))</f>
        <v/>
      </c>
      <c r="W147" s="7" t="str">
        <f>IF(ISBLANK(patch[[#This Row],[project]]), "",COUNTIFS($A:$A,patch[[#This Row],[number]],$S:$S, "BJ And dev",$AC:$AC, "Review-1"))</f>
        <v/>
      </c>
      <c r="X147" s="7" t="str">
        <f>IF(ISBLANK(patch[[#This Row],[project]]), "",COUNTIFS($A:$A,patch[[#This Row],[number]],$S:$S, "FL And dev",$AC:$AC, "Review-1"))</f>
        <v/>
      </c>
      <c r="Y147" s="7" t="str">
        <f>IF(ISBLANK(patch[[#This Row],[project]]), "",COUNTIFS($A:$A,patch[[#This Row],[number]],$S:$S, "SH And dev",$AC:$AC, "Review-1"))</f>
        <v/>
      </c>
      <c r="Z147" s="7" t="str">
        <f>IF(ISBLANK(patch[[#This Row],[project]]), "",COUNTIFS($A:$A,patch[[#This Row],[number]],$S:$S, "BJ And dev",$AD:$AD, "&lt;&gt;IntegratorValidationComment"))</f>
        <v/>
      </c>
      <c r="AA147" s="7" t="str">
        <f>IF(ISBLANK(patch[[#This Row],[project]]), "",COUNTIFS($A:$A,patch[[#This Row],[number]],$S:$S, "FL And dev",$AD:$AD, "&lt;&gt;IntegratorValidationComment"))</f>
        <v/>
      </c>
      <c r="AB147" s="7" t="str">
        <f>IF(ISBLANK(patch[[#This Row],[project]]), "",COUNTIFS($A:$A,patch[[#This Row],[number]],$S:$S, "SH And dev",$AD:$AD, "&lt;&gt;IntegratorValidationComment"))</f>
        <v/>
      </c>
      <c r="AC147" s="7" t="str">
        <f>IF(OR(ISNUMBER(FIND("Review-1", patch[[#This Row],[comments]])), ISNUMBER(FIND("Approver-1", patch[[#This Row],[comments]]))), "Review-1", "")</f>
        <v/>
      </c>
      <c r="AD1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7" s="7">
        <f>IF(ISBLANK(patch[[#This Row],[number]]),AE146,patch[[#This Row],[ifCommon]])</f>
        <v>0</v>
      </c>
    </row>
    <row r="148" spans="1:31">
      <c r="A148" s="151">
        <v>146922</v>
      </c>
      <c r="B148" s="151"/>
      <c r="C148" s="151"/>
      <c r="D148" s="151"/>
      <c r="E148" s="151"/>
      <c r="F148" s="151"/>
      <c r="G148" s="151"/>
      <c r="H148" s="151"/>
      <c r="I148" s="151"/>
      <c r="J148" s="152">
        <v>42640.690821759257</v>
      </c>
      <c r="K148" s="151"/>
      <c r="L148" s="151" t="s">
        <v>32</v>
      </c>
      <c r="M148" s="152">
        <v>42635.618854166663</v>
      </c>
      <c r="N148" s="151" t="s">
        <v>2661</v>
      </c>
      <c r="O148" s="151" t="s">
        <v>2662</v>
      </c>
      <c r="P148" s="151"/>
      <c r="Q148" s="7" t="str">
        <f>IF(ISBLANK(patch[[#This Row],[OwnerEmail]]),Q147,patch[[#This Row],[OwnerEmail]])</f>
        <v>xi.cao@intel.com</v>
      </c>
      <c r="R148" s="7" t="str">
        <f>_xlfn.IFNA(VLOOKUP(patch[[#This Row],[tmp-owner.email]],OrgTree!$A:$K, 11, 0), "not ICG SWFW")</f>
        <v>BJ And dev</v>
      </c>
      <c r="S148" s="7" t="str">
        <f>IF(patch[[#This Row],[reviewer]]=patch[[#This Row],[tmp-owner.email]], "author", _xlfn.IFNA(VLOOKUP(patch[[#This Row],[reviewer]],OrgTree!$A:$K, 11, 0), "not ICG SWFW"))</f>
        <v>BJ And dev</v>
      </c>
      <c r="T148" s="7" t="str">
        <f>IF(ISBLANK(patch[[#This Row],[mergeDate]]), "", MID(YEAR(patch[[#This Row],[mergeDate]]), 3,2)&amp;"'ww"&amp;WEEKNUM(patch[[#This Row],[mergeDate]]))</f>
        <v>16'ww40</v>
      </c>
      <c r="U148" s="7" t="str">
        <f>IF(ISBLANK(patch[[#This Row],[mergeDate]]), U147, MID(YEAR(patch[[#This Row],[mergeDate]]), 3,2)&amp;"'m"&amp;MONTH(patch[[#This Row],[mergeDate]]))</f>
        <v>16'm9</v>
      </c>
      <c r="V148" s="7" t="str">
        <f>IF(ISBLANK(patch[[#This Row],[project]]), "",SUM(patch[[#This Row],[BJ -1 num]:[SH -1 num]]))</f>
        <v/>
      </c>
      <c r="W148" s="7" t="str">
        <f>IF(ISBLANK(patch[[#This Row],[project]]), "",COUNTIFS($A:$A,patch[[#This Row],[number]],$S:$S, "BJ And dev",$AC:$AC, "Review-1"))</f>
        <v/>
      </c>
      <c r="X148" s="7" t="str">
        <f>IF(ISBLANK(patch[[#This Row],[project]]), "",COUNTIFS($A:$A,patch[[#This Row],[number]],$S:$S, "FL And dev",$AC:$AC, "Review-1"))</f>
        <v/>
      </c>
      <c r="Y148" s="7" t="str">
        <f>IF(ISBLANK(patch[[#This Row],[project]]), "",COUNTIFS($A:$A,patch[[#This Row],[number]],$S:$S, "SH And dev",$AC:$AC, "Review-1"))</f>
        <v/>
      </c>
      <c r="Z148" s="7" t="str">
        <f>IF(ISBLANK(patch[[#This Row],[project]]), "",COUNTIFS($A:$A,patch[[#This Row],[number]],$S:$S, "BJ And dev",$AD:$AD, "&lt;&gt;IntegratorValidationComment"))</f>
        <v/>
      </c>
      <c r="AA148" s="7" t="str">
        <f>IF(ISBLANK(patch[[#This Row],[project]]), "",COUNTIFS($A:$A,patch[[#This Row],[number]],$S:$S, "FL And dev",$AD:$AD, "&lt;&gt;IntegratorValidationComment"))</f>
        <v/>
      </c>
      <c r="AB148" s="7" t="str">
        <f>IF(ISBLANK(patch[[#This Row],[project]]), "",COUNTIFS($A:$A,patch[[#This Row],[number]],$S:$S, "SH And dev",$AD:$AD, "&lt;&gt;IntegratorValidationComment"))</f>
        <v/>
      </c>
      <c r="AC148" s="7" t="str">
        <f>IF(OR(ISNUMBER(FIND("Review-1", patch[[#This Row],[comments]])), ISNUMBER(FIND("Approver-1", patch[[#This Row],[comments]]))), "Review-1", "")</f>
        <v>Review-1</v>
      </c>
      <c r="AD1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8" s="7">
        <f>IF(ISBLANK(patch[[#This Row],[number]]),AE147,patch[[#This Row],[ifCommon]])</f>
        <v>0</v>
      </c>
    </row>
    <row r="149" spans="1:31">
      <c r="A149" s="151">
        <v>146922</v>
      </c>
      <c r="B149" s="151"/>
      <c r="C149" s="151"/>
      <c r="D149" s="151"/>
      <c r="E149" s="151"/>
      <c r="F149" s="151"/>
      <c r="G149" s="151"/>
      <c r="H149" s="151"/>
      <c r="I149" s="151"/>
      <c r="J149" s="152">
        <v>42640.690821759257</v>
      </c>
      <c r="K149" s="151"/>
      <c r="L149" s="151" t="s">
        <v>1203</v>
      </c>
      <c r="M149" s="152">
        <v>42635.639131944437</v>
      </c>
      <c r="N149" s="151" t="s">
        <v>2511</v>
      </c>
      <c r="O149" s="151" t="s">
        <v>2663</v>
      </c>
      <c r="P149" s="151"/>
      <c r="Q149" s="7" t="str">
        <f>IF(ISBLANK(patch[[#This Row],[OwnerEmail]]),Q148,patch[[#This Row],[OwnerEmail]])</f>
        <v>xi.cao@intel.com</v>
      </c>
      <c r="R149" s="7" t="str">
        <f>_xlfn.IFNA(VLOOKUP(patch[[#This Row],[tmp-owner.email]],OrgTree!$A:$K, 11, 0), "not ICG SWFW")</f>
        <v>BJ And dev</v>
      </c>
      <c r="S149" s="7" t="str">
        <f>IF(patch[[#This Row],[reviewer]]=patch[[#This Row],[tmp-owner.email]], "author", _xlfn.IFNA(VLOOKUP(patch[[#This Row],[reviewer]],OrgTree!$A:$K, 11, 0), "not ICG SWFW"))</f>
        <v>author</v>
      </c>
      <c r="T149" s="7" t="str">
        <f>IF(ISBLANK(patch[[#This Row],[mergeDate]]), "", MID(YEAR(patch[[#This Row],[mergeDate]]), 3,2)&amp;"'ww"&amp;WEEKNUM(patch[[#This Row],[mergeDate]]))</f>
        <v>16'ww40</v>
      </c>
      <c r="U149" s="7" t="str">
        <f>IF(ISBLANK(patch[[#This Row],[mergeDate]]), U148, MID(YEAR(patch[[#This Row],[mergeDate]]), 3,2)&amp;"'m"&amp;MONTH(patch[[#This Row],[mergeDate]]))</f>
        <v>16'm9</v>
      </c>
      <c r="V149" s="7" t="str">
        <f>IF(ISBLANK(patch[[#This Row],[project]]), "",SUM(patch[[#This Row],[BJ -1 num]:[SH -1 num]]))</f>
        <v/>
      </c>
      <c r="W149" s="7" t="str">
        <f>IF(ISBLANK(patch[[#This Row],[project]]), "",COUNTIFS($A:$A,patch[[#This Row],[number]],$S:$S, "BJ And dev",$AC:$AC, "Review-1"))</f>
        <v/>
      </c>
      <c r="X149" s="7" t="str">
        <f>IF(ISBLANK(patch[[#This Row],[project]]), "",COUNTIFS($A:$A,patch[[#This Row],[number]],$S:$S, "FL And dev",$AC:$AC, "Review-1"))</f>
        <v/>
      </c>
      <c r="Y149" s="7" t="str">
        <f>IF(ISBLANK(patch[[#This Row],[project]]), "",COUNTIFS($A:$A,patch[[#This Row],[number]],$S:$S, "SH And dev",$AC:$AC, "Review-1"))</f>
        <v/>
      </c>
      <c r="Z149" s="7" t="str">
        <f>IF(ISBLANK(patch[[#This Row],[project]]), "",COUNTIFS($A:$A,patch[[#This Row],[number]],$S:$S, "BJ And dev",$AD:$AD, "&lt;&gt;IntegratorValidationComment"))</f>
        <v/>
      </c>
      <c r="AA149" s="7" t="str">
        <f>IF(ISBLANK(patch[[#This Row],[project]]), "",COUNTIFS($A:$A,patch[[#This Row],[number]],$S:$S, "FL And dev",$AD:$AD, "&lt;&gt;IntegratorValidationComment"))</f>
        <v/>
      </c>
      <c r="AB149" s="7" t="str">
        <f>IF(ISBLANK(patch[[#This Row],[project]]), "",COUNTIFS($A:$A,patch[[#This Row],[number]],$S:$S, "SH And dev",$AD:$AD, "&lt;&gt;IntegratorValidationComment"))</f>
        <v/>
      </c>
      <c r="AC149" s="7" t="str">
        <f>IF(OR(ISNUMBER(FIND("Review-1", patch[[#This Row],[comments]])), ISNUMBER(FIND("Approver-1", patch[[#This Row],[comments]]))), "Review-1", "")</f>
        <v/>
      </c>
      <c r="AD1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9" s="7">
        <f>IF(ISBLANK(patch[[#This Row],[number]]),AE148,patch[[#This Row],[ifCommon]])</f>
        <v>0</v>
      </c>
    </row>
    <row r="150" spans="1:31">
      <c r="A150" s="151">
        <v>146922</v>
      </c>
      <c r="B150" s="151"/>
      <c r="C150" s="151"/>
      <c r="D150" s="151"/>
      <c r="E150" s="151"/>
      <c r="F150" s="151"/>
      <c r="G150" s="151"/>
      <c r="H150" s="151"/>
      <c r="I150" s="151"/>
      <c r="J150" s="152">
        <v>42640.690821759257</v>
      </c>
      <c r="K150" s="151"/>
      <c r="L150" s="151" t="s">
        <v>1203</v>
      </c>
      <c r="M150" s="152">
        <v>42635.640092592592</v>
      </c>
      <c r="N150" s="151" t="s">
        <v>2467</v>
      </c>
      <c r="O150" s="151"/>
      <c r="P150" s="151"/>
      <c r="Q150" s="7" t="str">
        <f>IF(ISBLANK(patch[[#This Row],[OwnerEmail]]),Q149,patch[[#This Row],[OwnerEmail]])</f>
        <v>xi.cao@intel.com</v>
      </c>
      <c r="R150" s="7" t="str">
        <f>_xlfn.IFNA(VLOOKUP(patch[[#This Row],[tmp-owner.email]],OrgTree!$A:$K, 11, 0), "not ICG SWFW")</f>
        <v>BJ And dev</v>
      </c>
      <c r="S150" s="7" t="str">
        <f>IF(patch[[#This Row],[reviewer]]=patch[[#This Row],[tmp-owner.email]], "author", _xlfn.IFNA(VLOOKUP(patch[[#This Row],[reviewer]],OrgTree!$A:$K, 11, 0), "not ICG SWFW"))</f>
        <v>author</v>
      </c>
      <c r="T150" s="7" t="str">
        <f>IF(ISBLANK(patch[[#This Row],[mergeDate]]), "", MID(YEAR(patch[[#This Row],[mergeDate]]), 3,2)&amp;"'ww"&amp;WEEKNUM(patch[[#This Row],[mergeDate]]))</f>
        <v>16'ww40</v>
      </c>
      <c r="U150" s="7" t="str">
        <f>IF(ISBLANK(patch[[#This Row],[mergeDate]]), U149, MID(YEAR(patch[[#This Row],[mergeDate]]), 3,2)&amp;"'m"&amp;MONTH(patch[[#This Row],[mergeDate]]))</f>
        <v>16'm9</v>
      </c>
      <c r="V150" s="7" t="str">
        <f>IF(ISBLANK(patch[[#This Row],[project]]), "",SUM(patch[[#This Row],[BJ -1 num]:[SH -1 num]]))</f>
        <v/>
      </c>
      <c r="W150" s="7" t="str">
        <f>IF(ISBLANK(patch[[#This Row],[project]]), "",COUNTIFS($A:$A,patch[[#This Row],[number]],$S:$S, "BJ And dev",$AC:$AC, "Review-1"))</f>
        <v/>
      </c>
      <c r="X150" s="7" t="str">
        <f>IF(ISBLANK(patch[[#This Row],[project]]), "",COUNTIFS($A:$A,patch[[#This Row],[number]],$S:$S, "FL And dev",$AC:$AC, "Review-1"))</f>
        <v/>
      </c>
      <c r="Y150" s="7" t="str">
        <f>IF(ISBLANK(patch[[#This Row],[project]]), "",COUNTIFS($A:$A,patch[[#This Row],[number]],$S:$S, "SH And dev",$AC:$AC, "Review-1"))</f>
        <v/>
      </c>
      <c r="Z150" s="7" t="str">
        <f>IF(ISBLANK(patch[[#This Row],[project]]), "",COUNTIFS($A:$A,patch[[#This Row],[number]],$S:$S, "BJ And dev",$AD:$AD, "&lt;&gt;IntegratorValidationComment"))</f>
        <v/>
      </c>
      <c r="AA150" s="7" t="str">
        <f>IF(ISBLANK(patch[[#This Row],[project]]), "",COUNTIFS($A:$A,patch[[#This Row],[number]],$S:$S, "FL And dev",$AD:$AD, "&lt;&gt;IntegratorValidationComment"))</f>
        <v/>
      </c>
      <c r="AB150" s="7" t="str">
        <f>IF(ISBLANK(patch[[#This Row],[project]]), "",COUNTIFS($A:$A,patch[[#This Row],[number]],$S:$S, "SH And dev",$AD:$AD, "&lt;&gt;IntegratorValidationComment"))</f>
        <v/>
      </c>
      <c r="AC150" s="7" t="str">
        <f>IF(OR(ISNUMBER(FIND("Review-1", patch[[#This Row],[comments]])), ISNUMBER(FIND("Approver-1", patch[[#This Row],[comments]]))), "Review-1", "")</f>
        <v/>
      </c>
      <c r="AD1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0" s="7">
        <f>IF(ISBLANK(patch[[#This Row],[number]]),AE149,patch[[#This Row],[ifCommon]])</f>
        <v>0</v>
      </c>
    </row>
    <row r="151" spans="1:31">
      <c r="A151" s="151">
        <v>146922</v>
      </c>
      <c r="B151" s="151"/>
      <c r="C151" s="151"/>
      <c r="D151" s="151"/>
      <c r="E151" s="151"/>
      <c r="F151" s="151"/>
      <c r="G151" s="151"/>
      <c r="H151" s="151"/>
      <c r="I151" s="151"/>
      <c r="J151" s="152">
        <v>42640.690821759257</v>
      </c>
      <c r="K151" s="151"/>
      <c r="L151" s="151" t="s">
        <v>1203</v>
      </c>
      <c r="M151" s="152">
        <v>42635.640092592592</v>
      </c>
      <c r="N151" s="151" t="s">
        <v>1866</v>
      </c>
      <c r="O151" s="151"/>
      <c r="P151" s="151"/>
      <c r="Q151" s="7" t="str">
        <f>IF(ISBLANK(patch[[#This Row],[OwnerEmail]]),Q150,patch[[#This Row],[OwnerEmail]])</f>
        <v>xi.cao@intel.com</v>
      </c>
      <c r="R151" s="7" t="str">
        <f>_xlfn.IFNA(VLOOKUP(patch[[#This Row],[tmp-owner.email]],OrgTree!$A:$K, 11, 0), "not ICG SWFW")</f>
        <v>BJ And dev</v>
      </c>
      <c r="S151" s="7" t="str">
        <f>IF(patch[[#This Row],[reviewer]]=patch[[#This Row],[tmp-owner.email]], "author", _xlfn.IFNA(VLOOKUP(patch[[#This Row],[reviewer]],OrgTree!$A:$K, 11, 0), "not ICG SWFW"))</f>
        <v>author</v>
      </c>
      <c r="T151" s="7" t="str">
        <f>IF(ISBLANK(patch[[#This Row],[mergeDate]]), "", MID(YEAR(patch[[#This Row],[mergeDate]]), 3,2)&amp;"'ww"&amp;WEEKNUM(patch[[#This Row],[mergeDate]]))</f>
        <v>16'ww40</v>
      </c>
      <c r="U151" s="7" t="str">
        <f>IF(ISBLANK(patch[[#This Row],[mergeDate]]), U150, MID(YEAR(patch[[#This Row],[mergeDate]]), 3,2)&amp;"'m"&amp;MONTH(patch[[#This Row],[mergeDate]]))</f>
        <v>16'm9</v>
      </c>
      <c r="V151" s="7" t="str">
        <f>IF(ISBLANK(patch[[#This Row],[project]]), "",SUM(patch[[#This Row],[BJ -1 num]:[SH -1 num]]))</f>
        <v/>
      </c>
      <c r="W151" s="7" t="str">
        <f>IF(ISBLANK(patch[[#This Row],[project]]), "",COUNTIFS($A:$A,patch[[#This Row],[number]],$S:$S, "BJ And dev",$AC:$AC, "Review-1"))</f>
        <v/>
      </c>
      <c r="X151" s="7" t="str">
        <f>IF(ISBLANK(patch[[#This Row],[project]]), "",COUNTIFS($A:$A,patch[[#This Row],[number]],$S:$S, "FL And dev",$AC:$AC, "Review-1"))</f>
        <v/>
      </c>
      <c r="Y151" s="7" t="str">
        <f>IF(ISBLANK(patch[[#This Row],[project]]), "",COUNTIFS($A:$A,patch[[#This Row],[number]],$S:$S, "SH And dev",$AC:$AC, "Review-1"))</f>
        <v/>
      </c>
      <c r="Z151" s="7" t="str">
        <f>IF(ISBLANK(patch[[#This Row],[project]]), "",COUNTIFS($A:$A,patch[[#This Row],[number]],$S:$S, "BJ And dev",$AD:$AD, "&lt;&gt;IntegratorValidationComment"))</f>
        <v/>
      </c>
      <c r="AA151" s="7" t="str">
        <f>IF(ISBLANK(patch[[#This Row],[project]]), "",COUNTIFS($A:$A,patch[[#This Row],[number]],$S:$S, "FL And dev",$AD:$AD, "&lt;&gt;IntegratorValidationComment"))</f>
        <v/>
      </c>
      <c r="AB151" s="7" t="str">
        <f>IF(ISBLANK(patch[[#This Row],[project]]), "",COUNTIFS($A:$A,patch[[#This Row],[number]],$S:$S, "SH And dev",$AD:$AD, "&lt;&gt;IntegratorValidationComment"))</f>
        <v/>
      </c>
      <c r="AC151" s="7" t="str">
        <f>IF(OR(ISNUMBER(FIND("Review-1", patch[[#This Row],[comments]])), ISNUMBER(FIND("Approver-1", patch[[#This Row],[comments]]))), "Review-1", "")</f>
        <v/>
      </c>
      <c r="AD1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1" s="7">
        <f>IF(ISBLANK(patch[[#This Row],[number]]),AE150,patch[[#This Row],[ifCommon]])</f>
        <v>0</v>
      </c>
    </row>
    <row r="152" spans="1:31">
      <c r="A152" s="151">
        <v>146922</v>
      </c>
      <c r="B152" s="151"/>
      <c r="C152" s="151"/>
      <c r="D152" s="151"/>
      <c r="E152" s="151"/>
      <c r="F152" s="151"/>
      <c r="G152" s="151"/>
      <c r="H152" s="151"/>
      <c r="I152" s="151"/>
      <c r="J152" s="152">
        <v>42640.690821759257</v>
      </c>
      <c r="K152" s="151"/>
      <c r="L152" s="151" t="s">
        <v>1203</v>
      </c>
      <c r="M152" s="152">
        <v>42635.64371527778</v>
      </c>
      <c r="N152" s="151" t="s">
        <v>1849</v>
      </c>
      <c r="O152" s="151"/>
      <c r="P152" s="151"/>
      <c r="Q152" s="7" t="str">
        <f>IF(ISBLANK(patch[[#This Row],[OwnerEmail]]),Q151,patch[[#This Row],[OwnerEmail]])</f>
        <v>xi.cao@intel.com</v>
      </c>
      <c r="R152" s="7" t="str">
        <f>_xlfn.IFNA(VLOOKUP(patch[[#This Row],[tmp-owner.email]],OrgTree!$A:$K, 11, 0), "not ICG SWFW")</f>
        <v>BJ And dev</v>
      </c>
      <c r="S152" s="7" t="str">
        <f>IF(patch[[#This Row],[reviewer]]=patch[[#This Row],[tmp-owner.email]], "author", _xlfn.IFNA(VLOOKUP(patch[[#This Row],[reviewer]],OrgTree!$A:$K, 11, 0), "not ICG SWFW"))</f>
        <v>author</v>
      </c>
      <c r="T152" s="7" t="str">
        <f>IF(ISBLANK(patch[[#This Row],[mergeDate]]), "", MID(YEAR(patch[[#This Row],[mergeDate]]), 3,2)&amp;"'ww"&amp;WEEKNUM(patch[[#This Row],[mergeDate]]))</f>
        <v>16'ww40</v>
      </c>
      <c r="U152" s="7" t="str">
        <f>IF(ISBLANK(patch[[#This Row],[mergeDate]]), U151, MID(YEAR(patch[[#This Row],[mergeDate]]), 3,2)&amp;"'m"&amp;MONTH(patch[[#This Row],[mergeDate]]))</f>
        <v>16'm9</v>
      </c>
      <c r="V152" s="7" t="str">
        <f>IF(ISBLANK(patch[[#This Row],[project]]), "",SUM(patch[[#This Row],[BJ -1 num]:[SH -1 num]]))</f>
        <v/>
      </c>
      <c r="W152" s="7" t="str">
        <f>IF(ISBLANK(patch[[#This Row],[project]]), "",COUNTIFS($A:$A,patch[[#This Row],[number]],$S:$S, "BJ And dev",$AC:$AC, "Review-1"))</f>
        <v/>
      </c>
      <c r="X152" s="7" t="str">
        <f>IF(ISBLANK(patch[[#This Row],[project]]), "",COUNTIFS($A:$A,patch[[#This Row],[number]],$S:$S, "FL And dev",$AC:$AC, "Review-1"))</f>
        <v/>
      </c>
      <c r="Y152" s="7" t="str">
        <f>IF(ISBLANK(patch[[#This Row],[project]]), "",COUNTIFS($A:$A,patch[[#This Row],[number]],$S:$S, "SH And dev",$AC:$AC, "Review-1"))</f>
        <v/>
      </c>
      <c r="Z152" s="7" t="str">
        <f>IF(ISBLANK(patch[[#This Row],[project]]), "",COUNTIFS($A:$A,patch[[#This Row],[number]],$S:$S, "BJ And dev",$AD:$AD, "&lt;&gt;IntegratorValidationComment"))</f>
        <v/>
      </c>
      <c r="AA152" s="7" t="str">
        <f>IF(ISBLANK(patch[[#This Row],[project]]), "",COUNTIFS($A:$A,patch[[#This Row],[number]],$S:$S, "FL And dev",$AD:$AD, "&lt;&gt;IntegratorValidationComment"))</f>
        <v/>
      </c>
      <c r="AB152" s="7" t="str">
        <f>IF(ISBLANK(patch[[#This Row],[project]]), "",COUNTIFS($A:$A,patch[[#This Row],[number]],$S:$S, "SH And dev",$AD:$AD, "&lt;&gt;IntegratorValidationComment"))</f>
        <v/>
      </c>
      <c r="AC152" s="7" t="str">
        <f>IF(OR(ISNUMBER(FIND("Review-1", patch[[#This Row],[comments]])), ISNUMBER(FIND("Approver-1", patch[[#This Row],[comments]]))), "Review-1", "")</f>
        <v/>
      </c>
      <c r="AD1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2" s="7">
        <f>IF(ISBLANK(patch[[#This Row],[number]]),AE151,patch[[#This Row],[ifCommon]])</f>
        <v>0</v>
      </c>
    </row>
    <row r="153" spans="1:31">
      <c r="A153" s="151">
        <v>146922</v>
      </c>
      <c r="B153" s="151"/>
      <c r="C153" s="151"/>
      <c r="D153" s="151"/>
      <c r="E153" s="151"/>
      <c r="F153" s="151"/>
      <c r="G153" s="151"/>
      <c r="H153" s="151"/>
      <c r="I153" s="151"/>
      <c r="J153" s="152">
        <v>42640.690821759257</v>
      </c>
      <c r="K153" s="151"/>
      <c r="L153" s="151" t="s">
        <v>63</v>
      </c>
      <c r="M153" s="152">
        <v>42635.649722222217</v>
      </c>
      <c r="N153" s="151" t="s">
        <v>1849</v>
      </c>
      <c r="O153" s="151"/>
      <c r="P153" s="151"/>
      <c r="Q153" s="7" t="str">
        <f>IF(ISBLANK(patch[[#This Row],[OwnerEmail]]),Q152,patch[[#This Row],[OwnerEmail]])</f>
        <v>xi.cao@intel.com</v>
      </c>
      <c r="R153" s="7" t="str">
        <f>_xlfn.IFNA(VLOOKUP(patch[[#This Row],[tmp-owner.email]],OrgTree!$A:$K, 11, 0), "not ICG SWFW")</f>
        <v>BJ And dev</v>
      </c>
      <c r="S153" s="7" t="str">
        <f>IF(patch[[#This Row],[reviewer]]=patch[[#This Row],[tmp-owner.email]], "author", _xlfn.IFNA(VLOOKUP(patch[[#This Row],[reviewer]],OrgTree!$A:$K, 11, 0), "not ICG SWFW"))</f>
        <v>BJ And dev</v>
      </c>
      <c r="T153" s="7" t="str">
        <f>IF(ISBLANK(patch[[#This Row],[mergeDate]]), "", MID(YEAR(patch[[#This Row],[mergeDate]]), 3,2)&amp;"'ww"&amp;WEEKNUM(patch[[#This Row],[mergeDate]]))</f>
        <v>16'ww40</v>
      </c>
      <c r="U153" s="7" t="str">
        <f>IF(ISBLANK(patch[[#This Row],[mergeDate]]), U152, MID(YEAR(patch[[#This Row],[mergeDate]]), 3,2)&amp;"'m"&amp;MONTH(patch[[#This Row],[mergeDate]]))</f>
        <v>16'm9</v>
      </c>
      <c r="V153" s="7" t="str">
        <f>IF(ISBLANK(patch[[#This Row],[project]]), "",SUM(patch[[#This Row],[BJ -1 num]:[SH -1 num]]))</f>
        <v/>
      </c>
      <c r="W153" s="7" t="str">
        <f>IF(ISBLANK(patch[[#This Row],[project]]), "",COUNTIFS($A:$A,patch[[#This Row],[number]],$S:$S, "BJ And dev",$AC:$AC, "Review-1"))</f>
        <v/>
      </c>
      <c r="X153" s="7" t="str">
        <f>IF(ISBLANK(patch[[#This Row],[project]]), "",COUNTIFS($A:$A,patch[[#This Row],[number]],$S:$S, "FL And dev",$AC:$AC, "Review-1"))</f>
        <v/>
      </c>
      <c r="Y153" s="7" t="str">
        <f>IF(ISBLANK(patch[[#This Row],[project]]), "",COUNTIFS($A:$A,patch[[#This Row],[number]],$S:$S, "SH And dev",$AC:$AC, "Review-1"))</f>
        <v/>
      </c>
      <c r="Z153" s="7" t="str">
        <f>IF(ISBLANK(patch[[#This Row],[project]]), "",COUNTIFS($A:$A,patch[[#This Row],[number]],$S:$S, "BJ And dev",$AD:$AD, "&lt;&gt;IntegratorValidationComment"))</f>
        <v/>
      </c>
      <c r="AA153" s="7" t="str">
        <f>IF(ISBLANK(patch[[#This Row],[project]]), "",COUNTIFS($A:$A,patch[[#This Row],[number]],$S:$S, "FL And dev",$AD:$AD, "&lt;&gt;IntegratorValidationComment"))</f>
        <v/>
      </c>
      <c r="AB153" s="7" t="str">
        <f>IF(ISBLANK(patch[[#This Row],[project]]), "",COUNTIFS($A:$A,patch[[#This Row],[number]],$S:$S, "SH And dev",$AD:$AD, "&lt;&gt;IntegratorValidationComment"))</f>
        <v/>
      </c>
      <c r="AC153" s="7" t="str">
        <f>IF(OR(ISNUMBER(FIND("Review-1", patch[[#This Row],[comments]])), ISNUMBER(FIND("Approver-1", patch[[#This Row],[comments]]))), "Review-1", "")</f>
        <v/>
      </c>
      <c r="AD1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3" s="7">
        <f>IF(ISBLANK(patch[[#This Row],[number]]),AE152,patch[[#This Row],[ifCommon]])</f>
        <v>0</v>
      </c>
    </row>
    <row r="154" spans="1:31">
      <c r="A154" s="151">
        <v>146922</v>
      </c>
      <c r="B154" s="151"/>
      <c r="C154" s="151"/>
      <c r="D154" s="151"/>
      <c r="E154" s="151"/>
      <c r="F154" s="151"/>
      <c r="G154" s="151"/>
      <c r="H154" s="151"/>
      <c r="I154" s="151"/>
      <c r="J154" s="152">
        <v>42640.690821759257</v>
      </c>
      <c r="K154" s="151"/>
      <c r="L154" s="151" t="s">
        <v>59</v>
      </c>
      <c r="M154" s="152">
        <v>42635.65415509259</v>
      </c>
      <c r="N154" s="151" t="s">
        <v>2664</v>
      </c>
      <c r="O154" s="151"/>
      <c r="P154" s="151"/>
      <c r="Q154" s="7" t="str">
        <f>IF(ISBLANK(patch[[#This Row],[OwnerEmail]]),Q153,patch[[#This Row],[OwnerEmail]])</f>
        <v>xi.cao@intel.com</v>
      </c>
      <c r="R154" s="7" t="str">
        <f>_xlfn.IFNA(VLOOKUP(patch[[#This Row],[tmp-owner.email]],OrgTree!$A:$K, 11, 0), "not ICG SWFW")</f>
        <v>BJ And dev</v>
      </c>
      <c r="S154" s="7" t="str">
        <f>IF(patch[[#This Row],[reviewer]]=patch[[#This Row],[tmp-owner.email]], "author", _xlfn.IFNA(VLOOKUP(patch[[#This Row],[reviewer]],OrgTree!$A:$K, 11, 0), "not ICG SWFW"))</f>
        <v>BJ And dev</v>
      </c>
      <c r="T154" s="7" t="str">
        <f>IF(ISBLANK(patch[[#This Row],[mergeDate]]), "", MID(YEAR(patch[[#This Row],[mergeDate]]), 3,2)&amp;"'ww"&amp;WEEKNUM(patch[[#This Row],[mergeDate]]))</f>
        <v>16'ww40</v>
      </c>
      <c r="U154" s="7" t="str">
        <f>IF(ISBLANK(patch[[#This Row],[mergeDate]]), U153, MID(YEAR(patch[[#This Row],[mergeDate]]), 3,2)&amp;"'m"&amp;MONTH(patch[[#This Row],[mergeDate]]))</f>
        <v>16'm9</v>
      </c>
      <c r="V154" s="7" t="str">
        <f>IF(ISBLANK(patch[[#This Row],[project]]), "",SUM(patch[[#This Row],[BJ -1 num]:[SH -1 num]]))</f>
        <v/>
      </c>
      <c r="W154" s="7" t="str">
        <f>IF(ISBLANK(patch[[#This Row],[project]]), "",COUNTIFS($A:$A,patch[[#This Row],[number]],$S:$S, "BJ And dev",$AC:$AC, "Review-1"))</f>
        <v/>
      </c>
      <c r="X154" s="7" t="str">
        <f>IF(ISBLANK(patch[[#This Row],[project]]), "",COUNTIFS($A:$A,patch[[#This Row],[number]],$S:$S, "FL And dev",$AC:$AC, "Review-1"))</f>
        <v/>
      </c>
      <c r="Y154" s="7" t="str">
        <f>IF(ISBLANK(patch[[#This Row],[project]]), "",COUNTIFS($A:$A,patch[[#This Row],[number]],$S:$S, "SH And dev",$AC:$AC, "Review-1"))</f>
        <v/>
      </c>
      <c r="Z154" s="7" t="str">
        <f>IF(ISBLANK(patch[[#This Row],[project]]), "",COUNTIFS($A:$A,patch[[#This Row],[number]],$S:$S, "BJ And dev",$AD:$AD, "&lt;&gt;IntegratorValidationComment"))</f>
        <v/>
      </c>
      <c r="AA154" s="7" t="str">
        <f>IF(ISBLANK(patch[[#This Row],[project]]), "",COUNTIFS($A:$A,patch[[#This Row],[number]],$S:$S, "FL And dev",$AD:$AD, "&lt;&gt;IntegratorValidationComment"))</f>
        <v/>
      </c>
      <c r="AB154" s="7" t="str">
        <f>IF(ISBLANK(patch[[#This Row],[project]]), "",COUNTIFS($A:$A,patch[[#This Row],[number]],$S:$S, "SH And dev",$AD:$AD, "&lt;&gt;IntegratorValidationComment"))</f>
        <v/>
      </c>
      <c r="AC154" s="7" t="str">
        <f>IF(OR(ISNUMBER(FIND("Review-1", patch[[#This Row],[comments]])), ISNUMBER(FIND("Approver-1", patch[[#This Row],[comments]]))), "Review-1", "")</f>
        <v/>
      </c>
      <c r="AD1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4" s="7">
        <f>IF(ISBLANK(patch[[#This Row],[number]]),AE153,patch[[#This Row],[ifCommon]])</f>
        <v>0</v>
      </c>
    </row>
    <row r="155" spans="1:31">
      <c r="A155" s="151">
        <v>146922</v>
      </c>
      <c r="B155" s="151"/>
      <c r="C155" s="151"/>
      <c r="D155" s="151"/>
      <c r="E155" s="151"/>
      <c r="F155" s="151"/>
      <c r="G155" s="151"/>
      <c r="H155" s="151"/>
      <c r="I155" s="151"/>
      <c r="J155" s="152">
        <v>42640.690821759257</v>
      </c>
      <c r="K155" s="151"/>
      <c r="L155" s="151" t="s">
        <v>32</v>
      </c>
      <c r="M155" s="152">
        <v>42635.654583333337</v>
      </c>
      <c r="N155" s="151" t="s">
        <v>2564</v>
      </c>
      <c r="O155" s="151" t="s">
        <v>2665</v>
      </c>
      <c r="P155" s="151"/>
      <c r="Q155" s="7" t="str">
        <f>IF(ISBLANK(patch[[#This Row],[OwnerEmail]]),Q154,patch[[#This Row],[OwnerEmail]])</f>
        <v>xi.cao@intel.com</v>
      </c>
      <c r="R155" s="7" t="str">
        <f>_xlfn.IFNA(VLOOKUP(patch[[#This Row],[tmp-owner.email]],OrgTree!$A:$K, 11, 0), "not ICG SWFW")</f>
        <v>BJ And dev</v>
      </c>
      <c r="S155" s="7" t="str">
        <f>IF(patch[[#This Row],[reviewer]]=patch[[#This Row],[tmp-owner.email]], "author", _xlfn.IFNA(VLOOKUP(patch[[#This Row],[reviewer]],OrgTree!$A:$K, 11, 0), "not ICG SWFW"))</f>
        <v>BJ And dev</v>
      </c>
      <c r="T155" s="7" t="str">
        <f>IF(ISBLANK(patch[[#This Row],[mergeDate]]), "", MID(YEAR(patch[[#This Row],[mergeDate]]), 3,2)&amp;"'ww"&amp;WEEKNUM(patch[[#This Row],[mergeDate]]))</f>
        <v>16'ww40</v>
      </c>
      <c r="U155" s="7" t="str">
        <f>IF(ISBLANK(patch[[#This Row],[mergeDate]]), U154, MID(YEAR(patch[[#This Row],[mergeDate]]), 3,2)&amp;"'m"&amp;MONTH(patch[[#This Row],[mergeDate]]))</f>
        <v>16'm9</v>
      </c>
      <c r="V155" s="7" t="str">
        <f>IF(ISBLANK(patch[[#This Row],[project]]), "",SUM(patch[[#This Row],[BJ -1 num]:[SH -1 num]]))</f>
        <v/>
      </c>
      <c r="W155" s="7" t="str">
        <f>IF(ISBLANK(patch[[#This Row],[project]]), "",COUNTIFS($A:$A,patch[[#This Row],[number]],$S:$S, "BJ And dev",$AC:$AC, "Review-1"))</f>
        <v/>
      </c>
      <c r="X155" s="7" t="str">
        <f>IF(ISBLANK(patch[[#This Row],[project]]), "",COUNTIFS($A:$A,patch[[#This Row],[number]],$S:$S, "FL And dev",$AC:$AC, "Review-1"))</f>
        <v/>
      </c>
      <c r="Y155" s="7" t="str">
        <f>IF(ISBLANK(patch[[#This Row],[project]]), "",COUNTIFS($A:$A,patch[[#This Row],[number]],$S:$S, "SH And dev",$AC:$AC, "Review-1"))</f>
        <v/>
      </c>
      <c r="Z155" s="7" t="str">
        <f>IF(ISBLANK(patch[[#This Row],[project]]), "",COUNTIFS($A:$A,patch[[#This Row],[number]],$S:$S, "BJ And dev",$AD:$AD, "&lt;&gt;IntegratorValidationComment"))</f>
        <v/>
      </c>
      <c r="AA155" s="7" t="str">
        <f>IF(ISBLANK(patch[[#This Row],[project]]), "",COUNTIFS($A:$A,patch[[#This Row],[number]],$S:$S, "FL And dev",$AD:$AD, "&lt;&gt;IntegratorValidationComment"))</f>
        <v/>
      </c>
      <c r="AB155" s="7" t="str">
        <f>IF(ISBLANK(patch[[#This Row],[project]]), "",COUNTIFS($A:$A,patch[[#This Row],[number]],$S:$S, "SH And dev",$AD:$AD, "&lt;&gt;IntegratorValidationComment"))</f>
        <v/>
      </c>
      <c r="AC155" s="7" t="str">
        <f>IF(OR(ISNUMBER(FIND("Review-1", patch[[#This Row],[comments]])), ISNUMBER(FIND("Approver-1", patch[[#This Row],[comments]]))), "Review-1", "")</f>
        <v/>
      </c>
      <c r="AD1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5" s="7">
        <f>IF(ISBLANK(patch[[#This Row],[number]]),AE154,patch[[#This Row],[ifCommon]])</f>
        <v>0</v>
      </c>
    </row>
    <row r="156" spans="1:31">
      <c r="A156" s="151">
        <v>146922</v>
      </c>
      <c r="B156" s="151"/>
      <c r="C156" s="151"/>
      <c r="D156" s="151"/>
      <c r="E156" s="151"/>
      <c r="F156" s="151"/>
      <c r="G156" s="151"/>
      <c r="H156" s="151"/>
      <c r="I156" s="151"/>
      <c r="J156" s="152">
        <v>42640.690821759257</v>
      </c>
      <c r="K156" s="151"/>
      <c r="L156" s="151" t="s">
        <v>59</v>
      </c>
      <c r="M156" s="152">
        <v>42635.662627314807</v>
      </c>
      <c r="N156" s="151" t="s">
        <v>2666</v>
      </c>
      <c r="O156" s="151"/>
      <c r="P156" s="151"/>
      <c r="Q156" s="7" t="str">
        <f>IF(ISBLANK(patch[[#This Row],[OwnerEmail]]),Q155,patch[[#This Row],[OwnerEmail]])</f>
        <v>xi.cao@intel.com</v>
      </c>
      <c r="R156" s="7" t="str">
        <f>_xlfn.IFNA(VLOOKUP(patch[[#This Row],[tmp-owner.email]],OrgTree!$A:$K, 11, 0), "not ICG SWFW")</f>
        <v>BJ And dev</v>
      </c>
      <c r="S156" s="7" t="str">
        <f>IF(patch[[#This Row],[reviewer]]=patch[[#This Row],[tmp-owner.email]], "author", _xlfn.IFNA(VLOOKUP(patch[[#This Row],[reviewer]],OrgTree!$A:$K, 11, 0), "not ICG SWFW"))</f>
        <v>BJ And dev</v>
      </c>
      <c r="T156" s="7" t="str">
        <f>IF(ISBLANK(patch[[#This Row],[mergeDate]]), "", MID(YEAR(patch[[#This Row],[mergeDate]]), 3,2)&amp;"'ww"&amp;WEEKNUM(patch[[#This Row],[mergeDate]]))</f>
        <v>16'ww40</v>
      </c>
      <c r="U156" s="7" t="str">
        <f>IF(ISBLANK(patch[[#This Row],[mergeDate]]), U155, MID(YEAR(patch[[#This Row],[mergeDate]]), 3,2)&amp;"'m"&amp;MONTH(patch[[#This Row],[mergeDate]]))</f>
        <v>16'm9</v>
      </c>
      <c r="V156" s="7" t="str">
        <f>IF(ISBLANK(patch[[#This Row],[project]]), "",SUM(patch[[#This Row],[BJ -1 num]:[SH -1 num]]))</f>
        <v/>
      </c>
      <c r="W156" s="7" t="str">
        <f>IF(ISBLANK(patch[[#This Row],[project]]), "",COUNTIFS($A:$A,patch[[#This Row],[number]],$S:$S, "BJ And dev",$AC:$AC, "Review-1"))</f>
        <v/>
      </c>
      <c r="X156" s="7" t="str">
        <f>IF(ISBLANK(patch[[#This Row],[project]]), "",COUNTIFS($A:$A,patch[[#This Row],[number]],$S:$S, "FL And dev",$AC:$AC, "Review-1"))</f>
        <v/>
      </c>
      <c r="Y156" s="7" t="str">
        <f>IF(ISBLANK(patch[[#This Row],[project]]), "",COUNTIFS($A:$A,patch[[#This Row],[number]],$S:$S, "SH And dev",$AC:$AC, "Review-1"))</f>
        <v/>
      </c>
      <c r="Z156" s="7" t="str">
        <f>IF(ISBLANK(patch[[#This Row],[project]]), "",COUNTIFS($A:$A,patch[[#This Row],[number]],$S:$S, "BJ And dev",$AD:$AD, "&lt;&gt;IntegratorValidationComment"))</f>
        <v/>
      </c>
      <c r="AA156" s="7" t="str">
        <f>IF(ISBLANK(patch[[#This Row],[project]]), "",COUNTIFS($A:$A,patch[[#This Row],[number]],$S:$S, "FL And dev",$AD:$AD, "&lt;&gt;IntegratorValidationComment"))</f>
        <v/>
      </c>
      <c r="AB156" s="7" t="str">
        <f>IF(ISBLANK(patch[[#This Row],[project]]), "",COUNTIFS($A:$A,patch[[#This Row],[number]],$S:$S, "SH And dev",$AD:$AD, "&lt;&gt;IntegratorValidationComment"))</f>
        <v/>
      </c>
      <c r="AC156" s="7" t="str">
        <f>IF(OR(ISNUMBER(FIND("Review-1", patch[[#This Row],[comments]])), ISNUMBER(FIND("Approver-1", patch[[#This Row],[comments]]))), "Review-1", "")</f>
        <v/>
      </c>
      <c r="AD1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6" s="7">
        <f>IF(ISBLANK(patch[[#This Row],[number]]),AE155,patch[[#This Row],[ifCommon]])</f>
        <v>0</v>
      </c>
    </row>
    <row r="157" spans="1:31">
      <c r="A157" s="151">
        <v>146922</v>
      </c>
      <c r="B157" s="151"/>
      <c r="C157" s="151"/>
      <c r="D157" s="151"/>
      <c r="E157" s="151"/>
      <c r="F157" s="151"/>
      <c r="G157" s="151"/>
      <c r="H157" s="151"/>
      <c r="I157" s="151"/>
      <c r="J157" s="152">
        <v>42640.690821759257</v>
      </c>
      <c r="K157" s="151"/>
      <c r="L157" s="151" t="s">
        <v>1203</v>
      </c>
      <c r="M157" s="152">
        <v>42635.676932870367</v>
      </c>
      <c r="N157" s="151" t="s">
        <v>2667</v>
      </c>
      <c r="O157" s="151" t="s">
        <v>2668</v>
      </c>
      <c r="P157" s="151"/>
      <c r="Q157" s="7" t="str">
        <f>IF(ISBLANK(patch[[#This Row],[OwnerEmail]]),Q156,patch[[#This Row],[OwnerEmail]])</f>
        <v>xi.cao@intel.com</v>
      </c>
      <c r="R157" s="7" t="str">
        <f>_xlfn.IFNA(VLOOKUP(patch[[#This Row],[tmp-owner.email]],OrgTree!$A:$K, 11, 0), "not ICG SWFW")</f>
        <v>BJ And dev</v>
      </c>
      <c r="S157" s="7" t="str">
        <f>IF(patch[[#This Row],[reviewer]]=patch[[#This Row],[tmp-owner.email]], "author", _xlfn.IFNA(VLOOKUP(patch[[#This Row],[reviewer]],OrgTree!$A:$K, 11, 0), "not ICG SWFW"))</f>
        <v>author</v>
      </c>
      <c r="T157" s="7" t="str">
        <f>IF(ISBLANK(patch[[#This Row],[mergeDate]]), "", MID(YEAR(patch[[#This Row],[mergeDate]]), 3,2)&amp;"'ww"&amp;WEEKNUM(patch[[#This Row],[mergeDate]]))</f>
        <v>16'ww40</v>
      </c>
      <c r="U157" s="7" t="str">
        <f>IF(ISBLANK(patch[[#This Row],[mergeDate]]), U156, MID(YEAR(patch[[#This Row],[mergeDate]]), 3,2)&amp;"'m"&amp;MONTH(patch[[#This Row],[mergeDate]]))</f>
        <v>16'm9</v>
      </c>
      <c r="V157" s="7" t="str">
        <f>IF(ISBLANK(patch[[#This Row],[project]]), "",SUM(patch[[#This Row],[BJ -1 num]:[SH -1 num]]))</f>
        <v/>
      </c>
      <c r="W157" s="7" t="str">
        <f>IF(ISBLANK(patch[[#This Row],[project]]), "",COUNTIFS($A:$A,patch[[#This Row],[number]],$S:$S, "BJ And dev",$AC:$AC, "Review-1"))</f>
        <v/>
      </c>
      <c r="X157" s="7" t="str">
        <f>IF(ISBLANK(patch[[#This Row],[project]]), "",COUNTIFS($A:$A,patch[[#This Row],[number]],$S:$S, "FL And dev",$AC:$AC, "Review-1"))</f>
        <v/>
      </c>
      <c r="Y157" s="7" t="str">
        <f>IF(ISBLANK(patch[[#This Row],[project]]), "",COUNTIFS($A:$A,patch[[#This Row],[number]],$S:$S, "SH And dev",$AC:$AC, "Review-1"))</f>
        <v/>
      </c>
      <c r="Z157" s="7" t="str">
        <f>IF(ISBLANK(patch[[#This Row],[project]]), "",COUNTIFS($A:$A,patch[[#This Row],[number]],$S:$S, "BJ And dev",$AD:$AD, "&lt;&gt;IntegratorValidationComment"))</f>
        <v/>
      </c>
      <c r="AA157" s="7" t="str">
        <f>IF(ISBLANK(patch[[#This Row],[project]]), "",COUNTIFS($A:$A,patch[[#This Row],[number]],$S:$S, "FL And dev",$AD:$AD, "&lt;&gt;IntegratorValidationComment"))</f>
        <v/>
      </c>
      <c r="AB157" s="7" t="str">
        <f>IF(ISBLANK(patch[[#This Row],[project]]), "",COUNTIFS($A:$A,patch[[#This Row],[number]],$S:$S, "SH And dev",$AD:$AD, "&lt;&gt;IntegratorValidationComment"))</f>
        <v/>
      </c>
      <c r="AC157" s="7" t="str">
        <f>IF(OR(ISNUMBER(FIND("Review-1", patch[[#This Row],[comments]])), ISNUMBER(FIND("Approver-1", patch[[#This Row],[comments]]))), "Review-1", "")</f>
        <v/>
      </c>
      <c r="AD1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7" s="7">
        <f>IF(ISBLANK(patch[[#This Row],[number]]),AE156,patch[[#This Row],[ifCommon]])</f>
        <v>0</v>
      </c>
    </row>
    <row r="158" spans="1:31">
      <c r="A158" s="151">
        <v>146922</v>
      </c>
      <c r="B158" s="151"/>
      <c r="C158" s="151"/>
      <c r="D158" s="151"/>
      <c r="E158" s="151"/>
      <c r="F158" s="151"/>
      <c r="G158" s="151"/>
      <c r="H158" s="151"/>
      <c r="I158" s="151"/>
      <c r="J158" s="152">
        <v>42640.690821759257</v>
      </c>
      <c r="K158" s="151"/>
      <c r="L158" s="151" t="s">
        <v>1203</v>
      </c>
      <c r="M158" s="152">
        <v>42635.711574074077</v>
      </c>
      <c r="N158" s="151" t="s">
        <v>2669</v>
      </c>
      <c r="O158" s="151" t="s">
        <v>2670</v>
      </c>
      <c r="P158" s="151"/>
      <c r="Q158" s="7" t="str">
        <f>IF(ISBLANK(patch[[#This Row],[OwnerEmail]]),Q157,patch[[#This Row],[OwnerEmail]])</f>
        <v>xi.cao@intel.com</v>
      </c>
      <c r="R158" s="7" t="str">
        <f>_xlfn.IFNA(VLOOKUP(patch[[#This Row],[tmp-owner.email]],OrgTree!$A:$K, 11, 0), "not ICG SWFW")</f>
        <v>BJ And dev</v>
      </c>
      <c r="S158" s="7" t="str">
        <f>IF(patch[[#This Row],[reviewer]]=patch[[#This Row],[tmp-owner.email]], "author", _xlfn.IFNA(VLOOKUP(patch[[#This Row],[reviewer]],OrgTree!$A:$K, 11, 0), "not ICG SWFW"))</f>
        <v>author</v>
      </c>
      <c r="T158" s="7" t="str">
        <f>IF(ISBLANK(patch[[#This Row],[mergeDate]]), "", MID(YEAR(patch[[#This Row],[mergeDate]]), 3,2)&amp;"'ww"&amp;WEEKNUM(patch[[#This Row],[mergeDate]]))</f>
        <v>16'ww40</v>
      </c>
      <c r="U158" s="7" t="str">
        <f>IF(ISBLANK(patch[[#This Row],[mergeDate]]), U157, MID(YEAR(patch[[#This Row],[mergeDate]]), 3,2)&amp;"'m"&amp;MONTH(patch[[#This Row],[mergeDate]]))</f>
        <v>16'm9</v>
      </c>
      <c r="V158" s="7" t="str">
        <f>IF(ISBLANK(patch[[#This Row],[project]]), "",SUM(patch[[#This Row],[BJ -1 num]:[SH -1 num]]))</f>
        <v/>
      </c>
      <c r="W158" s="7" t="str">
        <f>IF(ISBLANK(patch[[#This Row],[project]]), "",COUNTIFS($A:$A,patch[[#This Row],[number]],$S:$S, "BJ And dev",$AC:$AC, "Review-1"))</f>
        <v/>
      </c>
      <c r="X158" s="7" t="str">
        <f>IF(ISBLANK(patch[[#This Row],[project]]), "",COUNTIFS($A:$A,patch[[#This Row],[number]],$S:$S, "FL And dev",$AC:$AC, "Review-1"))</f>
        <v/>
      </c>
      <c r="Y158" s="7" t="str">
        <f>IF(ISBLANK(patch[[#This Row],[project]]), "",COUNTIFS($A:$A,patch[[#This Row],[number]],$S:$S, "SH And dev",$AC:$AC, "Review-1"))</f>
        <v/>
      </c>
      <c r="Z158" s="7" t="str">
        <f>IF(ISBLANK(patch[[#This Row],[project]]), "",COUNTIFS($A:$A,patch[[#This Row],[number]],$S:$S, "BJ And dev",$AD:$AD, "&lt;&gt;IntegratorValidationComment"))</f>
        <v/>
      </c>
      <c r="AA158" s="7" t="str">
        <f>IF(ISBLANK(patch[[#This Row],[project]]), "",COUNTIFS($A:$A,patch[[#This Row],[number]],$S:$S, "FL And dev",$AD:$AD, "&lt;&gt;IntegratorValidationComment"))</f>
        <v/>
      </c>
      <c r="AB158" s="7" t="str">
        <f>IF(ISBLANK(patch[[#This Row],[project]]), "",COUNTIFS($A:$A,patch[[#This Row],[number]],$S:$S, "SH And dev",$AD:$AD, "&lt;&gt;IntegratorValidationComment"))</f>
        <v/>
      </c>
      <c r="AC158" s="7" t="str">
        <f>IF(OR(ISNUMBER(FIND("Review-1", patch[[#This Row],[comments]])), ISNUMBER(FIND("Approver-1", patch[[#This Row],[comments]]))), "Review-1", "")</f>
        <v/>
      </c>
      <c r="AD1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8" s="7">
        <f>IF(ISBLANK(patch[[#This Row],[number]]),AE157,patch[[#This Row],[ifCommon]])</f>
        <v>0</v>
      </c>
    </row>
    <row r="159" spans="1:31">
      <c r="A159" s="151">
        <v>146922</v>
      </c>
      <c r="B159" s="151"/>
      <c r="C159" s="151"/>
      <c r="D159" s="151"/>
      <c r="E159" s="151"/>
      <c r="F159" s="151"/>
      <c r="G159" s="151"/>
      <c r="H159" s="151"/>
      <c r="I159" s="151"/>
      <c r="J159" s="152">
        <v>42640.690821759257</v>
      </c>
      <c r="K159" s="151"/>
      <c r="L159" s="151" t="s">
        <v>1203</v>
      </c>
      <c r="M159" s="152">
        <v>42635.716747685183</v>
      </c>
      <c r="N159" s="151" t="s">
        <v>1896</v>
      </c>
      <c r="O159" s="151"/>
      <c r="P159" s="151"/>
      <c r="Q159" s="7" t="str">
        <f>IF(ISBLANK(patch[[#This Row],[OwnerEmail]]),Q158,patch[[#This Row],[OwnerEmail]])</f>
        <v>xi.cao@intel.com</v>
      </c>
      <c r="R159" s="7" t="str">
        <f>_xlfn.IFNA(VLOOKUP(patch[[#This Row],[tmp-owner.email]],OrgTree!$A:$K, 11, 0), "not ICG SWFW")</f>
        <v>BJ And dev</v>
      </c>
      <c r="S159" s="7" t="str">
        <f>IF(patch[[#This Row],[reviewer]]=patch[[#This Row],[tmp-owner.email]], "author", _xlfn.IFNA(VLOOKUP(patch[[#This Row],[reviewer]],OrgTree!$A:$K, 11, 0), "not ICG SWFW"))</f>
        <v>author</v>
      </c>
      <c r="T159" s="7" t="str">
        <f>IF(ISBLANK(patch[[#This Row],[mergeDate]]), "", MID(YEAR(patch[[#This Row],[mergeDate]]), 3,2)&amp;"'ww"&amp;WEEKNUM(patch[[#This Row],[mergeDate]]))</f>
        <v>16'ww40</v>
      </c>
      <c r="U159" s="7" t="str">
        <f>IF(ISBLANK(patch[[#This Row],[mergeDate]]), U158, MID(YEAR(patch[[#This Row],[mergeDate]]), 3,2)&amp;"'m"&amp;MONTH(patch[[#This Row],[mergeDate]]))</f>
        <v>16'm9</v>
      </c>
      <c r="V159" s="7" t="str">
        <f>IF(ISBLANK(patch[[#This Row],[project]]), "",SUM(patch[[#This Row],[BJ -1 num]:[SH -1 num]]))</f>
        <v/>
      </c>
      <c r="W159" s="7" t="str">
        <f>IF(ISBLANK(patch[[#This Row],[project]]), "",COUNTIFS($A:$A,patch[[#This Row],[number]],$S:$S, "BJ And dev",$AC:$AC, "Review-1"))</f>
        <v/>
      </c>
      <c r="X159" s="7" t="str">
        <f>IF(ISBLANK(patch[[#This Row],[project]]), "",COUNTIFS($A:$A,patch[[#This Row],[number]],$S:$S, "FL And dev",$AC:$AC, "Review-1"))</f>
        <v/>
      </c>
      <c r="Y159" s="7" t="str">
        <f>IF(ISBLANK(patch[[#This Row],[project]]), "",COUNTIFS($A:$A,patch[[#This Row],[number]],$S:$S, "SH And dev",$AC:$AC, "Review-1"))</f>
        <v/>
      </c>
      <c r="Z159" s="7" t="str">
        <f>IF(ISBLANK(patch[[#This Row],[project]]), "",COUNTIFS($A:$A,patch[[#This Row],[number]],$S:$S, "BJ And dev",$AD:$AD, "&lt;&gt;IntegratorValidationComment"))</f>
        <v/>
      </c>
      <c r="AA159" s="7" t="str">
        <f>IF(ISBLANK(patch[[#This Row],[project]]), "",COUNTIFS($A:$A,patch[[#This Row],[number]],$S:$S, "FL And dev",$AD:$AD, "&lt;&gt;IntegratorValidationComment"))</f>
        <v/>
      </c>
      <c r="AB159" s="7" t="str">
        <f>IF(ISBLANK(patch[[#This Row],[project]]), "",COUNTIFS($A:$A,patch[[#This Row],[number]],$S:$S, "SH And dev",$AD:$AD, "&lt;&gt;IntegratorValidationComment"))</f>
        <v/>
      </c>
      <c r="AC159" s="7" t="str">
        <f>IF(OR(ISNUMBER(FIND("Review-1", patch[[#This Row],[comments]])), ISNUMBER(FIND("Approver-1", patch[[#This Row],[comments]]))), "Review-1", "")</f>
        <v/>
      </c>
      <c r="AD1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9" s="7">
        <f>IF(ISBLANK(patch[[#This Row],[number]]),AE158,patch[[#This Row],[ifCommon]])</f>
        <v>0</v>
      </c>
    </row>
    <row r="160" spans="1:31">
      <c r="A160" s="151">
        <v>146922</v>
      </c>
      <c r="B160" s="151"/>
      <c r="C160" s="151"/>
      <c r="D160" s="151"/>
      <c r="E160" s="151"/>
      <c r="F160" s="151"/>
      <c r="G160" s="151"/>
      <c r="H160" s="151"/>
      <c r="I160" s="151"/>
      <c r="J160" s="152">
        <v>42640.690821759257</v>
      </c>
      <c r="K160" s="151"/>
      <c r="L160" s="151" t="s">
        <v>1203</v>
      </c>
      <c r="M160" s="152">
        <v>42635.71675925926</v>
      </c>
      <c r="N160" s="151" t="s">
        <v>2468</v>
      </c>
      <c r="O160" s="151"/>
      <c r="P160" s="151"/>
      <c r="Q160" s="7" t="str">
        <f>IF(ISBLANK(patch[[#This Row],[OwnerEmail]]),Q159,patch[[#This Row],[OwnerEmail]])</f>
        <v>xi.cao@intel.com</v>
      </c>
      <c r="R160" s="7" t="str">
        <f>_xlfn.IFNA(VLOOKUP(patch[[#This Row],[tmp-owner.email]],OrgTree!$A:$K, 11, 0), "not ICG SWFW")</f>
        <v>BJ And dev</v>
      </c>
      <c r="S160" s="7" t="str">
        <f>IF(patch[[#This Row],[reviewer]]=patch[[#This Row],[tmp-owner.email]], "author", _xlfn.IFNA(VLOOKUP(patch[[#This Row],[reviewer]],OrgTree!$A:$K, 11, 0), "not ICG SWFW"))</f>
        <v>author</v>
      </c>
      <c r="T160" s="7" t="str">
        <f>IF(ISBLANK(patch[[#This Row],[mergeDate]]), "", MID(YEAR(patch[[#This Row],[mergeDate]]), 3,2)&amp;"'ww"&amp;WEEKNUM(patch[[#This Row],[mergeDate]]))</f>
        <v>16'ww40</v>
      </c>
      <c r="U160" s="7" t="str">
        <f>IF(ISBLANK(patch[[#This Row],[mergeDate]]), U159, MID(YEAR(patch[[#This Row],[mergeDate]]), 3,2)&amp;"'m"&amp;MONTH(patch[[#This Row],[mergeDate]]))</f>
        <v>16'm9</v>
      </c>
      <c r="V160" s="7" t="str">
        <f>IF(ISBLANK(patch[[#This Row],[project]]), "",SUM(patch[[#This Row],[BJ -1 num]:[SH -1 num]]))</f>
        <v/>
      </c>
      <c r="W160" s="7" t="str">
        <f>IF(ISBLANK(patch[[#This Row],[project]]), "",COUNTIFS($A:$A,patch[[#This Row],[number]],$S:$S, "BJ And dev",$AC:$AC, "Review-1"))</f>
        <v/>
      </c>
      <c r="X160" s="7" t="str">
        <f>IF(ISBLANK(patch[[#This Row],[project]]), "",COUNTIFS($A:$A,patch[[#This Row],[number]],$S:$S, "FL And dev",$AC:$AC, "Review-1"))</f>
        <v/>
      </c>
      <c r="Y160" s="7" t="str">
        <f>IF(ISBLANK(patch[[#This Row],[project]]), "",COUNTIFS($A:$A,patch[[#This Row],[number]],$S:$S, "SH And dev",$AC:$AC, "Review-1"))</f>
        <v/>
      </c>
      <c r="Z160" s="7" t="str">
        <f>IF(ISBLANK(patch[[#This Row],[project]]), "",COUNTIFS($A:$A,patch[[#This Row],[number]],$S:$S, "BJ And dev",$AD:$AD, "&lt;&gt;IntegratorValidationComment"))</f>
        <v/>
      </c>
      <c r="AA160" s="7" t="str">
        <f>IF(ISBLANK(patch[[#This Row],[project]]), "",COUNTIFS($A:$A,patch[[#This Row],[number]],$S:$S, "FL And dev",$AD:$AD, "&lt;&gt;IntegratorValidationComment"))</f>
        <v/>
      </c>
      <c r="AB160" s="7" t="str">
        <f>IF(ISBLANK(patch[[#This Row],[project]]), "",COUNTIFS($A:$A,patch[[#This Row],[number]],$S:$S, "SH And dev",$AD:$AD, "&lt;&gt;IntegratorValidationComment"))</f>
        <v/>
      </c>
      <c r="AC160" s="7" t="str">
        <f>IF(OR(ISNUMBER(FIND("Review-1", patch[[#This Row],[comments]])), ISNUMBER(FIND("Approver-1", patch[[#This Row],[comments]]))), "Review-1", "")</f>
        <v/>
      </c>
      <c r="AD1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0" s="7">
        <f>IF(ISBLANK(patch[[#This Row],[number]]),AE159,patch[[#This Row],[ifCommon]])</f>
        <v>0</v>
      </c>
    </row>
    <row r="161" spans="1:31">
      <c r="A161" s="151">
        <v>146922</v>
      </c>
      <c r="B161" s="151"/>
      <c r="C161" s="151"/>
      <c r="D161" s="151"/>
      <c r="E161" s="151"/>
      <c r="F161" s="151"/>
      <c r="G161" s="151"/>
      <c r="H161" s="151"/>
      <c r="I161" s="151"/>
      <c r="J161" s="152">
        <v>42640.690821759257</v>
      </c>
      <c r="K161" s="151"/>
      <c r="L161" s="151" t="s">
        <v>1203</v>
      </c>
      <c r="M161" s="152">
        <v>42635.719375000001</v>
      </c>
      <c r="N161" s="151" t="s">
        <v>2469</v>
      </c>
      <c r="O161" s="151"/>
      <c r="P161" s="151"/>
      <c r="Q161" s="7" t="str">
        <f>IF(ISBLANK(patch[[#This Row],[OwnerEmail]]),Q160,patch[[#This Row],[OwnerEmail]])</f>
        <v>xi.cao@intel.com</v>
      </c>
      <c r="R161" s="7" t="str">
        <f>_xlfn.IFNA(VLOOKUP(patch[[#This Row],[tmp-owner.email]],OrgTree!$A:$K, 11, 0), "not ICG SWFW")</f>
        <v>BJ And dev</v>
      </c>
      <c r="S161" s="7" t="str">
        <f>IF(patch[[#This Row],[reviewer]]=patch[[#This Row],[tmp-owner.email]], "author", _xlfn.IFNA(VLOOKUP(patch[[#This Row],[reviewer]],OrgTree!$A:$K, 11, 0), "not ICG SWFW"))</f>
        <v>author</v>
      </c>
      <c r="T161" s="7" t="str">
        <f>IF(ISBLANK(patch[[#This Row],[mergeDate]]), "", MID(YEAR(patch[[#This Row],[mergeDate]]), 3,2)&amp;"'ww"&amp;WEEKNUM(patch[[#This Row],[mergeDate]]))</f>
        <v>16'ww40</v>
      </c>
      <c r="U161" s="7" t="str">
        <f>IF(ISBLANK(patch[[#This Row],[mergeDate]]), U160, MID(YEAR(patch[[#This Row],[mergeDate]]), 3,2)&amp;"'m"&amp;MONTH(patch[[#This Row],[mergeDate]]))</f>
        <v>16'm9</v>
      </c>
      <c r="V161" s="7" t="str">
        <f>IF(ISBLANK(patch[[#This Row],[project]]), "",SUM(patch[[#This Row],[BJ -1 num]:[SH -1 num]]))</f>
        <v/>
      </c>
      <c r="W161" s="7" t="str">
        <f>IF(ISBLANK(patch[[#This Row],[project]]), "",COUNTIFS($A:$A,patch[[#This Row],[number]],$S:$S, "BJ And dev",$AC:$AC, "Review-1"))</f>
        <v/>
      </c>
      <c r="X161" s="7" t="str">
        <f>IF(ISBLANK(patch[[#This Row],[project]]), "",COUNTIFS($A:$A,patch[[#This Row],[number]],$S:$S, "FL And dev",$AC:$AC, "Review-1"))</f>
        <v/>
      </c>
      <c r="Y161" s="7" t="str">
        <f>IF(ISBLANK(patch[[#This Row],[project]]), "",COUNTIFS($A:$A,patch[[#This Row],[number]],$S:$S, "SH And dev",$AC:$AC, "Review-1"))</f>
        <v/>
      </c>
      <c r="Z161" s="7" t="str">
        <f>IF(ISBLANK(patch[[#This Row],[project]]), "",COUNTIFS($A:$A,patch[[#This Row],[number]],$S:$S, "BJ And dev",$AD:$AD, "&lt;&gt;IntegratorValidationComment"))</f>
        <v/>
      </c>
      <c r="AA161" s="7" t="str">
        <f>IF(ISBLANK(patch[[#This Row],[project]]), "",COUNTIFS($A:$A,patch[[#This Row],[number]],$S:$S, "FL And dev",$AD:$AD, "&lt;&gt;IntegratorValidationComment"))</f>
        <v/>
      </c>
      <c r="AB161" s="7" t="str">
        <f>IF(ISBLANK(patch[[#This Row],[project]]), "",COUNTIFS($A:$A,patch[[#This Row],[number]],$S:$S, "SH And dev",$AD:$AD, "&lt;&gt;IntegratorValidationComment"))</f>
        <v/>
      </c>
      <c r="AC161" s="7" t="str">
        <f>IF(OR(ISNUMBER(FIND("Review-1", patch[[#This Row],[comments]])), ISNUMBER(FIND("Approver-1", patch[[#This Row],[comments]]))), "Review-1", "")</f>
        <v/>
      </c>
      <c r="AD1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1" s="7">
        <f>IF(ISBLANK(patch[[#This Row],[number]]),AE160,patch[[#This Row],[ifCommon]])</f>
        <v>0</v>
      </c>
    </row>
    <row r="162" spans="1:31">
      <c r="A162" s="151">
        <v>146922</v>
      </c>
      <c r="B162" s="151"/>
      <c r="C162" s="151"/>
      <c r="D162" s="151"/>
      <c r="E162" s="151"/>
      <c r="F162" s="151"/>
      <c r="G162" s="151"/>
      <c r="H162" s="151"/>
      <c r="I162" s="151"/>
      <c r="J162" s="152">
        <v>42640.690821759257</v>
      </c>
      <c r="K162" s="151"/>
      <c r="L162" s="151" t="s">
        <v>1203</v>
      </c>
      <c r="M162" s="152">
        <v>42635.719375000001</v>
      </c>
      <c r="N162" s="151" t="s">
        <v>1912</v>
      </c>
      <c r="O162" s="151"/>
      <c r="P162" s="151"/>
      <c r="Q162" s="7" t="str">
        <f>IF(ISBLANK(patch[[#This Row],[OwnerEmail]]),Q161,patch[[#This Row],[OwnerEmail]])</f>
        <v>xi.cao@intel.com</v>
      </c>
      <c r="R162" s="7" t="str">
        <f>_xlfn.IFNA(VLOOKUP(patch[[#This Row],[tmp-owner.email]],OrgTree!$A:$K, 11, 0), "not ICG SWFW")</f>
        <v>BJ And dev</v>
      </c>
      <c r="S162" s="7" t="str">
        <f>IF(patch[[#This Row],[reviewer]]=patch[[#This Row],[tmp-owner.email]], "author", _xlfn.IFNA(VLOOKUP(patch[[#This Row],[reviewer]],OrgTree!$A:$K, 11, 0), "not ICG SWFW"))</f>
        <v>author</v>
      </c>
      <c r="T162" s="7" t="str">
        <f>IF(ISBLANK(patch[[#This Row],[mergeDate]]), "", MID(YEAR(patch[[#This Row],[mergeDate]]), 3,2)&amp;"'ww"&amp;WEEKNUM(patch[[#This Row],[mergeDate]]))</f>
        <v>16'ww40</v>
      </c>
      <c r="U162" s="7" t="str">
        <f>IF(ISBLANK(patch[[#This Row],[mergeDate]]), U161, MID(YEAR(patch[[#This Row],[mergeDate]]), 3,2)&amp;"'m"&amp;MONTH(patch[[#This Row],[mergeDate]]))</f>
        <v>16'm9</v>
      </c>
      <c r="V162" s="7" t="str">
        <f>IF(ISBLANK(patch[[#This Row],[project]]), "",SUM(patch[[#This Row],[BJ -1 num]:[SH -1 num]]))</f>
        <v/>
      </c>
      <c r="W162" s="7" t="str">
        <f>IF(ISBLANK(patch[[#This Row],[project]]), "",COUNTIFS($A:$A,patch[[#This Row],[number]],$S:$S, "BJ And dev",$AC:$AC, "Review-1"))</f>
        <v/>
      </c>
      <c r="X162" s="7" t="str">
        <f>IF(ISBLANK(patch[[#This Row],[project]]), "",COUNTIFS($A:$A,patch[[#This Row],[number]],$S:$S, "FL And dev",$AC:$AC, "Review-1"))</f>
        <v/>
      </c>
      <c r="Y162" s="7" t="str">
        <f>IF(ISBLANK(patch[[#This Row],[project]]), "",COUNTIFS($A:$A,patch[[#This Row],[number]],$S:$S, "SH And dev",$AC:$AC, "Review-1"))</f>
        <v/>
      </c>
      <c r="Z162" s="7" t="str">
        <f>IF(ISBLANK(patch[[#This Row],[project]]), "",COUNTIFS($A:$A,patch[[#This Row],[number]],$S:$S, "BJ And dev",$AD:$AD, "&lt;&gt;IntegratorValidationComment"))</f>
        <v/>
      </c>
      <c r="AA162" s="7" t="str">
        <f>IF(ISBLANK(patch[[#This Row],[project]]), "",COUNTIFS($A:$A,patch[[#This Row],[number]],$S:$S, "FL And dev",$AD:$AD, "&lt;&gt;IntegratorValidationComment"))</f>
        <v/>
      </c>
      <c r="AB162" s="7" t="str">
        <f>IF(ISBLANK(patch[[#This Row],[project]]), "",COUNTIFS($A:$A,patch[[#This Row],[number]],$S:$S, "SH And dev",$AD:$AD, "&lt;&gt;IntegratorValidationComment"))</f>
        <v/>
      </c>
      <c r="AC162" s="7" t="str">
        <f>IF(OR(ISNUMBER(FIND("Review-1", patch[[#This Row],[comments]])), ISNUMBER(FIND("Approver-1", patch[[#This Row],[comments]]))), "Review-1", "")</f>
        <v/>
      </c>
      <c r="AD1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2" s="7">
        <f>IF(ISBLANK(patch[[#This Row],[number]]),AE161,patch[[#This Row],[ifCommon]])</f>
        <v>0</v>
      </c>
    </row>
    <row r="163" spans="1:31">
      <c r="A163" s="151">
        <v>146922</v>
      </c>
      <c r="B163" s="151"/>
      <c r="C163" s="151"/>
      <c r="D163" s="151"/>
      <c r="E163" s="151"/>
      <c r="F163" s="151"/>
      <c r="G163" s="151"/>
      <c r="H163" s="151"/>
      <c r="I163" s="151"/>
      <c r="J163" s="152">
        <v>42640.690821759257</v>
      </c>
      <c r="K163" s="151"/>
      <c r="L163" s="151" t="s">
        <v>1203</v>
      </c>
      <c r="M163" s="152">
        <v>42635.723298611112</v>
      </c>
      <c r="N163" s="151" t="s">
        <v>1859</v>
      </c>
      <c r="O163" s="151"/>
      <c r="P163" s="151"/>
      <c r="Q163" s="7" t="str">
        <f>IF(ISBLANK(patch[[#This Row],[OwnerEmail]]),Q162,patch[[#This Row],[OwnerEmail]])</f>
        <v>xi.cao@intel.com</v>
      </c>
      <c r="R163" s="7" t="str">
        <f>_xlfn.IFNA(VLOOKUP(patch[[#This Row],[tmp-owner.email]],OrgTree!$A:$K, 11, 0), "not ICG SWFW")</f>
        <v>BJ And dev</v>
      </c>
      <c r="S163" s="7" t="str">
        <f>IF(patch[[#This Row],[reviewer]]=patch[[#This Row],[tmp-owner.email]], "author", _xlfn.IFNA(VLOOKUP(patch[[#This Row],[reviewer]],OrgTree!$A:$K, 11, 0), "not ICG SWFW"))</f>
        <v>author</v>
      </c>
      <c r="T163" s="7" t="str">
        <f>IF(ISBLANK(patch[[#This Row],[mergeDate]]), "", MID(YEAR(patch[[#This Row],[mergeDate]]), 3,2)&amp;"'ww"&amp;WEEKNUM(patch[[#This Row],[mergeDate]]))</f>
        <v>16'ww40</v>
      </c>
      <c r="U163" s="7" t="str">
        <f>IF(ISBLANK(patch[[#This Row],[mergeDate]]), U162, MID(YEAR(patch[[#This Row],[mergeDate]]), 3,2)&amp;"'m"&amp;MONTH(patch[[#This Row],[mergeDate]]))</f>
        <v>16'm9</v>
      </c>
      <c r="V163" s="7" t="str">
        <f>IF(ISBLANK(patch[[#This Row],[project]]), "",SUM(patch[[#This Row],[BJ -1 num]:[SH -1 num]]))</f>
        <v/>
      </c>
      <c r="W163" s="7" t="str">
        <f>IF(ISBLANK(patch[[#This Row],[project]]), "",COUNTIFS($A:$A,patch[[#This Row],[number]],$S:$S, "BJ And dev",$AC:$AC, "Review-1"))</f>
        <v/>
      </c>
      <c r="X163" s="7" t="str">
        <f>IF(ISBLANK(patch[[#This Row],[project]]), "",COUNTIFS($A:$A,patch[[#This Row],[number]],$S:$S, "FL And dev",$AC:$AC, "Review-1"))</f>
        <v/>
      </c>
      <c r="Y163" s="7" t="str">
        <f>IF(ISBLANK(patch[[#This Row],[project]]), "",COUNTIFS($A:$A,patch[[#This Row],[number]],$S:$S, "SH And dev",$AC:$AC, "Review-1"))</f>
        <v/>
      </c>
      <c r="Z163" s="7" t="str">
        <f>IF(ISBLANK(patch[[#This Row],[project]]), "",COUNTIFS($A:$A,patch[[#This Row],[number]],$S:$S, "BJ And dev",$AD:$AD, "&lt;&gt;IntegratorValidationComment"))</f>
        <v/>
      </c>
      <c r="AA163" s="7" t="str">
        <f>IF(ISBLANK(patch[[#This Row],[project]]), "",COUNTIFS($A:$A,patch[[#This Row],[number]],$S:$S, "FL And dev",$AD:$AD, "&lt;&gt;IntegratorValidationComment"))</f>
        <v/>
      </c>
      <c r="AB163" s="7" t="str">
        <f>IF(ISBLANK(patch[[#This Row],[project]]), "",COUNTIFS($A:$A,patch[[#This Row],[number]],$S:$S, "SH And dev",$AD:$AD, "&lt;&gt;IntegratorValidationComment"))</f>
        <v/>
      </c>
      <c r="AC163" s="7" t="str">
        <f>IF(OR(ISNUMBER(FIND("Review-1", patch[[#This Row],[comments]])), ISNUMBER(FIND("Approver-1", patch[[#This Row],[comments]]))), "Review-1", "")</f>
        <v/>
      </c>
      <c r="AD1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3" s="7">
        <f>IF(ISBLANK(patch[[#This Row],[number]]),AE162,patch[[#This Row],[ifCommon]])</f>
        <v>0</v>
      </c>
    </row>
    <row r="164" spans="1:31">
      <c r="A164" s="151">
        <v>146922</v>
      </c>
      <c r="B164" s="151"/>
      <c r="C164" s="151"/>
      <c r="D164" s="151"/>
      <c r="E164" s="151"/>
      <c r="F164" s="151"/>
      <c r="G164" s="151"/>
      <c r="H164" s="151"/>
      <c r="I164" s="151"/>
      <c r="J164" s="152">
        <v>42640.690821759257</v>
      </c>
      <c r="K164" s="151"/>
      <c r="L164" s="151" t="s">
        <v>32</v>
      </c>
      <c r="M164" s="152">
        <v>42635.724560185183</v>
      </c>
      <c r="N164" s="151" t="s">
        <v>2550</v>
      </c>
      <c r="O164" s="151" t="s">
        <v>2671</v>
      </c>
      <c r="P164" s="151"/>
      <c r="Q164" s="7" t="str">
        <f>IF(ISBLANK(patch[[#This Row],[OwnerEmail]]),Q163,patch[[#This Row],[OwnerEmail]])</f>
        <v>xi.cao@intel.com</v>
      </c>
      <c r="R164" s="7" t="str">
        <f>_xlfn.IFNA(VLOOKUP(patch[[#This Row],[tmp-owner.email]],OrgTree!$A:$K, 11, 0), "not ICG SWFW")</f>
        <v>BJ And dev</v>
      </c>
      <c r="S164" s="7" t="str">
        <f>IF(patch[[#This Row],[reviewer]]=patch[[#This Row],[tmp-owner.email]], "author", _xlfn.IFNA(VLOOKUP(patch[[#This Row],[reviewer]],OrgTree!$A:$K, 11, 0), "not ICG SWFW"))</f>
        <v>BJ And dev</v>
      </c>
      <c r="T164" s="7" t="str">
        <f>IF(ISBLANK(patch[[#This Row],[mergeDate]]), "", MID(YEAR(patch[[#This Row],[mergeDate]]), 3,2)&amp;"'ww"&amp;WEEKNUM(patch[[#This Row],[mergeDate]]))</f>
        <v>16'ww40</v>
      </c>
      <c r="U164" s="7" t="str">
        <f>IF(ISBLANK(patch[[#This Row],[mergeDate]]), U163, MID(YEAR(patch[[#This Row],[mergeDate]]), 3,2)&amp;"'m"&amp;MONTH(patch[[#This Row],[mergeDate]]))</f>
        <v>16'm9</v>
      </c>
      <c r="V164" s="7" t="str">
        <f>IF(ISBLANK(patch[[#This Row],[project]]), "",SUM(patch[[#This Row],[BJ -1 num]:[SH -1 num]]))</f>
        <v/>
      </c>
      <c r="W164" s="7" t="str">
        <f>IF(ISBLANK(patch[[#This Row],[project]]), "",COUNTIFS($A:$A,patch[[#This Row],[number]],$S:$S, "BJ And dev",$AC:$AC, "Review-1"))</f>
        <v/>
      </c>
      <c r="X164" s="7" t="str">
        <f>IF(ISBLANK(patch[[#This Row],[project]]), "",COUNTIFS($A:$A,patch[[#This Row],[number]],$S:$S, "FL And dev",$AC:$AC, "Review-1"))</f>
        <v/>
      </c>
      <c r="Y164" s="7" t="str">
        <f>IF(ISBLANK(patch[[#This Row],[project]]), "",COUNTIFS($A:$A,patch[[#This Row],[number]],$S:$S, "SH And dev",$AC:$AC, "Review-1"))</f>
        <v/>
      </c>
      <c r="Z164" s="7" t="str">
        <f>IF(ISBLANK(patch[[#This Row],[project]]), "",COUNTIFS($A:$A,patch[[#This Row],[number]],$S:$S, "BJ And dev",$AD:$AD, "&lt;&gt;IntegratorValidationComment"))</f>
        <v/>
      </c>
      <c r="AA164" s="7" t="str">
        <f>IF(ISBLANK(patch[[#This Row],[project]]), "",COUNTIFS($A:$A,patch[[#This Row],[number]],$S:$S, "FL And dev",$AD:$AD, "&lt;&gt;IntegratorValidationComment"))</f>
        <v/>
      </c>
      <c r="AB164" s="7" t="str">
        <f>IF(ISBLANK(patch[[#This Row],[project]]), "",COUNTIFS($A:$A,patch[[#This Row],[number]],$S:$S, "SH And dev",$AD:$AD, "&lt;&gt;IntegratorValidationComment"))</f>
        <v/>
      </c>
      <c r="AC164" s="7" t="str">
        <f>IF(OR(ISNUMBER(FIND("Review-1", patch[[#This Row],[comments]])), ISNUMBER(FIND("Approver-1", patch[[#This Row],[comments]]))), "Review-1", "")</f>
        <v/>
      </c>
      <c r="AD1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4" s="7">
        <f>IF(ISBLANK(patch[[#This Row],[number]]),AE163,patch[[#This Row],[ifCommon]])</f>
        <v>0</v>
      </c>
    </row>
    <row r="165" spans="1:31">
      <c r="A165" s="151">
        <v>146922</v>
      </c>
      <c r="B165" s="151"/>
      <c r="C165" s="151"/>
      <c r="D165" s="151"/>
      <c r="E165" s="151"/>
      <c r="F165" s="151"/>
      <c r="G165" s="151"/>
      <c r="H165" s="151"/>
      <c r="I165" s="151"/>
      <c r="J165" s="152">
        <v>42640.690821759257</v>
      </c>
      <c r="K165" s="151"/>
      <c r="L165" s="151" t="s">
        <v>1203</v>
      </c>
      <c r="M165" s="152">
        <v>42635.728668981479</v>
      </c>
      <c r="N165" s="151" t="s">
        <v>2550</v>
      </c>
      <c r="O165" s="151" t="s">
        <v>2672</v>
      </c>
      <c r="P165" s="151"/>
      <c r="Q165" s="7" t="str">
        <f>IF(ISBLANK(patch[[#This Row],[OwnerEmail]]),Q164,patch[[#This Row],[OwnerEmail]])</f>
        <v>xi.cao@intel.com</v>
      </c>
      <c r="R165" s="7" t="str">
        <f>_xlfn.IFNA(VLOOKUP(patch[[#This Row],[tmp-owner.email]],OrgTree!$A:$K, 11, 0), "not ICG SWFW")</f>
        <v>BJ And dev</v>
      </c>
      <c r="S165" s="7" t="str">
        <f>IF(patch[[#This Row],[reviewer]]=patch[[#This Row],[tmp-owner.email]], "author", _xlfn.IFNA(VLOOKUP(patch[[#This Row],[reviewer]],OrgTree!$A:$K, 11, 0), "not ICG SWFW"))</f>
        <v>author</v>
      </c>
      <c r="T165" s="7" t="str">
        <f>IF(ISBLANK(patch[[#This Row],[mergeDate]]), "", MID(YEAR(patch[[#This Row],[mergeDate]]), 3,2)&amp;"'ww"&amp;WEEKNUM(patch[[#This Row],[mergeDate]]))</f>
        <v>16'ww40</v>
      </c>
      <c r="U165" s="7" t="str">
        <f>IF(ISBLANK(patch[[#This Row],[mergeDate]]), U164, MID(YEAR(patch[[#This Row],[mergeDate]]), 3,2)&amp;"'m"&amp;MONTH(patch[[#This Row],[mergeDate]]))</f>
        <v>16'm9</v>
      </c>
      <c r="V165" s="7" t="str">
        <f>IF(ISBLANK(patch[[#This Row],[project]]), "",SUM(patch[[#This Row],[BJ -1 num]:[SH -1 num]]))</f>
        <v/>
      </c>
      <c r="W165" s="7" t="str">
        <f>IF(ISBLANK(patch[[#This Row],[project]]), "",COUNTIFS($A:$A,patch[[#This Row],[number]],$S:$S, "BJ And dev",$AC:$AC, "Review-1"))</f>
        <v/>
      </c>
      <c r="X165" s="7" t="str">
        <f>IF(ISBLANK(patch[[#This Row],[project]]), "",COUNTIFS($A:$A,patch[[#This Row],[number]],$S:$S, "FL And dev",$AC:$AC, "Review-1"))</f>
        <v/>
      </c>
      <c r="Y165" s="7" t="str">
        <f>IF(ISBLANK(patch[[#This Row],[project]]), "",COUNTIFS($A:$A,patch[[#This Row],[number]],$S:$S, "SH And dev",$AC:$AC, "Review-1"))</f>
        <v/>
      </c>
      <c r="Z165" s="7" t="str">
        <f>IF(ISBLANK(patch[[#This Row],[project]]), "",COUNTIFS($A:$A,patch[[#This Row],[number]],$S:$S, "BJ And dev",$AD:$AD, "&lt;&gt;IntegratorValidationComment"))</f>
        <v/>
      </c>
      <c r="AA165" s="7" t="str">
        <f>IF(ISBLANK(patch[[#This Row],[project]]), "",COUNTIFS($A:$A,patch[[#This Row],[number]],$S:$S, "FL And dev",$AD:$AD, "&lt;&gt;IntegratorValidationComment"))</f>
        <v/>
      </c>
      <c r="AB165" s="7" t="str">
        <f>IF(ISBLANK(patch[[#This Row],[project]]), "",COUNTIFS($A:$A,patch[[#This Row],[number]],$S:$S, "SH And dev",$AD:$AD, "&lt;&gt;IntegratorValidationComment"))</f>
        <v/>
      </c>
      <c r="AC165" s="7" t="str">
        <f>IF(OR(ISNUMBER(FIND("Review-1", patch[[#This Row],[comments]])), ISNUMBER(FIND("Approver-1", patch[[#This Row],[comments]]))), "Review-1", "")</f>
        <v/>
      </c>
      <c r="AD1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5" s="7">
        <f>IF(ISBLANK(patch[[#This Row],[number]]),AE164,patch[[#This Row],[ifCommon]])</f>
        <v>0</v>
      </c>
    </row>
    <row r="166" spans="1:31">
      <c r="A166" s="151">
        <v>146922</v>
      </c>
      <c r="B166" s="151"/>
      <c r="C166" s="151"/>
      <c r="D166" s="151"/>
      <c r="E166" s="151"/>
      <c r="F166" s="151"/>
      <c r="G166" s="151"/>
      <c r="H166" s="151"/>
      <c r="I166" s="151"/>
      <c r="J166" s="152">
        <v>42640.690821759257</v>
      </c>
      <c r="K166" s="151"/>
      <c r="L166" s="151" t="s">
        <v>59</v>
      </c>
      <c r="M166" s="152">
        <v>42635.729513888888</v>
      </c>
      <c r="N166" s="151" t="s">
        <v>2673</v>
      </c>
      <c r="O166" s="151"/>
      <c r="P166" s="151"/>
      <c r="Q166" s="7" t="str">
        <f>IF(ISBLANK(patch[[#This Row],[OwnerEmail]]),Q165,patch[[#This Row],[OwnerEmail]])</f>
        <v>xi.cao@intel.com</v>
      </c>
      <c r="R166" s="7" t="str">
        <f>_xlfn.IFNA(VLOOKUP(patch[[#This Row],[tmp-owner.email]],OrgTree!$A:$K, 11, 0), "not ICG SWFW")</f>
        <v>BJ And dev</v>
      </c>
      <c r="S166" s="7" t="str">
        <f>IF(patch[[#This Row],[reviewer]]=patch[[#This Row],[tmp-owner.email]], "author", _xlfn.IFNA(VLOOKUP(patch[[#This Row],[reviewer]],OrgTree!$A:$K, 11, 0), "not ICG SWFW"))</f>
        <v>BJ And dev</v>
      </c>
      <c r="T166" s="7" t="str">
        <f>IF(ISBLANK(patch[[#This Row],[mergeDate]]), "", MID(YEAR(patch[[#This Row],[mergeDate]]), 3,2)&amp;"'ww"&amp;WEEKNUM(patch[[#This Row],[mergeDate]]))</f>
        <v>16'ww40</v>
      </c>
      <c r="U166" s="7" t="str">
        <f>IF(ISBLANK(patch[[#This Row],[mergeDate]]), U165, MID(YEAR(patch[[#This Row],[mergeDate]]), 3,2)&amp;"'m"&amp;MONTH(patch[[#This Row],[mergeDate]]))</f>
        <v>16'm9</v>
      </c>
      <c r="V166" s="7" t="str">
        <f>IF(ISBLANK(patch[[#This Row],[project]]), "",SUM(patch[[#This Row],[BJ -1 num]:[SH -1 num]]))</f>
        <v/>
      </c>
      <c r="W166" s="7" t="str">
        <f>IF(ISBLANK(patch[[#This Row],[project]]), "",COUNTIFS($A:$A,patch[[#This Row],[number]],$S:$S, "BJ And dev",$AC:$AC, "Review-1"))</f>
        <v/>
      </c>
      <c r="X166" s="7" t="str">
        <f>IF(ISBLANK(patch[[#This Row],[project]]), "",COUNTIFS($A:$A,patch[[#This Row],[number]],$S:$S, "FL And dev",$AC:$AC, "Review-1"))</f>
        <v/>
      </c>
      <c r="Y166" s="7" t="str">
        <f>IF(ISBLANK(patch[[#This Row],[project]]), "",COUNTIFS($A:$A,patch[[#This Row],[number]],$S:$S, "SH And dev",$AC:$AC, "Review-1"))</f>
        <v/>
      </c>
      <c r="Z166" s="7" t="str">
        <f>IF(ISBLANK(patch[[#This Row],[project]]), "",COUNTIFS($A:$A,patch[[#This Row],[number]],$S:$S, "BJ And dev",$AD:$AD, "&lt;&gt;IntegratorValidationComment"))</f>
        <v/>
      </c>
      <c r="AA166" s="7" t="str">
        <f>IF(ISBLANK(patch[[#This Row],[project]]), "",COUNTIFS($A:$A,patch[[#This Row],[number]],$S:$S, "FL And dev",$AD:$AD, "&lt;&gt;IntegratorValidationComment"))</f>
        <v/>
      </c>
      <c r="AB166" s="7" t="str">
        <f>IF(ISBLANK(patch[[#This Row],[project]]), "",COUNTIFS($A:$A,patch[[#This Row],[number]],$S:$S, "SH And dev",$AD:$AD, "&lt;&gt;IntegratorValidationComment"))</f>
        <v/>
      </c>
      <c r="AC166" s="7" t="str">
        <f>IF(OR(ISNUMBER(FIND("Review-1", patch[[#This Row],[comments]])), ISNUMBER(FIND("Approver-1", patch[[#This Row],[comments]]))), "Review-1", "")</f>
        <v/>
      </c>
      <c r="AD1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6" s="7">
        <f>IF(ISBLANK(patch[[#This Row],[number]]),AE165,patch[[#This Row],[ifCommon]])</f>
        <v>0</v>
      </c>
    </row>
    <row r="167" spans="1:31">
      <c r="A167" s="151">
        <v>146922</v>
      </c>
      <c r="B167" s="151"/>
      <c r="C167" s="151"/>
      <c r="D167" s="151"/>
      <c r="E167" s="151"/>
      <c r="F167" s="151"/>
      <c r="G167" s="151"/>
      <c r="H167" s="151"/>
      <c r="I167" s="151"/>
      <c r="J167" s="152">
        <v>42640.690821759257</v>
      </c>
      <c r="K167" s="151"/>
      <c r="L167" s="151" t="s">
        <v>1203</v>
      </c>
      <c r="M167" s="152">
        <v>42635.732534722221</v>
      </c>
      <c r="N167" s="151" t="s">
        <v>2472</v>
      </c>
      <c r="O167" s="151"/>
      <c r="P167" s="151"/>
      <c r="Q167" s="7" t="str">
        <f>IF(ISBLANK(patch[[#This Row],[OwnerEmail]]),Q166,patch[[#This Row],[OwnerEmail]])</f>
        <v>xi.cao@intel.com</v>
      </c>
      <c r="R167" s="7" t="str">
        <f>_xlfn.IFNA(VLOOKUP(patch[[#This Row],[tmp-owner.email]],OrgTree!$A:$K, 11, 0), "not ICG SWFW")</f>
        <v>BJ And dev</v>
      </c>
      <c r="S167" s="7" t="str">
        <f>IF(patch[[#This Row],[reviewer]]=patch[[#This Row],[tmp-owner.email]], "author", _xlfn.IFNA(VLOOKUP(patch[[#This Row],[reviewer]],OrgTree!$A:$K, 11, 0), "not ICG SWFW"))</f>
        <v>author</v>
      </c>
      <c r="T167" s="7" t="str">
        <f>IF(ISBLANK(patch[[#This Row],[mergeDate]]), "", MID(YEAR(patch[[#This Row],[mergeDate]]), 3,2)&amp;"'ww"&amp;WEEKNUM(patch[[#This Row],[mergeDate]]))</f>
        <v>16'ww40</v>
      </c>
      <c r="U167" s="7" t="str">
        <f>IF(ISBLANK(patch[[#This Row],[mergeDate]]), U166, MID(YEAR(patch[[#This Row],[mergeDate]]), 3,2)&amp;"'m"&amp;MONTH(patch[[#This Row],[mergeDate]]))</f>
        <v>16'm9</v>
      </c>
      <c r="V167" s="7" t="str">
        <f>IF(ISBLANK(patch[[#This Row],[project]]), "",SUM(patch[[#This Row],[BJ -1 num]:[SH -1 num]]))</f>
        <v/>
      </c>
      <c r="W167" s="7" t="str">
        <f>IF(ISBLANK(patch[[#This Row],[project]]), "",COUNTIFS($A:$A,patch[[#This Row],[number]],$S:$S, "BJ And dev",$AC:$AC, "Review-1"))</f>
        <v/>
      </c>
      <c r="X167" s="7" t="str">
        <f>IF(ISBLANK(patch[[#This Row],[project]]), "",COUNTIFS($A:$A,patch[[#This Row],[number]],$S:$S, "FL And dev",$AC:$AC, "Review-1"))</f>
        <v/>
      </c>
      <c r="Y167" s="7" t="str">
        <f>IF(ISBLANK(patch[[#This Row],[project]]), "",COUNTIFS($A:$A,patch[[#This Row],[number]],$S:$S, "SH And dev",$AC:$AC, "Review-1"))</f>
        <v/>
      </c>
      <c r="Z167" s="7" t="str">
        <f>IF(ISBLANK(patch[[#This Row],[project]]), "",COUNTIFS($A:$A,patch[[#This Row],[number]],$S:$S, "BJ And dev",$AD:$AD, "&lt;&gt;IntegratorValidationComment"))</f>
        <v/>
      </c>
      <c r="AA167" s="7" t="str">
        <f>IF(ISBLANK(patch[[#This Row],[project]]), "",COUNTIFS($A:$A,patch[[#This Row],[number]],$S:$S, "FL And dev",$AD:$AD, "&lt;&gt;IntegratorValidationComment"))</f>
        <v/>
      </c>
      <c r="AB167" s="7" t="str">
        <f>IF(ISBLANK(patch[[#This Row],[project]]), "",COUNTIFS($A:$A,patch[[#This Row],[number]],$S:$S, "SH And dev",$AD:$AD, "&lt;&gt;IntegratorValidationComment"))</f>
        <v/>
      </c>
      <c r="AC167" s="7" t="str">
        <f>IF(OR(ISNUMBER(FIND("Review-1", patch[[#This Row],[comments]])), ISNUMBER(FIND("Approver-1", patch[[#This Row],[comments]]))), "Review-1", "")</f>
        <v/>
      </c>
      <c r="AD1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7" s="7">
        <f>IF(ISBLANK(patch[[#This Row],[number]]),AE166,patch[[#This Row],[ifCommon]])</f>
        <v>0</v>
      </c>
    </row>
    <row r="168" spans="1:31">
      <c r="A168" s="151">
        <v>146922</v>
      </c>
      <c r="B168" s="151"/>
      <c r="C168" s="151"/>
      <c r="D168" s="151"/>
      <c r="E168" s="151"/>
      <c r="F168" s="151"/>
      <c r="G168" s="151"/>
      <c r="H168" s="151"/>
      <c r="I168" s="151"/>
      <c r="J168" s="152">
        <v>42640.690821759257</v>
      </c>
      <c r="K168" s="151"/>
      <c r="L168" s="151" t="s">
        <v>1203</v>
      </c>
      <c r="M168" s="152">
        <v>42635.732534722221</v>
      </c>
      <c r="N168" s="151" t="s">
        <v>1963</v>
      </c>
      <c r="O168" s="151"/>
      <c r="P168" s="151"/>
      <c r="Q168" s="7" t="str">
        <f>IF(ISBLANK(patch[[#This Row],[OwnerEmail]]),Q167,patch[[#This Row],[OwnerEmail]])</f>
        <v>xi.cao@intel.com</v>
      </c>
      <c r="R168" s="7" t="str">
        <f>_xlfn.IFNA(VLOOKUP(patch[[#This Row],[tmp-owner.email]],OrgTree!$A:$K, 11, 0), "not ICG SWFW")</f>
        <v>BJ And dev</v>
      </c>
      <c r="S168" s="7" t="str">
        <f>IF(patch[[#This Row],[reviewer]]=patch[[#This Row],[tmp-owner.email]], "author", _xlfn.IFNA(VLOOKUP(patch[[#This Row],[reviewer]],OrgTree!$A:$K, 11, 0), "not ICG SWFW"))</f>
        <v>author</v>
      </c>
      <c r="T168" s="7" t="str">
        <f>IF(ISBLANK(patch[[#This Row],[mergeDate]]), "", MID(YEAR(patch[[#This Row],[mergeDate]]), 3,2)&amp;"'ww"&amp;WEEKNUM(patch[[#This Row],[mergeDate]]))</f>
        <v>16'ww40</v>
      </c>
      <c r="U168" s="7" t="str">
        <f>IF(ISBLANK(patch[[#This Row],[mergeDate]]), U167, MID(YEAR(patch[[#This Row],[mergeDate]]), 3,2)&amp;"'m"&amp;MONTH(patch[[#This Row],[mergeDate]]))</f>
        <v>16'm9</v>
      </c>
      <c r="V168" s="7" t="str">
        <f>IF(ISBLANK(patch[[#This Row],[project]]), "",SUM(patch[[#This Row],[BJ -1 num]:[SH -1 num]]))</f>
        <v/>
      </c>
      <c r="W168" s="7" t="str">
        <f>IF(ISBLANK(patch[[#This Row],[project]]), "",COUNTIFS($A:$A,patch[[#This Row],[number]],$S:$S, "BJ And dev",$AC:$AC, "Review-1"))</f>
        <v/>
      </c>
      <c r="X168" s="7" t="str">
        <f>IF(ISBLANK(patch[[#This Row],[project]]), "",COUNTIFS($A:$A,patch[[#This Row],[number]],$S:$S, "FL And dev",$AC:$AC, "Review-1"))</f>
        <v/>
      </c>
      <c r="Y168" s="7" t="str">
        <f>IF(ISBLANK(patch[[#This Row],[project]]), "",COUNTIFS($A:$A,patch[[#This Row],[number]],$S:$S, "SH And dev",$AC:$AC, "Review-1"))</f>
        <v/>
      </c>
      <c r="Z168" s="7" t="str">
        <f>IF(ISBLANK(patch[[#This Row],[project]]), "",COUNTIFS($A:$A,patch[[#This Row],[number]],$S:$S, "BJ And dev",$AD:$AD, "&lt;&gt;IntegratorValidationComment"))</f>
        <v/>
      </c>
      <c r="AA168" s="7" t="str">
        <f>IF(ISBLANK(patch[[#This Row],[project]]), "",COUNTIFS($A:$A,patch[[#This Row],[number]],$S:$S, "FL And dev",$AD:$AD, "&lt;&gt;IntegratorValidationComment"))</f>
        <v/>
      </c>
      <c r="AB168" s="7" t="str">
        <f>IF(ISBLANK(patch[[#This Row],[project]]), "",COUNTIFS($A:$A,patch[[#This Row],[number]],$S:$S, "SH And dev",$AD:$AD, "&lt;&gt;IntegratorValidationComment"))</f>
        <v/>
      </c>
      <c r="AC168" s="7" t="str">
        <f>IF(OR(ISNUMBER(FIND("Review-1", patch[[#This Row],[comments]])), ISNUMBER(FIND("Approver-1", patch[[#This Row],[comments]]))), "Review-1", "")</f>
        <v/>
      </c>
      <c r="AD1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8" s="7">
        <f>IF(ISBLANK(patch[[#This Row],[number]]),AE167,patch[[#This Row],[ifCommon]])</f>
        <v>0</v>
      </c>
    </row>
    <row r="169" spans="1:31">
      <c r="A169" s="151">
        <v>146922</v>
      </c>
      <c r="B169" s="151"/>
      <c r="C169" s="151"/>
      <c r="D169" s="151"/>
      <c r="E169" s="151"/>
      <c r="F169" s="151"/>
      <c r="G169" s="151"/>
      <c r="H169" s="151"/>
      <c r="I169" s="151"/>
      <c r="J169" s="152">
        <v>42640.690821759257</v>
      </c>
      <c r="K169" s="151"/>
      <c r="L169" s="151" t="s">
        <v>1203</v>
      </c>
      <c r="M169" s="152">
        <v>42635.73542824074</v>
      </c>
      <c r="N169" s="151" t="s">
        <v>1965</v>
      </c>
      <c r="O169" s="151"/>
      <c r="P169" s="151"/>
      <c r="Q169" s="7" t="str">
        <f>IF(ISBLANK(patch[[#This Row],[OwnerEmail]]),Q168,patch[[#This Row],[OwnerEmail]])</f>
        <v>xi.cao@intel.com</v>
      </c>
      <c r="R169" s="7" t="str">
        <f>_xlfn.IFNA(VLOOKUP(patch[[#This Row],[tmp-owner.email]],OrgTree!$A:$K, 11, 0), "not ICG SWFW")</f>
        <v>BJ And dev</v>
      </c>
      <c r="S169" s="7" t="str">
        <f>IF(patch[[#This Row],[reviewer]]=patch[[#This Row],[tmp-owner.email]], "author", _xlfn.IFNA(VLOOKUP(patch[[#This Row],[reviewer]],OrgTree!$A:$K, 11, 0), "not ICG SWFW"))</f>
        <v>author</v>
      </c>
      <c r="T169" s="7" t="str">
        <f>IF(ISBLANK(patch[[#This Row],[mergeDate]]), "", MID(YEAR(patch[[#This Row],[mergeDate]]), 3,2)&amp;"'ww"&amp;WEEKNUM(patch[[#This Row],[mergeDate]]))</f>
        <v>16'ww40</v>
      </c>
      <c r="U169" s="7" t="str">
        <f>IF(ISBLANK(patch[[#This Row],[mergeDate]]), U168, MID(YEAR(patch[[#This Row],[mergeDate]]), 3,2)&amp;"'m"&amp;MONTH(patch[[#This Row],[mergeDate]]))</f>
        <v>16'm9</v>
      </c>
      <c r="V169" s="7" t="str">
        <f>IF(ISBLANK(patch[[#This Row],[project]]), "",SUM(patch[[#This Row],[BJ -1 num]:[SH -1 num]]))</f>
        <v/>
      </c>
      <c r="W169" s="7" t="str">
        <f>IF(ISBLANK(patch[[#This Row],[project]]), "",COUNTIFS($A:$A,patch[[#This Row],[number]],$S:$S, "BJ And dev",$AC:$AC, "Review-1"))</f>
        <v/>
      </c>
      <c r="X169" s="7" t="str">
        <f>IF(ISBLANK(patch[[#This Row],[project]]), "",COUNTIFS($A:$A,patch[[#This Row],[number]],$S:$S, "FL And dev",$AC:$AC, "Review-1"))</f>
        <v/>
      </c>
      <c r="Y169" s="7" t="str">
        <f>IF(ISBLANK(patch[[#This Row],[project]]), "",COUNTIFS($A:$A,patch[[#This Row],[number]],$S:$S, "SH And dev",$AC:$AC, "Review-1"))</f>
        <v/>
      </c>
      <c r="Z169" s="7" t="str">
        <f>IF(ISBLANK(patch[[#This Row],[project]]), "",COUNTIFS($A:$A,patch[[#This Row],[number]],$S:$S, "BJ And dev",$AD:$AD, "&lt;&gt;IntegratorValidationComment"))</f>
        <v/>
      </c>
      <c r="AA169" s="7" t="str">
        <f>IF(ISBLANK(patch[[#This Row],[project]]), "",COUNTIFS($A:$A,patch[[#This Row],[number]],$S:$S, "FL And dev",$AD:$AD, "&lt;&gt;IntegratorValidationComment"))</f>
        <v/>
      </c>
      <c r="AB169" s="7" t="str">
        <f>IF(ISBLANK(patch[[#This Row],[project]]), "",COUNTIFS($A:$A,patch[[#This Row],[number]],$S:$S, "SH And dev",$AD:$AD, "&lt;&gt;IntegratorValidationComment"))</f>
        <v/>
      </c>
      <c r="AC169" s="7" t="str">
        <f>IF(OR(ISNUMBER(FIND("Review-1", patch[[#This Row],[comments]])), ISNUMBER(FIND("Approver-1", patch[[#This Row],[comments]]))), "Review-1", "")</f>
        <v/>
      </c>
      <c r="AD1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9" s="7">
        <f>IF(ISBLANK(patch[[#This Row],[number]]),AE168,patch[[#This Row],[ifCommon]])</f>
        <v>0</v>
      </c>
    </row>
    <row r="170" spans="1:31">
      <c r="A170" s="151">
        <v>146922</v>
      </c>
      <c r="B170" s="151"/>
      <c r="C170" s="151"/>
      <c r="D170" s="151"/>
      <c r="E170" s="151"/>
      <c r="F170" s="151"/>
      <c r="G170" s="151"/>
      <c r="H170" s="151"/>
      <c r="I170" s="151"/>
      <c r="J170" s="152">
        <v>42640.690821759257</v>
      </c>
      <c r="K170" s="151"/>
      <c r="L170" s="151" t="s">
        <v>59</v>
      </c>
      <c r="M170" s="152">
        <v>42635.737118055556</v>
      </c>
      <c r="N170" s="151" t="s">
        <v>2674</v>
      </c>
      <c r="O170" s="151"/>
      <c r="P170" s="151"/>
      <c r="Q170" s="7" t="str">
        <f>IF(ISBLANK(patch[[#This Row],[OwnerEmail]]),Q169,patch[[#This Row],[OwnerEmail]])</f>
        <v>xi.cao@intel.com</v>
      </c>
      <c r="R170" s="7" t="str">
        <f>_xlfn.IFNA(VLOOKUP(patch[[#This Row],[tmp-owner.email]],OrgTree!$A:$K, 11, 0), "not ICG SWFW")</f>
        <v>BJ And dev</v>
      </c>
      <c r="S170" s="7" t="str">
        <f>IF(patch[[#This Row],[reviewer]]=patch[[#This Row],[tmp-owner.email]], "author", _xlfn.IFNA(VLOOKUP(patch[[#This Row],[reviewer]],OrgTree!$A:$K, 11, 0), "not ICG SWFW"))</f>
        <v>BJ And dev</v>
      </c>
      <c r="T170" s="7" t="str">
        <f>IF(ISBLANK(patch[[#This Row],[mergeDate]]), "", MID(YEAR(patch[[#This Row],[mergeDate]]), 3,2)&amp;"'ww"&amp;WEEKNUM(patch[[#This Row],[mergeDate]]))</f>
        <v>16'ww40</v>
      </c>
      <c r="U170" s="7" t="str">
        <f>IF(ISBLANK(patch[[#This Row],[mergeDate]]), U169, MID(YEAR(patch[[#This Row],[mergeDate]]), 3,2)&amp;"'m"&amp;MONTH(patch[[#This Row],[mergeDate]]))</f>
        <v>16'm9</v>
      </c>
      <c r="V170" s="7" t="str">
        <f>IF(ISBLANK(patch[[#This Row],[project]]), "",SUM(patch[[#This Row],[BJ -1 num]:[SH -1 num]]))</f>
        <v/>
      </c>
      <c r="W170" s="7" t="str">
        <f>IF(ISBLANK(patch[[#This Row],[project]]), "",COUNTIFS($A:$A,patch[[#This Row],[number]],$S:$S, "BJ And dev",$AC:$AC, "Review-1"))</f>
        <v/>
      </c>
      <c r="X170" s="7" t="str">
        <f>IF(ISBLANK(patch[[#This Row],[project]]), "",COUNTIFS($A:$A,patch[[#This Row],[number]],$S:$S, "FL And dev",$AC:$AC, "Review-1"))</f>
        <v/>
      </c>
      <c r="Y170" s="7" t="str">
        <f>IF(ISBLANK(patch[[#This Row],[project]]), "",COUNTIFS($A:$A,patch[[#This Row],[number]],$S:$S, "SH And dev",$AC:$AC, "Review-1"))</f>
        <v/>
      </c>
      <c r="Z170" s="7" t="str">
        <f>IF(ISBLANK(patch[[#This Row],[project]]), "",COUNTIFS($A:$A,patch[[#This Row],[number]],$S:$S, "BJ And dev",$AD:$AD, "&lt;&gt;IntegratorValidationComment"))</f>
        <v/>
      </c>
      <c r="AA170" s="7" t="str">
        <f>IF(ISBLANK(patch[[#This Row],[project]]), "",COUNTIFS($A:$A,patch[[#This Row],[number]],$S:$S, "FL And dev",$AD:$AD, "&lt;&gt;IntegratorValidationComment"))</f>
        <v/>
      </c>
      <c r="AB170" s="7" t="str">
        <f>IF(ISBLANK(patch[[#This Row],[project]]), "",COUNTIFS($A:$A,patch[[#This Row],[number]],$S:$S, "SH And dev",$AD:$AD, "&lt;&gt;IntegratorValidationComment"))</f>
        <v/>
      </c>
      <c r="AC170" s="7" t="str">
        <f>IF(OR(ISNUMBER(FIND("Review-1", patch[[#This Row],[comments]])), ISNUMBER(FIND("Approver-1", patch[[#This Row],[comments]]))), "Review-1", "")</f>
        <v/>
      </c>
      <c r="AD1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0" s="7">
        <f>IF(ISBLANK(patch[[#This Row],[number]]),AE169,patch[[#This Row],[ifCommon]])</f>
        <v>0</v>
      </c>
    </row>
    <row r="171" spans="1:31">
      <c r="A171" s="151">
        <v>146922</v>
      </c>
      <c r="B171" s="151"/>
      <c r="C171" s="151"/>
      <c r="D171" s="151"/>
      <c r="E171" s="151"/>
      <c r="F171" s="151"/>
      <c r="G171" s="151"/>
      <c r="H171" s="151"/>
      <c r="I171" s="151"/>
      <c r="J171" s="152">
        <v>42640.690821759257</v>
      </c>
      <c r="K171" s="151"/>
      <c r="L171" s="151" t="s">
        <v>63</v>
      </c>
      <c r="M171" s="152">
        <v>42635.73841435185</v>
      </c>
      <c r="N171" s="151" t="s">
        <v>1965</v>
      </c>
      <c r="O171" s="151"/>
      <c r="P171" s="151"/>
      <c r="Q171" s="7" t="str">
        <f>IF(ISBLANK(patch[[#This Row],[OwnerEmail]]),Q170,patch[[#This Row],[OwnerEmail]])</f>
        <v>xi.cao@intel.com</v>
      </c>
      <c r="R171" s="7" t="str">
        <f>_xlfn.IFNA(VLOOKUP(patch[[#This Row],[tmp-owner.email]],OrgTree!$A:$K, 11, 0), "not ICG SWFW")</f>
        <v>BJ And dev</v>
      </c>
      <c r="S171" s="7" t="str">
        <f>IF(patch[[#This Row],[reviewer]]=patch[[#This Row],[tmp-owner.email]], "author", _xlfn.IFNA(VLOOKUP(patch[[#This Row],[reviewer]],OrgTree!$A:$K, 11, 0), "not ICG SWFW"))</f>
        <v>BJ And dev</v>
      </c>
      <c r="T171" s="7" t="str">
        <f>IF(ISBLANK(patch[[#This Row],[mergeDate]]), "", MID(YEAR(patch[[#This Row],[mergeDate]]), 3,2)&amp;"'ww"&amp;WEEKNUM(patch[[#This Row],[mergeDate]]))</f>
        <v>16'ww40</v>
      </c>
      <c r="U171" s="7" t="str">
        <f>IF(ISBLANK(patch[[#This Row],[mergeDate]]), U170, MID(YEAR(patch[[#This Row],[mergeDate]]), 3,2)&amp;"'m"&amp;MONTH(patch[[#This Row],[mergeDate]]))</f>
        <v>16'm9</v>
      </c>
      <c r="V171" s="7" t="str">
        <f>IF(ISBLANK(patch[[#This Row],[project]]), "",SUM(patch[[#This Row],[BJ -1 num]:[SH -1 num]]))</f>
        <v/>
      </c>
      <c r="W171" s="7" t="str">
        <f>IF(ISBLANK(patch[[#This Row],[project]]), "",COUNTIFS($A:$A,patch[[#This Row],[number]],$S:$S, "BJ And dev",$AC:$AC, "Review-1"))</f>
        <v/>
      </c>
      <c r="X171" s="7" t="str">
        <f>IF(ISBLANK(patch[[#This Row],[project]]), "",COUNTIFS($A:$A,patch[[#This Row],[number]],$S:$S, "FL And dev",$AC:$AC, "Review-1"))</f>
        <v/>
      </c>
      <c r="Y171" s="7" t="str">
        <f>IF(ISBLANK(patch[[#This Row],[project]]), "",COUNTIFS($A:$A,patch[[#This Row],[number]],$S:$S, "SH And dev",$AC:$AC, "Review-1"))</f>
        <v/>
      </c>
      <c r="Z171" s="7" t="str">
        <f>IF(ISBLANK(patch[[#This Row],[project]]), "",COUNTIFS($A:$A,patch[[#This Row],[number]],$S:$S, "BJ And dev",$AD:$AD, "&lt;&gt;IntegratorValidationComment"))</f>
        <v/>
      </c>
      <c r="AA171" s="7" t="str">
        <f>IF(ISBLANK(patch[[#This Row],[project]]), "",COUNTIFS($A:$A,patch[[#This Row],[number]],$S:$S, "FL And dev",$AD:$AD, "&lt;&gt;IntegratorValidationComment"))</f>
        <v/>
      </c>
      <c r="AB171" s="7" t="str">
        <f>IF(ISBLANK(patch[[#This Row],[project]]), "",COUNTIFS($A:$A,patch[[#This Row],[number]],$S:$S, "SH And dev",$AD:$AD, "&lt;&gt;IntegratorValidationComment"))</f>
        <v/>
      </c>
      <c r="AC171" s="7" t="str">
        <f>IF(OR(ISNUMBER(FIND("Review-1", patch[[#This Row],[comments]])), ISNUMBER(FIND("Approver-1", patch[[#This Row],[comments]]))), "Review-1", "")</f>
        <v/>
      </c>
      <c r="AD1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1" s="7">
        <f>IF(ISBLANK(patch[[#This Row],[number]]),AE170,patch[[#This Row],[ifCommon]])</f>
        <v>0</v>
      </c>
    </row>
    <row r="172" spans="1:31">
      <c r="A172" s="151">
        <v>146922</v>
      </c>
      <c r="B172" s="151"/>
      <c r="C172" s="151"/>
      <c r="D172" s="151"/>
      <c r="E172" s="151"/>
      <c r="F172" s="151"/>
      <c r="G172" s="151"/>
      <c r="H172" s="151"/>
      <c r="I172" s="151"/>
      <c r="J172" s="152">
        <v>42640.690821759257</v>
      </c>
      <c r="K172" s="151"/>
      <c r="L172" s="151" t="s">
        <v>59</v>
      </c>
      <c r="M172" s="152">
        <v>42635.74554398148</v>
      </c>
      <c r="N172" s="151" t="s">
        <v>2675</v>
      </c>
      <c r="O172" s="151"/>
      <c r="P172" s="151"/>
      <c r="Q172" s="7" t="str">
        <f>IF(ISBLANK(patch[[#This Row],[OwnerEmail]]),Q171,patch[[#This Row],[OwnerEmail]])</f>
        <v>xi.cao@intel.com</v>
      </c>
      <c r="R172" s="7" t="str">
        <f>_xlfn.IFNA(VLOOKUP(patch[[#This Row],[tmp-owner.email]],OrgTree!$A:$K, 11, 0), "not ICG SWFW")</f>
        <v>BJ And dev</v>
      </c>
      <c r="S172" s="7" t="str">
        <f>IF(patch[[#This Row],[reviewer]]=patch[[#This Row],[tmp-owner.email]], "author", _xlfn.IFNA(VLOOKUP(patch[[#This Row],[reviewer]],OrgTree!$A:$K, 11, 0), "not ICG SWFW"))</f>
        <v>BJ And dev</v>
      </c>
      <c r="T172" s="7" t="str">
        <f>IF(ISBLANK(patch[[#This Row],[mergeDate]]), "", MID(YEAR(patch[[#This Row],[mergeDate]]), 3,2)&amp;"'ww"&amp;WEEKNUM(patch[[#This Row],[mergeDate]]))</f>
        <v>16'ww40</v>
      </c>
      <c r="U172" s="7" t="str">
        <f>IF(ISBLANK(patch[[#This Row],[mergeDate]]), U171, MID(YEAR(patch[[#This Row],[mergeDate]]), 3,2)&amp;"'m"&amp;MONTH(patch[[#This Row],[mergeDate]]))</f>
        <v>16'm9</v>
      </c>
      <c r="V172" s="7" t="str">
        <f>IF(ISBLANK(patch[[#This Row],[project]]), "",SUM(patch[[#This Row],[BJ -1 num]:[SH -1 num]]))</f>
        <v/>
      </c>
      <c r="W172" s="7" t="str">
        <f>IF(ISBLANK(patch[[#This Row],[project]]), "",COUNTIFS($A:$A,patch[[#This Row],[number]],$S:$S, "BJ And dev",$AC:$AC, "Review-1"))</f>
        <v/>
      </c>
      <c r="X172" s="7" t="str">
        <f>IF(ISBLANK(patch[[#This Row],[project]]), "",COUNTIFS($A:$A,patch[[#This Row],[number]],$S:$S, "FL And dev",$AC:$AC, "Review-1"))</f>
        <v/>
      </c>
      <c r="Y172" s="7" t="str">
        <f>IF(ISBLANK(patch[[#This Row],[project]]), "",COUNTIFS($A:$A,patch[[#This Row],[number]],$S:$S, "SH And dev",$AC:$AC, "Review-1"))</f>
        <v/>
      </c>
      <c r="Z172" s="7" t="str">
        <f>IF(ISBLANK(patch[[#This Row],[project]]), "",COUNTIFS($A:$A,patch[[#This Row],[number]],$S:$S, "BJ And dev",$AD:$AD, "&lt;&gt;IntegratorValidationComment"))</f>
        <v/>
      </c>
      <c r="AA172" s="7" t="str">
        <f>IF(ISBLANK(patch[[#This Row],[project]]), "",COUNTIFS($A:$A,patch[[#This Row],[number]],$S:$S, "FL And dev",$AD:$AD, "&lt;&gt;IntegratorValidationComment"))</f>
        <v/>
      </c>
      <c r="AB172" s="7" t="str">
        <f>IF(ISBLANK(patch[[#This Row],[project]]), "",COUNTIFS($A:$A,patch[[#This Row],[number]],$S:$S, "SH And dev",$AD:$AD, "&lt;&gt;IntegratorValidationComment"))</f>
        <v/>
      </c>
      <c r="AC172" s="7" t="str">
        <f>IF(OR(ISNUMBER(FIND("Review-1", patch[[#This Row],[comments]])), ISNUMBER(FIND("Approver-1", patch[[#This Row],[comments]]))), "Review-1", "")</f>
        <v/>
      </c>
      <c r="AD1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2" s="7">
        <f>IF(ISBLANK(patch[[#This Row],[number]]),AE171,patch[[#This Row],[ifCommon]])</f>
        <v>0</v>
      </c>
    </row>
    <row r="173" spans="1:31">
      <c r="A173" s="151">
        <v>146922</v>
      </c>
      <c r="B173" s="151"/>
      <c r="C173" s="151"/>
      <c r="D173" s="151"/>
      <c r="E173" s="151"/>
      <c r="F173" s="151"/>
      <c r="G173" s="151"/>
      <c r="H173" s="151"/>
      <c r="I173" s="151"/>
      <c r="J173" s="152">
        <v>42640.690821759257</v>
      </c>
      <c r="K173" s="151"/>
      <c r="L173" s="151" t="s">
        <v>32</v>
      </c>
      <c r="M173" s="152">
        <v>42635.765625</v>
      </c>
      <c r="N173" s="151" t="s">
        <v>2676</v>
      </c>
      <c r="O173" s="151" t="s">
        <v>2677</v>
      </c>
      <c r="P173" s="151"/>
      <c r="Q173" s="7" t="str">
        <f>IF(ISBLANK(patch[[#This Row],[OwnerEmail]]),Q172,patch[[#This Row],[OwnerEmail]])</f>
        <v>xi.cao@intel.com</v>
      </c>
      <c r="R173" s="7" t="str">
        <f>_xlfn.IFNA(VLOOKUP(patch[[#This Row],[tmp-owner.email]],OrgTree!$A:$K, 11, 0), "not ICG SWFW")</f>
        <v>BJ And dev</v>
      </c>
      <c r="S173" s="7" t="str">
        <f>IF(patch[[#This Row],[reviewer]]=patch[[#This Row],[tmp-owner.email]], "author", _xlfn.IFNA(VLOOKUP(patch[[#This Row],[reviewer]],OrgTree!$A:$K, 11, 0), "not ICG SWFW"))</f>
        <v>BJ And dev</v>
      </c>
      <c r="T173" s="7" t="str">
        <f>IF(ISBLANK(patch[[#This Row],[mergeDate]]), "", MID(YEAR(patch[[#This Row],[mergeDate]]), 3,2)&amp;"'ww"&amp;WEEKNUM(patch[[#This Row],[mergeDate]]))</f>
        <v>16'ww40</v>
      </c>
      <c r="U173" s="7" t="str">
        <f>IF(ISBLANK(patch[[#This Row],[mergeDate]]), U172, MID(YEAR(patch[[#This Row],[mergeDate]]), 3,2)&amp;"'m"&amp;MONTH(patch[[#This Row],[mergeDate]]))</f>
        <v>16'm9</v>
      </c>
      <c r="V173" s="7" t="str">
        <f>IF(ISBLANK(patch[[#This Row],[project]]), "",SUM(patch[[#This Row],[BJ -1 num]:[SH -1 num]]))</f>
        <v/>
      </c>
      <c r="W173" s="7" t="str">
        <f>IF(ISBLANK(patch[[#This Row],[project]]), "",COUNTIFS($A:$A,patch[[#This Row],[number]],$S:$S, "BJ And dev",$AC:$AC, "Review-1"))</f>
        <v/>
      </c>
      <c r="X173" s="7" t="str">
        <f>IF(ISBLANK(patch[[#This Row],[project]]), "",COUNTIFS($A:$A,patch[[#This Row],[number]],$S:$S, "FL And dev",$AC:$AC, "Review-1"))</f>
        <v/>
      </c>
      <c r="Y173" s="7" t="str">
        <f>IF(ISBLANK(patch[[#This Row],[project]]), "",COUNTIFS($A:$A,patch[[#This Row],[number]],$S:$S, "SH And dev",$AC:$AC, "Review-1"))</f>
        <v/>
      </c>
      <c r="Z173" s="7" t="str">
        <f>IF(ISBLANK(patch[[#This Row],[project]]), "",COUNTIFS($A:$A,patch[[#This Row],[number]],$S:$S, "BJ And dev",$AD:$AD, "&lt;&gt;IntegratorValidationComment"))</f>
        <v/>
      </c>
      <c r="AA173" s="7" t="str">
        <f>IF(ISBLANK(patch[[#This Row],[project]]), "",COUNTIFS($A:$A,patch[[#This Row],[number]],$S:$S, "FL And dev",$AD:$AD, "&lt;&gt;IntegratorValidationComment"))</f>
        <v/>
      </c>
      <c r="AB173" s="7" t="str">
        <f>IF(ISBLANK(patch[[#This Row],[project]]), "",COUNTIFS($A:$A,patch[[#This Row],[number]],$S:$S, "SH And dev",$AD:$AD, "&lt;&gt;IntegratorValidationComment"))</f>
        <v/>
      </c>
      <c r="AC173" s="7" t="str">
        <f>IF(OR(ISNUMBER(FIND("Review-1", patch[[#This Row],[comments]])), ISNUMBER(FIND("Approver-1", patch[[#This Row],[comments]]))), "Review-1", "")</f>
        <v/>
      </c>
      <c r="AD1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3" s="7">
        <f>IF(ISBLANK(patch[[#This Row],[number]]),AE172,patch[[#This Row],[ifCommon]])</f>
        <v>0</v>
      </c>
    </row>
    <row r="174" spans="1:31">
      <c r="A174" s="151">
        <v>146922</v>
      </c>
      <c r="B174" s="151"/>
      <c r="C174" s="151"/>
      <c r="D174" s="151"/>
      <c r="E174" s="151"/>
      <c r="F174" s="151"/>
      <c r="G174" s="151"/>
      <c r="H174" s="151"/>
      <c r="I174" s="152"/>
      <c r="J174" s="152">
        <v>42640.690821759257</v>
      </c>
      <c r="K174" s="151"/>
      <c r="L174" s="151" t="s">
        <v>1203</v>
      </c>
      <c r="M174" s="152">
        <v>42635.992719907408</v>
      </c>
      <c r="N174" s="151" t="s">
        <v>2565</v>
      </c>
      <c r="O174" s="151" t="s">
        <v>2678</v>
      </c>
      <c r="P174" s="151"/>
      <c r="Q174" s="7" t="str">
        <f>IF(ISBLANK(patch[[#This Row],[OwnerEmail]]),Q173,patch[[#This Row],[OwnerEmail]])</f>
        <v>xi.cao@intel.com</v>
      </c>
      <c r="R174" s="7" t="str">
        <f>_xlfn.IFNA(VLOOKUP(patch[[#This Row],[tmp-owner.email]],OrgTree!$A:$K, 11, 0), "not ICG SWFW")</f>
        <v>BJ And dev</v>
      </c>
      <c r="S174" s="7" t="str">
        <f>IF(patch[[#This Row],[reviewer]]=patch[[#This Row],[tmp-owner.email]], "author", _xlfn.IFNA(VLOOKUP(patch[[#This Row],[reviewer]],OrgTree!$A:$K, 11, 0), "not ICG SWFW"))</f>
        <v>author</v>
      </c>
      <c r="T174" s="7" t="str">
        <f>IF(ISBLANK(patch[[#This Row],[mergeDate]]), "", MID(YEAR(patch[[#This Row],[mergeDate]]), 3,2)&amp;"'ww"&amp;WEEKNUM(patch[[#This Row],[mergeDate]]))</f>
        <v>16'ww40</v>
      </c>
      <c r="U174" s="7" t="str">
        <f>IF(ISBLANK(patch[[#This Row],[mergeDate]]), U173, MID(YEAR(patch[[#This Row],[mergeDate]]), 3,2)&amp;"'m"&amp;MONTH(patch[[#This Row],[mergeDate]]))</f>
        <v>16'm9</v>
      </c>
      <c r="V174" s="7" t="str">
        <f>IF(ISBLANK(patch[[#This Row],[project]]), "",SUM(patch[[#This Row],[BJ -1 num]:[SH -1 num]]))</f>
        <v/>
      </c>
      <c r="W174" s="7" t="str">
        <f>IF(ISBLANK(patch[[#This Row],[project]]), "",COUNTIFS($A:$A,patch[[#This Row],[number]],$S:$S, "BJ And dev",$AC:$AC, "Review-1"))</f>
        <v/>
      </c>
      <c r="X174" s="7" t="str">
        <f>IF(ISBLANK(patch[[#This Row],[project]]), "",COUNTIFS($A:$A,patch[[#This Row],[number]],$S:$S, "FL And dev",$AC:$AC, "Review-1"))</f>
        <v/>
      </c>
      <c r="Y174" s="7" t="str">
        <f>IF(ISBLANK(patch[[#This Row],[project]]), "",COUNTIFS($A:$A,patch[[#This Row],[number]],$S:$S, "SH And dev",$AC:$AC, "Review-1"))</f>
        <v/>
      </c>
      <c r="Z174" s="7" t="str">
        <f>IF(ISBLANK(patch[[#This Row],[project]]), "",COUNTIFS($A:$A,patch[[#This Row],[number]],$S:$S, "BJ And dev",$AD:$AD, "&lt;&gt;IntegratorValidationComment"))</f>
        <v/>
      </c>
      <c r="AA174" s="7" t="str">
        <f>IF(ISBLANK(patch[[#This Row],[project]]), "",COUNTIFS($A:$A,patch[[#This Row],[number]],$S:$S, "FL And dev",$AD:$AD, "&lt;&gt;IntegratorValidationComment"))</f>
        <v/>
      </c>
      <c r="AB174" s="7" t="str">
        <f>IF(ISBLANK(patch[[#This Row],[project]]), "",COUNTIFS($A:$A,patch[[#This Row],[number]],$S:$S, "SH And dev",$AD:$AD, "&lt;&gt;IntegratorValidationComment"))</f>
        <v/>
      </c>
      <c r="AC174" s="7" t="str">
        <f>IF(OR(ISNUMBER(FIND("Review-1", patch[[#This Row],[comments]])), ISNUMBER(FIND("Approver-1", patch[[#This Row],[comments]]))), "Review-1", "")</f>
        <v/>
      </c>
      <c r="AD1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4" s="7">
        <f>IF(ISBLANK(patch[[#This Row],[number]]),AE173,patch[[#This Row],[ifCommon]])</f>
        <v>0</v>
      </c>
    </row>
    <row r="175" spans="1:31">
      <c r="A175" s="151">
        <v>146922</v>
      </c>
      <c r="B175" s="151"/>
      <c r="C175" s="151"/>
      <c r="D175" s="151"/>
      <c r="E175" s="151"/>
      <c r="F175" s="151"/>
      <c r="G175" s="151"/>
      <c r="H175" s="151"/>
      <c r="I175" s="151"/>
      <c r="J175" s="152">
        <v>42640.690821759257</v>
      </c>
      <c r="K175" s="151"/>
      <c r="L175" s="151" t="s">
        <v>1203</v>
      </c>
      <c r="M175" s="152">
        <v>42635.993078703701</v>
      </c>
      <c r="N175" s="151" t="s">
        <v>1967</v>
      </c>
      <c r="O175" s="151"/>
      <c r="P175" s="151"/>
      <c r="Q175" s="7" t="str">
        <f>IF(ISBLANK(patch[[#This Row],[OwnerEmail]]),Q174,patch[[#This Row],[OwnerEmail]])</f>
        <v>xi.cao@intel.com</v>
      </c>
      <c r="R175" s="7" t="str">
        <f>_xlfn.IFNA(VLOOKUP(patch[[#This Row],[tmp-owner.email]],OrgTree!$A:$K, 11, 0), "not ICG SWFW")</f>
        <v>BJ And dev</v>
      </c>
      <c r="S175" s="7" t="str">
        <f>IF(patch[[#This Row],[reviewer]]=patch[[#This Row],[tmp-owner.email]], "author", _xlfn.IFNA(VLOOKUP(patch[[#This Row],[reviewer]],OrgTree!$A:$K, 11, 0), "not ICG SWFW"))</f>
        <v>author</v>
      </c>
      <c r="T175" s="7" t="str">
        <f>IF(ISBLANK(patch[[#This Row],[mergeDate]]), "", MID(YEAR(patch[[#This Row],[mergeDate]]), 3,2)&amp;"'ww"&amp;WEEKNUM(patch[[#This Row],[mergeDate]]))</f>
        <v>16'ww40</v>
      </c>
      <c r="U175" s="7" t="str">
        <f>IF(ISBLANK(patch[[#This Row],[mergeDate]]), U174, MID(YEAR(patch[[#This Row],[mergeDate]]), 3,2)&amp;"'m"&amp;MONTH(patch[[#This Row],[mergeDate]]))</f>
        <v>16'm9</v>
      </c>
      <c r="V175" s="7" t="str">
        <f>IF(ISBLANK(patch[[#This Row],[project]]), "",SUM(patch[[#This Row],[BJ -1 num]:[SH -1 num]]))</f>
        <v/>
      </c>
      <c r="W175" s="7" t="str">
        <f>IF(ISBLANK(patch[[#This Row],[project]]), "",COUNTIFS($A:$A,patch[[#This Row],[number]],$S:$S, "BJ And dev",$AC:$AC, "Review-1"))</f>
        <v/>
      </c>
      <c r="X175" s="7" t="str">
        <f>IF(ISBLANK(patch[[#This Row],[project]]), "",COUNTIFS($A:$A,patch[[#This Row],[number]],$S:$S, "FL And dev",$AC:$AC, "Review-1"))</f>
        <v/>
      </c>
      <c r="Y175" s="7" t="str">
        <f>IF(ISBLANK(patch[[#This Row],[project]]), "",COUNTIFS($A:$A,patch[[#This Row],[number]],$S:$S, "SH And dev",$AC:$AC, "Review-1"))</f>
        <v/>
      </c>
      <c r="Z175" s="7" t="str">
        <f>IF(ISBLANK(patch[[#This Row],[project]]), "",COUNTIFS($A:$A,patch[[#This Row],[number]],$S:$S, "BJ And dev",$AD:$AD, "&lt;&gt;IntegratorValidationComment"))</f>
        <v/>
      </c>
      <c r="AA175" s="7" t="str">
        <f>IF(ISBLANK(patch[[#This Row],[project]]), "",COUNTIFS($A:$A,patch[[#This Row],[number]],$S:$S, "FL And dev",$AD:$AD, "&lt;&gt;IntegratorValidationComment"))</f>
        <v/>
      </c>
      <c r="AB175" s="7" t="str">
        <f>IF(ISBLANK(patch[[#This Row],[project]]), "",COUNTIFS($A:$A,patch[[#This Row],[number]],$S:$S, "SH And dev",$AD:$AD, "&lt;&gt;IntegratorValidationComment"))</f>
        <v/>
      </c>
      <c r="AC175" s="7" t="str">
        <f>IF(OR(ISNUMBER(FIND("Review-1", patch[[#This Row],[comments]])), ISNUMBER(FIND("Approver-1", patch[[#This Row],[comments]]))), "Review-1", "")</f>
        <v/>
      </c>
      <c r="AD1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5" s="7">
        <f>IF(ISBLANK(patch[[#This Row],[number]]),AE174,patch[[#This Row],[ifCommon]])</f>
        <v>0</v>
      </c>
    </row>
    <row r="176" spans="1:31">
      <c r="A176" s="151">
        <v>146922</v>
      </c>
      <c r="B176" s="151"/>
      <c r="C176" s="151"/>
      <c r="D176" s="151"/>
      <c r="E176" s="151"/>
      <c r="F176" s="151"/>
      <c r="G176" s="151"/>
      <c r="H176" s="151"/>
      <c r="I176" s="151"/>
      <c r="J176" s="152">
        <v>42640.690821759257</v>
      </c>
      <c r="K176" s="151"/>
      <c r="L176" s="151" t="s">
        <v>1203</v>
      </c>
      <c r="M176" s="152">
        <v>42635.993078703701</v>
      </c>
      <c r="N176" s="151" t="s">
        <v>2473</v>
      </c>
      <c r="O176" s="151"/>
      <c r="P176" s="151"/>
      <c r="Q176" s="7" t="str">
        <f>IF(ISBLANK(patch[[#This Row],[OwnerEmail]]),Q175,patch[[#This Row],[OwnerEmail]])</f>
        <v>xi.cao@intel.com</v>
      </c>
      <c r="R176" s="7" t="str">
        <f>_xlfn.IFNA(VLOOKUP(patch[[#This Row],[tmp-owner.email]],OrgTree!$A:$K, 11, 0), "not ICG SWFW")</f>
        <v>BJ And dev</v>
      </c>
      <c r="S176" s="7" t="str">
        <f>IF(patch[[#This Row],[reviewer]]=patch[[#This Row],[tmp-owner.email]], "author", _xlfn.IFNA(VLOOKUP(patch[[#This Row],[reviewer]],OrgTree!$A:$K, 11, 0), "not ICG SWFW"))</f>
        <v>author</v>
      </c>
      <c r="T176" s="7" t="str">
        <f>IF(ISBLANK(patch[[#This Row],[mergeDate]]), "", MID(YEAR(patch[[#This Row],[mergeDate]]), 3,2)&amp;"'ww"&amp;WEEKNUM(patch[[#This Row],[mergeDate]]))</f>
        <v>16'ww40</v>
      </c>
      <c r="U176" s="7" t="str">
        <f>IF(ISBLANK(patch[[#This Row],[mergeDate]]), U175, MID(YEAR(patch[[#This Row],[mergeDate]]), 3,2)&amp;"'m"&amp;MONTH(patch[[#This Row],[mergeDate]]))</f>
        <v>16'm9</v>
      </c>
      <c r="V176" s="7" t="str">
        <f>IF(ISBLANK(patch[[#This Row],[project]]), "",SUM(patch[[#This Row],[BJ -1 num]:[SH -1 num]]))</f>
        <v/>
      </c>
      <c r="W176" s="7" t="str">
        <f>IF(ISBLANK(patch[[#This Row],[project]]), "",COUNTIFS($A:$A,patch[[#This Row],[number]],$S:$S, "BJ And dev",$AC:$AC, "Review-1"))</f>
        <v/>
      </c>
      <c r="X176" s="7" t="str">
        <f>IF(ISBLANK(patch[[#This Row],[project]]), "",COUNTIFS($A:$A,patch[[#This Row],[number]],$S:$S, "FL And dev",$AC:$AC, "Review-1"))</f>
        <v/>
      </c>
      <c r="Y176" s="7" t="str">
        <f>IF(ISBLANK(patch[[#This Row],[project]]), "",COUNTIFS($A:$A,patch[[#This Row],[number]],$S:$S, "SH And dev",$AC:$AC, "Review-1"))</f>
        <v/>
      </c>
      <c r="Z176" s="7" t="str">
        <f>IF(ISBLANK(patch[[#This Row],[project]]), "",COUNTIFS($A:$A,patch[[#This Row],[number]],$S:$S, "BJ And dev",$AD:$AD, "&lt;&gt;IntegratorValidationComment"))</f>
        <v/>
      </c>
      <c r="AA176" s="7" t="str">
        <f>IF(ISBLANK(patch[[#This Row],[project]]), "",COUNTIFS($A:$A,patch[[#This Row],[number]],$S:$S, "FL And dev",$AD:$AD, "&lt;&gt;IntegratorValidationComment"))</f>
        <v/>
      </c>
      <c r="AB176" s="7" t="str">
        <f>IF(ISBLANK(patch[[#This Row],[project]]), "",COUNTIFS($A:$A,patch[[#This Row],[number]],$S:$S, "SH And dev",$AD:$AD, "&lt;&gt;IntegratorValidationComment"))</f>
        <v/>
      </c>
      <c r="AC176" s="7" t="str">
        <f>IF(OR(ISNUMBER(FIND("Review-1", patch[[#This Row],[comments]])), ISNUMBER(FIND("Approver-1", patch[[#This Row],[comments]]))), "Review-1", "")</f>
        <v/>
      </c>
      <c r="AD1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6" s="7">
        <f>IF(ISBLANK(patch[[#This Row],[number]]),AE175,patch[[#This Row],[ifCommon]])</f>
        <v>0</v>
      </c>
    </row>
    <row r="177" spans="1:31">
      <c r="A177" s="151">
        <v>146922</v>
      </c>
      <c r="B177" s="151"/>
      <c r="C177" s="151"/>
      <c r="D177" s="151"/>
      <c r="E177" s="151"/>
      <c r="F177" s="151"/>
      <c r="G177" s="151"/>
      <c r="H177" s="151"/>
      <c r="I177" s="151"/>
      <c r="J177" s="152">
        <v>42640.690821759257</v>
      </c>
      <c r="K177" s="151"/>
      <c r="L177" s="151" t="s">
        <v>1203</v>
      </c>
      <c r="M177" s="152">
        <v>42636.007627314822</v>
      </c>
      <c r="N177" s="151" t="s">
        <v>2474</v>
      </c>
      <c r="O177" s="151"/>
      <c r="P177" s="151"/>
      <c r="Q177" s="7" t="str">
        <f>IF(ISBLANK(patch[[#This Row],[OwnerEmail]]),Q176,patch[[#This Row],[OwnerEmail]])</f>
        <v>xi.cao@intel.com</v>
      </c>
      <c r="R177" s="7" t="str">
        <f>_xlfn.IFNA(VLOOKUP(patch[[#This Row],[tmp-owner.email]],OrgTree!$A:$K, 11, 0), "not ICG SWFW")</f>
        <v>BJ And dev</v>
      </c>
      <c r="S177" s="7" t="str">
        <f>IF(patch[[#This Row],[reviewer]]=patch[[#This Row],[tmp-owner.email]], "author", _xlfn.IFNA(VLOOKUP(patch[[#This Row],[reviewer]],OrgTree!$A:$K, 11, 0), "not ICG SWFW"))</f>
        <v>author</v>
      </c>
      <c r="T177" s="7" t="str">
        <f>IF(ISBLANK(patch[[#This Row],[mergeDate]]), "", MID(YEAR(patch[[#This Row],[mergeDate]]), 3,2)&amp;"'ww"&amp;WEEKNUM(patch[[#This Row],[mergeDate]]))</f>
        <v>16'ww40</v>
      </c>
      <c r="U177" s="7" t="str">
        <f>IF(ISBLANK(patch[[#This Row],[mergeDate]]), U176, MID(YEAR(patch[[#This Row],[mergeDate]]), 3,2)&amp;"'m"&amp;MONTH(patch[[#This Row],[mergeDate]]))</f>
        <v>16'm9</v>
      </c>
      <c r="V177" s="7" t="str">
        <f>IF(ISBLANK(patch[[#This Row],[project]]), "",SUM(patch[[#This Row],[BJ -1 num]:[SH -1 num]]))</f>
        <v/>
      </c>
      <c r="W177" s="7" t="str">
        <f>IF(ISBLANK(patch[[#This Row],[project]]), "",COUNTIFS($A:$A,patch[[#This Row],[number]],$S:$S, "BJ And dev",$AC:$AC, "Review-1"))</f>
        <v/>
      </c>
      <c r="X177" s="7" t="str">
        <f>IF(ISBLANK(patch[[#This Row],[project]]), "",COUNTIFS($A:$A,patch[[#This Row],[number]],$S:$S, "FL And dev",$AC:$AC, "Review-1"))</f>
        <v/>
      </c>
      <c r="Y177" s="7" t="str">
        <f>IF(ISBLANK(patch[[#This Row],[project]]), "",COUNTIFS($A:$A,patch[[#This Row],[number]],$S:$S, "SH And dev",$AC:$AC, "Review-1"))</f>
        <v/>
      </c>
      <c r="Z177" s="7" t="str">
        <f>IF(ISBLANK(patch[[#This Row],[project]]), "",COUNTIFS($A:$A,patch[[#This Row],[number]],$S:$S, "BJ And dev",$AD:$AD, "&lt;&gt;IntegratorValidationComment"))</f>
        <v/>
      </c>
      <c r="AA177" s="7" t="str">
        <f>IF(ISBLANK(patch[[#This Row],[project]]), "",COUNTIFS($A:$A,patch[[#This Row],[number]],$S:$S, "FL And dev",$AD:$AD, "&lt;&gt;IntegratorValidationComment"))</f>
        <v/>
      </c>
      <c r="AB177" s="7" t="str">
        <f>IF(ISBLANK(patch[[#This Row],[project]]), "",COUNTIFS($A:$A,patch[[#This Row],[number]],$S:$S, "SH And dev",$AD:$AD, "&lt;&gt;IntegratorValidationComment"))</f>
        <v/>
      </c>
      <c r="AC177" s="7" t="str">
        <f>IF(OR(ISNUMBER(FIND("Review-1", patch[[#This Row],[comments]])), ISNUMBER(FIND("Approver-1", patch[[#This Row],[comments]]))), "Review-1", "")</f>
        <v/>
      </c>
      <c r="AD1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7" s="7">
        <f>IF(ISBLANK(patch[[#This Row],[number]]),AE176,patch[[#This Row],[ifCommon]])</f>
        <v>0</v>
      </c>
    </row>
    <row r="178" spans="1:31">
      <c r="A178" s="151">
        <v>146922</v>
      </c>
      <c r="B178" s="151"/>
      <c r="C178" s="151"/>
      <c r="D178" s="151"/>
      <c r="E178" s="151"/>
      <c r="F178" s="151"/>
      <c r="G178" s="151"/>
      <c r="H178" s="151"/>
      <c r="I178" s="151"/>
      <c r="J178" s="152">
        <v>42640.690821759257</v>
      </c>
      <c r="K178" s="151"/>
      <c r="L178" s="151" t="s">
        <v>1203</v>
      </c>
      <c r="M178" s="152">
        <v>42636.007627314822</v>
      </c>
      <c r="N178" s="151" t="s">
        <v>2517</v>
      </c>
      <c r="O178" s="151"/>
      <c r="P178" s="151"/>
      <c r="Q178" s="7" t="str">
        <f>IF(ISBLANK(patch[[#This Row],[OwnerEmail]]),Q177,patch[[#This Row],[OwnerEmail]])</f>
        <v>xi.cao@intel.com</v>
      </c>
      <c r="R178" s="7" t="str">
        <f>_xlfn.IFNA(VLOOKUP(patch[[#This Row],[tmp-owner.email]],OrgTree!$A:$K, 11, 0), "not ICG SWFW")</f>
        <v>BJ And dev</v>
      </c>
      <c r="S178" s="7" t="str">
        <f>IF(patch[[#This Row],[reviewer]]=patch[[#This Row],[tmp-owner.email]], "author", _xlfn.IFNA(VLOOKUP(patch[[#This Row],[reviewer]],OrgTree!$A:$K, 11, 0), "not ICG SWFW"))</f>
        <v>author</v>
      </c>
      <c r="T178" s="7" t="str">
        <f>IF(ISBLANK(patch[[#This Row],[mergeDate]]), "", MID(YEAR(patch[[#This Row],[mergeDate]]), 3,2)&amp;"'ww"&amp;WEEKNUM(patch[[#This Row],[mergeDate]]))</f>
        <v>16'ww40</v>
      </c>
      <c r="U178" s="7" t="str">
        <f>IF(ISBLANK(patch[[#This Row],[mergeDate]]), U177, MID(YEAR(patch[[#This Row],[mergeDate]]), 3,2)&amp;"'m"&amp;MONTH(patch[[#This Row],[mergeDate]]))</f>
        <v>16'm9</v>
      </c>
      <c r="V178" s="7" t="str">
        <f>IF(ISBLANK(patch[[#This Row],[project]]), "",SUM(patch[[#This Row],[BJ -1 num]:[SH -1 num]]))</f>
        <v/>
      </c>
      <c r="W178" s="7" t="str">
        <f>IF(ISBLANK(patch[[#This Row],[project]]), "",COUNTIFS($A:$A,patch[[#This Row],[number]],$S:$S, "BJ And dev",$AC:$AC, "Review-1"))</f>
        <v/>
      </c>
      <c r="X178" s="7" t="str">
        <f>IF(ISBLANK(patch[[#This Row],[project]]), "",COUNTIFS($A:$A,patch[[#This Row],[number]],$S:$S, "FL And dev",$AC:$AC, "Review-1"))</f>
        <v/>
      </c>
      <c r="Y178" s="7" t="str">
        <f>IF(ISBLANK(patch[[#This Row],[project]]), "",COUNTIFS($A:$A,patch[[#This Row],[number]],$S:$S, "SH And dev",$AC:$AC, "Review-1"))</f>
        <v/>
      </c>
      <c r="Z178" s="7" t="str">
        <f>IF(ISBLANK(patch[[#This Row],[project]]), "",COUNTIFS($A:$A,patch[[#This Row],[number]],$S:$S, "BJ And dev",$AD:$AD, "&lt;&gt;IntegratorValidationComment"))</f>
        <v/>
      </c>
      <c r="AA178" s="7" t="str">
        <f>IF(ISBLANK(patch[[#This Row],[project]]), "",COUNTIFS($A:$A,patch[[#This Row],[number]],$S:$S, "FL And dev",$AD:$AD, "&lt;&gt;IntegratorValidationComment"))</f>
        <v/>
      </c>
      <c r="AB178" s="7" t="str">
        <f>IF(ISBLANK(patch[[#This Row],[project]]), "",COUNTIFS($A:$A,patch[[#This Row],[number]],$S:$S, "SH And dev",$AD:$AD, "&lt;&gt;IntegratorValidationComment"))</f>
        <v/>
      </c>
      <c r="AC178" s="7" t="str">
        <f>IF(OR(ISNUMBER(FIND("Review-1", patch[[#This Row],[comments]])), ISNUMBER(FIND("Approver-1", patch[[#This Row],[comments]]))), "Review-1", "")</f>
        <v/>
      </c>
      <c r="AD1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8" s="7">
        <f>IF(ISBLANK(patch[[#This Row],[number]]),AE177,patch[[#This Row],[ifCommon]])</f>
        <v>0</v>
      </c>
    </row>
    <row r="179" spans="1:31">
      <c r="A179" s="151">
        <v>146922</v>
      </c>
      <c r="B179" s="151"/>
      <c r="C179" s="151"/>
      <c r="D179" s="151"/>
      <c r="E179" s="151"/>
      <c r="F179" s="151"/>
      <c r="G179" s="151"/>
      <c r="H179" s="151"/>
      <c r="I179" s="151"/>
      <c r="J179" s="152">
        <v>42640.690821759257</v>
      </c>
      <c r="K179" s="151"/>
      <c r="L179" s="151" t="s">
        <v>1203</v>
      </c>
      <c r="M179" s="152">
        <v>42636.009097222217</v>
      </c>
      <c r="N179" s="151" t="s">
        <v>2565</v>
      </c>
      <c r="O179" s="151" t="s">
        <v>2679</v>
      </c>
      <c r="P179" s="151"/>
      <c r="Q179" s="7" t="str">
        <f>IF(ISBLANK(patch[[#This Row],[OwnerEmail]]),Q178,patch[[#This Row],[OwnerEmail]])</f>
        <v>xi.cao@intel.com</v>
      </c>
      <c r="R179" s="7" t="str">
        <f>_xlfn.IFNA(VLOOKUP(patch[[#This Row],[tmp-owner.email]],OrgTree!$A:$K, 11, 0), "not ICG SWFW")</f>
        <v>BJ And dev</v>
      </c>
      <c r="S179" s="7" t="str">
        <f>IF(patch[[#This Row],[reviewer]]=patch[[#This Row],[tmp-owner.email]], "author", _xlfn.IFNA(VLOOKUP(patch[[#This Row],[reviewer]],OrgTree!$A:$K, 11, 0), "not ICG SWFW"))</f>
        <v>author</v>
      </c>
      <c r="T179" s="7" t="str">
        <f>IF(ISBLANK(patch[[#This Row],[mergeDate]]), "", MID(YEAR(patch[[#This Row],[mergeDate]]), 3,2)&amp;"'ww"&amp;WEEKNUM(patch[[#This Row],[mergeDate]]))</f>
        <v>16'ww40</v>
      </c>
      <c r="U179" s="7" t="str">
        <f>IF(ISBLANK(patch[[#This Row],[mergeDate]]), U178, MID(YEAR(patch[[#This Row],[mergeDate]]), 3,2)&amp;"'m"&amp;MONTH(patch[[#This Row],[mergeDate]]))</f>
        <v>16'm9</v>
      </c>
      <c r="V179" s="7" t="str">
        <f>IF(ISBLANK(patch[[#This Row],[project]]), "",SUM(patch[[#This Row],[BJ -1 num]:[SH -1 num]]))</f>
        <v/>
      </c>
      <c r="W179" s="7" t="str">
        <f>IF(ISBLANK(patch[[#This Row],[project]]), "",COUNTIFS($A:$A,patch[[#This Row],[number]],$S:$S, "BJ And dev",$AC:$AC, "Review-1"))</f>
        <v/>
      </c>
      <c r="X179" s="7" t="str">
        <f>IF(ISBLANK(patch[[#This Row],[project]]), "",COUNTIFS($A:$A,patch[[#This Row],[number]],$S:$S, "FL And dev",$AC:$AC, "Review-1"))</f>
        <v/>
      </c>
      <c r="Y179" s="7" t="str">
        <f>IF(ISBLANK(patch[[#This Row],[project]]), "",COUNTIFS($A:$A,patch[[#This Row],[number]],$S:$S, "SH And dev",$AC:$AC, "Review-1"))</f>
        <v/>
      </c>
      <c r="Z179" s="7" t="str">
        <f>IF(ISBLANK(patch[[#This Row],[project]]), "",COUNTIFS($A:$A,patch[[#This Row],[number]],$S:$S, "BJ And dev",$AD:$AD, "&lt;&gt;IntegratorValidationComment"))</f>
        <v/>
      </c>
      <c r="AA179" s="7" t="str">
        <f>IF(ISBLANK(patch[[#This Row],[project]]), "",COUNTIFS($A:$A,patch[[#This Row],[number]],$S:$S, "FL And dev",$AD:$AD, "&lt;&gt;IntegratorValidationComment"))</f>
        <v/>
      </c>
      <c r="AB179" s="7" t="str">
        <f>IF(ISBLANK(patch[[#This Row],[project]]), "",COUNTIFS($A:$A,patch[[#This Row],[number]],$S:$S, "SH And dev",$AD:$AD, "&lt;&gt;IntegratorValidationComment"))</f>
        <v/>
      </c>
      <c r="AC179" s="7" t="str">
        <f>IF(OR(ISNUMBER(FIND("Review-1", patch[[#This Row],[comments]])), ISNUMBER(FIND("Approver-1", patch[[#This Row],[comments]]))), "Review-1", "")</f>
        <v/>
      </c>
      <c r="AD1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9" s="7">
        <f>IF(ISBLANK(patch[[#This Row],[number]]),AE178,patch[[#This Row],[ifCommon]])</f>
        <v>0</v>
      </c>
    </row>
    <row r="180" spans="1:31">
      <c r="A180" s="151">
        <v>146922</v>
      </c>
      <c r="B180" s="151"/>
      <c r="C180" s="151"/>
      <c r="D180" s="151"/>
      <c r="E180" s="151"/>
      <c r="F180" s="151"/>
      <c r="G180" s="151"/>
      <c r="H180" s="151"/>
      <c r="I180" s="151"/>
      <c r="J180" s="152">
        <v>42640.690821759257</v>
      </c>
      <c r="K180" s="151"/>
      <c r="L180" s="151" t="s">
        <v>1203</v>
      </c>
      <c r="M180" s="152">
        <v>42636.00917824074</v>
      </c>
      <c r="N180" s="151" t="s">
        <v>2475</v>
      </c>
      <c r="O180" s="151"/>
      <c r="P180" s="151"/>
      <c r="Q180" s="7" t="str">
        <f>IF(ISBLANK(patch[[#This Row],[OwnerEmail]]),Q179,patch[[#This Row],[OwnerEmail]])</f>
        <v>xi.cao@intel.com</v>
      </c>
      <c r="R180" s="7" t="str">
        <f>_xlfn.IFNA(VLOOKUP(patch[[#This Row],[tmp-owner.email]],OrgTree!$A:$K, 11, 0), "not ICG SWFW")</f>
        <v>BJ And dev</v>
      </c>
      <c r="S180" s="7" t="str">
        <f>IF(patch[[#This Row],[reviewer]]=patch[[#This Row],[tmp-owner.email]], "author", _xlfn.IFNA(VLOOKUP(patch[[#This Row],[reviewer]],OrgTree!$A:$K, 11, 0), "not ICG SWFW"))</f>
        <v>author</v>
      </c>
      <c r="T180" s="7" t="str">
        <f>IF(ISBLANK(patch[[#This Row],[mergeDate]]), "", MID(YEAR(patch[[#This Row],[mergeDate]]), 3,2)&amp;"'ww"&amp;WEEKNUM(patch[[#This Row],[mergeDate]]))</f>
        <v>16'ww40</v>
      </c>
      <c r="U180" s="7" t="str">
        <f>IF(ISBLANK(patch[[#This Row],[mergeDate]]), U179, MID(YEAR(patch[[#This Row],[mergeDate]]), 3,2)&amp;"'m"&amp;MONTH(patch[[#This Row],[mergeDate]]))</f>
        <v>16'm9</v>
      </c>
      <c r="V180" s="7" t="str">
        <f>IF(ISBLANK(patch[[#This Row],[project]]), "",SUM(patch[[#This Row],[BJ -1 num]:[SH -1 num]]))</f>
        <v/>
      </c>
      <c r="W180" s="7" t="str">
        <f>IF(ISBLANK(patch[[#This Row],[project]]), "",COUNTIFS($A:$A,patch[[#This Row],[number]],$S:$S, "BJ And dev",$AC:$AC, "Review-1"))</f>
        <v/>
      </c>
      <c r="X180" s="7" t="str">
        <f>IF(ISBLANK(patch[[#This Row],[project]]), "",COUNTIFS($A:$A,patch[[#This Row],[number]],$S:$S, "FL And dev",$AC:$AC, "Review-1"))</f>
        <v/>
      </c>
      <c r="Y180" s="7" t="str">
        <f>IF(ISBLANK(patch[[#This Row],[project]]), "",COUNTIFS($A:$A,patch[[#This Row],[number]],$S:$S, "SH And dev",$AC:$AC, "Review-1"))</f>
        <v/>
      </c>
      <c r="Z180" s="7" t="str">
        <f>IF(ISBLANK(patch[[#This Row],[project]]), "",COUNTIFS($A:$A,patch[[#This Row],[number]],$S:$S, "BJ And dev",$AD:$AD, "&lt;&gt;IntegratorValidationComment"))</f>
        <v/>
      </c>
      <c r="AA180" s="7" t="str">
        <f>IF(ISBLANK(patch[[#This Row],[project]]), "",COUNTIFS($A:$A,patch[[#This Row],[number]],$S:$S, "FL And dev",$AD:$AD, "&lt;&gt;IntegratorValidationComment"))</f>
        <v/>
      </c>
      <c r="AB180" s="7" t="str">
        <f>IF(ISBLANK(patch[[#This Row],[project]]), "",COUNTIFS($A:$A,patch[[#This Row],[number]],$S:$S, "SH And dev",$AD:$AD, "&lt;&gt;IntegratorValidationComment"))</f>
        <v/>
      </c>
      <c r="AC180" s="7" t="str">
        <f>IF(OR(ISNUMBER(FIND("Review-1", patch[[#This Row],[comments]])), ISNUMBER(FIND("Approver-1", patch[[#This Row],[comments]]))), "Review-1", "")</f>
        <v/>
      </c>
      <c r="AD1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0" s="7">
        <f>IF(ISBLANK(patch[[#This Row],[number]]),AE179,patch[[#This Row],[ifCommon]])</f>
        <v>0</v>
      </c>
    </row>
    <row r="181" spans="1:31">
      <c r="A181" s="151">
        <v>146922</v>
      </c>
      <c r="B181" s="151"/>
      <c r="C181" s="151"/>
      <c r="D181" s="151"/>
      <c r="E181" s="151"/>
      <c r="F181" s="151"/>
      <c r="G181" s="151"/>
      <c r="H181" s="151"/>
      <c r="I181" s="151"/>
      <c r="J181" s="152">
        <v>42640.690821759257</v>
      </c>
      <c r="K181" s="151"/>
      <c r="L181" s="151" t="s">
        <v>59</v>
      </c>
      <c r="M181" s="152">
        <v>42636.375740740739</v>
      </c>
      <c r="N181" s="151" t="s">
        <v>2680</v>
      </c>
      <c r="O181" s="151"/>
      <c r="P181" s="151"/>
      <c r="Q181" s="7" t="str">
        <f>IF(ISBLANK(patch[[#This Row],[OwnerEmail]]),Q180,patch[[#This Row],[OwnerEmail]])</f>
        <v>xi.cao@intel.com</v>
      </c>
      <c r="R181" s="7" t="str">
        <f>_xlfn.IFNA(VLOOKUP(patch[[#This Row],[tmp-owner.email]],OrgTree!$A:$K, 11, 0), "not ICG SWFW")</f>
        <v>BJ And dev</v>
      </c>
      <c r="S181" s="7" t="str">
        <f>IF(patch[[#This Row],[reviewer]]=patch[[#This Row],[tmp-owner.email]], "author", _xlfn.IFNA(VLOOKUP(patch[[#This Row],[reviewer]],OrgTree!$A:$K, 11, 0), "not ICG SWFW"))</f>
        <v>BJ And dev</v>
      </c>
      <c r="T181" s="7" t="str">
        <f>IF(ISBLANK(patch[[#This Row],[mergeDate]]), "", MID(YEAR(patch[[#This Row],[mergeDate]]), 3,2)&amp;"'ww"&amp;WEEKNUM(patch[[#This Row],[mergeDate]]))</f>
        <v>16'ww40</v>
      </c>
      <c r="U181" s="7" t="str">
        <f>IF(ISBLANK(patch[[#This Row],[mergeDate]]), U180, MID(YEAR(patch[[#This Row],[mergeDate]]), 3,2)&amp;"'m"&amp;MONTH(patch[[#This Row],[mergeDate]]))</f>
        <v>16'm9</v>
      </c>
      <c r="V181" s="7" t="str">
        <f>IF(ISBLANK(patch[[#This Row],[project]]), "",SUM(patch[[#This Row],[BJ -1 num]:[SH -1 num]]))</f>
        <v/>
      </c>
      <c r="W181" s="7" t="str">
        <f>IF(ISBLANK(patch[[#This Row],[project]]), "",COUNTIFS($A:$A,patch[[#This Row],[number]],$S:$S, "BJ And dev",$AC:$AC, "Review-1"))</f>
        <v/>
      </c>
      <c r="X181" s="7" t="str">
        <f>IF(ISBLANK(patch[[#This Row],[project]]), "",COUNTIFS($A:$A,patch[[#This Row],[number]],$S:$S, "FL And dev",$AC:$AC, "Review-1"))</f>
        <v/>
      </c>
      <c r="Y181" s="7" t="str">
        <f>IF(ISBLANK(patch[[#This Row],[project]]), "",COUNTIFS($A:$A,patch[[#This Row],[number]],$S:$S, "SH And dev",$AC:$AC, "Review-1"))</f>
        <v/>
      </c>
      <c r="Z181" s="7" t="str">
        <f>IF(ISBLANK(patch[[#This Row],[project]]), "",COUNTIFS($A:$A,patch[[#This Row],[number]],$S:$S, "BJ And dev",$AD:$AD, "&lt;&gt;IntegratorValidationComment"))</f>
        <v/>
      </c>
      <c r="AA181" s="7" t="str">
        <f>IF(ISBLANK(patch[[#This Row],[project]]), "",COUNTIFS($A:$A,patch[[#This Row],[number]],$S:$S, "FL And dev",$AD:$AD, "&lt;&gt;IntegratorValidationComment"))</f>
        <v/>
      </c>
      <c r="AB181" s="7" t="str">
        <f>IF(ISBLANK(patch[[#This Row],[project]]), "",COUNTIFS($A:$A,patch[[#This Row],[number]],$S:$S, "SH And dev",$AD:$AD, "&lt;&gt;IntegratorValidationComment"))</f>
        <v/>
      </c>
      <c r="AC181" s="7" t="str">
        <f>IF(OR(ISNUMBER(FIND("Review-1", patch[[#This Row],[comments]])), ISNUMBER(FIND("Approver-1", patch[[#This Row],[comments]]))), "Review-1", "")</f>
        <v/>
      </c>
      <c r="AD1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1" s="7">
        <f>IF(ISBLANK(patch[[#This Row],[number]]),AE180,patch[[#This Row],[ifCommon]])</f>
        <v>0</v>
      </c>
    </row>
    <row r="182" spans="1:31">
      <c r="A182" s="151">
        <v>146922</v>
      </c>
      <c r="B182" s="151"/>
      <c r="C182" s="151"/>
      <c r="D182" s="151"/>
      <c r="E182" s="151"/>
      <c r="F182" s="151"/>
      <c r="G182" s="151"/>
      <c r="H182" s="151"/>
      <c r="I182" s="151"/>
      <c r="J182" s="152">
        <v>42640.690821759257</v>
      </c>
      <c r="K182" s="151"/>
      <c r="L182" s="151" t="s">
        <v>59</v>
      </c>
      <c r="M182" s="152">
        <v>42636.379027777781</v>
      </c>
      <c r="N182" s="151" t="s">
        <v>2681</v>
      </c>
      <c r="O182" s="151"/>
      <c r="P182" s="151"/>
      <c r="Q182" s="7" t="str">
        <f>IF(ISBLANK(patch[[#This Row],[OwnerEmail]]),Q181,patch[[#This Row],[OwnerEmail]])</f>
        <v>xi.cao@intel.com</v>
      </c>
      <c r="R182" s="7" t="str">
        <f>_xlfn.IFNA(VLOOKUP(patch[[#This Row],[tmp-owner.email]],OrgTree!$A:$K, 11, 0), "not ICG SWFW")</f>
        <v>BJ And dev</v>
      </c>
      <c r="S182" s="7" t="str">
        <f>IF(patch[[#This Row],[reviewer]]=patch[[#This Row],[tmp-owner.email]], "author", _xlfn.IFNA(VLOOKUP(patch[[#This Row],[reviewer]],OrgTree!$A:$K, 11, 0), "not ICG SWFW"))</f>
        <v>BJ And dev</v>
      </c>
      <c r="T182" s="7" t="str">
        <f>IF(ISBLANK(patch[[#This Row],[mergeDate]]), "", MID(YEAR(patch[[#This Row],[mergeDate]]), 3,2)&amp;"'ww"&amp;WEEKNUM(patch[[#This Row],[mergeDate]]))</f>
        <v>16'ww40</v>
      </c>
      <c r="U182" s="7" t="str">
        <f>IF(ISBLANK(patch[[#This Row],[mergeDate]]), U181, MID(YEAR(patch[[#This Row],[mergeDate]]), 3,2)&amp;"'m"&amp;MONTH(patch[[#This Row],[mergeDate]]))</f>
        <v>16'm9</v>
      </c>
      <c r="V182" s="7" t="str">
        <f>IF(ISBLANK(patch[[#This Row],[project]]), "",SUM(patch[[#This Row],[BJ -1 num]:[SH -1 num]]))</f>
        <v/>
      </c>
      <c r="W182" s="7" t="str">
        <f>IF(ISBLANK(patch[[#This Row],[project]]), "",COUNTIFS($A:$A,patch[[#This Row],[number]],$S:$S, "BJ And dev",$AC:$AC, "Review-1"))</f>
        <v/>
      </c>
      <c r="X182" s="7" t="str">
        <f>IF(ISBLANK(patch[[#This Row],[project]]), "",COUNTIFS($A:$A,patch[[#This Row],[number]],$S:$S, "FL And dev",$AC:$AC, "Review-1"))</f>
        <v/>
      </c>
      <c r="Y182" s="7" t="str">
        <f>IF(ISBLANK(patch[[#This Row],[project]]), "",COUNTIFS($A:$A,patch[[#This Row],[number]],$S:$S, "SH And dev",$AC:$AC, "Review-1"))</f>
        <v/>
      </c>
      <c r="Z182" s="7" t="str">
        <f>IF(ISBLANK(patch[[#This Row],[project]]), "",COUNTIFS($A:$A,patch[[#This Row],[number]],$S:$S, "BJ And dev",$AD:$AD, "&lt;&gt;IntegratorValidationComment"))</f>
        <v/>
      </c>
      <c r="AA182" s="7" t="str">
        <f>IF(ISBLANK(patch[[#This Row],[project]]), "",COUNTIFS($A:$A,patch[[#This Row],[number]],$S:$S, "FL And dev",$AD:$AD, "&lt;&gt;IntegratorValidationComment"))</f>
        <v/>
      </c>
      <c r="AB182" s="7" t="str">
        <f>IF(ISBLANK(patch[[#This Row],[project]]), "",COUNTIFS($A:$A,patch[[#This Row],[number]],$S:$S, "SH And dev",$AD:$AD, "&lt;&gt;IntegratorValidationComment"))</f>
        <v/>
      </c>
      <c r="AC182" s="7" t="str">
        <f>IF(OR(ISNUMBER(FIND("Review-1", patch[[#This Row],[comments]])), ISNUMBER(FIND("Approver-1", patch[[#This Row],[comments]]))), "Review-1", "")</f>
        <v/>
      </c>
      <c r="AD1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2" s="7">
        <f>IF(ISBLANK(patch[[#This Row],[number]]),AE181,patch[[#This Row],[ifCommon]])</f>
        <v>0</v>
      </c>
    </row>
    <row r="183" spans="1:31">
      <c r="A183" s="151">
        <v>146922</v>
      </c>
      <c r="B183" s="151"/>
      <c r="C183" s="151"/>
      <c r="D183" s="151"/>
      <c r="E183" s="151"/>
      <c r="F183" s="151"/>
      <c r="G183" s="151"/>
      <c r="H183" s="151"/>
      <c r="I183" s="151"/>
      <c r="J183" s="152">
        <v>42640.690821759257</v>
      </c>
      <c r="K183" s="151"/>
      <c r="L183" s="151" t="s">
        <v>63</v>
      </c>
      <c r="M183" s="152">
        <v>42636.395231481481</v>
      </c>
      <c r="N183" s="151" t="s">
        <v>2475</v>
      </c>
      <c r="O183" s="151"/>
      <c r="P183" s="151"/>
      <c r="Q183" s="7" t="str">
        <f>IF(ISBLANK(patch[[#This Row],[OwnerEmail]]),Q182,patch[[#This Row],[OwnerEmail]])</f>
        <v>xi.cao@intel.com</v>
      </c>
      <c r="R183" s="7" t="str">
        <f>_xlfn.IFNA(VLOOKUP(patch[[#This Row],[tmp-owner.email]],OrgTree!$A:$K, 11, 0), "not ICG SWFW")</f>
        <v>BJ And dev</v>
      </c>
      <c r="S183" s="7" t="str">
        <f>IF(patch[[#This Row],[reviewer]]=patch[[#This Row],[tmp-owner.email]], "author", _xlfn.IFNA(VLOOKUP(patch[[#This Row],[reviewer]],OrgTree!$A:$K, 11, 0), "not ICG SWFW"))</f>
        <v>BJ And dev</v>
      </c>
      <c r="T183" s="7" t="str">
        <f>IF(ISBLANK(patch[[#This Row],[mergeDate]]), "", MID(YEAR(patch[[#This Row],[mergeDate]]), 3,2)&amp;"'ww"&amp;WEEKNUM(patch[[#This Row],[mergeDate]]))</f>
        <v>16'ww40</v>
      </c>
      <c r="U183" s="7" t="str">
        <f>IF(ISBLANK(patch[[#This Row],[mergeDate]]), U182, MID(YEAR(patch[[#This Row],[mergeDate]]), 3,2)&amp;"'m"&amp;MONTH(patch[[#This Row],[mergeDate]]))</f>
        <v>16'm9</v>
      </c>
      <c r="V183" s="7" t="str">
        <f>IF(ISBLANK(patch[[#This Row],[project]]), "",SUM(patch[[#This Row],[BJ -1 num]:[SH -1 num]]))</f>
        <v/>
      </c>
      <c r="W183" s="7" t="str">
        <f>IF(ISBLANK(patch[[#This Row],[project]]), "",COUNTIFS($A:$A,patch[[#This Row],[number]],$S:$S, "BJ And dev",$AC:$AC, "Review-1"))</f>
        <v/>
      </c>
      <c r="X183" s="7" t="str">
        <f>IF(ISBLANK(patch[[#This Row],[project]]), "",COUNTIFS($A:$A,patch[[#This Row],[number]],$S:$S, "FL And dev",$AC:$AC, "Review-1"))</f>
        <v/>
      </c>
      <c r="Y183" s="7" t="str">
        <f>IF(ISBLANK(patch[[#This Row],[project]]), "",COUNTIFS($A:$A,patch[[#This Row],[number]],$S:$S, "SH And dev",$AC:$AC, "Review-1"))</f>
        <v/>
      </c>
      <c r="Z183" s="7" t="str">
        <f>IF(ISBLANK(patch[[#This Row],[project]]), "",COUNTIFS($A:$A,patch[[#This Row],[number]],$S:$S, "BJ And dev",$AD:$AD, "&lt;&gt;IntegratorValidationComment"))</f>
        <v/>
      </c>
      <c r="AA183" s="7" t="str">
        <f>IF(ISBLANK(patch[[#This Row],[project]]), "",COUNTIFS($A:$A,patch[[#This Row],[number]],$S:$S, "FL And dev",$AD:$AD, "&lt;&gt;IntegratorValidationComment"))</f>
        <v/>
      </c>
      <c r="AB183" s="7" t="str">
        <f>IF(ISBLANK(patch[[#This Row],[project]]), "",COUNTIFS($A:$A,patch[[#This Row],[number]],$S:$S, "SH And dev",$AD:$AD, "&lt;&gt;IntegratorValidationComment"))</f>
        <v/>
      </c>
      <c r="AC183" s="7" t="str">
        <f>IF(OR(ISNUMBER(FIND("Review-1", patch[[#This Row],[comments]])), ISNUMBER(FIND("Approver-1", patch[[#This Row],[comments]]))), "Review-1", "")</f>
        <v/>
      </c>
      <c r="AD1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3" s="7">
        <f>IF(ISBLANK(patch[[#This Row],[number]]),AE182,patch[[#This Row],[ifCommon]])</f>
        <v>0</v>
      </c>
    </row>
    <row r="184" spans="1:31">
      <c r="A184" s="151">
        <v>146922</v>
      </c>
      <c r="B184" s="151"/>
      <c r="C184" s="151"/>
      <c r="D184" s="151"/>
      <c r="E184" s="151"/>
      <c r="F184" s="151"/>
      <c r="G184" s="151"/>
      <c r="H184" s="151"/>
      <c r="I184" s="151"/>
      <c r="J184" s="152">
        <v>42640.690821759257</v>
      </c>
      <c r="K184" s="151"/>
      <c r="L184" s="151" t="s">
        <v>63</v>
      </c>
      <c r="M184" s="152">
        <v>42636.459374999999</v>
      </c>
      <c r="N184" s="151" t="s">
        <v>2682</v>
      </c>
      <c r="O184" s="151"/>
      <c r="P184" s="151"/>
      <c r="Q184" s="7" t="str">
        <f>IF(ISBLANK(patch[[#This Row],[OwnerEmail]]),Q183,patch[[#This Row],[OwnerEmail]])</f>
        <v>xi.cao@intel.com</v>
      </c>
      <c r="R184" s="7" t="str">
        <f>_xlfn.IFNA(VLOOKUP(patch[[#This Row],[tmp-owner.email]],OrgTree!$A:$K, 11, 0), "not ICG SWFW")</f>
        <v>BJ And dev</v>
      </c>
      <c r="S184" s="7" t="str">
        <f>IF(patch[[#This Row],[reviewer]]=patch[[#This Row],[tmp-owner.email]], "author", _xlfn.IFNA(VLOOKUP(patch[[#This Row],[reviewer]],OrgTree!$A:$K, 11, 0), "not ICG SWFW"))</f>
        <v>BJ And dev</v>
      </c>
      <c r="T184" s="7" t="str">
        <f>IF(ISBLANK(patch[[#This Row],[mergeDate]]), "", MID(YEAR(patch[[#This Row],[mergeDate]]), 3,2)&amp;"'ww"&amp;WEEKNUM(patch[[#This Row],[mergeDate]]))</f>
        <v>16'ww40</v>
      </c>
      <c r="U184" s="7" t="str">
        <f>IF(ISBLANK(patch[[#This Row],[mergeDate]]), U183, MID(YEAR(patch[[#This Row],[mergeDate]]), 3,2)&amp;"'m"&amp;MONTH(patch[[#This Row],[mergeDate]]))</f>
        <v>16'm9</v>
      </c>
      <c r="V184" s="7" t="str">
        <f>IF(ISBLANK(patch[[#This Row],[project]]), "",SUM(patch[[#This Row],[BJ -1 num]:[SH -1 num]]))</f>
        <v/>
      </c>
      <c r="W184" s="7" t="str">
        <f>IF(ISBLANK(patch[[#This Row],[project]]), "",COUNTIFS($A:$A,patch[[#This Row],[number]],$S:$S, "BJ And dev",$AC:$AC, "Review-1"))</f>
        <v/>
      </c>
      <c r="X184" s="7" t="str">
        <f>IF(ISBLANK(patch[[#This Row],[project]]), "",COUNTIFS($A:$A,patch[[#This Row],[number]],$S:$S, "FL And dev",$AC:$AC, "Review-1"))</f>
        <v/>
      </c>
      <c r="Y184" s="7" t="str">
        <f>IF(ISBLANK(patch[[#This Row],[project]]), "",COUNTIFS($A:$A,patch[[#This Row],[number]],$S:$S, "SH And dev",$AC:$AC, "Review-1"))</f>
        <v/>
      </c>
      <c r="Z184" s="7" t="str">
        <f>IF(ISBLANK(patch[[#This Row],[project]]), "",COUNTIFS($A:$A,patch[[#This Row],[number]],$S:$S, "BJ And dev",$AD:$AD, "&lt;&gt;IntegratorValidationComment"))</f>
        <v/>
      </c>
      <c r="AA184" s="7" t="str">
        <f>IF(ISBLANK(patch[[#This Row],[project]]), "",COUNTIFS($A:$A,patch[[#This Row],[number]],$S:$S, "FL And dev",$AD:$AD, "&lt;&gt;IntegratorValidationComment"))</f>
        <v/>
      </c>
      <c r="AB184" s="7" t="str">
        <f>IF(ISBLANK(patch[[#This Row],[project]]), "",COUNTIFS($A:$A,patch[[#This Row],[number]],$S:$S, "SH And dev",$AD:$AD, "&lt;&gt;IntegratorValidationComment"))</f>
        <v/>
      </c>
      <c r="AC184" s="7" t="str">
        <f>IF(OR(ISNUMBER(FIND("Review-1", patch[[#This Row],[comments]])), ISNUMBER(FIND("Approver-1", patch[[#This Row],[comments]]))), "Review-1", "")</f>
        <v>Review-1</v>
      </c>
      <c r="AD1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4" s="7">
        <f>IF(ISBLANK(patch[[#This Row],[number]]),AE183,patch[[#This Row],[ifCommon]])</f>
        <v>0</v>
      </c>
    </row>
    <row r="185" spans="1:31">
      <c r="A185" s="151">
        <v>146922</v>
      </c>
      <c r="B185" s="151"/>
      <c r="C185" s="151"/>
      <c r="D185" s="151"/>
      <c r="E185" s="151"/>
      <c r="F185" s="151"/>
      <c r="G185" s="151"/>
      <c r="H185" s="151"/>
      <c r="I185" s="151"/>
      <c r="J185" s="152">
        <v>42640.690821759257</v>
      </c>
      <c r="K185" s="151"/>
      <c r="L185" s="151" t="s">
        <v>32</v>
      </c>
      <c r="M185" s="152">
        <v>42636.990810185183</v>
      </c>
      <c r="N185" s="151" t="s">
        <v>2475</v>
      </c>
      <c r="O185" s="151"/>
      <c r="P185" s="151"/>
      <c r="Q185" s="7" t="str">
        <f>IF(ISBLANK(patch[[#This Row],[OwnerEmail]]),Q184,patch[[#This Row],[OwnerEmail]])</f>
        <v>xi.cao@intel.com</v>
      </c>
      <c r="R185" s="7" t="str">
        <f>_xlfn.IFNA(VLOOKUP(patch[[#This Row],[tmp-owner.email]],OrgTree!$A:$K, 11, 0), "not ICG SWFW")</f>
        <v>BJ And dev</v>
      </c>
      <c r="S185" s="7" t="str">
        <f>IF(patch[[#This Row],[reviewer]]=patch[[#This Row],[tmp-owner.email]], "author", _xlfn.IFNA(VLOOKUP(patch[[#This Row],[reviewer]],OrgTree!$A:$K, 11, 0), "not ICG SWFW"))</f>
        <v>BJ And dev</v>
      </c>
      <c r="T185" s="7" t="str">
        <f>IF(ISBLANK(patch[[#This Row],[mergeDate]]), "", MID(YEAR(patch[[#This Row],[mergeDate]]), 3,2)&amp;"'ww"&amp;WEEKNUM(patch[[#This Row],[mergeDate]]))</f>
        <v>16'ww40</v>
      </c>
      <c r="U185" s="7" t="str">
        <f>IF(ISBLANK(patch[[#This Row],[mergeDate]]), U184, MID(YEAR(patch[[#This Row],[mergeDate]]), 3,2)&amp;"'m"&amp;MONTH(patch[[#This Row],[mergeDate]]))</f>
        <v>16'm9</v>
      </c>
      <c r="V185" s="7" t="str">
        <f>IF(ISBLANK(patch[[#This Row],[project]]), "",SUM(patch[[#This Row],[BJ -1 num]:[SH -1 num]]))</f>
        <v/>
      </c>
      <c r="W185" s="7" t="str">
        <f>IF(ISBLANK(patch[[#This Row],[project]]), "",COUNTIFS($A:$A,patch[[#This Row],[number]],$S:$S, "BJ And dev",$AC:$AC, "Review-1"))</f>
        <v/>
      </c>
      <c r="X185" s="7" t="str">
        <f>IF(ISBLANK(patch[[#This Row],[project]]), "",COUNTIFS($A:$A,patch[[#This Row],[number]],$S:$S, "FL And dev",$AC:$AC, "Review-1"))</f>
        <v/>
      </c>
      <c r="Y185" s="7" t="str">
        <f>IF(ISBLANK(patch[[#This Row],[project]]), "",COUNTIFS($A:$A,patch[[#This Row],[number]],$S:$S, "SH And dev",$AC:$AC, "Review-1"))</f>
        <v/>
      </c>
      <c r="Z185" s="7" t="str">
        <f>IF(ISBLANK(patch[[#This Row],[project]]), "",COUNTIFS($A:$A,patch[[#This Row],[number]],$S:$S, "BJ And dev",$AD:$AD, "&lt;&gt;IntegratorValidationComment"))</f>
        <v/>
      </c>
      <c r="AA185" s="7" t="str">
        <f>IF(ISBLANK(patch[[#This Row],[project]]), "",COUNTIFS($A:$A,patch[[#This Row],[number]],$S:$S, "FL And dev",$AD:$AD, "&lt;&gt;IntegratorValidationComment"))</f>
        <v/>
      </c>
      <c r="AB185" s="7" t="str">
        <f>IF(ISBLANK(patch[[#This Row],[project]]), "",COUNTIFS($A:$A,patch[[#This Row],[number]],$S:$S, "SH And dev",$AD:$AD, "&lt;&gt;IntegratorValidationComment"))</f>
        <v/>
      </c>
      <c r="AC185" s="7" t="str">
        <f>IF(OR(ISNUMBER(FIND("Review-1", patch[[#This Row],[comments]])), ISNUMBER(FIND("Approver-1", patch[[#This Row],[comments]]))), "Review-1", "")</f>
        <v/>
      </c>
      <c r="AD1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5" s="7">
        <f>IF(ISBLANK(patch[[#This Row],[number]]),AE184,patch[[#This Row],[ifCommon]])</f>
        <v>0</v>
      </c>
    </row>
    <row r="186" spans="1:31">
      <c r="A186" s="151">
        <v>146922</v>
      </c>
      <c r="B186" s="151"/>
      <c r="C186" s="151"/>
      <c r="D186" s="151"/>
      <c r="E186" s="151"/>
      <c r="F186" s="151"/>
      <c r="G186" s="151"/>
      <c r="H186" s="151"/>
      <c r="I186" s="151"/>
      <c r="J186" s="152">
        <v>42640.690821759257</v>
      </c>
      <c r="K186" s="151"/>
      <c r="L186" s="151" t="s">
        <v>63</v>
      </c>
      <c r="M186" s="152">
        <v>42636.995208333326</v>
      </c>
      <c r="N186" s="151" t="s">
        <v>2475</v>
      </c>
      <c r="O186" s="151"/>
      <c r="P186" s="151"/>
      <c r="Q186" s="7" t="str">
        <f>IF(ISBLANK(patch[[#This Row],[OwnerEmail]]),Q185,patch[[#This Row],[OwnerEmail]])</f>
        <v>xi.cao@intel.com</v>
      </c>
      <c r="R186" s="7" t="str">
        <f>_xlfn.IFNA(VLOOKUP(patch[[#This Row],[tmp-owner.email]],OrgTree!$A:$K, 11, 0), "not ICG SWFW")</f>
        <v>BJ And dev</v>
      </c>
      <c r="S186" s="7" t="str">
        <f>IF(patch[[#This Row],[reviewer]]=patch[[#This Row],[tmp-owner.email]], "author", _xlfn.IFNA(VLOOKUP(patch[[#This Row],[reviewer]],OrgTree!$A:$K, 11, 0), "not ICG SWFW"))</f>
        <v>BJ And dev</v>
      </c>
      <c r="T186" s="7" t="str">
        <f>IF(ISBLANK(patch[[#This Row],[mergeDate]]), "", MID(YEAR(patch[[#This Row],[mergeDate]]), 3,2)&amp;"'ww"&amp;WEEKNUM(patch[[#This Row],[mergeDate]]))</f>
        <v>16'ww40</v>
      </c>
      <c r="U186" s="7" t="str">
        <f>IF(ISBLANK(patch[[#This Row],[mergeDate]]), U185, MID(YEAR(patch[[#This Row],[mergeDate]]), 3,2)&amp;"'m"&amp;MONTH(patch[[#This Row],[mergeDate]]))</f>
        <v>16'm9</v>
      </c>
      <c r="V186" s="7" t="str">
        <f>IF(ISBLANK(patch[[#This Row],[project]]), "",SUM(patch[[#This Row],[BJ -1 num]:[SH -1 num]]))</f>
        <v/>
      </c>
      <c r="W186" s="7" t="str">
        <f>IF(ISBLANK(patch[[#This Row],[project]]), "",COUNTIFS($A:$A,patch[[#This Row],[number]],$S:$S, "BJ And dev",$AC:$AC, "Review-1"))</f>
        <v/>
      </c>
      <c r="X186" s="7" t="str">
        <f>IF(ISBLANK(patch[[#This Row],[project]]), "",COUNTIFS($A:$A,patch[[#This Row],[number]],$S:$S, "FL And dev",$AC:$AC, "Review-1"))</f>
        <v/>
      </c>
      <c r="Y186" s="7" t="str">
        <f>IF(ISBLANK(patch[[#This Row],[project]]), "",COUNTIFS($A:$A,patch[[#This Row],[number]],$S:$S, "SH And dev",$AC:$AC, "Review-1"))</f>
        <v/>
      </c>
      <c r="Z186" s="7" t="str">
        <f>IF(ISBLANK(patch[[#This Row],[project]]), "",COUNTIFS($A:$A,patch[[#This Row],[number]],$S:$S, "BJ And dev",$AD:$AD, "&lt;&gt;IntegratorValidationComment"))</f>
        <v/>
      </c>
      <c r="AA186" s="7" t="str">
        <f>IF(ISBLANK(patch[[#This Row],[project]]), "",COUNTIFS($A:$A,patch[[#This Row],[number]],$S:$S, "FL And dev",$AD:$AD, "&lt;&gt;IntegratorValidationComment"))</f>
        <v/>
      </c>
      <c r="AB186" s="7" t="str">
        <f>IF(ISBLANK(patch[[#This Row],[project]]), "",COUNTIFS($A:$A,patch[[#This Row],[number]],$S:$S, "SH And dev",$AD:$AD, "&lt;&gt;IntegratorValidationComment"))</f>
        <v/>
      </c>
      <c r="AC186" s="7" t="str">
        <f>IF(OR(ISNUMBER(FIND("Review-1", patch[[#This Row],[comments]])), ISNUMBER(FIND("Approver-1", patch[[#This Row],[comments]]))), "Review-1", "")</f>
        <v/>
      </c>
      <c r="AD1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6" s="7">
        <f>IF(ISBLANK(patch[[#This Row],[number]]),AE185,patch[[#This Row],[ifCommon]])</f>
        <v>0</v>
      </c>
    </row>
    <row r="187" spans="1:31">
      <c r="A187" s="151">
        <v>146922</v>
      </c>
      <c r="B187" s="151"/>
      <c r="C187" s="151"/>
      <c r="D187" s="151"/>
      <c r="E187" s="151"/>
      <c r="F187" s="151"/>
      <c r="G187" s="151"/>
      <c r="H187" s="151"/>
      <c r="I187" s="151"/>
      <c r="J187" s="152">
        <v>42640.690821759257</v>
      </c>
      <c r="K187" s="151"/>
      <c r="L187" s="151" t="s">
        <v>32</v>
      </c>
      <c r="M187" s="152">
        <v>42636.995486111111</v>
      </c>
      <c r="N187" s="151" t="s">
        <v>2557</v>
      </c>
      <c r="O187" s="151"/>
      <c r="P187" s="151"/>
      <c r="Q187" s="7" t="str">
        <f>IF(ISBLANK(patch[[#This Row],[OwnerEmail]]),Q186,patch[[#This Row],[OwnerEmail]])</f>
        <v>xi.cao@intel.com</v>
      </c>
      <c r="R187" s="7" t="str">
        <f>_xlfn.IFNA(VLOOKUP(patch[[#This Row],[tmp-owner.email]],OrgTree!$A:$K, 11, 0), "not ICG SWFW")</f>
        <v>BJ And dev</v>
      </c>
      <c r="S187" s="7" t="str">
        <f>IF(patch[[#This Row],[reviewer]]=patch[[#This Row],[tmp-owner.email]], "author", _xlfn.IFNA(VLOOKUP(patch[[#This Row],[reviewer]],OrgTree!$A:$K, 11, 0), "not ICG SWFW"))</f>
        <v>BJ And dev</v>
      </c>
      <c r="T187" s="7" t="str">
        <f>IF(ISBLANK(patch[[#This Row],[mergeDate]]), "", MID(YEAR(patch[[#This Row],[mergeDate]]), 3,2)&amp;"'ww"&amp;WEEKNUM(patch[[#This Row],[mergeDate]]))</f>
        <v>16'ww40</v>
      </c>
      <c r="U187" s="7" t="str">
        <f>IF(ISBLANK(patch[[#This Row],[mergeDate]]), U186, MID(YEAR(patch[[#This Row],[mergeDate]]), 3,2)&amp;"'m"&amp;MONTH(patch[[#This Row],[mergeDate]]))</f>
        <v>16'm9</v>
      </c>
      <c r="V187" s="7" t="str">
        <f>IF(ISBLANK(patch[[#This Row],[project]]), "",SUM(patch[[#This Row],[BJ -1 num]:[SH -1 num]]))</f>
        <v/>
      </c>
      <c r="W187" s="7" t="str">
        <f>IF(ISBLANK(patch[[#This Row],[project]]), "",COUNTIFS($A:$A,patch[[#This Row],[number]],$S:$S, "BJ And dev",$AC:$AC, "Review-1"))</f>
        <v/>
      </c>
      <c r="X187" s="7" t="str">
        <f>IF(ISBLANK(patch[[#This Row],[project]]), "",COUNTIFS($A:$A,patch[[#This Row],[number]],$S:$S, "FL And dev",$AC:$AC, "Review-1"))</f>
        <v/>
      </c>
      <c r="Y187" s="7" t="str">
        <f>IF(ISBLANK(patch[[#This Row],[project]]), "",COUNTIFS($A:$A,patch[[#This Row],[number]],$S:$S, "SH And dev",$AC:$AC, "Review-1"))</f>
        <v/>
      </c>
      <c r="Z187" s="7" t="str">
        <f>IF(ISBLANK(patch[[#This Row],[project]]), "",COUNTIFS($A:$A,patch[[#This Row],[number]],$S:$S, "BJ And dev",$AD:$AD, "&lt;&gt;IntegratorValidationComment"))</f>
        <v/>
      </c>
      <c r="AA187" s="7" t="str">
        <f>IF(ISBLANK(patch[[#This Row],[project]]), "",COUNTIFS($A:$A,patch[[#This Row],[number]],$S:$S, "FL And dev",$AD:$AD, "&lt;&gt;IntegratorValidationComment"))</f>
        <v/>
      </c>
      <c r="AB187" s="7" t="str">
        <f>IF(ISBLANK(patch[[#This Row],[project]]), "",COUNTIFS($A:$A,patch[[#This Row],[number]],$S:$S, "SH And dev",$AD:$AD, "&lt;&gt;IntegratorValidationComment"))</f>
        <v/>
      </c>
      <c r="AC187" s="7" t="str">
        <f>IF(OR(ISNUMBER(FIND("Review-1", patch[[#This Row],[comments]])), ISNUMBER(FIND("Approver-1", patch[[#This Row],[comments]]))), "Review-1", "")</f>
        <v/>
      </c>
      <c r="AD1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7" s="7">
        <f>IF(ISBLANK(patch[[#This Row],[number]]),AE186,patch[[#This Row],[ifCommon]])</f>
        <v>0</v>
      </c>
    </row>
    <row r="188" spans="1:31">
      <c r="A188" s="151">
        <v>146922</v>
      </c>
      <c r="B188" s="151"/>
      <c r="C188" s="151"/>
      <c r="D188" s="151"/>
      <c r="E188" s="151"/>
      <c r="F188" s="151"/>
      <c r="G188" s="151"/>
      <c r="H188" s="151"/>
      <c r="I188" s="151"/>
      <c r="J188" s="152">
        <v>42640.690821759257</v>
      </c>
      <c r="K188" s="151"/>
      <c r="L188" s="151" t="s">
        <v>1203</v>
      </c>
      <c r="M188" s="152">
        <v>42636.998715277783</v>
      </c>
      <c r="N188" s="151" t="s">
        <v>2683</v>
      </c>
      <c r="O188" s="151"/>
      <c r="P188" s="151"/>
      <c r="Q188" s="7" t="str">
        <f>IF(ISBLANK(patch[[#This Row],[OwnerEmail]]),Q187,patch[[#This Row],[OwnerEmail]])</f>
        <v>xi.cao@intel.com</v>
      </c>
      <c r="R188" s="7" t="str">
        <f>_xlfn.IFNA(VLOOKUP(patch[[#This Row],[tmp-owner.email]],OrgTree!$A:$K, 11, 0), "not ICG SWFW")</f>
        <v>BJ And dev</v>
      </c>
      <c r="S188" s="7" t="str">
        <f>IF(patch[[#This Row],[reviewer]]=patch[[#This Row],[tmp-owner.email]], "author", _xlfn.IFNA(VLOOKUP(patch[[#This Row],[reviewer]],OrgTree!$A:$K, 11, 0), "not ICG SWFW"))</f>
        <v>author</v>
      </c>
      <c r="T188" s="7" t="str">
        <f>IF(ISBLANK(patch[[#This Row],[mergeDate]]), "", MID(YEAR(patch[[#This Row],[mergeDate]]), 3,2)&amp;"'ww"&amp;WEEKNUM(patch[[#This Row],[mergeDate]]))</f>
        <v>16'ww40</v>
      </c>
      <c r="U188" s="7" t="str">
        <f>IF(ISBLANK(patch[[#This Row],[mergeDate]]), U187, MID(YEAR(patch[[#This Row],[mergeDate]]), 3,2)&amp;"'m"&amp;MONTH(patch[[#This Row],[mergeDate]]))</f>
        <v>16'm9</v>
      </c>
      <c r="V188" s="7" t="str">
        <f>IF(ISBLANK(patch[[#This Row],[project]]), "",SUM(patch[[#This Row],[BJ -1 num]:[SH -1 num]]))</f>
        <v/>
      </c>
      <c r="W188" s="7" t="str">
        <f>IF(ISBLANK(patch[[#This Row],[project]]), "",COUNTIFS($A:$A,patch[[#This Row],[number]],$S:$S, "BJ And dev",$AC:$AC, "Review-1"))</f>
        <v/>
      </c>
      <c r="X188" s="7" t="str">
        <f>IF(ISBLANK(patch[[#This Row],[project]]), "",COUNTIFS($A:$A,patch[[#This Row],[number]],$S:$S, "FL And dev",$AC:$AC, "Review-1"))</f>
        <v/>
      </c>
      <c r="Y188" s="7" t="str">
        <f>IF(ISBLANK(patch[[#This Row],[project]]), "",COUNTIFS($A:$A,patch[[#This Row],[number]],$S:$S, "SH And dev",$AC:$AC, "Review-1"))</f>
        <v/>
      </c>
      <c r="Z188" s="7" t="str">
        <f>IF(ISBLANK(patch[[#This Row],[project]]), "",COUNTIFS($A:$A,patch[[#This Row],[number]],$S:$S, "BJ And dev",$AD:$AD, "&lt;&gt;IntegratorValidationComment"))</f>
        <v/>
      </c>
      <c r="AA188" s="7" t="str">
        <f>IF(ISBLANK(patch[[#This Row],[project]]), "",COUNTIFS($A:$A,patch[[#This Row],[number]],$S:$S, "FL And dev",$AD:$AD, "&lt;&gt;IntegratorValidationComment"))</f>
        <v/>
      </c>
      <c r="AB188" s="7" t="str">
        <f>IF(ISBLANK(patch[[#This Row],[project]]), "",COUNTIFS($A:$A,patch[[#This Row],[number]],$S:$S, "SH And dev",$AD:$AD, "&lt;&gt;IntegratorValidationComment"))</f>
        <v/>
      </c>
      <c r="AC188" s="7" t="str">
        <f>IF(OR(ISNUMBER(FIND("Review-1", patch[[#This Row],[comments]])), ISNUMBER(FIND("Approver-1", patch[[#This Row],[comments]]))), "Review-1", "")</f>
        <v/>
      </c>
      <c r="AD1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8" s="7">
        <f>IF(ISBLANK(patch[[#This Row],[number]]),AE187,patch[[#This Row],[ifCommon]])</f>
        <v>0</v>
      </c>
    </row>
    <row r="189" spans="1:31">
      <c r="A189" s="151">
        <v>146922</v>
      </c>
      <c r="B189" s="151"/>
      <c r="C189" s="151"/>
      <c r="D189" s="151"/>
      <c r="E189" s="151"/>
      <c r="F189" s="151"/>
      <c r="G189" s="151"/>
      <c r="H189" s="151"/>
      <c r="I189" s="151"/>
      <c r="J189" s="152">
        <v>42640.690821759257</v>
      </c>
      <c r="K189" s="151"/>
      <c r="L189" s="151" t="s">
        <v>1203</v>
      </c>
      <c r="M189" s="152">
        <v>42636.998726851853</v>
      </c>
      <c r="N189" s="151" t="s">
        <v>2476</v>
      </c>
      <c r="O189" s="151"/>
      <c r="P189" s="151"/>
      <c r="Q189" s="7" t="str">
        <f>IF(ISBLANK(patch[[#This Row],[OwnerEmail]]),Q188,patch[[#This Row],[OwnerEmail]])</f>
        <v>xi.cao@intel.com</v>
      </c>
      <c r="R189" s="7" t="str">
        <f>_xlfn.IFNA(VLOOKUP(patch[[#This Row],[tmp-owner.email]],OrgTree!$A:$K, 11, 0), "not ICG SWFW")</f>
        <v>BJ And dev</v>
      </c>
      <c r="S189" s="7" t="str">
        <f>IF(patch[[#This Row],[reviewer]]=patch[[#This Row],[tmp-owner.email]], "author", _xlfn.IFNA(VLOOKUP(patch[[#This Row],[reviewer]],OrgTree!$A:$K, 11, 0), "not ICG SWFW"))</f>
        <v>author</v>
      </c>
      <c r="T189" s="7" t="str">
        <f>IF(ISBLANK(patch[[#This Row],[mergeDate]]), "", MID(YEAR(patch[[#This Row],[mergeDate]]), 3,2)&amp;"'ww"&amp;WEEKNUM(patch[[#This Row],[mergeDate]]))</f>
        <v>16'ww40</v>
      </c>
      <c r="U189" s="7" t="str">
        <f>IF(ISBLANK(patch[[#This Row],[mergeDate]]), U188, MID(YEAR(patch[[#This Row],[mergeDate]]), 3,2)&amp;"'m"&amp;MONTH(patch[[#This Row],[mergeDate]]))</f>
        <v>16'm9</v>
      </c>
      <c r="V189" s="7" t="str">
        <f>IF(ISBLANK(patch[[#This Row],[project]]), "",SUM(patch[[#This Row],[BJ -1 num]:[SH -1 num]]))</f>
        <v/>
      </c>
      <c r="W189" s="7" t="str">
        <f>IF(ISBLANK(patch[[#This Row],[project]]), "",COUNTIFS($A:$A,patch[[#This Row],[number]],$S:$S, "BJ And dev",$AC:$AC, "Review-1"))</f>
        <v/>
      </c>
      <c r="X189" s="7" t="str">
        <f>IF(ISBLANK(patch[[#This Row],[project]]), "",COUNTIFS($A:$A,patch[[#This Row],[number]],$S:$S, "FL And dev",$AC:$AC, "Review-1"))</f>
        <v/>
      </c>
      <c r="Y189" s="7" t="str">
        <f>IF(ISBLANK(patch[[#This Row],[project]]), "",COUNTIFS($A:$A,patch[[#This Row],[number]],$S:$S, "SH And dev",$AC:$AC, "Review-1"))</f>
        <v/>
      </c>
      <c r="Z189" s="7" t="str">
        <f>IF(ISBLANK(patch[[#This Row],[project]]), "",COUNTIFS($A:$A,patch[[#This Row],[number]],$S:$S, "BJ And dev",$AD:$AD, "&lt;&gt;IntegratorValidationComment"))</f>
        <v/>
      </c>
      <c r="AA189" s="7" t="str">
        <f>IF(ISBLANK(patch[[#This Row],[project]]), "",COUNTIFS($A:$A,patch[[#This Row],[number]],$S:$S, "FL And dev",$AD:$AD, "&lt;&gt;IntegratorValidationComment"))</f>
        <v/>
      </c>
      <c r="AB189" s="7" t="str">
        <f>IF(ISBLANK(patch[[#This Row],[project]]), "",COUNTIFS($A:$A,patch[[#This Row],[number]],$S:$S, "SH And dev",$AD:$AD, "&lt;&gt;IntegratorValidationComment"))</f>
        <v/>
      </c>
      <c r="AC189" s="7" t="str">
        <f>IF(OR(ISNUMBER(FIND("Review-1", patch[[#This Row],[comments]])), ISNUMBER(FIND("Approver-1", patch[[#This Row],[comments]]))), "Review-1", "")</f>
        <v/>
      </c>
      <c r="AD1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9" s="7">
        <f>IF(ISBLANK(patch[[#This Row],[number]]),AE188,patch[[#This Row],[ifCommon]])</f>
        <v>0</v>
      </c>
    </row>
    <row r="190" spans="1:31">
      <c r="A190" s="151">
        <v>146922</v>
      </c>
      <c r="B190" s="151"/>
      <c r="C190" s="151"/>
      <c r="D190" s="151"/>
      <c r="E190" s="151"/>
      <c r="F190" s="151"/>
      <c r="G190" s="151"/>
      <c r="H190" s="151"/>
      <c r="I190" s="151"/>
      <c r="J190" s="152">
        <v>42640.690821759257</v>
      </c>
      <c r="K190" s="151"/>
      <c r="L190" s="151" t="s">
        <v>59</v>
      </c>
      <c r="M190" s="152">
        <v>42639.381423611107</v>
      </c>
      <c r="N190" s="151" t="s">
        <v>2684</v>
      </c>
      <c r="O190" s="151"/>
      <c r="P190" s="151"/>
      <c r="Q190" s="7" t="str">
        <f>IF(ISBLANK(patch[[#This Row],[OwnerEmail]]),Q189,patch[[#This Row],[OwnerEmail]])</f>
        <v>xi.cao@intel.com</v>
      </c>
      <c r="R190" s="7" t="str">
        <f>_xlfn.IFNA(VLOOKUP(patch[[#This Row],[tmp-owner.email]],OrgTree!$A:$K, 11, 0), "not ICG SWFW")</f>
        <v>BJ And dev</v>
      </c>
      <c r="S190" s="7" t="str">
        <f>IF(patch[[#This Row],[reviewer]]=patch[[#This Row],[tmp-owner.email]], "author", _xlfn.IFNA(VLOOKUP(patch[[#This Row],[reviewer]],OrgTree!$A:$K, 11, 0), "not ICG SWFW"))</f>
        <v>BJ And dev</v>
      </c>
      <c r="T190" s="7" t="str">
        <f>IF(ISBLANK(patch[[#This Row],[mergeDate]]), "", MID(YEAR(patch[[#This Row],[mergeDate]]), 3,2)&amp;"'ww"&amp;WEEKNUM(patch[[#This Row],[mergeDate]]))</f>
        <v>16'ww40</v>
      </c>
      <c r="U190" s="7" t="str">
        <f>IF(ISBLANK(patch[[#This Row],[mergeDate]]), U189, MID(YEAR(patch[[#This Row],[mergeDate]]), 3,2)&amp;"'m"&amp;MONTH(patch[[#This Row],[mergeDate]]))</f>
        <v>16'm9</v>
      </c>
      <c r="V190" s="7" t="str">
        <f>IF(ISBLANK(patch[[#This Row],[project]]), "",SUM(patch[[#This Row],[BJ -1 num]:[SH -1 num]]))</f>
        <v/>
      </c>
      <c r="W190" s="7" t="str">
        <f>IF(ISBLANK(patch[[#This Row],[project]]), "",COUNTIFS($A:$A,patch[[#This Row],[number]],$S:$S, "BJ And dev",$AC:$AC, "Review-1"))</f>
        <v/>
      </c>
      <c r="X190" s="7" t="str">
        <f>IF(ISBLANK(patch[[#This Row],[project]]), "",COUNTIFS($A:$A,patch[[#This Row],[number]],$S:$S, "FL And dev",$AC:$AC, "Review-1"))</f>
        <v/>
      </c>
      <c r="Y190" s="7" t="str">
        <f>IF(ISBLANK(patch[[#This Row],[project]]), "",COUNTIFS($A:$A,patch[[#This Row],[number]],$S:$S, "SH And dev",$AC:$AC, "Review-1"))</f>
        <v/>
      </c>
      <c r="Z190" s="7" t="str">
        <f>IF(ISBLANK(patch[[#This Row],[project]]), "",COUNTIFS($A:$A,patch[[#This Row],[number]],$S:$S, "BJ And dev",$AD:$AD, "&lt;&gt;IntegratorValidationComment"))</f>
        <v/>
      </c>
      <c r="AA190" s="7" t="str">
        <f>IF(ISBLANK(patch[[#This Row],[project]]), "",COUNTIFS($A:$A,patch[[#This Row],[number]],$S:$S, "FL And dev",$AD:$AD, "&lt;&gt;IntegratorValidationComment"))</f>
        <v/>
      </c>
      <c r="AB190" s="7" t="str">
        <f>IF(ISBLANK(patch[[#This Row],[project]]), "",COUNTIFS($A:$A,patch[[#This Row],[number]],$S:$S, "SH And dev",$AD:$AD, "&lt;&gt;IntegratorValidationComment"))</f>
        <v/>
      </c>
      <c r="AC190" s="7" t="str">
        <f>IF(OR(ISNUMBER(FIND("Review-1", patch[[#This Row],[comments]])), ISNUMBER(FIND("Approver-1", patch[[#This Row],[comments]]))), "Review-1", "")</f>
        <v/>
      </c>
      <c r="AD1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0" s="7">
        <f>IF(ISBLANK(patch[[#This Row],[number]]),AE189,patch[[#This Row],[ifCommon]])</f>
        <v>0</v>
      </c>
    </row>
    <row r="191" spans="1:31">
      <c r="A191" s="151">
        <v>146922</v>
      </c>
      <c r="B191" s="151"/>
      <c r="C191" s="151"/>
      <c r="D191" s="151"/>
      <c r="E191" s="151"/>
      <c r="F191" s="151"/>
      <c r="G191" s="151"/>
      <c r="H191" s="151"/>
      <c r="I191" s="151"/>
      <c r="J191" s="152">
        <v>42640.690821759257</v>
      </c>
      <c r="K191" s="151"/>
      <c r="L191" s="151" t="s">
        <v>59</v>
      </c>
      <c r="M191" s="152">
        <v>42639.39707175926</v>
      </c>
      <c r="N191" s="151" t="s">
        <v>2685</v>
      </c>
      <c r="O191" s="151"/>
      <c r="P191" s="151"/>
      <c r="Q191" s="7" t="str">
        <f>IF(ISBLANK(patch[[#This Row],[OwnerEmail]]),Q190,patch[[#This Row],[OwnerEmail]])</f>
        <v>xi.cao@intel.com</v>
      </c>
      <c r="R191" s="7" t="str">
        <f>_xlfn.IFNA(VLOOKUP(patch[[#This Row],[tmp-owner.email]],OrgTree!$A:$K, 11, 0), "not ICG SWFW")</f>
        <v>BJ And dev</v>
      </c>
      <c r="S191" s="7" t="str">
        <f>IF(patch[[#This Row],[reviewer]]=patch[[#This Row],[tmp-owner.email]], "author", _xlfn.IFNA(VLOOKUP(patch[[#This Row],[reviewer]],OrgTree!$A:$K, 11, 0), "not ICG SWFW"))</f>
        <v>BJ And dev</v>
      </c>
      <c r="T191" s="7" t="str">
        <f>IF(ISBLANK(patch[[#This Row],[mergeDate]]), "", MID(YEAR(patch[[#This Row],[mergeDate]]), 3,2)&amp;"'ww"&amp;WEEKNUM(patch[[#This Row],[mergeDate]]))</f>
        <v>16'ww40</v>
      </c>
      <c r="U191" s="7" t="str">
        <f>IF(ISBLANK(patch[[#This Row],[mergeDate]]), U190, MID(YEAR(patch[[#This Row],[mergeDate]]), 3,2)&amp;"'m"&amp;MONTH(patch[[#This Row],[mergeDate]]))</f>
        <v>16'm9</v>
      </c>
      <c r="V191" s="7" t="str">
        <f>IF(ISBLANK(patch[[#This Row],[project]]), "",SUM(patch[[#This Row],[BJ -1 num]:[SH -1 num]]))</f>
        <v/>
      </c>
      <c r="W191" s="7" t="str">
        <f>IF(ISBLANK(patch[[#This Row],[project]]), "",COUNTIFS($A:$A,patch[[#This Row],[number]],$S:$S, "BJ And dev",$AC:$AC, "Review-1"))</f>
        <v/>
      </c>
      <c r="X191" s="7" t="str">
        <f>IF(ISBLANK(patch[[#This Row],[project]]), "",COUNTIFS($A:$A,patch[[#This Row],[number]],$S:$S, "FL And dev",$AC:$AC, "Review-1"))</f>
        <v/>
      </c>
      <c r="Y191" s="7" t="str">
        <f>IF(ISBLANK(patch[[#This Row],[project]]), "",COUNTIFS($A:$A,patch[[#This Row],[number]],$S:$S, "SH And dev",$AC:$AC, "Review-1"))</f>
        <v/>
      </c>
      <c r="Z191" s="7" t="str">
        <f>IF(ISBLANK(patch[[#This Row],[project]]), "",COUNTIFS($A:$A,patch[[#This Row],[number]],$S:$S, "BJ And dev",$AD:$AD, "&lt;&gt;IntegratorValidationComment"))</f>
        <v/>
      </c>
      <c r="AA191" s="7" t="str">
        <f>IF(ISBLANK(patch[[#This Row],[project]]), "",COUNTIFS($A:$A,patch[[#This Row],[number]],$S:$S, "FL And dev",$AD:$AD, "&lt;&gt;IntegratorValidationComment"))</f>
        <v/>
      </c>
      <c r="AB191" s="7" t="str">
        <f>IF(ISBLANK(patch[[#This Row],[project]]), "",COUNTIFS($A:$A,patch[[#This Row],[number]],$S:$S, "SH And dev",$AD:$AD, "&lt;&gt;IntegratorValidationComment"))</f>
        <v/>
      </c>
      <c r="AC191" s="7" t="str">
        <f>IF(OR(ISNUMBER(FIND("Review-1", patch[[#This Row],[comments]])), ISNUMBER(FIND("Approver-1", patch[[#This Row],[comments]]))), "Review-1", "")</f>
        <v/>
      </c>
      <c r="AD1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1" s="7">
        <f>IF(ISBLANK(patch[[#This Row],[number]]),AE190,patch[[#This Row],[ifCommon]])</f>
        <v>0</v>
      </c>
    </row>
    <row r="192" spans="1:31">
      <c r="A192" s="151">
        <v>146922</v>
      </c>
      <c r="B192" s="151"/>
      <c r="C192" s="151"/>
      <c r="D192" s="151"/>
      <c r="E192" s="151"/>
      <c r="F192" s="151"/>
      <c r="G192" s="151"/>
      <c r="H192" s="151"/>
      <c r="I192" s="151"/>
      <c r="J192" s="152">
        <v>42640.690821759257</v>
      </c>
      <c r="K192" s="151"/>
      <c r="L192" s="151" t="s">
        <v>115</v>
      </c>
      <c r="M192" s="152">
        <v>42639.429756944453</v>
      </c>
      <c r="N192" s="151" t="s">
        <v>2558</v>
      </c>
      <c r="O192" s="151"/>
      <c r="P192" s="151"/>
      <c r="Q192" s="7" t="str">
        <f>IF(ISBLANK(patch[[#This Row],[OwnerEmail]]),Q191,patch[[#This Row],[OwnerEmail]])</f>
        <v>xi.cao@intel.com</v>
      </c>
      <c r="R192" s="7" t="str">
        <f>_xlfn.IFNA(VLOOKUP(patch[[#This Row],[tmp-owner.email]],OrgTree!$A:$K, 11, 0), "not ICG SWFW")</f>
        <v>BJ And dev</v>
      </c>
      <c r="S192" s="7" t="str">
        <f>IF(patch[[#This Row],[reviewer]]=patch[[#This Row],[tmp-owner.email]], "author", _xlfn.IFNA(VLOOKUP(patch[[#This Row],[reviewer]],OrgTree!$A:$K, 11, 0), "not ICG SWFW"))</f>
        <v>Val</v>
      </c>
      <c r="T192" s="7" t="str">
        <f>IF(ISBLANK(patch[[#This Row],[mergeDate]]), "", MID(YEAR(patch[[#This Row],[mergeDate]]), 3,2)&amp;"'ww"&amp;WEEKNUM(patch[[#This Row],[mergeDate]]))</f>
        <v>16'ww40</v>
      </c>
      <c r="U192" s="7" t="str">
        <f>IF(ISBLANK(patch[[#This Row],[mergeDate]]), U191, MID(YEAR(patch[[#This Row],[mergeDate]]), 3,2)&amp;"'m"&amp;MONTH(patch[[#This Row],[mergeDate]]))</f>
        <v>16'm9</v>
      </c>
      <c r="V192" s="7" t="str">
        <f>IF(ISBLANK(patch[[#This Row],[project]]), "",SUM(patch[[#This Row],[BJ -1 num]:[SH -1 num]]))</f>
        <v/>
      </c>
      <c r="W192" s="7" t="str">
        <f>IF(ISBLANK(patch[[#This Row],[project]]), "",COUNTIFS($A:$A,patch[[#This Row],[number]],$S:$S, "BJ And dev",$AC:$AC, "Review-1"))</f>
        <v/>
      </c>
      <c r="X192" s="7" t="str">
        <f>IF(ISBLANK(patch[[#This Row],[project]]), "",COUNTIFS($A:$A,patch[[#This Row],[number]],$S:$S, "FL And dev",$AC:$AC, "Review-1"))</f>
        <v/>
      </c>
      <c r="Y192" s="7" t="str">
        <f>IF(ISBLANK(patch[[#This Row],[project]]), "",COUNTIFS($A:$A,patch[[#This Row],[number]],$S:$S, "SH And dev",$AC:$AC, "Review-1"))</f>
        <v/>
      </c>
      <c r="Z192" s="7" t="str">
        <f>IF(ISBLANK(patch[[#This Row],[project]]), "",COUNTIFS($A:$A,patch[[#This Row],[number]],$S:$S, "BJ And dev",$AD:$AD, "&lt;&gt;IntegratorValidationComment"))</f>
        <v/>
      </c>
      <c r="AA192" s="7" t="str">
        <f>IF(ISBLANK(patch[[#This Row],[project]]), "",COUNTIFS($A:$A,patch[[#This Row],[number]],$S:$S, "FL And dev",$AD:$AD, "&lt;&gt;IntegratorValidationComment"))</f>
        <v/>
      </c>
      <c r="AB192" s="7" t="str">
        <f>IF(ISBLANK(patch[[#This Row],[project]]), "",COUNTIFS($A:$A,patch[[#This Row],[number]],$S:$S, "SH And dev",$AD:$AD, "&lt;&gt;IntegratorValidationComment"))</f>
        <v/>
      </c>
      <c r="AC192" s="7" t="str">
        <f>IF(OR(ISNUMBER(FIND("Review-1", patch[[#This Row],[comments]])), ISNUMBER(FIND("Approver-1", patch[[#This Row],[comments]]))), "Review-1", "")</f>
        <v/>
      </c>
      <c r="AD1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92" s="7">
        <f>IF(ISBLANK(patch[[#This Row],[number]]),AE191,patch[[#This Row],[ifCommon]])</f>
        <v>0</v>
      </c>
    </row>
    <row r="193" spans="1:31">
      <c r="A193" s="151">
        <v>146922</v>
      </c>
      <c r="B193" s="151"/>
      <c r="C193" s="151"/>
      <c r="D193" s="151"/>
      <c r="E193" s="151"/>
      <c r="F193" s="151"/>
      <c r="G193" s="151"/>
      <c r="H193" s="151"/>
      <c r="I193" s="151"/>
      <c r="J193" s="152">
        <v>42640.690821759257</v>
      </c>
      <c r="K193" s="151"/>
      <c r="L193" s="151" t="s">
        <v>115</v>
      </c>
      <c r="M193" s="152">
        <v>42639.608252314807</v>
      </c>
      <c r="N193" s="151" t="s">
        <v>2686</v>
      </c>
      <c r="O193" s="151"/>
      <c r="P193" s="151"/>
      <c r="Q193" s="7" t="str">
        <f>IF(ISBLANK(patch[[#This Row],[OwnerEmail]]),Q192,patch[[#This Row],[OwnerEmail]])</f>
        <v>xi.cao@intel.com</v>
      </c>
      <c r="R193" s="7" t="str">
        <f>_xlfn.IFNA(VLOOKUP(patch[[#This Row],[tmp-owner.email]],OrgTree!$A:$K, 11, 0), "not ICG SWFW")</f>
        <v>BJ And dev</v>
      </c>
      <c r="S193" s="7" t="str">
        <f>IF(patch[[#This Row],[reviewer]]=patch[[#This Row],[tmp-owner.email]], "author", _xlfn.IFNA(VLOOKUP(patch[[#This Row],[reviewer]],OrgTree!$A:$K, 11, 0), "not ICG SWFW"))</f>
        <v>Val</v>
      </c>
      <c r="T193" s="7" t="str">
        <f>IF(ISBLANK(patch[[#This Row],[mergeDate]]), "", MID(YEAR(patch[[#This Row],[mergeDate]]), 3,2)&amp;"'ww"&amp;WEEKNUM(patch[[#This Row],[mergeDate]]))</f>
        <v>16'ww40</v>
      </c>
      <c r="U193" s="7" t="str">
        <f>IF(ISBLANK(patch[[#This Row],[mergeDate]]), U192, MID(YEAR(patch[[#This Row],[mergeDate]]), 3,2)&amp;"'m"&amp;MONTH(patch[[#This Row],[mergeDate]]))</f>
        <v>16'm9</v>
      </c>
      <c r="V193" s="7" t="str">
        <f>IF(ISBLANK(patch[[#This Row],[project]]), "",SUM(patch[[#This Row],[BJ -1 num]:[SH -1 num]]))</f>
        <v/>
      </c>
      <c r="W193" s="7" t="str">
        <f>IF(ISBLANK(patch[[#This Row],[project]]), "",COUNTIFS($A:$A,patch[[#This Row],[number]],$S:$S, "BJ And dev",$AC:$AC, "Review-1"))</f>
        <v/>
      </c>
      <c r="X193" s="7" t="str">
        <f>IF(ISBLANK(patch[[#This Row],[project]]), "",COUNTIFS($A:$A,patch[[#This Row],[number]],$S:$S, "FL And dev",$AC:$AC, "Review-1"))</f>
        <v/>
      </c>
      <c r="Y193" s="7" t="str">
        <f>IF(ISBLANK(patch[[#This Row],[project]]), "",COUNTIFS($A:$A,patch[[#This Row],[number]],$S:$S, "SH And dev",$AC:$AC, "Review-1"))</f>
        <v/>
      </c>
      <c r="Z193" s="7" t="str">
        <f>IF(ISBLANK(patch[[#This Row],[project]]), "",COUNTIFS($A:$A,patch[[#This Row],[number]],$S:$S, "BJ And dev",$AD:$AD, "&lt;&gt;IntegratorValidationComment"))</f>
        <v/>
      </c>
      <c r="AA193" s="7" t="str">
        <f>IF(ISBLANK(patch[[#This Row],[project]]), "",COUNTIFS($A:$A,patch[[#This Row],[number]],$S:$S, "FL And dev",$AD:$AD, "&lt;&gt;IntegratorValidationComment"))</f>
        <v/>
      </c>
      <c r="AB193" s="7" t="str">
        <f>IF(ISBLANK(patch[[#This Row],[project]]), "",COUNTIFS($A:$A,patch[[#This Row],[number]],$S:$S, "SH And dev",$AD:$AD, "&lt;&gt;IntegratorValidationComment"))</f>
        <v/>
      </c>
      <c r="AC193" s="7" t="str">
        <f>IF(OR(ISNUMBER(FIND("Review-1", patch[[#This Row],[comments]])), ISNUMBER(FIND("Approver-1", patch[[#This Row],[comments]]))), "Review-1", "")</f>
        <v/>
      </c>
      <c r="AD1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93" s="7">
        <f>IF(ISBLANK(patch[[#This Row],[number]]),AE192,patch[[#This Row],[ifCommon]])</f>
        <v>0</v>
      </c>
    </row>
    <row r="194" spans="1:31">
      <c r="A194" s="151">
        <v>146922</v>
      </c>
      <c r="B194" s="151"/>
      <c r="C194" s="151"/>
      <c r="D194" s="151"/>
      <c r="E194" s="151"/>
      <c r="F194" s="151"/>
      <c r="G194" s="151"/>
      <c r="H194" s="151"/>
      <c r="I194" s="151"/>
      <c r="J194" s="152">
        <v>42640.690821759257</v>
      </c>
      <c r="K194" s="151"/>
      <c r="L194" s="151" t="s">
        <v>1203</v>
      </c>
      <c r="M194" s="152">
        <v>42639.608831018522</v>
      </c>
      <c r="N194" s="151" t="s">
        <v>1975</v>
      </c>
      <c r="O194" s="151"/>
      <c r="P194" s="151"/>
      <c r="Q194" s="7" t="str">
        <f>IF(ISBLANK(patch[[#This Row],[OwnerEmail]]),Q193,patch[[#This Row],[OwnerEmail]])</f>
        <v>xi.cao@intel.com</v>
      </c>
      <c r="R194" s="7" t="str">
        <f>_xlfn.IFNA(VLOOKUP(patch[[#This Row],[tmp-owner.email]],OrgTree!$A:$K, 11, 0), "not ICG SWFW")</f>
        <v>BJ And dev</v>
      </c>
      <c r="S194" s="7" t="str">
        <f>IF(patch[[#This Row],[reviewer]]=patch[[#This Row],[tmp-owner.email]], "author", _xlfn.IFNA(VLOOKUP(patch[[#This Row],[reviewer]],OrgTree!$A:$K, 11, 0), "not ICG SWFW"))</f>
        <v>author</v>
      </c>
      <c r="T194" s="7" t="str">
        <f>IF(ISBLANK(patch[[#This Row],[mergeDate]]), "", MID(YEAR(patch[[#This Row],[mergeDate]]), 3,2)&amp;"'ww"&amp;WEEKNUM(patch[[#This Row],[mergeDate]]))</f>
        <v>16'ww40</v>
      </c>
      <c r="U194" s="7" t="str">
        <f>IF(ISBLANK(patch[[#This Row],[mergeDate]]), U193, MID(YEAR(patch[[#This Row],[mergeDate]]), 3,2)&amp;"'m"&amp;MONTH(patch[[#This Row],[mergeDate]]))</f>
        <v>16'm9</v>
      </c>
      <c r="V194" s="7" t="str">
        <f>IF(ISBLANK(patch[[#This Row],[project]]), "",SUM(patch[[#This Row],[BJ -1 num]:[SH -1 num]]))</f>
        <v/>
      </c>
      <c r="W194" s="7" t="str">
        <f>IF(ISBLANK(patch[[#This Row],[project]]), "",COUNTIFS($A:$A,patch[[#This Row],[number]],$S:$S, "BJ And dev",$AC:$AC, "Review-1"))</f>
        <v/>
      </c>
      <c r="X194" s="7" t="str">
        <f>IF(ISBLANK(patch[[#This Row],[project]]), "",COUNTIFS($A:$A,patch[[#This Row],[number]],$S:$S, "FL And dev",$AC:$AC, "Review-1"))</f>
        <v/>
      </c>
      <c r="Y194" s="7" t="str">
        <f>IF(ISBLANK(patch[[#This Row],[project]]), "",COUNTIFS($A:$A,patch[[#This Row],[number]],$S:$S, "SH And dev",$AC:$AC, "Review-1"))</f>
        <v/>
      </c>
      <c r="Z194" s="7" t="str">
        <f>IF(ISBLANK(patch[[#This Row],[project]]), "",COUNTIFS($A:$A,patch[[#This Row],[number]],$S:$S, "BJ And dev",$AD:$AD, "&lt;&gt;IntegratorValidationComment"))</f>
        <v/>
      </c>
      <c r="AA194" s="7" t="str">
        <f>IF(ISBLANK(patch[[#This Row],[project]]), "",COUNTIFS($A:$A,patch[[#This Row],[number]],$S:$S, "FL And dev",$AD:$AD, "&lt;&gt;IntegratorValidationComment"))</f>
        <v/>
      </c>
      <c r="AB194" s="7" t="str">
        <f>IF(ISBLANK(patch[[#This Row],[project]]), "",COUNTIFS($A:$A,patch[[#This Row],[number]],$S:$S, "SH And dev",$AD:$AD, "&lt;&gt;IntegratorValidationComment"))</f>
        <v/>
      </c>
      <c r="AC194" s="7" t="str">
        <f>IF(OR(ISNUMBER(FIND("Review-1", patch[[#This Row],[comments]])), ISNUMBER(FIND("Approver-1", patch[[#This Row],[comments]]))), "Review-1", "")</f>
        <v/>
      </c>
      <c r="AD1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4" s="7">
        <f>IF(ISBLANK(patch[[#This Row],[number]]),AE193,patch[[#This Row],[ifCommon]])</f>
        <v>0</v>
      </c>
    </row>
    <row r="195" spans="1:31">
      <c r="A195" s="151">
        <v>146922</v>
      </c>
      <c r="B195" s="151"/>
      <c r="C195" s="151"/>
      <c r="D195" s="151"/>
      <c r="E195" s="151"/>
      <c r="F195" s="151"/>
      <c r="G195" s="151"/>
      <c r="H195" s="151"/>
      <c r="I195" s="151"/>
      <c r="J195" s="152">
        <v>42640.690821759257</v>
      </c>
      <c r="K195" s="151"/>
      <c r="L195" s="151" t="s">
        <v>1203</v>
      </c>
      <c r="M195" s="152">
        <v>42639.608842592592</v>
      </c>
      <c r="N195" s="151" t="s">
        <v>2477</v>
      </c>
      <c r="O195" s="151"/>
      <c r="P195" s="151"/>
      <c r="Q195" s="7" t="str">
        <f>IF(ISBLANK(patch[[#This Row],[OwnerEmail]]),Q194,patch[[#This Row],[OwnerEmail]])</f>
        <v>xi.cao@intel.com</v>
      </c>
      <c r="R195" s="7" t="str">
        <f>_xlfn.IFNA(VLOOKUP(patch[[#This Row],[tmp-owner.email]],OrgTree!$A:$K, 11, 0), "not ICG SWFW")</f>
        <v>BJ And dev</v>
      </c>
      <c r="S195" s="7" t="str">
        <f>IF(patch[[#This Row],[reviewer]]=patch[[#This Row],[tmp-owner.email]], "author", _xlfn.IFNA(VLOOKUP(patch[[#This Row],[reviewer]],OrgTree!$A:$K, 11, 0), "not ICG SWFW"))</f>
        <v>author</v>
      </c>
      <c r="T195" s="7" t="str">
        <f>IF(ISBLANK(patch[[#This Row],[mergeDate]]), "", MID(YEAR(patch[[#This Row],[mergeDate]]), 3,2)&amp;"'ww"&amp;WEEKNUM(patch[[#This Row],[mergeDate]]))</f>
        <v>16'ww40</v>
      </c>
      <c r="U195" s="7" t="str">
        <f>IF(ISBLANK(patch[[#This Row],[mergeDate]]), U194, MID(YEAR(patch[[#This Row],[mergeDate]]), 3,2)&amp;"'m"&amp;MONTH(patch[[#This Row],[mergeDate]]))</f>
        <v>16'm9</v>
      </c>
      <c r="V195" s="7" t="str">
        <f>IF(ISBLANK(patch[[#This Row],[project]]), "",SUM(patch[[#This Row],[BJ -1 num]:[SH -1 num]]))</f>
        <v/>
      </c>
      <c r="W195" s="7" t="str">
        <f>IF(ISBLANK(patch[[#This Row],[project]]), "",COUNTIFS($A:$A,patch[[#This Row],[number]],$S:$S, "BJ And dev",$AC:$AC, "Review-1"))</f>
        <v/>
      </c>
      <c r="X195" s="7" t="str">
        <f>IF(ISBLANK(patch[[#This Row],[project]]), "",COUNTIFS($A:$A,patch[[#This Row],[number]],$S:$S, "FL And dev",$AC:$AC, "Review-1"))</f>
        <v/>
      </c>
      <c r="Y195" s="7" t="str">
        <f>IF(ISBLANK(patch[[#This Row],[project]]), "",COUNTIFS($A:$A,patch[[#This Row],[number]],$S:$S, "SH And dev",$AC:$AC, "Review-1"))</f>
        <v/>
      </c>
      <c r="Z195" s="7" t="str">
        <f>IF(ISBLANK(patch[[#This Row],[project]]), "",COUNTIFS($A:$A,patch[[#This Row],[number]],$S:$S, "BJ And dev",$AD:$AD, "&lt;&gt;IntegratorValidationComment"))</f>
        <v/>
      </c>
      <c r="AA195" s="7" t="str">
        <f>IF(ISBLANK(patch[[#This Row],[project]]), "",COUNTIFS($A:$A,patch[[#This Row],[number]],$S:$S, "FL And dev",$AD:$AD, "&lt;&gt;IntegratorValidationComment"))</f>
        <v/>
      </c>
      <c r="AB195" s="7" t="str">
        <f>IF(ISBLANK(patch[[#This Row],[project]]), "",COUNTIFS($A:$A,patch[[#This Row],[number]],$S:$S, "SH And dev",$AD:$AD, "&lt;&gt;IntegratorValidationComment"))</f>
        <v/>
      </c>
      <c r="AC195" s="7" t="str">
        <f>IF(OR(ISNUMBER(FIND("Review-1", patch[[#This Row],[comments]])), ISNUMBER(FIND("Approver-1", patch[[#This Row],[comments]]))), "Review-1", "")</f>
        <v/>
      </c>
      <c r="AD1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5" s="7">
        <f>IF(ISBLANK(patch[[#This Row],[number]]),AE194,patch[[#This Row],[ifCommon]])</f>
        <v>0</v>
      </c>
    </row>
    <row r="196" spans="1:31">
      <c r="A196" s="151">
        <v>146922</v>
      </c>
      <c r="B196" s="151"/>
      <c r="C196" s="151"/>
      <c r="D196" s="151"/>
      <c r="E196" s="151"/>
      <c r="F196" s="151"/>
      <c r="G196" s="151"/>
      <c r="H196" s="151"/>
      <c r="I196" s="151"/>
      <c r="J196" s="152">
        <v>42640.690821759257</v>
      </c>
      <c r="K196" s="151"/>
      <c r="L196" s="151" t="s">
        <v>59</v>
      </c>
      <c r="M196" s="152">
        <v>42639.612013888887</v>
      </c>
      <c r="N196" s="151" t="s">
        <v>2687</v>
      </c>
      <c r="O196" s="151"/>
      <c r="P196" s="151"/>
      <c r="Q196" s="7" t="str">
        <f>IF(ISBLANK(patch[[#This Row],[OwnerEmail]]),Q195,patch[[#This Row],[OwnerEmail]])</f>
        <v>xi.cao@intel.com</v>
      </c>
      <c r="R196" s="7" t="str">
        <f>_xlfn.IFNA(VLOOKUP(patch[[#This Row],[tmp-owner.email]],OrgTree!$A:$K, 11, 0), "not ICG SWFW")</f>
        <v>BJ And dev</v>
      </c>
      <c r="S196" s="7" t="str">
        <f>IF(patch[[#This Row],[reviewer]]=patch[[#This Row],[tmp-owner.email]], "author", _xlfn.IFNA(VLOOKUP(patch[[#This Row],[reviewer]],OrgTree!$A:$K, 11, 0), "not ICG SWFW"))</f>
        <v>BJ And dev</v>
      </c>
      <c r="T196" s="7" t="str">
        <f>IF(ISBLANK(patch[[#This Row],[mergeDate]]), "", MID(YEAR(patch[[#This Row],[mergeDate]]), 3,2)&amp;"'ww"&amp;WEEKNUM(patch[[#This Row],[mergeDate]]))</f>
        <v>16'ww40</v>
      </c>
      <c r="U196" s="7" t="str">
        <f>IF(ISBLANK(patch[[#This Row],[mergeDate]]), U195, MID(YEAR(patch[[#This Row],[mergeDate]]), 3,2)&amp;"'m"&amp;MONTH(patch[[#This Row],[mergeDate]]))</f>
        <v>16'm9</v>
      </c>
      <c r="V196" s="7" t="str">
        <f>IF(ISBLANK(patch[[#This Row],[project]]), "",SUM(patch[[#This Row],[BJ -1 num]:[SH -1 num]]))</f>
        <v/>
      </c>
      <c r="W196" s="7" t="str">
        <f>IF(ISBLANK(patch[[#This Row],[project]]), "",COUNTIFS($A:$A,patch[[#This Row],[number]],$S:$S, "BJ And dev",$AC:$AC, "Review-1"))</f>
        <v/>
      </c>
      <c r="X196" s="7" t="str">
        <f>IF(ISBLANK(patch[[#This Row],[project]]), "",COUNTIFS($A:$A,patch[[#This Row],[number]],$S:$S, "FL And dev",$AC:$AC, "Review-1"))</f>
        <v/>
      </c>
      <c r="Y196" s="7" t="str">
        <f>IF(ISBLANK(patch[[#This Row],[project]]), "",COUNTIFS($A:$A,patch[[#This Row],[number]],$S:$S, "SH And dev",$AC:$AC, "Review-1"))</f>
        <v/>
      </c>
      <c r="Z196" s="7" t="str">
        <f>IF(ISBLANK(patch[[#This Row],[project]]), "",COUNTIFS($A:$A,patch[[#This Row],[number]],$S:$S, "BJ And dev",$AD:$AD, "&lt;&gt;IntegratorValidationComment"))</f>
        <v/>
      </c>
      <c r="AA196" s="7" t="str">
        <f>IF(ISBLANK(patch[[#This Row],[project]]), "",COUNTIFS($A:$A,patch[[#This Row],[number]],$S:$S, "FL And dev",$AD:$AD, "&lt;&gt;IntegratorValidationComment"))</f>
        <v/>
      </c>
      <c r="AB196" s="7" t="str">
        <f>IF(ISBLANK(patch[[#This Row],[project]]), "",COUNTIFS($A:$A,patch[[#This Row],[number]],$S:$S, "SH And dev",$AD:$AD, "&lt;&gt;IntegratorValidationComment"))</f>
        <v/>
      </c>
      <c r="AC196" s="7" t="str">
        <f>IF(OR(ISNUMBER(FIND("Review-1", patch[[#This Row],[comments]])), ISNUMBER(FIND("Approver-1", patch[[#This Row],[comments]]))), "Review-1", "")</f>
        <v/>
      </c>
      <c r="AD1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6" s="7">
        <f>IF(ISBLANK(patch[[#This Row],[number]]),AE195,patch[[#This Row],[ifCommon]])</f>
        <v>0</v>
      </c>
    </row>
    <row r="197" spans="1:31">
      <c r="A197" s="151">
        <v>146922</v>
      </c>
      <c r="B197" s="151"/>
      <c r="C197" s="151"/>
      <c r="D197" s="151"/>
      <c r="E197" s="151"/>
      <c r="F197" s="151"/>
      <c r="G197" s="151"/>
      <c r="H197" s="151"/>
      <c r="I197" s="151"/>
      <c r="J197" s="152">
        <v>42640.690821759257</v>
      </c>
      <c r="K197" s="151"/>
      <c r="L197" s="151" t="s">
        <v>59</v>
      </c>
      <c r="M197" s="152">
        <v>42639.616064814807</v>
      </c>
      <c r="N197" s="151" t="s">
        <v>2688</v>
      </c>
      <c r="O197" s="151"/>
      <c r="P197" s="151"/>
      <c r="Q197" s="7" t="str">
        <f>IF(ISBLANK(patch[[#This Row],[OwnerEmail]]),Q196,patch[[#This Row],[OwnerEmail]])</f>
        <v>xi.cao@intel.com</v>
      </c>
      <c r="R197" s="7" t="str">
        <f>_xlfn.IFNA(VLOOKUP(patch[[#This Row],[tmp-owner.email]],OrgTree!$A:$K, 11, 0), "not ICG SWFW")</f>
        <v>BJ And dev</v>
      </c>
      <c r="S197" s="7" t="str">
        <f>IF(patch[[#This Row],[reviewer]]=patch[[#This Row],[tmp-owner.email]], "author", _xlfn.IFNA(VLOOKUP(patch[[#This Row],[reviewer]],OrgTree!$A:$K, 11, 0), "not ICG SWFW"))</f>
        <v>BJ And dev</v>
      </c>
      <c r="T197" s="7" t="str">
        <f>IF(ISBLANK(patch[[#This Row],[mergeDate]]), "", MID(YEAR(patch[[#This Row],[mergeDate]]), 3,2)&amp;"'ww"&amp;WEEKNUM(patch[[#This Row],[mergeDate]]))</f>
        <v>16'ww40</v>
      </c>
      <c r="U197" s="7" t="str">
        <f>IF(ISBLANK(patch[[#This Row],[mergeDate]]), U196, MID(YEAR(patch[[#This Row],[mergeDate]]), 3,2)&amp;"'m"&amp;MONTH(patch[[#This Row],[mergeDate]]))</f>
        <v>16'm9</v>
      </c>
      <c r="V197" s="7" t="str">
        <f>IF(ISBLANK(patch[[#This Row],[project]]), "",SUM(patch[[#This Row],[BJ -1 num]:[SH -1 num]]))</f>
        <v/>
      </c>
      <c r="W197" s="7" t="str">
        <f>IF(ISBLANK(patch[[#This Row],[project]]), "",COUNTIFS($A:$A,patch[[#This Row],[number]],$S:$S, "BJ And dev",$AC:$AC, "Review-1"))</f>
        <v/>
      </c>
      <c r="X197" s="7" t="str">
        <f>IF(ISBLANK(patch[[#This Row],[project]]), "",COUNTIFS($A:$A,patch[[#This Row],[number]],$S:$S, "FL And dev",$AC:$AC, "Review-1"))</f>
        <v/>
      </c>
      <c r="Y197" s="7" t="str">
        <f>IF(ISBLANK(patch[[#This Row],[project]]), "",COUNTIFS($A:$A,patch[[#This Row],[number]],$S:$S, "SH And dev",$AC:$AC, "Review-1"))</f>
        <v/>
      </c>
      <c r="Z197" s="7" t="str">
        <f>IF(ISBLANK(patch[[#This Row],[project]]), "",COUNTIFS($A:$A,patch[[#This Row],[number]],$S:$S, "BJ And dev",$AD:$AD, "&lt;&gt;IntegratorValidationComment"))</f>
        <v/>
      </c>
      <c r="AA197" s="7" t="str">
        <f>IF(ISBLANK(patch[[#This Row],[project]]), "",COUNTIFS($A:$A,patch[[#This Row],[number]],$S:$S, "FL And dev",$AD:$AD, "&lt;&gt;IntegratorValidationComment"))</f>
        <v/>
      </c>
      <c r="AB197" s="7" t="str">
        <f>IF(ISBLANK(patch[[#This Row],[project]]), "",COUNTIFS($A:$A,patch[[#This Row],[number]],$S:$S, "SH And dev",$AD:$AD, "&lt;&gt;IntegratorValidationComment"))</f>
        <v/>
      </c>
      <c r="AC197" s="7" t="str">
        <f>IF(OR(ISNUMBER(FIND("Review-1", patch[[#This Row],[comments]])), ISNUMBER(FIND("Approver-1", patch[[#This Row],[comments]]))), "Review-1", "")</f>
        <v/>
      </c>
      <c r="AD1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7" s="7">
        <f>IF(ISBLANK(patch[[#This Row],[number]]),AE196,patch[[#This Row],[ifCommon]])</f>
        <v>0</v>
      </c>
    </row>
    <row r="198" spans="1:31">
      <c r="A198" s="151">
        <v>146922</v>
      </c>
      <c r="B198" s="151"/>
      <c r="C198" s="151"/>
      <c r="D198" s="151"/>
      <c r="E198" s="151"/>
      <c r="F198" s="151"/>
      <c r="G198" s="151"/>
      <c r="H198" s="151"/>
      <c r="I198" s="151"/>
      <c r="J198" s="152">
        <v>42640.690821759257</v>
      </c>
      <c r="K198" s="151"/>
      <c r="L198" s="151" t="s">
        <v>1203</v>
      </c>
      <c r="M198" s="152">
        <v>42639.741875</v>
      </c>
      <c r="N198" s="151" t="s">
        <v>1979</v>
      </c>
      <c r="O198" s="151"/>
      <c r="P198" s="151"/>
      <c r="Q198" s="7" t="str">
        <f>IF(ISBLANK(patch[[#This Row],[OwnerEmail]]),Q197,patch[[#This Row],[OwnerEmail]])</f>
        <v>xi.cao@intel.com</v>
      </c>
      <c r="R198" s="7" t="str">
        <f>_xlfn.IFNA(VLOOKUP(patch[[#This Row],[tmp-owner.email]],OrgTree!$A:$K, 11, 0), "not ICG SWFW")</f>
        <v>BJ And dev</v>
      </c>
      <c r="S198" s="7" t="str">
        <f>IF(patch[[#This Row],[reviewer]]=patch[[#This Row],[tmp-owner.email]], "author", _xlfn.IFNA(VLOOKUP(patch[[#This Row],[reviewer]],OrgTree!$A:$K, 11, 0), "not ICG SWFW"))</f>
        <v>author</v>
      </c>
      <c r="T198" s="7" t="str">
        <f>IF(ISBLANK(patch[[#This Row],[mergeDate]]), "", MID(YEAR(patch[[#This Row],[mergeDate]]), 3,2)&amp;"'ww"&amp;WEEKNUM(patch[[#This Row],[mergeDate]]))</f>
        <v>16'ww40</v>
      </c>
      <c r="U198" s="7" t="str">
        <f>IF(ISBLANK(patch[[#This Row],[mergeDate]]), U197, MID(YEAR(patch[[#This Row],[mergeDate]]), 3,2)&amp;"'m"&amp;MONTH(patch[[#This Row],[mergeDate]]))</f>
        <v>16'm9</v>
      </c>
      <c r="V198" s="7" t="str">
        <f>IF(ISBLANK(patch[[#This Row],[project]]), "",SUM(patch[[#This Row],[BJ -1 num]:[SH -1 num]]))</f>
        <v/>
      </c>
      <c r="W198" s="7" t="str">
        <f>IF(ISBLANK(patch[[#This Row],[project]]), "",COUNTIFS($A:$A,patch[[#This Row],[number]],$S:$S, "BJ And dev",$AC:$AC, "Review-1"))</f>
        <v/>
      </c>
      <c r="X198" s="7" t="str">
        <f>IF(ISBLANK(patch[[#This Row],[project]]), "",COUNTIFS($A:$A,patch[[#This Row],[number]],$S:$S, "FL And dev",$AC:$AC, "Review-1"))</f>
        <v/>
      </c>
      <c r="Y198" s="7" t="str">
        <f>IF(ISBLANK(patch[[#This Row],[project]]), "",COUNTIFS($A:$A,patch[[#This Row],[number]],$S:$S, "SH And dev",$AC:$AC, "Review-1"))</f>
        <v/>
      </c>
      <c r="Z198" s="7" t="str">
        <f>IF(ISBLANK(patch[[#This Row],[project]]), "",COUNTIFS($A:$A,patch[[#This Row],[number]],$S:$S, "BJ And dev",$AD:$AD, "&lt;&gt;IntegratorValidationComment"))</f>
        <v/>
      </c>
      <c r="AA198" s="7" t="str">
        <f>IF(ISBLANK(patch[[#This Row],[project]]), "",COUNTIFS($A:$A,patch[[#This Row],[number]],$S:$S, "FL And dev",$AD:$AD, "&lt;&gt;IntegratorValidationComment"))</f>
        <v/>
      </c>
      <c r="AB198" s="7" t="str">
        <f>IF(ISBLANK(patch[[#This Row],[project]]), "",COUNTIFS($A:$A,patch[[#This Row],[number]],$S:$S, "SH And dev",$AD:$AD, "&lt;&gt;IntegratorValidationComment"))</f>
        <v/>
      </c>
      <c r="AC198" s="7" t="str">
        <f>IF(OR(ISNUMBER(FIND("Review-1", patch[[#This Row],[comments]])), ISNUMBER(FIND("Approver-1", patch[[#This Row],[comments]]))), "Review-1", "")</f>
        <v/>
      </c>
      <c r="AD1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8" s="7">
        <f>IF(ISBLANK(patch[[#This Row],[number]]),AE197,patch[[#This Row],[ifCommon]])</f>
        <v>0</v>
      </c>
    </row>
    <row r="199" spans="1:31">
      <c r="A199" s="151">
        <v>146922</v>
      </c>
      <c r="B199" s="151"/>
      <c r="C199" s="151"/>
      <c r="D199" s="151"/>
      <c r="E199" s="151"/>
      <c r="F199" s="151"/>
      <c r="G199" s="151"/>
      <c r="H199" s="151"/>
      <c r="I199" s="151"/>
      <c r="J199" s="152">
        <v>42640.690821759257</v>
      </c>
      <c r="K199" s="151"/>
      <c r="L199" s="151" t="s">
        <v>63</v>
      </c>
      <c r="M199" s="152">
        <v>42639.745185185187</v>
      </c>
      <c r="N199" s="151" t="s">
        <v>1979</v>
      </c>
      <c r="O199" s="151"/>
      <c r="P199" s="151"/>
      <c r="Q199" s="7" t="str">
        <f>IF(ISBLANK(patch[[#This Row],[OwnerEmail]]),Q198,patch[[#This Row],[OwnerEmail]])</f>
        <v>xi.cao@intel.com</v>
      </c>
      <c r="R199" s="7" t="str">
        <f>_xlfn.IFNA(VLOOKUP(patch[[#This Row],[tmp-owner.email]],OrgTree!$A:$K, 11, 0), "not ICG SWFW")</f>
        <v>BJ And dev</v>
      </c>
      <c r="S199" s="7" t="str">
        <f>IF(patch[[#This Row],[reviewer]]=patch[[#This Row],[tmp-owner.email]], "author", _xlfn.IFNA(VLOOKUP(patch[[#This Row],[reviewer]],OrgTree!$A:$K, 11, 0), "not ICG SWFW"))</f>
        <v>BJ And dev</v>
      </c>
      <c r="T199" s="7" t="str">
        <f>IF(ISBLANK(patch[[#This Row],[mergeDate]]), "", MID(YEAR(patch[[#This Row],[mergeDate]]), 3,2)&amp;"'ww"&amp;WEEKNUM(patch[[#This Row],[mergeDate]]))</f>
        <v>16'ww40</v>
      </c>
      <c r="U199" s="7" t="str">
        <f>IF(ISBLANK(patch[[#This Row],[mergeDate]]), U198, MID(YEAR(patch[[#This Row],[mergeDate]]), 3,2)&amp;"'m"&amp;MONTH(patch[[#This Row],[mergeDate]]))</f>
        <v>16'm9</v>
      </c>
      <c r="V199" s="7" t="str">
        <f>IF(ISBLANK(patch[[#This Row],[project]]), "",SUM(patch[[#This Row],[BJ -1 num]:[SH -1 num]]))</f>
        <v/>
      </c>
      <c r="W199" s="7" t="str">
        <f>IF(ISBLANK(patch[[#This Row],[project]]), "",COUNTIFS($A:$A,patch[[#This Row],[number]],$S:$S, "BJ And dev",$AC:$AC, "Review-1"))</f>
        <v/>
      </c>
      <c r="X199" s="7" t="str">
        <f>IF(ISBLANK(patch[[#This Row],[project]]), "",COUNTIFS($A:$A,patch[[#This Row],[number]],$S:$S, "FL And dev",$AC:$AC, "Review-1"))</f>
        <v/>
      </c>
      <c r="Y199" s="7" t="str">
        <f>IF(ISBLANK(patch[[#This Row],[project]]), "",COUNTIFS($A:$A,patch[[#This Row],[number]],$S:$S, "SH And dev",$AC:$AC, "Review-1"))</f>
        <v/>
      </c>
      <c r="Z199" s="7" t="str">
        <f>IF(ISBLANK(patch[[#This Row],[project]]), "",COUNTIFS($A:$A,patch[[#This Row],[number]],$S:$S, "BJ And dev",$AD:$AD, "&lt;&gt;IntegratorValidationComment"))</f>
        <v/>
      </c>
      <c r="AA199" s="7" t="str">
        <f>IF(ISBLANK(patch[[#This Row],[project]]), "",COUNTIFS($A:$A,patch[[#This Row],[number]],$S:$S, "FL And dev",$AD:$AD, "&lt;&gt;IntegratorValidationComment"))</f>
        <v/>
      </c>
      <c r="AB199" s="7" t="str">
        <f>IF(ISBLANK(patch[[#This Row],[project]]), "",COUNTIFS($A:$A,patch[[#This Row],[number]],$S:$S, "SH And dev",$AD:$AD, "&lt;&gt;IntegratorValidationComment"))</f>
        <v/>
      </c>
      <c r="AC199" s="7" t="str">
        <f>IF(OR(ISNUMBER(FIND("Review-1", patch[[#This Row],[comments]])), ISNUMBER(FIND("Approver-1", patch[[#This Row],[comments]]))), "Review-1", "")</f>
        <v/>
      </c>
      <c r="AD1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9" s="7">
        <f>IF(ISBLANK(patch[[#This Row],[number]]),AE198,patch[[#This Row],[ifCommon]])</f>
        <v>0</v>
      </c>
    </row>
    <row r="200" spans="1:31">
      <c r="A200" s="151">
        <v>146922</v>
      </c>
      <c r="B200" s="151"/>
      <c r="C200" s="151"/>
      <c r="D200" s="151"/>
      <c r="E200" s="151"/>
      <c r="F200" s="151"/>
      <c r="G200" s="151"/>
      <c r="H200" s="151"/>
      <c r="I200" s="152"/>
      <c r="J200" s="152">
        <v>42640.690821759257</v>
      </c>
      <c r="K200" s="151"/>
      <c r="L200" s="151" t="s">
        <v>55</v>
      </c>
      <c r="M200" s="152">
        <v>42639.748124999998</v>
      </c>
      <c r="N200" s="151" t="s">
        <v>2689</v>
      </c>
      <c r="O200" s="151" t="s">
        <v>2690</v>
      </c>
      <c r="P200" s="151"/>
      <c r="Q200" s="7" t="str">
        <f>IF(ISBLANK(patch[[#This Row],[OwnerEmail]]),Q199,patch[[#This Row],[OwnerEmail]])</f>
        <v>xi.cao@intel.com</v>
      </c>
      <c r="R200" s="7" t="str">
        <f>_xlfn.IFNA(VLOOKUP(patch[[#This Row],[tmp-owner.email]],OrgTree!$A:$K, 11, 0), "not ICG SWFW")</f>
        <v>BJ And dev</v>
      </c>
      <c r="S200" s="7" t="str">
        <f>IF(patch[[#This Row],[reviewer]]=patch[[#This Row],[tmp-owner.email]], "author", _xlfn.IFNA(VLOOKUP(patch[[#This Row],[reviewer]],OrgTree!$A:$K, 11, 0), "not ICG SWFW"))</f>
        <v>BJ And dev</v>
      </c>
      <c r="T200" s="7" t="str">
        <f>IF(ISBLANK(patch[[#This Row],[mergeDate]]), "", MID(YEAR(patch[[#This Row],[mergeDate]]), 3,2)&amp;"'ww"&amp;WEEKNUM(patch[[#This Row],[mergeDate]]))</f>
        <v>16'ww40</v>
      </c>
      <c r="U200" s="7" t="str">
        <f>IF(ISBLANK(patch[[#This Row],[mergeDate]]), U199, MID(YEAR(patch[[#This Row],[mergeDate]]), 3,2)&amp;"'m"&amp;MONTH(patch[[#This Row],[mergeDate]]))</f>
        <v>16'm9</v>
      </c>
      <c r="V200" s="7" t="str">
        <f>IF(ISBLANK(patch[[#This Row],[project]]), "",SUM(patch[[#This Row],[BJ -1 num]:[SH -1 num]]))</f>
        <v/>
      </c>
      <c r="W200" s="7" t="str">
        <f>IF(ISBLANK(patch[[#This Row],[project]]), "",COUNTIFS($A:$A,patch[[#This Row],[number]],$S:$S, "BJ And dev",$AC:$AC, "Review-1"))</f>
        <v/>
      </c>
      <c r="X200" s="7" t="str">
        <f>IF(ISBLANK(patch[[#This Row],[project]]), "",COUNTIFS($A:$A,patch[[#This Row],[number]],$S:$S, "FL And dev",$AC:$AC, "Review-1"))</f>
        <v/>
      </c>
      <c r="Y200" s="7" t="str">
        <f>IF(ISBLANK(patch[[#This Row],[project]]), "",COUNTIFS($A:$A,patch[[#This Row],[number]],$S:$S, "SH And dev",$AC:$AC, "Review-1"))</f>
        <v/>
      </c>
      <c r="Z200" s="7" t="str">
        <f>IF(ISBLANK(patch[[#This Row],[project]]), "",COUNTIFS($A:$A,patch[[#This Row],[number]],$S:$S, "BJ And dev",$AD:$AD, "&lt;&gt;IntegratorValidationComment"))</f>
        <v/>
      </c>
      <c r="AA200" s="7" t="str">
        <f>IF(ISBLANK(patch[[#This Row],[project]]), "",COUNTIFS($A:$A,patch[[#This Row],[number]],$S:$S, "FL And dev",$AD:$AD, "&lt;&gt;IntegratorValidationComment"))</f>
        <v/>
      </c>
      <c r="AB200" s="7" t="str">
        <f>IF(ISBLANK(patch[[#This Row],[project]]), "",COUNTIFS($A:$A,patch[[#This Row],[number]],$S:$S, "SH And dev",$AD:$AD, "&lt;&gt;IntegratorValidationComment"))</f>
        <v/>
      </c>
      <c r="AC200" s="7" t="str">
        <f>IF(OR(ISNUMBER(FIND("Review-1", patch[[#This Row],[comments]])), ISNUMBER(FIND("Approver-1", patch[[#This Row],[comments]]))), "Review-1", "")</f>
        <v>Review-1</v>
      </c>
      <c r="AD2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0" s="7">
        <f>IF(ISBLANK(patch[[#This Row],[number]]),AE199,patch[[#This Row],[ifCommon]])</f>
        <v>0</v>
      </c>
    </row>
    <row r="201" spans="1:31">
      <c r="A201" s="151">
        <v>146922</v>
      </c>
      <c r="B201" s="151"/>
      <c r="C201" s="151"/>
      <c r="D201" s="151"/>
      <c r="E201" s="151"/>
      <c r="F201" s="151"/>
      <c r="G201" s="151"/>
      <c r="H201" s="151"/>
      <c r="I201" s="151"/>
      <c r="J201" s="152">
        <v>42640.690821759257</v>
      </c>
      <c r="K201" s="151"/>
      <c r="L201" s="151" t="s">
        <v>1203</v>
      </c>
      <c r="M201" s="152">
        <v>42639.748981481483</v>
      </c>
      <c r="N201" s="151" t="s">
        <v>2538</v>
      </c>
      <c r="O201" s="151"/>
      <c r="P201" s="151"/>
      <c r="Q201" s="7" t="str">
        <f>IF(ISBLANK(patch[[#This Row],[OwnerEmail]]),Q200,patch[[#This Row],[OwnerEmail]])</f>
        <v>xi.cao@intel.com</v>
      </c>
      <c r="R201" s="7" t="str">
        <f>_xlfn.IFNA(VLOOKUP(patch[[#This Row],[tmp-owner.email]],OrgTree!$A:$K, 11, 0), "not ICG SWFW")</f>
        <v>BJ And dev</v>
      </c>
      <c r="S201" s="7" t="str">
        <f>IF(patch[[#This Row],[reviewer]]=patch[[#This Row],[tmp-owner.email]], "author", _xlfn.IFNA(VLOOKUP(patch[[#This Row],[reviewer]],OrgTree!$A:$K, 11, 0), "not ICG SWFW"))</f>
        <v>author</v>
      </c>
      <c r="T201" s="7" t="str">
        <f>IF(ISBLANK(patch[[#This Row],[mergeDate]]), "", MID(YEAR(patch[[#This Row],[mergeDate]]), 3,2)&amp;"'ww"&amp;WEEKNUM(patch[[#This Row],[mergeDate]]))</f>
        <v>16'ww40</v>
      </c>
      <c r="U201" s="7" t="str">
        <f>IF(ISBLANK(patch[[#This Row],[mergeDate]]), U200, MID(YEAR(patch[[#This Row],[mergeDate]]), 3,2)&amp;"'m"&amp;MONTH(patch[[#This Row],[mergeDate]]))</f>
        <v>16'm9</v>
      </c>
      <c r="V201" s="7" t="str">
        <f>IF(ISBLANK(patch[[#This Row],[project]]), "",SUM(patch[[#This Row],[BJ -1 num]:[SH -1 num]]))</f>
        <v/>
      </c>
      <c r="W201" s="7" t="str">
        <f>IF(ISBLANK(patch[[#This Row],[project]]), "",COUNTIFS($A:$A,patch[[#This Row],[number]],$S:$S, "BJ And dev",$AC:$AC, "Review-1"))</f>
        <v/>
      </c>
      <c r="X201" s="7" t="str">
        <f>IF(ISBLANK(patch[[#This Row],[project]]), "",COUNTIFS($A:$A,patch[[#This Row],[number]],$S:$S, "FL And dev",$AC:$AC, "Review-1"))</f>
        <v/>
      </c>
      <c r="Y201" s="7" t="str">
        <f>IF(ISBLANK(patch[[#This Row],[project]]), "",COUNTIFS($A:$A,patch[[#This Row],[number]],$S:$S, "SH And dev",$AC:$AC, "Review-1"))</f>
        <v/>
      </c>
      <c r="Z201" s="7" t="str">
        <f>IF(ISBLANK(patch[[#This Row],[project]]), "",COUNTIFS($A:$A,patch[[#This Row],[number]],$S:$S, "BJ And dev",$AD:$AD, "&lt;&gt;IntegratorValidationComment"))</f>
        <v/>
      </c>
      <c r="AA201" s="7" t="str">
        <f>IF(ISBLANK(patch[[#This Row],[project]]), "",COUNTIFS($A:$A,patch[[#This Row],[number]],$S:$S, "FL And dev",$AD:$AD, "&lt;&gt;IntegratorValidationComment"))</f>
        <v/>
      </c>
      <c r="AB201" s="7" t="str">
        <f>IF(ISBLANK(patch[[#This Row],[project]]), "",COUNTIFS($A:$A,patch[[#This Row],[number]],$S:$S, "SH And dev",$AD:$AD, "&lt;&gt;IntegratorValidationComment"))</f>
        <v/>
      </c>
      <c r="AC201" s="7" t="str">
        <f>IF(OR(ISNUMBER(FIND("Review-1", patch[[#This Row],[comments]])), ISNUMBER(FIND("Approver-1", patch[[#This Row],[comments]]))), "Review-1", "")</f>
        <v/>
      </c>
      <c r="AD2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1" s="7">
        <f>IF(ISBLANK(patch[[#This Row],[number]]),AE200,patch[[#This Row],[ifCommon]])</f>
        <v>0</v>
      </c>
    </row>
    <row r="202" spans="1:31">
      <c r="A202" s="151">
        <v>146922</v>
      </c>
      <c r="B202" s="151"/>
      <c r="C202" s="151"/>
      <c r="D202" s="151"/>
      <c r="E202" s="151"/>
      <c r="F202" s="151"/>
      <c r="G202" s="151"/>
      <c r="H202" s="151"/>
      <c r="I202" s="151"/>
      <c r="J202" s="152">
        <v>42640.690821759257</v>
      </c>
      <c r="K202" s="151"/>
      <c r="L202" s="151" t="s">
        <v>1203</v>
      </c>
      <c r="M202" s="152">
        <v>42639.748981481483</v>
      </c>
      <c r="N202" s="151" t="s">
        <v>2478</v>
      </c>
      <c r="O202" s="151"/>
      <c r="P202" s="151"/>
      <c r="Q202" s="7" t="str">
        <f>IF(ISBLANK(patch[[#This Row],[OwnerEmail]]),Q201,patch[[#This Row],[OwnerEmail]])</f>
        <v>xi.cao@intel.com</v>
      </c>
      <c r="R202" s="7" t="str">
        <f>_xlfn.IFNA(VLOOKUP(patch[[#This Row],[tmp-owner.email]],OrgTree!$A:$K, 11, 0), "not ICG SWFW")</f>
        <v>BJ And dev</v>
      </c>
      <c r="S202" s="7" t="str">
        <f>IF(patch[[#This Row],[reviewer]]=patch[[#This Row],[tmp-owner.email]], "author", _xlfn.IFNA(VLOOKUP(patch[[#This Row],[reviewer]],OrgTree!$A:$K, 11, 0), "not ICG SWFW"))</f>
        <v>author</v>
      </c>
      <c r="T202" s="7" t="str">
        <f>IF(ISBLANK(patch[[#This Row],[mergeDate]]), "", MID(YEAR(patch[[#This Row],[mergeDate]]), 3,2)&amp;"'ww"&amp;WEEKNUM(patch[[#This Row],[mergeDate]]))</f>
        <v>16'ww40</v>
      </c>
      <c r="U202" s="7" t="str">
        <f>IF(ISBLANK(patch[[#This Row],[mergeDate]]), U201, MID(YEAR(patch[[#This Row],[mergeDate]]), 3,2)&amp;"'m"&amp;MONTH(patch[[#This Row],[mergeDate]]))</f>
        <v>16'm9</v>
      </c>
      <c r="V202" s="7" t="str">
        <f>IF(ISBLANK(patch[[#This Row],[project]]), "",SUM(patch[[#This Row],[BJ -1 num]:[SH -1 num]]))</f>
        <v/>
      </c>
      <c r="W202" s="7" t="str">
        <f>IF(ISBLANK(patch[[#This Row],[project]]), "",COUNTIFS($A:$A,patch[[#This Row],[number]],$S:$S, "BJ And dev",$AC:$AC, "Review-1"))</f>
        <v/>
      </c>
      <c r="X202" s="7" t="str">
        <f>IF(ISBLANK(patch[[#This Row],[project]]), "",COUNTIFS($A:$A,patch[[#This Row],[number]],$S:$S, "FL And dev",$AC:$AC, "Review-1"))</f>
        <v/>
      </c>
      <c r="Y202" s="7" t="str">
        <f>IF(ISBLANK(patch[[#This Row],[project]]), "",COUNTIFS($A:$A,patch[[#This Row],[number]],$S:$S, "SH And dev",$AC:$AC, "Review-1"))</f>
        <v/>
      </c>
      <c r="Z202" s="7" t="str">
        <f>IF(ISBLANK(patch[[#This Row],[project]]), "",COUNTIFS($A:$A,patch[[#This Row],[number]],$S:$S, "BJ And dev",$AD:$AD, "&lt;&gt;IntegratorValidationComment"))</f>
        <v/>
      </c>
      <c r="AA202" s="7" t="str">
        <f>IF(ISBLANK(patch[[#This Row],[project]]), "",COUNTIFS($A:$A,patch[[#This Row],[number]],$S:$S, "FL And dev",$AD:$AD, "&lt;&gt;IntegratorValidationComment"))</f>
        <v/>
      </c>
      <c r="AB202" s="7" t="str">
        <f>IF(ISBLANK(patch[[#This Row],[project]]), "",COUNTIFS($A:$A,patch[[#This Row],[number]],$S:$S, "SH And dev",$AD:$AD, "&lt;&gt;IntegratorValidationComment"))</f>
        <v/>
      </c>
      <c r="AC202" s="7" t="str">
        <f>IF(OR(ISNUMBER(FIND("Review-1", patch[[#This Row],[comments]])), ISNUMBER(FIND("Approver-1", patch[[#This Row],[comments]]))), "Review-1", "")</f>
        <v/>
      </c>
      <c r="AD2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2" s="7">
        <f>IF(ISBLANK(patch[[#This Row],[number]]),AE201,patch[[#This Row],[ifCommon]])</f>
        <v>0</v>
      </c>
    </row>
    <row r="203" spans="1:31">
      <c r="A203" s="151">
        <v>146922</v>
      </c>
      <c r="B203" s="151"/>
      <c r="C203" s="151"/>
      <c r="D203" s="151"/>
      <c r="E203" s="151"/>
      <c r="F203" s="151"/>
      <c r="G203" s="151"/>
      <c r="H203" s="151"/>
      <c r="I203" s="151"/>
      <c r="J203" s="152">
        <v>42640.690821759257</v>
      </c>
      <c r="K203" s="151"/>
      <c r="L203" s="151" t="s">
        <v>63</v>
      </c>
      <c r="M203" s="152">
        <v>42639.749421296299</v>
      </c>
      <c r="N203" s="151" t="s">
        <v>2539</v>
      </c>
      <c r="O203" s="151"/>
      <c r="P203" s="151"/>
      <c r="Q203" s="7" t="str">
        <f>IF(ISBLANK(patch[[#This Row],[OwnerEmail]]),Q202,patch[[#This Row],[OwnerEmail]])</f>
        <v>xi.cao@intel.com</v>
      </c>
      <c r="R203" s="7" t="str">
        <f>_xlfn.IFNA(VLOOKUP(patch[[#This Row],[tmp-owner.email]],OrgTree!$A:$K, 11, 0), "not ICG SWFW")</f>
        <v>BJ And dev</v>
      </c>
      <c r="S203" s="7" t="str">
        <f>IF(patch[[#This Row],[reviewer]]=patch[[#This Row],[tmp-owner.email]], "author", _xlfn.IFNA(VLOOKUP(patch[[#This Row],[reviewer]],OrgTree!$A:$K, 11, 0), "not ICG SWFW"))</f>
        <v>BJ And dev</v>
      </c>
      <c r="T203" s="7" t="str">
        <f>IF(ISBLANK(patch[[#This Row],[mergeDate]]), "", MID(YEAR(patch[[#This Row],[mergeDate]]), 3,2)&amp;"'ww"&amp;WEEKNUM(patch[[#This Row],[mergeDate]]))</f>
        <v>16'ww40</v>
      </c>
      <c r="U203" s="7" t="str">
        <f>IF(ISBLANK(patch[[#This Row],[mergeDate]]), U202, MID(YEAR(patch[[#This Row],[mergeDate]]), 3,2)&amp;"'m"&amp;MONTH(patch[[#This Row],[mergeDate]]))</f>
        <v>16'm9</v>
      </c>
      <c r="V203" s="7" t="str">
        <f>IF(ISBLANK(patch[[#This Row],[project]]), "",SUM(patch[[#This Row],[BJ -1 num]:[SH -1 num]]))</f>
        <v/>
      </c>
      <c r="W203" s="7" t="str">
        <f>IF(ISBLANK(patch[[#This Row],[project]]), "",COUNTIFS($A:$A,patch[[#This Row],[number]],$S:$S, "BJ And dev",$AC:$AC, "Review-1"))</f>
        <v/>
      </c>
      <c r="X203" s="7" t="str">
        <f>IF(ISBLANK(patch[[#This Row],[project]]), "",COUNTIFS($A:$A,patch[[#This Row],[number]],$S:$S, "FL And dev",$AC:$AC, "Review-1"))</f>
        <v/>
      </c>
      <c r="Y203" s="7" t="str">
        <f>IF(ISBLANK(patch[[#This Row],[project]]), "",COUNTIFS($A:$A,patch[[#This Row],[number]],$S:$S, "SH And dev",$AC:$AC, "Review-1"))</f>
        <v/>
      </c>
      <c r="Z203" s="7" t="str">
        <f>IF(ISBLANK(patch[[#This Row],[project]]), "",COUNTIFS($A:$A,patch[[#This Row],[number]],$S:$S, "BJ And dev",$AD:$AD, "&lt;&gt;IntegratorValidationComment"))</f>
        <v/>
      </c>
      <c r="AA203" s="7" t="str">
        <f>IF(ISBLANK(patch[[#This Row],[project]]), "",COUNTIFS($A:$A,patch[[#This Row],[number]],$S:$S, "FL And dev",$AD:$AD, "&lt;&gt;IntegratorValidationComment"))</f>
        <v/>
      </c>
      <c r="AB203" s="7" t="str">
        <f>IF(ISBLANK(patch[[#This Row],[project]]), "",COUNTIFS($A:$A,patch[[#This Row],[number]],$S:$S, "SH And dev",$AD:$AD, "&lt;&gt;IntegratorValidationComment"))</f>
        <v/>
      </c>
      <c r="AC203" s="7" t="str">
        <f>IF(OR(ISNUMBER(FIND("Review-1", patch[[#This Row],[comments]])), ISNUMBER(FIND("Approver-1", patch[[#This Row],[comments]]))), "Review-1", "")</f>
        <v/>
      </c>
      <c r="AD2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3" s="7">
        <f>IF(ISBLANK(patch[[#This Row],[number]]),AE202,patch[[#This Row],[ifCommon]])</f>
        <v>0</v>
      </c>
    </row>
    <row r="204" spans="1:31">
      <c r="A204" s="151">
        <v>146922</v>
      </c>
      <c r="B204" s="151"/>
      <c r="C204" s="151"/>
      <c r="D204" s="151"/>
      <c r="E204" s="151"/>
      <c r="F204" s="151"/>
      <c r="G204" s="151"/>
      <c r="H204" s="151"/>
      <c r="I204" s="151"/>
      <c r="J204" s="152">
        <v>42640.690821759257</v>
      </c>
      <c r="K204" s="151"/>
      <c r="L204" s="151" t="s">
        <v>1203</v>
      </c>
      <c r="M204" s="152">
        <v>42639.749606481477</v>
      </c>
      <c r="N204" s="151" t="s">
        <v>2539</v>
      </c>
      <c r="O204" s="151"/>
      <c r="P204" s="151"/>
      <c r="Q204" s="7" t="str">
        <f>IF(ISBLANK(patch[[#This Row],[OwnerEmail]]),Q203,patch[[#This Row],[OwnerEmail]])</f>
        <v>xi.cao@intel.com</v>
      </c>
      <c r="R204" s="7" t="str">
        <f>_xlfn.IFNA(VLOOKUP(patch[[#This Row],[tmp-owner.email]],OrgTree!$A:$K, 11, 0), "not ICG SWFW")</f>
        <v>BJ And dev</v>
      </c>
      <c r="S204" s="7" t="str">
        <f>IF(patch[[#This Row],[reviewer]]=patch[[#This Row],[tmp-owner.email]], "author", _xlfn.IFNA(VLOOKUP(patch[[#This Row],[reviewer]],OrgTree!$A:$K, 11, 0), "not ICG SWFW"))</f>
        <v>author</v>
      </c>
      <c r="T204" s="7" t="str">
        <f>IF(ISBLANK(patch[[#This Row],[mergeDate]]), "", MID(YEAR(patch[[#This Row],[mergeDate]]), 3,2)&amp;"'ww"&amp;WEEKNUM(patch[[#This Row],[mergeDate]]))</f>
        <v>16'ww40</v>
      </c>
      <c r="U204" s="7" t="str">
        <f>IF(ISBLANK(patch[[#This Row],[mergeDate]]), U203, MID(YEAR(patch[[#This Row],[mergeDate]]), 3,2)&amp;"'m"&amp;MONTH(patch[[#This Row],[mergeDate]]))</f>
        <v>16'm9</v>
      </c>
      <c r="V204" s="7" t="str">
        <f>IF(ISBLANK(patch[[#This Row],[project]]), "",SUM(patch[[#This Row],[BJ -1 num]:[SH -1 num]]))</f>
        <v/>
      </c>
      <c r="W204" s="7" t="str">
        <f>IF(ISBLANK(patch[[#This Row],[project]]), "",COUNTIFS($A:$A,patch[[#This Row],[number]],$S:$S, "BJ And dev",$AC:$AC, "Review-1"))</f>
        <v/>
      </c>
      <c r="X204" s="7" t="str">
        <f>IF(ISBLANK(patch[[#This Row],[project]]), "",COUNTIFS($A:$A,patch[[#This Row],[number]],$S:$S, "FL And dev",$AC:$AC, "Review-1"))</f>
        <v/>
      </c>
      <c r="Y204" s="7" t="str">
        <f>IF(ISBLANK(patch[[#This Row],[project]]), "",COUNTIFS($A:$A,patch[[#This Row],[number]],$S:$S, "SH And dev",$AC:$AC, "Review-1"))</f>
        <v/>
      </c>
      <c r="Z204" s="7" t="str">
        <f>IF(ISBLANK(patch[[#This Row],[project]]), "",COUNTIFS($A:$A,patch[[#This Row],[number]],$S:$S, "BJ And dev",$AD:$AD, "&lt;&gt;IntegratorValidationComment"))</f>
        <v/>
      </c>
      <c r="AA204" s="7" t="str">
        <f>IF(ISBLANK(patch[[#This Row],[project]]), "",COUNTIFS($A:$A,patch[[#This Row],[number]],$S:$S, "FL And dev",$AD:$AD, "&lt;&gt;IntegratorValidationComment"))</f>
        <v/>
      </c>
      <c r="AB204" s="7" t="str">
        <f>IF(ISBLANK(patch[[#This Row],[project]]), "",COUNTIFS($A:$A,patch[[#This Row],[number]],$S:$S, "SH And dev",$AD:$AD, "&lt;&gt;IntegratorValidationComment"))</f>
        <v/>
      </c>
      <c r="AC204" s="7" t="str">
        <f>IF(OR(ISNUMBER(FIND("Review-1", patch[[#This Row],[comments]])), ISNUMBER(FIND("Approver-1", patch[[#This Row],[comments]]))), "Review-1", "")</f>
        <v/>
      </c>
      <c r="AD2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4" s="7">
        <f>IF(ISBLANK(patch[[#This Row],[number]]),AE203,patch[[#This Row],[ifCommon]])</f>
        <v>0</v>
      </c>
    </row>
    <row r="205" spans="1:31">
      <c r="A205" s="151">
        <v>146922</v>
      </c>
      <c r="B205" s="151"/>
      <c r="C205" s="151"/>
      <c r="D205" s="151"/>
      <c r="E205" s="151"/>
      <c r="F205" s="151"/>
      <c r="G205" s="151"/>
      <c r="H205" s="151"/>
      <c r="I205" s="151"/>
      <c r="J205" s="152">
        <v>42640.690821759257</v>
      </c>
      <c r="K205" s="151"/>
      <c r="L205" s="151" t="s">
        <v>59</v>
      </c>
      <c r="M205" s="152">
        <v>42639.750821759262</v>
      </c>
      <c r="N205" s="151" t="s">
        <v>2691</v>
      </c>
      <c r="O205" s="151"/>
      <c r="P205" s="151"/>
      <c r="Q205" s="7" t="str">
        <f>IF(ISBLANK(patch[[#This Row],[OwnerEmail]]),Q204,patch[[#This Row],[OwnerEmail]])</f>
        <v>xi.cao@intel.com</v>
      </c>
      <c r="R205" s="7" t="str">
        <f>_xlfn.IFNA(VLOOKUP(patch[[#This Row],[tmp-owner.email]],OrgTree!$A:$K, 11, 0), "not ICG SWFW")</f>
        <v>BJ And dev</v>
      </c>
      <c r="S205" s="7" t="str">
        <f>IF(patch[[#This Row],[reviewer]]=patch[[#This Row],[tmp-owner.email]], "author", _xlfn.IFNA(VLOOKUP(patch[[#This Row],[reviewer]],OrgTree!$A:$K, 11, 0), "not ICG SWFW"))</f>
        <v>BJ And dev</v>
      </c>
      <c r="T205" s="7" t="str">
        <f>IF(ISBLANK(patch[[#This Row],[mergeDate]]), "", MID(YEAR(patch[[#This Row],[mergeDate]]), 3,2)&amp;"'ww"&amp;WEEKNUM(patch[[#This Row],[mergeDate]]))</f>
        <v>16'ww40</v>
      </c>
      <c r="U205" s="7" t="str">
        <f>IF(ISBLANK(patch[[#This Row],[mergeDate]]), U204, MID(YEAR(patch[[#This Row],[mergeDate]]), 3,2)&amp;"'m"&amp;MONTH(patch[[#This Row],[mergeDate]]))</f>
        <v>16'm9</v>
      </c>
      <c r="V205" s="7" t="str">
        <f>IF(ISBLANK(patch[[#This Row],[project]]), "",SUM(patch[[#This Row],[BJ -1 num]:[SH -1 num]]))</f>
        <v/>
      </c>
      <c r="W205" s="7" t="str">
        <f>IF(ISBLANK(patch[[#This Row],[project]]), "",COUNTIFS($A:$A,patch[[#This Row],[number]],$S:$S, "BJ And dev",$AC:$AC, "Review-1"))</f>
        <v/>
      </c>
      <c r="X205" s="7" t="str">
        <f>IF(ISBLANK(patch[[#This Row],[project]]), "",COUNTIFS($A:$A,patch[[#This Row],[number]],$S:$S, "FL And dev",$AC:$AC, "Review-1"))</f>
        <v/>
      </c>
      <c r="Y205" s="7" t="str">
        <f>IF(ISBLANK(patch[[#This Row],[project]]), "",COUNTIFS($A:$A,patch[[#This Row],[number]],$S:$S, "SH And dev",$AC:$AC, "Review-1"))</f>
        <v/>
      </c>
      <c r="Z205" s="7" t="str">
        <f>IF(ISBLANK(patch[[#This Row],[project]]), "",COUNTIFS($A:$A,patch[[#This Row],[number]],$S:$S, "BJ And dev",$AD:$AD, "&lt;&gt;IntegratorValidationComment"))</f>
        <v/>
      </c>
      <c r="AA205" s="7" t="str">
        <f>IF(ISBLANK(patch[[#This Row],[project]]), "",COUNTIFS($A:$A,patch[[#This Row],[number]],$S:$S, "FL And dev",$AD:$AD, "&lt;&gt;IntegratorValidationComment"))</f>
        <v/>
      </c>
      <c r="AB205" s="7" t="str">
        <f>IF(ISBLANK(patch[[#This Row],[project]]), "",COUNTIFS($A:$A,patch[[#This Row],[number]],$S:$S, "SH And dev",$AD:$AD, "&lt;&gt;IntegratorValidationComment"))</f>
        <v/>
      </c>
      <c r="AC205" s="7" t="str">
        <f>IF(OR(ISNUMBER(FIND("Review-1", patch[[#This Row],[comments]])), ISNUMBER(FIND("Approver-1", patch[[#This Row],[comments]]))), "Review-1", "")</f>
        <v/>
      </c>
      <c r="AD2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5" s="7">
        <f>IF(ISBLANK(patch[[#This Row],[number]]),AE204,patch[[#This Row],[ifCommon]])</f>
        <v>0</v>
      </c>
    </row>
    <row r="206" spans="1:31">
      <c r="A206" s="151">
        <v>146922</v>
      </c>
      <c r="B206" s="151"/>
      <c r="C206" s="151"/>
      <c r="D206" s="151"/>
      <c r="E206" s="151"/>
      <c r="F206" s="151"/>
      <c r="G206" s="151"/>
      <c r="H206" s="151"/>
      <c r="I206" s="151"/>
      <c r="J206" s="152">
        <v>42640.690821759257</v>
      </c>
      <c r="K206" s="151"/>
      <c r="L206" s="151" t="s">
        <v>55</v>
      </c>
      <c r="M206" s="152">
        <v>42639.752951388888</v>
      </c>
      <c r="N206" s="151" t="s">
        <v>2515</v>
      </c>
      <c r="O206" s="151"/>
      <c r="P206" s="151"/>
      <c r="Q206" s="7" t="str">
        <f>IF(ISBLANK(patch[[#This Row],[OwnerEmail]]),Q205,patch[[#This Row],[OwnerEmail]])</f>
        <v>xi.cao@intel.com</v>
      </c>
      <c r="R206" s="7" t="str">
        <f>_xlfn.IFNA(VLOOKUP(patch[[#This Row],[tmp-owner.email]],OrgTree!$A:$K, 11, 0), "not ICG SWFW")</f>
        <v>BJ And dev</v>
      </c>
      <c r="S206" s="7" t="str">
        <f>IF(patch[[#This Row],[reviewer]]=patch[[#This Row],[tmp-owner.email]], "author", _xlfn.IFNA(VLOOKUP(patch[[#This Row],[reviewer]],OrgTree!$A:$K, 11, 0), "not ICG SWFW"))</f>
        <v>BJ And dev</v>
      </c>
      <c r="T206" s="7" t="str">
        <f>IF(ISBLANK(patch[[#This Row],[mergeDate]]), "", MID(YEAR(patch[[#This Row],[mergeDate]]), 3,2)&amp;"'ww"&amp;WEEKNUM(patch[[#This Row],[mergeDate]]))</f>
        <v>16'ww40</v>
      </c>
      <c r="U206" s="7" t="str">
        <f>IF(ISBLANK(patch[[#This Row],[mergeDate]]), U205, MID(YEAR(patch[[#This Row],[mergeDate]]), 3,2)&amp;"'m"&amp;MONTH(patch[[#This Row],[mergeDate]]))</f>
        <v>16'm9</v>
      </c>
      <c r="V206" s="7" t="str">
        <f>IF(ISBLANK(patch[[#This Row],[project]]), "",SUM(patch[[#This Row],[BJ -1 num]:[SH -1 num]]))</f>
        <v/>
      </c>
      <c r="W206" s="7" t="str">
        <f>IF(ISBLANK(patch[[#This Row],[project]]), "",COUNTIFS($A:$A,patch[[#This Row],[number]],$S:$S, "BJ And dev",$AC:$AC, "Review-1"))</f>
        <v/>
      </c>
      <c r="X206" s="7" t="str">
        <f>IF(ISBLANK(patch[[#This Row],[project]]), "",COUNTIFS($A:$A,patch[[#This Row],[number]],$S:$S, "FL And dev",$AC:$AC, "Review-1"))</f>
        <v/>
      </c>
      <c r="Y206" s="7" t="str">
        <f>IF(ISBLANK(patch[[#This Row],[project]]), "",COUNTIFS($A:$A,patch[[#This Row],[number]],$S:$S, "SH And dev",$AC:$AC, "Review-1"))</f>
        <v/>
      </c>
      <c r="Z206" s="7" t="str">
        <f>IF(ISBLANK(patch[[#This Row],[project]]), "",COUNTIFS($A:$A,patch[[#This Row],[number]],$S:$S, "BJ And dev",$AD:$AD, "&lt;&gt;IntegratorValidationComment"))</f>
        <v/>
      </c>
      <c r="AA206" s="7" t="str">
        <f>IF(ISBLANK(patch[[#This Row],[project]]), "",COUNTIFS($A:$A,patch[[#This Row],[number]],$S:$S, "FL And dev",$AD:$AD, "&lt;&gt;IntegratorValidationComment"))</f>
        <v/>
      </c>
      <c r="AB206" s="7" t="str">
        <f>IF(ISBLANK(patch[[#This Row],[project]]), "",COUNTIFS($A:$A,patch[[#This Row],[number]],$S:$S, "SH And dev",$AD:$AD, "&lt;&gt;IntegratorValidationComment"))</f>
        <v/>
      </c>
      <c r="AC206" s="7" t="str">
        <f>IF(OR(ISNUMBER(FIND("Review-1", patch[[#This Row],[comments]])), ISNUMBER(FIND("Approver-1", patch[[#This Row],[comments]]))), "Review-1", "")</f>
        <v/>
      </c>
      <c r="AD2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6" s="7">
        <f>IF(ISBLANK(patch[[#This Row],[number]]),AE205,patch[[#This Row],[ifCommon]])</f>
        <v>0</v>
      </c>
    </row>
    <row r="207" spans="1:31">
      <c r="A207" s="151">
        <v>146922</v>
      </c>
      <c r="B207" s="151"/>
      <c r="C207" s="151"/>
      <c r="D207" s="151"/>
      <c r="E207" s="151"/>
      <c r="F207" s="151"/>
      <c r="G207" s="151"/>
      <c r="H207" s="151"/>
      <c r="I207" s="151"/>
      <c r="J207" s="152">
        <v>42640.690821759257</v>
      </c>
      <c r="K207" s="151"/>
      <c r="L207" s="151" t="s">
        <v>59</v>
      </c>
      <c r="M207" s="152">
        <v>42639.754421296297</v>
      </c>
      <c r="N207" s="151" t="s">
        <v>2692</v>
      </c>
      <c r="O207" s="151"/>
      <c r="P207" s="151"/>
      <c r="Q207" s="7" t="str">
        <f>IF(ISBLANK(patch[[#This Row],[OwnerEmail]]),Q206,patch[[#This Row],[OwnerEmail]])</f>
        <v>xi.cao@intel.com</v>
      </c>
      <c r="R207" s="7" t="str">
        <f>_xlfn.IFNA(VLOOKUP(patch[[#This Row],[tmp-owner.email]],OrgTree!$A:$K, 11, 0), "not ICG SWFW")</f>
        <v>BJ And dev</v>
      </c>
      <c r="S207" s="7" t="str">
        <f>IF(patch[[#This Row],[reviewer]]=patch[[#This Row],[tmp-owner.email]], "author", _xlfn.IFNA(VLOOKUP(patch[[#This Row],[reviewer]],OrgTree!$A:$K, 11, 0), "not ICG SWFW"))</f>
        <v>BJ And dev</v>
      </c>
      <c r="T207" s="7" t="str">
        <f>IF(ISBLANK(patch[[#This Row],[mergeDate]]), "", MID(YEAR(patch[[#This Row],[mergeDate]]), 3,2)&amp;"'ww"&amp;WEEKNUM(patch[[#This Row],[mergeDate]]))</f>
        <v>16'ww40</v>
      </c>
      <c r="U207" s="7" t="str">
        <f>IF(ISBLANK(patch[[#This Row],[mergeDate]]), U206, MID(YEAR(patch[[#This Row],[mergeDate]]), 3,2)&amp;"'m"&amp;MONTH(patch[[#This Row],[mergeDate]]))</f>
        <v>16'm9</v>
      </c>
      <c r="V207" s="7" t="str">
        <f>IF(ISBLANK(patch[[#This Row],[project]]), "",SUM(patch[[#This Row],[BJ -1 num]:[SH -1 num]]))</f>
        <v/>
      </c>
      <c r="W207" s="7" t="str">
        <f>IF(ISBLANK(patch[[#This Row],[project]]), "",COUNTIFS($A:$A,patch[[#This Row],[number]],$S:$S, "BJ And dev",$AC:$AC, "Review-1"))</f>
        <v/>
      </c>
      <c r="X207" s="7" t="str">
        <f>IF(ISBLANK(patch[[#This Row],[project]]), "",COUNTIFS($A:$A,patch[[#This Row],[number]],$S:$S, "FL And dev",$AC:$AC, "Review-1"))</f>
        <v/>
      </c>
      <c r="Y207" s="7" t="str">
        <f>IF(ISBLANK(patch[[#This Row],[project]]), "",COUNTIFS($A:$A,patch[[#This Row],[number]],$S:$S, "SH And dev",$AC:$AC, "Review-1"))</f>
        <v/>
      </c>
      <c r="Z207" s="7" t="str">
        <f>IF(ISBLANK(patch[[#This Row],[project]]), "",COUNTIFS($A:$A,patch[[#This Row],[number]],$S:$S, "BJ And dev",$AD:$AD, "&lt;&gt;IntegratorValidationComment"))</f>
        <v/>
      </c>
      <c r="AA207" s="7" t="str">
        <f>IF(ISBLANK(patch[[#This Row],[project]]), "",COUNTIFS($A:$A,patch[[#This Row],[number]],$S:$S, "FL And dev",$AD:$AD, "&lt;&gt;IntegratorValidationComment"))</f>
        <v/>
      </c>
      <c r="AB207" s="7" t="str">
        <f>IF(ISBLANK(patch[[#This Row],[project]]), "",COUNTIFS($A:$A,patch[[#This Row],[number]],$S:$S, "SH And dev",$AD:$AD, "&lt;&gt;IntegratorValidationComment"))</f>
        <v/>
      </c>
      <c r="AC207" s="7" t="str">
        <f>IF(OR(ISNUMBER(FIND("Review-1", patch[[#This Row],[comments]])), ISNUMBER(FIND("Approver-1", patch[[#This Row],[comments]]))), "Review-1", "")</f>
        <v/>
      </c>
      <c r="AD2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7" s="7">
        <f>IF(ISBLANK(patch[[#This Row],[number]]),AE206,patch[[#This Row],[ifCommon]])</f>
        <v>0</v>
      </c>
    </row>
    <row r="208" spans="1:31">
      <c r="A208" s="151">
        <v>146922</v>
      </c>
      <c r="B208" s="151"/>
      <c r="C208" s="151"/>
      <c r="D208" s="151"/>
      <c r="E208" s="151"/>
      <c r="F208" s="151"/>
      <c r="G208" s="151"/>
      <c r="H208" s="151"/>
      <c r="I208" s="151"/>
      <c r="J208" s="152">
        <v>42640.690821759257</v>
      </c>
      <c r="K208" s="151"/>
      <c r="L208" s="151" t="s">
        <v>115</v>
      </c>
      <c r="M208" s="152">
        <v>42640.483993055554</v>
      </c>
      <c r="N208" s="151" t="s">
        <v>2516</v>
      </c>
      <c r="O208" s="151"/>
      <c r="P208" s="151"/>
      <c r="Q208" s="7" t="str">
        <f>IF(ISBLANK(patch[[#This Row],[OwnerEmail]]),Q207,patch[[#This Row],[OwnerEmail]])</f>
        <v>xi.cao@intel.com</v>
      </c>
      <c r="R208" s="7" t="str">
        <f>_xlfn.IFNA(VLOOKUP(patch[[#This Row],[tmp-owner.email]],OrgTree!$A:$K, 11, 0), "not ICG SWFW")</f>
        <v>BJ And dev</v>
      </c>
      <c r="S208" s="7" t="str">
        <f>IF(patch[[#This Row],[reviewer]]=patch[[#This Row],[tmp-owner.email]], "author", _xlfn.IFNA(VLOOKUP(patch[[#This Row],[reviewer]],OrgTree!$A:$K, 11, 0), "not ICG SWFW"))</f>
        <v>Val</v>
      </c>
      <c r="T208" s="7" t="str">
        <f>IF(ISBLANK(patch[[#This Row],[mergeDate]]), "", MID(YEAR(patch[[#This Row],[mergeDate]]), 3,2)&amp;"'ww"&amp;WEEKNUM(patch[[#This Row],[mergeDate]]))</f>
        <v>16'ww40</v>
      </c>
      <c r="U208" s="7" t="str">
        <f>IF(ISBLANK(patch[[#This Row],[mergeDate]]), U207, MID(YEAR(patch[[#This Row],[mergeDate]]), 3,2)&amp;"'m"&amp;MONTH(patch[[#This Row],[mergeDate]]))</f>
        <v>16'm9</v>
      </c>
      <c r="V208" s="7" t="str">
        <f>IF(ISBLANK(patch[[#This Row],[project]]), "",SUM(patch[[#This Row],[BJ -1 num]:[SH -1 num]]))</f>
        <v/>
      </c>
      <c r="W208" s="7" t="str">
        <f>IF(ISBLANK(patch[[#This Row],[project]]), "",COUNTIFS($A:$A,patch[[#This Row],[number]],$S:$S, "BJ And dev",$AC:$AC, "Review-1"))</f>
        <v/>
      </c>
      <c r="X208" s="7" t="str">
        <f>IF(ISBLANK(patch[[#This Row],[project]]), "",COUNTIFS($A:$A,patch[[#This Row],[number]],$S:$S, "FL And dev",$AC:$AC, "Review-1"))</f>
        <v/>
      </c>
      <c r="Y208" s="7" t="str">
        <f>IF(ISBLANK(patch[[#This Row],[project]]), "",COUNTIFS($A:$A,patch[[#This Row],[number]],$S:$S, "SH And dev",$AC:$AC, "Review-1"))</f>
        <v/>
      </c>
      <c r="Z208" s="7" t="str">
        <f>IF(ISBLANK(patch[[#This Row],[project]]), "",COUNTIFS($A:$A,patch[[#This Row],[number]],$S:$S, "BJ And dev",$AD:$AD, "&lt;&gt;IntegratorValidationComment"))</f>
        <v/>
      </c>
      <c r="AA208" s="7" t="str">
        <f>IF(ISBLANK(patch[[#This Row],[project]]), "",COUNTIFS($A:$A,patch[[#This Row],[number]],$S:$S, "FL And dev",$AD:$AD, "&lt;&gt;IntegratorValidationComment"))</f>
        <v/>
      </c>
      <c r="AB208" s="7" t="str">
        <f>IF(ISBLANK(patch[[#This Row],[project]]), "",COUNTIFS($A:$A,patch[[#This Row],[number]],$S:$S, "SH And dev",$AD:$AD, "&lt;&gt;IntegratorValidationComment"))</f>
        <v/>
      </c>
      <c r="AC208" s="7" t="str">
        <f>IF(OR(ISNUMBER(FIND("Review-1", patch[[#This Row],[comments]])), ISNUMBER(FIND("Approver-1", patch[[#This Row],[comments]]))), "Review-1", "")</f>
        <v/>
      </c>
      <c r="AD2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08" s="7">
        <f>IF(ISBLANK(patch[[#This Row],[number]]),AE207,patch[[#This Row],[ifCommon]])</f>
        <v>0</v>
      </c>
    </row>
    <row r="209" spans="1:31">
      <c r="A209" s="151">
        <v>148147</v>
      </c>
      <c r="B209" s="151" t="s">
        <v>2493</v>
      </c>
      <c r="C209" s="151" t="s">
        <v>2491</v>
      </c>
      <c r="D209" s="151" t="s">
        <v>2693</v>
      </c>
      <c r="E209" s="151" t="s">
        <v>1203</v>
      </c>
      <c r="F209" s="151" t="s">
        <v>23</v>
      </c>
      <c r="G209" s="151" t="s">
        <v>2694</v>
      </c>
      <c r="H209" s="151" t="s">
        <v>2695</v>
      </c>
      <c r="I209" s="152">
        <v>42639.62841435185</v>
      </c>
      <c r="J209" s="152">
        <v>42640.690787037027</v>
      </c>
      <c r="K209" s="151" t="s">
        <v>2445</v>
      </c>
      <c r="L209" s="151" t="s">
        <v>1203</v>
      </c>
      <c r="M209" s="152">
        <v>42639.62841435185</v>
      </c>
      <c r="N209" s="151" t="s">
        <v>25</v>
      </c>
      <c r="O209" s="151"/>
      <c r="P209" s="151" t="s">
        <v>2498</v>
      </c>
      <c r="Q209" s="7" t="str">
        <f>IF(ISBLANK(patch[[#This Row],[OwnerEmail]]),Q208,patch[[#This Row],[OwnerEmail]])</f>
        <v>xi.cao@intel.com</v>
      </c>
      <c r="R209" s="7" t="str">
        <f>_xlfn.IFNA(VLOOKUP(patch[[#This Row],[tmp-owner.email]],OrgTree!$A:$K, 11, 0), "not ICG SWFW")</f>
        <v>BJ And dev</v>
      </c>
      <c r="S209" s="7" t="str">
        <f>IF(patch[[#This Row],[reviewer]]=patch[[#This Row],[tmp-owner.email]], "author", _xlfn.IFNA(VLOOKUP(patch[[#This Row],[reviewer]],OrgTree!$A:$K, 11, 0), "not ICG SWFW"))</f>
        <v>author</v>
      </c>
      <c r="T209" s="7" t="str">
        <f>IF(ISBLANK(patch[[#This Row],[mergeDate]]), "", MID(YEAR(patch[[#This Row],[mergeDate]]), 3,2)&amp;"'ww"&amp;WEEKNUM(patch[[#This Row],[mergeDate]]))</f>
        <v>16'ww40</v>
      </c>
      <c r="U209" s="7" t="str">
        <f>IF(ISBLANK(patch[[#This Row],[mergeDate]]), U208, MID(YEAR(patch[[#This Row],[mergeDate]]), 3,2)&amp;"'m"&amp;MONTH(patch[[#This Row],[mergeDate]]))</f>
        <v>16'm9</v>
      </c>
      <c r="V209" s="7">
        <f>IF(ISBLANK(patch[[#This Row],[project]]), "",SUM(patch[[#This Row],[BJ -1 num]:[SH -1 num]]))</f>
        <v>0</v>
      </c>
      <c r="W209" s="7">
        <f>IF(ISBLANK(patch[[#This Row],[project]]), "",COUNTIFS($A:$A,patch[[#This Row],[number]],$S:$S, "BJ And dev",$AC:$AC, "Review-1"))</f>
        <v>0</v>
      </c>
      <c r="X209" s="7">
        <f>IF(ISBLANK(patch[[#This Row],[project]]), "",COUNTIFS($A:$A,patch[[#This Row],[number]],$S:$S, "FL And dev",$AC:$AC, "Review-1"))</f>
        <v>0</v>
      </c>
      <c r="Y209" s="7">
        <f>IF(ISBLANK(patch[[#This Row],[project]]), "",COUNTIFS($A:$A,patch[[#This Row],[number]],$S:$S, "SH And dev",$AC:$AC, "Review-1"))</f>
        <v>0</v>
      </c>
      <c r="Z209" s="7">
        <f>IF(ISBLANK(patch[[#This Row],[project]]), "",COUNTIFS($A:$A,patch[[#This Row],[number]],$S:$S, "BJ And dev",$AD:$AD, "&lt;&gt;IntegratorValidationComment"))</f>
        <v>5</v>
      </c>
      <c r="AA209" s="7">
        <f>IF(ISBLANK(patch[[#This Row],[project]]), "",COUNTIFS($A:$A,patch[[#This Row],[number]],$S:$S, "FL And dev",$AD:$AD, "&lt;&gt;IntegratorValidationComment"))</f>
        <v>0</v>
      </c>
      <c r="AB209" s="7">
        <f>IF(ISBLANK(patch[[#This Row],[project]]), "",COUNTIFS($A:$A,patch[[#This Row],[number]],$S:$S, "SH And dev",$AD:$AD, "&lt;&gt;IntegratorValidationComment"))</f>
        <v>0</v>
      </c>
      <c r="AC209" s="7" t="str">
        <f>IF(OR(ISNUMBER(FIND("Review-1", patch[[#This Row],[comments]])), ISNUMBER(FIND("Approver-1", patch[[#This Row],[comments]]))), "Review-1", "")</f>
        <v/>
      </c>
      <c r="AD2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9" s="7" t="str">
        <f>IF(ISBLANK(patch[[#This Row],[number]]),AE208,patch[[#This Row],[ifCommon]])</f>
        <v>not AndrHAL</v>
      </c>
    </row>
    <row r="210" spans="1:31">
      <c r="A210" s="151">
        <v>148147</v>
      </c>
      <c r="B210" s="151"/>
      <c r="C210" s="151"/>
      <c r="D210" s="151"/>
      <c r="E210" s="151"/>
      <c r="F210" s="151"/>
      <c r="G210" s="151"/>
      <c r="H210" s="151"/>
      <c r="I210" s="151"/>
      <c r="J210" s="152">
        <v>42640.690787037027</v>
      </c>
      <c r="K210" s="151"/>
      <c r="L210" s="151" t="s">
        <v>1203</v>
      </c>
      <c r="M210" s="152">
        <v>42639.62841435185</v>
      </c>
      <c r="N210" s="151" t="s">
        <v>2428</v>
      </c>
      <c r="O210" s="151"/>
      <c r="P210" s="151"/>
      <c r="Q210" s="7" t="str">
        <f>IF(ISBLANK(patch[[#This Row],[OwnerEmail]]),Q209,patch[[#This Row],[OwnerEmail]])</f>
        <v>xi.cao@intel.com</v>
      </c>
      <c r="R210" s="7" t="str">
        <f>_xlfn.IFNA(VLOOKUP(patch[[#This Row],[tmp-owner.email]],OrgTree!$A:$K, 11, 0), "not ICG SWFW")</f>
        <v>BJ And dev</v>
      </c>
      <c r="S210" s="7" t="str">
        <f>IF(patch[[#This Row],[reviewer]]=patch[[#This Row],[tmp-owner.email]], "author", _xlfn.IFNA(VLOOKUP(patch[[#This Row],[reviewer]],OrgTree!$A:$K, 11, 0), "not ICG SWFW"))</f>
        <v>author</v>
      </c>
      <c r="T210" s="7" t="str">
        <f>IF(ISBLANK(patch[[#This Row],[mergeDate]]), "", MID(YEAR(patch[[#This Row],[mergeDate]]), 3,2)&amp;"'ww"&amp;WEEKNUM(patch[[#This Row],[mergeDate]]))</f>
        <v>16'ww40</v>
      </c>
      <c r="U210" s="7" t="str">
        <f>IF(ISBLANK(patch[[#This Row],[mergeDate]]), U209, MID(YEAR(patch[[#This Row],[mergeDate]]), 3,2)&amp;"'m"&amp;MONTH(patch[[#This Row],[mergeDate]]))</f>
        <v>16'm9</v>
      </c>
      <c r="V210" s="7" t="str">
        <f>IF(ISBLANK(patch[[#This Row],[project]]), "",SUM(patch[[#This Row],[BJ -1 num]:[SH -1 num]]))</f>
        <v/>
      </c>
      <c r="W210" s="7" t="str">
        <f>IF(ISBLANK(patch[[#This Row],[project]]), "",COUNTIFS($A:$A,patch[[#This Row],[number]],$S:$S, "BJ And dev",$AC:$AC, "Review-1"))</f>
        <v/>
      </c>
      <c r="X210" s="7" t="str">
        <f>IF(ISBLANK(patch[[#This Row],[project]]), "",COUNTIFS($A:$A,patch[[#This Row],[number]],$S:$S, "FL And dev",$AC:$AC, "Review-1"))</f>
        <v/>
      </c>
      <c r="Y210" s="7" t="str">
        <f>IF(ISBLANK(patch[[#This Row],[project]]), "",COUNTIFS($A:$A,patch[[#This Row],[number]],$S:$S, "SH And dev",$AC:$AC, "Review-1"))</f>
        <v/>
      </c>
      <c r="Z210" s="7" t="str">
        <f>IF(ISBLANK(patch[[#This Row],[project]]), "",COUNTIFS($A:$A,patch[[#This Row],[number]],$S:$S, "BJ And dev",$AD:$AD, "&lt;&gt;IntegratorValidationComment"))</f>
        <v/>
      </c>
      <c r="AA210" s="7" t="str">
        <f>IF(ISBLANK(patch[[#This Row],[project]]), "",COUNTIFS($A:$A,patch[[#This Row],[number]],$S:$S, "FL And dev",$AD:$AD, "&lt;&gt;IntegratorValidationComment"))</f>
        <v/>
      </c>
      <c r="AB210" s="7" t="str">
        <f>IF(ISBLANK(patch[[#This Row],[project]]), "",COUNTIFS($A:$A,patch[[#This Row],[number]],$S:$S, "SH And dev",$AD:$AD, "&lt;&gt;IntegratorValidationComment"))</f>
        <v/>
      </c>
      <c r="AC210" s="7" t="str">
        <f>IF(OR(ISNUMBER(FIND("Review-1", patch[[#This Row],[comments]])), ISNUMBER(FIND("Approver-1", patch[[#This Row],[comments]]))), "Review-1", "")</f>
        <v/>
      </c>
      <c r="AD2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0" s="7">
        <f>IF(ISBLANK(patch[[#This Row],[number]]),AE209,patch[[#This Row],[ifCommon]])</f>
        <v>0</v>
      </c>
    </row>
    <row r="211" spans="1:31">
      <c r="A211" s="151">
        <v>148147</v>
      </c>
      <c r="B211" s="151"/>
      <c r="C211" s="151"/>
      <c r="D211" s="151"/>
      <c r="E211" s="151"/>
      <c r="F211" s="151"/>
      <c r="G211" s="151"/>
      <c r="H211" s="151"/>
      <c r="I211" s="151"/>
      <c r="J211" s="152">
        <v>42640.690787037027</v>
      </c>
      <c r="K211" s="151"/>
      <c r="L211" s="151" t="s">
        <v>59</v>
      </c>
      <c r="M211" s="152">
        <v>42639.632870370369</v>
      </c>
      <c r="N211" s="151" t="s">
        <v>2696</v>
      </c>
      <c r="O211" s="151"/>
      <c r="P211" s="151"/>
      <c r="Q211" s="7" t="str">
        <f>IF(ISBLANK(patch[[#This Row],[OwnerEmail]]),Q210,patch[[#This Row],[OwnerEmail]])</f>
        <v>xi.cao@intel.com</v>
      </c>
      <c r="R211" s="7" t="str">
        <f>_xlfn.IFNA(VLOOKUP(patch[[#This Row],[tmp-owner.email]],OrgTree!$A:$K, 11, 0), "not ICG SWFW")</f>
        <v>BJ And dev</v>
      </c>
      <c r="S211" s="7" t="str">
        <f>IF(patch[[#This Row],[reviewer]]=patch[[#This Row],[tmp-owner.email]], "author", _xlfn.IFNA(VLOOKUP(patch[[#This Row],[reviewer]],OrgTree!$A:$K, 11, 0), "not ICG SWFW"))</f>
        <v>BJ And dev</v>
      </c>
      <c r="T211" s="7" t="str">
        <f>IF(ISBLANK(patch[[#This Row],[mergeDate]]), "", MID(YEAR(patch[[#This Row],[mergeDate]]), 3,2)&amp;"'ww"&amp;WEEKNUM(patch[[#This Row],[mergeDate]]))</f>
        <v>16'ww40</v>
      </c>
      <c r="U211" s="7" t="str">
        <f>IF(ISBLANK(patch[[#This Row],[mergeDate]]), U210, MID(YEAR(patch[[#This Row],[mergeDate]]), 3,2)&amp;"'m"&amp;MONTH(patch[[#This Row],[mergeDate]]))</f>
        <v>16'm9</v>
      </c>
      <c r="V211" s="7" t="str">
        <f>IF(ISBLANK(patch[[#This Row],[project]]), "",SUM(patch[[#This Row],[BJ -1 num]:[SH -1 num]]))</f>
        <v/>
      </c>
      <c r="W211" s="7" t="str">
        <f>IF(ISBLANK(patch[[#This Row],[project]]), "",COUNTIFS($A:$A,patch[[#This Row],[number]],$S:$S, "BJ And dev",$AC:$AC, "Review-1"))</f>
        <v/>
      </c>
      <c r="X211" s="7" t="str">
        <f>IF(ISBLANK(patch[[#This Row],[project]]), "",COUNTIFS($A:$A,patch[[#This Row],[number]],$S:$S, "FL And dev",$AC:$AC, "Review-1"))</f>
        <v/>
      </c>
      <c r="Y211" s="7" t="str">
        <f>IF(ISBLANK(patch[[#This Row],[project]]), "",COUNTIFS($A:$A,patch[[#This Row],[number]],$S:$S, "SH And dev",$AC:$AC, "Review-1"))</f>
        <v/>
      </c>
      <c r="Z211" s="7" t="str">
        <f>IF(ISBLANK(patch[[#This Row],[project]]), "",COUNTIFS($A:$A,patch[[#This Row],[number]],$S:$S, "BJ And dev",$AD:$AD, "&lt;&gt;IntegratorValidationComment"))</f>
        <v/>
      </c>
      <c r="AA211" s="7" t="str">
        <f>IF(ISBLANK(patch[[#This Row],[project]]), "",COUNTIFS($A:$A,patch[[#This Row],[number]],$S:$S, "FL And dev",$AD:$AD, "&lt;&gt;IntegratorValidationComment"))</f>
        <v/>
      </c>
      <c r="AB211" s="7" t="str">
        <f>IF(ISBLANK(patch[[#This Row],[project]]), "",COUNTIFS($A:$A,patch[[#This Row],[number]],$S:$S, "SH And dev",$AD:$AD, "&lt;&gt;IntegratorValidationComment"))</f>
        <v/>
      </c>
      <c r="AC211" s="7" t="str">
        <f>IF(OR(ISNUMBER(FIND("Review-1", patch[[#This Row],[comments]])), ISNUMBER(FIND("Approver-1", patch[[#This Row],[comments]]))), "Review-1", "")</f>
        <v/>
      </c>
      <c r="AD2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1" s="7">
        <f>IF(ISBLANK(patch[[#This Row],[number]]),AE210,patch[[#This Row],[ifCommon]])</f>
        <v>0</v>
      </c>
    </row>
    <row r="212" spans="1:31">
      <c r="A212" s="151">
        <v>148147</v>
      </c>
      <c r="B212" s="151"/>
      <c r="C212" s="151"/>
      <c r="D212" s="151"/>
      <c r="E212" s="151"/>
      <c r="F212" s="151"/>
      <c r="G212" s="151"/>
      <c r="H212" s="151"/>
      <c r="I212" s="151"/>
      <c r="J212" s="152">
        <v>42640.690787037027</v>
      </c>
      <c r="K212" s="151"/>
      <c r="L212" s="151" t="s">
        <v>59</v>
      </c>
      <c r="M212" s="152">
        <v>42639.638645833344</v>
      </c>
      <c r="N212" s="151" t="s">
        <v>2697</v>
      </c>
      <c r="O212" s="151"/>
      <c r="P212" s="151"/>
      <c r="Q212" s="7" t="str">
        <f>IF(ISBLANK(patch[[#This Row],[OwnerEmail]]),Q211,patch[[#This Row],[OwnerEmail]])</f>
        <v>xi.cao@intel.com</v>
      </c>
      <c r="R212" s="7" t="str">
        <f>_xlfn.IFNA(VLOOKUP(patch[[#This Row],[tmp-owner.email]],OrgTree!$A:$K, 11, 0), "not ICG SWFW")</f>
        <v>BJ And dev</v>
      </c>
      <c r="S212" s="7" t="str">
        <f>IF(patch[[#This Row],[reviewer]]=patch[[#This Row],[tmp-owner.email]], "author", _xlfn.IFNA(VLOOKUP(patch[[#This Row],[reviewer]],OrgTree!$A:$K, 11, 0), "not ICG SWFW"))</f>
        <v>BJ And dev</v>
      </c>
      <c r="T212" s="7" t="str">
        <f>IF(ISBLANK(patch[[#This Row],[mergeDate]]), "", MID(YEAR(patch[[#This Row],[mergeDate]]), 3,2)&amp;"'ww"&amp;WEEKNUM(patch[[#This Row],[mergeDate]]))</f>
        <v>16'ww40</v>
      </c>
      <c r="U212" s="7" t="str">
        <f>IF(ISBLANK(patch[[#This Row],[mergeDate]]), U211, MID(YEAR(patch[[#This Row],[mergeDate]]), 3,2)&amp;"'m"&amp;MONTH(patch[[#This Row],[mergeDate]]))</f>
        <v>16'm9</v>
      </c>
      <c r="V212" s="7" t="str">
        <f>IF(ISBLANK(patch[[#This Row],[project]]), "",SUM(patch[[#This Row],[BJ -1 num]:[SH -1 num]]))</f>
        <v/>
      </c>
      <c r="W212" s="7" t="str">
        <f>IF(ISBLANK(patch[[#This Row],[project]]), "",COUNTIFS($A:$A,patch[[#This Row],[number]],$S:$S, "BJ And dev",$AC:$AC, "Review-1"))</f>
        <v/>
      </c>
      <c r="X212" s="7" t="str">
        <f>IF(ISBLANK(patch[[#This Row],[project]]), "",COUNTIFS($A:$A,patch[[#This Row],[number]],$S:$S, "FL And dev",$AC:$AC, "Review-1"))</f>
        <v/>
      </c>
      <c r="Y212" s="7" t="str">
        <f>IF(ISBLANK(patch[[#This Row],[project]]), "",COUNTIFS($A:$A,patch[[#This Row],[number]],$S:$S, "SH And dev",$AC:$AC, "Review-1"))</f>
        <v/>
      </c>
      <c r="Z212" s="7" t="str">
        <f>IF(ISBLANK(patch[[#This Row],[project]]), "",COUNTIFS($A:$A,patch[[#This Row],[number]],$S:$S, "BJ And dev",$AD:$AD, "&lt;&gt;IntegratorValidationComment"))</f>
        <v/>
      </c>
      <c r="AA212" s="7" t="str">
        <f>IF(ISBLANK(patch[[#This Row],[project]]), "",COUNTIFS($A:$A,patch[[#This Row],[number]],$S:$S, "FL And dev",$AD:$AD, "&lt;&gt;IntegratorValidationComment"))</f>
        <v/>
      </c>
      <c r="AB212" s="7" t="str">
        <f>IF(ISBLANK(patch[[#This Row],[project]]), "",COUNTIFS($A:$A,patch[[#This Row],[number]],$S:$S, "SH And dev",$AD:$AD, "&lt;&gt;IntegratorValidationComment"))</f>
        <v/>
      </c>
      <c r="AC212" s="7" t="str">
        <f>IF(OR(ISNUMBER(FIND("Review-1", patch[[#This Row],[comments]])), ISNUMBER(FIND("Approver-1", patch[[#This Row],[comments]]))), "Review-1", "")</f>
        <v/>
      </c>
      <c r="AD2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2" s="7">
        <f>IF(ISBLANK(patch[[#This Row],[number]]),AE211,patch[[#This Row],[ifCommon]])</f>
        <v>0</v>
      </c>
    </row>
    <row r="213" spans="1:31">
      <c r="A213" s="151">
        <v>148147</v>
      </c>
      <c r="B213" s="151"/>
      <c r="C213" s="151"/>
      <c r="D213" s="151"/>
      <c r="E213" s="151"/>
      <c r="F213" s="151"/>
      <c r="G213" s="151"/>
      <c r="H213" s="151"/>
      <c r="I213" s="151"/>
      <c r="J213" s="152">
        <v>42640.690787037027</v>
      </c>
      <c r="K213" s="151"/>
      <c r="L213" s="151" t="s">
        <v>59</v>
      </c>
      <c r="M213" s="152">
        <v>42640.440335648149</v>
      </c>
      <c r="N213" s="151" t="s">
        <v>1880</v>
      </c>
      <c r="O213" s="151"/>
      <c r="P213" s="151"/>
      <c r="Q213" s="7" t="str">
        <f>IF(ISBLANK(patch[[#This Row],[OwnerEmail]]),Q212,patch[[#This Row],[OwnerEmail]])</f>
        <v>xi.cao@intel.com</v>
      </c>
      <c r="R213" s="7" t="str">
        <f>_xlfn.IFNA(VLOOKUP(patch[[#This Row],[tmp-owner.email]],OrgTree!$A:$K, 11, 0), "not ICG SWFW")</f>
        <v>BJ And dev</v>
      </c>
      <c r="S213" s="7" t="str">
        <f>IF(patch[[#This Row],[reviewer]]=patch[[#This Row],[tmp-owner.email]], "author", _xlfn.IFNA(VLOOKUP(patch[[#This Row],[reviewer]],OrgTree!$A:$K, 11, 0), "not ICG SWFW"))</f>
        <v>BJ And dev</v>
      </c>
      <c r="T213" s="7" t="str">
        <f>IF(ISBLANK(patch[[#This Row],[mergeDate]]), "", MID(YEAR(patch[[#This Row],[mergeDate]]), 3,2)&amp;"'ww"&amp;WEEKNUM(patch[[#This Row],[mergeDate]]))</f>
        <v>16'ww40</v>
      </c>
      <c r="U213" s="7" t="str">
        <f>IF(ISBLANK(patch[[#This Row],[mergeDate]]), U212, MID(YEAR(patch[[#This Row],[mergeDate]]), 3,2)&amp;"'m"&amp;MONTH(patch[[#This Row],[mergeDate]]))</f>
        <v>16'm9</v>
      </c>
      <c r="V213" s="7" t="str">
        <f>IF(ISBLANK(patch[[#This Row],[project]]), "",SUM(patch[[#This Row],[BJ -1 num]:[SH -1 num]]))</f>
        <v/>
      </c>
      <c r="W213" s="7" t="str">
        <f>IF(ISBLANK(patch[[#This Row],[project]]), "",COUNTIFS($A:$A,patch[[#This Row],[number]],$S:$S, "BJ And dev",$AC:$AC, "Review-1"))</f>
        <v/>
      </c>
      <c r="X213" s="7" t="str">
        <f>IF(ISBLANK(patch[[#This Row],[project]]), "",COUNTIFS($A:$A,patch[[#This Row],[number]],$S:$S, "FL And dev",$AC:$AC, "Review-1"))</f>
        <v/>
      </c>
      <c r="Y213" s="7" t="str">
        <f>IF(ISBLANK(patch[[#This Row],[project]]), "",COUNTIFS($A:$A,patch[[#This Row],[number]],$S:$S, "SH And dev",$AC:$AC, "Review-1"))</f>
        <v/>
      </c>
      <c r="Z213" s="7" t="str">
        <f>IF(ISBLANK(patch[[#This Row],[project]]), "",COUNTIFS($A:$A,patch[[#This Row],[number]],$S:$S, "BJ And dev",$AD:$AD, "&lt;&gt;IntegratorValidationComment"))</f>
        <v/>
      </c>
      <c r="AA213" s="7" t="str">
        <f>IF(ISBLANK(patch[[#This Row],[project]]), "",COUNTIFS($A:$A,patch[[#This Row],[number]],$S:$S, "FL And dev",$AD:$AD, "&lt;&gt;IntegratorValidationComment"))</f>
        <v/>
      </c>
      <c r="AB213" s="7" t="str">
        <f>IF(ISBLANK(patch[[#This Row],[project]]), "",COUNTIFS($A:$A,patch[[#This Row],[number]],$S:$S, "SH And dev",$AD:$AD, "&lt;&gt;IntegratorValidationComment"))</f>
        <v/>
      </c>
      <c r="AC213" s="7" t="str">
        <f>IF(OR(ISNUMBER(FIND("Review-1", patch[[#This Row],[comments]])), ISNUMBER(FIND("Approver-1", patch[[#This Row],[comments]]))), "Review-1", "")</f>
        <v/>
      </c>
      <c r="AD2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3" s="7">
        <f>IF(ISBLANK(patch[[#This Row],[number]]),AE212,patch[[#This Row],[ifCommon]])</f>
        <v>0</v>
      </c>
    </row>
    <row r="214" spans="1:31">
      <c r="A214" s="151">
        <v>148147</v>
      </c>
      <c r="B214" s="151"/>
      <c r="C214" s="151"/>
      <c r="D214" s="151"/>
      <c r="E214" s="151"/>
      <c r="F214" s="151"/>
      <c r="G214" s="151"/>
      <c r="H214" s="151"/>
      <c r="I214" s="151"/>
      <c r="J214" s="152">
        <v>42640.690787037027</v>
      </c>
      <c r="K214" s="151"/>
      <c r="L214" s="151" t="s">
        <v>59</v>
      </c>
      <c r="M214" s="152">
        <v>42640.458865740737</v>
      </c>
      <c r="N214" s="151" t="s">
        <v>2446</v>
      </c>
      <c r="O214" s="151"/>
      <c r="P214" s="151"/>
      <c r="Q214" s="7" t="str">
        <f>IF(ISBLANK(patch[[#This Row],[OwnerEmail]]),Q213,patch[[#This Row],[OwnerEmail]])</f>
        <v>xi.cao@intel.com</v>
      </c>
      <c r="R214" s="7" t="str">
        <f>_xlfn.IFNA(VLOOKUP(patch[[#This Row],[tmp-owner.email]],OrgTree!$A:$K, 11, 0), "not ICG SWFW")</f>
        <v>BJ And dev</v>
      </c>
      <c r="S214" s="7" t="str">
        <f>IF(patch[[#This Row],[reviewer]]=patch[[#This Row],[tmp-owner.email]], "author", _xlfn.IFNA(VLOOKUP(patch[[#This Row],[reviewer]],OrgTree!$A:$K, 11, 0), "not ICG SWFW"))</f>
        <v>BJ And dev</v>
      </c>
      <c r="T214" s="7" t="str">
        <f>IF(ISBLANK(patch[[#This Row],[mergeDate]]), "", MID(YEAR(patch[[#This Row],[mergeDate]]), 3,2)&amp;"'ww"&amp;WEEKNUM(patch[[#This Row],[mergeDate]]))</f>
        <v>16'ww40</v>
      </c>
      <c r="U214" s="7" t="str">
        <f>IF(ISBLANK(patch[[#This Row],[mergeDate]]), U213, MID(YEAR(patch[[#This Row],[mergeDate]]), 3,2)&amp;"'m"&amp;MONTH(patch[[#This Row],[mergeDate]]))</f>
        <v>16'm9</v>
      </c>
      <c r="V214" s="7" t="str">
        <f>IF(ISBLANK(patch[[#This Row],[project]]), "",SUM(patch[[#This Row],[BJ -1 num]:[SH -1 num]]))</f>
        <v/>
      </c>
      <c r="W214" s="7" t="str">
        <f>IF(ISBLANK(patch[[#This Row],[project]]), "",COUNTIFS($A:$A,patch[[#This Row],[number]],$S:$S, "BJ And dev",$AC:$AC, "Review-1"))</f>
        <v/>
      </c>
      <c r="X214" s="7" t="str">
        <f>IF(ISBLANK(patch[[#This Row],[project]]), "",COUNTIFS($A:$A,patch[[#This Row],[number]],$S:$S, "FL And dev",$AC:$AC, "Review-1"))</f>
        <v/>
      </c>
      <c r="Y214" s="7" t="str">
        <f>IF(ISBLANK(patch[[#This Row],[project]]), "",COUNTIFS($A:$A,patch[[#This Row],[number]],$S:$S, "SH And dev",$AC:$AC, "Review-1"))</f>
        <v/>
      </c>
      <c r="Z214" s="7" t="str">
        <f>IF(ISBLANK(patch[[#This Row],[project]]), "",COUNTIFS($A:$A,patch[[#This Row],[number]],$S:$S, "BJ And dev",$AD:$AD, "&lt;&gt;IntegratorValidationComment"))</f>
        <v/>
      </c>
      <c r="AA214" s="7" t="str">
        <f>IF(ISBLANK(patch[[#This Row],[project]]), "",COUNTIFS($A:$A,patch[[#This Row],[number]],$S:$S, "FL And dev",$AD:$AD, "&lt;&gt;IntegratorValidationComment"))</f>
        <v/>
      </c>
      <c r="AB214" s="7" t="str">
        <f>IF(ISBLANK(patch[[#This Row],[project]]), "",COUNTIFS($A:$A,patch[[#This Row],[number]],$S:$S, "SH And dev",$AD:$AD, "&lt;&gt;IntegratorValidationComment"))</f>
        <v/>
      </c>
      <c r="AC214" s="7" t="str">
        <f>IF(OR(ISNUMBER(FIND("Review-1", patch[[#This Row],[comments]])), ISNUMBER(FIND("Approver-1", patch[[#This Row],[comments]]))), "Review-1", "")</f>
        <v/>
      </c>
      <c r="AD2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4" s="7">
        <f>IF(ISBLANK(patch[[#This Row],[number]]),AE213,patch[[#This Row],[ifCommon]])</f>
        <v>0</v>
      </c>
    </row>
    <row r="215" spans="1:31">
      <c r="A215" s="151">
        <v>148147</v>
      </c>
      <c r="B215" s="151"/>
      <c r="C215" s="151"/>
      <c r="D215" s="151"/>
      <c r="E215" s="151"/>
      <c r="F215" s="151"/>
      <c r="G215" s="151"/>
      <c r="H215" s="151"/>
      <c r="I215" s="151"/>
      <c r="J215" s="152">
        <v>42640.690787037027</v>
      </c>
      <c r="K215" s="151"/>
      <c r="L215" s="151" t="s">
        <v>24</v>
      </c>
      <c r="M215" s="152">
        <v>42640.461180555547</v>
      </c>
      <c r="N215" s="151" t="s">
        <v>1880</v>
      </c>
      <c r="O215" s="151"/>
      <c r="P215" s="151"/>
      <c r="Q215" s="7" t="str">
        <f>IF(ISBLANK(patch[[#This Row],[OwnerEmail]]),Q214,patch[[#This Row],[OwnerEmail]])</f>
        <v>xi.cao@intel.com</v>
      </c>
      <c r="R215" s="7" t="str">
        <f>_xlfn.IFNA(VLOOKUP(patch[[#This Row],[tmp-owner.email]],OrgTree!$A:$K, 11, 0), "not ICG SWFW")</f>
        <v>BJ And dev</v>
      </c>
      <c r="S215" s="7" t="str">
        <f>IF(patch[[#This Row],[reviewer]]=patch[[#This Row],[tmp-owner.email]], "author", _xlfn.IFNA(VLOOKUP(patch[[#This Row],[reviewer]],OrgTree!$A:$K, 11, 0), "not ICG SWFW"))</f>
        <v>BJ And dev</v>
      </c>
      <c r="T215" s="7" t="str">
        <f>IF(ISBLANK(patch[[#This Row],[mergeDate]]), "", MID(YEAR(patch[[#This Row],[mergeDate]]), 3,2)&amp;"'ww"&amp;WEEKNUM(patch[[#This Row],[mergeDate]]))</f>
        <v>16'ww40</v>
      </c>
      <c r="U215" s="7" t="str">
        <f>IF(ISBLANK(patch[[#This Row],[mergeDate]]), U214, MID(YEAR(patch[[#This Row],[mergeDate]]), 3,2)&amp;"'m"&amp;MONTH(patch[[#This Row],[mergeDate]]))</f>
        <v>16'm9</v>
      </c>
      <c r="V215" s="7" t="str">
        <f>IF(ISBLANK(patch[[#This Row],[project]]), "",SUM(patch[[#This Row],[BJ -1 num]:[SH -1 num]]))</f>
        <v/>
      </c>
      <c r="W215" s="7" t="str">
        <f>IF(ISBLANK(patch[[#This Row],[project]]), "",COUNTIFS($A:$A,patch[[#This Row],[number]],$S:$S, "BJ And dev",$AC:$AC, "Review-1"))</f>
        <v/>
      </c>
      <c r="X215" s="7" t="str">
        <f>IF(ISBLANK(patch[[#This Row],[project]]), "",COUNTIFS($A:$A,patch[[#This Row],[number]],$S:$S, "FL And dev",$AC:$AC, "Review-1"))</f>
        <v/>
      </c>
      <c r="Y215" s="7" t="str">
        <f>IF(ISBLANK(patch[[#This Row],[project]]), "",COUNTIFS($A:$A,patch[[#This Row],[number]],$S:$S, "SH And dev",$AC:$AC, "Review-1"))</f>
        <v/>
      </c>
      <c r="Z215" s="7" t="str">
        <f>IF(ISBLANK(patch[[#This Row],[project]]), "",COUNTIFS($A:$A,patch[[#This Row],[number]],$S:$S, "BJ And dev",$AD:$AD, "&lt;&gt;IntegratorValidationComment"))</f>
        <v/>
      </c>
      <c r="AA215" s="7" t="str">
        <f>IF(ISBLANK(patch[[#This Row],[project]]), "",COUNTIFS($A:$A,patch[[#This Row],[number]],$S:$S, "FL And dev",$AD:$AD, "&lt;&gt;IntegratorValidationComment"))</f>
        <v/>
      </c>
      <c r="AB215" s="7" t="str">
        <f>IF(ISBLANK(patch[[#This Row],[project]]), "",COUNTIFS($A:$A,patch[[#This Row],[number]],$S:$S, "SH And dev",$AD:$AD, "&lt;&gt;IntegratorValidationComment"))</f>
        <v/>
      </c>
      <c r="AC215" s="7" t="str">
        <f>IF(OR(ISNUMBER(FIND("Review-1", patch[[#This Row],[comments]])), ISNUMBER(FIND("Approver-1", patch[[#This Row],[comments]]))), "Review-1", "")</f>
        <v/>
      </c>
      <c r="AD2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5" s="7">
        <f>IF(ISBLANK(patch[[#This Row],[number]]),AE214,patch[[#This Row],[ifCommon]])</f>
        <v>0</v>
      </c>
    </row>
    <row r="216" spans="1:31">
      <c r="A216" s="151">
        <v>148147</v>
      </c>
      <c r="B216" s="151"/>
      <c r="C216" s="151"/>
      <c r="D216" s="151"/>
      <c r="E216" s="151"/>
      <c r="F216" s="151"/>
      <c r="G216" s="151"/>
      <c r="H216" s="151"/>
      <c r="I216" s="151"/>
      <c r="J216" s="152">
        <v>42640.690787037027</v>
      </c>
      <c r="K216" s="151"/>
      <c r="L216" s="151" t="s">
        <v>115</v>
      </c>
      <c r="M216" s="152">
        <v>42640.483923611107</v>
      </c>
      <c r="N216" s="151" t="s">
        <v>2494</v>
      </c>
      <c r="O216" s="151"/>
      <c r="P216" s="151"/>
      <c r="Q216" s="7" t="str">
        <f>IF(ISBLANK(patch[[#This Row],[OwnerEmail]]),Q215,patch[[#This Row],[OwnerEmail]])</f>
        <v>xi.cao@intel.com</v>
      </c>
      <c r="R216" s="7" t="str">
        <f>_xlfn.IFNA(VLOOKUP(patch[[#This Row],[tmp-owner.email]],OrgTree!$A:$K, 11, 0), "not ICG SWFW")</f>
        <v>BJ And dev</v>
      </c>
      <c r="S216" s="7" t="str">
        <f>IF(patch[[#This Row],[reviewer]]=patch[[#This Row],[tmp-owner.email]], "author", _xlfn.IFNA(VLOOKUP(patch[[#This Row],[reviewer]],OrgTree!$A:$K, 11, 0), "not ICG SWFW"))</f>
        <v>Val</v>
      </c>
      <c r="T216" s="7" t="str">
        <f>IF(ISBLANK(patch[[#This Row],[mergeDate]]), "", MID(YEAR(patch[[#This Row],[mergeDate]]), 3,2)&amp;"'ww"&amp;WEEKNUM(patch[[#This Row],[mergeDate]]))</f>
        <v>16'ww40</v>
      </c>
      <c r="U216" s="7" t="str">
        <f>IF(ISBLANK(patch[[#This Row],[mergeDate]]), U215, MID(YEAR(patch[[#This Row],[mergeDate]]), 3,2)&amp;"'m"&amp;MONTH(patch[[#This Row],[mergeDate]]))</f>
        <v>16'm9</v>
      </c>
      <c r="V216" s="7" t="str">
        <f>IF(ISBLANK(patch[[#This Row],[project]]), "",SUM(patch[[#This Row],[BJ -1 num]:[SH -1 num]]))</f>
        <v/>
      </c>
      <c r="W216" s="7" t="str">
        <f>IF(ISBLANK(patch[[#This Row],[project]]), "",COUNTIFS($A:$A,patch[[#This Row],[number]],$S:$S, "BJ And dev",$AC:$AC, "Review-1"))</f>
        <v/>
      </c>
      <c r="X216" s="7" t="str">
        <f>IF(ISBLANK(patch[[#This Row],[project]]), "",COUNTIFS($A:$A,patch[[#This Row],[number]],$S:$S, "FL And dev",$AC:$AC, "Review-1"))</f>
        <v/>
      </c>
      <c r="Y216" s="7" t="str">
        <f>IF(ISBLANK(patch[[#This Row],[project]]), "",COUNTIFS($A:$A,patch[[#This Row],[number]],$S:$S, "SH And dev",$AC:$AC, "Review-1"))</f>
        <v/>
      </c>
      <c r="Z216" s="7" t="str">
        <f>IF(ISBLANK(patch[[#This Row],[project]]), "",COUNTIFS($A:$A,patch[[#This Row],[number]],$S:$S, "BJ And dev",$AD:$AD, "&lt;&gt;IntegratorValidationComment"))</f>
        <v/>
      </c>
      <c r="AA216" s="7" t="str">
        <f>IF(ISBLANK(patch[[#This Row],[project]]), "",COUNTIFS($A:$A,patch[[#This Row],[number]],$S:$S, "FL And dev",$AD:$AD, "&lt;&gt;IntegratorValidationComment"))</f>
        <v/>
      </c>
      <c r="AB216" s="7" t="str">
        <f>IF(ISBLANK(patch[[#This Row],[project]]), "",COUNTIFS($A:$A,patch[[#This Row],[number]],$S:$S, "SH And dev",$AD:$AD, "&lt;&gt;IntegratorValidationComment"))</f>
        <v/>
      </c>
      <c r="AC216" s="7" t="str">
        <f>IF(OR(ISNUMBER(FIND("Review-1", patch[[#This Row],[comments]])), ISNUMBER(FIND("Approver-1", patch[[#This Row],[comments]]))), "Review-1", "")</f>
        <v/>
      </c>
      <c r="AD2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16" s="7">
        <f>IF(ISBLANK(patch[[#This Row],[number]]),AE215,patch[[#This Row],[ifCommon]])</f>
        <v>0</v>
      </c>
    </row>
    <row r="217" spans="1:31">
      <c r="A217" s="151">
        <v>148147</v>
      </c>
      <c r="B217" s="151"/>
      <c r="C217" s="151"/>
      <c r="D217" s="151"/>
      <c r="E217" s="151"/>
      <c r="F217" s="151"/>
      <c r="G217" s="151"/>
      <c r="H217" s="151"/>
      <c r="I217" s="151"/>
      <c r="J217" s="152">
        <v>42640.690787037027</v>
      </c>
      <c r="K217" s="151"/>
      <c r="L217" s="151" t="s">
        <v>1203</v>
      </c>
      <c r="M217" s="152">
        <v>42640.581388888888</v>
      </c>
      <c r="N217" s="151" t="s">
        <v>40</v>
      </c>
      <c r="O217" s="151"/>
      <c r="P217" s="151"/>
      <c r="Q217" s="7" t="str">
        <f>IF(ISBLANK(patch[[#This Row],[OwnerEmail]]),Q216,patch[[#This Row],[OwnerEmail]])</f>
        <v>xi.cao@intel.com</v>
      </c>
      <c r="R217" s="7" t="str">
        <f>_xlfn.IFNA(VLOOKUP(patch[[#This Row],[tmp-owner.email]],OrgTree!$A:$K, 11, 0), "not ICG SWFW")</f>
        <v>BJ And dev</v>
      </c>
      <c r="S217" s="7" t="str">
        <f>IF(patch[[#This Row],[reviewer]]=patch[[#This Row],[tmp-owner.email]], "author", _xlfn.IFNA(VLOOKUP(patch[[#This Row],[reviewer]],OrgTree!$A:$K, 11, 0), "not ICG SWFW"))</f>
        <v>author</v>
      </c>
      <c r="T217" s="7" t="str">
        <f>IF(ISBLANK(patch[[#This Row],[mergeDate]]), "", MID(YEAR(patch[[#This Row],[mergeDate]]), 3,2)&amp;"'ww"&amp;WEEKNUM(patch[[#This Row],[mergeDate]]))</f>
        <v>16'ww40</v>
      </c>
      <c r="U217" s="7" t="str">
        <f>IF(ISBLANK(patch[[#This Row],[mergeDate]]), U216, MID(YEAR(patch[[#This Row],[mergeDate]]), 3,2)&amp;"'m"&amp;MONTH(patch[[#This Row],[mergeDate]]))</f>
        <v>16'm9</v>
      </c>
      <c r="V217" s="7" t="str">
        <f>IF(ISBLANK(patch[[#This Row],[project]]), "",SUM(patch[[#This Row],[BJ -1 num]:[SH -1 num]]))</f>
        <v/>
      </c>
      <c r="W217" s="7" t="str">
        <f>IF(ISBLANK(patch[[#This Row],[project]]), "",COUNTIFS($A:$A,patch[[#This Row],[number]],$S:$S, "BJ And dev",$AC:$AC, "Review-1"))</f>
        <v/>
      </c>
      <c r="X217" s="7" t="str">
        <f>IF(ISBLANK(patch[[#This Row],[project]]), "",COUNTIFS($A:$A,patch[[#This Row],[number]],$S:$S, "FL And dev",$AC:$AC, "Review-1"))</f>
        <v/>
      </c>
      <c r="Y217" s="7" t="str">
        <f>IF(ISBLANK(patch[[#This Row],[project]]), "",COUNTIFS($A:$A,patch[[#This Row],[number]],$S:$S, "SH And dev",$AC:$AC, "Review-1"))</f>
        <v/>
      </c>
      <c r="Z217" s="7" t="str">
        <f>IF(ISBLANK(patch[[#This Row],[project]]), "",COUNTIFS($A:$A,patch[[#This Row],[number]],$S:$S, "BJ And dev",$AD:$AD, "&lt;&gt;IntegratorValidationComment"))</f>
        <v/>
      </c>
      <c r="AA217" s="7" t="str">
        <f>IF(ISBLANK(patch[[#This Row],[project]]), "",COUNTIFS($A:$A,patch[[#This Row],[number]],$S:$S, "FL And dev",$AD:$AD, "&lt;&gt;IntegratorValidationComment"))</f>
        <v/>
      </c>
      <c r="AB217" s="7" t="str">
        <f>IF(ISBLANK(patch[[#This Row],[project]]), "",COUNTIFS($A:$A,patch[[#This Row],[number]],$S:$S, "SH And dev",$AD:$AD, "&lt;&gt;IntegratorValidationComment"))</f>
        <v/>
      </c>
      <c r="AC217" s="7" t="str">
        <f>IF(OR(ISNUMBER(FIND("Review-1", patch[[#This Row],[comments]])), ISNUMBER(FIND("Approver-1", patch[[#This Row],[comments]]))), "Review-1", "")</f>
        <v/>
      </c>
      <c r="AD2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7" s="7">
        <f>IF(ISBLANK(patch[[#This Row],[number]]),AE216,patch[[#This Row],[ifCommon]])</f>
        <v>0</v>
      </c>
    </row>
    <row r="218" spans="1:31">
      <c r="A218" s="151">
        <v>146977</v>
      </c>
      <c r="B218" s="151" t="s">
        <v>2490</v>
      </c>
      <c r="C218" s="151" t="s">
        <v>2491</v>
      </c>
      <c r="D218" s="151" t="s">
        <v>2698</v>
      </c>
      <c r="E218" s="151" t="s">
        <v>1203</v>
      </c>
      <c r="F218" s="151" t="s">
        <v>23</v>
      </c>
      <c r="G218" s="151" t="s">
        <v>2699</v>
      </c>
      <c r="H218" s="151" t="s">
        <v>2700</v>
      </c>
      <c r="I218" s="152">
        <v>42634.60015046296</v>
      </c>
      <c r="J218" s="152">
        <v>42640.690706018519</v>
      </c>
      <c r="K218" s="151" t="s">
        <v>2445</v>
      </c>
      <c r="L218" s="151" t="s">
        <v>1203</v>
      </c>
      <c r="M218" s="152">
        <v>42634.60015046296</v>
      </c>
      <c r="N218" s="151" t="s">
        <v>2428</v>
      </c>
      <c r="O218" s="151"/>
      <c r="P218" s="151" t="s">
        <v>2555</v>
      </c>
      <c r="Q218" s="7" t="str">
        <f>IF(ISBLANK(patch[[#This Row],[OwnerEmail]]),Q217,patch[[#This Row],[OwnerEmail]])</f>
        <v>xi.cao@intel.com</v>
      </c>
      <c r="R218" s="7" t="str">
        <f>_xlfn.IFNA(VLOOKUP(patch[[#This Row],[tmp-owner.email]],OrgTree!$A:$K, 11, 0), "not ICG SWFW")</f>
        <v>BJ And dev</v>
      </c>
      <c r="S218" s="7" t="str">
        <f>IF(patch[[#This Row],[reviewer]]=patch[[#This Row],[tmp-owner.email]], "author", _xlfn.IFNA(VLOOKUP(patch[[#This Row],[reviewer]],OrgTree!$A:$K, 11, 0), "not ICG SWFW"))</f>
        <v>author</v>
      </c>
      <c r="T218" s="7" t="str">
        <f>IF(ISBLANK(patch[[#This Row],[mergeDate]]), "", MID(YEAR(patch[[#This Row],[mergeDate]]), 3,2)&amp;"'ww"&amp;WEEKNUM(patch[[#This Row],[mergeDate]]))</f>
        <v>16'ww40</v>
      </c>
      <c r="U218" s="7" t="str">
        <f>IF(ISBLANK(patch[[#This Row],[mergeDate]]), U217, MID(YEAR(patch[[#This Row],[mergeDate]]), 3,2)&amp;"'m"&amp;MONTH(patch[[#This Row],[mergeDate]]))</f>
        <v>16'm9</v>
      </c>
      <c r="V218" s="7">
        <f>IF(ISBLANK(patch[[#This Row],[project]]), "",SUM(patch[[#This Row],[BJ -1 num]:[SH -1 num]]))</f>
        <v>0</v>
      </c>
      <c r="W218" s="7">
        <f>IF(ISBLANK(patch[[#This Row],[project]]), "",COUNTIFS($A:$A,patch[[#This Row],[number]],$S:$S, "BJ And dev",$AC:$AC, "Review-1"))</f>
        <v>0</v>
      </c>
      <c r="X218" s="7">
        <f>IF(ISBLANK(patch[[#This Row],[project]]), "",COUNTIFS($A:$A,patch[[#This Row],[number]],$S:$S, "FL And dev",$AC:$AC, "Review-1"))</f>
        <v>0</v>
      </c>
      <c r="Y218" s="7">
        <f>IF(ISBLANK(patch[[#This Row],[project]]), "",COUNTIFS($A:$A,patch[[#This Row],[number]],$S:$S, "SH And dev",$AC:$AC, "Review-1"))</f>
        <v>0</v>
      </c>
      <c r="Z218" s="7">
        <f>IF(ISBLANK(patch[[#This Row],[project]]), "",COUNTIFS($A:$A,patch[[#This Row],[number]],$S:$S, "BJ And dev",$AD:$AD, "&lt;&gt;IntegratorValidationComment"))</f>
        <v>8</v>
      </c>
      <c r="AA218" s="7">
        <f>IF(ISBLANK(patch[[#This Row],[project]]), "",COUNTIFS($A:$A,patch[[#This Row],[number]],$S:$S, "FL And dev",$AD:$AD, "&lt;&gt;IntegratorValidationComment"))</f>
        <v>0</v>
      </c>
      <c r="AB218" s="7">
        <f>IF(ISBLANK(patch[[#This Row],[project]]), "",COUNTIFS($A:$A,patch[[#This Row],[number]],$S:$S, "SH And dev",$AD:$AD, "&lt;&gt;IntegratorValidationComment"))</f>
        <v>0</v>
      </c>
      <c r="AC218" s="7" t="str">
        <f>IF(OR(ISNUMBER(FIND("Review-1", patch[[#This Row],[comments]])), ISNUMBER(FIND("Approver-1", patch[[#This Row],[comments]]))), "Review-1", "")</f>
        <v/>
      </c>
      <c r="AD2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8" s="7" t="str">
        <f>IF(ISBLANK(patch[[#This Row],[number]]),AE217,patch[[#This Row],[ifCommon]])</f>
        <v>not AndrHAL</v>
      </c>
    </row>
    <row r="219" spans="1:31">
      <c r="A219" s="151">
        <v>146977</v>
      </c>
      <c r="B219" s="151"/>
      <c r="C219" s="151"/>
      <c r="D219" s="151"/>
      <c r="E219" s="151"/>
      <c r="F219" s="151"/>
      <c r="G219" s="151"/>
      <c r="H219" s="151"/>
      <c r="I219" s="151"/>
      <c r="J219" s="152">
        <v>42640.690706018519</v>
      </c>
      <c r="K219" s="151"/>
      <c r="L219" s="151" t="s">
        <v>1203</v>
      </c>
      <c r="M219" s="152">
        <v>42634.60015046296</v>
      </c>
      <c r="N219" s="151" t="s">
        <v>25</v>
      </c>
      <c r="O219" s="151"/>
      <c r="P219" s="151"/>
      <c r="Q219" s="7" t="str">
        <f>IF(ISBLANK(patch[[#This Row],[OwnerEmail]]),Q218,patch[[#This Row],[OwnerEmail]])</f>
        <v>xi.cao@intel.com</v>
      </c>
      <c r="R219" s="7" t="str">
        <f>_xlfn.IFNA(VLOOKUP(patch[[#This Row],[tmp-owner.email]],OrgTree!$A:$K, 11, 0), "not ICG SWFW")</f>
        <v>BJ And dev</v>
      </c>
      <c r="S219" s="7" t="str">
        <f>IF(patch[[#This Row],[reviewer]]=patch[[#This Row],[tmp-owner.email]], "author", _xlfn.IFNA(VLOOKUP(patch[[#This Row],[reviewer]],OrgTree!$A:$K, 11, 0), "not ICG SWFW"))</f>
        <v>author</v>
      </c>
      <c r="T219" s="7" t="str">
        <f>IF(ISBLANK(patch[[#This Row],[mergeDate]]), "", MID(YEAR(patch[[#This Row],[mergeDate]]), 3,2)&amp;"'ww"&amp;WEEKNUM(patch[[#This Row],[mergeDate]]))</f>
        <v>16'ww40</v>
      </c>
      <c r="U219" s="7" t="str">
        <f>IF(ISBLANK(patch[[#This Row],[mergeDate]]), U218, MID(YEAR(patch[[#This Row],[mergeDate]]), 3,2)&amp;"'m"&amp;MONTH(patch[[#This Row],[mergeDate]]))</f>
        <v>16'm9</v>
      </c>
      <c r="V219" s="7" t="str">
        <f>IF(ISBLANK(patch[[#This Row],[project]]), "",SUM(patch[[#This Row],[BJ -1 num]:[SH -1 num]]))</f>
        <v/>
      </c>
      <c r="W219" s="7" t="str">
        <f>IF(ISBLANK(patch[[#This Row],[project]]), "",COUNTIFS($A:$A,patch[[#This Row],[number]],$S:$S, "BJ And dev",$AC:$AC, "Review-1"))</f>
        <v/>
      </c>
      <c r="X219" s="7" t="str">
        <f>IF(ISBLANK(patch[[#This Row],[project]]), "",COUNTIFS($A:$A,patch[[#This Row],[number]],$S:$S, "FL And dev",$AC:$AC, "Review-1"))</f>
        <v/>
      </c>
      <c r="Y219" s="7" t="str">
        <f>IF(ISBLANK(patch[[#This Row],[project]]), "",COUNTIFS($A:$A,patch[[#This Row],[number]],$S:$S, "SH And dev",$AC:$AC, "Review-1"))</f>
        <v/>
      </c>
      <c r="Z219" s="7" t="str">
        <f>IF(ISBLANK(patch[[#This Row],[project]]), "",COUNTIFS($A:$A,patch[[#This Row],[number]],$S:$S, "BJ And dev",$AD:$AD, "&lt;&gt;IntegratorValidationComment"))</f>
        <v/>
      </c>
      <c r="AA219" s="7" t="str">
        <f>IF(ISBLANK(patch[[#This Row],[project]]), "",COUNTIFS($A:$A,patch[[#This Row],[number]],$S:$S, "FL And dev",$AD:$AD, "&lt;&gt;IntegratorValidationComment"))</f>
        <v/>
      </c>
      <c r="AB219" s="7" t="str">
        <f>IF(ISBLANK(patch[[#This Row],[project]]), "",COUNTIFS($A:$A,patch[[#This Row],[number]],$S:$S, "SH And dev",$AD:$AD, "&lt;&gt;IntegratorValidationComment"))</f>
        <v/>
      </c>
      <c r="AC219" s="7" t="str">
        <f>IF(OR(ISNUMBER(FIND("Review-1", patch[[#This Row],[comments]])), ISNUMBER(FIND("Approver-1", patch[[#This Row],[comments]]))), "Review-1", "")</f>
        <v/>
      </c>
      <c r="AD2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9" s="7">
        <f>IF(ISBLANK(patch[[#This Row],[number]]),AE218,patch[[#This Row],[ifCommon]])</f>
        <v>0</v>
      </c>
    </row>
    <row r="220" spans="1:31">
      <c r="A220" s="151">
        <v>146977</v>
      </c>
      <c r="B220" s="151"/>
      <c r="C220" s="151"/>
      <c r="D220" s="151"/>
      <c r="E220" s="151"/>
      <c r="F220" s="151"/>
      <c r="G220" s="151"/>
      <c r="H220" s="151"/>
      <c r="I220" s="151"/>
      <c r="J220" s="152">
        <v>42640.690706018519</v>
      </c>
      <c r="K220" s="151"/>
      <c r="L220" s="151" t="s">
        <v>1203</v>
      </c>
      <c r="M220" s="152">
        <v>42634.601770833331</v>
      </c>
      <c r="N220" s="151" t="s">
        <v>40</v>
      </c>
      <c r="O220" s="151"/>
      <c r="P220" s="151"/>
      <c r="Q220" s="7" t="str">
        <f>IF(ISBLANK(patch[[#This Row],[OwnerEmail]]),Q219,patch[[#This Row],[OwnerEmail]])</f>
        <v>xi.cao@intel.com</v>
      </c>
      <c r="R220" s="7" t="str">
        <f>_xlfn.IFNA(VLOOKUP(patch[[#This Row],[tmp-owner.email]],OrgTree!$A:$K, 11, 0), "not ICG SWFW")</f>
        <v>BJ And dev</v>
      </c>
      <c r="S220" s="7" t="str">
        <f>IF(patch[[#This Row],[reviewer]]=patch[[#This Row],[tmp-owner.email]], "author", _xlfn.IFNA(VLOOKUP(patch[[#This Row],[reviewer]],OrgTree!$A:$K, 11, 0), "not ICG SWFW"))</f>
        <v>author</v>
      </c>
      <c r="T220" s="7" t="str">
        <f>IF(ISBLANK(patch[[#This Row],[mergeDate]]), "", MID(YEAR(patch[[#This Row],[mergeDate]]), 3,2)&amp;"'ww"&amp;WEEKNUM(patch[[#This Row],[mergeDate]]))</f>
        <v>16'ww40</v>
      </c>
      <c r="U220" s="7" t="str">
        <f>IF(ISBLANK(patch[[#This Row],[mergeDate]]), U219, MID(YEAR(patch[[#This Row],[mergeDate]]), 3,2)&amp;"'m"&amp;MONTH(patch[[#This Row],[mergeDate]]))</f>
        <v>16'm9</v>
      </c>
      <c r="V220" s="7" t="str">
        <f>IF(ISBLANK(patch[[#This Row],[project]]), "",SUM(patch[[#This Row],[BJ -1 num]:[SH -1 num]]))</f>
        <v/>
      </c>
      <c r="W220" s="7" t="str">
        <f>IF(ISBLANK(patch[[#This Row],[project]]), "",COUNTIFS($A:$A,patch[[#This Row],[number]],$S:$S, "BJ And dev",$AC:$AC, "Review-1"))</f>
        <v/>
      </c>
      <c r="X220" s="7" t="str">
        <f>IF(ISBLANK(patch[[#This Row],[project]]), "",COUNTIFS($A:$A,patch[[#This Row],[number]],$S:$S, "FL And dev",$AC:$AC, "Review-1"))</f>
        <v/>
      </c>
      <c r="Y220" s="7" t="str">
        <f>IF(ISBLANK(patch[[#This Row],[project]]), "",COUNTIFS($A:$A,patch[[#This Row],[number]],$S:$S, "SH And dev",$AC:$AC, "Review-1"))</f>
        <v/>
      </c>
      <c r="Z220" s="7" t="str">
        <f>IF(ISBLANK(patch[[#This Row],[project]]), "",COUNTIFS($A:$A,patch[[#This Row],[number]],$S:$S, "BJ And dev",$AD:$AD, "&lt;&gt;IntegratorValidationComment"))</f>
        <v/>
      </c>
      <c r="AA220" s="7" t="str">
        <f>IF(ISBLANK(patch[[#This Row],[project]]), "",COUNTIFS($A:$A,patch[[#This Row],[number]],$S:$S, "FL And dev",$AD:$AD, "&lt;&gt;IntegratorValidationComment"))</f>
        <v/>
      </c>
      <c r="AB220" s="7" t="str">
        <f>IF(ISBLANK(patch[[#This Row],[project]]), "",COUNTIFS($A:$A,patch[[#This Row],[number]],$S:$S, "SH And dev",$AD:$AD, "&lt;&gt;IntegratorValidationComment"))</f>
        <v/>
      </c>
      <c r="AC220" s="7" t="str">
        <f>IF(OR(ISNUMBER(FIND("Review-1", patch[[#This Row],[comments]])), ISNUMBER(FIND("Approver-1", patch[[#This Row],[comments]]))), "Review-1", "")</f>
        <v/>
      </c>
      <c r="AD2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0" s="7">
        <f>IF(ISBLANK(patch[[#This Row],[number]]),AE219,patch[[#This Row],[ifCommon]])</f>
        <v>0</v>
      </c>
    </row>
    <row r="221" spans="1:31">
      <c r="A221" s="151">
        <v>146977</v>
      </c>
      <c r="B221" s="151"/>
      <c r="C221" s="151"/>
      <c r="D221" s="151"/>
      <c r="E221" s="151"/>
      <c r="F221" s="151"/>
      <c r="G221" s="151"/>
      <c r="H221" s="151"/>
      <c r="I221" s="151"/>
      <c r="J221" s="152">
        <v>42640.690706018519</v>
      </c>
      <c r="K221" s="151"/>
      <c r="L221" s="151" t="s">
        <v>59</v>
      </c>
      <c r="M221" s="152">
        <v>42634.605717592603</v>
      </c>
      <c r="N221" s="151" t="s">
        <v>2701</v>
      </c>
      <c r="O221" s="151"/>
      <c r="P221" s="151"/>
      <c r="Q221" s="7" t="str">
        <f>IF(ISBLANK(patch[[#This Row],[OwnerEmail]]),Q220,patch[[#This Row],[OwnerEmail]])</f>
        <v>xi.cao@intel.com</v>
      </c>
      <c r="R221" s="7" t="str">
        <f>_xlfn.IFNA(VLOOKUP(patch[[#This Row],[tmp-owner.email]],OrgTree!$A:$K, 11, 0), "not ICG SWFW")</f>
        <v>BJ And dev</v>
      </c>
      <c r="S221" s="7" t="str">
        <f>IF(patch[[#This Row],[reviewer]]=patch[[#This Row],[tmp-owner.email]], "author", _xlfn.IFNA(VLOOKUP(patch[[#This Row],[reviewer]],OrgTree!$A:$K, 11, 0), "not ICG SWFW"))</f>
        <v>BJ And dev</v>
      </c>
      <c r="T221" s="7" t="str">
        <f>IF(ISBLANK(patch[[#This Row],[mergeDate]]), "", MID(YEAR(patch[[#This Row],[mergeDate]]), 3,2)&amp;"'ww"&amp;WEEKNUM(patch[[#This Row],[mergeDate]]))</f>
        <v>16'ww40</v>
      </c>
      <c r="U221" s="7" t="str">
        <f>IF(ISBLANK(patch[[#This Row],[mergeDate]]), U220, MID(YEAR(patch[[#This Row],[mergeDate]]), 3,2)&amp;"'m"&amp;MONTH(patch[[#This Row],[mergeDate]]))</f>
        <v>16'm9</v>
      </c>
      <c r="V221" s="7" t="str">
        <f>IF(ISBLANK(patch[[#This Row],[project]]), "",SUM(patch[[#This Row],[BJ -1 num]:[SH -1 num]]))</f>
        <v/>
      </c>
      <c r="W221" s="7" t="str">
        <f>IF(ISBLANK(patch[[#This Row],[project]]), "",COUNTIFS($A:$A,patch[[#This Row],[number]],$S:$S, "BJ And dev",$AC:$AC, "Review-1"))</f>
        <v/>
      </c>
      <c r="X221" s="7" t="str">
        <f>IF(ISBLANK(patch[[#This Row],[project]]), "",COUNTIFS($A:$A,patch[[#This Row],[number]],$S:$S, "FL And dev",$AC:$AC, "Review-1"))</f>
        <v/>
      </c>
      <c r="Y221" s="7" t="str">
        <f>IF(ISBLANK(patch[[#This Row],[project]]), "",COUNTIFS($A:$A,patch[[#This Row],[number]],$S:$S, "SH And dev",$AC:$AC, "Review-1"))</f>
        <v/>
      </c>
      <c r="Z221" s="7" t="str">
        <f>IF(ISBLANK(patch[[#This Row],[project]]), "",COUNTIFS($A:$A,patch[[#This Row],[number]],$S:$S, "BJ And dev",$AD:$AD, "&lt;&gt;IntegratorValidationComment"))</f>
        <v/>
      </c>
      <c r="AA221" s="7" t="str">
        <f>IF(ISBLANK(patch[[#This Row],[project]]), "",COUNTIFS($A:$A,patch[[#This Row],[number]],$S:$S, "FL And dev",$AD:$AD, "&lt;&gt;IntegratorValidationComment"))</f>
        <v/>
      </c>
      <c r="AB221" s="7" t="str">
        <f>IF(ISBLANK(patch[[#This Row],[project]]), "",COUNTIFS($A:$A,patch[[#This Row],[number]],$S:$S, "SH And dev",$AD:$AD, "&lt;&gt;IntegratorValidationComment"))</f>
        <v/>
      </c>
      <c r="AC221" s="7" t="str">
        <f>IF(OR(ISNUMBER(FIND("Review-1", patch[[#This Row],[comments]])), ISNUMBER(FIND("Approver-1", patch[[#This Row],[comments]]))), "Review-1", "")</f>
        <v/>
      </c>
      <c r="AD2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1" s="7">
        <f>IF(ISBLANK(patch[[#This Row],[number]]),AE220,patch[[#This Row],[ifCommon]])</f>
        <v>0</v>
      </c>
    </row>
    <row r="222" spans="1:31">
      <c r="A222" s="151">
        <v>146977</v>
      </c>
      <c r="B222" s="151"/>
      <c r="C222" s="151"/>
      <c r="D222" s="151"/>
      <c r="E222" s="151"/>
      <c r="F222" s="151"/>
      <c r="G222" s="151"/>
      <c r="H222" s="151"/>
      <c r="I222" s="151"/>
      <c r="J222" s="152">
        <v>42640.690706018519</v>
      </c>
      <c r="K222" s="151"/>
      <c r="L222" s="151" t="s">
        <v>59</v>
      </c>
      <c r="M222" s="152">
        <v>42634.608402777783</v>
      </c>
      <c r="N222" s="151" t="s">
        <v>2702</v>
      </c>
      <c r="O222" s="151"/>
      <c r="P222" s="151"/>
      <c r="Q222" s="7" t="str">
        <f>IF(ISBLANK(patch[[#This Row],[OwnerEmail]]),Q221,patch[[#This Row],[OwnerEmail]])</f>
        <v>xi.cao@intel.com</v>
      </c>
      <c r="R222" s="7" t="str">
        <f>_xlfn.IFNA(VLOOKUP(patch[[#This Row],[tmp-owner.email]],OrgTree!$A:$K, 11, 0), "not ICG SWFW")</f>
        <v>BJ And dev</v>
      </c>
      <c r="S222" s="7" t="str">
        <f>IF(patch[[#This Row],[reviewer]]=patch[[#This Row],[tmp-owner.email]], "author", _xlfn.IFNA(VLOOKUP(patch[[#This Row],[reviewer]],OrgTree!$A:$K, 11, 0), "not ICG SWFW"))</f>
        <v>BJ And dev</v>
      </c>
      <c r="T222" s="7" t="str">
        <f>IF(ISBLANK(patch[[#This Row],[mergeDate]]), "", MID(YEAR(patch[[#This Row],[mergeDate]]), 3,2)&amp;"'ww"&amp;WEEKNUM(patch[[#This Row],[mergeDate]]))</f>
        <v>16'ww40</v>
      </c>
      <c r="U222" s="7" t="str">
        <f>IF(ISBLANK(patch[[#This Row],[mergeDate]]), U221, MID(YEAR(patch[[#This Row],[mergeDate]]), 3,2)&amp;"'m"&amp;MONTH(patch[[#This Row],[mergeDate]]))</f>
        <v>16'm9</v>
      </c>
      <c r="V222" s="7" t="str">
        <f>IF(ISBLANK(patch[[#This Row],[project]]), "",SUM(patch[[#This Row],[BJ -1 num]:[SH -1 num]]))</f>
        <v/>
      </c>
      <c r="W222" s="7" t="str">
        <f>IF(ISBLANK(patch[[#This Row],[project]]), "",COUNTIFS($A:$A,patch[[#This Row],[number]],$S:$S, "BJ And dev",$AC:$AC, "Review-1"))</f>
        <v/>
      </c>
      <c r="X222" s="7" t="str">
        <f>IF(ISBLANK(patch[[#This Row],[project]]), "",COUNTIFS($A:$A,patch[[#This Row],[number]],$S:$S, "FL And dev",$AC:$AC, "Review-1"))</f>
        <v/>
      </c>
      <c r="Y222" s="7" t="str">
        <f>IF(ISBLANK(patch[[#This Row],[project]]), "",COUNTIFS($A:$A,patch[[#This Row],[number]],$S:$S, "SH And dev",$AC:$AC, "Review-1"))</f>
        <v/>
      </c>
      <c r="Z222" s="7" t="str">
        <f>IF(ISBLANK(patch[[#This Row],[project]]), "",COUNTIFS($A:$A,patch[[#This Row],[number]],$S:$S, "BJ And dev",$AD:$AD, "&lt;&gt;IntegratorValidationComment"))</f>
        <v/>
      </c>
      <c r="AA222" s="7" t="str">
        <f>IF(ISBLANK(patch[[#This Row],[project]]), "",COUNTIFS($A:$A,patch[[#This Row],[number]],$S:$S, "FL And dev",$AD:$AD, "&lt;&gt;IntegratorValidationComment"))</f>
        <v/>
      </c>
      <c r="AB222" s="7" t="str">
        <f>IF(ISBLANK(patch[[#This Row],[project]]), "",COUNTIFS($A:$A,patch[[#This Row],[number]],$S:$S, "SH And dev",$AD:$AD, "&lt;&gt;IntegratorValidationComment"))</f>
        <v/>
      </c>
      <c r="AC222" s="7" t="str">
        <f>IF(OR(ISNUMBER(FIND("Review-1", patch[[#This Row],[comments]])), ISNUMBER(FIND("Approver-1", patch[[#This Row],[comments]]))), "Review-1", "")</f>
        <v/>
      </c>
      <c r="AD2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2" s="7">
        <f>IF(ISBLANK(patch[[#This Row],[number]]),AE221,patch[[#This Row],[ifCommon]])</f>
        <v>0</v>
      </c>
    </row>
    <row r="223" spans="1:31">
      <c r="A223" s="151">
        <v>146977</v>
      </c>
      <c r="B223" s="151"/>
      <c r="C223" s="151"/>
      <c r="D223" s="151"/>
      <c r="E223" s="151"/>
      <c r="F223" s="151"/>
      <c r="G223" s="151"/>
      <c r="H223" s="151"/>
      <c r="I223" s="151"/>
      <c r="J223" s="152">
        <v>42640.690706018519</v>
      </c>
      <c r="K223" s="151"/>
      <c r="L223" s="151" t="s">
        <v>55</v>
      </c>
      <c r="M223" s="152">
        <v>42635.483576388891</v>
      </c>
      <c r="N223" s="151" t="s">
        <v>40</v>
      </c>
      <c r="O223" s="151"/>
      <c r="P223" s="151"/>
      <c r="Q223" s="7" t="str">
        <f>IF(ISBLANK(patch[[#This Row],[OwnerEmail]]),Q222,patch[[#This Row],[OwnerEmail]])</f>
        <v>xi.cao@intel.com</v>
      </c>
      <c r="R223" s="7" t="str">
        <f>_xlfn.IFNA(VLOOKUP(patch[[#This Row],[tmp-owner.email]],OrgTree!$A:$K, 11, 0), "not ICG SWFW")</f>
        <v>BJ And dev</v>
      </c>
      <c r="S223" s="7" t="str">
        <f>IF(patch[[#This Row],[reviewer]]=patch[[#This Row],[tmp-owner.email]], "author", _xlfn.IFNA(VLOOKUP(patch[[#This Row],[reviewer]],OrgTree!$A:$K, 11, 0), "not ICG SWFW"))</f>
        <v>BJ And dev</v>
      </c>
      <c r="T223" s="7" t="str">
        <f>IF(ISBLANK(patch[[#This Row],[mergeDate]]), "", MID(YEAR(patch[[#This Row],[mergeDate]]), 3,2)&amp;"'ww"&amp;WEEKNUM(patch[[#This Row],[mergeDate]]))</f>
        <v>16'ww40</v>
      </c>
      <c r="U223" s="7" t="str">
        <f>IF(ISBLANK(patch[[#This Row],[mergeDate]]), U222, MID(YEAR(patch[[#This Row],[mergeDate]]), 3,2)&amp;"'m"&amp;MONTH(patch[[#This Row],[mergeDate]]))</f>
        <v>16'm9</v>
      </c>
      <c r="V223" s="7" t="str">
        <f>IF(ISBLANK(patch[[#This Row],[project]]), "",SUM(patch[[#This Row],[BJ -1 num]:[SH -1 num]]))</f>
        <v/>
      </c>
      <c r="W223" s="7" t="str">
        <f>IF(ISBLANK(patch[[#This Row],[project]]), "",COUNTIFS($A:$A,patch[[#This Row],[number]],$S:$S, "BJ And dev",$AC:$AC, "Review-1"))</f>
        <v/>
      </c>
      <c r="X223" s="7" t="str">
        <f>IF(ISBLANK(patch[[#This Row],[project]]), "",COUNTIFS($A:$A,patch[[#This Row],[number]],$S:$S, "FL And dev",$AC:$AC, "Review-1"))</f>
        <v/>
      </c>
      <c r="Y223" s="7" t="str">
        <f>IF(ISBLANK(patch[[#This Row],[project]]), "",COUNTIFS($A:$A,patch[[#This Row],[number]],$S:$S, "SH And dev",$AC:$AC, "Review-1"))</f>
        <v/>
      </c>
      <c r="Z223" s="7" t="str">
        <f>IF(ISBLANK(patch[[#This Row],[project]]), "",COUNTIFS($A:$A,patch[[#This Row],[number]],$S:$S, "BJ And dev",$AD:$AD, "&lt;&gt;IntegratorValidationComment"))</f>
        <v/>
      </c>
      <c r="AA223" s="7" t="str">
        <f>IF(ISBLANK(patch[[#This Row],[project]]), "",COUNTIFS($A:$A,patch[[#This Row],[number]],$S:$S, "FL And dev",$AD:$AD, "&lt;&gt;IntegratorValidationComment"))</f>
        <v/>
      </c>
      <c r="AB223" s="7" t="str">
        <f>IF(ISBLANK(patch[[#This Row],[project]]), "",COUNTIFS($A:$A,patch[[#This Row],[number]],$S:$S, "SH And dev",$AD:$AD, "&lt;&gt;IntegratorValidationComment"))</f>
        <v/>
      </c>
      <c r="AC223" s="7" t="str">
        <f>IF(OR(ISNUMBER(FIND("Review-1", patch[[#This Row],[comments]])), ISNUMBER(FIND("Approver-1", patch[[#This Row],[comments]]))), "Review-1", "")</f>
        <v/>
      </c>
      <c r="AD2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3" s="7">
        <f>IF(ISBLANK(patch[[#This Row],[number]]),AE222,patch[[#This Row],[ifCommon]])</f>
        <v>0</v>
      </c>
    </row>
    <row r="224" spans="1:31">
      <c r="A224" s="151">
        <v>146977</v>
      </c>
      <c r="B224" s="151"/>
      <c r="C224" s="151"/>
      <c r="D224" s="151"/>
      <c r="E224" s="151"/>
      <c r="F224" s="151"/>
      <c r="G224" s="151"/>
      <c r="H224" s="151"/>
      <c r="I224" s="152"/>
      <c r="J224" s="152">
        <v>42640.690706018519</v>
      </c>
      <c r="K224" s="151"/>
      <c r="L224" s="151" t="s">
        <v>59</v>
      </c>
      <c r="M224" s="152">
        <v>42635.489340277767</v>
      </c>
      <c r="N224" s="151" t="s">
        <v>1880</v>
      </c>
      <c r="O224" s="151"/>
      <c r="P224" s="151"/>
      <c r="Q224" s="7" t="str">
        <f>IF(ISBLANK(patch[[#This Row],[OwnerEmail]]),Q223,patch[[#This Row],[OwnerEmail]])</f>
        <v>xi.cao@intel.com</v>
      </c>
      <c r="R224" s="7" t="str">
        <f>_xlfn.IFNA(VLOOKUP(patch[[#This Row],[tmp-owner.email]],OrgTree!$A:$K, 11, 0), "not ICG SWFW")</f>
        <v>BJ And dev</v>
      </c>
      <c r="S224" s="7" t="str">
        <f>IF(patch[[#This Row],[reviewer]]=patch[[#This Row],[tmp-owner.email]], "author", _xlfn.IFNA(VLOOKUP(patch[[#This Row],[reviewer]],OrgTree!$A:$K, 11, 0), "not ICG SWFW"))</f>
        <v>BJ And dev</v>
      </c>
      <c r="T224" s="7" t="str">
        <f>IF(ISBLANK(patch[[#This Row],[mergeDate]]), "", MID(YEAR(patch[[#This Row],[mergeDate]]), 3,2)&amp;"'ww"&amp;WEEKNUM(patch[[#This Row],[mergeDate]]))</f>
        <v>16'ww40</v>
      </c>
      <c r="U224" s="7" t="str">
        <f>IF(ISBLANK(patch[[#This Row],[mergeDate]]), U223, MID(YEAR(patch[[#This Row],[mergeDate]]), 3,2)&amp;"'m"&amp;MONTH(patch[[#This Row],[mergeDate]]))</f>
        <v>16'm9</v>
      </c>
      <c r="V224" s="7" t="str">
        <f>IF(ISBLANK(patch[[#This Row],[project]]), "",SUM(patch[[#This Row],[BJ -1 num]:[SH -1 num]]))</f>
        <v/>
      </c>
      <c r="W224" s="7" t="str">
        <f>IF(ISBLANK(patch[[#This Row],[project]]), "",COUNTIFS($A:$A,patch[[#This Row],[number]],$S:$S, "BJ And dev",$AC:$AC, "Review-1"))</f>
        <v/>
      </c>
      <c r="X224" s="7" t="str">
        <f>IF(ISBLANK(patch[[#This Row],[project]]), "",COUNTIFS($A:$A,patch[[#This Row],[number]],$S:$S, "FL And dev",$AC:$AC, "Review-1"))</f>
        <v/>
      </c>
      <c r="Y224" s="7" t="str">
        <f>IF(ISBLANK(patch[[#This Row],[project]]), "",COUNTIFS($A:$A,patch[[#This Row],[number]],$S:$S, "SH And dev",$AC:$AC, "Review-1"))</f>
        <v/>
      </c>
      <c r="Z224" s="7" t="str">
        <f>IF(ISBLANK(patch[[#This Row],[project]]), "",COUNTIFS($A:$A,patch[[#This Row],[number]],$S:$S, "BJ And dev",$AD:$AD, "&lt;&gt;IntegratorValidationComment"))</f>
        <v/>
      </c>
      <c r="AA224" s="7" t="str">
        <f>IF(ISBLANK(patch[[#This Row],[project]]), "",COUNTIFS($A:$A,patch[[#This Row],[number]],$S:$S, "FL And dev",$AD:$AD, "&lt;&gt;IntegratorValidationComment"))</f>
        <v/>
      </c>
      <c r="AB224" s="7" t="str">
        <f>IF(ISBLANK(patch[[#This Row],[project]]), "",COUNTIFS($A:$A,patch[[#This Row],[number]],$S:$S, "SH And dev",$AD:$AD, "&lt;&gt;IntegratorValidationComment"))</f>
        <v/>
      </c>
      <c r="AC224" s="7" t="str">
        <f>IF(OR(ISNUMBER(FIND("Review-1", patch[[#This Row],[comments]])), ISNUMBER(FIND("Approver-1", patch[[#This Row],[comments]]))), "Review-1", "")</f>
        <v/>
      </c>
      <c r="AD2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4" s="7">
        <f>IF(ISBLANK(patch[[#This Row],[number]]),AE223,patch[[#This Row],[ifCommon]])</f>
        <v>0</v>
      </c>
    </row>
    <row r="225" spans="1:31">
      <c r="A225" s="151">
        <v>146977</v>
      </c>
      <c r="B225" s="151"/>
      <c r="C225" s="151"/>
      <c r="D225" s="151"/>
      <c r="E225" s="151"/>
      <c r="F225" s="151"/>
      <c r="G225" s="151"/>
      <c r="H225" s="151"/>
      <c r="I225" s="151"/>
      <c r="J225" s="152">
        <v>42640.690706018519</v>
      </c>
      <c r="K225" s="151"/>
      <c r="L225" s="151" t="s">
        <v>32</v>
      </c>
      <c r="M225" s="152">
        <v>42635.50240740741</v>
      </c>
      <c r="N225" s="151" t="s">
        <v>1880</v>
      </c>
      <c r="O225" s="151"/>
      <c r="P225" s="151"/>
      <c r="Q225" s="7" t="str">
        <f>IF(ISBLANK(patch[[#This Row],[OwnerEmail]]),Q224,patch[[#This Row],[OwnerEmail]])</f>
        <v>xi.cao@intel.com</v>
      </c>
      <c r="R225" s="7" t="str">
        <f>_xlfn.IFNA(VLOOKUP(patch[[#This Row],[tmp-owner.email]],OrgTree!$A:$K, 11, 0), "not ICG SWFW")</f>
        <v>BJ And dev</v>
      </c>
      <c r="S225" s="7" t="str">
        <f>IF(patch[[#This Row],[reviewer]]=patch[[#This Row],[tmp-owner.email]], "author", _xlfn.IFNA(VLOOKUP(patch[[#This Row],[reviewer]],OrgTree!$A:$K, 11, 0), "not ICG SWFW"))</f>
        <v>BJ And dev</v>
      </c>
      <c r="T225" s="7" t="str">
        <f>IF(ISBLANK(patch[[#This Row],[mergeDate]]), "", MID(YEAR(patch[[#This Row],[mergeDate]]), 3,2)&amp;"'ww"&amp;WEEKNUM(patch[[#This Row],[mergeDate]]))</f>
        <v>16'ww40</v>
      </c>
      <c r="U225" s="7" t="str">
        <f>IF(ISBLANK(patch[[#This Row],[mergeDate]]), U224, MID(YEAR(patch[[#This Row],[mergeDate]]), 3,2)&amp;"'m"&amp;MONTH(patch[[#This Row],[mergeDate]]))</f>
        <v>16'm9</v>
      </c>
      <c r="V225" s="7" t="str">
        <f>IF(ISBLANK(patch[[#This Row],[project]]), "",SUM(patch[[#This Row],[BJ -1 num]:[SH -1 num]]))</f>
        <v/>
      </c>
      <c r="W225" s="7" t="str">
        <f>IF(ISBLANK(patch[[#This Row],[project]]), "",COUNTIFS($A:$A,patch[[#This Row],[number]],$S:$S, "BJ And dev",$AC:$AC, "Review-1"))</f>
        <v/>
      </c>
      <c r="X225" s="7" t="str">
        <f>IF(ISBLANK(patch[[#This Row],[project]]), "",COUNTIFS($A:$A,patch[[#This Row],[number]],$S:$S, "FL And dev",$AC:$AC, "Review-1"))</f>
        <v/>
      </c>
      <c r="Y225" s="7" t="str">
        <f>IF(ISBLANK(patch[[#This Row],[project]]), "",COUNTIFS($A:$A,patch[[#This Row],[number]],$S:$S, "SH And dev",$AC:$AC, "Review-1"))</f>
        <v/>
      </c>
      <c r="Z225" s="7" t="str">
        <f>IF(ISBLANK(patch[[#This Row],[project]]), "",COUNTIFS($A:$A,patch[[#This Row],[number]],$S:$S, "BJ And dev",$AD:$AD, "&lt;&gt;IntegratorValidationComment"))</f>
        <v/>
      </c>
      <c r="AA225" s="7" t="str">
        <f>IF(ISBLANK(patch[[#This Row],[project]]), "",COUNTIFS($A:$A,patch[[#This Row],[number]],$S:$S, "FL And dev",$AD:$AD, "&lt;&gt;IntegratorValidationComment"))</f>
        <v/>
      </c>
      <c r="AB225" s="7" t="str">
        <f>IF(ISBLANK(patch[[#This Row],[project]]), "",COUNTIFS($A:$A,patch[[#This Row],[number]],$S:$S, "SH And dev",$AD:$AD, "&lt;&gt;IntegratorValidationComment"))</f>
        <v/>
      </c>
      <c r="AC225" s="7" t="str">
        <f>IF(OR(ISNUMBER(FIND("Review-1", patch[[#This Row],[comments]])), ISNUMBER(FIND("Approver-1", patch[[#This Row],[comments]]))), "Review-1", "")</f>
        <v/>
      </c>
      <c r="AD2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5" s="7">
        <f>IF(ISBLANK(patch[[#This Row],[number]]),AE224,patch[[#This Row],[ifCommon]])</f>
        <v>0</v>
      </c>
    </row>
    <row r="226" spans="1:31">
      <c r="A226" s="151">
        <v>146977</v>
      </c>
      <c r="B226" s="151"/>
      <c r="C226" s="151"/>
      <c r="D226" s="151"/>
      <c r="E226" s="151"/>
      <c r="F226" s="151"/>
      <c r="G226" s="151"/>
      <c r="H226" s="151"/>
      <c r="I226" s="151"/>
      <c r="J226" s="152">
        <v>42640.690706018519</v>
      </c>
      <c r="K226" s="151"/>
      <c r="L226" s="151" t="s">
        <v>115</v>
      </c>
      <c r="M226" s="152">
        <v>42636.4219212963</v>
      </c>
      <c r="N226" s="151" t="s">
        <v>2494</v>
      </c>
      <c r="O226" s="151"/>
      <c r="P226" s="151"/>
      <c r="Q226" s="7" t="str">
        <f>IF(ISBLANK(patch[[#This Row],[OwnerEmail]]),Q225,patch[[#This Row],[OwnerEmail]])</f>
        <v>xi.cao@intel.com</v>
      </c>
      <c r="R226" s="7" t="str">
        <f>_xlfn.IFNA(VLOOKUP(patch[[#This Row],[tmp-owner.email]],OrgTree!$A:$K, 11, 0), "not ICG SWFW")</f>
        <v>BJ And dev</v>
      </c>
      <c r="S226" s="7" t="str">
        <f>IF(patch[[#This Row],[reviewer]]=patch[[#This Row],[tmp-owner.email]], "author", _xlfn.IFNA(VLOOKUP(patch[[#This Row],[reviewer]],OrgTree!$A:$K, 11, 0), "not ICG SWFW"))</f>
        <v>Val</v>
      </c>
      <c r="T226" s="7" t="str">
        <f>IF(ISBLANK(patch[[#This Row],[mergeDate]]), "", MID(YEAR(patch[[#This Row],[mergeDate]]), 3,2)&amp;"'ww"&amp;WEEKNUM(patch[[#This Row],[mergeDate]]))</f>
        <v>16'ww40</v>
      </c>
      <c r="U226" s="7" t="str">
        <f>IF(ISBLANK(patch[[#This Row],[mergeDate]]), U225, MID(YEAR(patch[[#This Row],[mergeDate]]), 3,2)&amp;"'m"&amp;MONTH(patch[[#This Row],[mergeDate]]))</f>
        <v>16'm9</v>
      </c>
      <c r="V226" s="7" t="str">
        <f>IF(ISBLANK(patch[[#This Row],[project]]), "",SUM(patch[[#This Row],[BJ -1 num]:[SH -1 num]]))</f>
        <v/>
      </c>
      <c r="W226" s="7" t="str">
        <f>IF(ISBLANK(patch[[#This Row],[project]]), "",COUNTIFS($A:$A,patch[[#This Row],[number]],$S:$S, "BJ And dev",$AC:$AC, "Review-1"))</f>
        <v/>
      </c>
      <c r="X226" s="7" t="str">
        <f>IF(ISBLANK(patch[[#This Row],[project]]), "",COUNTIFS($A:$A,patch[[#This Row],[number]],$S:$S, "FL And dev",$AC:$AC, "Review-1"))</f>
        <v/>
      </c>
      <c r="Y226" s="7" t="str">
        <f>IF(ISBLANK(patch[[#This Row],[project]]), "",COUNTIFS($A:$A,patch[[#This Row],[number]],$S:$S, "SH And dev",$AC:$AC, "Review-1"))</f>
        <v/>
      </c>
      <c r="Z226" s="7" t="str">
        <f>IF(ISBLANK(patch[[#This Row],[project]]), "",COUNTIFS($A:$A,patch[[#This Row],[number]],$S:$S, "BJ And dev",$AD:$AD, "&lt;&gt;IntegratorValidationComment"))</f>
        <v/>
      </c>
      <c r="AA226" s="7" t="str">
        <f>IF(ISBLANK(patch[[#This Row],[project]]), "",COUNTIFS($A:$A,patch[[#This Row],[number]],$S:$S, "FL And dev",$AD:$AD, "&lt;&gt;IntegratorValidationComment"))</f>
        <v/>
      </c>
      <c r="AB226" s="7" t="str">
        <f>IF(ISBLANK(patch[[#This Row],[project]]), "",COUNTIFS($A:$A,patch[[#This Row],[number]],$S:$S, "SH And dev",$AD:$AD, "&lt;&gt;IntegratorValidationComment"))</f>
        <v/>
      </c>
      <c r="AC226" s="7" t="str">
        <f>IF(OR(ISNUMBER(FIND("Review-1", patch[[#This Row],[comments]])), ISNUMBER(FIND("Approver-1", patch[[#This Row],[comments]]))), "Review-1", "")</f>
        <v/>
      </c>
      <c r="AD2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26" s="7">
        <f>IF(ISBLANK(patch[[#This Row],[number]]),AE225,patch[[#This Row],[ifCommon]])</f>
        <v>0</v>
      </c>
    </row>
    <row r="227" spans="1:31">
      <c r="A227" s="151">
        <v>146977</v>
      </c>
      <c r="B227" s="151"/>
      <c r="C227" s="151"/>
      <c r="D227" s="151"/>
      <c r="E227" s="151"/>
      <c r="F227" s="151"/>
      <c r="G227" s="151"/>
      <c r="H227" s="151"/>
      <c r="I227" s="151"/>
      <c r="J227" s="152">
        <v>42640.690706018519</v>
      </c>
      <c r="K227" s="151"/>
      <c r="L227" s="151" t="s">
        <v>115</v>
      </c>
      <c r="M227" s="152">
        <v>42636.762650462973</v>
      </c>
      <c r="N227" s="151" t="s">
        <v>2703</v>
      </c>
      <c r="O227" s="151"/>
      <c r="P227" s="151"/>
      <c r="Q227" s="7" t="str">
        <f>IF(ISBLANK(patch[[#This Row],[OwnerEmail]]),Q226,patch[[#This Row],[OwnerEmail]])</f>
        <v>xi.cao@intel.com</v>
      </c>
      <c r="R227" s="7" t="str">
        <f>_xlfn.IFNA(VLOOKUP(patch[[#This Row],[tmp-owner.email]],OrgTree!$A:$K, 11, 0), "not ICG SWFW")</f>
        <v>BJ And dev</v>
      </c>
      <c r="S227" s="7" t="str">
        <f>IF(patch[[#This Row],[reviewer]]=patch[[#This Row],[tmp-owner.email]], "author", _xlfn.IFNA(VLOOKUP(patch[[#This Row],[reviewer]],OrgTree!$A:$K, 11, 0), "not ICG SWFW"))</f>
        <v>Val</v>
      </c>
      <c r="T227" s="7" t="str">
        <f>IF(ISBLANK(patch[[#This Row],[mergeDate]]), "", MID(YEAR(patch[[#This Row],[mergeDate]]), 3,2)&amp;"'ww"&amp;WEEKNUM(patch[[#This Row],[mergeDate]]))</f>
        <v>16'ww40</v>
      </c>
      <c r="U227" s="7" t="str">
        <f>IF(ISBLANK(patch[[#This Row],[mergeDate]]), U226, MID(YEAR(patch[[#This Row],[mergeDate]]), 3,2)&amp;"'m"&amp;MONTH(patch[[#This Row],[mergeDate]]))</f>
        <v>16'm9</v>
      </c>
      <c r="V227" s="7" t="str">
        <f>IF(ISBLANK(patch[[#This Row],[project]]), "",SUM(patch[[#This Row],[BJ -1 num]:[SH -1 num]]))</f>
        <v/>
      </c>
      <c r="W227" s="7" t="str">
        <f>IF(ISBLANK(patch[[#This Row],[project]]), "",COUNTIFS($A:$A,patch[[#This Row],[number]],$S:$S, "BJ And dev",$AC:$AC, "Review-1"))</f>
        <v/>
      </c>
      <c r="X227" s="7" t="str">
        <f>IF(ISBLANK(patch[[#This Row],[project]]), "",COUNTIFS($A:$A,patch[[#This Row],[number]],$S:$S, "FL And dev",$AC:$AC, "Review-1"))</f>
        <v/>
      </c>
      <c r="Y227" s="7" t="str">
        <f>IF(ISBLANK(patch[[#This Row],[project]]), "",COUNTIFS($A:$A,patch[[#This Row],[number]],$S:$S, "SH And dev",$AC:$AC, "Review-1"))</f>
        <v/>
      </c>
      <c r="Z227" s="7" t="str">
        <f>IF(ISBLANK(patch[[#This Row],[project]]), "",COUNTIFS($A:$A,patch[[#This Row],[number]],$S:$S, "BJ And dev",$AD:$AD, "&lt;&gt;IntegratorValidationComment"))</f>
        <v/>
      </c>
      <c r="AA227" s="7" t="str">
        <f>IF(ISBLANK(patch[[#This Row],[project]]), "",COUNTIFS($A:$A,patch[[#This Row],[number]],$S:$S, "FL And dev",$AD:$AD, "&lt;&gt;IntegratorValidationComment"))</f>
        <v/>
      </c>
      <c r="AB227" s="7" t="str">
        <f>IF(ISBLANK(patch[[#This Row],[project]]), "",COUNTIFS($A:$A,patch[[#This Row],[number]],$S:$S, "SH And dev",$AD:$AD, "&lt;&gt;IntegratorValidationComment"))</f>
        <v/>
      </c>
      <c r="AC227" s="7" t="str">
        <f>IF(OR(ISNUMBER(FIND("Review-1", patch[[#This Row],[comments]])), ISNUMBER(FIND("Approver-1", patch[[#This Row],[comments]]))), "Review-1", "")</f>
        <v/>
      </c>
      <c r="AD2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27" s="7">
        <f>IF(ISBLANK(patch[[#This Row],[number]]),AE226,patch[[#This Row],[ifCommon]])</f>
        <v>0</v>
      </c>
    </row>
    <row r="228" spans="1:31">
      <c r="A228" s="151">
        <v>146977</v>
      </c>
      <c r="B228" s="151"/>
      <c r="C228" s="151"/>
      <c r="D228" s="151"/>
      <c r="E228" s="151"/>
      <c r="F228" s="151"/>
      <c r="G228" s="151"/>
      <c r="H228" s="151"/>
      <c r="I228" s="151"/>
      <c r="J228" s="152">
        <v>42640.690706018519</v>
      </c>
      <c r="K228" s="151"/>
      <c r="L228" s="151" t="s">
        <v>1203</v>
      </c>
      <c r="M228" s="152">
        <v>42636.981898148151</v>
      </c>
      <c r="N228" s="151" t="s">
        <v>2456</v>
      </c>
      <c r="O228" s="151"/>
      <c r="P228" s="151"/>
      <c r="Q228" s="7" t="str">
        <f>IF(ISBLANK(patch[[#This Row],[OwnerEmail]]),Q227,patch[[#This Row],[OwnerEmail]])</f>
        <v>xi.cao@intel.com</v>
      </c>
      <c r="R228" s="7" t="str">
        <f>_xlfn.IFNA(VLOOKUP(patch[[#This Row],[tmp-owner.email]],OrgTree!$A:$K, 11, 0), "not ICG SWFW")</f>
        <v>BJ And dev</v>
      </c>
      <c r="S228" s="7" t="str">
        <f>IF(patch[[#This Row],[reviewer]]=patch[[#This Row],[tmp-owner.email]], "author", _xlfn.IFNA(VLOOKUP(patch[[#This Row],[reviewer]],OrgTree!$A:$K, 11, 0), "not ICG SWFW"))</f>
        <v>author</v>
      </c>
      <c r="T228" s="7" t="str">
        <f>IF(ISBLANK(patch[[#This Row],[mergeDate]]), "", MID(YEAR(patch[[#This Row],[mergeDate]]), 3,2)&amp;"'ww"&amp;WEEKNUM(patch[[#This Row],[mergeDate]]))</f>
        <v>16'ww40</v>
      </c>
      <c r="U228" s="7" t="str">
        <f>IF(ISBLANK(patch[[#This Row],[mergeDate]]), U227, MID(YEAR(patch[[#This Row],[mergeDate]]), 3,2)&amp;"'m"&amp;MONTH(patch[[#This Row],[mergeDate]]))</f>
        <v>16'm9</v>
      </c>
      <c r="V228" s="7" t="str">
        <f>IF(ISBLANK(patch[[#This Row],[project]]), "",SUM(patch[[#This Row],[BJ -1 num]:[SH -1 num]]))</f>
        <v/>
      </c>
      <c r="W228" s="7" t="str">
        <f>IF(ISBLANK(patch[[#This Row],[project]]), "",COUNTIFS($A:$A,patch[[#This Row],[number]],$S:$S, "BJ And dev",$AC:$AC, "Review-1"))</f>
        <v/>
      </c>
      <c r="X228" s="7" t="str">
        <f>IF(ISBLANK(patch[[#This Row],[project]]), "",COUNTIFS($A:$A,patch[[#This Row],[number]],$S:$S, "FL And dev",$AC:$AC, "Review-1"))</f>
        <v/>
      </c>
      <c r="Y228" s="7" t="str">
        <f>IF(ISBLANK(patch[[#This Row],[project]]), "",COUNTIFS($A:$A,patch[[#This Row],[number]],$S:$S, "SH And dev",$AC:$AC, "Review-1"))</f>
        <v/>
      </c>
      <c r="Z228" s="7" t="str">
        <f>IF(ISBLANK(patch[[#This Row],[project]]), "",COUNTIFS($A:$A,patch[[#This Row],[number]],$S:$S, "BJ And dev",$AD:$AD, "&lt;&gt;IntegratorValidationComment"))</f>
        <v/>
      </c>
      <c r="AA228" s="7" t="str">
        <f>IF(ISBLANK(patch[[#This Row],[project]]), "",COUNTIFS($A:$A,patch[[#This Row],[number]],$S:$S, "FL And dev",$AD:$AD, "&lt;&gt;IntegratorValidationComment"))</f>
        <v/>
      </c>
      <c r="AB228" s="7" t="str">
        <f>IF(ISBLANK(patch[[#This Row],[project]]), "",COUNTIFS($A:$A,patch[[#This Row],[number]],$S:$S, "SH And dev",$AD:$AD, "&lt;&gt;IntegratorValidationComment"))</f>
        <v/>
      </c>
      <c r="AC228" s="7" t="str">
        <f>IF(OR(ISNUMBER(FIND("Review-1", patch[[#This Row],[comments]])), ISNUMBER(FIND("Approver-1", patch[[#This Row],[comments]]))), "Review-1", "")</f>
        <v/>
      </c>
      <c r="AD2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8" s="7">
        <f>IF(ISBLANK(patch[[#This Row],[number]]),AE227,patch[[#This Row],[ifCommon]])</f>
        <v>0</v>
      </c>
    </row>
    <row r="229" spans="1:31">
      <c r="A229" s="151">
        <v>146977</v>
      </c>
      <c r="B229" s="151"/>
      <c r="C229" s="151"/>
      <c r="D229" s="151"/>
      <c r="E229" s="151"/>
      <c r="F229" s="151"/>
      <c r="G229" s="151"/>
      <c r="H229" s="151"/>
      <c r="I229" s="151"/>
      <c r="J229" s="152">
        <v>42640.690706018519</v>
      </c>
      <c r="K229" s="151"/>
      <c r="L229" s="151" t="s">
        <v>1203</v>
      </c>
      <c r="M229" s="152">
        <v>42636.981932870367</v>
      </c>
      <c r="N229" s="151" t="s">
        <v>2429</v>
      </c>
      <c r="O229" s="151"/>
      <c r="P229" s="151"/>
      <c r="Q229" s="7" t="str">
        <f>IF(ISBLANK(patch[[#This Row],[OwnerEmail]]),Q228,patch[[#This Row],[OwnerEmail]])</f>
        <v>xi.cao@intel.com</v>
      </c>
      <c r="R229" s="7" t="str">
        <f>_xlfn.IFNA(VLOOKUP(patch[[#This Row],[tmp-owner.email]],OrgTree!$A:$K, 11, 0), "not ICG SWFW")</f>
        <v>BJ And dev</v>
      </c>
      <c r="S229" s="7" t="str">
        <f>IF(patch[[#This Row],[reviewer]]=patch[[#This Row],[tmp-owner.email]], "author", _xlfn.IFNA(VLOOKUP(patch[[#This Row],[reviewer]],OrgTree!$A:$K, 11, 0), "not ICG SWFW"))</f>
        <v>author</v>
      </c>
      <c r="T229" s="7" t="str">
        <f>IF(ISBLANK(patch[[#This Row],[mergeDate]]), "", MID(YEAR(patch[[#This Row],[mergeDate]]), 3,2)&amp;"'ww"&amp;WEEKNUM(patch[[#This Row],[mergeDate]]))</f>
        <v>16'ww40</v>
      </c>
      <c r="U229" s="7" t="str">
        <f>IF(ISBLANK(patch[[#This Row],[mergeDate]]), U228, MID(YEAR(patch[[#This Row],[mergeDate]]), 3,2)&amp;"'m"&amp;MONTH(patch[[#This Row],[mergeDate]]))</f>
        <v>16'm9</v>
      </c>
      <c r="V229" s="7" t="str">
        <f>IF(ISBLANK(patch[[#This Row],[project]]), "",SUM(patch[[#This Row],[BJ -1 num]:[SH -1 num]]))</f>
        <v/>
      </c>
      <c r="W229" s="7" t="str">
        <f>IF(ISBLANK(patch[[#This Row],[project]]), "",COUNTIFS($A:$A,patch[[#This Row],[number]],$S:$S, "BJ And dev",$AC:$AC, "Review-1"))</f>
        <v/>
      </c>
      <c r="X229" s="7" t="str">
        <f>IF(ISBLANK(patch[[#This Row],[project]]), "",COUNTIFS($A:$A,patch[[#This Row],[number]],$S:$S, "FL And dev",$AC:$AC, "Review-1"))</f>
        <v/>
      </c>
      <c r="Y229" s="7" t="str">
        <f>IF(ISBLANK(patch[[#This Row],[project]]), "",COUNTIFS($A:$A,patch[[#This Row],[number]],$S:$S, "SH And dev",$AC:$AC, "Review-1"))</f>
        <v/>
      </c>
      <c r="Z229" s="7" t="str">
        <f>IF(ISBLANK(patch[[#This Row],[project]]), "",COUNTIFS($A:$A,patch[[#This Row],[number]],$S:$S, "BJ And dev",$AD:$AD, "&lt;&gt;IntegratorValidationComment"))</f>
        <v/>
      </c>
      <c r="AA229" s="7" t="str">
        <f>IF(ISBLANK(patch[[#This Row],[project]]), "",COUNTIFS($A:$A,patch[[#This Row],[number]],$S:$S, "FL And dev",$AD:$AD, "&lt;&gt;IntegratorValidationComment"))</f>
        <v/>
      </c>
      <c r="AB229" s="7" t="str">
        <f>IF(ISBLANK(patch[[#This Row],[project]]), "",COUNTIFS($A:$A,patch[[#This Row],[number]],$S:$S, "SH And dev",$AD:$AD, "&lt;&gt;IntegratorValidationComment"))</f>
        <v/>
      </c>
      <c r="AC229" s="7" t="str">
        <f>IF(OR(ISNUMBER(FIND("Review-1", patch[[#This Row],[comments]])), ISNUMBER(FIND("Approver-1", patch[[#This Row],[comments]]))), "Review-1", "")</f>
        <v/>
      </c>
      <c r="AD2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9" s="7">
        <f>IF(ISBLANK(patch[[#This Row],[number]]),AE228,patch[[#This Row],[ifCommon]])</f>
        <v>0</v>
      </c>
    </row>
    <row r="230" spans="1:31">
      <c r="A230" s="151">
        <v>146977</v>
      </c>
      <c r="B230" s="151"/>
      <c r="C230" s="151"/>
      <c r="D230" s="151"/>
      <c r="E230" s="151"/>
      <c r="F230" s="151"/>
      <c r="G230" s="151"/>
      <c r="H230" s="151"/>
      <c r="I230" s="151"/>
      <c r="J230" s="152">
        <v>42640.690706018519</v>
      </c>
      <c r="K230" s="151"/>
      <c r="L230" s="151" t="s">
        <v>1203</v>
      </c>
      <c r="M230" s="152">
        <v>42636.998888888891</v>
      </c>
      <c r="N230" s="151" t="s">
        <v>2450</v>
      </c>
      <c r="O230" s="151"/>
      <c r="P230" s="151"/>
      <c r="Q230" s="7" t="str">
        <f>IF(ISBLANK(patch[[#This Row],[OwnerEmail]]),Q229,patch[[#This Row],[OwnerEmail]])</f>
        <v>xi.cao@intel.com</v>
      </c>
      <c r="R230" s="7" t="str">
        <f>_xlfn.IFNA(VLOOKUP(patch[[#This Row],[tmp-owner.email]],OrgTree!$A:$K, 11, 0), "not ICG SWFW")</f>
        <v>BJ And dev</v>
      </c>
      <c r="S230" s="7" t="str">
        <f>IF(patch[[#This Row],[reviewer]]=patch[[#This Row],[tmp-owner.email]], "author", _xlfn.IFNA(VLOOKUP(patch[[#This Row],[reviewer]],OrgTree!$A:$K, 11, 0), "not ICG SWFW"))</f>
        <v>author</v>
      </c>
      <c r="T230" s="7" t="str">
        <f>IF(ISBLANK(patch[[#This Row],[mergeDate]]), "", MID(YEAR(patch[[#This Row],[mergeDate]]), 3,2)&amp;"'ww"&amp;WEEKNUM(patch[[#This Row],[mergeDate]]))</f>
        <v>16'ww40</v>
      </c>
      <c r="U230" s="7" t="str">
        <f>IF(ISBLANK(patch[[#This Row],[mergeDate]]), U229, MID(YEAR(patch[[#This Row],[mergeDate]]), 3,2)&amp;"'m"&amp;MONTH(patch[[#This Row],[mergeDate]]))</f>
        <v>16'm9</v>
      </c>
      <c r="V230" s="7" t="str">
        <f>IF(ISBLANK(patch[[#This Row],[project]]), "",SUM(patch[[#This Row],[BJ -1 num]:[SH -1 num]]))</f>
        <v/>
      </c>
      <c r="W230" s="7" t="str">
        <f>IF(ISBLANK(patch[[#This Row],[project]]), "",COUNTIFS($A:$A,patch[[#This Row],[number]],$S:$S, "BJ And dev",$AC:$AC, "Review-1"))</f>
        <v/>
      </c>
      <c r="X230" s="7" t="str">
        <f>IF(ISBLANK(patch[[#This Row],[project]]), "",COUNTIFS($A:$A,patch[[#This Row],[number]],$S:$S, "FL And dev",$AC:$AC, "Review-1"))</f>
        <v/>
      </c>
      <c r="Y230" s="7" t="str">
        <f>IF(ISBLANK(patch[[#This Row],[project]]), "",COUNTIFS($A:$A,patch[[#This Row],[number]],$S:$S, "SH And dev",$AC:$AC, "Review-1"))</f>
        <v/>
      </c>
      <c r="Z230" s="7" t="str">
        <f>IF(ISBLANK(patch[[#This Row],[project]]), "",COUNTIFS($A:$A,patch[[#This Row],[number]],$S:$S, "BJ And dev",$AD:$AD, "&lt;&gt;IntegratorValidationComment"))</f>
        <v/>
      </c>
      <c r="AA230" s="7" t="str">
        <f>IF(ISBLANK(patch[[#This Row],[project]]), "",COUNTIFS($A:$A,patch[[#This Row],[number]],$S:$S, "FL And dev",$AD:$AD, "&lt;&gt;IntegratorValidationComment"))</f>
        <v/>
      </c>
      <c r="AB230" s="7" t="str">
        <f>IF(ISBLANK(patch[[#This Row],[project]]), "",COUNTIFS($A:$A,patch[[#This Row],[number]],$S:$S, "SH And dev",$AD:$AD, "&lt;&gt;IntegratorValidationComment"))</f>
        <v/>
      </c>
      <c r="AC230" s="7" t="str">
        <f>IF(OR(ISNUMBER(FIND("Review-1", patch[[#This Row],[comments]])), ISNUMBER(FIND("Approver-1", patch[[#This Row],[comments]]))), "Review-1", "")</f>
        <v/>
      </c>
      <c r="AD2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0" s="7">
        <f>IF(ISBLANK(patch[[#This Row],[number]]),AE229,patch[[#This Row],[ifCommon]])</f>
        <v>0</v>
      </c>
    </row>
    <row r="231" spans="1:31">
      <c r="A231" s="151">
        <v>146977</v>
      </c>
      <c r="B231" s="151"/>
      <c r="C231" s="151"/>
      <c r="D231" s="151"/>
      <c r="E231" s="151"/>
      <c r="F231" s="151"/>
      <c r="G231" s="151"/>
      <c r="H231" s="151"/>
      <c r="I231" s="151"/>
      <c r="J231" s="152">
        <v>42640.690706018519</v>
      </c>
      <c r="K231" s="151"/>
      <c r="L231" s="151" t="s">
        <v>1203</v>
      </c>
      <c r="M231" s="152">
        <v>42636.998888888891</v>
      </c>
      <c r="N231" s="151" t="s">
        <v>2704</v>
      </c>
      <c r="O231" s="151"/>
      <c r="P231" s="151"/>
      <c r="Q231" s="7" t="str">
        <f>IF(ISBLANK(patch[[#This Row],[OwnerEmail]]),Q230,patch[[#This Row],[OwnerEmail]])</f>
        <v>xi.cao@intel.com</v>
      </c>
      <c r="R231" s="7" t="str">
        <f>_xlfn.IFNA(VLOOKUP(patch[[#This Row],[tmp-owner.email]],OrgTree!$A:$K, 11, 0), "not ICG SWFW")</f>
        <v>BJ And dev</v>
      </c>
      <c r="S231" s="7" t="str">
        <f>IF(patch[[#This Row],[reviewer]]=patch[[#This Row],[tmp-owner.email]], "author", _xlfn.IFNA(VLOOKUP(patch[[#This Row],[reviewer]],OrgTree!$A:$K, 11, 0), "not ICG SWFW"))</f>
        <v>author</v>
      </c>
      <c r="T231" s="7" t="str">
        <f>IF(ISBLANK(patch[[#This Row],[mergeDate]]), "", MID(YEAR(patch[[#This Row],[mergeDate]]), 3,2)&amp;"'ww"&amp;WEEKNUM(patch[[#This Row],[mergeDate]]))</f>
        <v>16'ww40</v>
      </c>
      <c r="U231" s="7" t="str">
        <f>IF(ISBLANK(patch[[#This Row],[mergeDate]]), U230, MID(YEAR(patch[[#This Row],[mergeDate]]), 3,2)&amp;"'m"&amp;MONTH(patch[[#This Row],[mergeDate]]))</f>
        <v>16'm9</v>
      </c>
      <c r="V231" s="7" t="str">
        <f>IF(ISBLANK(patch[[#This Row],[project]]), "",SUM(patch[[#This Row],[BJ -1 num]:[SH -1 num]]))</f>
        <v/>
      </c>
      <c r="W231" s="7" t="str">
        <f>IF(ISBLANK(patch[[#This Row],[project]]), "",COUNTIFS($A:$A,patch[[#This Row],[number]],$S:$S, "BJ And dev",$AC:$AC, "Review-1"))</f>
        <v/>
      </c>
      <c r="X231" s="7" t="str">
        <f>IF(ISBLANK(patch[[#This Row],[project]]), "",COUNTIFS($A:$A,patch[[#This Row],[number]],$S:$S, "FL And dev",$AC:$AC, "Review-1"))</f>
        <v/>
      </c>
      <c r="Y231" s="7" t="str">
        <f>IF(ISBLANK(patch[[#This Row],[project]]), "",COUNTIFS($A:$A,patch[[#This Row],[number]],$S:$S, "SH And dev",$AC:$AC, "Review-1"))</f>
        <v/>
      </c>
      <c r="Z231" s="7" t="str">
        <f>IF(ISBLANK(patch[[#This Row],[project]]), "",COUNTIFS($A:$A,patch[[#This Row],[number]],$S:$S, "BJ And dev",$AD:$AD, "&lt;&gt;IntegratorValidationComment"))</f>
        <v/>
      </c>
      <c r="AA231" s="7" t="str">
        <f>IF(ISBLANK(patch[[#This Row],[project]]), "",COUNTIFS($A:$A,patch[[#This Row],[number]],$S:$S, "FL And dev",$AD:$AD, "&lt;&gt;IntegratorValidationComment"))</f>
        <v/>
      </c>
      <c r="AB231" s="7" t="str">
        <f>IF(ISBLANK(patch[[#This Row],[project]]), "",COUNTIFS($A:$A,patch[[#This Row],[number]],$S:$S, "SH And dev",$AD:$AD, "&lt;&gt;IntegratorValidationComment"))</f>
        <v/>
      </c>
      <c r="AC231" s="7" t="str">
        <f>IF(OR(ISNUMBER(FIND("Review-1", patch[[#This Row],[comments]])), ISNUMBER(FIND("Approver-1", patch[[#This Row],[comments]]))), "Review-1", "")</f>
        <v/>
      </c>
      <c r="AD2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1" s="7">
        <f>IF(ISBLANK(patch[[#This Row],[number]]),AE230,patch[[#This Row],[ifCommon]])</f>
        <v>0</v>
      </c>
    </row>
    <row r="232" spans="1:31">
      <c r="A232" s="151">
        <v>146977</v>
      </c>
      <c r="B232" s="151"/>
      <c r="C232" s="151"/>
      <c r="D232" s="151"/>
      <c r="E232" s="151"/>
      <c r="F232" s="151"/>
      <c r="G232" s="151"/>
      <c r="H232" s="151"/>
      <c r="I232" s="151"/>
      <c r="J232" s="152">
        <v>42640.690706018519</v>
      </c>
      <c r="K232" s="151"/>
      <c r="L232" s="151" t="s">
        <v>115</v>
      </c>
      <c r="M232" s="152">
        <v>42639.37060185185</v>
      </c>
      <c r="N232" s="151" t="s">
        <v>2576</v>
      </c>
      <c r="O232" s="151"/>
      <c r="P232" s="151"/>
      <c r="Q232" s="7" t="str">
        <f>IF(ISBLANK(patch[[#This Row],[OwnerEmail]]),Q231,patch[[#This Row],[OwnerEmail]])</f>
        <v>xi.cao@intel.com</v>
      </c>
      <c r="R232" s="7" t="str">
        <f>_xlfn.IFNA(VLOOKUP(patch[[#This Row],[tmp-owner.email]],OrgTree!$A:$K, 11, 0), "not ICG SWFW")</f>
        <v>BJ And dev</v>
      </c>
      <c r="S232" s="7" t="str">
        <f>IF(patch[[#This Row],[reviewer]]=patch[[#This Row],[tmp-owner.email]], "author", _xlfn.IFNA(VLOOKUP(patch[[#This Row],[reviewer]],OrgTree!$A:$K, 11, 0), "not ICG SWFW"))</f>
        <v>Val</v>
      </c>
      <c r="T232" s="7" t="str">
        <f>IF(ISBLANK(patch[[#This Row],[mergeDate]]), "", MID(YEAR(patch[[#This Row],[mergeDate]]), 3,2)&amp;"'ww"&amp;WEEKNUM(patch[[#This Row],[mergeDate]]))</f>
        <v>16'ww40</v>
      </c>
      <c r="U232" s="7" t="str">
        <f>IF(ISBLANK(patch[[#This Row],[mergeDate]]), U231, MID(YEAR(patch[[#This Row],[mergeDate]]), 3,2)&amp;"'m"&amp;MONTH(patch[[#This Row],[mergeDate]]))</f>
        <v>16'm9</v>
      </c>
      <c r="V232" s="7" t="str">
        <f>IF(ISBLANK(patch[[#This Row],[project]]), "",SUM(patch[[#This Row],[BJ -1 num]:[SH -1 num]]))</f>
        <v/>
      </c>
      <c r="W232" s="7" t="str">
        <f>IF(ISBLANK(patch[[#This Row],[project]]), "",COUNTIFS($A:$A,patch[[#This Row],[number]],$S:$S, "BJ And dev",$AC:$AC, "Review-1"))</f>
        <v/>
      </c>
      <c r="X232" s="7" t="str">
        <f>IF(ISBLANK(patch[[#This Row],[project]]), "",COUNTIFS($A:$A,patch[[#This Row],[number]],$S:$S, "FL And dev",$AC:$AC, "Review-1"))</f>
        <v/>
      </c>
      <c r="Y232" s="7" t="str">
        <f>IF(ISBLANK(patch[[#This Row],[project]]), "",COUNTIFS($A:$A,patch[[#This Row],[number]],$S:$S, "SH And dev",$AC:$AC, "Review-1"))</f>
        <v/>
      </c>
      <c r="Z232" s="7" t="str">
        <f>IF(ISBLANK(patch[[#This Row],[project]]), "",COUNTIFS($A:$A,patch[[#This Row],[number]],$S:$S, "BJ And dev",$AD:$AD, "&lt;&gt;IntegratorValidationComment"))</f>
        <v/>
      </c>
      <c r="AA232" s="7" t="str">
        <f>IF(ISBLANK(patch[[#This Row],[project]]), "",COUNTIFS($A:$A,patch[[#This Row],[number]],$S:$S, "FL And dev",$AD:$AD, "&lt;&gt;IntegratorValidationComment"))</f>
        <v/>
      </c>
      <c r="AB232" s="7" t="str">
        <f>IF(ISBLANK(patch[[#This Row],[project]]), "",COUNTIFS($A:$A,patch[[#This Row],[number]],$S:$S, "SH And dev",$AD:$AD, "&lt;&gt;IntegratorValidationComment"))</f>
        <v/>
      </c>
      <c r="AC232" s="7" t="str">
        <f>IF(OR(ISNUMBER(FIND("Review-1", patch[[#This Row],[comments]])), ISNUMBER(FIND("Approver-1", patch[[#This Row],[comments]]))), "Review-1", "")</f>
        <v/>
      </c>
      <c r="AD2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32" s="7">
        <f>IF(ISBLANK(patch[[#This Row],[number]]),AE231,patch[[#This Row],[ifCommon]])</f>
        <v>0</v>
      </c>
    </row>
    <row r="233" spans="1:31">
      <c r="A233" s="151">
        <v>146977</v>
      </c>
      <c r="B233" s="151"/>
      <c r="C233" s="151"/>
      <c r="D233" s="151"/>
      <c r="E233" s="151"/>
      <c r="F233" s="151"/>
      <c r="G233" s="151"/>
      <c r="H233" s="151"/>
      <c r="I233" s="151"/>
      <c r="J233" s="152">
        <v>42640.690706018519</v>
      </c>
      <c r="K233" s="151"/>
      <c r="L233" s="151" t="s">
        <v>59</v>
      </c>
      <c r="M233" s="152">
        <v>42639.377754629633</v>
      </c>
      <c r="N233" s="151" t="s">
        <v>2705</v>
      </c>
      <c r="O233" s="151"/>
      <c r="P233" s="151"/>
      <c r="Q233" s="7" t="str">
        <f>IF(ISBLANK(patch[[#This Row],[OwnerEmail]]),Q232,patch[[#This Row],[OwnerEmail]])</f>
        <v>xi.cao@intel.com</v>
      </c>
      <c r="R233" s="7" t="str">
        <f>_xlfn.IFNA(VLOOKUP(patch[[#This Row],[tmp-owner.email]],OrgTree!$A:$K, 11, 0), "not ICG SWFW")</f>
        <v>BJ And dev</v>
      </c>
      <c r="S233" s="7" t="str">
        <f>IF(patch[[#This Row],[reviewer]]=patch[[#This Row],[tmp-owner.email]], "author", _xlfn.IFNA(VLOOKUP(patch[[#This Row],[reviewer]],OrgTree!$A:$K, 11, 0), "not ICG SWFW"))</f>
        <v>BJ And dev</v>
      </c>
      <c r="T233" s="7" t="str">
        <f>IF(ISBLANK(patch[[#This Row],[mergeDate]]), "", MID(YEAR(patch[[#This Row],[mergeDate]]), 3,2)&amp;"'ww"&amp;WEEKNUM(patch[[#This Row],[mergeDate]]))</f>
        <v>16'ww40</v>
      </c>
      <c r="U233" s="7" t="str">
        <f>IF(ISBLANK(patch[[#This Row],[mergeDate]]), U232, MID(YEAR(patch[[#This Row],[mergeDate]]), 3,2)&amp;"'m"&amp;MONTH(patch[[#This Row],[mergeDate]]))</f>
        <v>16'm9</v>
      </c>
      <c r="V233" s="7" t="str">
        <f>IF(ISBLANK(patch[[#This Row],[project]]), "",SUM(patch[[#This Row],[BJ -1 num]:[SH -1 num]]))</f>
        <v/>
      </c>
      <c r="W233" s="7" t="str">
        <f>IF(ISBLANK(patch[[#This Row],[project]]), "",COUNTIFS($A:$A,patch[[#This Row],[number]],$S:$S, "BJ And dev",$AC:$AC, "Review-1"))</f>
        <v/>
      </c>
      <c r="X233" s="7" t="str">
        <f>IF(ISBLANK(patch[[#This Row],[project]]), "",COUNTIFS($A:$A,patch[[#This Row],[number]],$S:$S, "FL And dev",$AC:$AC, "Review-1"))</f>
        <v/>
      </c>
      <c r="Y233" s="7" t="str">
        <f>IF(ISBLANK(patch[[#This Row],[project]]), "",COUNTIFS($A:$A,patch[[#This Row],[number]],$S:$S, "SH And dev",$AC:$AC, "Review-1"))</f>
        <v/>
      </c>
      <c r="Z233" s="7" t="str">
        <f>IF(ISBLANK(patch[[#This Row],[project]]), "",COUNTIFS($A:$A,patch[[#This Row],[number]],$S:$S, "BJ And dev",$AD:$AD, "&lt;&gt;IntegratorValidationComment"))</f>
        <v/>
      </c>
      <c r="AA233" s="7" t="str">
        <f>IF(ISBLANK(patch[[#This Row],[project]]), "",COUNTIFS($A:$A,patch[[#This Row],[number]],$S:$S, "FL And dev",$AD:$AD, "&lt;&gt;IntegratorValidationComment"))</f>
        <v/>
      </c>
      <c r="AB233" s="7" t="str">
        <f>IF(ISBLANK(patch[[#This Row],[project]]), "",COUNTIFS($A:$A,patch[[#This Row],[number]],$S:$S, "SH And dev",$AD:$AD, "&lt;&gt;IntegratorValidationComment"))</f>
        <v/>
      </c>
      <c r="AC233" s="7" t="str">
        <f>IF(OR(ISNUMBER(FIND("Review-1", patch[[#This Row],[comments]])), ISNUMBER(FIND("Approver-1", patch[[#This Row],[comments]]))), "Review-1", "")</f>
        <v/>
      </c>
      <c r="AD2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3" s="7">
        <f>IF(ISBLANK(patch[[#This Row],[number]]),AE232,patch[[#This Row],[ifCommon]])</f>
        <v>0</v>
      </c>
    </row>
    <row r="234" spans="1:31">
      <c r="A234" s="151">
        <v>146977</v>
      </c>
      <c r="B234" s="151"/>
      <c r="C234" s="151"/>
      <c r="D234" s="151"/>
      <c r="E234" s="151"/>
      <c r="F234" s="151"/>
      <c r="G234" s="151"/>
      <c r="H234" s="151"/>
      <c r="I234" s="151"/>
      <c r="J234" s="152">
        <v>42640.690706018519</v>
      </c>
      <c r="K234" s="151"/>
      <c r="L234" s="151" t="s">
        <v>59</v>
      </c>
      <c r="M234" s="152">
        <v>42639.388043981482</v>
      </c>
      <c r="N234" s="151" t="s">
        <v>2706</v>
      </c>
      <c r="O234" s="151"/>
      <c r="P234" s="151"/>
      <c r="Q234" s="7" t="str">
        <f>IF(ISBLANK(patch[[#This Row],[OwnerEmail]]),Q233,patch[[#This Row],[OwnerEmail]])</f>
        <v>xi.cao@intel.com</v>
      </c>
      <c r="R234" s="7" t="str">
        <f>_xlfn.IFNA(VLOOKUP(patch[[#This Row],[tmp-owner.email]],OrgTree!$A:$K, 11, 0), "not ICG SWFW")</f>
        <v>BJ And dev</v>
      </c>
      <c r="S234" s="7" t="str">
        <f>IF(patch[[#This Row],[reviewer]]=patch[[#This Row],[tmp-owner.email]], "author", _xlfn.IFNA(VLOOKUP(patch[[#This Row],[reviewer]],OrgTree!$A:$K, 11, 0), "not ICG SWFW"))</f>
        <v>BJ And dev</v>
      </c>
      <c r="T234" s="7" t="str">
        <f>IF(ISBLANK(patch[[#This Row],[mergeDate]]), "", MID(YEAR(patch[[#This Row],[mergeDate]]), 3,2)&amp;"'ww"&amp;WEEKNUM(patch[[#This Row],[mergeDate]]))</f>
        <v>16'ww40</v>
      </c>
      <c r="U234" s="7" t="str">
        <f>IF(ISBLANK(patch[[#This Row],[mergeDate]]), U233, MID(YEAR(patch[[#This Row],[mergeDate]]), 3,2)&amp;"'m"&amp;MONTH(patch[[#This Row],[mergeDate]]))</f>
        <v>16'm9</v>
      </c>
      <c r="V234" s="7" t="str">
        <f>IF(ISBLANK(patch[[#This Row],[project]]), "",SUM(patch[[#This Row],[BJ -1 num]:[SH -1 num]]))</f>
        <v/>
      </c>
      <c r="W234" s="7" t="str">
        <f>IF(ISBLANK(patch[[#This Row],[project]]), "",COUNTIFS($A:$A,patch[[#This Row],[number]],$S:$S, "BJ And dev",$AC:$AC, "Review-1"))</f>
        <v/>
      </c>
      <c r="X234" s="7" t="str">
        <f>IF(ISBLANK(patch[[#This Row],[project]]), "",COUNTIFS($A:$A,patch[[#This Row],[number]],$S:$S, "FL And dev",$AC:$AC, "Review-1"))</f>
        <v/>
      </c>
      <c r="Y234" s="7" t="str">
        <f>IF(ISBLANK(patch[[#This Row],[project]]), "",COUNTIFS($A:$A,patch[[#This Row],[number]],$S:$S, "SH And dev",$AC:$AC, "Review-1"))</f>
        <v/>
      </c>
      <c r="Z234" s="7" t="str">
        <f>IF(ISBLANK(patch[[#This Row],[project]]), "",COUNTIFS($A:$A,patch[[#This Row],[number]],$S:$S, "BJ And dev",$AD:$AD, "&lt;&gt;IntegratorValidationComment"))</f>
        <v/>
      </c>
      <c r="AA234" s="7" t="str">
        <f>IF(ISBLANK(patch[[#This Row],[project]]), "",COUNTIFS($A:$A,patch[[#This Row],[number]],$S:$S, "FL And dev",$AD:$AD, "&lt;&gt;IntegratorValidationComment"))</f>
        <v/>
      </c>
      <c r="AB234" s="7" t="str">
        <f>IF(ISBLANK(patch[[#This Row],[project]]), "",COUNTIFS($A:$A,patch[[#This Row],[number]],$S:$S, "SH And dev",$AD:$AD, "&lt;&gt;IntegratorValidationComment"))</f>
        <v/>
      </c>
      <c r="AC234" s="7" t="str">
        <f>IF(OR(ISNUMBER(FIND("Review-1", patch[[#This Row],[comments]])), ISNUMBER(FIND("Approver-1", patch[[#This Row],[comments]]))), "Review-1", "")</f>
        <v/>
      </c>
      <c r="AD2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4" s="7">
        <f>IF(ISBLANK(patch[[#This Row],[number]]),AE233,patch[[#This Row],[ifCommon]])</f>
        <v>0</v>
      </c>
    </row>
    <row r="235" spans="1:31">
      <c r="A235" s="151">
        <v>146977</v>
      </c>
      <c r="B235" s="151"/>
      <c r="C235" s="151"/>
      <c r="D235" s="151"/>
      <c r="E235" s="151"/>
      <c r="F235" s="151"/>
      <c r="G235" s="151"/>
      <c r="H235" s="151"/>
      <c r="I235" s="152"/>
      <c r="J235" s="152">
        <v>42640.690706018519</v>
      </c>
      <c r="K235" s="151"/>
      <c r="L235" s="151" t="s">
        <v>115</v>
      </c>
      <c r="M235" s="152">
        <v>42639.429513888892</v>
      </c>
      <c r="N235" s="151" t="s">
        <v>2497</v>
      </c>
      <c r="O235" s="151"/>
      <c r="P235" s="151"/>
      <c r="Q235" s="7" t="str">
        <f>IF(ISBLANK(patch[[#This Row],[OwnerEmail]]),Q234,patch[[#This Row],[OwnerEmail]])</f>
        <v>xi.cao@intel.com</v>
      </c>
      <c r="R235" s="7" t="str">
        <f>_xlfn.IFNA(VLOOKUP(patch[[#This Row],[tmp-owner.email]],OrgTree!$A:$K, 11, 0), "not ICG SWFW")</f>
        <v>BJ And dev</v>
      </c>
      <c r="S235" s="7" t="str">
        <f>IF(patch[[#This Row],[reviewer]]=patch[[#This Row],[tmp-owner.email]], "author", _xlfn.IFNA(VLOOKUP(patch[[#This Row],[reviewer]],OrgTree!$A:$K, 11, 0), "not ICG SWFW"))</f>
        <v>Val</v>
      </c>
      <c r="T235" s="7" t="str">
        <f>IF(ISBLANK(patch[[#This Row],[mergeDate]]), "", MID(YEAR(patch[[#This Row],[mergeDate]]), 3,2)&amp;"'ww"&amp;WEEKNUM(patch[[#This Row],[mergeDate]]))</f>
        <v>16'ww40</v>
      </c>
      <c r="U235" s="7" t="str">
        <f>IF(ISBLANK(patch[[#This Row],[mergeDate]]), U234, MID(YEAR(patch[[#This Row],[mergeDate]]), 3,2)&amp;"'m"&amp;MONTH(patch[[#This Row],[mergeDate]]))</f>
        <v>16'm9</v>
      </c>
      <c r="V235" s="7" t="str">
        <f>IF(ISBLANK(patch[[#This Row],[project]]), "",SUM(patch[[#This Row],[BJ -1 num]:[SH -1 num]]))</f>
        <v/>
      </c>
      <c r="W235" s="7" t="str">
        <f>IF(ISBLANK(patch[[#This Row],[project]]), "",COUNTIFS($A:$A,patch[[#This Row],[number]],$S:$S, "BJ And dev",$AC:$AC, "Review-1"))</f>
        <v/>
      </c>
      <c r="X235" s="7" t="str">
        <f>IF(ISBLANK(patch[[#This Row],[project]]), "",COUNTIFS($A:$A,patch[[#This Row],[number]],$S:$S, "FL And dev",$AC:$AC, "Review-1"))</f>
        <v/>
      </c>
      <c r="Y235" s="7" t="str">
        <f>IF(ISBLANK(patch[[#This Row],[project]]), "",COUNTIFS($A:$A,patch[[#This Row],[number]],$S:$S, "SH And dev",$AC:$AC, "Review-1"))</f>
        <v/>
      </c>
      <c r="Z235" s="7" t="str">
        <f>IF(ISBLANK(patch[[#This Row],[project]]), "",COUNTIFS($A:$A,patch[[#This Row],[number]],$S:$S, "BJ And dev",$AD:$AD, "&lt;&gt;IntegratorValidationComment"))</f>
        <v/>
      </c>
      <c r="AA235" s="7" t="str">
        <f>IF(ISBLANK(patch[[#This Row],[project]]), "",COUNTIFS($A:$A,patch[[#This Row],[number]],$S:$S, "FL And dev",$AD:$AD, "&lt;&gt;IntegratorValidationComment"))</f>
        <v/>
      </c>
      <c r="AB235" s="7" t="str">
        <f>IF(ISBLANK(patch[[#This Row],[project]]), "",COUNTIFS($A:$A,patch[[#This Row],[number]],$S:$S, "SH And dev",$AD:$AD, "&lt;&gt;IntegratorValidationComment"))</f>
        <v/>
      </c>
      <c r="AC235" s="7" t="str">
        <f>IF(OR(ISNUMBER(FIND("Review-1", patch[[#This Row],[comments]])), ISNUMBER(FIND("Approver-1", patch[[#This Row],[comments]]))), "Review-1", "")</f>
        <v/>
      </c>
      <c r="AD2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35" s="7">
        <f>IF(ISBLANK(patch[[#This Row],[number]]),AE234,patch[[#This Row],[ifCommon]])</f>
        <v>0</v>
      </c>
    </row>
    <row r="236" spans="1:31">
      <c r="A236" s="151">
        <v>146977</v>
      </c>
      <c r="B236" s="151"/>
      <c r="C236" s="151"/>
      <c r="D236" s="151"/>
      <c r="E236" s="151"/>
      <c r="F236" s="151"/>
      <c r="G236" s="151"/>
      <c r="H236" s="151"/>
      <c r="I236" s="151"/>
      <c r="J236" s="152">
        <v>42640.690706018519</v>
      </c>
      <c r="K236" s="151"/>
      <c r="L236" s="151" t="s">
        <v>115</v>
      </c>
      <c r="M236" s="152">
        <v>42639.60869212963</v>
      </c>
      <c r="N236" s="151" t="s">
        <v>2707</v>
      </c>
      <c r="O236" s="151"/>
      <c r="P236" s="151"/>
      <c r="Q236" s="7" t="str">
        <f>IF(ISBLANK(patch[[#This Row],[OwnerEmail]]),Q235,patch[[#This Row],[OwnerEmail]])</f>
        <v>xi.cao@intel.com</v>
      </c>
      <c r="R236" s="7" t="str">
        <f>_xlfn.IFNA(VLOOKUP(patch[[#This Row],[tmp-owner.email]],OrgTree!$A:$K, 11, 0), "not ICG SWFW")</f>
        <v>BJ And dev</v>
      </c>
      <c r="S236" s="7" t="str">
        <f>IF(patch[[#This Row],[reviewer]]=patch[[#This Row],[tmp-owner.email]], "author", _xlfn.IFNA(VLOOKUP(patch[[#This Row],[reviewer]],OrgTree!$A:$K, 11, 0), "not ICG SWFW"))</f>
        <v>Val</v>
      </c>
      <c r="T236" s="7" t="str">
        <f>IF(ISBLANK(patch[[#This Row],[mergeDate]]), "", MID(YEAR(patch[[#This Row],[mergeDate]]), 3,2)&amp;"'ww"&amp;WEEKNUM(patch[[#This Row],[mergeDate]]))</f>
        <v>16'ww40</v>
      </c>
      <c r="U236" s="7" t="str">
        <f>IF(ISBLANK(patch[[#This Row],[mergeDate]]), U235, MID(YEAR(patch[[#This Row],[mergeDate]]), 3,2)&amp;"'m"&amp;MONTH(patch[[#This Row],[mergeDate]]))</f>
        <v>16'm9</v>
      </c>
      <c r="V236" s="7" t="str">
        <f>IF(ISBLANK(patch[[#This Row],[project]]), "",SUM(patch[[#This Row],[BJ -1 num]:[SH -1 num]]))</f>
        <v/>
      </c>
      <c r="W236" s="7" t="str">
        <f>IF(ISBLANK(patch[[#This Row],[project]]), "",COUNTIFS($A:$A,patch[[#This Row],[number]],$S:$S, "BJ And dev",$AC:$AC, "Review-1"))</f>
        <v/>
      </c>
      <c r="X236" s="7" t="str">
        <f>IF(ISBLANK(patch[[#This Row],[project]]), "",COUNTIFS($A:$A,patch[[#This Row],[number]],$S:$S, "FL And dev",$AC:$AC, "Review-1"))</f>
        <v/>
      </c>
      <c r="Y236" s="7" t="str">
        <f>IF(ISBLANK(patch[[#This Row],[project]]), "",COUNTIFS($A:$A,patch[[#This Row],[number]],$S:$S, "SH And dev",$AC:$AC, "Review-1"))</f>
        <v/>
      </c>
      <c r="Z236" s="7" t="str">
        <f>IF(ISBLANK(patch[[#This Row],[project]]), "",COUNTIFS($A:$A,patch[[#This Row],[number]],$S:$S, "BJ And dev",$AD:$AD, "&lt;&gt;IntegratorValidationComment"))</f>
        <v/>
      </c>
      <c r="AA236" s="7" t="str">
        <f>IF(ISBLANK(patch[[#This Row],[project]]), "",COUNTIFS($A:$A,patch[[#This Row],[number]],$S:$S, "FL And dev",$AD:$AD, "&lt;&gt;IntegratorValidationComment"))</f>
        <v/>
      </c>
      <c r="AB236" s="7" t="str">
        <f>IF(ISBLANK(patch[[#This Row],[project]]), "",COUNTIFS($A:$A,patch[[#This Row],[number]],$S:$S, "SH And dev",$AD:$AD, "&lt;&gt;IntegratorValidationComment"))</f>
        <v/>
      </c>
      <c r="AC236" s="7" t="str">
        <f>IF(OR(ISNUMBER(FIND("Review-1", patch[[#This Row],[comments]])), ISNUMBER(FIND("Approver-1", patch[[#This Row],[comments]]))), "Review-1", "")</f>
        <v/>
      </c>
      <c r="AD2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36" s="7">
        <f>IF(ISBLANK(patch[[#This Row],[number]]),AE235,patch[[#This Row],[ifCommon]])</f>
        <v>0</v>
      </c>
    </row>
    <row r="237" spans="1:31">
      <c r="A237" s="151">
        <v>146977</v>
      </c>
      <c r="B237" s="151"/>
      <c r="C237" s="151"/>
      <c r="D237" s="151"/>
      <c r="E237" s="151"/>
      <c r="F237" s="151"/>
      <c r="G237" s="151"/>
      <c r="H237" s="151"/>
      <c r="I237" s="151"/>
      <c r="J237" s="152">
        <v>42640.690706018519</v>
      </c>
      <c r="K237" s="151"/>
      <c r="L237" s="151" t="s">
        <v>1203</v>
      </c>
      <c r="M237" s="152">
        <v>42640.549583333333</v>
      </c>
      <c r="N237" s="151" t="s">
        <v>2536</v>
      </c>
      <c r="O237" s="151"/>
      <c r="P237" s="151"/>
      <c r="Q237" s="7" t="str">
        <f>IF(ISBLANK(patch[[#This Row],[OwnerEmail]]),Q236,patch[[#This Row],[OwnerEmail]])</f>
        <v>xi.cao@intel.com</v>
      </c>
      <c r="R237" s="7" t="str">
        <f>_xlfn.IFNA(VLOOKUP(patch[[#This Row],[tmp-owner.email]],OrgTree!$A:$K, 11, 0), "not ICG SWFW")</f>
        <v>BJ And dev</v>
      </c>
      <c r="S237" s="7" t="str">
        <f>IF(patch[[#This Row],[reviewer]]=patch[[#This Row],[tmp-owner.email]], "author", _xlfn.IFNA(VLOOKUP(patch[[#This Row],[reviewer]],OrgTree!$A:$K, 11, 0), "not ICG SWFW"))</f>
        <v>author</v>
      </c>
      <c r="T237" s="7" t="str">
        <f>IF(ISBLANK(patch[[#This Row],[mergeDate]]), "", MID(YEAR(patch[[#This Row],[mergeDate]]), 3,2)&amp;"'ww"&amp;WEEKNUM(patch[[#This Row],[mergeDate]]))</f>
        <v>16'ww40</v>
      </c>
      <c r="U237" s="7" t="str">
        <f>IF(ISBLANK(patch[[#This Row],[mergeDate]]), U236, MID(YEAR(patch[[#This Row],[mergeDate]]), 3,2)&amp;"'m"&amp;MONTH(patch[[#This Row],[mergeDate]]))</f>
        <v>16'm9</v>
      </c>
      <c r="V237" s="7" t="str">
        <f>IF(ISBLANK(patch[[#This Row],[project]]), "",SUM(patch[[#This Row],[BJ -1 num]:[SH -1 num]]))</f>
        <v/>
      </c>
      <c r="W237" s="7" t="str">
        <f>IF(ISBLANK(patch[[#This Row],[project]]), "",COUNTIFS($A:$A,patch[[#This Row],[number]],$S:$S, "BJ And dev",$AC:$AC, "Review-1"))</f>
        <v/>
      </c>
      <c r="X237" s="7" t="str">
        <f>IF(ISBLANK(patch[[#This Row],[project]]), "",COUNTIFS($A:$A,patch[[#This Row],[number]],$S:$S, "FL And dev",$AC:$AC, "Review-1"))</f>
        <v/>
      </c>
      <c r="Y237" s="7" t="str">
        <f>IF(ISBLANK(patch[[#This Row],[project]]), "",COUNTIFS($A:$A,patch[[#This Row],[number]],$S:$S, "SH And dev",$AC:$AC, "Review-1"))</f>
        <v/>
      </c>
      <c r="Z237" s="7" t="str">
        <f>IF(ISBLANK(patch[[#This Row],[project]]), "",COUNTIFS($A:$A,patch[[#This Row],[number]],$S:$S, "BJ And dev",$AD:$AD, "&lt;&gt;IntegratorValidationComment"))</f>
        <v/>
      </c>
      <c r="AA237" s="7" t="str">
        <f>IF(ISBLANK(patch[[#This Row],[project]]), "",COUNTIFS($A:$A,patch[[#This Row],[number]],$S:$S, "FL And dev",$AD:$AD, "&lt;&gt;IntegratorValidationComment"))</f>
        <v/>
      </c>
      <c r="AB237" s="7" t="str">
        <f>IF(ISBLANK(patch[[#This Row],[project]]), "",COUNTIFS($A:$A,patch[[#This Row],[number]],$S:$S, "SH And dev",$AD:$AD, "&lt;&gt;IntegratorValidationComment"))</f>
        <v/>
      </c>
      <c r="AC237" s="7" t="str">
        <f>IF(OR(ISNUMBER(FIND("Review-1", patch[[#This Row],[comments]])), ISNUMBER(FIND("Approver-1", patch[[#This Row],[comments]]))), "Review-1", "")</f>
        <v/>
      </c>
      <c r="AD2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7" s="7">
        <f>IF(ISBLANK(patch[[#This Row],[number]]),AE236,patch[[#This Row],[ifCommon]])</f>
        <v>0</v>
      </c>
    </row>
    <row r="238" spans="1:31">
      <c r="A238" s="151">
        <v>146977</v>
      </c>
      <c r="B238" s="151"/>
      <c r="C238" s="151"/>
      <c r="D238" s="151"/>
      <c r="E238" s="151"/>
      <c r="F238" s="151"/>
      <c r="G238" s="151"/>
      <c r="H238" s="151"/>
      <c r="I238" s="151"/>
      <c r="J238" s="152">
        <v>42640.690706018519</v>
      </c>
      <c r="K238" s="151"/>
      <c r="L238" s="151" t="s">
        <v>1203</v>
      </c>
      <c r="M238" s="152">
        <v>42640.54959490741</v>
      </c>
      <c r="N238" s="151" t="s">
        <v>2451</v>
      </c>
      <c r="O238" s="151"/>
      <c r="P238" s="151"/>
      <c r="Q238" s="7" t="str">
        <f>IF(ISBLANK(patch[[#This Row],[OwnerEmail]]),Q237,patch[[#This Row],[OwnerEmail]])</f>
        <v>xi.cao@intel.com</v>
      </c>
      <c r="R238" s="7" t="str">
        <f>_xlfn.IFNA(VLOOKUP(patch[[#This Row],[tmp-owner.email]],OrgTree!$A:$K, 11, 0), "not ICG SWFW")</f>
        <v>BJ And dev</v>
      </c>
      <c r="S238" s="7" t="str">
        <f>IF(patch[[#This Row],[reviewer]]=patch[[#This Row],[tmp-owner.email]], "author", _xlfn.IFNA(VLOOKUP(patch[[#This Row],[reviewer]],OrgTree!$A:$K, 11, 0), "not ICG SWFW"))</f>
        <v>author</v>
      </c>
      <c r="T238" s="7" t="str">
        <f>IF(ISBLANK(patch[[#This Row],[mergeDate]]), "", MID(YEAR(patch[[#This Row],[mergeDate]]), 3,2)&amp;"'ww"&amp;WEEKNUM(patch[[#This Row],[mergeDate]]))</f>
        <v>16'ww40</v>
      </c>
      <c r="U238" s="7" t="str">
        <f>IF(ISBLANK(patch[[#This Row],[mergeDate]]), U237, MID(YEAR(patch[[#This Row],[mergeDate]]), 3,2)&amp;"'m"&amp;MONTH(patch[[#This Row],[mergeDate]]))</f>
        <v>16'm9</v>
      </c>
      <c r="V238" s="7" t="str">
        <f>IF(ISBLANK(patch[[#This Row],[project]]), "",SUM(patch[[#This Row],[BJ -1 num]:[SH -1 num]]))</f>
        <v/>
      </c>
      <c r="W238" s="7" t="str">
        <f>IF(ISBLANK(patch[[#This Row],[project]]), "",COUNTIFS($A:$A,patch[[#This Row],[number]],$S:$S, "BJ And dev",$AC:$AC, "Review-1"))</f>
        <v/>
      </c>
      <c r="X238" s="7" t="str">
        <f>IF(ISBLANK(patch[[#This Row],[project]]), "",COUNTIFS($A:$A,patch[[#This Row],[number]],$S:$S, "FL And dev",$AC:$AC, "Review-1"))</f>
        <v/>
      </c>
      <c r="Y238" s="7" t="str">
        <f>IF(ISBLANK(patch[[#This Row],[project]]), "",COUNTIFS($A:$A,patch[[#This Row],[number]],$S:$S, "SH And dev",$AC:$AC, "Review-1"))</f>
        <v/>
      </c>
      <c r="Z238" s="7" t="str">
        <f>IF(ISBLANK(patch[[#This Row],[project]]), "",COUNTIFS($A:$A,patch[[#This Row],[number]],$S:$S, "BJ And dev",$AD:$AD, "&lt;&gt;IntegratorValidationComment"))</f>
        <v/>
      </c>
      <c r="AA238" s="7" t="str">
        <f>IF(ISBLANK(patch[[#This Row],[project]]), "",COUNTIFS($A:$A,patch[[#This Row],[number]],$S:$S, "FL And dev",$AD:$AD, "&lt;&gt;IntegratorValidationComment"))</f>
        <v/>
      </c>
      <c r="AB238" s="7" t="str">
        <f>IF(ISBLANK(patch[[#This Row],[project]]), "",COUNTIFS($A:$A,patch[[#This Row],[number]],$S:$S, "SH And dev",$AD:$AD, "&lt;&gt;IntegratorValidationComment"))</f>
        <v/>
      </c>
      <c r="AC238" s="7" t="str">
        <f>IF(OR(ISNUMBER(FIND("Review-1", patch[[#This Row],[comments]])), ISNUMBER(FIND("Approver-1", patch[[#This Row],[comments]]))), "Review-1", "")</f>
        <v/>
      </c>
      <c r="AD2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8" s="7">
        <f>IF(ISBLANK(patch[[#This Row],[number]]),AE237,patch[[#This Row],[ifCommon]])</f>
        <v>0</v>
      </c>
    </row>
    <row r="239" spans="1:31">
      <c r="A239" s="151">
        <v>146977</v>
      </c>
      <c r="B239" s="151"/>
      <c r="C239" s="151"/>
      <c r="D239" s="151"/>
      <c r="E239" s="151"/>
      <c r="F239" s="151"/>
      <c r="G239" s="151"/>
      <c r="H239" s="151"/>
      <c r="I239" s="151"/>
      <c r="J239" s="152">
        <v>42640.690706018519</v>
      </c>
      <c r="K239" s="151"/>
      <c r="L239" s="151" t="s">
        <v>115</v>
      </c>
      <c r="M239" s="152">
        <v>42640.549699074072</v>
      </c>
      <c r="N239" s="151" t="s">
        <v>2497</v>
      </c>
      <c r="O239" s="151"/>
      <c r="P239" s="151"/>
      <c r="Q239" s="7" t="str">
        <f>IF(ISBLANK(patch[[#This Row],[OwnerEmail]]),Q238,patch[[#This Row],[OwnerEmail]])</f>
        <v>xi.cao@intel.com</v>
      </c>
      <c r="R239" s="7" t="str">
        <f>_xlfn.IFNA(VLOOKUP(patch[[#This Row],[tmp-owner.email]],OrgTree!$A:$K, 11, 0), "not ICG SWFW")</f>
        <v>BJ And dev</v>
      </c>
      <c r="S239" s="7" t="str">
        <f>IF(patch[[#This Row],[reviewer]]=patch[[#This Row],[tmp-owner.email]], "author", _xlfn.IFNA(VLOOKUP(patch[[#This Row],[reviewer]],OrgTree!$A:$K, 11, 0), "not ICG SWFW"))</f>
        <v>Val</v>
      </c>
      <c r="T239" s="7" t="str">
        <f>IF(ISBLANK(patch[[#This Row],[mergeDate]]), "", MID(YEAR(patch[[#This Row],[mergeDate]]), 3,2)&amp;"'ww"&amp;WEEKNUM(patch[[#This Row],[mergeDate]]))</f>
        <v>16'ww40</v>
      </c>
      <c r="U239" s="7" t="str">
        <f>IF(ISBLANK(patch[[#This Row],[mergeDate]]), U238, MID(YEAR(patch[[#This Row],[mergeDate]]), 3,2)&amp;"'m"&amp;MONTH(patch[[#This Row],[mergeDate]]))</f>
        <v>16'm9</v>
      </c>
      <c r="V239" s="7" t="str">
        <f>IF(ISBLANK(patch[[#This Row],[project]]), "",SUM(patch[[#This Row],[BJ -1 num]:[SH -1 num]]))</f>
        <v/>
      </c>
      <c r="W239" s="7" t="str">
        <f>IF(ISBLANK(patch[[#This Row],[project]]), "",COUNTIFS($A:$A,patch[[#This Row],[number]],$S:$S, "BJ And dev",$AC:$AC, "Review-1"))</f>
        <v/>
      </c>
      <c r="X239" s="7" t="str">
        <f>IF(ISBLANK(patch[[#This Row],[project]]), "",COUNTIFS($A:$A,patch[[#This Row],[number]],$S:$S, "FL And dev",$AC:$AC, "Review-1"))</f>
        <v/>
      </c>
      <c r="Y239" s="7" t="str">
        <f>IF(ISBLANK(patch[[#This Row],[project]]), "",COUNTIFS($A:$A,patch[[#This Row],[number]],$S:$S, "SH And dev",$AC:$AC, "Review-1"))</f>
        <v/>
      </c>
      <c r="Z239" s="7" t="str">
        <f>IF(ISBLANK(patch[[#This Row],[project]]), "",COUNTIFS($A:$A,patch[[#This Row],[number]],$S:$S, "BJ And dev",$AD:$AD, "&lt;&gt;IntegratorValidationComment"))</f>
        <v/>
      </c>
      <c r="AA239" s="7" t="str">
        <f>IF(ISBLANK(patch[[#This Row],[project]]), "",COUNTIFS($A:$A,patch[[#This Row],[number]],$S:$S, "FL And dev",$AD:$AD, "&lt;&gt;IntegratorValidationComment"))</f>
        <v/>
      </c>
      <c r="AB239" s="7" t="str">
        <f>IF(ISBLANK(patch[[#This Row],[project]]), "",COUNTIFS($A:$A,patch[[#This Row],[number]],$S:$S, "SH And dev",$AD:$AD, "&lt;&gt;IntegratorValidationComment"))</f>
        <v/>
      </c>
      <c r="AC239" s="7" t="str">
        <f>IF(OR(ISNUMBER(FIND("Review-1", patch[[#This Row],[comments]])), ISNUMBER(FIND("Approver-1", patch[[#This Row],[comments]]))), "Review-1", "")</f>
        <v/>
      </c>
      <c r="AD2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39" s="7">
        <f>IF(ISBLANK(patch[[#This Row],[number]]),AE238,patch[[#This Row],[ifCommon]])</f>
        <v>0</v>
      </c>
    </row>
    <row r="240" spans="1:31">
      <c r="A240" s="151">
        <v>146977</v>
      </c>
      <c r="B240" s="151"/>
      <c r="C240" s="151"/>
      <c r="D240" s="151"/>
      <c r="E240" s="151"/>
      <c r="F240" s="151"/>
      <c r="G240" s="151"/>
      <c r="H240" s="151"/>
      <c r="I240" s="151"/>
      <c r="J240" s="152">
        <v>42640.690706018519</v>
      </c>
      <c r="K240" s="151"/>
      <c r="L240" s="151" t="s">
        <v>115</v>
      </c>
      <c r="M240" s="152">
        <v>42640.550532407397</v>
      </c>
      <c r="N240" s="151" t="s">
        <v>2496</v>
      </c>
      <c r="O240" s="151"/>
      <c r="P240" s="151"/>
      <c r="Q240" s="7" t="str">
        <f>IF(ISBLANK(patch[[#This Row],[OwnerEmail]]),Q239,patch[[#This Row],[OwnerEmail]])</f>
        <v>xi.cao@intel.com</v>
      </c>
      <c r="R240" s="7" t="str">
        <f>_xlfn.IFNA(VLOOKUP(patch[[#This Row],[tmp-owner.email]],OrgTree!$A:$K, 11, 0), "not ICG SWFW")</f>
        <v>BJ And dev</v>
      </c>
      <c r="S240" s="7" t="str">
        <f>IF(patch[[#This Row],[reviewer]]=patch[[#This Row],[tmp-owner.email]], "author", _xlfn.IFNA(VLOOKUP(patch[[#This Row],[reviewer]],OrgTree!$A:$K, 11, 0), "not ICG SWFW"))</f>
        <v>Val</v>
      </c>
      <c r="T240" s="7" t="str">
        <f>IF(ISBLANK(patch[[#This Row],[mergeDate]]), "", MID(YEAR(patch[[#This Row],[mergeDate]]), 3,2)&amp;"'ww"&amp;WEEKNUM(patch[[#This Row],[mergeDate]]))</f>
        <v>16'ww40</v>
      </c>
      <c r="U240" s="7" t="str">
        <f>IF(ISBLANK(patch[[#This Row],[mergeDate]]), U239, MID(YEAR(patch[[#This Row],[mergeDate]]), 3,2)&amp;"'m"&amp;MONTH(patch[[#This Row],[mergeDate]]))</f>
        <v>16'm9</v>
      </c>
      <c r="V240" s="7" t="str">
        <f>IF(ISBLANK(patch[[#This Row],[project]]), "",SUM(patch[[#This Row],[BJ -1 num]:[SH -1 num]]))</f>
        <v/>
      </c>
      <c r="W240" s="7" t="str">
        <f>IF(ISBLANK(patch[[#This Row],[project]]), "",COUNTIFS($A:$A,patch[[#This Row],[number]],$S:$S, "BJ And dev",$AC:$AC, "Review-1"))</f>
        <v/>
      </c>
      <c r="X240" s="7" t="str">
        <f>IF(ISBLANK(patch[[#This Row],[project]]), "",COUNTIFS($A:$A,patch[[#This Row],[number]],$S:$S, "FL And dev",$AC:$AC, "Review-1"))</f>
        <v/>
      </c>
      <c r="Y240" s="7" t="str">
        <f>IF(ISBLANK(patch[[#This Row],[project]]), "",COUNTIFS($A:$A,patch[[#This Row],[number]],$S:$S, "SH And dev",$AC:$AC, "Review-1"))</f>
        <v/>
      </c>
      <c r="Z240" s="7" t="str">
        <f>IF(ISBLANK(patch[[#This Row],[project]]), "",COUNTIFS($A:$A,patch[[#This Row],[number]],$S:$S, "BJ And dev",$AD:$AD, "&lt;&gt;IntegratorValidationComment"))</f>
        <v/>
      </c>
      <c r="AA240" s="7" t="str">
        <f>IF(ISBLANK(patch[[#This Row],[project]]), "",COUNTIFS($A:$A,patch[[#This Row],[number]],$S:$S, "FL And dev",$AD:$AD, "&lt;&gt;IntegratorValidationComment"))</f>
        <v/>
      </c>
      <c r="AB240" s="7" t="str">
        <f>IF(ISBLANK(patch[[#This Row],[project]]), "",COUNTIFS($A:$A,patch[[#This Row],[number]],$S:$S, "SH And dev",$AD:$AD, "&lt;&gt;IntegratorValidationComment"))</f>
        <v/>
      </c>
      <c r="AC240" s="7" t="str">
        <f>IF(OR(ISNUMBER(FIND("Review-1", patch[[#This Row],[comments]])), ISNUMBER(FIND("Approver-1", patch[[#This Row],[comments]]))), "Review-1", "")</f>
        <v/>
      </c>
      <c r="AD2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40" s="7">
        <f>IF(ISBLANK(patch[[#This Row],[number]]),AE239,patch[[#This Row],[ifCommon]])</f>
        <v>0</v>
      </c>
    </row>
    <row r="241" spans="1:31">
      <c r="A241" s="151">
        <v>146977</v>
      </c>
      <c r="B241" s="151"/>
      <c r="C241" s="151"/>
      <c r="D241" s="151"/>
      <c r="E241" s="151"/>
      <c r="F241" s="151"/>
      <c r="G241" s="151"/>
      <c r="H241" s="151"/>
      <c r="I241" s="151"/>
      <c r="J241" s="152">
        <v>42640.690706018519</v>
      </c>
      <c r="K241" s="151"/>
      <c r="L241" s="151" t="s">
        <v>59</v>
      </c>
      <c r="M241" s="152">
        <v>42640.557106481479</v>
      </c>
      <c r="N241" s="151" t="s">
        <v>2708</v>
      </c>
      <c r="O241" s="151"/>
      <c r="P241" s="151"/>
      <c r="Q241" s="7" t="str">
        <f>IF(ISBLANK(patch[[#This Row],[OwnerEmail]]),Q240,patch[[#This Row],[OwnerEmail]])</f>
        <v>xi.cao@intel.com</v>
      </c>
      <c r="R241" s="7" t="str">
        <f>_xlfn.IFNA(VLOOKUP(patch[[#This Row],[tmp-owner.email]],OrgTree!$A:$K, 11, 0), "not ICG SWFW")</f>
        <v>BJ And dev</v>
      </c>
      <c r="S241" s="7" t="str">
        <f>IF(patch[[#This Row],[reviewer]]=patch[[#This Row],[tmp-owner.email]], "author", _xlfn.IFNA(VLOOKUP(patch[[#This Row],[reviewer]],OrgTree!$A:$K, 11, 0), "not ICG SWFW"))</f>
        <v>BJ And dev</v>
      </c>
      <c r="T241" s="7" t="str">
        <f>IF(ISBLANK(patch[[#This Row],[mergeDate]]), "", MID(YEAR(patch[[#This Row],[mergeDate]]), 3,2)&amp;"'ww"&amp;WEEKNUM(patch[[#This Row],[mergeDate]]))</f>
        <v>16'ww40</v>
      </c>
      <c r="U241" s="7" t="str">
        <f>IF(ISBLANK(patch[[#This Row],[mergeDate]]), U240, MID(YEAR(patch[[#This Row],[mergeDate]]), 3,2)&amp;"'m"&amp;MONTH(patch[[#This Row],[mergeDate]]))</f>
        <v>16'm9</v>
      </c>
      <c r="V241" s="7" t="str">
        <f>IF(ISBLANK(patch[[#This Row],[project]]), "",SUM(patch[[#This Row],[BJ -1 num]:[SH -1 num]]))</f>
        <v/>
      </c>
      <c r="W241" s="7" t="str">
        <f>IF(ISBLANK(patch[[#This Row],[project]]), "",COUNTIFS($A:$A,patch[[#This Row],[number]],$S:$S, "BJ And dev",$AC:$AC, "Review-1"))</f>
        <v/>
      </c>
      <c r="X241" s="7" t="str">
        <f>IF(ISBLANK(patch[[#This Row],[project]]), "",COUNTIFS($A:$A,patch[[#This Row],[number]],$S:$S, "FL And dev",$AC:$AC, "Review-1"))</f>
        <v/>
      </c>
      <c r="Y241" s="7" t="str">
        <f>IF(ISBLANK(patch[[#This Row],[project]]), "",COUNTIFS($A:$A,patch[[#This Row],[number]],$S:$S, "SH And dev",$AC:$AC, "Review-1"))</f>
        <v/>
      </c>
      <c r="Z241" s="7" t="str">
        <f>IF(ISBLANK(patch[[#This Row],[project]]), "",COUNTIFS($A:$A,patch[[#This Row],[number]],$S:$S, "BJ And dev",$AD:$AD, "&lt;&gt;IntegratorValidationComment"))</f>
        <v/>
      </c>
      <c r="AA241" s="7" t="str">
        <f>IF(ISBLANK(patch[[#This Row],[project]]), "",COUNTIFS($A:$A,patch[[#This Row],[number]],$S:$S, "FL And dev",$AD:$AD, "&lt;&gt;IntegratorValidationComment"))</f>
        <v/>
      </c>
      <c r="AB241" s="7" t="str">
        <f>IF(ISBLANK(patch[[#This Row],[project]]), "",COUNTIFS($A:$A,patch[[#This Row],[number]],$S:$S, "SH And dev",$AD:$AD, "&lt;&gt;IntegratorValidationComment"))</f>
        <v/>
      </c>
      <c r="AC241" s="7" t="str">
        <f>IF(OR(ISNUMBER(FIND("Review-1", patch[[#This Row],[comments]])), ISNUMBER(FIND("Approver-1", patch[[#This Row],[comments]]))), "Review-1", "")</f>
        <v/>
      </c>
      <c r="AD2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1" s="7">
        <f>IF(ISBLANK(patch[[#This Row],[number]]),AE240,patch[[#This Row],[ifCommon]])</f>
        <v>0</v>
      </c>
    </row>
    <row r="242" spans="1:31">
      <c r="A242" s="151">
        <v>147302</v>
      </c>
      <c r="B242" s="151" t="s">
        <v>2490</v>
      </c>
      <c r="C242" s="151" t="s">
        <v>2491</v>
      </c>
      <c r="D242" s="151" t="s">
        <v>2709</v>
      </c>
      <c r="E242" s="151" t="s">
        <v>63</v>
      </c>
      <c r="F242" s="151" t="s">
        <v>23</v>
      </c>
      <c r="G242" s="151" t="s">
        <v>2710</v>
      </c>
      <c r="H242" s="151" t="s">
        <v>2711</v>
      </c>
      <c r="I242" s="152">
        <v>42635.448865740742</v>
      </c>
      <c r="J242" s="152">
        <v>42640.690625000003</v>
      </c>
      <c r="K242" s="151" t="s">
        <v>2445</v>
      </c>
      <c r="L242" s="151" t="s">
        <v>63</v>
      </c>
      <c r="M242" s="152">
        <v>42635.448865740742</v>
      </c>
      <c r="N242" s="151" t="s">
        <v>25</v>
      </c>
      <c r="O242" s="151"/>
      <c r="P242" s="151" t="s">
        <v>2520</v>
      </c>
      <c r="Q242" s="7" t="str">
        <f>IF(ISBLANK(patch[[#This Row],[OwnerEmail]]),Q241,patch[[#This Row],[OwnerEmail]])</f>
        <v>zongx.li@intel.com</v>
      </c>
      <c r="R242" s="7" t="str">
        <f>_xlfn.IFNA(VLOOKUP(patch[[#This Row],[tmp-owner.email]],OrgTree!$A:$K, 11, 0), "not ICG SWFW")</f>
        <v>BJ And dev</v>
      </c>
      <c r="S242" s="7" t="str">
        <f>IF(patch[[#This Row],[reviewer]]=patch[[#This Row],[tmp-owner.email]], "author", _xlfn.IFNA(VLOOKUP(patch[[#This Row],[reviewer]],OrgTree!$A:$K, 11, 0), "not ICG SWFW"))</f>
        <v>author</v>
      </c>
      <c r="T242" s="7" t="str">
        <f>IF(ISBLANK(patch[[#This Row],[mergeDate]]), "", MID(YEAR(patch[[#This Row],[mergeDate]]), 3,2)&amp;"'ww"&amp;WEEKNUM(patch[[#This Row],[mergeDate]]))</f>
        <v>16'ww40</v>
      </c>
      <c r="U242" s="7" t="str">
        <f>IF(ISBLANK(patch[[#This Row],[mergeDate]]), U241, MID(YEAR(patch[[#This Row],[mergeDate]]), 3,2)&amp;"'m"&amp;MONTH(patch[[#This Row],[mergeDate]]))</f>
        <v>16'm9</v>
      </c>
      <c r="V242" s="7">
        <f>IF(ISBLANK(patch[[#This Row],[project]]), "",SUM(patch[[#This Row],[BJ -1 num]:[SH -1 num]]))</f>
        <v>0</v>
      </c>
      <c r="W242" s="7">
        <f>IF(ISBLANK(patch[[#This Row],[project]]), "",COUNTIFS($A:$A,patch[[#This Row],[number]],$S:$S, "BJ And dev",$AC:$AC, "Review-1"))</f>
        <v>0</v>
      </c>
      <c r="X242" s="7">
        <f>IF(ISBLANK(patch[[#This Row],[project]]), "",COUNTIFS($A:$A,patch[[#This Row],[number]],$S:$S, "FL And dev",$AC:$AC, "Review-1"))</f>
        <v>0</v>
      </c>
      <c r="Y242" s="7">
        <f>IF(ISBLANK(patch[[#This Row],[project]]), "",COUNTIFS($A:$A,patch[[#This Row],[number]],$S:$S, "SH And dev",$AC:$AC, "Review-1"))</f>
        <v>0</v>
      </c>
      <c r="Z242" s="7">
        <f>IF(ISBLANK(patch[[#This Row],[project]]), "",COUNTIFS($A:$A,patch[[#This Row],[number]],$S:$S, "BJ And dev",$AD:$AD, "&lt;&gt;IntegratorValidationComment"))</f>
        <v>16</v>
      </c>
      <c r="AA242" s="7">
        <f>IF(ISBLANK(patch[[#This Row],[project]]), "",COUNTIFS($A:$A,patch[[#This Row],[number]],$S:$S, "FL And dev",$AD:$AD, "&lt;&gt;IntegratorValidationComment"))</f>
        <v>0</v>
      </c>
      <c r="AB242" s="7">
        <f>IF(ISBLANK(patch[[#This Row],[project]]), "",COUNTIFS($A:$A,patch[[#This Row],[number]],$S:$S, "SH And dev",$AD:$AD, "&lt;&gt;IntegratorValidationComment"))</f>
        <v>0</v>
      </c>
      <c r="AC242" s="7" t="str">
        <f>IF(OR(ISNUMBER(FIND("Review-1", patch[[#This Row],[comments]])), ISNUMBER(FIND("Approver-1", patch[[#This Row],[comments]]))), "Review-1", "")</f>
        <v/>
      </c>
      <c r="AD2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2" s="7" t="str">
        <f>IF(ISBLANK(patch[[#This Row],[number]]),AE241,patch[[#This Row],[ifCommon]])</f>
        <v>not AndrHAL</v>
      </c>
    </row>
    <row r="243" spans="1:31">
      <c r="A243" s="151">
        <v>147302</v>
      </c>
      <c r="B243" s="151"/>
      <c r="C243" s="151"/>
      <c r="D243" s="151"/>
      <c r="E243" s="151"/>
      <c r="F243" s="151"/>
      <c r="G243" s="151"/>
      <c r="H243" s="151"/>
      <c r="I243" s="152"/>
      <c r="J243" s="152">
        <v>42640.690625000003</v>
      </c>
      <c r="K243" s="151"/>
      <c r="L243" s="151" t="s">
        <v>63</v>
      </c>
      <c r="M243" s="152">
        <v>42635.448865740742</v>
      </c>
      <c r="N243" s="151" t="s">
        <v>2428</v>
      </c>
      <c r="O243" s="151"/>
      <c r="P243" s="151"/>
      <c r="Q243" s="7" t="str">
        <f>IF(ISBLANK(patch[[#This Row],[OwnerEmail]]),Q242,patch[[#This Row],[OwnerEmail]])</f>
        <v>zongx.li@intel.com</v>
      </c>
      <c r="R243" s="7" t="str">
        <f>_xlfn.IFNA(VLOOKUP(patch[[#This Row],[tmp-owner.email]],OrgTree!$A:$K, 11, 0), "not ICG SWFW")</f>
        <v>BJ And dev</v>
      </c>
      <c r="S243" s="7" t="str">
        <f>IF(patch[[#This Row],[reviewer]]=patch[[#This Row],[tmp-owner.email]], "author", _xlfn.IFNA(VLOOKUP(patch[[#This Row],[reviewer]],OrgTree!$A:$K, 11, 0), "not ICG SWFW"))</f>
        <v>author</v>
      </c>
      <c r="T243" s="7" t="str">
        <f>IF(ISBLANK(patch[[#This Row],[mergeDate]]), "", MID(YEAR(patch[[#This Row],[mergeDate]]), 3,2)&amp;"'ww"&amp;WEEKNUM(patch[[#This Row],[mergeDate]]))</f>
        <v>16'ww40</v>
      </c>
      <c r="U243" s="7" t="str">
        <f>IF(ISBLANK(patch[[#This Row],[mergeDate]]), U242, MID(YEAR(patch[[#This Row],[mergeDate]]), 3,2)&amp;"'m"&amp;MONTH(patch[[#This Row],[mergeDate]]))</f>
        <v>16'm9</v>
      </c>
      <c r="V243" s="7" t="str">
        <f>IF(ISBLANK(patch[[#This Row],[project]]), "",SUM(patch[[#This Row],[BJ -1 num]:[SH -1 num]]))</f>
        <v/>
      </c>
      <c r="W243" s="7" t="str">
        <f>IF(ISBLANK(patch[[#This Row],[project]]), "",COUNTIFS($A:$A,patch[[#This Row],[number]],$S:$S, "BJ And dev",$AC:$AC, "Review-1"))</f>
        <v/>
      </c>
      <c r="X243" s="7" t="str">
        <f>IF(ISBLANK(patch[[#This Row],[project]]), "",COUNTIFS($A:$A,patch[[#This Row],[number]],$S:$S, "FL And dev",$AC:$AC, "Review-1"))</f>
        <v/>
      </c>
      <c r="Y243" s="7" t="str">
        <f>IF(ISBLANK(patch[[#This Row],[project]]), "",COUNTIFS($A:$A,patch[[#This Row],[number]],$S:$S, "SH And dev",$AC:$AC, "Review-1"))</f>
        <v/>
      </c>
      <c r="Z243" s="7" t="str">
        <f>IF(ISBLANK(patch[[#This Row],[project]]), "",COUNTIFS($A:$A,patch[[#This Row],[number]],$S:$S, "BJ And dev",$AD:$AD, "&lt;&gt;IntegratorValidationComment"))</f>
        <v/>
      </c>
      <c r="AA243" s="7" t="str">
        <f>IF(ISBLANK(patch[[#This Row],[project]]), "",COUNTIFS($A:$A,patch[[#This Row],[number]],$S:$S, "FL And dev",$AD:$AD, "&lt;&gt;IntegratorValidationComment"))</f>
        <v/>
      </c>
      <c r="AB243" s="7" t="str">
        <f>IF(ISBLANK(patch[[#This Row],[project]]), "",COUNTIFS($A:$A,patch[[#This Row],[number]],$S:$S, "SH And dev",$AD:$AD, "&lt;&gt;IntegratorValidationComment"))</f>
        <v/>
      </c>
      <c r="AC243" s="7" t="str">
        <f>IF(OR(ISNUMBER(FIND("Review-1", patch[[#This Row],[comments]])), ISNUMBER(FIND("Approver-1", patch[[#This Row],[comments]]))), "Review-1", "")</f>
        <v/>
      </c>
      <c r="AD2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3" s="7">
        <f>IF(ISBLANK(patch[[#This Row],[number]]),AE242,patch[[#This Row],[ifCommon]])</f>
        <v>0</v>
      </c>
    </row>
    <row r="244" spans="1:31">
      <c r="A244" s="151">
        <v>147302</v>
      </c>
      <c r="B244" s="151"/>
      <c r="C244" s="151"/>
      <c r="D244" s="151"/>
      <c r="E244" s="151"/>
      <c r="F244" s="151"/>
      <c r="G244" s="151"/>
      <c r="H244" s="151"/>
      <c r="I244" s="151"/>
      <c r="J244" s="152">
        <v>42640.690625000003</v>
      </c>
      <c r="K244" s="151"/>
      <c r="L244" s="151" t="s">
        <v>59</v>
      </c>
      <c r="M244" s="152">
        <v>42635.453414351847</v>
      </c>
      <c r="N244" s="151" t="s">
        <v>2712</v>
      </c>
      <c r="O244" s="151"/>
      <c r="P244" s="151"/>
      <c r="Q244" s="7" t="str">
        <f>IF(ISBLANK(patch[[#This Row],[OwnerEmail]]),Q243,patch[[#This Row],[OwnerEmail]])</f>
        <v>zongx.li@intel.com</v>
      </c>
      <c r="R244" s="7" t="str">
        <f>_xlfn.IFNA(VLOOKUP(patch[[#This Row],[tmp-owner.email]],OrgTree!$A:$K, 11, 0), "not ICG SWFW")</f>
        <v>BJ And dev</v>
      </c>
      <c r="S244" s="7" t="str">
        <f>IF(patch[[#This Row],[reviewer]]=patch[[#This Row],[tmp-owner.email]], "author", _xlfn.IFNA(VLOOKUP(patch[[#This Row],[reviewer]],OrgTree!$A:$K, 11, 0), "not ICG SWFW"))</f>
        <v>BJ And dev</v>
      </c>
      <c r="T244" s="7" t="str">
        <f>IF(ISBLANK(patch[[#This Row],[mergeDate]]), "", MID(YEAR(patch[[#This Row],[mergeDate]]), 3,2)&amp;"'ww"&amp;WEEKNUM(patch[[#This Row],[mergeDate]]))</f>
        <v>16'ww40</v>
      </c>
      <c r="U244" s="7" t="str">
        <f>IF(ISBLANK(patch[[#This Row],[mergeDate]]), U243, MID(YEAR(patch[[#This Row],[mergeDate]]), 3,2)&amp;"'m"&amp;MONTH(patch[[#This Row],[mergeDate]]))</f>
        <v>16'm9</v>
      </c>
      <c r="V244" s="7" t="str">
        <f>IF(ISBLANK(patch[[#This Row],[project]]), "",SUM(patch[[#This Row],[BJ -1 num]:[SH -1 num]]))</f>
        <v/>
      </c>
      <c r="W244" s="7" t="str">
        <f>IF(ISBLANK(patch[[#This Row],[project]]), "",COUNTIFS($A:$A,patch[[#This Row],[number]],$S:$S, "BJ And dev",$AC:$AC, "Review-1"))</f>
        <v/>
      </c>
      <c r="X244" s="7" t="str">
        <f>IF(ISBLANK(patch[[#This Row],[project]]), "",COUNTIFS($A:$A,patch[[#This Row],[number]],$S:$S, "FL And dev",$AC:$AC, "Review-1"))</f>
        <v/>
      </c>
      <c r="Y244" s="7" t="str">
        <f>IF(ISBLANK(patch[[#This Row],[project]]), "",COUNTIFS($A:$A,patch[[#This Row],[number]],$S:$S, "SH And dev",$AC:$AC, "Review-1"))</f>
        <v/>
      </c>
      <c r="Z244" s="7" t="str">
        <f>IF(ISBLANK(patch[[#This Row],[project]]), "",COUNTIFS($A:$A,patch[[#This Row],[number]],$S:$S, "BJ And dev",$AD:$AD, "&lt;&gt;IntegratorValidationComment"))</f>
        <v/>
      </c>
      <c r="AA244" s="7" t="str">
        <f>IF(ISBLANK(patch[[#This Row],[project]]), "",COUNTIFS($A:$A,patch[[#This Row],[number]],$S:$S, "FL And dev",$AD:$AD, "&lt;&gt;IntegratorValidationComment"))</f>
        <v/>
      </c>
      <c r="AB244" s="7" t="str">
        <f>IF(ISBLANK(patch[[#This Row],[project]]), "",COUNTIFS($A:$A,patch[[#This Row],[number]],$S:$S, "SH And dev",$AD:$AD, "&lt;&gt;IntegratorValidationComment"))</f>
        <v/>
      </c>
      <c r="AC244" s="7" t="str">
        <f>IF(OR(ISNUMBER(FIND("Review-1", patch[[#This Row],[comments]])), ISNUMBER(FIND("Approver-1", patch[[#This Row],[comments]]))), "Review-1", "")</f>
        <v/>
      </c>
      <c r="AD2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4" s="7">
        <f>IF(ISBLANK(patch[[#This Row],[number]]),AE243,patch[[#This Row],[ifCommon]])</f>
        <v>0</v>
      </c>
    </row>
    <row r="245" spans="1:31">
      <c r="A245" s="151">
        <v>147302</v>
      </c>
      <c r="B245" s="151"/>
      <c r="C245" s="151"/>
      <c r="D245" s="151"/>
      <c r="E245" s="151"/>
      <c r="F245" s="151"/>
      <c r="G245" s="151"/>
      <c r="H245" s="151"/>
      <c r="I245" s="151"/>
      <c r="J245" s="152">
        <v>42640.690625000003</v>
      </c>
      <c r="K245" s="151"/>
      <c r="L245" s="151" t="s">
        <v>59</v>
      </c>
      <c r="M245" s="152">
        <v>42635.457662037043</v>
      </c>
      <c r="N245" s="151" t="s">
        <v>2713</v>
      </c>
      <c r="O245" s="151"/>
      <c r="P245" s="151"/>
      <c r="Q245" s="7" t="str">
        <f>IF(ISBLANK(patch[[#This Row],[OwnerEmail]]),Q244,patch[[#This Row],[OwnerEmail]])</f>
        <v>zongx.li@intel.com</v>
      </c>
      <c r="R245" s="7" t="str">
        <f>_xlfn.IFNA(VLOOKUP(patch[[#This Row],[tmp-owner.email]],OrgTree!$A:$K, 11, 0), "not ICG SWFW")</f>
        <v>BJ And dev</v>
      </c>
      <c r="S245" s="7" t="str">
        <f>IF(patch[[#This Row],[reviewer]]=patch[[#This Row],[tmp-owner.email]], "author", _xlfn.IFNA(VLOOKUP(patch[[#This Row],[reviewer]],OrgTree!$A:$K, 11, 0), "not ICG SWFW"))</f>
        <v>BJ And dev</v>
      </c>
      <c r="T245" s="7" t="str">
        <f>IF(ISBLANK(patch[[#This Row],[mergeDate]]), "", MID(YEAR(patch[[#This Row],[mergeDate]]), 3,2)&amp;"'ww"&amp;WEEKNUM(patch[[#This Row],[mergeDate]]))</f>
        <v>16'ww40</v>
      </c>
      <c r="U245" s="7" t="str">
        <f>IF(ISBLANK(patch[[#This Row],[mergeDate]]), U244, MID(YEAR(patch[[#This Row],[mergeDate]]), 3,2)&amp;"'m"&amp;MONTH(patch[[#This Row],[mergeDate]]))</f>
        <v>16'm9</v>
      </c>
      <c r="V245" s="7" t="str">
        <f>IF(ISBLANK(patch[[#This Row],[project]]), "",SUM(patch[[#This Row],[BJ -1 num]:[SH -1 num]]))</f>
        <v/>
      </c>
      <c r="W245" s="7" t="str">
        <f>IF(ISBLANK(patch[[#This Row],[project]]), "",COUNTIFS($A:$A,patch[[#This Row],[number]],$S:$S, "BJ And dev",$AC:$AC, "Review-1"))</f>
        <v/>
      </c>
      <c r="X245" s="7" t="str">
        <f>IF(ISBLANK(patch[[#This Row],[project]]), "",COUNTIFS($A:$A,patch[[#This Row],[number]],$S:$S, "FL And dev",$AC:$AC, "Review-1"))</f>
        <v/>
      </c>
      <c r="Y245" s="7" t="str">
        <f>IF(ISBLANK(patch[[#This Row],[project]]), "",COUNTIFS($A:$A,patch[[#This Row],[number]],$S:$S, "SH And dev",$AC:$AC, "Review-1"))</f>
        <v/>
      </c>
      <c r="Z245" s="7" t="str">
        <f>IF(ISBLANK(patch[[#This Row],[project]]), "",COUNTIFS($A:$A,patch[[#This Row],[number]],$S:$S, "BJ And dev",$AD:$AD, "&lt;&gt;IntegratorValidationComment"))</f>
        <v/>
      </c>
      <c r="AA245" s="7" t="str">
        <f>IF(ISBLANK(patch[[#This Row],[project]]), "",COUNTIFS($A:$A,patch[[#This Row],[number]],$S:$S, "FL And dev",$AD:$AD, "&lt;&gt;IntegratorValidationComment"))</f>
        <v/>
      </c>
      <c r="AB245" s="7" t="str">
        <f>IF(ISBLANK(patch[[#This Row],[project]]), "",COUNTIFS($A:$A,patch[[#This Row],[number]],$S:$S, "SH And dev",$AD:$AD, "&lt;&gt;IntegratorValidationComment"))</f>
        <v/>
      </c>
      <c r="AC245" s="7" t="str">
        <f>IF(OR(ISNUMBER(FIND("Review-1", patch[[#This Row],[comments]])), ISNUMBER(FIND("Approver-1", patch[[#This Row],[comments]]))), "Review-1", "")</f>
        <v/>
      </c>
      <c r="AD2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5" s="7">
        <f>IF(ISBLANK(patch[[#This Row],[number]]),AE244,patch[[#This Row],[ifCommon]])</f>
        <v>0</v>
      </c>
    </row>
    <row r="246" spans="1:31">
      <c r="A246" s="151">
        <v>147302</v>
      </c>
      <c r="B246" s="151"/>
      <c r="C246" s="151"/>
      <c r="D246" s="151"/>
      <c r="E246" s="151"/>
      <c r="F246" s="151"/>
      <c r="G246" s="151"/>
      <c r="H246" s="151"/>
      <c r="I246" s="151"/>
      <c r="J246" s="152">
        <v>42640.690625000003</v>
      </c>
      <c r="K246" s="151"/>
      <c r="L246" s="151" t="s">
        <v>63</v>
      </c>
      <c r="M246" s="152">
        <v>42635.515127314808</v>
      </c>
      <c r="N246" s="151" t="s">
        <v>2429</v>
      </c>
      <c r="O246" s="151"/>
      <c r="P246" s="151"/>
      <c r="Q246" s="7" t="str">
        <f>IF(ISBLANK(patch[[#This Row],[OwnerEmail]]),Q245,patch[[#This Row],[OwnerEmail]])</f>
        <v>zongx.li@intel.com</v>
      </c>
      <c r="R246" s="7" t="str">
        <f>_xlfn.IFNA(VLOOKUP(patch[[#This Row],[tmp-owner.email]],OrgTree!$A:$K, 11, 0), "not ICG SWFW")</f>
        <v>BJ And dev</v>
      </c>
      <c r="S246" s="7" t="str">
        <f>IF(patch[[#This Row],[reviewer]]=patch[[#This Row],[tmp-owner.email]], "author", _xlfn.IFNA(VLOOKUP(patch[[#This Row],[reviewer]],OrgTree!$A:$K, 11, 0), "not ICG SWFW"))</f>
        <v>author</v>
      </c>
      <c r="T246" s="7" t="str">
        <f>IF(ISBLANK(patch[[#This Row],[mergeDate]]), "", MID(YEAR(patch[[#This Row],[mergeDate]]), 3,2)&amp;"'ww"&amp;WEEKNUM(patch[[#This Row],[mergeDate]]))</f>
        <v>16'ww40</v>
      </c>
      <c r="U246" s="7" t="str">
        <f>IF(ISBLANK(patch[[#This Row],[mergeDate]]), U245, MID(YEAR(patch[[#This Row],[mergeDate]]), 3,2)&amp;"'m"&amp;MONTH(patch[[#This Row],[mergeDate]]))</f>
        <v>16'm9</v>
      </c>
      <c r="V246" s="7" t="str">
        <f>IF(ISBLANK(patch[[#This Row],[project]]), "",SUM(patch[[#This Row],[BJ -1 num]:[SH -1 num]]))</f>
        <v/>
      </c>
      <c r="W246" s="7" t="str">
        <f>IF(ISBLANK(patch[[#This Row],[project]]), "",COUNTIFS($A:$A,patch[[#This Row],[number]],$S:$S, "BJ And dev",$AC:$AC, "Review-1"))</f>
        <v/>
      </c>
      <c r="X246" s="7" t="str">
        <f>IF(ISBLANK(patch[[#This Row],[project]]), "",COUNTIFS($A:$A,patch[[#This Row],[number]],$S:$S, "FL And dev",$AC:$AC, "Review-1"))</f>
        <v/>
      </c>
      <c r="Y246" s="7" t="str">
        <f>IF(ISBLANK(patch[[#This Row],[project]]), "",COUNTIFS($A:$A,patch[[#This Row],[number]],$S:$S, "SH And dev",$AC:$AC, "Review-1"))</f>
        <v/>
      </c>
      <c r="Z246" s="7" t="str">
        <f>IF(ISBLANK(patch[[#This Row],[project]]), "",COUNTIFS($A:$A,patch[[#This Row],[number]],$S:$S, "BJ And dev",$AD:$AD, "&lt;&gt;IntegratorValidationComment"))</f>
        <v/>
      </c>
      <c r="AA246" s="7" t="str">
        <f>IF(ISBLANK(patch[[#This Row],[project]]), "",COUNTIFS($A:$A,patch[[#This Row],[number]],$S:$S, "FL And dev",$AD:$AD, "&lt;&gt;IntegratorValidationComment"))</f>
        <v/>
      </c>
      <c r="AB246" s="7" t="str">
        <f>IF(ISBLANK(patch[[#This Row],[project]]), "",COUNTIFS($A:$A,patch[[#This Row],[number]],$S:$S, "SH And dev",$AD:$AD, "&lt;&gt;IntegratorValidationComment"))</f>
        <v/>
      </c>
      <c r="AC246" s="7" t="str">
        <f>IF(OR(ISNUMBER(FIND("Review-1", patch[[#This Row],[comments]])), ISNUMBER(FIND("Approver-1", patch[[#This Row],[comments]]))), "Review-1", "")</f>
        <v/>
      </c>
      <c r="AD2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6" s="7">
        <f>IF(ISBLANK(patch[[#This Row],[number]]),AE245,patch[[#This Row],[ifCommon]])</f>
        <v>0</v>
      </c>
    </row>
    <row r="247" spans="1:31">
      <c r="A247" s="151">
        <v>147302</v>
      </c>
      <c r="B247" s="151"/>
      <c r="C247" s="151"/>
      <c r="D247" s="151"/>
      <c r="E247" s="151"/>
      <c r="F247" s="151"/>
      <c r="G247" s="151"/>
      <c r="H247" s="151"/>
      <c r="I247" s="151"/>
      <c r="J247" s="152">
        <v>42640.690625000003</v>
      </c>
      <c r="K247" s="151"/>
      <c r="L247" s="151" t="s">
        <v>63</v>
      </c>
      <c r="M247" s="152">
        <v>42635.515127314808</v>
      </c>
      <c r="N247" s="151" t="s">
        <v>29</v>
      </c>
      <c r="O247" s="151"/>
      <c r="P247" s="151"/>
      <c r="Q247" s="7" t="str">
        <f>IF(ISBLANK(patch[[#This Row],[OwnerEmail]]),Q246,patch[[#This Row],[OwnerEmail]])</f>
        <v>zongx.li@intel.com</v>
      </c>
      <c r="R247" s="7" t="str">
        <f>_xlfn.IFNA(VLOOKUP(patch[[#This Row],[tmp-owner.email]],OrgTree!$A:$K, 11, 0), "not ICG SWFW")</f>
        <v>BJ And dev</v>
      </c>
      <c r="S247" s="7" t="str">
        <f>IF(patch[[#This Row],[reviewer]]=patch[[#This Row],[tmp-owner.email]], "author", _xlfn.IFNA(VLOOKUP(patch[[#This Row],[reviewer]],OrgTree!$A:$K, 11, 0), "not ICG SWFW"))</f>
        <v>author</v>
      </c>
      <c r="T247" s="7" t="str">
        <f>IF(ISBLANK(patch[[#This Row],[mergeDate]]), "", MID(YEAR(patch[[#This Row],[mergeDate]]), 3,2)&amp;"'ww"&amp;WEEKNUM(patch[[#This Row],[mergeDate]]))</f>
        <v>16'ww40</v>
      </c>
      <c r="U247" s="7" t="str">
        <f>IF(ISBLANK(patch[[#This Row],[mergeDate]]), U246, MID(YEAR(patch[[#This Row],[mergeDate]]), 3,2)&amp;"'m"&amp;MONTH(patch[[#This Row],[mergeDate]]))</f>
        <v>16'm9</v>
      </c>
      <c r="V247" s="7" t="str">
        <f>IF(ISBLANK(patch[[#This Row],[project]]), "",SUM(patch[[#This Row],[BJ -1 num]:[SH -1 num]]))</f>
        <v/>
      </c>
      <c r="W247" s="7" t="str">
        <f>IF(ISBLANK(patch[[#This Row],[project]]), "",COUNTIFS($A:$A,patch[[#This Row],[number]],$S:$S, "BJ And dev",$AC:$AC, "Review-1"))</f>
        <v/>
      </c>
      <c r="X247" s="7" t="str">
        <f>IF(ISBLANK(patch[[#This Row],[project]]), "",COUNTIFS($A:$A,patch[[#This Row],[number]],$S:$S, "FL And dev",$AC:$AC, "Review-1"))</f>
        <v/>
      </c>
      <c r="Y247" s="7" t="str">
        <f>IF(ISBLANK(patch[[#This Row],[project]]), "",COUNTIFS($A:$A,patch[[#This Row],[number]],$S:$S, "SH And dev",$AC:$AC, "Review-1"))</f>
        <v/>
      </c>
      <c r="Z247" s="7" t="str">
        <f>IF(ISBLANK(patch[[#This Row],[project]]), "",COUNTIFS($A:$A,patch[[#This Row],[number]],$S:$S, "BJ And dev",$AD:$AD, "&lt;&gt;IntegratorValidationComment"))</f>
        <v/>
      </c>
      <c r="AA247" s="7" t="str">
        <f>IF(ISBLANK(patch[[#This Row],[project]]), "",COUNTIFS($A:$A,patch[[#This Row],[number]],$S:$S, "FL And dev",$AD:$AD, "&lt;&gt;IntegratorValidationComment"))</f>
        <v/>
      </c>
      <c r="AB247" s="7" t="str">
        <f>IF(ISBLANK(patch[[#This Row],[project]]), "",COUNTIFS($A:$A,patch[[#This Row],[number]],$S:$S, "SH And dev",$AD:$AD, "&lt;&gt;IntegratorValidationComment"))</f>
        <v/>
      </c>
      <c r="AC247" s="7" t="str">
        <f>IF(OR(ISNUMBER(FIND("Review-1", patch[[#This Row],[comments]])), ISNUMBER(FIND("Approver-1", patch[[#This Row],[comments]]))), "Review-1", "")</f>
        <v/>
      </c>
      <c r="AD2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7" s="7">
        <f>IF(ISBLANK(patch[[#This Row],[number]]),AE246,patch[[#This Row],[ifCommon]])</f>
        <v>0</v>
      </c>
    </row>
    <row r="248" spans="1:31">
      <c r="A248" s="151">
        <v>147302</v>
      </c>
      <c r="B248" s="151"/>
      <c r="C248" s="151"/>
      <c r="D248" s="151"/>
      <c r="E248" s="151"/>
      <c r="F248" s="151"/>
      <c r="G248" s="151"/>
      <c r="H248" s="151"/>
      <c r="I248" s="151"/>
      <c r="J248" s="152">
        <v>42640.690625000003</v>
      </c>
      <c r="K248" s="151"/>
      <c r="L248" s="151" t="s">
        <v>59</v>
      </c>
      <c r="M248" s="152">
        <v>42635.522314814807</v>
      </c>
      <c r="N248" s="151" t="s">
        <v>2714</v>
      </c>
      <c r="O248" s="151"/>
      <c r="P248" s="151"/>
      <c r="Q248" s="7" t="str">
        <f>IF(ISBLANK(patch[[#This Row],[OwnerEmail]]),Q247,patch[[#This Row],[OwnerEmail]])</f>
        <v>zongx.li@intel.com</v>
      </c>
      <c r="R248" s="7" t="str">
        <f>_xlfn.IFNA(VLOOKUP(patch[[#This Row],[tmp-owner.email]],OrgTree!$A:$K, 11, 0), "not ICG SWFW")</f>
        <v>BJ And dev</v>
      </c>
      <c r="S248" s="7" t="str">
        <f>IF(patch[[#This Row],[reviewer]]=patch[[#This Row],[tmp-owner.email]], "author", _xlfn.IFNA(VLOOKUP(patch[[#This Row],[reviewer]],OrgTree!$A:$K, 11, 0), "not ICG SWFW"))</f>
        <v>BJ And dev</v>
      </c>
      <c r="T248" s="7" t="str">
        <f>IF(ISBLANK(patch[[#This Row],[mergeDate]]), "", MID(YEAR(patch[[#This Row],[mergeDate]]), 3,2)&amp;"'ww"&amp;WEEKNUM(patch[[#This Row],[mergeDate]]))</f>
        <v>16'ww40</v>
      </c>
      <c r="U248" s="7" t="str">
        <f>IF(ISBLANK(patch[[#This Row],[mergeDate]]), U247, MID(YEAR(patch[[#This Row],[mergeDate]]), 3,2)&amp;"'m"&amp;MONTH(patch[[#This Row],[mergeDate]]))</f>
        <v>16'm9</v>
      </c>
      <c r="V248" s="7" t="str">
        <f>IF(ISBLANK(patch[[#This Row],[project]]), "",SUM(patch[[#This Row],[BJ -1 num]:[SH -1 num]]))</f>
        <v/>
      </c>
      <c r="W248" s="7" t="str">
        <f>IF(ISBLANK(patch[[#This Row],[project]]), "",COUNTIFS($A:$A,patch[[#This Row],[number]],$S:$S, "BJ And dev",$AC:$AC, "Review-1"))</f>
        <v/>
      </c>
      <c r="X248" s="7" t="str">
        <f>IF(ISBLANK(patch[[#This Row],[project]]), "",COUNTIFS($A:$A,patch[[#This Row],[number]],$S:$S, "FL And dev",$AC:$AC, "Review-1"))</f>
        <v/>
      </c>
      <c r="Y248" s="7" t="str">
        <f>IF(ISBLANK(patch[[#This Row],[project]]), "",COUNTIFS($A:$A,patch[[#This Row],[number]],$S:$S, "SH And dev",$AC:$AC, "Review-1"))</f>
        <v/>
      </c>
      <c r="Z248" s="7" t="str">
        <f>IF(ISBLANK(patch[[#This Row],[project]]), "",COUNTIFS($A:$A,patch[[#This Row],[number]],$S:$S, "BJ And dev",$AD:$AD, "&lt;&gt;IntegratorValidationComment"))</f>
        <v/>
      </c>
      <c r="AA248" s="7" t="str">
        <f>IF(ISBLANK(patch[[#This Row],[project]]), "",COUNTIFS($A:$A,patch[[#This Row],[number]],$S:$S, "FL And dev",$AD:$AD, "&lt;&gt;IntegratorValidationComment"))</f>
        <v/>
      </c>
      <c r="AB248" s="7" t="str">
        <f>IF(ISBLANK(patch[[#This Row],[project]]), "",COUNTIFS($A:$A,patch[[#This Row],[number]],$S:$S, "SH And dev",$AD:$AD, "&lt;&gt;IntegratorValidationComment"))</f>
        <v/>
      </c>
      <c r="AC248" s="7" t="str">
        <f>IF(OR(ISNUMBER(FIND("Review-1", patch[[#This Row],[comments]])), ISNUMBER(FIND("Approver-1", patch[[#This Row],[comments]]))), "Review-1", "")</f>
        <v/>
      </c>
      <c r="AD2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8" s="7">
        <f>IF(ISBLANK(patch[[#This Row],[number]]),AE247,patch[[#This Row],[ifCommon]])</f>
        <v>0</v>
      </c>
    </row>
    <row r="249" spans="1:31">
      <c r="A249" s="151">
        <v>147302</v>
      </c>
      <c r="B249" s="151"/>
      <c r="C249" s="151"/>
      <c r="D249" s="151"/>
      <c r="E249" s="151"/>
      <c r="F249" s="151"/>
      <c r="G249" s="151"/>
      <c r="H249" s="151"/>
      <c r="I249" s="151"/>
      <c r="J249" s="152">
        <v>42640.690625000003</v>
      </c>
      <c r="K249" s="151"/>
      <c r="L249" s="151" t="s">
        <v>59</v>
      </c>
      <c r="M249" s="152">
        <v>42635.524444444447</v>
      </c>
      <c r="N249" s="151" t="s">
        <v>2715</v>
      </c>
      <c r="O249" s="151"/>
      <c r="P249" s="151"/>
      <c r="Q249" s="7" t="str">
        <f>IF(ISBLANK(patch[[#This Row],[OwnerEmail]]),Q248,patch[[#This Row],[OwnerEmail]])</f>
        <v>zongx.li@intel.com</v>
      </c>
      <c r="R249" s="7" t="str">
        <f>_xlfn.IFNA(VLOOKUP(patch[[#This Row],[tmp-owner.email]],OrgTree!$A:$K, 11, 0), "not ICG SWFW")</f>
        <v>BJ And dev</v>
      </c>
      <c r="S249" s="7" t="str">
        <f>IF(patch[[#This Row],[reviewer]]=patch[[#This Row],[tmp-owner.email]], "author", _xlfn.IFNA(VLOOKUP(patch[[#This Row],[reviewer]],OrgTree!$A:$K, 11, 0), "not ICG SWFW"))</f>
        <v>BJ And dev</v>
      </c>
      <c r="T249" s="7" t="str">
        <f>IF(ISBLANK(patch[[#This Row],[mergeDate]]), "", MID(YEAR(patch[[#This Row],[mergeDate]]), 3,2)&amp;"'ww"&amp;WEEKNUM(patch[[#This Row],[mergeDate]]))</f>
        <v>16'ww40</v>
      </c>
      <c r="U249" s="7" t="str">
        <f>IF(ISBLANK(patch[[#This Row],[mergeDate]]), U248, MID(YEAR(patch[[#This Row],[mergeDate]]), 3,2)&amp;"'m"&amp;MONTH(patch[[#This Row],[mergeDate]]))</f>
        <v>16'm9</v>
      </c>
      <c r="V249" s="7" t="str">
        <f>IF(ISBLANK(patch[[#This Row],[project]]), "",SUM(patch[[#This Row],[BJ -1 num]:[SH -1 num]]))</f>
        <v/>
      </c>
      <c r="W249" s="7" t="str">
        <f>IF(ISBLANK(patch[[#This Row],[project]]), "",COUNTIFS($A:$A,patch[[#This Row],[number]],$S:$S, "BJ And dev",$AC:$AC, "Review-1"))</f>
        <v/>
      </c>
      <c r="X249" s="7" t="str">
        <f>IF(ISBLANK(patch[[#This Row],[project]]), "",COUNTIFS($A:$A,patch[[#This Row],[number]],$S:$S, "FL And dev",$AC:$AC, "Review-1"))</f>
        <v/>
      </c>
      <c r="Y249" s="7" t="str">
        <f>IF(ISBLANK(patch[[#This Row],[project]]), "",COUNTIFS($A:$A,patch[[#This Row],[number]],$S:$S, "SH And dev",$AC:$AC, "Review-1"))</f>
        <v/>
      </c>
      <c r="Z249" s="7" t="str">
        <f>IF(ISBLANK(patch[[#This Row],[project]]), "",COUNTIFS($A:$A,patch[[#This Row],[number]],$S:$S, "BJ And dev",$AD:$AD, "&lt;&gt;IntegratorValidationComment"))</f>
        <v/>
      </c>
      <c r="AA249" s="7" t="str">
        <f>IF(ISBLANK(patch[[#This Row],[project]]), "",COUNTIFS($A:$A,patch[[#This Row],[number]],$S:$S, "FL And dev",$AD:$AD, "&lt;&gt;IntegratorValidationComment"))</f>
        <v/>
      </c>
      <c r="AB249" s="7" t="str">
        <f>IF(ISBLANK(patch[[#This Row],[project]]), "",COUNTIFS($A:$A,patch[[#This Row],[number]],$S:$S, "SH And dev",$AD:$AD, "&lt;&gt;IntegratorValidationComment"))</f>
        <v/>
      </c>
      <c r="AC249" s="7" t="str">
        <f>IF(OR(ISNUMBER(FIND("Review-1", patch[[#This Row],[comments]])), ISNUMBER(FIND("Approver-1", patch[[#This Row],[comments]]))), "Review-1", "")</f>
        <v/>
      </c>
      <c r="AD2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9" s="7">
        <f>IF(ISBLANK(patch[[#This Row],[number]]),AE248,patch[[#This Row],[ifCommon]])</f>
        <v>0</v>
      </c>
    </row>
    <row r="250" spans="1:31">
      <c r="A250" s="151">
        <v>147302</v>
      </c>
      <c r="B250" s="151"/>
      <c r="C250" s="151"/>
      <c r="D250" s="151"/>
      <c r="E250" s="151"/>
      <c r="F250" s="151"/>
      <c r="G250" s="151"/>
      <c r="H250" s="151"/>
      <c r="I250" s="151"/>
      <c r="J250" s="152">
        <v>42640.690625000003</v>
      </c>
      <c r="K250" s="151"/>
      <c r="L250" s="151" t="s">
        <v>63</v>
      </c>
      <c r="M250" s="152">
        <v>42635.538726851853</v>
      </c>
      <c r="N250" s="151" t="s">
        <v>27</v>
      </c>
      <c r="O250" s="151"/>
      <c r="P250" s="151"/>
      <c r="Q250" s="7" t="str">
        <f>IF(ISBLANK(patch[[#This Row],[OwnerEmail]]),Q249,patch[[#This Row],[OwnerEmail]])</f>
        <v>zongx.li@intel.com</v>
      </c>
      <c r="R250" s="7" t="str">
        <f>_xlfn.IFNA(VLOOKUP(patch[[#This Row],[tmp-owner.email]],OrgTree!$A:$K, 11, 0), "not ICG SWFW")</f>
        <v>BJ And dev</v>
      </c>
      <c r="S250" s="7" t="str">
        <f>IF(patch[[#This Row],[reviewer]]=patch[[#This Row],[tmp-owner.email]], "author", _xlfn.IFNA(VLOOKUP(patch[[#This Row],[reviewer]],OrgTree!$A:$K, 11, 0), "not ICG SWFW"))</f>
        <v>author</v>
      </c>
      <c r="T250" s="7" t="str">
        <f>IF(ISBLANK(patch[[#This Row],[mergeDate]]), "", MID(YEAR(patch[[#This Row],[mergeDate]]), 3,2)&amp;"'ww"&amp;WEEKNUM(patch[[#This Row],[mergeDate]]))</f>
        <v>16'ww40</v>
      </c>
      <c r="U250" s="7" t="str">
        <f>IF(ISBLANK(patch[[#This Row],[mergeDate]]), U249, MID(YEAR(patch[[#This Row],[mergeDate]]), 3,2)&amp;"'m"&amp;MONTH(patch[[#This Row],[mergeDate]]))</f>
        <v>16'm9</v>
      </c>
      <c r="V250" s="7" t="str">
        <f>IF(ISBLANK(patch[[#This Row],[project]]), "",SUM(patch[[#This Row],[BJ -1 num]:[SH -1 num]]))</f>
        <v/>
      </c>
      <c r="W250" s="7" t="str">
        <f>IF(ISBLANK(patch[[#This Row],[project]]), "",COUNTIFS($A:$A,patch[[#This Row],[number]],$S:$S, "BJ And dev",$AC:$AC, "Review-1"))</f>
        <v/>
      </c>
      <c r="X250" s="7" t="str">
        <f>IF(ISBLANK(patch[[#This Row],[project]]), "",COUNTIFS($A:$A,patch[[#This Row],[number]],$S:$S, "FL And dev",$AC:$AC, "Review-1"))</f>
        <v/>
      </c>
      <c r="Y250" s="7" t="str">
        <f>IF(ISBLANK(patch[[#This Row],[project]]), "",COUNTIFS($A:$A,patch[[#This Row],[number]],$S:$S, "SH And dev",$AC:$AC, "Review-1"))</f>
        <v/>
      </c>
      <c r="Z250" s="7" t="str">
        <f>IF(ISBLANK(patch[[#This Row],[project]]), "",COUNTIFS($A:$A,patch[[#This Row],[number]],$S:$S, "BJ And dev",$AD:$AD, "&lt;&gt;IntegratorValidationComment"))</f>
        <v/>
      </c>
      <c r="AA250" s="7" t="str">
        <f>IF(ISBLANK(patch[[#This Row],[project]]), "",COUNTIFS($A:$A,patch[[#This Row],[number]],$S:$S, "FL And dev",$AD:$AD, "&lt;&gt;IntegratorValidationComment"))</f>
        <v/>
      </c>
      <c r="AB250" s="7" t="str">
        <f>IF(ISBLANK(patch[[#This Row],[project]]), "",COUNTIFS($A:$A,patch[[#This Row],[number]],$S:$S, "SH And dev",$AD:$AD, "&lt;&gt;IntegratorValidationComment"))</f>
        <v/>
      </c>
      <c r="AC250" s="7" t="str">
        <f>IF(OR(ISNUMBER(FIND("Review-1", patch[[#This Row],[comments]])), ISNUMBER(FIND("Approver-1", patch[[#This Row],[comments]]))), "Review-1", "")</f>
        <v/>
      </c>
      <c r="AD2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0" s="7">
        <f>IF(ISBLANK(patch[[#This Row],[number]]),AE249,patch[[#This Row],[ifCommon]])</f>
        <v>0</v>
      </c>
    </row>
    <row r="251" spans="1:31">
      <c r="A251" s="151">
        <v>147302</v>
      </c>
      <c r="B251" s="151"/>
      <c r="C251" s="151"/>
      <c r="D251" s="151"/>
      <c r="E251" s="151"/>
      <c r="F251" s="151"/>
      <c r="G251" s="151"/>
      <c r="H251" s="151"/>
      <c r="I251" s="151"/>
      <c r="J251" s="152">
        <v>42640.690625000003</v>
      </c>
      <c r="K251" s="151"/>
      <c r="L251" s="151" t="s">
        <v>59</v>
      </c>
      <c r="M251" s="152">
        <v>42635.540752314817</v>
      </c>
      <c r="N251" s="151" t="s">
        <v>2716</v>
      </c>
      <c r="O251" s="151"/>
      <c r="P251" s="151"/>
      <c r="Q251" s="7" t="str">
        <f>IF(ISBLANK(patch[[#This Row],[OwnerEmail]]),Q250,patch[[#This Row],[OwnerEmail]])</f>
        <v>zongx.li@intel.com</v>
      </c>
      <c r="R251" s="7" t="str">
        <f>_xlfn.IFNA(VLOOKUP(patch[[#This Row],[tmp-owner.email]],OrgTree!$A:$K, 11, 0), "not ICG SWFW")</f>
        <v>BJ And dev</v>
      </c>
      <c r="S251" s="7" t="str">
        <f>IF(patch[[#This Row],[reviewer]]=patch[[#This Row],[tmp-owner.email]], "author", _xlfn.IFNA(VLOOKUP(patch[[#This Row],[reviewer]],OrgTree!$A:$K, 11, 0), "not ICG SWFW"))</f>
        <v>BJ And dev</v>
      </c>
      <c r="T251" s="7" t="str">
        <f>IF(ISBLANK(patch[[#This Row],[mergeDate]]), "", MID(YEAR(patch[[#This Row],[mergeDate]]), 3,2)&amp;"'ww"&amp;WEEKNUM(patch[[#This Row],[mergeDate]]))</f>
        <v>16'ww40</v>
      </c>
      <c r="U251" s="7" t="str">
        <f>IF(ISBLANK(patch[[#This Row],[mergeDate]]), U250, MID(YEAR(patch[[#This Row],[mergeDate]]), 3,2)&amp;"'m"&amp;MONTH(patch[[#This Row],[mergeDate]]))</f>
        <v>16'm9</v>
      </c>
      <c r="V251" s="7" t="str">
        <f>IF(ISBLANK(patch[[#This Row],[project]]), "",SUM(patch[[#This Row],[BJ -1 num]:[SH -1 num]]))</f>
        <v/>
      </c>
      <c r="W251" s="7" t="str">
        <f>IF(ISBLANK(patch[[#This Row],[project]]), "",COUNTIFS($A:$A,patch[[#This Row],[number]],$S:$S, "BJ And dev",$AC:$AC, "Review-1"))</f>
        <v/>
      </c>
      <c r="X251" s="7" t="str">
        <f>IF(ISBLANK(patch[[#This Row],[project]]), "",COUNTIFS($A:$A,patch[[#This Row],[number]],$S:$S, "FL And dev",$AC:$AC, "Review-1"))</f>
        <v/>
      </c>
      <c r="Y251" s="7" t="str">
        <f>IF(ISBLANK(patch[[#This Row],[project]]), "",COUNTIFS($A:$A,patch[[#This Row],[number]],$S:$S, "SH And dev",$AC:$AC, "Review-1"))</f>
        <v/>
      </c>
      <c r="Z251" s="7" t="str">
        <f>IF(ISBLANK(patch[[#This Row],[project]]), "",COUNTIFS($A:$A,patch[[#This Row],[number]],$S:$S, "BJ And dev",$AD:$AD, "&lt;&gt;IntegratorValidationComment"))</f>
        <v/>
      </c>
      <c r="AA251" s="7" t="str">
        <f>IF(ISBLANK(patch[[#This Row],[project]]), "",COUNTIFS($A:$A,patch[[#This Row],[number]],$S:$S, "FL And dev",$AD:$AD, "&lt;&gt;IntegratorValidationComment"))</f>
        <v/>
      </c>
      <c r="AB251" s="7" t="str">
        <f>IF(ISBLANK(patch[[#This Row],[project]]), "",COUNTIFS($A:$A,patch[[#This Row],[number]],$S:$S, "SH And dev",$AD:$AD, "&lt;&gt;IntegratorValidationComment"))</f>
        <v/>
      </c>
      <c r="AC251" s="7" t="str">
        <f>IF(OR(ISNUMBER(FIND("Review-1", patch[[#This Row],[comments]])), ISNUMBER(FIND("Approver-1", patch[[#This Row],[comments]]))), "Review-1", "")</f>
        <v/>
      </c>
      <c r="AD2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1" s="7">
        <f>IF(ISBLANK(patch[[#This Row],[number]]),AE250,patch[[#This Row],[ifCommon]])</f>
        <v>0</v>
      </c>
    </row>
    <row r="252" spans="1:31">
      <c r="A252" s="151">
        <v>147302</v>
      </c>
      <c r="B252" s="151"/>
      <c r="C252" s="151"/>
      <c r="D252" s="151"/>
      <c r="E252" s="151"/>
      <c r="F252" s="151"/>
      <c r="G252" s="151"/>
      <c r="H252" s="151"/>
      <c r="I252" s="151"/>
      <c r="J252" s="152">
        <v>42640.690625000003</v>
      </c>
      <c r="K252" s="151"/>
      <c r="L252" s="151" t="s">
        <v>63</v>
      </c>
      <c r="M252" s="152">
        <v>42635.541400462957</v>
      </c>
      <c r="N252" s="151" t="s">
        <v>40</v>
      </c>
      <c r="O252" s="151"/>
      <c r="P252" s="151"/>
      <c r="Q252" s="7" t="str">
        <f>IF(ISBLANK(patch[[#This Row],[OwnerEmail]]),Q251,patch[[#This Row],[OwnerEmail]])</f>
        <v>zongx.li@intel.com</v>
      </c>
      <c r="R252" s="7" t="str">
        <f>_xlfn.IFNA(VLOOKUP(patch[[#This Row],[tmp-owner.email]],OrgTree!$A:$K, 11, 0), "not ICG SWFW")</f>
        <v>BJ And dev</v>
      </c>
      <c r="S252" s="7" t="str">
        <f>IF(patch[[#This Row],[reviewer]]=patch[[#This Row],[tmp-owner.email]], "author", _xlfn.IFNA(VLOOKUP(patch[[#This Row],[reviewer]],OrgTree!$A:$K, 11, 0), "not ICG SWFW"))</f>
        <v>author</v>
      </c>
      <c r="T252" s="7" t="str">
        <f>IF(ISBLANK(patch[[#This Row],[mergeDate]]), "", MID(YEAR(patch[[#This Row],[mergeDate]]), 3,2)&amp;"'ww"&amp;WEEKNUM(patch[[#This Row],[mergeDate]]))</f>
        <v>16'ww40</v>
      </c>
      <c r="U252" s="7" t="str">
        <f>IF(ISBLANK(patch[[#This Row],[mergeDate]]), U251, MID(YEAR(patch[[#This Row],[mergeDate]]), 3,2)&amp;"'m"&amp;MONTH(patch[[#This Row],[mergeDate]]))</f>
        <v>16'm9</v>
      </c>
      <c r="V252" s="7" t="str">
        <f>IF(ISBLANK(patch[[#This Row],[project]]), "",SUM(patch[[#This Row],[BJ -1 num]:[SH -1 num]]))</f>
        <v/>
      </c>
      <c r="W252" s="7" t="str">
        <f>IF(ISBLANK(patch[[#This Row],[project]]), "",COUNTIFS($A:$A,patch[[#This Row],[number]],$S:$S, "BJ And dev",$AC:$AC, "Review-1"))</f>
        <v/>
      </c>
      <c r="X252" s="7" t="str">
        <f>IF(ISBLANK(patch[[#This Row],[project]]), "",COUNTIFS($A:$A,patch[[#This Row],[number]],$S:$S, "FL And dev",$AC:$AC, "Review-1"))</f>
        <v/>
      </c>
      <c r="Y252" s="7" t="str">
        <f>IF(ISBLANK(patch[[#This Row],[project]]), "",COUNTIFS($A:$A,patch[[#This Row],[number]],$S:$S, "SH And dev",$AC:$AC, "Review-1"))</f>
        <v/>
      </c>
      <c r="Z252" s="7" t="str">
        <f>IF(ISBLANK(patch[[#This Row],[project]]), "",COUNTIFS($A:$A,patch[[#This Row],[number]],$S:$S, "BJ And dev",$AD:$AD, "&lt;&gt;IntegratorValidationComment"))</f>
        <v/>
      </c>
      <c r="AA252" s="7" t="str">
        <f>IF(ISBLANK(patch[[#This Row],[project]]), "",COUNTIFS($A:$A,patch[[#This Row],[number]],$S:$S, "FL And dev",$AD:$AD, "&lt;&gt;IntegratorValidationComment"))</f>
        <v/>
      </c>
      <c r="AB252" s="7" t="str">
        <f>IF(ISBLANK(patch[[#This Row],[project]]), "",COUNTIFS($A:$A,patch[[#This Row],[number]],$S:$S, "SH And dev",$AD:$AD, "&lt;&gt;IntegratorValidationComment"))</f>
        <v/>
      </c>
      <c r="AC252" s="7" t="str">
        <f>IF(OR(ISNUMBER(FIND("Review-1", patch[[#This Row],[comments]])), ISNUMBER(FIND("Approver-1", patch[[#This Row],[comments]]))), "Review-1", "")</f>
        <v/>
      </c>
      <c r="AD2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2" s="7">
        <f>IF(ISBLANK(patch[[#This Row],[number]]),AE251,patch[[#This Row],[ifCommon]])</f>
        <v>0</v>
      </c>
    </row>
    <row r="253" spans="1:31">
      <c r="A253" s="151">
        <v>147302</v>
      </c>
      <c r="B253" s="151"/>
      <c r="C253" s="151"/>
      <c r="D253" s="151"/>
      <c r="E253" s="151"/>
      <c r="F253" s="151"/>
      <c r="G253" s="151"/>
      <c r="H253" s="151"/>
      <c r="I253" s="151"/>
      <c r="J253" s="152">
        <v>42640.690625000003</v>
      </c>
      <c r="K253" s="151"/>
      <c r="L253" s="151" t="s">
        <v>59</v>
      </c>
      <c r="M253" s="152">
        <v>42635.599328703713</v>
      </c>
      <c r="N253" s="151" t="s">
        <v>2717</v>
      </c>
      <c r="O253" s="151"/>
      <c r="P253" s="151"/>
      <c r="Q253" s="7" t="str">
        <f>IF(ISBLANK(patch[[#This Row],[OwnerEmail]]),Q252,patch[[#This Row],[OwnerEmail]])</f>
        <v>zongx.li@intel.com</v>
      </c>
      <c r="R253" s="7" t="str">
        <f>_xlfn.IFNA(VLOOKUP(patch[[#This Row],[tmp-owner.email]],OrgTree!$A:$K, 11, 0), "not ICG SWFW")</f>
        <v>BJ And dev</v>
      </c>
      <c r="S253" s="7" t="str">
        <f>IF(patch[[#This Row],[reviewer]]=patch[[#This Row],[tmp-owner.email]], "author", _xlfn.IFNA(VLOOKUP(patch[[#This Row],[reviewer]],OrgTree!$A:$K, 11, 0), "not ICG SWFW"))</f>
        <v>BJ And dev</v>
      </c>
      <c r="T253" s="7" t="str">
        <f>IF(ISBLANK(patch[[#This Row],[mergeDate]]), "", MID(YEAR(patch[[#This Row],[mergeDate]]), 3,2)&amp;"'ww"&amp;WEEKNUM(patch[[#This Row],[mergeDate]]))</f>
        <v>16'ww40</v>
      </c>
      <c r="U253" s="7" t="str">
        <f>IF(ISBLANK(patch[[#This Row],[mergeDate]]), U252, MID(YEAR(patch[[#This Row],[mergeDate]]), 3,2)&amp;"'m"&amp;MONTH(patch[[#This Row],[mergeDate]]))</f>
        <v>16'm9</v>
      </c>
      <c r="V253" s="7" t="str">
        <f>IF(ISBLANK(patch[[#This Row],[project]]), "",SUM(patch[[#This Row],[BJ -1 num]:[SH -1 num]]))</f>
        <v/>
      </c>
      <c r="W253" s="7" t="str">
        <f>IF(ISBLANK(patch[[#This Row],[project]]), "",COUNTIFS($A:$A,patch[[#This Row],[number]],$S:$S, "BJ And dev",$AC:$AC, "Review-1"))</f>
        <v/>
      </c>
      <c r="X253" s="7" t="str">
        <f>IF(ISBLANK(patch[[#This Row],[project]]), "",COUNTIFS($A:$A,patch[[#This Row],[number]],$S:$S, "FL And dev",$AC:$AC, "Review-1"))</f>
        <v/>
      </c>
      <c r="Y253" s="7" t="str">
        <f>IF(ISBLANK(patch[[#This Row],[project]]), "",COUNTIFS($A:$A,patch[[#This Row],[number]],$S:$S, "SH And dev",$AC:$AC, "Review-1"))</f>
        <v/>
      </c>
      <c r="Z253" s="7" t="str">
        <f>IF(ISBLANK(patch[[#This Row],[project]]), "",COUNTIFS($A:$A,patch[[#This Row],[number]],$S:$S, "BJ And dev",$AD:$AD, "&lt;&gt;IntegratorValidationComment"))</f>
        <v/>
      </c>
      <c r="AA253" s="7" t="str">
        <f>IF(ISBLANK(patch[[#This Row],[project]]), "",COUNTIFS($A:$A,patch[[#This Row],[number]],$S:$S, "FL And dev",$AD:$AD, "&lt;&gt;IntegratorValidationComment"))</f>
        <v/>
      </c>
      <c r="AB253" s="7" t="str">
        <f>IF(ISBLANK(patch[[#This Row],[project]]), "",COUNTIFS($A:$A,patch[[#This Row],[number]],$S:$S, "SH And dev",$AD:$AD, "&lt;&gt;IntegratorValidationComment"))</f>
        <v/>
      </c>
      <c r="AC253" s="7" t="str">
        <f>IF(OR(ISNUMBER(FIND("Review-1", patch[[#This Row],[comments]])), ISNUMBER(FIND("Approver-1", patch[[#This Row],[comments]]))), "Review-1", "")</f>
        <v/>
      </c>
      <c r="AD2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3" s="7">
        <f>IF(ISBLANK(patch[[#This Row],[number]]),AE252,patch[[#This Row],[ifCommon]])</f>
        <v>0</v>
      </c>
    </row>
    <row r="254" spans="1:31">
      <c r="A254" s="151">
        <v>147302</v>
      </c>
      <c r="B254" s="151"/>
      <c r="C254" s="151"/>
      <c r="D254" s="151"/>
      <c r="E254" s="151"/>
      <c r="F254" s="151"/>
      <c r="G254" s="151"/>
      <c r="H254" s="151"/>
      <c r="I254" s="151"/>
      <c r="J254" s="152">
        <v>42640.690625000003</v>
      </c>
      <c r="K254" s="151"/>
      <c r="L254" s="151" t="s">
        <v>63</v>
      </c>
      <c r="M254" s="152">
        <v>42636.49800925926</v>
      </c>
      <c r="N254" s="151" t="s">
        <v>2450</v>
      </c>
      <c r="O254" s="151"/>
      <c r="P254" s="151"/>
      <c r="Q254" s="7" t="str">
        <f>IF(ISBLANK(patch[[#This Row],[OwnerEmail]]),Q253,patch[[#This Row],[OwnerEmail]])</f>
        <v>zongx.li@intel.com</v>
      </c>
      <c r="R254" s="7" t="str">
        <f>_xlfn.IFNA(VLOOKUP(patch[[#This Row],[tmp-owner.email]],OrgTree!$A:$K, 11, 0), "not ICG SWFW")</f>
        <v>BJ And dev</v>
      </c>
      <c r="S254" s="7" t="str">
        <f>IF(patch[[#This Row],[reviewer]]=patch[[#This Row],[tmp-owner.email]], "author", _xlfn.IFNA(VLOOKUP(patch[[#This Row],[reviewer]],OrgTree!$A:$K, 11, 0), "not ICG SWFW"))</f>
        <v>author</v>
      </c>
      <c r="T254" s="7" t="str">
        <f>IF(ISBLANK(patch[[#This Row],[mergeDate]]), "", MID(YEAR(patch[[#This Row],[mergeDate]]), 3,2)&amp;"'ww"&amp;WEEKNUM(patch[[#This Row],[mergeDate]]))</f>
        <v>16'ww40</v>
      </c>
      <c r="U254" s="7" t="str">
        <f>IF(ISBLANK(patch[[#This Row],[mergeDate]]), U253, MID(YEAR(patch[[#This Row],[mergeDate]]), 3,2)&amp;"'m"&amp;MONTH(patch[[#This Row],[mergeDate]]))</f>
        <v>16'm9</v>
      </c>
      <c r="V254" s="7" t="str">
        <f>IF(ISBLANK(patch[[#This Row],[project]]), "",SUM(patch[[#This Row],[BJ -1 num]:[SH -1 num]]))</f>
        <v/>
      </c>
      <c r="W254" s="7" t="str">
        <f>IF(ISBLANK(patch[[#This Row],[project]]), "",COUNTIFS($A:$A,patch[[#This Row],[number]],$S:$S, "BJ And dev",$AC:$AC, "Review-1"))</f>
        <v/>
      </c>
      <c r="X254" s="7" t="str">
        <f>IF(ISBLANK(patch[[#This Row],[project]]), "",COUNTIFS($A:$A,patch[[#This Row],[number]],$S:$S, "FL And dev",$AC:$AC, "Review-1"))</f>
        <v/>
      </c>
      <c r="Y254" s="7" t="str">
        <f>IF(ISBLANK(patch[[#This Row],[project]]), "",COUNTIFS($A:$A,patch[[#This Row],[number]],$S:$S, "SH And dev",$AC:$AC, "Review-1"))</f>
        <v/>
      </c>
      <c r="Z254" s="7" t="str">
        <f>IF(ISBLANK(patch[[#This Row],[project]]), "",COUNTIFS($A:$A,patch[[#This Row],[number]],$S:$S, "BJ And dev",$AD:$AD, "&lt;&gt;IntegratorValidationComment"))</f>
        <v/>
      </c>
      <c r="AA254" s="7" t="str">
        <f>IF(ISBLANK(patch[[#This Row],[project]]), "",COUNTIFS($A:$A,patch[[#This Row],[number]],$S:$S, "FL And dev",$AD:$AD, "&lt;&gt;IntegratorValidationComment"))</f>
        <v/>
      </c>
      <c r="AB254" s="7" t="str">
        <f>IF(ISBLANK(patch[[#This Row],[project]]), "",COUNTIFS($A:$A,patch[[#This Row],[number]],$S:$S, "SH And dev",$AD:$AD, "&lt;&gt;IntegratorValidationComment"))</f>
        <v/>
      </c>
      <c r="AC254" s="7" t="str">
        <f>IF(OR(ISNUMBER(FIND("Review-1", patch[[#This Row],[comments]])), ISNUMBER(FIND("Approver-1", patch[[#This Row],[comments]]))), "Review-1", "")</f>
        <v/>
      </c>
      <c r="AD2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4" s="7">
        <f>IF(ISBLANK(patch[[#This Row],[number]]),AE253,patch[[#This Row],[ifCommon]])</f>
        <v>0</v>
      </c>
    </row>
    <row r="255" spans="1:31">
      <c r="A255" s="151">
        <v>147302</v>
      </c>
      <c r="B255" s="151"/>
      <c r="C255" s="151"/>
      <c r="D255" s="151"/>
      <c r="E255" s="151"/>
      <c r="F255" s="151"/>
      <c r="G255" s="151"/>
      <c r="H255" s="151"/>
      <c r="I255" s="151"/>
      <c r="J255" s="152">
        <v>42640.690625000003</v>
      </c>
      <c r="K255" s="151"/>
      <c r="L255" s="151" t="s">
        <v>63</v>
      </c>
      <c r="M255" s="152">
        <v>42636.49800925926</v>
      </c>
      <c r="N255" s="151" t="s">
        <v>1829</v>
      </c>
      <c r="O255" s="151"/>
      <c r="P255" s="151"/>
      <c r="Q255" s="7" t="str">
        <f>IF(ISBLANK(patch[[#This Row],[OwnerEmail]]),Q254,patch[[#This Row],[OwnerEmail]])</f>
        <v>zongx.li@intel.com</v>
      </c>
      <c r="R255" s="7" t="str">
        <f>_xlfn.IFNA(VLOOKUP(patch[[#This Row],[tmp-owner.email]],OrgTree!$A:$K, 11, 0), "not ICG SWFW")</f>
        <v>BJ And dev</v>
      </c>
      <c r="S255" s="7" t="str">
        <f>IF(patch[[#This Row],[reviewer]]=patch[[#This Row],[tmp-owner.email]], "author", _xlfn.IFNA(VLOOKUP(patch[[#This Row],[reviewer]],OrgTree!$A:$K, 11, 0), "not ICG SWFW"))</f>
        <v>author</v>
      </c>
      <c r="T255" s="7" t="str">
        <f>IF(ISBLANK(patch[[#This Row],[mergeDate]]), "", MID(YEAR(patch[[#This Row],[mergeDate]]), 3,2)&amp;"'ww"&amp;WEEKNUM(patch[[#This Row],[mergeDate]]))</f>
        <v>16'ww40</v>
      </c>
      <c r="U255" s="7" t="str">
        <f>IF(ISBLANK(patch[[#This Row],[mergeDate]]), U254, MID(YEAR(patch[[#This Row],[mergeDate]]), 3,2)&amp;"'m"&amp;MONTH(patch[[#This Row],[mergeDate]]))</f>
        <v>16'm9</v>
      </c>
      <c r="V255" s="7" t="str">
        <f>IF(ISBLANK(patch[[#This Row],[project]]), "",SUM(patch[[#This Row],[BJ -1 num]:[SH -1 num]]))</f>
        <v/>
      </c>
      <c r="W255" s="7" t="str">
        <f>IF(ISBLANK(patch[[#This Row],[project]]), "",COUNTIFS($A:$A,patch[[#This Row],[number]],$S:$S, "BJ And dev",$AC:$AC, "Review-1"))</f>
        <v/>
      </c>
      <c r="X255" s="7" t="str">
        <f>IF(ISBLANK(patch[[#This Row],[project]]), "",COUNTIFS($A:$A,patch[[#This Row],[number]],$S:$S, "FL And dev",$AC:$AC, "Review-1"))</f>
        <v/>
      </c>
      <c r="Y255" s="7" t="str">
        <f>IF(ISBLANK(patch[[#This Row],[project]]), "",COUNTIFS($A:$A,patch[[#This Row],[number]],$S:$S, "SH And dev",$AC:$AC, "Review-1"))</f>
        <v/>
      </c>
      <c r="Z255" s="7" t="str">
        <f>IF(ISBLANK(patch[[#This Row],[project]]), "",COUNTIFS($A:$A,patch[[#This Row],[number]],$S:$S, "BJ And dev",$AD:$AD, "&lt;&gt;IntegratorValidationComment"))</f>
        <v/>
      </c>
      <c r="AA255" s="7" t="str">
        <f>IF(ISBLANK(patch[[#This Row],[project]]), "",COUNTIFS($A:$A,patch[[#This Row],[number]],$S:$S, "FL And dev",$AD:$AD, "&lt;&gt;IntegratorValidationComment"))</f>
        <v/>
      </c>
      <c r="AB255" s="7" t="str">
        <f>IF(ISBLANK(patch[[#This Row],[project]]), "",COUNTIFS($A:$A,patch[[#This Row],[number]],$S:$S, "SH And dev",$AD:$AD, "&lt;&gt;IntegratorValidationComment"))</f>
        <v/>
      </c>
      <c r="AC255" s="7" t="str">
        <f>IF(OR(ISNUMBER(FIND("Review-1", patch[[#This Row],[comments]])), ISNUMBER(FIND("Approver-1", patch[[#This Row],[comments]]))), "Review-1", "")</f>
        <v/>
      </c>
      <c r="AD2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5" s="7">
        <f>IF(ISBLANK(patch[[#This Row],[number]]),AE254,patch[[#This Row],[ifCommon]])</f>
        <v>0</v>
      </c>
    </row>
    <row r="256" spans="1:31">
      <c r="A256" s="151">
        <v>147302</v>
      </c>
      <c r="B256" s="151"/>
      <c r="C256" s="151"/>
      <c r="D256" s="151"/>
      <c r="E256" s="151"/>
      <c r="F256" s="151"/>
      <c r="G256" s="151"/>
      <c r="H256" s="151"/>
      <c r="I256" s="151"/>
      <c r="J256" s="152">
        <v>42640.690625000003</v>
      </c>
      <c r="K256" s="151"/>
      <c r="L256" s="151" t="s">
        <v>63</v>
      </c>
      <c r="M256" s="152">
        <v>42636.498182870368</v>
      </c>
      <c r="N256" s="151" t="s">
        <v>48</v>
      </c>
      <c r="O256" s="151"/>
      <c r="P256" s="151"/>
      <c r="Q256" s="7" t="str">
        <f>IF(ISBLANK(patch[[#This Row],[OwnerEmail]]),Q255,patch[[#This Row],[OwnerEmail]])</f>
        <v>zongx.li@intel.com</v>
      </c>
      <c r="R256" s="7" t="str">
        <f>_xlfn.IFNA(VLOOKUP(patch[[#This Row],[tmp-owner.email]],OrgTree!$A:$K, 11, 0), "not ICG SWFW")</f>
        <v>BJ And dev</v>
      </c>
      <c r="S256" s="7" t="str">
        <f>IF(patch[[#This Row],[reviewer]]=patch[[#This Row],[tmp-owner.email]], "author", _xlfn.IFNA(VLOOKUP(patch[[#This Row],[reviewer]],OrgTree!$A:$K, 11, 0), "not ICG SWFW"))</f>
        <v>author</v>
      </c>
      <c r="T256" s="7" t="str">
        <f>IF(ISBLANK(patch[[#This Row],[mergeDate]]), "", MID(YEAR(patch[[#This Row],[mergeDate]]), 3,2)&amp;"'ww"&amp;WEEKNUM(patch[[#This Row],[mergeDate]]))</f>
        <v>16'ww40</v>
      </c>
      <c r="U256" s="7" t="str">
        <f>IF(ISBLANK(patch[[#This Row],[mergeDate]]), U255, MID(YEAR(patch[[#This Row],[mergeDate]]), 3,2)&amp;"'m"&amp;MONTH(patch[[#This Row],[mergeDate]]))</f>
        <v>16'm9</v>
      </c>
      <c r="V256" s="7" t="str">
        <f>IF(ISBLANK(patch[[#This Row],[project]]), "",SUM(patch[[#This Row],[BJ -1 num]:[SH -1 num]]))</f>
        <v/>
      </c>
      <c r="W256" s="7" t="str">
        <f>IF(ISBLANK(patch[[#This Row],[project]]), "",COUNTIFS($A:$A,patch[[#This Row],[number]],$S:$S, "BJ And dev",$AC:$AC, "Review-1"))</f>
        <v/>
      </c>
      <c r="X256" s="7" t="str">
        <f>IF(ISBLANK(patch[[#This Row],[project]]), "",COUNTIFS($A:$A,patch[[#This Row],[number]],$S:$S, "FL And dev",$AC:$AC, "Review-1"))</f>
        <v/>
      </c>
      <c r="Y256" s="7" t="str">
        <f>IF(ISBLANK(patch[[#This Row],[project]]), "",COUNTIFS($A:$A,patch[[#This Row],[number]],$S:$S, "SH And dev",$AC:$AC, "Review-1"))</f>
        <v/>
      </c>
      <c r="Z256" s="7" t="str">
        <f>IF(ISBLANK(patch[[#This Row],[project]]), "",COUNTIFS($A:$A,patch[[#This Row],[number]],$S:$S, "BJ And dev",$AD:$AD, "&lt;&gt;IntegratorValidationComment"))</f>
        <v/>
      </c>
      <c r="AA256" s="7" t="str">
        <f>IF(ISBLANK(patch[[#This Row],[project]]), "",COUNTIFS($A:$A,patch[[#This Row],[number]],$S:$S, "FL And dev",$AD:$AD, "&lt;&gt;IntegratorValidationComment"))</f>
        <v/>
      </c>
      <c r="AB256" s="7" t="str">
        <f>IF(ISBLANK(patch[[#This Row],[project]]), "",COUNTIFS($A:$A,patch[[#This Row],[number]],$S:$S, "SH And dev",$AD:$AD, "&lt;&gt;IntegratorValidationComment"))</f>
        <v/>
      </c>
      <c r="AC256" s="7" t="str">
        <f>IF(OR(ISNUMBER(FIND("Review-1", patch[[#This Row],[comments]])), ISNUMBER(FIND("Approver-1", patch[[#This Row],[comments]]))), "Review-1", "")</f>
        <v/>
      </c>
      <c r="AD2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6" s="7">
        <f>IF(ISBLANK(patch[[#This Row],[number]]),AE255,patch[[#This Row],[ifCommon]])</f>
        <v>0</v>
      </c>
    </row>
    <row r="257" spans="1:31">
      <c r="A257" s="151">
        <v>147302</v>
      </c>
      <c r="B257" s="151"/>
      <c r="C257" s="151"/>
      <c r="D257" s="151"/>
      <c r="E257" s="151"/>
      <c r="F257" s="151"/>
      <c r="G257" s="151"/>
      <c r="H257" s="151"/>
      <c r="I257" s="151"/>
      <c r="J257" s="152">
        <v>42640.690625000003</v>
      </c>
      <c r="K257" s="151"/>
      <c r="L257" s="151" t="s">
        <v>59</v>
      </c>
      <c r="M257" s="152">
        <v>42636.502893518518</v>
      </c>
      <c r="N257" s="151" t="s">
        <v>2718</v>
      </c>
      <c r="O257" s="151"/>
      <c r="P257" s="151"/>
      <c r="Q257" s="7" t="str">
        <f>IF(ISBLANK(patch[[#This Row],[OwnerEmail]]),Q256,patch[[#This Row],[OwnerEmail]])</f>
        <v>zongx.li@intel.com</v>
      </c>
      <c r="R257" s="7" t="str">
        <f>_xlfn.IFNA(VLOOKUP(patch[[#This Row],[tmp-owner.email]],OrgTree!$A:$K, 11, 0), "not ICG SWFW")</f>
        <v>BJ And dev</v>
      </c>
      <c r="S257" s="7" t="str">
        <f>IF(patch[[#This Row],[reviewer]]=patch[[#This Row],[tmp-owner.email]], "author", _xlfn.IFNA(VLOOKUP(patch[[#This Row],[reviewer]],OrgTree!$A:$K, 11, 0), "not ICG SWFW"))</f>
        <v>BJ And dev</v>
      </c>
      <c r="T257" s="7" t="str">
        <f>IF(ISBLANK(patch[[#This Row],[mergeDate]]), "", MID(YEAR(patch[[#This Row],[mergeDate]]), 3,2)&amp;"'ww"&amp;WEEKNUM(patch[[#This Row],[mergeDate]]))</f>
        <v>16'ww40</v>
      </c>
      <c r="U257" s="7" t="str">
        <f>IF(ISBLANK(patch[[#This Row],[mergeDate]]), U256, MID(YEAR(patch[[#This Row],[mergeDate]]), 3,2)&amp;"'m"&amp;MONTH(patch[[#This Row],[mergeDate]]))</f>
        <v>16'm9</v>
      </c>
      <c r="V257" s="7" t="str">
        <f>IF(ISBLANK(patch[[#This Row],[project]]), "",SUM(patch[[#This Row],[BJ -1 num]:[SH -1 num]]))</f>
        <v/>
      </c>
      <c r="W257" s="7" t="str">
        <f>IF(ISBLANK(patch[[#This Row],[project]]), "",COUNTIFS($A:$A,patch[[#This Row],[number]],$S:$S, "BJ And dev",$AC:$AC, "Review-1"))</f>
        <v/>
      </c>
      <c r="X257" s="7" t="str">
        <f>IF(ISBLANK(patch[[#This Row],[project]]), "",COUNTIFS($A:$A,patch[[#This Row],[number]],$S:$S, "FL And dev",$AC:$AC, "Review-1"))</f>
        <v/>
      </c>
      <c r="Y257" s="7" t="str">
        <f>IF(ISBLANK(patch[[#This Row],[project]]), "",COUNTIFS($A:$A,patch[[#This Row],[number]],$S:$S, "SH And dev",$AC:$AC, "Review-1"))</f>
        <v/>
      </c>
      <c r="Z257" s="7" t="str">
        <f>IF(ISBLANK(patch[[#This Row],[project]]), "",COUNTIFS($A:$A,patch[[#This Row],[number]],$S:$S, "BJ And dev",$AD:$AD, "&lt;&gt;IntegratorValidationComment"))</f>
        <v/>
      </c>
      <c r="AA257" s="7" t="str">
        <f>IF(ISBLANK(patch[[#This Row],[project]]), "",COUNTIFS($A:$A,patch[[#This Row],[number]],$S:$S, "FL And dev",$AD:$AD, "&lt;&gt;IntegratorValidationComment"))</f>
        <v/>
      </c>
      <c r="AB257" s="7" t="str">
        <f>IF(ISBLANK(patch[[#This Row],[project]]), "",COUNTIFS($A:$A,patch[[#This Row],[number]],$S:$S, "SH And dev",$AD:$AD, "&lt;&gt;IntegratorValidationComment"))</f>
        <v/>
      </c>
      <c r="AC257" s="7" t="str">
        <f>IF(OR(ISNUMBER(FIND("Review-1", patch[[#This Row],[comments]])), ISNUMBER(FIND("Approver-1", patch[[#This Row],[comments]]))), "Review-1", "")</f>
        <v/>
      </c>
      <c r="AD2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7" s="7">
        <f>IF(ISBLANK(patch[[#This Row],[number]]),AE256,patch[[#This Row],[ifCommon]])</f>
        <v>0</v>
      </c>
    </row>
    <row r="258" spans="1:31">
      <c r="A258" s="151">
        <v>147302</v>
      </c>
      <c r="B258" s="151"/>
      <c r="C258" s="151"/>
      <c r="D258" s="151"/>
      <c r="E258" s="151"/>
      <c r="F258" s="151"/>
      <c r="G258" s="151"/>
      <c r="H258" s="151"/>
      <c r="I258" s="151"/>
      <c r="J258" s="152">
        <v>42640.690625000003</v>
      </c>
      <c r="K258" s="151"/>
      <c r="L258" s="151" t="s">
        <v>59</v>
      </c>
      <c r="M258" s="152">
        <v>42636.512152777781</v>
      </c>
      <c r="N258" s="151" t="s">
        <v>2719</v>
      </c>
      <c r="O258" s="151"/>
      <c r="P258" s="151"/>
      <c r="Q258" s="7" t="str">
        <f>IF(ISBLANK(patch[[#This Row],[OwnerEmail]]),Q257,patch[[#This Row],[OwnerEmail]])</f>
        <v>zongx.li@intel.com</v>
      </c>
      <c r="R258" s="7" t="str">
        <f>_xlfn.IFNA(VLOOKUP(patch[[#This Row],[tmp-owner.email]],OrgTree!$A:$K, 11, 0), "not ICG SWFW")</f>
        <v>BJ And dev</v>
      </c>
      <c r="S258" s="7" t="str">
        <f>IF(patch[[#This Row],[reviewer]]=patch[[#This Row],[tmp-owner.email]], "author", _xlfn.IFNA(VLOOKUP(patch[[#This Row],[reviewer]],OrgTree!$A:$K, 11, 0), "not ICG SWFW"))</f>
        <v>BJ And dev</v>
      </c>
      <c r="T258" s="7" t="str">
        <f>IF(ISBLANK(patch[[#This Row],[mergeDate]]), "", MID(YEAR(patch[[#This Row],[mergeDate]]), 3,2)&amp;"'ww"&amp;WEEKNUM(patch[[#This Row],[mergeDate]]))</f>
        <v>16'ww40</v>
      </c>
      <c r="U258" s="7" t="str">
        <f>IF(ISBLANK(patch[[#This Row],[mergeDate]]), U257, MID(YEAR(patch[[#This Row],[mergeDate]]), 3,2)&amp;"'m"&amp;MONTH(patch[[#This Row],[mergeDate]]))</f>
        <v>16'm9</v>
      </c>
      <c r="V258" s="7" t="str">
        <f>IF(ISBLANK(patch[[#This Row],[project]]), "",SUM(patch[[#This Row],[BJ -1 num]:[SH -1 num]]))</f>
        <v/>
      </c>
      <c r="W258" s="7" t="str">
        <f>IF(ISBLANK(patch[[#This Row],[project]]), "",COUNTIFS($A:$A,patch[[#This Row],[number]],$S:$S, "BJ And dev",$AC:$AC, "Review-1"))</f>
        <v/>
      </c>
      <c r="X258" s="7" t="str">
        <f>IF(ISBLANK(patch[[#This Row],[project]]), "",COUNTIFS($A:$A,patch[[#This Row],[number]],$S:$S, "FL And dev",$AC:$AC, "Review-1"))</f>
        <v/>
      </c>
      <c r="Y258" s="7" t="str">
        <f>IF(ISBLANK(patch[[#This Row],[project]]), "",COUNTIFS($A:$A,patch[[#This Row],[number]],$S:$S, "SH And dev",$AC:$AC, "Review-1"))</f>
        <v/>
      </c>
      <c r="Z258" s="7" t="str">
        <f>IF(ISBLANK(patch[[#This Row],[project]]), "",COUNTIFS($A:$A,patch[[#This Row],[number]],$S:$S, "BJ And dev",$AD:$AD, "&lt;&gt;IntegratorValidationComment"))</f>
        <v/>
      </c>
      <c r="AA258" s="7" t="str">
        <f>IF(ISBLANK(patch[[#This Row],[project]]), "",COUNTIFS($A:$A,patch[[#This Row],[number]],$S:$S, "FL And dev",$AD:$AD, "&lt;&gt;IntegratorValidationComment"))</f>
        <v/>
      </c>
      <c r="AB258" s="7" t="str">
        <f>IF(ISBLANK(patch[[#This Row],[project]]), "",COUNTIFS($A:$A,patch[[#This Row],[number]],$S:$S, "SH And dev",$AD:$AD, "&lt;&gt;IntegratorValidationComment"))</f>
        <v/>
      </c>
      <c r="AC258" s="7" t="str">
        <f>IF(OR(ISNUMBER(FIND("Review-1", patch[[#This Row],[comments]])), ISNUMBER(FIND("Approver-1", patch[[#This Row],[comments]]))), "Review-1", "")</f>
        <v/>
      </c>
      <c r="AD2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8" s="7">
        <f>IF(ISBLANK(patch[[#This Row],[number]]),AE257,patch[[#This Row],[ifCommon]])</f>
        <v>0</v>
      </c>
    </row>
    <row r="259" spans="1:31">
      <c r="A259" s="151">
        <v>147302</v>
      </c>
      <c r="B259" s="151"/>
      <c r="C259" s="151"/>
      <c r="D259" s="151"/>
      <c r="E259" s="151"/>
      <c r="F259" s="151"/>
      <c r="G259" s="151"/>
      <c r="H259" s="151"/>
      <c r="I259" s="151"/>
      <c r="J259" s="152">
        <v>42640.690625000003</v>
      </c>
      <c r="K259" s="151"/>
      <c r="L259" s="151" t="s">
        <v>32</v>
      </c>
      <c r="M259" s="152">
        <v>42636.756747685176</v>
      </c>
      <c r="N259" s="151" t="s">
        <v>48</v>
      </c>
      <c r="O259" s="151"/>
      <c r="P259" s="151"/>
      <c r="Q259" s="7" t="str">
        <f>IF(ISBLANK(patch[[#This Row],[OwnerEmail]]),Q258,patch[[#This Row],[OwnerEmail]])</f>
        <v>zongx.li@intel.com</v>
      </c>
      <c r="R259" s="7" t="str">
        <f>_xlfn.IFNA(VLOOKUP(patch[[#This Row],[tmp-owner.email]],OrgTree!$A:$K, 11, 0), "not ICG SWFW")</f>
        <v>BJ And dev</v>
      </c>
      <c r="S259" s="7" t="str">
        <f>IF(patch[[#This Row],[reviewer]]=patch[[#This Row],[tmp-owner.email]], "author", _xlfn.IFNA(VLOOKUP(patch[[#This Row],[reviewer]],OrgTree!$A:$K, 11, 0), "not ICG SWFW"))</f>
        <v>BJ And dev</v>
      </c>
      <c r="T259" s="7" t="str">
        <f>IF(ISBLANK(patch[[#This Row],[mergeDate]]), "", MID(YEAR(patch[[#This Row],[mergeDate]]), 3,2)&amp;"'ww"&amp;WEEKNUM(patch[[#This Row],[mergeDate]]))</f>
        <v>16'ww40</v>
      </c>
      <c r="U259" s="7" t="str">
        <f>IF(ISBLANK(patch[[#This Row],[mergeDate]]), U258, MID(YEAR(patch[[#This Row],[mergeDate]]), 3,2)&amp;"'m"&amp;MONTH(patch[[#This Row],[mergeDate]]))</f>
        <v>16'm9</v>
      </c>
      <c r="V259" s="7" t="str">
        <f>IF(ISBLANK(patch[[#This Row],[project]]), "",SUM(patch[[#This Row],[BJ -1 num]:[SH -1 num]]))</f>
        <v/>
      </c>
      <c r="W259" s="7" t="str">
        <f>IF(ISBLANK(patch[[#This Row],[project]]), "",COUNTIFS($A:$A,patch[[#This Row],[number]],$S:$S, "BJ And dev",$AC:$AC, "Review-1"))</f>
        <v/>
      </c>
      <c r="X259" s="7" t="str">
        <f>IF(ISBLANK(patch[[#This Row],[project]]), "",COUNTIFS($A:$A,patch[[#This Row],[number]],$S:$S, "FL And dev",$AC:$AC, "Review-1"))</f>
        <v/>
      </c>
      <c r="Y259" s="7" t="str">
        <f>IF(ISBLANK(patch[[#This Row],[project]]), "",COUNTIFS($A:$A,patch[[#This Row],[number]],$S:$S, "SH And dev",$AC:$AC, "Review-1"))</f>
        <v/>
      </c>
      <c r="Z259" s="7" t="str">
        <f>IF(ISBLANK(patch[[#This Row],[project]]), "",COUNTIFS($A:$A,patch[[#This Row],[number]],$S:$S, "BJ And dev",$AD:$AD, "&lt;&gt;IntegratorValidationComment"))</f>
        <v/>
      </c>
      <c r="AA259" s="7" t="str">
        <f>IF(ISBLANK(patch[[#This Row],[project]]), "",COUNTIFS($A:$A,patch[[#This Row],[number]],$S:$S, "FL And dev",$AD:$AD, "&lt;&gt;IntegratorValidationComment"))</f>
        <v/>
      </c>
      <c r="AB259" s="7" t="str">
        <f>IF(ISBLANK(patch[[#This Row],[project]]), "",COUNTIFS($A:$A,patch[[#This Row],[number]],$S:$S, "SH And dev",$AD:$AD, "&lt;&gt;IntegratorValidationComment"))</f>
        <v/>
      </c>
      <c r="AC259" s="7" t="str">
        <f>IF(OR(ISNUMBER(FIND("Review-1", patch[[#This Row],[comments]])), ISNUMBER(FIND("Approver-1", patch[[#This Row],[comments]]))), "Review-1", "")</f>
        <v/>
      </c>
      <c r="AD2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9" s="7">
        <f>IF(ISBLANK(patch[[#This Row],[number]]),AE258,patch[[#This Row],[ifCommon]])</f>
        <v>0</v>
      </c>
    </row>
    <row r="260" spans="1:31">
      <c r="A260" s="151">
        <v>147302</v>
      </c>
      <c r="B260" s="151"/>
      <c r="C260" s="151"/>
      <c r="D260" s="151"/>
      <c r="E260" s="151"/>
      <c r="F260" s="151"/>
      <c r="G260" s="151"/>
      <c r="H260" s="151"/>
      <c r="I260" s="151"/>
      <c r="J260" s="152">
        <v>42640.690625000003</v>
      </c>
      <c r="K260" s="151"/>
      <c r="L260" s="151" t="s">
        <v>63</v>
      </c>
      <c r="M260" s="152">
        <v>42639.577893518523</v>
      </c>
      <c r="N260" s="151" t="s">
        <v>2451</v>
      </c>
      <c r="O260" s="151"/>
      <c r="P260" s="151"/>
      <c r="Q260" s="7" t="str">
        <f>IF(ISBLANK(patch[[#This Row],[OwnerEmail]]),Q259,patch[[#This Row],[OwnerEmail]])</f>
        <v>zongx.li@intel.com</v>
      </c>
      <c r="R260" s="7" t="str">
        <f>_xlfn.IFNA(VLOOKUP(patch[[#This Row],[tmp-owner.email]],OrgTree!$A:$K, 11, 0), "not ICG SWFW")</f>
        <v>BJ And dev</v>
      </c>
      <c r="S260" s="7" t="str">
        <f>IF(patch[[#This Row],[reviewer]]=patch[[#This Row],[tmp-owner.email]], "author", _xlfn.IFNA(VLOOKUP(patch[[#This Row],[reviewer]],OrgTree!$A:$K, 11, 0), "not ICG SWFW"))</f>
        <v>author</v>
      </c>
      <c r="T260" s="7" t="str">
        <f>IF(ISBLANK(patch[[#This Row],[mergeDate]]), "", MID(YEAR(patch[[#This Row],[mergeDate]]), 3,2)&amp;"'ww"&amp;WEEKNUM(patch[[#This Row],[mergeDate]]))</f>
        <v>16'ww40</v>
      </c>
      <c r="U260" s="7" t="str">
        <f>IF(ISBLANK(patch[[#This Row],[mergeDate]]), U259, MID(YEAR(patch[[#This Row],[mergeDate]]), 3,2)&amp;"'m"&amp;MONTH(patch[[#This Row],[mergeDate]]))</f>
        <v>16'm9</v>
      </c>
      <c r="V260" s="7" t="str">
        <f>IF(ISBLANK(patch[[#This Row],[project]]), "",SUM(patch[[#This Row],[BJ -1 num]:[SH -1 num]]))</f>
        <v/>
      </c>
      <c r="W260" s="7" t="str">
        <f>IF(ISBLANK(patch[[#This Row],[project]]), "",COUNTIFS($A:$A,patch[[#This Row],[number]],$S:$S, "BJ And dev",$AC:$AC, "Review-1"))</f>
        <v/>
      </c>
      <c r="X260" s="7" t="str">
        <f>IF(ISBLANK(patch[[#This Row],[project]]), "",COUNTIFS($A:$A,patch[[#This Row],[number]],$S:$S, "FL And dev",$AC:$AC, "Review-1"))</f>
        <v/>
      </c>
      <c r="Y260" s="7" t="str">
        <f>IF(ISBLANK(patch[[#This Row],[project]]), "",COUNTIFS($A:$A,patch[[#This Row],[number]],$S:$S, "SH And dev",$AC:$AC, "Review-1"))</f>
        <v/>
      </c>
      <c r="Z260" s="7" t="str">
        <f>IF(ISBLANK(patch[[#This Row],[project]]), "",COUNTIFS($A:$A,patch[[#This Row],[number]],$S:$S, "BJ And dev",$AD:$AD, "&lt;&gt;IntegratorValidationComment"))</f>
        <v/>
      </c>
      <c r="AA260" s="7" t="str">
        <f>IF(ISBLANK(patch[[#This Row],[project]]), "",COUNTIFS($A:$A,patch[[#This Row],[number]],$S:$S, "FL And dev",$AD:$AD, "&lt;&gt;IntegratorValidationComment"))</f>
        <v/>
      </c>
      <c r="AB260" s="7" t="str">
        <f>IF(ISBLANK(patch[[#This Row],[project]]), "",COUNTIFS($A:$A,patch[[#This Row],[number]],$S:$S, "SH And dev",$AD:$AD, "&lt;&gt;IntegratorValidationComment"))</f>
        <v/>
      </c>
      <c r="AC260" s="7" t="str">
        <f>IF(OR(ISNUMBER(FIND("Review-1", patch[[#This Row],[comments]])), ISNUMBER(FIND("Approver-1", patch[[#This Row],[comments]]))), "Review-1", "")</f>
        <v/>
      </c>
      <c r="AD2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0" s="7">
        <f>IF(ISBLANK(patch[[#This Row],[number]]),AE259,patch[[#This Row],[ifCommon]])</f>
        <v>0</v>
      </c>
    </row>
    <row r="261" spans="1:31">
      <c r="A261" s="151">
        <v>147302</v>
      </c>
      <c r="B261" s="151"/>
      <c r="C261" s="151"/>
      <c r="D261" s="151"/>
      <c r="E261" s="151"/>
      <c r="F261" s="151"/>
      <c r="G261" s="151"/>
      <c r="H261" s="151"/>
      <c r="I261" s="151"/>
      <c r="J261" s="152">
        <v>42640.690625000003</v>
      </c>
      <c r="K261" s="151"/>
      <c r="L261" s="151" t="s">
        <v>63</v>
      </c>
      <c r="M261" s="152">
        <v>42639.577893518523</v>
      </c>
      <c r="N261" s="151" t="s">
        <v>1841</v>
      </c>
      <c r="O261" s="151"/>
      <c r="P261" s="151"/>
      <c r="Q261" s="7" t="str">
        <f>IF(ISBLANK(patch[[#This Row],[OwnerEmail]]),Q260,patch[[#This Row],[OwnerEmail]])</f>
        <v>zongx.li@intel.com</v>
      </c>
      <c r="R261" s="7" t="str">
        <f>_xlfn.IFNA(VLOOKUP(patch[[#This Row],[tmp-owner.email]],OrgTree!$A:$K, 11, 0), "not ICG SWFW")</f>
        <v>BJ And dev</v>
      </c>
      <c r="S261" s="7" t="str">
        <f>IF(patch[[#This Row],[reviewer]]=patch[[#This Row],[tmp-owner.email]], "author", _xlfn.IFNA(VLOOKUP(patch[[#This Row],[reviewer]],OrgTree!$A:$K, 11, 0), "not ICG SWFW"))</f>
        <v>author</v>
      </c>
      <c r="T261" s="7" t="str">
        <f>IF(ISBLANK(patch[[#This Row],[mergeDate]]), "", MID(YEAR(patch[[#This Row],[mergeDate]]), 3,2)&amp;"'ww"&amp;WEEKNUM(patch[[#This Row],[mergeDate]]))</f>
        <v>16'ww40</v>
      </c>
      <c r="U261" s="7" t="str">
        <f>IF(ISBLANK(patch[[#This Row],[mergeDate]]), U260, MID(YEAR(patch[[#This Row],[mergeDate]]), 3,2)&amp;"'m"&amp;MONTH(patch[[#This Row],[mergeDate]]))</f>
        <v>16'm9</v>
      </c>
      <c r="V261" s="7" t="str">
        <f>IF(ISBLANK(patch[[#This Row],[project]]), "",SUM(patch[[#This Row],[BJ -1 num]:[SH -1 num]]))</f>
        <v/>
      </c>
      <c r="W261" s="7" t="str">
        <f>IF(ISBLANK(patch[[#This Row],[project]]), "",COUNTIFS($A:$A,patch[[#This Row],[number]],$S:$S, "BJ And dev",$AC:$AC, "Review-1"))</f>
        <v/>
      </c>
      <c r="X261" s="7" t="str">
        <f>IF(ISBLANK(patch[[#This Row],[project]]), "",COUNTIFS($A:$A,patch[[#This Row],[number]],$S:$S, "FL And dev",$AC:$AC, "Review-1"))</f>
        <v/>
      </c>
      <c r="Y261" s="7" t="str">
        <f>IF(ISBLANK(patch[[#This Row],[project]]), "",COUNTIFS($A:$A,patch[[#This Row],[number]],$S:$S, "SH And dev",$AC:$AC, "Review-1"))</f>
        <v/>
      </c>
      <c r="Z261" s="7" t="str">
        <f>IF(ISBLANK(patch[[#This Row],[project]]), "",COUNTIFS($A:$A,patch[[#This Row],[number]],$S:$S, "BJ And dev",$AD:$AD, "&lt;&gt;IntegratorValidationComment"))</f>
        <v/>
      </c>
      <c r="AA261" s="7" t="str">
        <f>IF(ISBLANK(patch[[#This Row],[project]]), "",COUNTIFS($A:$A,patch[[#This Row],[number]],$S:$S, "FL And dev",$AD:$AD, "&lt;&gt;IntegratorValidationComment"))</f>
        <v/>
      </c>
      <c r="AB261" s="7" t="str">
        <f>IF(ISBLANK(patch[[#This Row],[project]]), "",COUNTIFS($A:$A,patch[[#This Row],[number]],$S:$S, "SH And dev",$AD:$AD, "&lt;&gt;IntegratorValidationComment"))</f>
        <v/>
      </c>
      <c r="AC261" s="7" t="str">
        <f>IF(OR(ISNUMBER(FIND("Review-1", patch[[#This Row],[comments]])), ISNUMBER(FIND("Approver-1", patch[[#This Row],[comments]]))), "Review-1", "")</f>
        <v/>
      </c>
      <c r="AD2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1" s="7">
        <f>IF(ISBLANK(patch[[#This Row],[number]]),AE260,patch[[#This Row],[ifCommon]])</f>
        <v>0</v>
      </c>
    </row>
    <row r="262" spans="1:31">
      <c r="A262" s="151">
        <v>147302</v>
      </c>
      <c r="B262" s="151"/>
      <c r="C262" s="151"/>
      <c r="D262" s="151"/>
      <c r="E262" s="151"/>
      <c r="F262" s="151"/>
      <c r="G262" s="151"/>
      <c r="H262" s="151"/>
      <c r="I262" s="151"/>
      <c r="J262" s="152">
        <v>42640.690625000003</v>
      </c>
      <c r="K262" s="151"/>
      <c r="L262" s="151" t="s">
        <v>59</v>
      </c>
      <c r="M262" s="152">
        <v>42639.585243055553</v>
      </c>
      <c r="N262" s="151" t="s">
        <v>2720</v>
      </c>
      <c r="O262" s="151"/>
      <c r="P262" s="151"/>
      <c r="Q262" s="7" t="str">
        <f>IF(ISBLANK(patch[[#This Row],[OwnerEmail]]),Q261,patch[[#This Row],[OwnerEmail]])</f>
        <v>zongx.li@intel.com</v>
      </c>
      <c r="R262" s="7" t="str">
        <f>_xlfn.IFNA(VLOOKUP(patch[[#This Row],[tmp-owner.email]],OrgTree!$A:$K, 11, 0), "not ICG SWFW")</f>
        <v>BJ And dev</v>
      </c>
      <c r="S262" s="7" t="str">
        <f>IF(patch[[#This Row],[reviewer]]=patch[[#This Row],[tmp-owner.email]], "author", _xlfn.IFNA(VLOOKUP(patch[[#This Row],[reviewer]],OrgTree!$A:$K, 11, 0), "not ICG SWFW"))</f>
        <v>BJ And dev</v>
      </c>
      <c r="T262" s="7" t="str">
        <f>IF(ISBLANK(patch[[#This Row],[mergeDate]]), "", MID(YEAR(patch[[#This Row],[mergeDate]]), 3,2)&amp;"'ww"&amp;WEEKNUM(patch[[#This Row],[mergeDate]]))</f>
        <v>16'ww40</v>
      </c>
      <c r="U262" s="7" t="str">
        <f>IF(ISBLANK(patch[[#This Row],[mergeDate]]), U261, MID(YEAR(patch[[#This Row],[mergeDate]]), 3,2)&amp;"'m"&amp;MONTH(patch[[#This Row],[mergeDate]]))</f>
        <v>16'm9</v>
      </c>
      <c r="V262" s="7" t="str">
        <f>IF(ISBLANK(patch[[#This Row],[project]]), "",SUM(patch[[#This Row],[BJ -1 num]:[SH -1 num]]))</f>
        <v/>
      </c>
      <c r="W262" s="7" t="str">
        <f>IF(ISBLANK(patch[[#This Row],[project]]), "",COUNTIFS($A:$A,patch[[#This Row],[number]],$S:$S, "BJ And dev",$AC:$AC, "Review-1"))</f>
        <v/>
      </c>
      <c r="X262" s="7" t="str">
        <f>IF(ISBLANK(patch[[#This Row],[project]]), "",COUNTIFS($A:$A,patch[[#This Row],[number]],$S:$S, "FL And dev",$AC:$AC, "Review-1"))</f>
        <v/>
      </c>
      <c r="Y262" s="7" t="str">
        <f>IF(ISBLANK(patch[[#This Row],[project]]), "",COUNTIFS($A:$A,patch[[#This Row],[number]],$S:$S, "SH And dev",$AC:$AC, "Review-1"))</f>
        <v/>
      </c>
      <c r="Z262" s="7" t="str">
        <f>IF(ISBLANK(patch[[#This Row],[project]]), "",COUNTIFS($A:$A,patch[[#This Row],[number]],$S:$S, "BJ And dev",$AD:$AD, "&lt;&gt;IntegratorValidationComment"))</f>
        <v/>
      </c>
      <c r="AA262" s="7" t="str">
        <f>IF(ISBLANK(patch[[#This Row],[project]]), "",COUNTIFS($A:$A,patch[[#This Row],[number]],$S:$S, "FL And dev",$AD:$AD, "&lt;&gt;IntegratorValidationComment"))</f>
        <v/>
      </c>
      <c r="AB262" s="7" t="str">
        <f>IF(ISBLANK(patch[[#This Row],[project]]), "",COUNTIFS($A:$A,patch[[#This Row],[number]],$S:$S, "SH And dev",$AD:$AD, "&lt;&gt;IntegratorValidationComment"))</f>
        <v/>
      </c>
      <c r="AC262" s="7" t="str">
        <f>IF(OR(ISNUMBER(FIND("Review-1", patch[[#This Row],[comments]])), ISNUMBER(FIND("Approver-1", patch[[#This Row],[comments]]))), "Review-1", "")</f>
        <v/>
      </c>
      <c r="AD2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2" s="7">
        <f>IF(ISBLANK(patch[[#This Row],[number]]),AE261,patch[[#This Row],[ifCommon]])</f>
        <v>0</v>
      </c>
    </row>
    <row r="263" spans="1:31">
      <c r="A263" s="151">
        <v>147302</v>
      </c>
      <c r="B263" s="151"/>
      <c r="C263" s="151"/>
      <c r="D263" s="151"/>
      <c r="E263" s="151"/>
      <c r="F263" s="151"/>
      <c r="G263" s="151"/>
      <c r="H263" s="151"/>
      <c r="I263" s="152"/>
      <c r="J263" s="152">
        <v>42640.690625000003</v>
      </c>
      <c r="K263" s="151"/>
      <c r="L263" s="151" t="s">
        <v>59</v>
      </c>
      <c r="M263" s="152">
        <v>42639.591412037043</v>
      </c>
      <c r="N263" s="151" t="s">
        <v>2721</v>
      </c>
      <c r="O263" s="151"/>
      <c r="P263" s="151"/>
      <c r="Q263" s="7" t="str">
        <f>IF(ISBLANK(patch[[#This Row],[OwnerEmail]]),Q262,patch[[#This Row],[OwnerEmail]])</f>
        <v>zongx.li@intel.com</v>
      </c>
      <c r="R263" s="7" t="str">
        <f>_xlfn.IFNA(VLOOKUP(patch[[#This Row],[tmp-owner.email]],OrgTree!$A:$K, 11, 0), "not ICG SWFW")</f>
        <v>BJ And dev</v>
      </c>
      <c r="S263" s="7" t="str">
        <f>IF(patch[[#This Row],[reviewer]]=patch[[#This Row],[tmp-owner.email]], "author", _xlfn.IFNA(VLOOKUP(patch[[#This Row],[reviewer]],OrgTree!$A:$K, 11, 0), "not ICG SWFW"))</f>
        <v>BJ And dev</v>
      </c>
      <c r="T263" s="7" t="str">
        <f>IF(ISBLANK(patch[[#This Row],[mergeDate]]), "", MID(YEAR(patch[[#This Row],[mergeDate]]), 3,2)&amp;"'ww"&amp;WEEKNUM(patch[[#This Row],[mergeDate]]))</f>
        <v>16'ww40</v>
      </c>
      <c r="U263" s="7" t="str">
        <f>IF(ISBLANK(patch[[#This Row],[mergeDate]]), U262, MID(YEAR(patch[[#This Row],[mergeDate]]), 3,2)&amp;"'m"&amp;MONTH(patch[[#This Row],[mergeDate]]))</f>
        <v>16'm9</v>
      </c>
      <c r="V263" s="7" t="str">
        <f>IF(ISBLANK(patch[[#This Row],[project]]), "",SUM(patch[[#This Row],[BJ -1 num]:[SH -1 num]]))</f>
        <v/>
      </c>
      <c r="W263" s="7" t="str">
        <f>IF(ISBLANK(patch[[#This Row],[project]]), "",COUNTIFS($A:$A,patch[[#This Row],[number]],$S:$S, "BJ And dev",$AC:$AC, "Review-1"))</f>
        <v/>
      </c>
      <c r="X263" s="7" t="str">
        <f>IF(ISBLANK(patch[[#This Row],[project]]), "",COUNTIFS($A:$A,patch[[#This Row],[number]],$S:$S, "FL And dev",$AC:$AC, "Review-1"))</f>
        <v/>
      </c>
      <c r="Y263" s="7" t="str">
        <f>IF(ISBLANK(patch[[#This Row],[project]]), "",COUNTIFS($A:$A,patch[[#This Row],[number]],$S:$S, "SH And dev",$AC:$AC, "Review-1"))</f>
        <v/>
      </c>
      <c r="Z263" s="7" t="str">
        <f>IF(ISBLANK(patch[[#This Row],[project]]), "",COUNTIFS($A:$A,patch[[#This Row],[number]],$S:$S, "BJ And dev",$AD:$AD, "&lt;&gt;IntegratorValidationComment"))</f>
        <v/>
      </c>
      <c r="AA263" s="7" t="str">
        <f>IF(ISBLANK(patch[[#This Row],[project]]), "",COUNTIFS($A:$A,patch[[#This Row],[number]],$S:$S, "FL And dev",$AD:$AD, "&lt;&gt;IntegratorValidationComment"))</f>
        <v/>
      </c>
      <c r="AB263" s="7" t="str">
        <f>IF(ISBLANK(patch[[#This Row],[project]]), "",COUNTIFS($A:$A,patch[[#This Row],[number]],$S:$S, "SH And dev",$AD:$AD, "&lt;&gt;IntegratorValidationComment"))</f>
        <v/>
      </c>
      <c r="AC263" s="7" t="str">
        <f>IF(OR(ISNUMBER(FIND("Review-1", patch[[#This Row],[comments]])), ISNUMBER(FIND("Approver-1", patch[[#This Row],[comments]]))), "Review-1", "")</f>
        <v/>
      </c>
      <c r="AD2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3" s="7">
        <f>IF(ISBLANK(patch[[#This Row],[number]]),AE262,patch[[#This Row],[ifCommon]])</f>
        <v>0</v>
      </c>
    </row>
    <row r="264" spans="1:31">
      <c r="A264" s="151">
        <v>147302</v>
      </c>
      <c r="B264" s="151"/>
      <c r="C264" s="151"/>
      <c r="D264" s="151"/>
      <c r="E264" s="151"/>
      <c r="F264" s="151"/>
      <c r="G264" s="151"/>
      <c r="H264" s="151"/>
      <c r="I264" s="151"/>
      <c r="J264" s="152">
        <v>42640.690625000003</v>
      </c>
      <c r="K264" s="151"/>
      <c r="L264" s="151" t="s">
        <v>24</v>
      </c>
      <c r="M264" s="152">
        <v>42639.678668981483</v>
      </c>
      <c r="N264" s="151" t="s">
        <v>1890</v>
      </c>
      <c r="O264" s="151"/>
      <c r="P264" s="151"/>
      <c r="Q264" s="7" t="str">
        <f>IF(ISBLANK(patch[[#This Row],[OwnerEmail]]),Q263,patch[[#This Row],[OwnerEmail]])</f>
        <v>zongx.li@intel.com</v>
      </c>
      <c r="R264" s="7" t="str">
        <f>_xlfn.IFNA(VLOOKUP(patch[[#This Row],[tmp-owner.email]],OrgTree!$A:$K, 11, 0), "not ICG SWFW")</f>
        <v>BJ And dev</v>
      </c>
      <c r="S264" s="7" t="str">
        <f>IF(patch[[#This Row],[reviewer]]=patch[[#This Row],[tmp-owner.email]], "author", _xlfn.IFNA(VLOOKUP(patch[[#This Row],[reviewer]],OrgTree!$A:$K, 11, 0), "not ICG SWFW"))</f>
        <v>BJ And dev</v>
      </c>
      <c r="T264" s="7" t="str">
        <f>IF(ISBLANK(patch[[#This Row],[mergeDate]]), "", MID(YEAR(patch[[#This Row],[mergeDate]]), 3,2)&amp;"'ww"&amp;WEEKNUM(patch[[#This Row],[mergeDate]]))</f>
        <v>16'ww40</v>
      </c>
      <c r="U264" s="7" t="str">
        <f>IF(ISBLANK(patch[[#This Row],[mergeDate]]), U263, MID(YEAR(patch[[#This Row],[mergeDate]]), 3,2)&amp;"'m"&amp;MONTH(patch[[#This Row],[mergeDate]]))</f>
        <v>16'm9</v>
      </c>
      <c r="V264" s="7" t="str">
        <f>IF(ISBLANK(patch[[#This Row],[project]]), "",SUM(patch[[#This Row],[BJ -1 num]:[SH -1 num]]))</f>
        <v/>
      </c>
      <c r="W264" s="7" t="str">
        <f>IF(ISBLANK(patch[[#This Row],[project]]), "",COUNTIFS($A:$A,patch[[#This Row],[number]],$S:$S, "BJ And dev",$AC:$AC, "Review-1"))</f>
        <v/>
      </c>
      <c r="X264" s="7" t="str">
        <f>IF(ISBLANK(patch[[#This Row],[project]]), "",COUNTIFS($A:$A,patch[[#This Row],[number]],$S:$S, "FL And dev",$AC:$AC, "Review-1"))</f>
        <v/>
      </c>
      <c r="Y264" s="7" t="str">
        <f>IF(ISBLANK(patch[[#This Row],[project]]), "",COUNTIFS($A:$A,patch[[#This Row],[number]],$S:$S, "SH And dev",$AC:$AC, "Review-1"))</f>
        <v/>
      </c>
      <c r="Z264" s="7" t="str">
        <f>IF(ISBLANK(patch[[#This Row],[project]]), "",COUNTIFS($A:$A,patch[[#This Row],[number]],$S:$S, "BJ And dev",$AD:$AD, "&lt;&gt;IntegratorValidationComment"))</f>
        <v/>
      </c>
      <c r="AA264" s="7" t="str">
        <f>IF(ISBLANK(patch[[#This Row],[project]]), "",COUNTIFS($A:$A,patch[[#This Row],[number]],$S:$S, "FL And dev",$AD:$AD, "&lt;&gt;IntegratorValidationComment"))</f>
        <v/>
      </c>
      <c r="AB264" s="7" t="str">
        <f>IF(ISBLANK(patch[[#This Row],[project]]), "",COUNTIFS($A:$A,patch[[#This Row],[number]],$S:$S, "SH And dev",$AD:$AD, "&lt;&gt;IntegratorValidationComment"))</f>
        <v/>
      </c>
      <c r="AC264" s="7" t="str">
        <f>IF(OR(ISNUMBER(FIND("Review-1", patch[[#This Row],[comments]])), ISNUMBER(FIND("Approver-1", patch[[#This Row],[comments]]))), "Review-1", "")</f>
        <v/>
      </c>
      <c r="AD2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4" s="7">
        <f>IF(ISBLANK(patch[[#This Row],[number]]),AE263,patch[[#This Row],[ifCommon]])</f>
        <v>0</v>
      </c>
    </row>
    <row r="265" spans="1:31">
      <c r="A265" s="151">
        <v>147302</v>
      </c>
      <c r="B265" s="151"/>
      <c r="C265" s="151"/>
      <c r="D265" s="151"/>
      <c r="E265" s="151"/>
      <c r="F265" s="151"/>
      <c r="G265" s="151"/>
      <c r="H265" s="151"/>
      <c r="I265" s="151"/>
      <c r="J265" s="152">
        <v>42640.690625000003</v>
      </c>
      <c r="K265" s="151"/>
      <c r="L265" s="151" t="s">
        <v>115</v>
      </c>
      <c r="M265" s="152">
        <v>42640.483541666668</v>
      </c>
      <c r="N265" s="151" t="s">
        <v>2496</v>
      </c>
      <c r="O265" s="151"/>
      <c r="P265" s="151"/>
      <c r="Q265" s="7" t="str">
        <f>IF(ISBLANK(patch[[#This Row],[OwnerEmail]]),Q264,patch[[#This Row],[OwnerEmail]])</f>
        <v>zongx.li@intel.com</v>
      </c>
      <c r="R265" s="7" t="str">
        <f>_xlfn.IFNA(VLOOKUP(patch[[#This Row],[tmp-owner.email]],OrgTree!$A:$K, 11, 0), "not ICG SWFW")</f>
        <v>BJ And dev</v>
      </c>
      <c r="S265" s="7" t="str">
        <f>IF(patch[[#This Row],[reviewer]]=patch[[#This Row],[tmp-owner.email]], "author", _xlfn.IFNA(VLOOKUP(patch[[#This Row],[reviewer]],OrgTree!$A:$K, 11, 0), "not ICG SWFW"))</f>
        <v>Val</v>
      </c>
      <c r="T265" s="7" t="str">
        <f>IF(ISBLANK(patch[[#This Row],[mergeDate]]), "", MID(YEAR(patch[[#This Row],[mergeDate]]), 3,2)&amp;"'ww"&amp;WEEKNUM(patch[[#This Row],[mergeDate]]))</f>
        <v>16'ww40</v>
      </c>
      <c r="U265" s="7" t="str">
        <f>IF(ISBLANK(patch[[#This Row],[mergeDate]]), U264, MID(YEAR(patch[[#This Row],[mergeDate]]), 3,2)&amp;"'m"&amp;MONTH(patch[[#This Row],[mergeDate]]))</f>
        <v>16'm9</v>
      </c>
      <c r="V265" s="7" t="str">
        <f>IF(ISBLANK(patch[[#This Row],[project]]), "",SUM(patch[[#This Row],[BJ -1 num]:[SH -1 num]]))</f>
        <v/>
      </c>
      <c r="W265" s="7" t="str">
        <f>IF(ISBLANK(patch[[#This Row],[project]]), "",COUNTIFS($A:$A,patch[[#This Row],[number]],$S:$S, "BJ And dev",$AC:$AC, "Review-1"))</f>
        <v/>
      </c>
      <c r="X265" s="7" t="str">
        <f>IF(ISBLANK(patch[[#This Row],[project]]), "",COUNTIFS($A:$A,patch[[#This Row],[number]],$S:$S, "FL And dev",$AC:$AC, "Review-1"))</f>
        <v/>
      </c>
      <c r="Y265" s="7" t="str">
        <f>IF(ISBLANK(patch[[#This Row],[project]]), "",COUNTIFS($A:$A,patch[[#This Row],[number]],$S:$S, "SH And dev",$AC:$AC, "Review-1"))</f>
        <v/>
      </c>
      <c r="Z265" s="7" t="str">
        <f>IF(ISBLANK(patch[[#This Row],[project]]), "",COUNTIFS($A:$A,patch[[#This Row],[number]],$S:$S, "BJ And dev",$AD:$AD, "&lt;&gt;IntegratorValidationComment"))</f>
        <v/>
      </c>
      <c r="AA265" s="7" t="str">
        <f>IF(ISBLANK(patch[[#This Row],[project]]), "",COUNTIFS($A:$A,patch[[#This Row],[number]],$S:$S, "FL And dev",$AD:$AD, "&lt;&gt;IntegratorValidationComment"))</f>
        <v/>
      </c>
      <c r="AB265" s="7" t="str">
        <f>IF(ISBLANK(patch[[#This Row],[project]]), "",COUNTIFS($A:$A,patch[[#This Row],[number]],$S:$S, "SH And dev",$AD:$AD, "&lt;&gt;IntegratorValidationComment"))</f>
        <v/>
      </c>
      <c r="AC265" s="7" t="str">
        <f>IF(OR(ISNUMBER(FIND("Review-1", patch[[#This Row],[comments]])), ISNUMBER(FIND("Approver-1", patch[[#This Row],[comments]]))), "Review-1", "")</f>
        <v/>
      </c>
      <c r="AD2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65" s="7">
        <f>IF(ISBLANK(patch[[#This Row],[number]]),AE264,patch[[#This Row],[ifCommon]])</f>
        <v>0</v>
      </c>
    </row>
    <row r="266" spans="1:31">
      <c r="A266" s="151">
        <v>147302</v>
      </c>
      <c r="B266" s="151"/>
      <c r="C266" s="151"/>
      <c r="D266" s="151"/>
      <c r="E266" s="151"/>
      <c r="F266" s="151"/>
      <c r="G266" s="151"/>
      <c r="H266" s="151"/>
      <c r="I266" s="151"/>
      <c r="J266" s="152">
        <v>42640.690625000003</v>
      </c>
      <c r="K266" s="151"/>
      <c r="L266" s="151" t="s">
        <v>115</v>
      </c>
      <c r="M266" s="152">
        <v>42640.532476851848</v>
      </c>
      <c r="N266" s="151" t="s">
        <v>2532</v>
      </c>
      <c r="O266" s="151"/>
      <c r="P266" s="151"/>
      <c r="Q266" s="7" t="str">
        <f>IF(ISBLANK(patch[[#This Row],[OwnerEmail]]),Q265,patch[[#This Row],[OwnerEmail]])</f>
        <v>zongx.li@intel.com</v>
      </c>
      <c r="R266" s="7" t="str">
        <f>_xlfn.IFNA(VLOOKUP(patch[[#This Row],[tmp-owner.email]],OrgTree!$A:$K, 11, 0), "not ICG SWFW")</f>
        <v>BJ And dev</v>
      </c>
      <c r="S266" s="7" t="str">
        <f>IF(patch[[#This Row],[reviewer]]=patch[[#This Row],[tmp-owner.email]], "author", _xlfn.IFNA(VLOOKUP(patch[[#This Row],[reviewer]],OrgTree!$A:$K, 11, 0), "not ICG SWFW"))</f>
        <v>Val</v>
      </c>
      <c r="T266" s="7" t="str">
        <f>IF(ISBLANK(patch[[#This Row],[mergeDate]]), "", MID(YEAR(patch[[#This Row],[mergeDate]]), 3,2)&amp;"'ww"&amp;WEEKNUM(patch[[#This Row],[mergeDate]]))</f>
        <v>16'ww40</v>
      </c>
      <c r="U266" s="7" t="str">
        <f>IF(ISBLANK(patch[[#This Row],[mergeDate]]), U265, MID(YEAR(patch[[#This Row],[mergeDate]]), 3,2)&amp;"'m"&amp;MONTH(patch[[#This Row],[mergeDate]]))</f>
        <v>16'm9</v>
      </c>
      <c r="V266" s="7" t="str">
        <f>IF(ISBLANK(patch[[#This Row],[project]]), "",SUM(patch[[#This Row],[BJ -1 num]:[SH -1 num]]))</f>
        <v/>
      </c>
      <c r="W266" s="7" t="str">
        <f>IF(ISBLANK(patch[[#This Row],[project]]), "",COUNTIFS($A:$A,patch[[#This Row],[number]],$S:$S, "BJ And dev",$AC:$AC, "Review-1"))</f>
        <v/>
      </c>
      <c r="X266" s="7" t="str">
        <f>IF(ISBLANK(patch[[#This Row],[project]]), "",COUNTIFS($A:$A,patch[[#This Row],[number]],$S:$S, "FL And dev",$AC:$AC, "Review-1"))</f>
        <v/>
      </c>
      <c r="Y266" s="7" t="str">
        <f>IF(ISBLANK(patch[[#This Row],[project]]), "",COUNTIFS($A:$A,patch[[#This Row],[number]],$S:$S, "SH And dev",$AC:$AC, "Review-1"))</f>
        <v/>
      </c>
      <c r="Z266" s="7" t="str">
        <f>IF(ISBLANK(patch[[#This Row],[project]]), "",COUNTIFS($A:$A,patch[[#This Row],[number]],$S:$S, "BJ And dev",$AD:$AD, "&lt;&gt;IntegratorValidationComment"))</f>
        <v/>
      </c>
      <c r="AA266" s="7" t="str">
        <f>IF(ISBLANK(patch[[#This Row],[project]]), "",COUNTIFS($A:$A,patch[[#This Row],[number]],$S:$S, "FL And dev",$AD:$AD, "&lt;&gt;IntegratorValidationComment"))</f>
        <v/>
      </c>
      <c r="AB266" s="7" t="str">
        <f>IF(ISBLANK(patch[[#This Row],[project]]), "",COUNTIFS($A:$A,patch[[#This Row],[number]],$S:$S, "SH And dev",$AD:$AD, "&lt;&gt;IntegratorValidationComment"))</f>
        <v/>
      </c>
      <c r="AC266" s="7" t="str">
        <f>IF(OR(ISNUMBER(FIND("Review-1", patch[[#This Row],[comments]])), ISNUMBER(FIND("Approver-1", patch[[#This Row],[comments]]))), "Review-1", "")</f>
        <v/>
      </c>
      <c r="AD2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66" s="7">
        <f>IF(ISBLANK(patch[[#This Row],[number]]),AE265,patch[[#This Row],[ifCommon]])</f>
        <v>0</v>
      </c>
    </row>
    <row r="267" spans="1:31">
      <c r="A267" s="151">
        <v>147302</v>
      </c>
      <c r="B267" s="151"/>
      <c r="C267" s="151"/>
      <c r="D267" s="151"/>
      <c r="E267" s="151"/>
      <c r="F267" s="151"/>
      <c r="G267" s="151"/>
      <c r="H267" s="151"/>
      <c r="I267" s="151"/>
      <c r="J267" s="152">
        <v>42640.690625000003</v>
      </c>
      <c r="K267" s="151"/>
      <c r="L267" s="151" t="s">
        <v>24</v>
      </c>
      <c r="M267" s="152">
        <v>42640.562789351847</v>
      </c>
      <c r="N267" s="151" t="s">
        <v>2453</v>
      </c>
      <c r="O267" s="151"/>
      <c r="P267" s="151"/>
      <c r="Q267" s="7" t="str">
        <f>IF(ISBLANK(patch[[#This Row],[OwnerEmail]]),Q266,patch[[#This Row],[OwnerEmail]])</f>
        <v>zongx.li@intel.com</v>
      </c>
      <c r="R267" s="7" t="str">
        <f>_xlfn.IFNA(VLOOKUP(patch[[#This Row],[tmp-owner.email]],OrgTree!$A:$K, 11, 0), "not ICG SWFW")</f>
        <v>BJ And dev</v>
      </c>
      <c r="S267" s="7" t="str">
        <f>IF(patch[[#This Row],[reviewer]]=patch[[#This Row],[tmp-owner.email]], "author", _xlfn.IFNA(VLOOKUP(patch[[#This Row],[reviewer]],OrgTree!$A:$K, 11, 0), "not ICG SWFW"))</f>
        <v>BJ And dev</v>
      </c>
      <c r="T267" s="7" t="str">
        <f>IF(ISBLANK(patch[[#This Row],[mergeDate]]), "", MID(YEAR(patch[[#This Row],[mergeDate]]), 3,2)&amp;"'ww"&amp;WEEKNUM(patch[[#This Row],[mergeDate]]))</f>
        <v>16'ww40</v>
      </c>
      <c r="U267" s="7" t="str">
        <f>IF(ISBLANK(patch[[#This Row],[mergeDate]]), U266, MID(YEAR(patch[[#This Row],[mergeDate]]), 3,2)&amp;"'m"&amp;MONTH(patch[[#This Row],[mergeDate]]))</f>
        <v>16'm9</v>
      </c>
      <c r="V267" s="7" t="str">
        <f>IF(ISBLANK(patch[[#This Row],[project]]), "",SUM(patch[[#This Row],[BJ -1 num]:[SH -1 num]]))</f>
        <v/>
      </c>
      <c r="W267" s="7" t="str">
        <f>IF(ISBLANK(patch[[#This Row],[project]]), "",COUNTIFS($A:$A,patch[[#This Row],[number]],$S:$S, "BJ And dev",$AC:$AC, "Review-1"))</f>
        <v/>
      </c>
      <c r="X267" s="7" t="str">
        <f>IF(ISBLANK(patch[[#This Row],[project]]), "",COUNTIFS($A:$A,patch[[#This Row],[number]],$S:$S, "FL And dev",$AC:$AC, "Review-1"))</f>
        <v/>
      </c>
      <c r="Y267" s="7" t="str">
        <f>IF(ISBLANK(patch[[#This Row],[project]]), "",COUNTIFS($A:$A,patch[[#This Row],[number]],$S:$S, "SH And dev",$AC:$AC, "Review-1"))</f>
        <v/>
      </c>
      <c r="Z267" s="7" t="str">
        <f>IF(ISBLANK(patch[[#This Row],[project]]), "",COUNTIFS($A:$A,patch[[#This Row],[number]],$S:$S, "BJ And dev",$AD:$AD, "&lt;&gt;IntegratorValidationComment"))</f>
        <v/>
      </c>
      <c r="AA267" s="7" t="str">
        <f>IF(ISBLANK(patch[[#This Row],[project]]), "",COUNTIFS($A:$A,patch[[#This Row],[number]],$S:$S, "FL And dev",$AD:$AD, "&lt;&gt;IntegratorValidationComment"))</f>
        <v/>
      </c>
      <c r="AB267" s="7" t="str">
        <f>IF(ISBLANK(patch[[#This Row],[project]]), "",COUNTIFS($A:$A,patch[[#This Row],[number]],$S:$S, "SH And dev",$AD:$AD, "&lt;&gt;IntegratorValidationComment"))</f>
        <v/>
      </c>
      <c r="AC267" s="7" t="str">
        <f>IF(OR(ISNUMBER(FIND("Review-1", patch[[#This Row],[comments]])), ISNUMBER(FIND("Approver-1", patch[[#This Row],[comments]]))), "Review-1", "")</f>
        <v/>
      </c>
      <c r="AD2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7" s="7">
        <f>IF(ISBLANK(patch[[#This Row],[number]]),AE266,patch[[#This Row],[ifCommon]])</f>
        <v>0</v>
      </c>
    </row>
    <row r="268" spans="1:31">
      <c r="A268" s="151">
        <v>147302</v>
      </c>
      <c r="B268" s="151"/>
      <c r="C268" s="151"/>
      <c r="D268" s="151"/>
      <c r="E268" s="151"/>
      <c r="F268" s="151"/>
      <c r="G268" s="151"/>
      <c r="H268" s="151"/>
      <c r="I268" s="151"/>
      <c r="J268" s="152">
        <v>42640.690625000003</v>
      </c>
      <c r="K268" s="151"/>
      <c r="L268" s="151" t="s">
        <v>24</v>
      </c>
      <c r="M268" s="152">
        <v>42640.562789351847</v>
      </c>
      <c r="N268" s="151" t="s">
        <v>1855</v>
      </c>
      <c r="O268" s="151"/>
      <c r="P268" s="151"/>
      <c r="Q268" s="7" t="str">
        <f>IF(ISBLANK(patch[[#This Row],[OwnerEmail]]),Q267,patch[[#This Row],[OwnerEmail]])</f>
        <v>zongx.li@intel.com</v>
      </c>
      <c r="R268" s="7" t="str">
        <f>_xlfn.IFNA(VLOOKUP(patch[[#This Row],[tmp-owner.email]],OrgTree!$A:$K, 11, 0), "not ICG SWFW")</f>
        <v>BJ And dev</v>
      </c>
      <c r="S268" s="7" t="str">
        <f>IF(patch[[#This Row],[reviewer]]=patch[[#This Row],[tmp-owner.email]], "author", _xlfn.IFNA(VLOOKUP(patch[[#This Row],[reviewer]],OrgTree!$A:$K, 11, 0), "not ICG SWFW"))</f>
        <v>BJ And dev</v>
      </c>
      <c r="T268" s="7" t="str">
        <f>IF(ISBLANK(patch[[#This Row],[mergeDate]]), "", MID(YEAR(patch[[#This Row],[mergeDate]]), 3,2)&amp;"'ww"&amp;WEEKNUM(patch[[#This Row],[mergeDate]]))</f>
        <v>16'ww40</v>
      </c>
      <c r="U268" s="7" t="str">
        <f>IF(ISBLANK(patch[[#This Row],[mergeDate]]), U267, MID(YEAR(patch[[#This Row],[mergeDate]]), 3,2)&amp;"'m"&amp;MONTH(patch[[#This Row],[mergeDate]]))</f>
        <v>16'm9</v>
      </c>
      <c r="V268" s="7" t="str">
        <f>IF(ISBLANK(patch[[#This Row],[project]]), "",SUM(patch[[#This Row],[BJ -1 num]:[SH -1 num]]))</f>
        <v/>
      </c>
      <c r="W268" s="7" t="str">
        <f>IF(ISBLANK(patch[[#This Row],[project]]), "",COUNTIFS($A:$A,patch[[#This Row],[number]],$S:$S, "BJ And dev",$AC:$AC, "Review-1"))</f>
        <v/>
      </c>
      <c r="X268" s="7" t="str">
        <f>IF(ISBLANK(patch[[#This Row],[project]]), "",COUNTIFS($A:$A,patch[[#This Row],[number]],$S:$S, "FL And dev",$AC:$AC, "Review-1"))</f>
        <v/>
      </c>
      <c r="Y268" s="7" t="str">
        <f>IF(ISBLANK(patch[[#This Row],[project]]), "",COUNTIFS($A:$A,patch[[#This Row],[number]],$S:$S, "SH And dev",$AC:$AC, "Review-1"))</f>
        <v/>
      </c>
      <c r="Z268" s="7" t="str">
        <f>IF(ISBLANK(patch[[#This Row],[project]]), "",COUNTIFS($A:$A,patch[[#This Row],[number]],$S:$S, "BJ And dev",$AD:$AD, "&lt;&gt;IntegratorValidationComment"))</f>
        <v/>
      </c>
      <c r="AA268" s="7" t="str">
        <f>IF(ISBLANK(patch[[#This Row],[project]]), "",COUNTIFS($A:$A,patch[[#This Row],[number]],$S:$S, "FL And dev",$AD:$AD, "&lt;&gt;IntegratorValidationComment"))</f>
        <v/>
      </c>
      <c r="AB268" s="7" t="str">
        <f>IF(ISBLANK(patch[[#This Row],[project]]), "",COUNTIFS($A:$A,patch[[#This Row],[number]],$S:$S, "SH And dev",$AD:$AD, "&lt;&gt;IntegratorValidationComment"))</f>
        <v/>
      </c>
      <c r="AC268" s="7" t="str">
        <f>IF(OR(ISNUMBER(FIND("Review-1", patch[[#This Row],[comments]])), ISNUMBER(FIND("Approver-1", patch[[#This Row],[comments]]))), "Review-1", "")</f>
        <v/>
      </c>
      <c r="AD2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8" s="7">
        <f>IF(ISBLANK(patch[[#This Row],[number]]),AE267,patch[[#This Row],[ifCommon]])</f>
        <v>0</v>
      </c>
    </row>
    <row r="269" spans="1:31">
      <c r="A269" s="151">
        <v>147302</v>
      </c>
      <c r="B269" s="151"/>
      <c r="C269" s="151"/>
      <c r="D269" s="151"/>
      <c r="E269" s="151"/>
      <c r="F269" s="151"/>
      <c r="G269" s="151"/>
      <c r="H269" s="151"/>
      <c r="I269" s="151"/>
      <c r="J269" s="152">
        <v>42640.690625000003</v>
      </c>
      <c r="K269" s="151"/>
      <c r="L269" s="151" t="s">
        <v>24</v>
      </c>
      <c r="M269" s="152">
        <v>42640.564236111109</v>
      </c>
      <c r="N269" s="151" t="s">
        <v>1853</v>
      </c>
      <c r="O269" s="151"/>
      <c r="P269" s="151"/>
      <c r="Q269" s="7" t="str">
        <f>IF(ISBLANK(patch[[#This Row],[OwnerEmail]]),Q268,patch[[#This Row],[OwnerEmail]])</f>
        <v>zongx.li@intel.com</v>
      </c>
      <c r="R269" s="7" t="str">
        <f>_xlfn.IFNA(VLOOKUP(patch[[#This Row],[tmp-owner.email]],OrgTree!$A:$K, 11, 0), "not ICG SWFW")</f>
        <v>BJ And dev</v>
      </c>
      <c r="S269" s="7" t="str">
        <f>IF(patch[[#This Row],[reviewer]]=patch[[#This Row],[tmp-owner.email]], "author", _xlfn.IFNA(VLOOKUP(patch[[#This Row],[reviewer]],OrgTree!$A:$K, 11, 0), "not ICG SWFW"))</f>
        <v>BJ And dev</v>
      </c>
      <c r="T269" s="7" t="str">
        <f>IF(ISBLANK(patch[[#This Row],[mergeDate]]), "", MID(YEAR(patch[[#This Row],[mergeDate]]), 3,2)&amp;"'ww"&amp;WEEKNUM(patch[[#This Row],[mergeDate]]))</f>
        <v>16'ww40</v>
      </c>
      <c r="U269" s="7" t="str">
        <f>IF(ISBLANK(patch[[#This Row],[mergeDate]]), U268, MID(YEAR(patch[[#This Row],[mergeDate]]), 3,2)&amp;"'m"&amp;MONTH(patch[[#This Row],[mergeDate]]))</f>
        <v>16'm9</v>
      </c>
      <c r="V269" s="7" t="str">
        <f>IF(ISBLANK(patch[[#This Row],[project]]), "",SUM(patch[[#This Row],[BJ -1 num]:[SH -1 num]]))</f>
        <v/>
      </c>
      <c r="W269" s="7" t="str">
        <f>IF(ISBLANK(patch[[#This Row],[project]]), "",COUNTIFS($A:$A,patch[[#This Row],[number]],$S:$S, "BJ And dev",$AC:$AC, "Review-1"))</f>
        <v/>
      </c>
      <c r="X269" s="7" t="str">
        <f>IF(ISBLANK(patch[[#This Row],[project]]), "",COUNTIFS($A:$A,patch[[#This Row],[number]],$S:$S, "FL And dev",$AC:$AC, "Review-1"))</f>
        <v/>
      </c>
      <c r="Y269" s="7" t="str">
        <f>IF(ISBLANK(patch[[#This Row],[project]]), "",COUNTIFS($A:$A,patch[[#This Row],[number]],$S:$S, "SH And dev",$AC:$AC, "Review-1"))</f>
        <v/>
      </c>
      <c r="Z269" s="7" t="str">
        <f>IF(ISBLANK(patch[[#This Row],[project]]), "",COUNTIFS($A:$A,patch[[#This Row],[number]],$S:$S, "BJ And dev",$AD:$AD, "&lt;&gt;IntegratorValidationComment"))</f>
        <v/>
      </c>
      <c r="AA269" s="7" t="str">
        <f>IF(ISBLANK(patch[[#This Row],[project]]), "",COUNTIFS($A:$A,patch[[#This Row],[number]],$S:$S, "FL And dev",$AD:$AD, "&lt;&gt;IntegratorValidationComment"))</f>
        <v/>
      </c>
      <c r="AB269" s="7" t="str">
        <f>IF(ISBLANK(patch[[#This Row],[project]]), "",COUNTIFS($A:$A,patch[[#This Row],[number]],$S:$S, "SH And dev",$AD:$AD, "&lt;&gt;IntegratorValidationComment"))</f>
        <v/>
      </c>
      <c r="AC269" s="7" t="str">
        <f>IF(OR(ISNUMBER(FIND("Review-1", patch[[#This Row],[comments]])), ISNUMBER(FIND("Approver-1", patch[[#This Row],[comments]]))), "Review-1", "")</f>
        <v/>
      </c>
      <c r="AD2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9" s="7">
        <f>IF(ISBLANK(patch[[#This Row],[number]]),AE268,patch[[#This Row],[ifCommon]])</f>
        <v>0</v>
      </c>
    </row>
    <row r="270" spans="1:31">
      <c r="A270" s="151">
        <v>147302</v>
      </c>
      <c r="B270" s="151"/>
      <c r="C270" s="151"/>
      <c r="D270" s="151"/>
      <c r="E270" s="151"/>
      <c r="F270" s="151"/>
      <c r="G270" s="151"/>
      <c r="H270" s="151"/>
      <c r="I270" s="151"/>
      <c r="J270" s="152">
        <v>42640.690625000003</v>
      </c>
      <c r="K270" s="151"/>
      <c r="L270" s="151" t="s">
        <v>115</v>
      </c>
      <c r="M270" s="152">
        <v>42640.565138888887</v>
      </c>
      <c r="N270" s="151" t="s">
        <v>2492</v>
      </c>
      <c r="O270" s="151"/>
      <c r="P270" s="151"/>
      <c r="Q270" s="7" t="str">
        <f>IF(ISBLANK(patch[[#This Row],[OwnerEmail]]),Q269,patch[[#This Row],[OwnerEmail]])</f>
        <v>zongx.li@intel.com</v>
      </c>
      <c r="R270" s="7" t="str">
        <f>_xlfn.IFNA(VLOOKUP(patch[[#This Row],[tmp-owner.email]],OrgTree!$A:$K, 11, 0), "not ICG SWFW")</f>
        <v>BJ And dev</v>
      </c>
      <c r="S270" s="7" t="str">
        <f>IF(patch[[#This Row],[reviewer]]=patch[[#This Row],[tmp-owner.email]], "author", _xlfn.IFNA(VLOOKUP(patch[[#This Row],[reviewer]],OrgTree!$A:$K, 11, 0), "not ICG SWFW"))</f>
        <v>Val</v>
      </c>
      <c r="T270" s="7" t="str">
        <f>IF(ISBLANK(patch[[#This Row],[mergeDate]]), "", MID(YEAR(patch[[#This Row],[mergeDate]]), 3,2)&amp;"'ww"&amp;WEEKNUM(patch[[#This Row],[mergeDate]]))</f>
        <v>16'ww40</v>
      </c>
      <c r="U270" s="7" t="str">
        <f>IF(ISBLANK(patch[[#This Row],[mergeDate]]), U269, MID(YEAR(patch[[#This Row],[mergeDate]]), 3,2)&amp;"'m"&amp;MONTH(patch[[#This Row],[mergeDate]]))</f>
        <v>16'm9</v>
      </c>
      <c r="V270" s="7" t="str">
        <f>IF(ISBLANK(patch[[#This Row],[project]]), "",SUM(patch[[#This Row],[BJ -1 num]:[SH -1 num]]))</f>
        <v/>
      </c>
      <c r="W270" s="7" t="str">
        <f>IF(ISBLANK(patch[[#This Row],[project]]), "",COUNTIFS($A:$A,patch[[#This Row],[number]],$S:$S, "BJ And dev",$AC:$AC, "Review-1"))</f>
        <v/>
      </c>
      <c r="X270" s="7" t="str">
        <f>IF(ISBLANK(patch[[#This Row],[project]]), "",COUNTIFS($A:$A,patch[[#This Row],[number]],$S:$S, "FL And dev",$AC:$AC, "Review-1"))</f>
        <v/>
      </c>
      <c r="Y270" s="7" t="str">
        <f>IF(ISBLANK(patch[[#This Row],[project]]), "",COUNTIFS($A:$A,patch[[#This Row],[number]],$S:$S, "SH And dev",$AC:$AC, "Review-1"))</f>
        <v/>
      </c>
      <c r="Z270" s="7" t="str">
        <f>IF(ISBLANK(patch[[#This Row],[project]]), "",COUNTIFS($A:$A,patch[[#This Row],[number]],$S:$S, "BJ And dev",$AD:$AD, "&lt;&gt;IntegratorValidationComment"))</f>
        <v/>
      </c>
      <c r="AA270" s="7" t="str">
        <f>IF(ISBLANK(patch[[#This Row],[project]]), "",COUNTIFS($A:$A,patch[[#This Row],[number]],$S:$S, "FL And dev",$AD:$AD, "&lt;&gt;IntegratorValidationComment"))</f>
        <v/>
      </c>
      <c r="AB270" s="7" t="str">
        <f>IF(ISBLANK(patch[[#This Row],[project]]), "",COUNTIFS($A:$A,patch[[#This Row],[number]],$S:$S, "SH And dev",$AD:$AD, "&lt;&gt;IntegratorValidationComment"))</f>
        <v/>
      </c>
      <c r="AC270" s="7" t="str">
        <f>IF(OR(ISNUMBER(FIND("Review-1", patch[[#This Row],[comments]])), ISNUMBER(FIND("Approver-1", patch[[#This Row],[comments]]))), "Review-1", "")</f>
        <v/>
      </c>
      <c r="AD2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70" s="7">
        <f>IF(ISBLANK(patch[[#This Row],[number]]),AE269,patch[[#This Row],[ifCommon]])</f>
        <v>0</v>
      </c>
    </row>
    <row r="271" spans="1:31">
      <c r="A271" s="151">
        <v>147302</v>
      </c>
      <c r="B271" s="151"/>
      <c r="C271" s="151"/>
      <c r="D271" s="151"/>
      <c r="E271" s="151"/>
      <c r="F271" s="151"/>
      <c r="G271" s="151"/>
      <c r="H271" s="151"/>
      <c r="I271" s="151"/>
      <c r="J271" s="152">
        <v>42640.690625000003</v>
      </c>
      <c r="K271" s="151"/>
      <c r="L271" s="151" t="s">
        <v>59</v>
      </c>
      <c r="M271" s="152">
        <v>42640.565196759257</v>
      </c>
      <c r="N271" s="151" t="s">
        <v>2486</v>
      </c>
      <c r="O271" s="151"/>
      <c r="P271" s="151"/>
      <c r="Q271" s="7" t="str">
        <f>IF(ISBLANK(patch[[#This Row],[OwnerEmail]]),Q270,patch[[#This Row],[OwnerEmail]])</f>
        <v>zongx.li@intel.com</v>
      </c>
      <c r="R271" s="7" t="str">
        <f>_xlfn.IFNA(VLOOKUP(patch[[#This Row],[tmp-owner.email]],OrgTree!$A:$K, 11, 0), "not ICG SWFW")</f>
        <v>BJ And dev</v>
      </c>
      <c r="S271" s="7" t="str">
        <f>IF(patch[[#This Row],[reviewer]]=patch[[#This Row],[tmp-owner.email]], "author", _xlfn.IFNA(VLOOKUP(patch[[#This Row],[reviewer]],OrgTree!$A:$K, 11, 0), "not ICG SWFW"))</f>
        <v>BJ And dev</v>
      </c>
      <c r="T271" s="7" t="str">
        <f>IF(ISBLANK(patch[[#This Row],[mergeDate]]), "", MID(YEAR(patch[[#This Row],[mergeDate]]), 3,2)&amp;"'ww"&amp;WEEKNUM(patch[[#This Row],[mergeDate]]))</f>
        <v>16'ww40</v>
      </c>
      <c r="U271" s="7" t="str">
        <f>IF(ISBLANK(patch[[#This Row],[mergeDate]]), U270, MID(YEAR(patch[[#This Row],[mergeDate]]), 3,2)&amp;"'m"&amp;MONTH(patch[[#This Row],[mergeDate]]))</f>
        <v>16'm9</v>
      </c>
      <c r="V271" s="7" t="str">
        <f>IF(ISBLANK(patch[[#This Row],[project]]), "",SUM(patch[[#This Row],[BJ -1 num]:[SH -1 num]]))</f>
        <v/>
      </c>
      <c r="W271" s="7" t="str">
        <f>IF(ISBLANK(patch[[#This Row],[project]]), "",COUNTIFS($A:$A,patch[[#This Row],[number]],$S:$S, "BJ And dev",$AC:$AC, "Review-1"))</f>
        <v/>
      </c>
      <c r="X271" s="7" t="str">
        <f>IF(ISBLANK(patch[[#This Row],[project]]), "",COUNTIFS($A:$A,patch[[#This Row],[number]],$S:$S, "FL And dev",$AC:$AC, "Review-1"))</f>
        <v/>
      </c>
      <c r="Y271" s="7" t="str">
        <f>IF(ISBLANK(patch[[#This Row],[project]]), "",COUNTIFS($A:$A,patch[[#This Row],[number]],$S:$S, "SH And dev",$AC:$AC, "Review-1"))</f>
        <v/>
      </c>
      <c r="Z271" s="7" t="str">
        <f>IF(ISBLANK(patch[[#This Row],[project]]), "",COUNTIFS($A:$A,patch[[#This Row],[number]],$S:$S, "BJ And dev",$AD:$AD, "&lt;&gt;IntegratorValidationComment"))</f>
        <v/>
      </c>
      <c r="AA271" s="7" t="str">
        <f>IF(ISBLANK(patch[[#This Row],[project]]), "",COUNTIFS($A:$A,patch[[#This Row],[number]],$S:$S, "FL And dev",$AD:$AD, "&lt;&gt;IntegratorValidationComment"))</f>
        <v/>
      </c>
      <c r="AB271" s="7" t="str">
        <f>IF(ISBLANK(patch[[#This Row],[project]]), "",COUNTIFS($A:$A,patch[[#This Row],[number]],$S:$S, "SH And dev",$AD:$AD, "&lt;&gt;IntegratorValidationComment"))</f>
        <v/>
      </c>
      <c r="AC271" s="7" t="str">
        <f>IF(OR(ISNUMBER(FIND("Review-1", patch[[#This Row],[comments]])), ISNUMBER(FIND("Approver-1", patch[[#This Row],[comments]]))), "Review-1", "")</f>
        <v/>
      </c>
      <c r="AD2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1" s="7">
        <f>IF(ISBLANK(patch[[#This Row],[number]]),AE270,patch[[#This Row],[ifCommon]])</f>
        <v>0</v>
      </c>
    </row>
    <row r="272" spans="1:31">
      <c r="A272" s="151">
        <v>147387</v>
      </c>
      <c r="B272" s="151" t="s">
        <v>2490</v>
      </c>
      <c r="C272" s="151" t="s">
        <v>2491</v>
      </c>
      <c r="D272" s="151" t="s">
        <v>2722</v>
      </c>
      <c r="E272" s="151" t="s">
        <v>59</v>
      </c>
      <c r="F272" s="151" t="s">
        <v>23</v>
      </c>
      <c r="G272" s="151" t="s">
        <v>2723</v>
      </c>
      <c r="H272" s="151" t="s">
        <v>2724</v>
      </c>
      <c r="I272" s="152">
        <v>42635.745949074073</v>
      </c>
      <c r="J272" s="152">
        <v>42640.690613425933</v>
      </c>
      <c r="K272" s="151" t="s">
        <v>2445</v>
      </c>
      <c r="L272" s="151" t="s">
        <v>59</v>
      </c>
      <c r="M272" s="152">
        <v>42635.745949074073</v>
      </c>
      <c r="N272" s="151" t="s">
        <v>25</v>
      </c>
      <c r="O272" s="151"/>
      <c r="P272" s="151" t="s">
        <v>2725</v>
      </c>
      <c r="Q272" s="7" t="str">
        <f>IF(ISBLANK(patch[[#This Row],[OwnerEmail]]),Q271,patch[[#This Row],[OwnerEmail]])</f>
        <v>xiaozhou.liu@intel.com</v>
      </c>
      <c r="R272" s="7" t="str">
        <f>_xlfn.IFNA(VLOOKUP(patch[[#This Row],[tmp-owner.email]],OrgTree!$A:$K, 11, 0), "not ICG SWFW")</f>
        <v>BJ And dev</v>
      </c>
      <c r="S272" s="7" t="str">
        <f>IF(patch[[#This Row],[reviewer]]=patch[[#This Row],[tmp-owner.email]], "author", _xlfn.IFNA(VLOOKUP(patch[[#This Row],[reviewer]],OrgTree!$A:$K, 11, 0), "not ICG SWFW"))</f>
        <v>author</v>
      </c>
      <c r="T272" s="7" t="str">
        <f>IF(ISBLANK(patch[[#This Row],[mergeDate]]), "", MID(YEAR(patch[[#This Row],[mergeDate]]), 3,2)&amp;"'ww"&amp;WEEKNUM(patch[[#This Row],[mergeDate]]))</f>
        <v>16'ww40</v>
      </c>
      <c r="U272" s="7" t="str">
        <f>IF(ISBLANK(patch[[#This Row],[mergeDate]]), U271, MID(YEAR(patch[[#This Row],[mergeDate]]), 3,2)&amp;"'m"&amp;MONTH(patch[[#This Row],[mergeDate]]))</f>
        <v>16'm9</v>
      </c>
      <c r="V272" s="7">
        <f>IF(ISBLANK(patch[[#This Row],[project]]), "",SUM(patch[[#This Row],[BJ -1 num]:[SH -1 num]]))</f>
        <v>1</v>
      </c>
      <c r="W272" s="7">
        <f>IF(ISBLANK(patch[[#This Row],[project]]), "",COUNTIFS($A:$A,patch[[#This Row],[number]],$S:$S, "BJ And dev",$AC:$AC, "Review-1"))</f>
        <v>1</v>
      </c>
      <c r="X272" s="7">
        <f>IF(ISBLANK(patch[[#This Row],[project]]), "",COUNTIFS($A:$A,patch[[#This Row],[number]],$S:$S, "FL And dev",$AC:$AC, "Review-1"))</f>
        <v>0</v>
      </c>
      <c r="Y272" s="7">
        <f>IF(ISBLANK(patch[[#This Row],[project]]), "",COUNTIFS($A:$A,patch[[#This Row],[number]],$S:$S, "SH And dev",$AC:$AC, "Review-1"))</f>
        <v>0</v>
      </c>
      <c r="Z272" s="7">
        <f>IF(ISBLANK(patch[[#This Row],[project]]), "",COUNTIFS($A:$A,patch[[#This Row],[number]],$S:$S, "BJ And dev",$AD:$AD, "&lt;&gt;IntegratorValidationComment"))</f>
        <v>3</v>
      </c>
      <c r="AA272" s="7">
        <f>IF(ISBLANK(patch[[#This Row],[project]]), "",COUNTIFS($A:$A,patch[[#This Row],[number]],$S:$S, "FL And dev",$AD:$AD, "&lt;&gt;IntegratorValidationComment"))</f>
        <v>0</v>
      </c>
      <c r="AB272" s="7">
        <f>IF(ISBLANK(patch[[#This Row],[project]]), "",COUNTIFS($A:$A,patch[[#This Row],[number]],$S:$S, "SH And dev",$AD:$AD, "&lt;&gt;IntegratorValidationComment"))</f>
        <v>0</v>
      </c>
      <c r="AC272" s="7" t="str">
        <f>IF(OR(ISNUMBER(FIND("Review-1", patch[[#This Row],[comments]])), ISNUMBER(FIND("Approver-1", patch[[#This Row],[comments]]))), "Review-1", "")</f>
        <v/>
      </c>
      <c r="AD2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2" s="7" t="str">
        <f>IF(ISBLANK(patch[[#This Row],[number]]),AE271,patch[[#This Row],[ifCommon]])</f>
        <v>not AndrHAL</v>
      </c>
    </row>
    <row r="273" spans="1:31">
      <c r="A273" s="151">
        <v>147387</v>
      </c>
      <c r="B273" s="151"/>
      <c r="C273" s="151"/>
      <c r="D273" s="151"/>
      <c r="E273" s="151"/>
      <c r="F273" s="151"/>
      <c r="G273" s="151"/>
      <c r="H273" s="151"/>
      <c r="I273" s="151"/>
      <c r="J273" s="152">
        <v>42640.690613425933</v>
      </c>
      <c r="K273" s="151"/>
      <c r="L273" s="151" t="s">
        <v>59</v>
      </c>
      <c r="M273" s="152">
        <v>42635.745949074073</v>
      </c>
      <c r="N273" s="151" t="s">
        <v>2428</v>
      </c>
      <c r="O273" s="151"/>
      <c r="P273" s="151"/>
      <c r="Q273" s="7" t="str">
        <f>IF(ISBLANK(patch[[#This Row],[OwnerEmail]]),Q272,patch[[#This Row],[OwnerEmail]])</f>
        <v>xiaozhou.liu@intel.com</v>
      </c>
      <c r="R273" s="7" t="str">
        <f>_xlfn.IFNA(VLOOKUP(patch[[#This Row],[tmp-owner.email]],OrgTree!$A:$K, 11, 0), "not ICG SWFW")</f>
        <v>BJ And dev</v>
      </c>
      <c r="S273" s="7" t="str">
        <f>IF(patch[[#This Row],[reviewer]]=patch[[#This Row],[tmp-owner.email]], "author", _xlfn.IFNA(VLOOKUP(patch[[#This Row],[reviewer]],OrgTree!$A:$K, 11, 0), "not ICG SWFW"))</f>
        <v>author</v>
      </c>
      <c r="T273" s="7" t="str">
        <f>IF(ISBLANK(patch[[#This Row],[mergeDate]]), "", MID(YEAR(patch[[#This Row],[mergeDate]]), 3,2)&amp;"'ww"&amp;WEEKNUM(patch[[#This Row],[mergeDate]]))</f>
        <v>16'ww40</v>
      </c>
      <c r="U273" s="7" t="str">
        <f>IF(ISBLANK(patch[[#This Row],[mergeDate]]), U272, MID(YEAR(patch[[#This Row],[mergeDate]]), 3,2)&amp;"'m"&amp;MONTH(patch[[#This Row],[mergeDate]]))</f>
        <v>16'm9</v>
      </c>
      <c r="V273" s="7" t="str">
        <f>IF(ISBLANK(patch[[#This Row],[project]]), "",SUM(patch[[#This Row],[BJ -1 num]:[SH -1 num]]))</f>
        <v/>
      </c>
      <c r="W273" s="7" t="str">
        <f>IF(ISBLANK(patch[[#This Row],[project]]), "",COUNTIFS($A:$A,patch[[#This Row],[number]],$S:$S, "BJ And dev",$AC:$AC, "Review-1"))</f>
        <v/>
      </c>
      <c r="X273" s="7" t="str">
        <f>IF(ISBLANK(patch[[#This Row],[project]]), "",COUNTIFS($A:$A,patch[[#This Row],[number]],$S:$S, "FL And dev",$AC:$AC, "Review-1"))</f>
        <v/>
      </c>
      <c r="Y273" s="7" t="str">
        <f>IF(ISBLANK(patch[[#This Row],[project]]), "",COUNTIFS($A:$A,patch[[#This Row],[number]],$S:$S, "SH And dev",$AC:$AC, "Review-1"))</f>
        <v/>
      </c>
      <c r="Z273" s="7" t="str">
        <f>IF(ISBLANK(patch[[#This Row],[project]]), "",COUNTIFS($A:$A,patch[[#This Row],[number]],$S:$S, "BJ And dev",$AD:$AD, "&lt;&gt;IntegratorValidationComment"))</f>
        <v/>
      </c>
      <c r="AA273" s="7" t="str">
        <f>IF(ISBLANK(patch[[#This Row],[project]]), "",COUNTIFS($A:$A,patch[[#This Row],[number]],$S:$S, "FL And dev",$AD:$AD, "&lt;&gt;IntegratorValidationComment"))</f>
        <v/>
      </c>
      <c r="AB273" s="7" t="str">
        <f>IF(ISBLANK(patch[[#This Row],[project]]), "",COUNTIFS($A:$A,patch[[#This Row],[number]],$S:$S, "SH And dev",$AD:$AD, "&lt;&gt;IntegratorValidationComment"))</f>
        <v/>
      </c>
      <c r="AC273" s="7" t="str">
        <f>IF(OR(ISNUMBER(FIND("Review-1", patch[[#This Row],[comments]])), ISNUMBER(FIND("Approver-1", patch[[#This Row],[comments]]))), "Review-1", "")</f>
        <v/>
      </c>
      <c r="AD2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3" s="7">
        <f>IF(ISBLANK(patch[[#This Row],[number]]),AE272,patch[[#This Row],[ifCommon]])</f>
        <v>0</v>
      </c>
    </row>
    <row r="274" spans="1:31">
      <c r="A274" s="151">
        <v>147387</v>
      </c>
      <c r="B274" s="151"/>
      <c r="C274" s="151"/>
      <c r="D274" s="151"/>
      <c r="E274" s="151"/>
      <c r="F274" s="151"/>
      <c r="G274" s="151"/>
      <c r="H274" s="151"/>
      <c r="I274" s="151"/>
      <c r="J274" s="152">
        <v>42640.690613425933</v>
      </c>
      <c r="K274" s="151"/>
      <c r="L274" s="151" t="s">
        <v>59</v>
      </c>
      <c r="M274" s="152">
        <v>42635.748124999998</v>
      </c>
      <c r="N274" s="151" t="s">
        <v>2429</v>
      </c>
      <c r="O274" s="151"/>
      <c r="P274" s="151"/>
      <c r="Q274" s="7" t="str">
        <f>IF(ISBLANK(patch[[#This Row],[OwnerEmail]]),Q273,patch[[#This Row],[OwnerEmail]])</f>
        <v>xiaozhou.liu@intel.com</v>
      </c>
      <c r="R274" s="7" t="str">
        <f>_xlfn.IFNA(VLOOKUP(patch[[#This Row],[tmp-owner.email]],OrgTree!$A:$K, 11, 0), "not ICG SWFW")</f>
        <v>BJ And dev</v>
      </c>
      <c r="S274" s="7" t="str">
        <f>IF(patch[[#This Row],[reviewer]]=patch[[#This Row],[tmp-owner.email]], "author", _xlfn.IFNA(VLOOKUP(patch[[#This Row],[reviewer]],OrgTree!$A:$K, 11, 0), "not ICG SWFW"))</f>
        <v>author</v>
      </c>
      <c r="T274" s="7" t="str">
        <f>IF(ISBLANK(patch[[#This Row],[mergeDate]]), "", MID(YEAR(patch[[#This Row],[mergeDate]]), 3,2)&amp;"'ww"&amp;WEEKNUM(patch[[#This Row],[mergeDate]]))</f>
        <v>16'ww40</v>
      </c>
      <c r="U274" s="7" t="str">
        <f>IF(ISBLANK(patch[[#This Row],[mergeDate]]), U273, MID(YEAR(patch[[#This Row],[mergeDate]]), 3,2)&amp;"'m"&amp;MONTH(patch[[#This Row],[mergeDate]]))</f>
        <v>16'm9</v>
      </c>
      <c r="V274" s="7" t="str">
        <f>IF(ISBLANK(patch[[#This Row],[project]]), "",SUM(patch[[#This Row],[BJ -1 num]:[SH -1 num]]))</f>
        <v/>
      </c>
      <c r="W274" s="7" t="str">
        <f>IF(ISBLANK(patch[[#This Row],[project]]), "",COUNTIFS($A:$A,patch[[#This Row],[number]],$S:$S, "BJ And dev",$AC:$AC, "Review-1"))</f>
        <v/>
      </c>
      <c r="X274" s="7" t="str">
        <f>IF(ISBLANK(patch[[#This Row],[project]]), "",COUNTIFS($A:$A,patch[[#This Row],[number]],$S:$S, "FL And dev",$AC:$AC, "Review-1"))</f>
        <v/>
      </c>
      <c r="Y274" s="7" t="str">
        <f>IF(ISBLANK(patch[[#This Row],[project]]), "",COUNTIFS($A:$A,patch[[#This Row],[number]],$S:$S, "SH And dev",$AC:$AC, "Review-1"))</f>
        <v/>
      </c>
      <c r="Z274" s="7" t="str">
        <f>IF(ISBLANK(patch[[#This Row],[project]]), "",COUNTIFS($A:$A,patch[[#This Row],[number]],$S:$S, "BJ And dev",$AD:$AD, "&lt;&gt;IntegratorValidationComment"))</f>
        <v/>
      </c>
      <c r="AA274" s="7" t="str">
        <f>IF(ISBLANK(patch[[#This Row],[project]]), "",COUNTIFS($A:$A,patch[[#This Row],[number]],$S:$S, "FL And dev",$AD:$AD, "&lt;&gt;IntegratorValidationComment"))</f>
        <v/>
      </c>
      <c r="AB274" s="7" t="str">
        <f>IF(ISBLANK(patch[[#This Row],[project]]), "",COUNTIFS($A:$A,patch[[#This Row],[number]],$S:$S, "SH And dev",$AD:$AD, "&lt;&gt;IntegratorValidationComment"))</f>
        <v/>
      </c>
      <c r="AC274" s="7" t="str">
        <f>IF(OR(ISNUMBER(FIND("Review-1", patch[[#This Row],[comments]])), ISNUMBER(FIND("Approver-1", patch[[#This Row],[comments]]))), "Review-1", "")</f>
        <v/>
      </c>
      <c r="AD2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4" s="7">
        <f>IF(ISBLANK(patch[[#This Row],[number]]),AE273,patch[[#This Row],[ifCommon]])</f>
        <v>0</v>
      </c>
    </row>
    <row r="275" spans="1:31">
      <c r="A275" s="151">
        <v>147387</v>
      </c>
      <c r="B275" s="151"/>
      <c r="C275" s="151"/>
      <c r="D275" s="151"/>
      <c r="E275" s="151"/>
      <c r="F275" s="151"/>
      <c r="G275" s="151"/>
      <c r="H275" s="151"/>
      <c r="I275" s="152"/>
      <c r="J275" s="152">
        <v>42640.690613425933</v>
      </c>
      <c r="K275" s="151"/>
      <c r="L275" s="151" t="s">
        <v>59</v>
      </c>
      <c r="M275" s="152">
        <v>42635.748124999998</v>
      </c>
      <c r="N275" s="151" t="s">
        <v>2460</v>
      </c>
      <c r="O275" s="151"/>
      <c r="P275" s="151"/>
      <c r="Q275" s="7" t="str">
        <f>IF(ISBLANK(patch[[#This Row],[OwnerEmail]]),Q274,patch[[#This Row],[OwnerEmail]])</f>
        <v>xiaozhou.liu@intel.com</v>
      </c>
      <c r="R275" s="7" t="str">
        <f>_xlfn.IFNA(VLOOKUP(patch[[#This Row],[tmp-owner.email]],OrgTree!$A:$K, 11, 0), "not ICG SWFW")</f>
        <v>BJ And dev</v>
      </c>
      <c r="S275" s="7" t="str">
        <f>IF(patch[[#This Row],[reviewer]]=patch[[#This Row],[tmp-owner.email]], "author", _xlfn.IFNA(VLOOKUP(patch[[#This Row],[reviewer]],OrgTree!$A:$K, 11, 0), "not ICG SWFW"))</f>
        <v>author</v>
      </c>
      <c r="T275" s="7" t="str">
        <f>IF(ISBLANK(patch[[#This Row],[mergeDate]]), "", MID(YEAR(patch[[#This Row],[mergeDate]]), 3,2)&amp;"'ww"&amp;WEEKNUM(patch[[#This Row],[mergeDate]]))</f>
        <v>16'ww40</v>
      </c>
      <c r="U275" s="7" t="str">
        <f>IF(ISBLANK(patch[[#This Row],[mergeDate]]), U274, MID(YEAR(patch[[#This Row],[mergeDate]]), 3,2)&amp;"'m"&amp;MONTH(patch[[#This Row],[mergeDate]]))</f>
        <v>16'm9</v>
      </c>
      <c r="V275" s="7" t="str">
        <f>IF(ISBLANK(patch[[#This Row],[project]]), "",SUM(patch[[#This Row],[BJ -1 num]:[SH -1 num]]))</f>
        <v/>
      </c>
      <c r="W275" s="7" t="str">
        <f>IF(ISBLANK(patch[[#This Row],[project]]), "",COUNTIFS($A:$A,patch[[#This Row],[number]],$S:$S, "BJ And dev",$AC:$AC, "Review-1"))</f>
        <v/>
      </c>
      <c r="X275" s="7" t="str">
        <f>IF(ISBLANK(patch[[#This Row],[project]]), "",COUNTIFS($A:$A,patch[[#This Row],[number]],$S:$S, "FL And dev",$AC:$AC, "Review-1"))</f>
        <v/>
      </c>
      <c r="Y275" s="7" t="str">
        <f>IF(ISBLANK(patch[[#This Row],[project]]), "",COUNTIFS($A:$A,patch[[#This Row],[number]],$S:$S, "SH And dev",$AC:$AC, "Review-1"))</f>
        <v/>
      </c>
      <c r="Z275" s="7" t="str">
        <f>IF(ISBLANK(patch[[#This Row],[project]]), "",COUNTIFS($A:$A,patch[[#This Row],[number]],$S:$S, "BJ And dev",$AD:$AD, "&lt;&gt;IntegratorValidationComment"))</f>
        <v/>
      </c>
      <c r="AA275" s="7" t="str">
        <f>IF(ISBLANK(patch[[#This Row],[project]]), "",COUNTIFS($A:$A,patch[[#This Row],[number]],$S:$S, "FL And dev",$AD:$AD, "&lt;&gt;IntegratorValidationComment"))</f>
        <v/>
      </c>
      <c r="AB275" s="7" t="str">
        <f>IF(ISBLANK(patch[[#This Row],[project]]), "",COUNTIFS($A:$A,patch[[#This Row],[number]],$S:$S, "SH And dev",$AD:$AD, "&lt;&gt;IntegratorValidationComment"))</f>
        <v/>
      </c>
      <c r="AC275" s="7" t="str">
        <f>IF(OR(ISNUMBER(FIND("Review-1", patch[[#This Row],[comments]])), ISNUMBER(FIND("Approver-1", patch[[#This Row],[comments]]))), "Review-1", "")</f>
        <v/>
      </c>
      <c r="AD2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5" s="7">
        <f>IF(ISBLANK(patch[[#This Row],[number]]),AE274,patch[[#This Row],[ifCommon]])</f>
        <v>0</v>
      </c>
    </row>
    <row r="276" spans="1:31">
      <c r="A276" s="151">
        <v>147387</v>
      </c>
      <c r="B276" s="151"/>
      <c r="C276" s="151"/>
      <c r="D276" s="151"/>
      <c r="E276" s="151"/>
      <c r="F276" s="151"/>
      <c r="G276" s="151"/>
      <c r="H276" s="151"/>
      <c r="I276" s="152"/>
      <c r="J276" s="152">
        <v>42640.690613425933</v>
      </c>
      <c r="K276" s="151"/>
      <c r="L276" s="151" t="s">
        <v>59</v>
      </c>
      <c r="M276" s="152">
        <v>42635.748796296299</v>
      </c>
      <c r="N276" s="151" t="s">
        <v>27</v>
      </c>
      <c r="O276" s="151"/>
      <c r="P276" s="151"/>
      <c r="Q276" s="7" t="str">
        <f>IF(ISBLANK(patch[[#This Row],[OwnerEmail]]),Q275,patch[[#This Row],[OwnerEmail]])</f>
        <v>xiaozhou.liu@intel.com</v>
      </c>
      <c r="R276" s="7" t="str">
        <f>_xlfn.IFNA(VLOOKUP(patch[[#This Row],[tmp-owner.email]],OrgTree!$A:$K, 11, 0), "not ICG SWFW")</f>
        <v>BJ And dev</v>
      </c>
      <c r="S276" s="7" t="str">
        <f>IF(patch[[#This Row],[reviewer]]=patch[[#This Row],[tmp-owner.email]], "author", _xlfn.IFNA(VLOOKUP(patch[[#This Row],[reviewer]],OrgTree!$A:$K, 11, 0), "not ICG SWFW"))</f>
        <v>author</v>
      </c>
      <c r="T276" s="7" t="str">
        <f>IF(ISBLANK(patch[[#This Row],[mergeDate]]), "", MID(YEAR(patch[[#This Row],[mergeDate]]), 3,2)&amp;"'ww"&amp;WEEKNUM(patch[[#This Row],[mergeDate]]))</f>
        <v>16'ww40</v>
      </c>
      <c r="U276" s="7" t="str">
        <f>IF(ISBLANK(patch[[#This Row],[mergeDate]]), U275, MID(YEAR(patch[[#This Row],[mergeDate]]), 3,2)&amp;"'m"&amp;MONTH(patch[[#This Row],[mergeDate]]))</f>
        <v>16'm9</v>
      </c>
      <c r="V276" s="7" t="str">
        <f>IF(ISBLANK(patch[[#This Row],[project]]), "",SUM(patch[[#This Row],[BJ -1 num]:[SH -1 num]]))</f>
        <v/>
      </c>
      <c r="W276" s="7" t="str">
        <f>IF(ISBLANK(patch[[#This Row],[project]]), "",COUNTIFS($A:$A,patch[[#This Row],[number]],$S:$S, "BJ And dev",$AC:$AC, "Review-1"))</f>
        <v/>
      </c>
      <c r="X276" s="7" t="str">
        <f>IF(ISBLANK(patch[[#This Row],[project]]), "",COUNTIFS($A:$A,patch[[#This Row],[number]],$S:$S, "FL And dev",$AC:$AC, "Review-1"))</f>
        <v/>
      </c>
      <c r="Y276" s="7" t="str">
        <f>IF(ISBLANK(patch[[#This Row],[project]]), "",COUNTIFS($A:$A,patch[[#This Row],[number]],$S:$S, "SH And dev",$AC:$AC, "Review-1"))</f>
        <v/>
      </c>
      <c r="Z276" s="7" t="str">
        <f>IF(ISBLANK(patch[[#This Row],[project]]), "",COUNTIFS($A:$A,patch[[#This Row],[number]],$S:$S, "BJ And dev",$AD:$AD, "&lt;&gt;IntegratorValidationComment"))</f>
        <v/>
      </c>
      <c r="AA276" s="7" t="str">
        <f>IF(ISBLANK(patch[[#This Row],[project]]), "",COUNTIFS($A:$A,patch[[#This Row],[number]],$S:$S, "FL And dev",$AD:$AD, "&lt;&gt;IntegratorValidationComment"))</f>
        <v/>
      </c>
      <c r="AB276" s="7" t="str">
        <f>IF(ISBLANK(patch[[#This Row],[project]]), "",COUNTIFS($A:$A,patch[[#This Row],[number]],$S:$S, "SH And dev",$AD:$AD, "&lt;&gt;IntegratorValidationComment"))</f>
        <v/>
      </c>
      <c r="AC276" s="7" t="str">
        <f>IF(OR(ISNUMBER(FIND("Review-1", patch[[#This Row],[comments]])), ISNUMBER(FIND("Approver-1", patch[[#This Row],[comments]]))), "Review-1", "")</f>
        <v/>
      </c>
      <c r="AD2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6" s="7">
        <f>IF(ISBLANK(patch[[#This Row],[number]]),AE275,patch[[#This Row],[ifCommon]])</f>
        <v>0</v>
      </c>
    </row>
    <row r="277" spans="1:31">
      <c r="A277" s="151">
        <v>147387</v>
      </c>
      <c r="B277" s="151"/>
      <c r="C277" s="151"/>
      <c r="D277" s="151"/>
      <c r="E277" s="151"/>
      <c r="F277" s="151"/>
      <c r="G277" s="151"/>
      <c r="H277" s="151"/>
      <c r="I277" s="151"/>
      <c r="J277" s="152">
        <v>42640.690613425933</v>
      </c>
      <c r="K277" s="151"/>
      <c r="L277" s="151" t="s">
        <v>59</v>
      </c>
      <c r="M277" s="152">
        <v>42635.7653587963</v>
      </c>
      <c r="N277" s="151" t="s">
        <v>2726</v>
      </c>
      <c r="O277" s="151"/>
      <c r="P277" s="151"/>
      <c r="Q277" s="7" t="str">
        <f>IF(ISBLANK(patch[[#This Row],[OwnerEmail]]),Q276,patch[[#This Row],[OwnerEmail]])</f>
        <v>xiaozhou.liu@intel.com</v>
      </c>
      <c r="R277" s="7" t="str">
        <f>_xlfn.IFNA(VLOOKUP(patch[[#This Row],[tmp-owner.email]],OrgTree!$A:$K, 11, 0), "not ICG SWFW")</f>
        <v>BJ And dev</v>
      </c>
      <c r="S277" s="7" t="str">
        <f>IF(patch[[#This Row],[reviewer]]=patch[[#This Row],[tmp-owner.email]], "author", _xlfn.IFNA(VLOOKUP(patch[[#This Row],[reviewer]],OrgTree!$A:$K, 11, 0), "not ICG SWFW"))</f>
        <v>author</v>
      </c>
      <c r="T277" s="7" t="str">
        <f>IF(ISBLANK(patch[[#This Row],[mergeDate]]), "", MID(YEAR(patch[[#This Row],[mergeDate]]), 3,2)&amp;"'ww"&amp;WEEKNUM(patch[[#This Row],[mergeDate]]))</f>
        <v>16'ww40</v>
      </c>
      <c r="U277" s="7" t="str">
        <f>IF(ISBLANK(patch[[#This Row],[mergeDate]]), U276, MID(YEAR(patch[[#This Row],[mergeDate]]), 3,2)&amp;"'m"&amp;MONTH(patch[[#This Row],[mergeDate]]))</f>
        <v>16'm9</v>
      </c>
      <c r="V277" s="7" t="str">
        <f>IF(ISBLANK(patch[[#This Row],[project]]), "",SUM(patch[[#This Row],[BJ -1 num]:[SH -1 num]]))</f>
        <v/>
      </c>
      <c r="W277" s="7" t="str">
        <f>IF(ISBLANK(patch[[#This Row],[project]]), "",COUNTIFS($A:$A,patch[[#This Row],[number]],$S:$S, "BJ And dev",$AC:$AC, "Review-1"))</f>
        <v/>
      </c>
      <c r="X277" s="7" t="str">
        <f>IF(ISBLANK(patch[[#This Row],[project]]), "",COUNTIFS($A:$A,patch[[#This Row],[number]],$S:$S, "FL And dev",$AC:$AC, "Review-1"))</f>
        <v/>
      </c>
      <c r="Y277" s="7" t="str">
        <f>IF(ISBLANK(patch[[#This Row],[project]]), "",COUNTIFS($A:$A,patch[[#This Row],[number]],$S:$S, "SH And dev",$AC:$AC, "Review-1"))</f>
        <v/>
      </c>
      <c r="Z277" s="7" t="str">
        <f>IF(ISBLANK(patch[[#This Row],[project]]), "",COUNTIFS($A:$A,patch[[#This Row],[number]],$S:$S, "BJ And dev",$AD:$AD, "&lt;&gt;IntegratorValidationComment"))</f>
        <v/>
      </c>
      <c r="AA277" s="7" t="str">
        <f>IF(ISBLANK(patch[[#This Row],[project]]), "",COUNTIFS($A:$A,patch[[#This Row],[number]],$S:$S, "FL And dev",$AD:$AD, "&lt;&gt;IntegratorValidationComment"))</f>
        <v/>
      </c>
      <c r="AB277" s="7" t="str">
        <f>IF(ISBLANK(patch[[#This Row],[project]]), "",COUNTIFS($A:$A,patch[[#This Row],[number]],$S:$S, "SH And dev",$AD:$AD, "&lt;&gt;IntegratorValidationComment"))</f>
        <v/>
      </c>
      <c r="AC277" s="7" t="str">
        <f>IF(OR(ISNUMBER(FIND("Review-1", patch[[#This Row],[comments]])), ISNUMBER(FIND("Approver-1", patch[[#This Row],[comments]]))), "Review-1", "")</f>
        <v/>
      </c>
      <c r="AD2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7" s="7">
        <f>IF(ISBLANK(patch[[#This Row],[number]]),AE276,patch[[#This Row],[ifCommon]])</f>
        <v>0</v>
      </c>
    </row>
    <row r="278" spans="1:31">
      <c r="A278" s="151">
        <v>147387</v>
      </c>
      <c r="B278" s="151"/>
      <c r="C278" s="151"/>
      <c r="D278" s="151"/>
      <c r="E278" s="151"/>
      <c r="F278" s="151"/>
      <c r="G278" s="151"/>
      <c r="H278" s="151"/>
      <c r="I278" s="151"/>
      <c r="J278" s="152">
        <v>42640.690613425933</v>
      </c>
      <c r="K278" s="151"/>
      <c r="L278" s="151" t="s">
        <v>59</v>
      </c>
      <c r="M278" s="152">
        <v>42635.767418981479</v>
      </c>
      <c r="N278" s="151" t="s">
        <v>2727</v>
      </c>
      <c r="O278" s="151"/>
      <c r="P278" s="151"/>
      <c r="Q278" s="7" t="str">
        <f>IF(ISBLANK(patch[[#This Row],[OwnerEmail]]),Q277,patch[[#This Row],[OwnerEmail]])</f>
        <v>xiaozhou.liu@intel.com</v>
      </c>
      <c r="R278" s="7" t="str">
        <f>_xlfn.IFNA(VLOOKUP(patch[[#This Row],[tmp-owner.email]],OrgTree!$A:$K, 11, 0), "not ICG SWFW")</f>
        <v>BJ And dev</v>
      </c>
      <c r="S278" s="7" t="str">
        <f>IF(patch[[#This Row],[reviewer]]=patch[[#This Row],[tmp-owner.email]], "author", _xlfn.IFNA(VLOOKUP(patch[[#This Row],[reviewer]],OrgTree!$A:$K, 11, 0), "not ICG SWFW"))</f>
        <v>author</v>
      </c>
      <c r="T278" s="7" t="str">
        <f>IF(ISBLANK(patch[[#This Row],[mergeDate]]), "", MID(YEAR(patch[[#This Row],[mergeDate]]), 3,2)&amp;"'ww"&amp;WEEKNUM(patch[[#This Row],[mergeDate]]))</f>
        <v>16'ww40</v>
      </c>
      <c r="U278" s="7" t="str">
        <f>IF(ISBLANK(patch[[#This Row],[mergeDate]]), U277, MID(YEAR(patch[[#This Row],[mergeDate]]), 3,2)&amp;"'m"&amp;MONTH(patch[[#This Row],[mergeDate]]))</f>
        <v>16'm9</v>
      </c>
      <c r="V278" s="7" t="str">
        <f>IF(ISBLANK(patch[[#This Row],[project]]), "",SUM(patch[[#This Row],[BJ -1 num]:[SH -1 num]]))</f>
        <v/>
      </c>
      <c r="W278" s="7" t="str">
        <f>IF(ISBLANK(patch[[#This Row],[project]]), "",COUNTIFS($A:$A,patch[[#This Row],[number]],$S:$S, "BJ And dev",$AC:$AC, "Review-1"))</f>
        <v/>
      </c>
      <c r="X278" s="7" t="str">
        <f>IF(ISBLANK(patch[[#This Row],[project]]), "",COUNTIFS($A:$A,patch[[#This Row],[number]],$S:$S, "FL And dev",$AC:$AC, "Review-1"))</f>
        <v/>
      </c>
      <c r="Y278" s="7" t="str">
        <f>IF(ISBLANK(patch[[#This Row],[project]]), "",COUNTIFS($A:$A,patch[[#This Row],[number]],$S:$S, "SH And dev",$AC:$AC, "Review-1"))</f>
        <v/>
      </c>
      <c r="Z278" s="7" t="str">
        <f>IF(ISBLANK(patch[[#This Row],[project]]), "",COUNTIFS($A:$A,patch[[#This Row],[number]],$S:$S, "BJ And dev",$AD:$AD, "&lt;&gt;IntegratorValidationComment"))</f>
        <v/>
      </c>
      <c r="AA278" s="7" t="str">
        <f>IF(ISBLANK(patch[[#This Row],[project]]), "",COUNTIFS($A:$A,patch[[#This Row],[number]],$S:$S, "FL And dev",$AD:$AD, "&lt;&gt;IntegratorValidationComment"))</f>
        <v/>
      </c>
      <c r="AB278" s="7" t="str">
        <f>IF(ISBLANK(patch[[#This Row],[project]]), "",COUNTIFS($A:$A,patch[[#This Row],[number]],$S:$S, "SH And dev",$AD:$AD, "&lt;&gt;IntegratorValidationComment"))</f>
        <v/>
      </c>
      <c r="AC278" s="7" t="str">
        <f>IF(OR(ISNUMBER(FIND("Review-1", patch[[#This Row],[comments]])), ISNUMBER(FIND("Approver-1", patch[[#This Row],[comments]]))), "Review-1", "")</f>
        <v/>
      </c>
      <c r="AD2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8" s="7">
        <f>IF(ISBLANK(patch[[#This Row],[number]]),AE277,patch[[#This Row],[ifCommon]])</f>
        <v>0</v>
      </c>
    </row>
    <row r="279" spans="1:31">
      <c r="A279" s="151">
        <v>147387</v>
      </c>
      <c r="B279" s="151"/>
      <c r="C279" s="151"/>
      <c r="D279" s="151"/>
      <c r="E279" s="151"/>
      <c r="F279" s="151"/>
      <c r="G279" s="151"/>
      <c r="H279" s="151"/>
      <c r="I279" s="151"/>
      <c r="J279" s="152">
        <v>42640.690613425933</v>
      </c>
      <c r="K279" s="151"/>
      <c r="L279" s="151" t="s">
        <v>32</v>
      </c>
      <c r="M279" s="152">
        <v>42635.767465277779</v>
      </c>
      <c r="N279" s="151" t="s">
        <v>2499</v>
      </c>
      <c r="O279" s="151" t="s">
        <v>2728</v>
      </c>
      <c r="P279" s="151"/>
      <c r="Q279" s="7" t="str">
        <f>IF(ISBLANK(patch[[#This Row],[OwnerEmail]]),Q278,patch[[#This Row],[OwnerEmail]])</f>
        <v>xiaozhou.liu@intel.com</v>
      </c>
      <c r="R279" s="7" t="str">
        <f>_xlfn.IFNA(VLOOKUP(patch[[#This Row],[tmp-owner.email]],OrgTree!$A:$K, 11, 0), "not ICG SWFW")</f>
        <v>BJ And dev</v>
      </c>
      <c r="S279" s="7" t="str">
        <f>IF(patch[[#This Row],[reviewer]]=patch[[#This Row],[tmp-owner.email]], "author", _xlfn.IFNA(VLOOKUP(patch[[#This Row],[reviewer]],OrgTree!$A:$K, 11, 0), "not ICG SWFW"))</f>
        <v>BJ And dev</v>
      </c>
      <c r="T279" s="7" t="str">
        <f>IF(ISBLANK(patch[[#This Row],[mergeDate]]), "", MID(YEAR(patch[[#This Row],[mergeDate]]), 3,2)&amp;"'ww"&amp;WEEKNUM(patch[[#This Row],[mergeDate]]))</f>
        <v>16'ww40</v>
      </c>
      <c r="U279" s="7" t="str">
        <f>IF(ISBLANK(patch[[#This Row],[mergeDate]]), U278, MID(YEAR(patch[[#This Row],[mergeDate]]), 3,2)&amp;"'m"&amp;MONTH(patch[[#This Row],[mergeDate]]))</f>
        <v>16'm9</v>
      </c>
      <c r="V279" s="7" t="str">
        <f>IF(ISBLANK(patch[[#This Row],[project]]), "",SUM(patch[[#This Row],[BJ -1 num]:[SH -1 num]]))</f>
        <v/>
      </c>
      <c r="W279" s="7" t="str">
        <f>IF(ISBLANK(patch[[#This Row],[project]]), "",COUNTIFS($A:$A,patch[[#This Row],[number]],$S:$S, "BJ And dev",$AC:$AC, "Review-1"))</f>
        <v/>
      </c>
      <c r="X279" s="7" t="str">
        <f>IF(ISBLANK(patch[[#This Row],[project]]), "",COUNTIFS($A:$A,patch[[#This Row],[number]],$S:$S, "FL And dev",$AC:$AC, "Review-1"))</f>
        <v/>
      </c>
      <c r="Y279" s="7" t="str">
        <f>IF(ISBLANK(patch[[#This Row],[project]]), "",COUNTIFS($A:$A,patch[[#This Row],[number]],$S:$S, "SH And dev",$AC:$AC, "Review-1"))</f>
        <v/>
      </c>
      <c r="Z279" s="7" t="str">
        <f>IF(ISBLANK(patch[[#This Row],[project]]), "",COUNTIFS($A:$A,patch[[#This Row],[number]],$S:$S, "BJ And dev",$AD:$AD, "&lt;&gt;IntegratorValidationComment"))</f>
        <v/>
      </c>
      <c r="AA279" s="7" t="str">
        <f>IF(ISBLANK(patch[[#This Row],[project]]), "",COUNTIFS($A:$A,patch[[#This Row],[number]],$S:$S, "FL And dev",$AD:$AD, "&lt;&gt;IntegratorValidationComment"))</f>
        <v/>
      </c>
      <c r="AB279" s="7" t="str">
        <f>IF(ISBLANK(patch[[#This Row],[project]]), "",COUNTIFS($A:$A,patch[[#This Row],[number]],$S:$S, "SH And dev",$AD:$AD, "&lt;&gt;IntegratorValidationComment"))</f>
        <v/>
      </c>
      <c r="AC279" s="7" t="str">
        <f>IF(OR(ISNUMBER(FIND("Review-1", patch[[#This Row],[comments]])), ISNUMBER(FIND("Approver-1", patch[[#This Row],[comments]]))), "Review-1", "")</f>
        <v>Review-1</v>
      </c>
      <c r="AD2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9" s="7">
        <f>IF(ISBLANK(patch[[#This Row],[number]]),AE278,patch[[#This Row],[ifCommon]])</f>
        <v>0</v>
      </c>
    </row>
    <row r="280" spans="1:31">
      <c r="A280" s="151">
        <v>147387</v>
      </c>
      <c r="B280" s="151"/>
      <c r="C280" s="151"/>
      <c r="D280" s="151"/>
      <c r="E280" s="151"/>
      <c r="F280" s="151"/>
      <c r="G280" s="151"/>
      <c r="H280" s="151"/>
      <c r="I280" s="151"/>
      <c r="J280" s="152">
        <v>42640.690613425933</v>
      </c>
      <c r="K280" s="151"/>
      <c r="L280" s="151" t="s">
        <v>59</v>
      </c>
      <c r="M280" s="152">
        <v>42635.772303240738</v>
      </c>
      <c r="N280" s="151" t="s">
        <v>2729</v>
      </c>
      <c r="O280" s="151"/>
      <c r="P280" s="151"/>
      <c r="Q280" s="7" t="str">
        <f>IF(ISBLANK(patch[[#This Row],[OwnerEmail]]),Q279,patch[[#This Row],[OwnerEmail]])</f>
        <v>xiaozhou.liu@intel.com</v>
      </c>
      <c r="R280" s="7" t="str">
        <f>_xlfn.IFNA(VLOOKUP(patch[[#This Row],[tmp-owner.email]],OrgTree!$A:$K, 11, 0), "not ICG SWFW")</f>
        <v>BJ And dev</v>
      </c>
      <c r="S280" s="7" t="str">
        <f>IF(patch[[#This Row],[reviewer]]=patch[[#This Row],[tmp-owner.email]], "author", _xlfn.IFNA(VLOOKUP(patch[[#This Row],[reviewer]],OrgTree!$A:$K, 11, 0), "not ICG SWFW"))</f>
        <v>author</v>
      </c>
      <c r="T280" s="7" t="str">
        <f>IF(ISBLANK(patch[[#This Row],[mergeDate]]), "", MID(YEAR(patch[[#This Row],[mergeDate]]), 3,2)&amp;"'ww"&amp;WEEKNUM(patch[[#This Row],[mergeDate]]))</f>
        <v>16'ww40</v>
      </c>
      <c r="U280" s="7" t="str">
        <f>IF(ISBLANK(patch[[#This Row],[mergeDate]]), U279, MID(YEAR(patch[[#This Row],[mergeDate]]), 3,2)&amp;"'m"&amp;MONTH(patch[[#This Row],[mergeDate]]))</f>
        <v>16'm9</v>
      </c>
      <c r="V280" s="7" t="str">
        <f>IF(ISBLANK(patch[[#This Row],[project]]), "",SUM(patch[[#This Row],[BJ -1 num]:[SH -1 num]]))</f>
        <v/>
      </c>
      <c r="W280" s="7" t="str">
        <f>IF(ISBLANK(patch[[#This Row],[project]]), "",COUNTIFS($A:$A,patch[[#This Row],[number]],$S:$S, "BJ And dev",$AC:$AC, "Review-1"))</f>
        <v/>
      </c>
      <c r="X280" s="7" t="str">
        <f>IF(ISBLANK(patch[[#This Row],[project]]), "",COUNTIFS($A:$A,patch[[#This Row],[number]],$S:$S, "FL And dev",$AC:$AC, "Review-1"))</f>
        <v/>
      </c>
      <c r="Y280" s="7" t="str">
        <f>IF(ISBLANK(patch[[#This Row],[project]]), "",COUNTIFS($A:$A,patch[[#This Row],[number]],$S:$S, "SH And dev",$AC:$AC, "Review-1"))</f>
        <v/>
      </c>
      <c r="Z280" s="7" t="str">
        <f>IF(ISBLANK(patch[[#This Row],[project]]), "",COUNTIFS($A:$A,patch[[#This Row],[number]],$S:$S, "BJ And dev",$AD:$AD, "&lt;&gt;IntegratorValidationComment"))</f>
        <v/>
      </c>
      <c r="AA280" s="7" t="str">
        <f>IF(ISBLANK(patch[[#This Row],[project]]), "",COUNTIFS($A:$A,patch[[#This Row],[number]],$S:$S, "FL And dev",$AD:$AD, "&lt;&gt;IntegratorValidationComment"))</f>
        <v/>
      </c>
      <c r="AB280" s="7" t="str">
        <f>IF(ISBLANK(patch[[#This Row],[project]]), "",COUNTIFS($A:$A,patch[[#This Row],[number]],$S:$S, "SH And dev",$AD:$AD, "&lt;&gt;IntegratorValidationComment"))</f>
        <v/>
      </c>
      <c r="AC280" s="7" t="str">
        <f>IF(OR(ISNUMBER(FIND("Review-1", patch[[#This Row],[comments]])), ISNUMBER(FIND("Approver-1", patch[[#This Row],[comments]]))), "Review-1", "")</f>
        <v/>
      </c>
      <c r="AD2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0" s="7">
        <f>IF(ISBLANK(patch[[#This Row],[number]]),AE279,patch[[#This Row],[ifCommon]])</f>
        <v>0</v>
      </c>
    </row>
    <row r="281" spans="1:31">
      <c r="A281" s="151">
        <v>147387</v>
      </c>
      <c r="B281" s="151"/>
      <c r="C281" s="151"/>
      <c r="D281" s="151"/>
      <c r="E281" s="151"/>
      <c r="F281" s="151"/>
      <c r="G281" s="151"/>
      <c r="H281" s="151"/>
      <c r="I281" s="151"/>
      <c r="J281" s="152">
        <v>42640.690613425933</v>
      </c>
      <c r="K281" s="151"/>
      <c r="L281" s="151" t="s">
        <v>59</v>
      </c>
      <c r="M281" s="152">
        <v>42635.774340277778</v>
      </c>
      <c r="N281" s="151" t="s">
        <v>2730</v>
      </c>
      <c r="O281" s="151"/>
      <c r="P281" s="151"/>
      <c r="Q281" s="7" t="str">
        <f>IF(ISBLANK(patch[[#This Row],[OwnerEmail]]),Q280,patch[[#This Row],[OwnerEmail]])</f>
        <v>xiaozhou.liu@intel.com</v>
      </c>
      <c r="R281" s="7" t="str">
        <f>_xlfn.IFNA(VLOOKUP(patch[[#This Row],[tmp-owner.email]],OrgTree!$A:$K, 11, 0), "not ICG SWFW")</f>
        <v>BJ And dev</v>
      </c>
      <c r="S281" s="7" t="str">
        <f>IF(patch[[#This Row],[reviewer]]=patch[[#This Row],[tmp-owner.email]], "author", _xlfn.IFNA(VLOOKUP(patch[[#This Row],[reviewer]],OrgTree!$A:$K, 11, 0), "not ICG SWFW"))</f>
        <v>author</v>
      </c>
      <c r="T281" s="7" t="str">
        <f>IF(ISBLANK(patch[[#This Row],[mergeDate]]), "", MID(YEAR(patch[[#This Row],[mergeDate]]), 3,2)&amp;"'ww"&amp;WEEKNUM(patch[[#This Row],[mergeDate]]))</f>
        <v>16'ww40</v>
      </c>
      <c r="U281" s="7" t="str">
        <f>IF(ISBLANK(patch[[#This Row],[mergeDate]]), U280, MID(YEAR(patch[[#This Row],[mergeDate]]), 3,2)&amp;"'m"&amp;MONTH(patch[[#This Row],[mergeDate]]))</f>
        <v>16'm9</v>
      </c>
      <c r="V281" s="7" t="str">
        <f>IF(ISBLANK(patch[[#This Row],[project]]), "",SUM(patch[[#This Row],[BJ -1 num]:[SH -1 num]]))</f>
        <v/>
      </c>
      <c r="W281" s="7" t="str">
        <f>IF(ISBLANK(patch[[#This Row],[project]]), "",COUNTIFS($A:$A,patch[[#This Row],[number]],$S:$S, "BJ And dev",$AC:$AC, "Review-1"))</f>
        <v/>
      </c>
      <c r="X281" s="7" t="str">
        <f>IF(ISBLANK(patch[[#This Row],[project]]), "",COUNTIFS($A:$A,patch[[#This Row],[number]],$S:$S, "FL And dev",$AC:$AC, "Review-1"))</f>
        <v/>
      </c>
      <c r="Y281" s="7" t="str">
        <f>IF(ISBLANK(patch[[#This Row],[project]]), "",COUNTIFS($A:$A,patch[[#This Row],[number]],$S:$S, "SH And dev",$AC:$AC, "Review-1"))</f>
        <v/>
      </c>
      <c r="Z281" s="7" t="str">
        <f>IF(ISBLANK(patch[[#This Row],[project]]), "",COUNTIFS($A:$A,patch[[#This Row],[number]],$S:$S, "BJ And dev",$AD:$AD, "&lt;&gt;IntegratorValidationComment"))</f>
        <v/>
      </c>
      <c r="AA281" s="7" t="str">
        <f>IF(ISBLANK(patch[[#This Row],[project]]), "",COUNTIFS($A:$A,patch[[#This Row],[number]],$S:$S, "FL And dev",$AD:$AD, "&lt;&gt;IntegratorValidationComment"))</f>
        <v/>
      </c>
      <c r="AB281" s="7" t="str">
        <f>IF(ISBLANK(patch[[#This Row],[project]]), "",COUNTIFS($A:$A,patch[[#This Row],[number]],$S:$S, "SH And dev",$AD:$AD, "&lt;&gt;IntegratorValidationComment"))</f>
        <v/>
      </c>
      <c r="AC281" s="7" t="str">
        <f>IF(OR(ISNUMBER(FIND("Review-1", patch[[#This Row],[comments]])), ISNUMBER(FIND("Approver-1", patch[[#This Row],[comments]]))), "Review-1", "")</f>
        <v/>
      </c>
      <c r="AD2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1" s="7">
        <f>IF(ISBLANK(patch[[#This Row],[number]]),AE280,patch[[#This Row],[ifCommon]])</f>
        <v>0</v>
      </c>
    </row>
    <row r="282" spans="1:31">
      <c r="A282" s="151">
        <v>147387</v>
      </c>
      <c r="B282" s="151"/>
      <c r="C282" s="151"/>
      <c r="D282" s="151"/>
      <c r="E282" s="151"/>
      <c r="F282" s="151"/>
      <c r="G282" s="151"/>
      <c r="H282" s="151"/>
      <c r="I282" s="151"/>
      <c r="J282" s="152">
        <v>42640.690613425933</v>
      </c>
      <c r="K282" s="151"/>
      <c r="L282" s="151" t="s">
        <v>59</v>
      </c>
      <c r="M282" s="152">
        <v>42635.801493055558</v>
      </c>
      <c r="N282" s="151" t="s">
        <v>2731</v>
      </c>
      <c r="O282" s="151"/>
      <c r="P282" s="151"/>
      <c r="Q282" s="7" t="str">
        <f>IF(ISBLANK(patch[[#This Row],[OwnerEmail]]),Q281,patch[[#This Row],[OwnerEmail]])</f>
        <v>xiaozhou.liu@intel.com</v>
      </c>
      <c r="R282" s="7" t="str">
        <f>_xlfn.IFNA(VLOOKUP(patch[[#This Row],[tmp-owner.email]],OrgTree!$A:$K, 11, 0), "not ICG SWFW")</f>
        <v>BJ And dev</v>
      </c>
      <c r="S282" s="7" t="str">
        <f>IF(patch[[#This Row],[reviewer]]=patch[[#This Row],[tmp-owner.email]], "author", _xlfn.IFNA(VLOOKUP(patch[[#This Row],[reviewer]],OrgTree!$A:$K, 11, 0), "not ICG SWFW"))</f>
        <v>author</v>
      </c>
      <c r="T282" s="7" t="str">
        <f>IF(ISBLANK(patch[[#This Row],[mergeDate]]), "", MID(YEAR(patch[[#This Row],[mergeDate]]), 3,2)&amp;"'ww"&amp;WEEKNUM(patch[[#This Row],[mergeDate]]))</f>
        <v>16'ww40</v>
      </c>
      <c r="U282" s="7" t="str">
        <f>IF(ISBLANK(patch[[#This Row],[mergeDate]]), U281, MID(YEAR(patch[[#This Row],[mergeDate]]), 3,2)&amp;"'m"&amp;MONTH(patch[[#This Row],[mergeDate]]))</f>
        <v>16'm9</v>
      </c>
      <c r="V282" s="7" t="str">
        <f>IF(ISBLANK(patch[[#This Row],[project]]), "",SUM(patch[[#This Row],[BJ -1 num]:[SH -1 num]]))</f>
        <v/>
      </c>
      <c r="W282" s="7" t="str">
        <f>IF(ISBLANK(patch[[#This Row],[project]]), "",COUNTIFS($A:$A,patch[[#This Row],[number]],$S:$S, "BJ And dev",$AC:$AC, "Review-1"))</f>
        <v/>
      </c>
      <c r="X282" s="7" t="str">
        <f>IF(ISBLANK(patch[[#This Row],[project]]), "",COUNTIFS($A:$A,patch[[#This Row],[number]],$S:$S, "FL And dev",$AC:$AC, "Review-1"))</f>
        <v/>
      </c>
      <c r="Y282" s="7" t="str">
        <f>IF(ISBLANK(patch[[#This Row],[project]]), "",COUNTIFS($A:$A,patch[[#This Row],[number]],$S:$S, "SH And dev",$AC:$AC, "Review-1"))</f>
        <v/>
      </c>
      <c r="Z282" s="7" t="str">
        <f>IF(ISBLANK(patch[[#This Row],[project]]), "",COUNTIFS($A:$A,patch[[#This Row],[number]],$S:$S, "BJ And dev",$AD:$AD, "&lt;&gt;IntegratorValidationComment"))</f>
        <v/>
      </c>
      <c r="AA282" s="7" t="str">
        <f>IF(ISBLANK(patch[[#This Row],[project]]), "",COUNTIFS($A:$A,patch[[#This Row],[number]],$S:$S, "FL And dev",$AD:$AD, "&lt;&gt;IntegratorValidationComment"))</f>
        <v/>
      </c>
      <c r="AB282" s="7" t="str">
        <f>IF(ISBLANK(patch[[#This Row],[project]]), "",COUNTIFS($A:$A,patch[[#This Row],[number]],$S:$S, "SH And dev",$AD:$AD, "&lt;&gt;IntegratorValidationComment"))</f>
        <v/>
      </c>
      <c r="AC282" s="7" t="str">
        <f>IF(OR(ISNUMBER(FIND("Review-1", patch[[#This Row],[comments]])), ISNUMBER(FIND("Approver-1", patch[[#This Row],[comments]]))), "Review-1", "")</f>
        <v/>
      </c>
      <c r="AD2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2" s="7">
        <f>IF(ISBLANK(patch[[#This Row],[number]]),AE281,patch[[#This Row],[ifCommon]])</f>
        <v>0</v>
      </c>
    </row>
    <row r="283" spans="1:31">
      <c r="A283" s="151">
        <v>147387</v>
      </c>
      <c r="B283" s="151"/>
      <c r="C283" s="151"/>
      <c r="D283" s="151"/>
      <c r="E283" s="151"/>
      <c r="F283" s="151"/>
      <c r="G283" s="151"/>
      <c r="H283" s="151"/>
      <c r="I283" s="151"/>
      <c r="J283" s="152">
        <v>42640.690613425933</v>
      </c>
      <c r="K283" s="151"/>
      <c r="L283" s="151" t="s">
        <v>59</v>
      </c>
      <c r="M283" s="152">
        <v>42636.670219907413</v>
      </c>
      <c r="N283" s="151" t="s">
        <v>2455</v>
      </c>
      <c r="O283" s="151" t="s">
        <v>2732</v>
      </c>
      <c r="P283" s="151"/>
      <c r="Q283" s="7" t="str">
        <f>IF(ISBLANK(patch[[#This Row],[OwnerEmail]]),Q282,patch[[#This Row],[OwnerEmail]])</f>
        <v>xiaozhou.liu@intel.com</v>
      </c>
      <c r="R283" s="7" t="str">
        <f>_xlfn.IFNA(VLOOKUP(patch[[#This Row],[tmp-owner.email]],OrgTree!$A:$K, 11, 0), "not ICG SWFW")</f>
        <v>BJ And dev</v>
      </c>
      <c r="S283" s="7" t="str">
        <f>IF(patch[[#This Row],[reviewer]]=patch[[#This Row],[tmp-owner.email]], "author", _xlfn.IFNA(VLOOKUP(patch[[#This Row],[reviewer]],OrgTree!$A:$K, 11, 0), "not ICG SWFW"))</f>
        <v>author</v>
      </c>
      <c r="T283" s="7" t="str">
        <f>IF(ISBLANK(patch[[#This Row],[mergeDate]]), "", MID(YEAR(patch[[#This Row],[mergeDate]]), 3,2)&amp;"'ww"&amp;WEEKNUM(patch[[#This Row],[mergeDate]]))</f>
        <v>16'ww40</v>
      </c>
      <c r="U283" s="7" t="str">
        <f>IF(ISBLANK(patch[[#This Row],[mergeDate]]), U282, MID(YEAR(patch[[#This Row],[mergeDate]]), 3,2)&amp;"'m"&amp;MONTH(patch[[#This Row],[mergeDate]]))</f>
        <v>16'm9</v>
      </c>
      <c r="V283" s="7" t="str">
        <f>IF(ISBLANK(patch[[#This Row],[project]]), "",SUM(patch[[#This Row],[BJ -1 num]:[SH -1 num]]))</f>
        <v/>
      </c>
      <c r="W283" s="7" t="str">
        <f>IF(ISBLANK(patch[[#This Row],[project]]), "",COUNTIFS($A:$A,patch[[#This Row],[number]],$S:$S, "BJ And dev",$AC:$AC, "Review-1"))</f>
        <v/>
      </c>
      <c r="X283" s="7" t="str">
        <f>IF(ISBLANK(patch[[#This Row],[project]]), "",COUNTIFS($A:$A,patch[[#This Row],[number]],$S:$S, "FL And dev",$AC:$AC, "Review-1"))</f>
        <v/>
      </c>
      <c r="Y283" s="7" t="str">
        <f>IF(ISBLANK(patch[[#This Row],[project]]), "",COUNTIFS($A:$A,patch[[#This Row],[number]],$S:$S, "SH And dev",$AC:$AC, "Review-1"))</f>
        <v/>
      </c>
      <c r="Z283" s="7" t="str">
        <f>IF(ISBLANK(patch[[#This Row],[project]]), "",COUNTIFS($A:$A,patch[[#This Row],[number]],$S:$S, "BJ And dev",$AD:$AD, "&lt;&gt;IntegratorValidationComment"))</f>
        <v/>
      </c>
      <c r="AA283" s="7" t="str">
        <f>IF(ISBLANK(patch[[#This Row],[project]]), "",COUNTIFS($A:$A,patch[[#This Row],[number]],$S:$S, "FL And dev",$AD:$AD, "&lt;&gt;IntegratorValidationComment"))</f>
        <v/>
      </c>
      <c r="AB283" s="7" t="str">
        <f>IF(ISBLANK(patch[[#This Row],[project]]), "",COUNTIFS($A:$A,patch[[#This Row],[number]],$S:$S, "SH And dev",$AD:$AD, "&lt;&gt;IntegratorValidationComment"))</f>
        <v/>
      </c>
      <c r="AC283" s="7" t="str">
        <f>IF(OR(ISNUMBER(FIND("Review-1", patch[[#This Row],[comments]])), ISNUMBER(FIND("Approver-1", patch[[#This Row],[comments]]))), "Review-1", "")</f>
        <v/>
      </c>
      <c r="AD2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3" s="7">
        <f>IF(ISBLANK(patch[[#This Row],[number]]),AE282,patch[[#This Row],[ifCommon]])</f>
        <v>0</v>
      </c>
    </row>
    <row r="284" spans="1:31">
      <c r="A284" s="151">
        <v>147387</v>
      </c>
      <c r="B284" s="151"/>
      <c r="C284" s="151"/>
      <c r="D284" s="151"/>
      <c r="E284" s="151"/>
      <c r="F284" s="151"/>
      <c r="G284" s="151"/>
      <c r="H284" s="151"/>
      <c r="I284" s="151"/>
      <c r="J284" s="152">
        <v>42640.690613425933</v>
      </c>
      <c r="K284" s="151"/>
      <c r="L284" s="151" t="s">
        <v>59</v>
      </c>
      <c r="M284" s="152">
        <v>42636.750613425917</v>
      </c>
      <c r="N284" s="151" t="s">
        <v>2704</v>
      </c>
      <c r="O284" s="151"/>
      <c r="P284" s="151"/>
      <c r="Q284" s="7" t="str">
        <f>IF(ISBLANK(patch[[#This Row],[OwnerEmail]]),Q283,patch[[#This Row],[OwnerEmail]])</f>
        <v>xiaozhou.liu@intel.com</v>
      </c>
      <c r="R284" s="7" t="str">
        <f>_xlfn.IFNA(VLOOKUP(patch[[#This Row],[tmp-owner.email]],OrgTree!$A:$K, 11, 0), "not ICG SWFW")</f>
        <v>BJ And dev</v>
      </c>
      <c r="S284" s="7" t="str">
        <f>IF(patch[[#This Row],[reviewer]]=patch[[#This Row],[tmp-owner.email]], "author", _xlfn.IFNA(VLOOKUP(patch[[#This Row],[reviewer]],OrgTree!$A:$K, 11, 0), "not ICG SWFW"))</f>
        <v>author</v>
      </c>
      <c r="T284" s="7" t="str">
        <f>IF(ISBLANK(patch[[#This Row],[mergeDate]]), "", MID(YEAR(patch[[#This Row],[mergeDate]]), 3,2)&amp;"'ww"&amp;WEEKNUM(patch[[#This Row],[mergeDate]]))</f>
        <v>16'ww40</v>
      </c>
      <c r="U284" s="7" t="str">
        <f>IF(ISBLANK(patch[[#This Row],[mergeDate]]), U283, MID(YEAR(patch[[#This Row],[mergeDate]]), 3,2)&amp;"'m"&amp;MONTH(patch[[#This Row],[mergeDate]]))</f>
        <v>16'm9</v>
      </c>
      <c r="V284" s="7" t="str">
        <f>IF(ISBLANK(patch[[#This Row],[project]]), "",SUM(patch[[#This Row],[BJ -1 num]:[SH -1 num]]))</f>
        <v/>
      </c>
      <c r="W284" s="7" t="str">
        <f>IF(ISBLANK(patch[[#This Row],[project]]), "",COUNTIFS($A:$A,patch[[#This Row],[number]],$S:$S, "BJ And dev",$AC:$AC, "Review-1"))</f>
        <v/>
      </c>
      <c r="X284" s="7" t="str">
        <f>IF(ISBLANK(patch[[#This Row],[project]]), "",COUNTIFS($A:$A,patch[[#This Row],[number]],$S:$S, "FL And dev",$AC:$AC, "Review-1"))</f>
        <v/>
      </c>
      <c r="Y284" s="7" t="str">
        <f>IF(ISBLANK(patch[[#This Row],[project]]), "",COUNTIFS($A:$A,patch[[#This Row],[number]],$S:$S, "SH And dev",$AC:$AC, "Review-1"))</f>
        <v/>
      </c>
      <c r="Z284" s="7" t="str">
        <f>IF(ISBLANK(patch[[#This Row],[project]]), "",COUNTIFS($A:$A,patch[[#This Row],[number]],$S:$S, "BJ And dev",$AD:$AD, "&lt;&gt;IntegratorValidationComment"))</f>
        <v/>
      </c>
      <c r="AA284" s="7" t="str">
        <f>IF(ISBLANK(patch[[#This Row],[project]]), "",COUNTIFS($A:$A,patch[[#This Row],[number]],$S:$S, "FL And dev",$AD:$AD, "&lt;&gt;IntegratorValidationComment"))</f>
        <v/>
      </c>
      <c r="AB284" s="7" t="str">
        <f>IF(ISBLANK(patch[[#This Row],[project]]), "",COUNTIFS($A:$A,patch[[#This Row],[number]],$S:$S, "SH And dev",$AD:$AD, "&lt;&gt;IntegratorValidationComment"))</f>
        <v/>
      </c>
      <c r="AC284" s="7" t="str">
        <f>IF(OR(ISNUMBER(FIND("Review-1", patch[[#This Row],[comments]])), ISNUMBER(FIND("Approver-1", patch[[#This Row],[comments]]))), "Review-1", "")</f>
        <v/>
      </c>
      <c r="AD2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4" s="7">
        <f>IF(ISBLANK(patch[[#This Row],[number]]),AE283,patch[[#This Row],[ifCommon]])</f>
        <v>0</v>
      </c>
    </row>
    <row r="285" spans="1:31">
      <c r="A285" s="151">
        <v>147387</v>
      </c>
      <c r="B285" s="151"/>
      <c r="C285" s="151"/>
      <c r="D285" s="151"/>
      <c r="E285" s="151"/>
      <c r="F285" s="151"/>
      <c r="G285" s="151"/>
      <c r="H285" s="151"/>
      <c r="I285" s="151"/>
      <c r="J285" s="152">
        <v>42640.690613425933</v>
      </c>
      <c r="K285" s="151"/>
      <c r="L285" s="151" t="s">
        <v>59</v>
      </c>
      <c r="M285" s="152">
        <v>42636.750613425917</v>
      </c>
      <c r="N285" s="151" t="s">
        <v>2450</v>
      </c>
      <c r="O285" s="151"/>
      <c r="P285" s="151"/>
      <c r="Q285" s="7" t="str">
        <f>IF(ISBLANK(patch[[#This Row],[OwnerEmail]]),Q284,patch[[#This Row],[OwnerEmail]])</f>
        <v>xiaozhou.liu@intel.com</v>
      </c>
      <c r="R285" s="7" t="str">
        <f>_xlfn.IFNA(VLOOKUP(patch[[#This Row],[tmp-owner.email]],OrgTree!$A:$K, 11, 0), "not ICG SWFW")</f>
        <v>BJ And dev</v>
      </c>
      <c r="S285" s="7" t="str">
        <f>IF(patch[[#This Row],[reviewer]]=patch[[#This Row],[tmp-owner.email]], "author", _xlfn.IFNA(VLOOKUP(patch[[#This Row],[reviewer]],OrgTree!$A:$K, 11, 0), "not ICG SWFW"))</f>
        <v>author</v>
      </c>
      <c r="T285" s="7" t="str">
        <f>IF(ISBLANK(patch[[#This Row],[mergeDate]]), "", MID(YEAR(patch[[#This Row],[mergeDate]]), 3,2)&amp;"'ww"&amp;WEEKNUM(patch[[#This Row],[mergeDate]]))</f>
        <v>16'ww40</v>
      </c>
      <c r="U285" s="7" t="str">
        <f>IF(ISBLANK(patch[[#This Row],[mergeDate]]), U284, MID(YEAR(patch[[#This Row],[mergeDate]]), 3,2)&amp;"'m"&amp;MONTH(patch[[#This Row],[mergeDate]]))</f>
        <v>16'm9</v>
      </c>
      <c r="V285" s="7" t="str">
        <f>IF(ISBLANK(patch[[#This Row],[project]]), "",SUM(patch[[#This Row],[BJ -1 num]:[SH -1 num]]))</f>
        <v/>
      </c>
      <c r="W285" s="7" t="str">
        <f>IF(ISBLANK(patch[[#This Row],[project]]), "",COUNTIFS($A:$A,patch[[#This Row],[number]],$S:$S, "BJ And dev",$AC:$AC, "Review-1"))</f>
        <v/>
      </c>
      <c r="X285" s="7" t="str">
        <f>IF(ISBLANK(patch[[#This Row],[project]]), "",COUNTIFS($A:$A,patch[[#This Row],[number]],$S:$S, "FL And dev",$AC:$AC, "Review-1"))</f>
        <v/>
      </c>
      <c r="Y285" s="7" t="str">
        <f>IF(ISBLANK(patch[[#This Row],[project]]), "",COUNTIFS($A:$A,patch[[#This Row],[number]],$S:$S, "SH And dev",$AC:$AC, "Review-1"))</f>
        <v/>
      </c>
      <c r="Z285" s="7" t="str">
        <f>IF(ISBLANK(patch[[#This Row],[project]]), "",COUNTIFS($A:$A,patch[[#This Row],[number]],$S:$S, "BJ And dev",$AD:$AD, "&lt;&gt;IntegratorValidationComment"))</f>
        <v/>
      </c>
      <c r="AA285" s="7" t="str">
        <f>IF(ISBLANK(patch[[#This Row],[project]]), "",COUNTIFS($A:$A,patch[[#This Row],[number]],$S:$S, "FL And dev",$AD:$AD, "&lt;&gt;IntegratorValidationComment"))</f>
        <v/>
      </c>
      <c r="AB285" s="7" t="str">
        <f>IF(ISBLANK(patch[[#This Row],[project]]), "",COUNTIFS($A:$A,patch[[#This Row],[number]],$S:$S, "SH And dev",$AD:$AD, "&lt;&gt;IntegratorValidationComment"))</f>
        <v/>
      </c>
      <c r="AC285" s="7" t="str">
        <f>IF(OR(ISNUMBER(FIND("Review-1", patch[[#This Row],[comments]])), ISNUMBER(FIND("Approver-1", patch[[#This Row],[comments]]))), "Review-1", "")</f>
        <v/>
      </c>
      <c r="AD2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5" s="7">
        <f>IF(ISBLANK(patch[[#This Row],[number]]),AE284,patch[[#This Row],[ifCommon]])</f>
        <v>0</v>
      </c>
    </row>
    <row r="286" spans="1:31">
      <c r="A286" s="151">
        <v>147387</v>
      </c>
      <c r="B286" s="151"/>
      <c r="C286" s="151"/>
      <c r="D286" s="151"/>
      <c r="E286" s="151"/>
      <c r="F286" s="151"/>
      <c r="G286" s="151"/>
      <c r="H286" s="151"/>
      <c r="I286" s="151"/>
      <c r="J286" s="152">
        <v>42640.690613425933</v>
      </c>
      <c r="K286" s="151"/>
      <c r="L286" s="151" t="s">
        <v>59</v>
      </c>
      <c r="M286" s="152">
        <v>42636.754699074067</v>
      </c>
      <c r="N286" s="151" t="s">
        <v>2733</v>
      </c>
      <c r="O286" s="151"/>
      <c r="P286" s="151"/>
      <c r="Q286" s="7" t="str">
        <f>IF(ISBLANK(patch[[#This Row],[OwnerEmail]]),Q285,patch[[#This Row],[OwnerEmail]])</f>
        <v>xiaozhou.liu@intel.com</v>
      </c>
      <c r="R286" s="7" t="str">
        <f>_xlfn.IFNA(VLOOKUP(patch[[#This Row],[tmp-owner.email]],OrgTree!$A:$K, 11, 0), "not ICG SWFW")</f>
        <v>BJ And dev</v>
      </c>
      <c r="S286" s="7" t="str">
        <f>IF(patch[[#This Row],[reviewer]]=patch[[#This Row],[tmp-owner.email]], "author", _xlfn.IFNA(VLOOKUP(patch[[#This Row],[reviewer]],OrgTree!$A:$K, 11, 0), "not ICG SWFW"))</f>
        <v>author</v>
      </c>
      <c r="T286" s="7" t="str">
        <f>IF(ISBLANK(patch[[#This Row],[mergeDate]]), "", MID(YEAR(patch[[#This Row],[mergeDate]]), 3,2)&amp;"'ww"&amp;WEEKNUM(patch[[#This Row],[mergeDate]]))</f>
        <v>16'ww40</v>
      </c>
      <c r="U286" s="7" t="str">
        <f>IF(ISBLANK(patch[[#This Row],[mergeDate]]), U285, MID(YEAR(patch[[#This Row],[mergeDate]]), 3,2)&amp;"'m"&amp;MONTH(patch[[#This Row],[mergeDate]]))</f>
        <v>16'm9</v>
      </c>
      <c r="V286" s="7" t="str">
        <f>IF(ISBLANK(patch[[#This Row],[project]]), "",SUM(patch[[#This Row],[BJ -1 num]:[SH -1 num]]))</f>
        <v/>
      </c>
      <c r="W286" s="7" t="str">
        <f>IF(ISBLANK(patch[[#This Row],[project]]), "",COUNTIFS($A:$A,patch[[#This Row],[number]],$S:$S, "BJ And dev",$AC:$AC, "Review-1"))</f>
        <v/>
      </c>
      <c r="X286" s="7" t="str">
        <f>IF(ISBLANK(patch[[#This Row],[project]]), "",COUNTIFS($A:$A,patch[[#This Row],[number]],$S:$S, "FL And dev",$AC:$AC, "Review-1"))</f>
        <v/>
      </c>
      <c r="Y286" s="7" t="str">
        <f>IF(ISBLANK(patch[[#This Row],[project]]), "",COUNTIFS($A:$A,patch[[#This Row],[number]],$S:$S, "SH And dev",$AC:$AC, "Review-1"))</f>
        <v/>
      </c>
      <c r="Z286" s="7" t="str">
        <f>IF(ISBLANK(patch[[#This Row],[project]]), "",COUNTIFS($A:$A,patch[[#This Row],[number]],$S:$S, "BJ And dev",$AD:$AD, "&lt;&gt;IntegratorValidationComment"))</f>
        <v/>
      </c>
      <c r="AA286" s="7" t="str">
        <f>IF(ISBLANK(patch[[#This Row],[project]]), "",COUNTIFS($A:$A,patch[[#This Row],[number]],$S:$S, "FL And dev",$AD:$AD, "&lt;&gt;IntegratorValidationComment"))</f>
        <v/>
      </c>
      <c r="AB286" s="7" t="str">
        <f>IF(ISBLANK(patch[[#This Row],[project]]), "",COUNTIFS($A:$A,patch[[#This Row],[number]],$S:$S, "SH And dev",$AD:$AD, "&lt;&gt;IntegratorValidationComment"))</f>
        <v/>
      </c>
      <c r="AC286" s="7" t="str">
        <f>IF(OR(ISNUMBER(FIND("Review-1", patch[[#This Row],[comments]])), ISNUMBER(FIND("Approver-1", patch[[#This Row],[comments]]))), "Review-1", "")</f>
        <v/>
      </c>
      <c r="AD2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6" s="7">
        <f>IF(ISBLANK(patch[[#This Row],[number]]),AE285,patch[[#This Row],[ifCommon]])</f>
        <v>0</v>
      </c>
    </row>
    <row r="287" spans="1:31">
      <c r="A287" s="151">
        <v>147387</v>
      </c>
      <c r="B287" s="151"/>
      <c r="C287" s="151"/>
      <c r="D287" s="151"/>
      <c r="E287" s="151"/>
      <c r="F287" s="151"/>
      <c r="G287" s="151"/>
      <c r="H287" s="151"/>
      <c r="I287" s="151"/>
      <c r="J287" s="152">
        <v>42640.690613425933</v>
      </c>
      <c r="K287" s="151"/>
      <c r="L287" s="151" t="s">
        <v>59</v>
      </c>
      <c r="M287" s="152">
        <v>42636.77103009259</v>
      </c>
      <c r="N287" s="151" t="s">
        <v>2734</v>
      </c>
      <c r="O287" s="151"/>
      <c r="P287" s="151"/>
      <c r="Q287" s="7" t="str">
        <f>IF(ISBLANK(patch[[#This Row],[OwnerEmail]]),Q286,patch[[#This Row],[OwnerEmail]])</f>
        <v>xiaozhou.liu@intel.com</v>
      </c>
      <c r="R287" s="7" t="str">
        <f>_xlfn.IFNA(VLOOKUP(patch[[#This Row],[tmp-owner.email]],OrgTree!$A:$K, 11, 0), "not ICG SWFW")</f>
        <v>BJ And dev</v>
      </c>
      <c r="S287" s="7" t="str">
        <f>IF(patch[[#This Row],[reviewer]]=patch[[#This Row],[tmp-owner.email]], "author", _xlfn.IFNA(VLOOKUP(patch[[#This Row],[reviewer]],OrgTree!$A:$K, 11, 0), "not ICG SWFW"))</f>
        <v>author</v>
      </c>
      <c r="T287" s="7" t="str">
        <f>IF(ISBLANK(patch[[#This Row],[mergeDate]]), "", MID(YEAR(patch[[#This Row],[mergeDate]]), 3,2)&amp;"'ww"&amp;WEEKNUM(patch[[#This Row],[mergeDate]]))</f>
        <v>16'ww40</v>
      </c>
      <c r="U287" s="7" t="str">
        <f>IF(ISBLANK(patch[[#This Row],[mergeDate]]), U286, MID(YEAR(patch[[#This Row],[mergeDate]]), 3,2)&amp;"'m"&amp;MONTH(patch[[#This Row],[mergeDate]]))</f>
        <v>16'm9</v>
      </c>
      <c r="V287" s="7" t="str">
        <f>IF(ISBLANK(patch[[#This Row],[project]]), "",SUM(patch[[#This Row],[BJ -1 num]:[SH -1 num]]))</f>
        <v/>
      </c>
      <c r="W287" s="7" t="str">
        <f>IF(ISBLANK(patch[[#This Row],[project]]), "",COUNTIFS($A:$A,patch[[#This Row],[number]],$S:$S, "BJ And dev",$AC:$AC, "Review-1"))</f>
        <v/>
      </c>
      <c r="X287" s="7" t="str">
        <f>IF(ISBLANK(patch[[#This Row],[project]]), "",COUNTIFS($A:$A,patch[[#This Row],[number]],$S:$S, "FL And dev",$AC:$AC, "Review-1"))</f>
        <v/>
      </c>
      <c r="Y287" s="7" t="str">
        <f>IF(ISBLANK(patch[[#This Row],[project]]), "",COUNTIFS($A:$A,patch[[#This Row],[number]],$S:$S, "SH And dev",$AC:$AC, "Review-1"))</f>
        <v/>
      </c>
      <c r="Z287" s="7" t="str">
        <f>IF(ISBLANK(patch[[#This Row],[project]]), "",COUNTIFS($A:$A,patch[[#This Row],[number]],$S:$S, "BJ And dev",$AD:$AD, "&lt;&gt;IntegratorValidationComment"))</f>
        <v/>
      </c>
      <c r="AA287" s="7" t="str">
        <f>IF(ISBLANK(patch[[#This Row],[project]]), "",COUNTIFS($A:$A,patch[[#This Row],[number]],$S:$S, "FL And dev",$AD:$AD, "&lt;&gt;IntegratorValidationComment"))</f>
        <v/>
      </c>
      <c r="AB287" s="7" t="str">
        <f>IF(ISBLANK(patch[[#This Row],[project]]), "",COUNTIFS($A:$A,patch[[#This Row],[number]],$S:$S, "SH And dev",$AD:$AD, "&lt;&gt;IntegratorValidationComment"))</f>
        <v/>
      </c>
      <c r="AC287" s="7" t="str">
        <f>IF(OR(ISNUMBER(FIND("Review-1", patch[[#This Row],[comments]])), ISNUMBER(FIND("Approver-1", patch[[#This Row],[comments]]))), "Review-1", "")</f>
        <v/>
      </c>
      <c r="AD2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7" s="7">
        <f>IF(ISBLANK(patch[[#This Row],[number]]),AE286,patch[[#This Row],[ifCommon]])</f>
        <v>0</v>
      </c>
    </row>
    <row r="288" spans="1:31">
      <c r="A288" s="151">
        <v>147387</v>
      </c>
      <c r="B288" s="151"/>
      <c r="C288" s="151"/>
      <c r="D288" s="151"/>
      <c r="E288" s="151"/>
      <c r="F288" s="151"/>
      <c r="G288" s="151"/>
      <c r="H288" s="151"/>
      <c r="I288" s="151"/>
      <c r="J288" s="152">
        <v>42640.690613425933</v>
      </c>
      <c r="K288" s="151"/>
      <c r="L288" s="151" t="s">
        <v>59</v>
      </c>
      <c r="M288" s="152">
        <v>42639.450671296298</v>
      </c>
      <c r="N288" s="151" t="s">
        <v>2536</v>
      </c>
      <c r="O288" s="151"/>
      <c r="P288" s="151"/>
      <c r="Q288" s="7" t="str">
        <f>IF(ISBLANK(patch[[#This Row],[OwnerEmail]]),Q287,patch[[#This Row],[OwnerEmail]])</f>
        <v>xiaozhou.liu@intel.com</v>
      </c>
      <c r="R288" s="7" t="str">
        <f>_xlfn.IFNA(VLOOKUP(patch[[#This Row],[tmp-owner.email]],OrgTree!$A:$K, 11, 0), "not ICG SWFW")</f>
        <v>BJ And dev</v>
      </c>
      <c r="S288" s="7" t="str">
        <f>IF(patch[[#This Row],[reviewer]]=patch[[#This Row],[tmp-owner.email]], "author", _xlfn.IFNA(VLOOKUP(patch[[#This Row],[reviewer]],OrgTree!$A:$K, 11, 0), "not ICG SWFW"))</f>
        <v>author</v>
      </c>
      <c r="T288" s="7" t="str">
        <f>IF(ISBLANK(patch[[#This Row],[mergeDate]]), "", MID(YEAR(patch[[#This Row],[mergeDate]]), 3,2)&amp;"'ww"&amp;WEEKNUM(patch[[#This Row],[mergeDate]]))</f>
        <v>16'ww40</v>
      </c>
      <c r="U288" s="7" t="str">
        <f>IF(ISBLANK(patch[[#This Row],[mergeDate]]), U287, MID(YEAR(patch[[#This Row],[mergeDate]]), 3,2)&amp;"'m"&amp;MONTH(patch[[#This Row],[mergeDate]]))</f>
        <v>16'm9</v>
      </c>
      <c r="V288" s="7" t="str">
        <f>IF(ISBLANK(patch[[#This Row],[project]]), "",SUM(patch[[#This Row],[BJ -1 num]:[SH -1 num]]))</f>
        <v/>
      </c>
      <c r="W288" s="7" t="str">
        <f>IF(ISBLANK(patch[[#This Row],[project]]), "",COUNTIFS($A:$A,patch[[#This Row],[number]],$S:$S, "BJ And dev",$AC:$AC, "Review-1"))</f>
        <v/>
      </c>
      <c r="X288" s="7" t="str">
        <f>IF(ISBLANK(patch[[#This Row],[project]]), "",COUNTIFS($A:$A,patch[[#This Row],[number]],$S:$S, "FL And dev",$AC:$AC, "Review-1"))</f>
        <v/>
      </c>
      <c r="Y288" s="7" t="str">
        <f>IF(ISBLANK(patch[[#This Row],[project]]), "",COUNTIFS($A:$A,patch[[#This Row],[number]],$S:$S, "SH And dev",$AC:$AC, "Review-1"))</f>
        <v/>
      </c>
      <c r="Z288" s="7" t="str">
        <f>IF(ISBLANK(patch[[#This Row],[project]]), "",COUNTIFS($A:$A,patch[[#This Row],[number]],$S:$S, "BJ And dev",$AD:$AD, "&lt;&gt;IntegratorValidationComment"))</f>
        <v/>
      </c>
      <c r="AA288" s="7" t="str">
        <f>IF(ISBLANK(patch[[#This Row],[project]]), "",COUNTIFS($A:$A,patch[[#This Row],[number]],$S:$S, "FL And dev",$AD:$AD, "&lt;&gt;IntegratorValidationComment"))</f>
        <v/>
      </c>
      <c r="AB288" s="7" t="str">
        <f>IF(ISBLANK(patch[[#This Row],[project]]), "",COUNTIFS($A:$A,patch[[#This Row],[number]],$S:$S, "SH And dev",$AD:$AD, "&lt;&gt;IntegratorValidationComment"))</f>
        <v/>
      </c>
      <c r="AC288" s="7" t="str">
        <f>IF(OR(ISNUMBER(FIND("Review-1", patch[[#This Row],[comments]])), ISNUMBER(FIND("Approver-1", patch[[#This Row],[comments]]))), "Review-1", "")</f>
        <v/>
      </c>
      <c r="AD2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8" s="7">
        <f>IF(ISBLANK(patch[[#This Row],[number]]),AE287,patch[[#This Row],[ifCommon]])</f>
        <v>0</v>
      </c>
    </row>
    <row r="289" spans="1:31">
      <c r="A289" s="151">
        <v>147387</v>
      </c>
      <c r="B289" s="151"/>
      <c r="C289" s="151"/>
      <c r="D289" s="151"/>
      <c r="E289" s="151"/>
      <c r="F289" s="151"/>
      <c r="G289" s="151"/>
      <c r="H289" s="151"/>
      <c r="I289" s="151"/>
      <c r="J289" s="152">
        <v>42640.690613425933</v>
      </c>
      <c r="K289" s="151"/>
      <c r="L289" s="151" t="s">
        <v>59</v>
      </c>
      <c r="M289" s="152">
        <v>42639.450671296298</v>
      </c>
      <c r="N289" s="151" t="s">
        <v>2451</v>
      </c>
      <c r="O289" s="151"/>
      <c r="P289" s="151"/>
      <c r="Q289" s="7" t="str">
        <f>IF(ISBLANK(patch[[#This Row],[OwnerEmail]]),Q288,patch[[#This Row],[OwnerEmail]])</f>
        <v>xiaozhou.liu@intel.com</v>
      </c>
      <c r="R289" s="7" t="str">
        <f>_xlfn.IFNA(VLOOKUP(patch[[#This Row],[tmp-owner.email]],OrgTree!$A:$K, 11, 0), "not ICG SWFW")</f>
        <v>BJ And dev</v>
      </c>
      <c r="S289" s="7" t="str">
        <f>IF(patch[[#This Row],[reviewer]]=patch[[#This Row],[tmp-owner.email]], "author", _xlfn.IFNA(VLOOKUP(patch[[#This Row],[reviewer]],OrgTree!$A:$K, 11, 0), "not ICG SWFW"))</f>
        <v>author</v>
      </c>
      <c r="T289" s="7" t="str">
        <f>IF(ISBLANK(patch[[#This Row],[mergeDate]]), "", MID(YEAR(patch[[#This Row],[mergeDate]]), 3,2)&amp;"'ww"&amp;WEEKNUM(patch[[#This Row],[mergeDate]]))</f>
        <v>16'ww40</v>
      </c>
      <c r="U289" s="7" t="str">
        <f>IF(ISBLANK(patch[[#This Row],[mergeDate]]), U288, MID(YEAR(patch[[#This Row],[mergeDate]]), 3,2)&amp;"'m"&amp;MONTH(patch[[#This Row],[mergeDate]]))</f>
        <v>16'm9</v>
      </c>
      <c r="V289" s="7" t="str">
        <f>IF(ISBLANK(patch[[#This Row],[project]]), "",SUM(patch[[#This Row],[BJ -1 num]:[SH -1 num]]))</f>
        <v/>
      </c>
      <c r="W289" s="7" t="str">
        <f>IF(ISBLANK(patch[[#This Row],[project]]), "",COUNTIFS($A:$A,patch[[#This Row],[number]],$S:$S, "BJ And dev",$AC:$AC, "Review-1"))</f>
        <v/>
      </c>
      <c r="X289" s="7" t="str">
        <f>IF(ISBLANK(patch[[#This Row],[project]]), "",COUNTIFS($A:$A,patch[[#This Row],[number]],$S:$S, "FL And dev",$AC:$AC, "Review-1"))</f>
        <v/>
      </c>
      <c r="Y289" s="7" t="str">
        <f>IF(ISBLANK(patch[[#This Row],[project]]), "",COUNTIFS($A:$A,patch[[#This Row],[number]],$S:$S, "SH And dev",$AC:$AC, "Review-1"))</f>
        <v/>
      </c>
      <c r="Z289" s="7" t="str">
        <f>IF(ISBLANK(patch[[#This Row],[project]]), "",COUNTIFS($A:$A,patch[[#This Row],[number]],$S:$S, "BJ And dev",$AD:$AD, "&lt;&gt;IntegratorValidationComment"))</f>
        <v/>
      </c>
      <c r="AA289" s="7" t="str">
        <f>IF(ISBLANK(patch[[#This Row],[project]]), "",COUNTIFS($A:$A,patch[[#This Row],[number]],$S:$S, "FL And dev",$AD:$AD, "&lt;&gt;IntegratorValidationComment"))</f>
        <v/>
      </c>
      <c r="AB289" s="7" t="str">
        <f>IF(ISBLANK(patch[[#This Row],[project]]), "",COUNTIFS($A:$A,patch[[#This Row],[number]],$S:$S, "SH And dev",$AD:$AD, "&lt;&gt;IntegratorValidationComment"))</f>
        <v/>
      </c>
      <c r="AC289" s="7" t="str">
        <f>IF(OR(ISNUMBER(FIND("Review-1", patch[[#This Row],[comments]])), ISNUMBER(FIND("Approver-1", patch[[#This Row],[comments]]))), "Review-1", "")</f>
        <v/>
      </c>
      <c r="AD2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9" s="7">
        <f>IF(ISBLANK(patch[[#This Row],[number]]),AE288,patch[[#This Row],[ifCommon]])</f>
        <v>0</v>
      </c>
    </row>
    <row r="290" spans="1:31">
      <c r="A290" s="151">
        <v>147387</v>
      </c>
      <c r="B290" s="151"/>
      <c r="C290" s="151"/>
      <c r="D290" s="151"/>
      <c r="E290" s="151"/>
      <c r="F290" s="151"/>
      <c r="G290" s="151"/>
      <c r="H290" s="151"/>
      <c r="I290" s="151"/>
      <c r="J290" s="152">
        <v>42640.690613425933</v>
      </c>
      <c r="K290" s="151"/>
      <c r="L290" s="151" t="s">
        <v>59</v>
      </c>
      <c r="M290" s="152">
        <v>42639.453194444453</v>
      </c>
      <c r="N290" s="151" t="s">
        <v>2735</v>
      </c>
      <c r="O290" s="151"/>
      <c r="P290" s="151"/>
      <c r="Q290" s="7" t="str">
        <f>IF(ISBLANK(patch[[#This Row],[OwnerEmail]]),Q289,patch[[#This Row],[OwnerEmail]])</f>
        <v>xiaozhou.liu@intel.com</v>
      </c>
      <c r="R290" s="7" t="str">
        <f>_xlfn.IFNA(VLOOKUP(patch[[#This Row],[tmp-owner.email]],OrgTree!$A:$K, 11, 0), "not ICG SWFW")</f>
        <v>BJ And dev</v>
      </c>
      <c r="S290" s="7" t="str">
        <f>IF(patch[[#This Row],[reviewer]]=patch[[#This Row],[tmp-owner.email]], "author", _xlfn.IFNA(VLOOKUP(patch[[#This Row],[reviewer]],OrgTree!$A:$K, 11, 0), "not ICG SWFW"))</f>
        <v>author</v>
      </c>
      <c r="T290" s="7" t="str">
        <f>IF(ISBLANK(patch[[#This Row],[mergeDate]]), "", MID(YEAR(patch[[#This Row],[mergeDate]]), 3,2)&amp;"'ww"&amp;WEEKNUM(patch[[#This Row],[mergeDate]]))</f>
        <v>16'ww40</v>
      </c>
      <c r="U290" s="7" t="str">
        <f>IF(ISBLANK(patch[[#This Row],[mergeDate]]), U289, MID(YEAR(patch[[#This Row],[mergeDate]]), 3,2)&amp;"'m"&amp;MONTH(patch[[#This Row],[mergeDate]]))</f>
        <v>16'm9</v>
      </c>
      <c r="V290" s="7" t="str">
        <f>IF(ISBLANK(patch[[#This Row],[project]]), "",SUM(patch[[#This Row],[BJ -1 num]:[SH -1 num]]))</f>
        <v/>
      </c>
      <c r="W290" s="7" t="str">
        <f>IF(ISBLANK(patch[[#This Row],[project]]), "",COUNTIFS($A:$A,patch[[#This Row],[number]],$S:$S, "BJ And dev",$AC:$AC, "Review-1"))</f>
        <v/>
      </c>
      <c r="X290" s="7" t="str">
        <f>IF(ISBLANK(patch[[#This Row],[project]]), "",COUNTIFS($A:$A,patch[[#This Row],[number]],$S:$S, "FL And dev",$AC:$AC, "Review-1"))</f>
        <v/>
      </c>
      <c r="Y290" s="7" t="str">
        <f>IF(ISBLANK(patch[[#This Row],[project]]), "",COUNTIFS($A:$A,patch[[#This Row],[number]],$S:$S, "SH And dev",$AC:$AC, "Review-1"))</f>
        <v/>
      </c>
      <c r="Z290" s="7" t="str">
        <f>IF(ISBLANK(patch[[#This Row],[project]]), "",COUNTIFS($A:$A,patch[[#This Row],[number]],$S:$S, "BJ And dev",$AD:$AD, "&lt;&gt;IntegratorValidationComment"))</f>
        <v/>
      </c>
      <c r="AA290" s="7" t="str">
        <f>IF(ISBLANK(patch[[#This Row],[project]]), "",COUNTIFS($A:$A,patch[[#This Row],[number]],$S:$S, "FL And dev",$AD:$AD, "&lt;&gt;IntegratorValidationComment"))</f>
        <v/>
      </c>
      <c r="AB290" s="7" t="str">
        <f>IF(ISBLANK(patch[[#This Row],[project]]), "",COUNTIFS($A:$A,patch[[#This Row],[number]],$S:$S, "SH And dev",$AD:$AD, "&lt;&gt;IntegratorValidationComment"))</f>
        <v/>
      </c>
      <c r="AC290" s="7" t="str">
        <f>IF(OR(ISNUMBER(FIND("Review-1", patch[[#This Row],[comments]])), ISNUMBER(FIND("Approver-1", patch[[#This Row],[comments]]))), "Review-1", "")</f>
        <v/>
      </c>
      <c r="AD2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90" s="7">
        <f>IF(ISBLANK(patch[[#This Row],[number]]),AE289,patch[[#This Row],[ifCommon]])</f>
        <v>0</v>
      </c>
    </row>
    <row r="291" spans="1:31">
      <c r="A291" s="151">
        <v>147387</v>
      </c>
      <c r="B291" s="151"/>
      <c r="C291" s="151"/>
      <c r="D291" s="151"/>
      <c r="E291" s="151"/>
      <c r="F291" s="151"/>
      <c r="G291" s="151"/>
      <c r="H291" s="151"/>
      <c r="I291" s="151"/>
      <c r="J291" s="152">
        <v>42640.690613425933</v>
      </c>
      <c r="K291" s="151"/>
      <c r="L291" s="151" t="s">
        <v>59</v>
      </c>
      <c r="M291" s="152">
        <v>42639.45888888889</v>
      </c>
      <c r="N291" s="151" t="s">
        <v>2736</v>
      </c>
      <c r="O291" s="151"/>
      <c r="P291" s="151"/>
      <c r="Q291" s="7" t="str">
        <f>IF(ISBLANK(patch[[#This Row],[OwnerEmail]]),Q290,patch[[#This Row],[OwnerEmail]])</f>
        <v>xiaozhou.liu@intel.com</v>
      </c>
      <c r="R291" s="7" t="str">
        <f>_xlfn.IFNA(VLOOKUP(patch[[#This Row],[tmp-owner.email]],OrgTree!$A:$K, 11, 0), "not ICG SWFW")</f>
        <v>BJ And dev</v>
      </c>
      <c r="S291" s="7" t="str">
        <f>IF(patch[[#This Row],[reviewer]]=patch[[#This Row],[tmp-owner.email]], "author", _xlfn.IFNA(VLOOKUP(patch[[#This Row],[reviewer]],OrgTree!$A:$K, 11, 0), "not ICG SWFW"))</f>
        <v>author</v>
      </c>
      <c r="T291" s="7" t="str">
        <f>IF(ISBLANK(patch[[#This Row],[mergeDate]]), "", MID(YEAR(patch[[#This Row],[mergeDate]]), 3,2)&amp;"'ww"&amp;WEEKNUM(patch[[#This Row],[mergeDate]]))</f>
        <v>16'ww40</v>
      </c>
      <c r="U291" s="7" t="str">
        <f>IF(ISBLANK(patch[[#This Row],[mergeDate]]), U290, MID(YEAR(patch[[#This Row],[mergeDate]]), 3,2)&amp;"'m"&amp;MONTH(patch[[#This Row],[mergeDate]]))</f>
        <v>16'm9</v>
      </c>
      <c r="V291" s="7" t="str">
        <f>IF(ISBLANK(patch[[#This Row],[project]]), "",SUM(patch[[#This Row],[BJ -1 num]:[SH -1 num]]))</f>
        <v/>
      </c>
      <c r="W291" s="7" t="str">
        <f>IF(ISBLANK(patch[[#This Row],[project]]), "",COUNTIFS($A:$A,patch[[#This Row],[number]],$S:$S, "BJ And dev",$AC:$AC, "Review-1"))</f>
        <v/>
      </c>
      <c r="X291" s="7" t="str">
        <f>IF(ISBLANK(patch[[#This Row],[project]]), "",COUNTIFS($A:$A,patch[[#This Row],[number]],$S:$S, "FL And dev",$AC:$AC, "Review-1"))</f>
        <v/>
      </c>
      <c r="Y291" s="7" t="str">
        <f>IF(ISBLANK(patch[[#This Row],[project]]), "",COUNTIFS($A:$A,patch[[#This Row],[number]],$S:$S, "SH And dev",$AC:$AC, "Review-1"))</f>
        <v/>
      </c>
      <c r="Z291" s="7" t="str">
        <f>IF(ISBLANK(patch[[#This Row],[project]]), "",COUNTIFS($A:$A,patch[[#This Row],[number]],$S:$S, "BJ And dev",$AD:$AD, "&lt;&gt;IntegratorValidationComment"))</f>
        <v/>
      </c>
      <c r="AA291" s="7" t="str">
        <f>IF(ISBLANK(patch[[#This Row],[project]]), "",COUNTIFS($A:$A,patch[[#This Row],[number]],$S:$S, "FL And dev",$AD:$AD, "&lt;&gt;IntegratorValidationComment"))</f>
        <v/>
      </c>
      <c r="AB291" s="7" t="str">
        <f>IF(ISBLANK(patch[[#This Row],[project]]), "",COUNTIFS($A:$A,patch[[#This Row],[number]],$S:$S, "SH And dev",$AD:$AD, "&lt;&gt;IntegratorValidationComment"))</f>
        <v/>
      </c>
      <c r="AC291" s="7" t="str">
        <f>IF(OR(ISNUMBER(FIND("Review-1", patch[[#This Row],[comments]])), ISNUMBER(FIND("Approver-1", patch[[#This Row],[comments]]))), "Review-1", "")</f>
        <v/>
      </c>
      <c r="AD2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91" s="7">
        <f>IF(ISBLANK(patch[[#This Row],[number]]),AE290,patch[[#This Row],[ifCommon]])</f>
        <v>0</v>
      </c>
    </row>
    <row r="292" spans="1:31">
      <c r="A292" s="151">
        <v>147387</v>
      </c>
      <c r="B292" s="151"/>
      <c r="C292" s="151"/>
      <c r="D292" s="151"/>
      <c r="E292" s="151"/>
      <c r="F292" s="151"/>
      <c r="G292" s="151"/>
      <c r="H292" s="151"/>
      <c r="I292" s="151"/>
      <c r="J292" s="152">
        <v>42640.690613425933</v>
      </c>
      <c r="K292" s="151"/>
      <c r="L292" s="151" t="s">
        <v>32</v>
      </c>
      <c r="M292" s="152">
        <v>42639.463819444441</v>
      </c>
      <c r="N292" s="151" t="s">
        <v>31</v>
      </c>
      <c r="O292" s="151"/>
      <c r="P292" s="151"/>
      <c r="Q292" s="7" t="str">
        <f>IF(ISBLANK(patch[[#This Row],[OwnerEmail]]),Q291,patch[[#This Row],[OwnerEmail]])</f>
        <v>xiaozhou.liu@intel.com</v>
      </c>
      <c r="R292" s="7" t="str">
        <f>_xlfn.IFNA(VLOOKUP(patch[[#This Row],[tmp-owner.email]],OrgTree!$A:$K, 11, 0), "not ICG SWFW")</f>
        <v>BJ And dev</v>
      </c>
      <c r="S292" s="7" t="str">
        <f>IF(patch[[#This Row],[reviewer]]=patch[[#This Row],[tmp-owner.email]], "author", _xlfn.IFNA(VLOOKUP(patch[[#This Row],[reviewer]],OrgTree!$A:$K, 11, 0), "not ICG SWFW"))</f>
        <v>BJ And dev</v>
      </c>
      <c r="T292" s="7" t="str">
        <f>IF(ISBLANK(patch[[#This Row],[mergeDate]]), "", MID(YEAR(patch[[#This Row],[mergeDate]]), 3,2)&amp;"'ww"&amp;WEEKNUM(patch[[#This Row],[mergeDate]]))</f>
        <v>16'ww40</v>
      </c>
      <c r="U292" s="7" t="str">
        <f>IF(ISBLANK(patch[[#This Row],[mergeDate]]), U291, MID(YEAR(patch[[#This Row],[mergeDate]]), 3,2)&amp;"'m"&amp;MONTH(patch[[#This Row],[mergeDate]]))</f>
        <v>16'm9</v>
      </c>
      <c r="V292" s="7" t="str">
        <f>IF(ISBLANK(patch[[#This Row],[project]]), "",SUM(patch[[#This Row],[BJ -1 num]:[SH -1 num]]))</f>
        <v/>
      </c>
      <c r="W292" s="7" t="str">
        <f>IF(ISBLANK(patch[[#This Row],[project]]), "",COUNTIFS($A:$A,patch[[#This Row],[number]],$S:$S, "BJ And dev",$AC:$AC, "Review-1"))</f>
        <v/>
      </c>
      <c r="X292" s="7" t="str">
        <f>IF(ISBLANK(patch[[#This Row],[project]]), "",COUNTIFS($A:$A,patch[[#This Row],[number]],$S:$S, "FL And dev",$AC:$AC, "Review-1"))</f>
        <v/>
      </c>
      <c r="Y292" s="7" t="str">
        <f>IF(ISBLANK(patch[[#This Row],[project]]), "",COUNTIFS($A:$A,patch[[#This Row],[number]],$S:$S, "SH And dev",$AC:$AC, "Review-1"))</f>
        <v/>
      </c>
      <c r="Z292" s="7" t="str">
        <f>IF(ISBLANK(patch[[#This Row],[project]]), "",COUNTIFS($A:$A,patch[[#This Row],[number]],$S:$S, "BJ And dev",$AD:$AD, "&lt;&gt;IntegratorValidationComment"))</f>
        <v/>
      </c>
      <c r="AA292" s="7" t="str">
        <f>IF(ISBLANK(patch[[#This Row],[project]]), "",COUNTIFS($A:$A,patch[[#This Row],[number]],$S:$S, "FL And dev",$AD:$AD, "&lt;&gt;IntegratorValidationComment"))</f>
        <v/>
      </c>
      <c r="AB292" s="7" t="str">
        <f>IF(ISBLANK(patch[[#This Row],[project]]), "",COUNTIFS($A:$A,patch[[#This Row],[number]],$S:$S, "SH And dev",$AD:$AD, "&lt;&gt;IntegratorValidationComment"))</f>
        <v/>
      </c>
      <c r="AC292" s="7" t="str">
        <f>IF(OR(ISNUMBER(FIND("Review-1", patch[[#This Row],[comments]])), ISNUMBER(FIND("Approver-1", patch[[#This Row],[comments]]))), "Review-1", "")</f>
        <v/>
      </c>
      <c r="AD2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92" s="7">
        <f>IF(ISBLANK(patch[[#This Row],[number]]),AE291,patch[[#This Row],[ifCommon]])</f>
        <v>0</v>
      </c>
    </row>
    <row r="293" spans="1:31">
      <c r="A293" s="151">
        <v>147387</v>
      </c>
      <c r="B293" s="151"/>
      <c r="C293" s="151"/>
      <c r="D293" s="151"/>
      <c r="E293" s="151"/>
      <c r="F293" s="151"/>
      <c r="G293" s="151"/>
      <c r="H293" s="151"/>
      <c r="I293" s="151"/>
      <c r="J293" s="152">
        <v>42640.690613425933</v>
      </c>
      <c r="K293" s="151"/>
      <c r="L293" s="151" t="s">
        <v>24</v>
      </c>
      <c r="M293" s="152">
        <v>42639.480509259258</v>
      </c>
      <c r="N293" s="151" t="s">
        <v>1890</v>
      </c>
      <c r="O293" s="151"/>
      <c r="P293" s="151"/>
      <c r="Q293" s="7" t="str">
        <f>IF(ISBLANK(patch[[#This Row],[OwnerEmail]]),Q292,patch[[#This Row],[OwnerEmail]])</f>
        <v>xiaozhou.liu@intel.com</v>
      </c>
      <c r="R293" s="7" t="str">
        <f>_xlfn.IFNA(VLOOKUP(patch[[#This Row],[tmp-owner.email]],OrgTree!$A:$K, 11, 0), "not ICG SWFW")</f>
        <v>BJ And dev</v>
      </c>
      <c r="S293" s="7" t="str">
        <f>IF(patch[[#This Row],[reviewer]]=patch[[#This Row],[tmp-owner.email]], "author", _xlfn.IFNA(VLOOKUP(patch[[#This Row],[reviewer]],OrgTree!$A:$K, 11, 0), "not ICG SWFW"))</f>
        <v>BJ And dev</v>
      </c>
      <c r="T293" s="7" t="str">
        <f>IF(ISBLANK(patch[[#This Row],[mergeDate]]), "", MID(YEAR(patch[[#This Row],[mergeDate]]), 3,2)&amp;"'ww"&amp;WEEKNUM(patch[[#This Row],[mergeDate]]))</f>
        <v>16'ww40</v>
      </c>
      <c r="U293" s="7" t="str">
        <f>IF(ISBLANK(patch[[#This Row],[mergeDate]]), U292, MID(YEAR(patch[[#This Row],[mergeDate]]), 3,2)&amp;"'m"&amp;MONTH(patch[[#This Row],[mergeDate]]))</f>
        <v>16'm9</v>
      </c>
      <c r="V293" s="7" t="str">
        <f>IF(ISBLANK(patch[[#This Row],[project]]), "",SUM(patch[[#This Row],[BJ -1 num]:[SH -1 num]]))</f>
        <v/>
      </c>
      <c r="W293" s="7" t="str">
        <f>IF(ISBLANK(patch[[#This Row],[project]]), "",COUNTIFS($A:$A,patch[[#This Row],[number]],$S:$S, "BJ And dev",$AC:$AC, "Review-1"))</f>
        <v/>
      </c>
      <c r="X293" s="7" t="str">
        <f>IF(ISBLANK(patch[[#This Row],[project]]), "",COUNTIFS($A:$A,patch[[#This Row],[number]],$S:$S, "FL And dev",$AC:$AC, "Review-1"))</f>
        <v/>
      </c>
      <c r="Y293" s="7" t="str">
        <f>IF(ISBLANK(patch[[#This Row],[project]]), "",COUNTIFS($A:$A,patch[[#This Row],[number]],$S:$S, "SH And dev",$AC:$AC, "Review-1"))</f>
        <v/>
      </c>
      <c r="Z293" s="7" t="str">
        <f>IF(ISBLANK(patch[[#This Row],[project]]), "",COUNTIFS($A:$A,patch[[#This Row],[number]],$S:$S, "BJ And dev",$AD:$AD, "&lt;&gt;IntegratorValidationComment"))</f>
        <v/>
      </c>
      <c r="AA293" s="7" t="str">
        <f>IF(ISBLANK(patch[[#This Row],[project]]), "",COUNTIFS($A:$A,patch[[#This Row],[number]],$S:$S, "FL And dev",$AD:$AD, "&lt;&gt;IntegratorValidationComment"))</f>
        <v/>
      </c>
      <c r="AB293" s="7" t="str">
        <f>IF(ISBLANK(patch[[#This Row],[project]]), "",COUNTIFS($A:$A,patch[[#This Row],[number]],$S:$S, "SH And dev",$AD:$AD, "&lt;&gt;IntegratorValidationComment"))</f>
        <v/>
      </c>
      <c r="AC293" s="7" t="str">
        <f>IF(OR(ISNUMBER(FIND("Review-1", patch[[#This Row],[comments]])), ISNUMBER(FIND("Approver-1", patch[[#This Row],[comments]]))), "Review-1", "")</f>
        <v/>
      </c>
      <c r="AD2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93" s="7">
        <f>IF(ISBLANK(patch[[#This Row],[number]]),AE292,patch[[#This Row],[ifCommon]])</f>
        <v>0</v>
      </c>
    </row>
    <row r="294" spans="1:31">
      <c r="A294" s="151">
        <v>147387</v>
      </c>
      <c r="B294" s="151"/>
      <c r="C294" s="151"/>
      <c r="D294" s="151"/>
      <c r="E294" s="151"/>
      <c r="F294" s="151"/>
      <c r="G294" s="151"/>
      <c r="H294" s="151"/>
      <c r="I294" s="151"/>
      <c r="J294" s="152">
        <v>42640.690613425933</v>
      </c>
      <c r="K294" s="151"/>
      <c r="L294" s="151" t="s">
        <v>115</v>
      </c>
      <c r="M294" s="152">
        <v>42640.483819444453</v>
      </c>
      <c r="N294" s="151" t="s">
        <v>2496</v>
      </c>
      <c r="O294" s="151"/>
      <c r="P294" s="151"/>
      <c r="Q294" s="7" t="str">
        <f>IF(ISBLANK(patch[[#This Row],[OwnerEmail]]),Q293,patch[[#This Row],[OwnerEmail]])</f>
        <v>xiaozhou.liu@intel.com</v>
      </c>
      <c r="R294" s="7" t="str">
        <f>_xlfn.IFNA(VLOOKUP(patch[[#This Row],[tmp-owner.email]],OrgTree!$A:$K, 11, 0), "not ICG SWFW")</f>
        <v>BJ And dev</v>
      </c>
      <c r="S294" s="7" t="str">
        <f>IF(patch[[#This Row],[reviewer]]=patch[[#This Row],[tmp-owner.email]], "author", _xlfn.IFNA(VLOOKUP(patch[[#This Row],[reviewer]],OrgTree!$A:$K, 11, 0), "not ICG SWFW"))</f>
        <v>Val</v>
      </c>
      <c r="T294" s="7" t="str">
        <f>IF(ISBLANK(patch[[#This Row],[mergeDate]]), "", MID(YEAR(patch[[#This Row],[mergeDate]]), 3,2)&amp;"'ww"&amp;WEEKNUM(patch[[#This Row],[mergeDate]]))</f>
        <v>16'ww40</v>
      </c>
      <c r="U294" s="7" t="str">
        <f>IF(ISBLANK(patch[[#This Row],[mergeDate]]), U293, MID(YEAR(patch[[#This Row],[mergeDate]]), 3,2)&amp;"'m"&amp;MONTH(patch[[#This Row],[mergeDate]]))</f>
        <v>16'm9</v>
      </c>
      <c r="V294" s="7" t="str">
        <f>IF(ISBLANK(patch[[#This Row],[project]]), "",SUM(patch[[#This Row],[BJ -1 num]:[SH -1 num]]))</f>
        <v/>
      </c>
      <c r="W294" s="7" t="str">
        <f>IF(ISBLANK(patch[[#This Row],[project]]), "",COUNTIFS($A:$A,patch[[#This Row],[number]],$S:$S, "BJ And dev",$AC:$AC, "Review-1"))</f>
        <v/>
      </c>
      <c r="X294" s="7" t="str">
        <f>IF(ISBLANK(patch[[#This Row],[project]]), "",COUNTIFS($A:$A,patch[[#This Row],[number]],$S:$S, "FL And dev",$AC:$AC, "Review-1"))</f>
        <v/>
      </c>
      <c r="Y294" s="7" t="str">
        <f>IF(ISBLANK(patch[[#This Row],[project]]), "",COUNTIFS($A:$A,patch[[#This Row],[number]],$S:$S, "SH And dev",$AC:$AC, "Review-1"))</f>
        <v/>
      </c>
      <c r="Z294" s="7" t="str">
        <f>IF(ISBLANK(patch[[#This Row],[project]]), "",COUNTIFS($A:$A,patch[[#This Row],[number]],$S:$S, "BJ And dev",$AD:$AD, "&lt;&gt;IntegratorValidationComment"))</f>
        <v/>
      </c>
      <c r="AA294" s="7" t="str">
        <f>IF(ISBLANK(patch[[#This Row],[project]]), "",COUNTIFS($A:$A,patch[[#This Row],[number]],$S:$S, "FL And dev",$AD:$AD, "&lt;&gt;IntegratorValidationComment"))</f>
        <v/>
      </c>
      <c r="AB294" s="7" t="str">
        <f>IF(ISBLANK(patch[[#This Row],[project]]), "",COUNTIFS($A:$A,patch[[#This Row],[number]],$S:$S, "SH And dev",$AD:$AD, "&lt;&gt;IntegratorValidationComment"))</f>
        <v/>
      </c>
      <c r="AC294" s="7" t="str">
        <f>IF(OR(ISNUMBER(FIND("Review-1", patch[[#This Row],[comments]])), ISNUMBER(FIND("Approver-1", patch[[#This Row],[comments]]))), "Review-1", "")</f>
        <v/>
      </c>
      <c r="AD2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94" s="7">
        <f>IF(ISBLANK(patch[[#This Row],[number]]),AE293,patch[[#This Row],[ifCommon]])</f>
        <v>0</v>
      </c>
    </row>
    <row r="295" spans="1:31">
      <c r="A295" s="151">
        <v>148185</v>
      </c>
      <c r="B295" s="151" t="s">
        <v>2490</v>
      </c>
      <c r="C295" s="151" t="s">
        <v>2491</v>
      </c>
      <c r="D295" s="151" t="s">
        <v>2737</v>
      </c>
      <c r="E295" s="151" t="s">
        <v>61</v>
      </c>
      <c r="F295" s="151" t="s">
        <v>23</v>
      </c>
      <c r="G295" s="151" t="s">
        <v>2738</v>
      </c>
      <c r="H295" s="151" t="s">
        <v>2739</v>
      </c>
      <c r="I295" s="152">
        <v>42639.78833333333</v>
      </c>
      <c r="J295" s="152">
        <v>42640.690578703703</v>
      </c>
      <c r="K295" s="151" t="s">
        <v>2445</v>
      </c>
      <c r="L295" s="151" t="s">
        <v>61</v>
      </c>
      <c r="M295" s="152">
        <v>42639.78833333333</v>
      </c>
      <c r="N295" s="151" t="s">
        <v>25</v>
      </c>
      <c r="O295" s="151"/>
      <c r="P295" s="151" t="s">
        <v>2554</v>
      </c>
      <c r="Q295" s="7" t="str">
        <f>IF(ISBLANK(patch[[#This Row],[OwnerEmail]]),Q294,patch[[#This Row],[OwnerEmail]])</f>
        <v>john.mathew@intel.com</v>
      </c>
      <c r="R295" s="7" t="str">
        <f>_xlfn.IFNA(VLOOKUP(patch[[#This Row],[tmp-owner.email]],OrgTree!$A:$K, 11, 0), "not ICG SWFW")</f>
        <v>FL And dev</v>
      </c>
      <c r="S295" s="7" t="str">
        <f>IF(patch[[#This Row],[reviewer]]=patch[[#This Row],[tmp-owner.email]], "author", _xlfn.IFNA(VLOOKUP(patch[[#This Row],[reviewer]],OrgTree!$A:$K, 11, 0), "not ICG SWFW"))</f>
        <v>author</v>
      </c>
      <c r="T295" s="7" t="str">
        <f>IF(ISBLANK(patch[[#This Row],[mergeDate]]), "", MID(YEAR(patch[[#This Row],[mergeDate]]), 3,2)&amp;"'ww"&amp;WEEKNUM(patch[[#This Row],[mergeDate]]))</f>
        <v>16'ww40</v>
      </c>
      <c r="U295" s="7" t="str">
        <f>IF(ISBLANK(patch[[#This Row],[mergeDate]]), U294, MID(YEAR(patch[[#This Row],[mergeDate]]), 3,2)&amp;"'m"&amp;MONTH(patch[[#This Row],[mergeDate]]))</f>
        <v>16'm9</v>
      </c>
      <c r="V295" s="7">
        <f>IF(ISBLANK(patch[[#This Row],[project]]), "",SUM(patch[[#This Row],[BJ -1 num]:[SH -1 num]]))</f>
        <v>0</v>
      </c>
      <c r="W295" s="7">
        <f>IF(ISBLANK(patch[[#This Row],[project]]), "",COUNTIFS($A:$A,patch[[#This Row],[number]],$S:$S, "BJ And dev",$AC:$AC, "Review-1"))</f>
        <v>0</v>
      </c>
      <c r="X295" s="7">
        <f>IF(ISBLANK(patch[[#This Row],[project]]), "",COUNTIFS($A:$A,patch[[#This Row],[number]],$S:$S, "FL And dev",$AC:$AC, "Review-1"))</f>
        <v>0</v>
      </c>
      <c r="Y295" s="7">
        <f>IF(ISBLANK(patch[[#This Row],[project]]), "",COUNTIFS($A:$A,patch[[#This Row],[number]],$S:$S, "SH And dev",$AC:$AC, "Review-1"))</f>
        <v>0</v>
      </c>
      <c r="Z295" s="7">
        <f>IF(ISBLANK(patch[[#This Row],[project]]), "",COUNTIFS($A:$A,patch[[#This Row],[number]],$S:$S, "BJ And dev",$AD:$AD, "&lt;&gt;IntegratorValidationComment"))</f>
        <v>4</v>
      </c>
      <c r="AA295" s="7">
        <f>IF(ISBLANK(patch[[#This Row],[project]]), "",COUNTIFS($A:$A,patch[[#This Row],[number]],$S:$S, "FL And dev",$AD:$AD, "&lt;&gt;IntegratorValidationComment"))</f>
        <v>0</v>
      </c>
      <c r="AB295" s="7">
        <f>IF(ISBLANK(patch[[#This Row],[project]]), "",COUNTIFS($A:$A,patch[[#This Row],[number]],$S:$S, "SH And dev",$AD:$AD, "&lt;&gt;IntegratorValidationComment"))</f>
        <v>0</v>
      </c>
      <c r="AC295" s="7" t="str">
        <f>IF(OR(ISNUMBER(FIND("Review-1", patch[[#This Row],[comments]])), ISNUMBER(FIND("Approver-1", patch[[#This Row],[comments]]))), "Review-1", "")</f>
        <v/>
      </c>
      <c r="AD2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95" s="7" t="str">
        <f>IF(ISBLANK(patch[[#This Row],[number]]),AE294,patch[[#This Row],[ifCommon]])</f>
        <v>not AndrHAL</v>
      </c>
    </row>
    <row r="296" spans="1:31">
      <c r="A296" s="151">
        <v>148185</v>
      </c>
      <c r="B296" s="151"/>
      <c r="C296" s="151"/>
      <c r="D296" s="151"/>
      <c r="E296" s="151"/>
      <c r="F296" s="151"/>
      <c r="G296" s="151"/>
      <c r="H296" s="151"/>
      <c r="I296" s="151"/>
      <c r="J296" s="152">
        <v>42640.690578703703</v>
      </c>
      <c r="K296" s="151"/>
      <c r="L296" s="151" t="s">
        <v>61</v>
      </c>
      <c r="M296" s="152">
        <v>42639.78833333333</v>
      </c>
      <c r="N296" s="151" t="s">
        <v>2428</v>
      </c>
      <c r="O296" s="151"/>
      <c r="P296" s="151"/>
      <c r="Q296" s="7" t="str">
        <f>IF(ISBLANK(patch[[#This Row],[OwnerEmail]]),Q295,patch[[#This Row],[OwnerEmail]])</f>
        <v>john.mathew@intel.com</v>
      </c>
      <c r="R296" s="7" t="str">
        <f>_xlfn.IFNA(VLOOKUP(patch[[#This Row],[tmp-owner.email]],OrgTree!$A:$K, 11, 0), "not ICG SWFW")</f>
        <v>FL And dev</v>
      </c>
      <c r="S296" s="7" t="str">
        <f>IF(patch[[#This Row],[reviewer]]=patch[[#This Row],[tmp-owner.email]], "author", _xlfn.IFNA(VLOOKUP(patch[[#This Row],[reviewer]],OrgTree!$A:$K, 11, 0), "not ICG SWFW"))</f>
        <v>author</v>
      </c>
      <c r="T296" s="7" t="str">
        <f>IF(ISBLANK(patch[[#This Row],[mergeDate]]), "", MID(YEAR(patch[[#This Row],[mergeDate]]), 3,2)&amp;"'ww"&amp;WEEKNUM(patch[[#This Row],[mergeDate]]))</f>
        <v>16'ww40</v>
      </c>
      <c r="U296" s="7" t="str">
        <f>IF(ISBLANK(patch[[#This Row],[mergeDate]]), U295, MID(YEAR(patch[[#This Row],[mergeDate]]), 3,2)&amp;"'m"&amp;MONTH(patch[[#This Row],[mergeDate]]))</f>
        <v>16'm9</v>
      </c>
      <c r="V296" s="7" t="str">
        <f>IF(ISBLANK(patch[[#This Row],[project]]), "",SUM(patch[[#This Row],[BJ -1 num]:[SH -1 num]]))</f>
        <v/>
      </c>
      <c r="W296" s="7" t="str">
        <f>IF(ISBLANK(patch[[#This Row],[project]]), "",COUNTIFS($A:$A,patch[[#This Row],[number]],$S:$S, "BJ And dev",$AC:$AC, "Review-1"))</f>
        <v/>
      </c>
      <c r="X296" s="7" t="str">
        <f>IF(ISBLANK(patch[[#This Row],[project]]), "",COUNTIFS($A:$A,patch[[#This Row],[number]],$S:$S, "FL And dev",$AC:$AC, "Review-1"))</f>
        <v/>
      </c>
      <c r="Y296" s="7" t="str">
        <f>IF(ISBLANK(patch[[#This Row],[project]]), "",COUNTIFS($A:$A,patch[[#This Row],[number]],$S:$S, "SH And dev",$AC:$AC, "Review-1"))</f>
        <v/>
      </c>
      <c r="Z296" s="7" t="str">
        <f>IF(ISBLANK(patch[[#This Row],[project]]), "",COUNTIFS($A:$A,patch[[#This Row],[number]],$S:$S, "BJ And dev",$AD:$AD, "&lt;&gt;IntegratorValidationComment"))</f>
        <v/>
      </c>
      <c r="AA296" s="7" t="str">
        <f>IF(ISBLANK(patch[[#This Row],[project]]), "",COUNTIFS($A:$A,patch[[#This Row],[number]],$S:$S, "FL And dev",$AD:$AD, "&lt;&gt;IntegratorValidationComment"))</f>
        <v/>
      </c>
      <c r="AB296" s="7" t="str">
        <f>IF(ISBLANK(patch[[#This Row],[project]]), "",COUNTIFS($A:$A,patch[[#This Row],[number]],$S:$S, "SH And dev",$AD:$AD, "&lt;&gt;IntegratorValidationComment"))</f>
        <v/>
      </c>
      <c r="AC296" s="7" t="str">
        <f>IF(OR(ISNUMBER(FIND("Review-1", patch[[#This Row],[comments]])), ISNUMBER(FIND("Approver-1", patch[[#This Row],[comments]]))), "Review-1", "")</f>
        <v/>
      </c>
      <c r="AD2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96" s="7">
        <f>IF(ISBLANK(patch[[#This Row],[number]]),AE295,patch[[#This Row],[ifCommon]])</f>
        <v>0</v>
      </c>
    </row>
    <row r="297" spans="1:31">
      <c r="A297" s="151">
        <v>148185</v>
      </c>
      <c r="B297" s="151"/>
      <c r="C297" s="151"/>
      <c r="D297" s="151"/>
      <c r="E297" s="151"/>
      <c r="F297" s="151"/>
      <c r="G297" s="151"/>
      <c r="H297" s="151"/>
      <c r="I297" s="151"/>
      <c r="J297" s="152">
        <v>42640.690578703703</v>
      </c>
      <c r="K297" s="151"/>
      <c r="L297" s="151" t="s">
        <v>61</v>
      </c>
      <c r="M297" s="152">
        <v>42639.788553240738</v>
      </c>
      <c r="N297" s="151" t="s">
        <v>40</v>
      </c>
      <c r="O297" s="151"/>
      <c r="P297" s="151"/>
      <c r="Q297" s="7" t="str">
        <f>IF(ISBLANK(patch[[#This Row],[OwnerEmail]]),Q296,patch[[#This Row],[OwnerEmail]])</f>
        <v>john.mathew@intel.com</v>
      </c>
      <c r="R297" s="7" t="str">
        <f>_xlfn.IFNA(VLOOKUP(patch[[#This Row],[tmp-owner.email]],OrgTree!$A:$K, 11, 0), "not ICG SWFW")</f>
        <v>FL And dev</v>
      </c>
      <c r="S297" s="7" t="str">
        <f>IF(patch[[#This Row],[reviewer]]=patch[[#This Row],[tmp-owner.email]], "author", _xlfn.IFNA(VLOOKUP(patch[[#This Row],[reviewer]],OrgTree!$A:$K, 11, 0), "not ICG SWFW"))</f>
        <v>author</v>
      </c>
      <c r="T297" s="7" t="str">
        <f>IF(ISBLANK(patch[[#This Row],[mergeDate]]), "", MID(YEAR(patch[[#This Row],[mergeDate]]), 3,2)&amp;"'ww"&amp;WEEKNUM(patch[[#This Row],[mergeDate]]))</f>
        <v>16'ww40</v>
      </c>
      <c r="U297" s="7" t="str">
        <f>IF(ISBLANK(patch[[#This Row],[mergeDate]]), U296, MID(YEAR(patch[[#This Row],[mergeDate]]), 3,2)&amp;"'m"&amp;MONTH(patch[[#This Row],[mergeDate]]))</f>
        <v>16'm9</v>
      </c>
      <c r="V297" s="7" t="str">
        <f>IF(ISBLANK(patch[[#This Row],[project]]), "",SUM(patch[[#This Row],[BJ -1 num]:[SH -1 num]]))</f>
        <v/>
      </c>
      <c r="W297" s="7" t="str">
        <f>IF(ISBLANK(patch[[#This Row],[project]]), "",COUNTIFS($A:$A,patch[[#This Row],[number]],$S:$S, "BJ And dev",$AC:$AC, "Review-1"))</f>
        <v/>
      </c>
      <c r="X297" s="7" t="str">
        <f>IF(ISBLANK(patch[[#This Row],[project]]), "",COUNTIFS($A:$A,patch[[#This Row],[number]],$S:$S, "FL And dev",$AC:$AC, "Review-1"))</f>
        <v/>
      </c>
      <c r="Y297" s="7" t="str">
        <f>IF(ISBLANK(patch[[#This Row],[project]]), "",COUNTIFS($A:$A,patch[[#This Row],[number]],$S:$S, "SH And dev",$AC:$AC, "Review-1"))</f>
        <v/>
      </c>
      <c r="Z297" s="7" t="str">
        <f>IF(ISBLANK(patch[[#This Row],[project]]), "",COUNTIFS($A:$A,patch[[#This Row],[number]],$S:$S, "BJ And dev",$AD:$AD, "&lt;&gt;IntegratorValidationComment"))</f>
        <v/>
      </c>
      <c r="AA297" s="7" t="str">
        <f>IF(ISBLANK(patch[[#This Row],[project]]), "",COUNTIFS($A:$A,patch[[#This Row],[number]],$S:$S, "FL And dev",$AD:$AD, "&lt;&gt;IntegratorValidationComment"))</f>
        <v/>
      </c>
      <c r="AB297" s="7" t="str">
        <f>IF(ISBLANK(patch[[#This Row],[project]]), "",COUNTIFS($A:$A,patch[[#This Row],[number]],$S:$S, "SH And dev",$AD:$AD, "&lt;&gt;IntegratorValidationComment"))</f>
        <v/>
      </c>
      <c r="AC297" s="7" t="str">
        <f>IF(OR(ISNUMBER(FIND("Review-1", patch[[#This Row],[comments]])), ISNUMBER(FIND("Approver-1", patch[[#This Row],[comments]]))), "Review-1", "")</f>
        <v/>
      </c>
      <c r="AD2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97" s="7">
        <f>IF(ISBLANK(patch[[#This Row],[number]]),AE296,patch[[#This Row],[ifCommon]])</f>
        <v>0</v>
      </c>
    </row>
    <row r="298" spans="1:31">
      <c r="A298" s="151">
        <v>148185</v>
      </c>
      <c r="B298" s="151"/>
      <c r="C298" s="151"/>
      <c r="D298" s="151"/>
      <c r="E298" s="151"/>
      <c r="F298" s="151"/>
      <c r="G298" s="151"/>
      <c r="H298" s="151"/>
      <c r="I298" s="151"/>
      <c r="J298" s="152">
        <v>42640.690578703703</v>
      </c>
      <c r="K298" s="151"/>
      <c r="L298" s="151" t="s">
        <v>59</v>
      </c>
      <c r="M298" s="152">
        <v>42639.793506944443</v>
      </c>
      <c r="N298" s="151" t="s">
        <v>2740</v>
      </c>
      <c r="O298" s="151"/>
      <c r="P298" s="151"/>
      <c r="Q298" s="7" t="str">
        <f>IF(ISBLANK(patch[[#This Row],[OwnerEmail]]),Q297,patch[[#This Row],[OwnerEmail]])</f>
        <v>john.mathew@intel.com</v>
      </c>
      <c r="R298" s="7" t="str">
        <f>_xlfn.IFNA(VLOOKUP(patch[[#This Row],[tmp-owner.email]],OrgTree!$A:$K, 11, 0), "not ICG SWFW")</f>
        <v>FL And dev</v>
      </c>
      <c r="S298" s="7" t="str">
        <f>IF(patch[[#This Row],[reviewer]]=patch[[#This Row],[tmp-owner.email]], "author", _xlfn.IFNA(VLOOKUP(patch[[#This Row],[reviewer]],OrgTree!$A:$K, 11, 0), "not ICG SWFW"))</f>
        <v>BJ And dev</v>
      </c>
      <c r="T298" s="7" t="str">
        <f>IF(ISBLANK(patch[[#This Row],[mergeDate]]), "", MID(YEAR(patch[[#This Row],[mergeDate]]), 3,2)&amp;"'ww"&amp;WEEKNUM(patch[[#This Row],[mergeDate]]))</f>
        <v>16'ww40</v>
      </c>
      <c r="U298" s="7" t="str">
        <f>IF(ISBLANK(patch[[#This Row],[mergeDate]]), U297, MID(YEAR(patch[[#This Row],[mergeDate]]), 3,2)&amp;"'m"&amp;MONTH(patch[[#This Row],[mergeDate]]))</f>
        <v>16'm9</v>
      </c>
      <c r="V298" s="7" t="str">
        <f>IF(ISBLANK(patch[[#This Row],[project]]), "",SUM(patch[[#This Row],[BJ -1 num]:[SH -1 num]]))</f>
        <v/>
      </c>
      <c r="W298" s="7" t="str">
        <f>IF(ISBLANK(patch[[#This Row],[project]]), "",COUNTIFS($A:$A,patch[[#This Row],[number]],$S:$S, "BJ And dev",$AC:$AC, "Review-1"))</f>
        <v/>
      </c>
      <c r="X298" s="7" t="str">
        <f>IF(ISBLANK(patch[[#This Row],[project]]), "",COUNTIFS($A:$A,patch[[#This Row],[number]],$S:$S, "FL And dev",$AC:$AC, "Review-1"))</f>
        <v/>
      </c>
      <c r="Y298" s="7" t="str">
        <f>IF(ISBLANK(patch[[#This Row],[project]]), "",COUNTIFS($A:$A,patch[[#This Row],[number]],$S:$S, "SH And dev",$AC:$AC, "Review-1"))</f>
        <v/>
      </c>
      <c r="Z298" s="7" t="str">
        <f>IF(ISBLANK(patch[[#This Row],[project]]), "",COUNTIFS($A:$A,patch[[#This Row],[number]],$S:$S, "BJ And dev",$AD:$AD, "&lt;&gt;IntegratorValidationComment"))</f>
        <v/>
      </c>
      <c r="AA298" s="7" t="str">
        <f>IF(ISBLANK(patch[[#This Row],[project]]), "",COUNTIFS($A:$A,patch[[#This Row],[number]],$S:$S, "FL And dev",$AD:$AD, "&lt;&gt;IntegratorValidationComment"))</f>
        <v/>
      </c>
      <c r="AB298" s="7" t="str">
        <f>IF(ISBLANK(patch[[#This Row],[project]]), "",COUNTIFS($A:$A,patch[[#This Row],[number]],$S:$S, "SH And dev",$AD:$AD, "&lt;&gt;IntegratorValidationComment"))</f>
        <v/>
      </c>
      <c r="AC298" s="7" t="str">
        <f>IF(OR(ISNUMBER(FIND("Review-1", patch[[#This Row],[comments]])), ISNUMBER(FIND("Approver-1", patch[[#This Row],[comments]]))), "Review-1", "")</f>
        <v/>
      </c>
      <c r="AD2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98" s="7">
        <f>IF(ISBLANK(patch[[#This Row],[number]]),AE297,patch[[#This Row],[ifCommon]])</f>
        <v>0</v>
      </c>
    </row>
    <row r="299" spans="1:31">
      <c r="A299" s="151">
        <v>148185</v>
      </c>
      <c r="B299" s="151"/>
      <c r="C299" s="151"/>
      <c r="D299" s="151"/>
      <c r="E299" s="151"/>
      <c r="F299" s="151"/>
      <c r="G299" s="151"/>
      <c r="H299" s="151"/>
      <c r="I299" s="151"/>
      <c r="J299" s="152">
        <v>42640.690578703703</v>
      </c>
      <c r="K299" s="151"/>
      <c r="L299" s="151" t="s">
        <v>59</v>
      </c>
      <c r="M299" s="152">
        <v>42639.796712962961</v>
      </c>
      <c r="N299" s="151" t="s">
        <v>2741</v>
      </c>
      <c r="O299" s="151"/>
      <c r="P299" s="151"/>
      <c r="Q299" s="7" t="str">
        <f>IF(ISBLANK(patch[[#This Row],[OwnerEmail]]),Q298,patch[[#This Row],[OwnerEmail]])</f>
        <v>john.mathew@intel.com</v>
      </c>
      <c r="R299" s="7" t="str">
        <f>_xlfn.IFNA(VLOOKUP(patch[[#This Row],[tmp-owner.email]],OrgTree!$A:$K, 11, 0), "not ICG SWFW")</f>
        <v>FL And dev</v>
      </c>
      <c r="S299" s="7" t="str">
        <f>IF(patch[[#This Row],[reviewer]]=patch[[#This Row],[tmp-owner.email]], "author", _xlfn.IFNA(VLOOKUP(patch[[#This Row],[reviewer]],OrgTree!$A:$K, 11, 0), "not ICG SWFW"))</f>
        <v>BJ And dev</v>
      </c>
      <c r="T299" s="7" t="str">
        <f>IF(ISBLANK(patch[[#This Row],[mergeDate]]), "", MID(YEAR(patch[[#This Row],[mergeDate]]), 3,2)&amp;"'ww"&amp;WEEKNUM(patch[[#This Row],[mergeDate]]))</f>
        <v>16'ww40</v>
      </c>
      <c r="U299" s="7" t="str">
        <f>IF(ISBLANK(patch[[#This Row],[mergeDate]]), U298, MID(YEAR(patch[[#This Row],[mergeDate]]), 3,2)&amp;"'m"&amp;MONTH(patch[[#This Row],[mergeDate]]))</f>
        <v>16'm9</v>
      </c>
      <c r="V299" s="7" t="str">
        <f>IF(ISBLANK(patch[[#This Row],[project]]), "",SUM(patch[[#This Row],[BJ -1 num]:[SH -1 num]]))</f>
        <v/>
      </c>
      <c r="W299" s="7" t="str">
        <f>IF(ISBLANK(patch[[#This Row],[project]]), "",COUNTIFS($A:$A,patch[[#This Row],[number]],$S:$S, "BJ And dev",$AC:$AC, "Review-1"))</f>
        <v/>
      </c>
      <c r="X299" s="7" t="str">
        <f>IF(ISBLANK(patch[[#This Row],[project]]), "",COUNTIFS($A:$A,patch[[#This Row],[number]],$S:$S, "FL And dev",$AC:$AC, "Review-1"))</f>
        <v/>
      </c>
      <c r="Y299" s="7" t="str">
        <f>IF(ISBLANK(patch[[#This Row],[project]]), "",COUNTIFS($A:$A,patch[[#This Row],[number]],$S:$S, "SH And dev",$AC:$AC, "Review-1"))</f>
        <v/>
      </c>
      <c r="Z299" s="7" t="str">
        <f>IF(ISBLANK(patch[[#This Row],[project]]), "",COUNTIFS($A:$A,patch[[#This Row],[number]],$S:$S, "BJ And dev",$AD:$AD, "&lt;&gt;IntegratorValidationComment"))</f>
        <v/>
      </c>
      <c r="AA299" s="7" t="str">
        <f>IF(ISBLANK(patch[[#This Row],[project]]), "",COUNTIFS($A:$A,patch[[#This Row],[number]],$S:$S, "FL And dev",$AD:$AD, "&lt;&gt;IntegratorValidationComment"))</f>
        <v/>
      </c>
      <c r="AB299" s="7" t="str">
        <f>IF(ISBLANK(patch[[#This Row],[project]]), "",COUNTIFS($A:$A,patch[[#This Row],[number]],$S:$S, "SH And dev",$AD:$AD, "&lt;&gt;IntegratorValidationComment"))</f>
        <v/>
      </c>
      <c r="AC299" s="7" t="str">
        <f>IF(OR(ISNUMBER(FIND("Review-1", patch[[#This Row],[comments]])), ISNUMBER(FIND("Approver-1", patch[[#This Row],[comments]]))), "Review-1", "")</f>
        <v/>
      </c>
      <c r="AD2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99" s="7">
        <f>IF(ISBLANK(patch[[#This Row],[number]]),AE298,patch[[#This Row],[ifCommon]])</f>
        <v>0</v>
      </c>
    </row>
    <row r="300" spans="1:31">
      <c r="A300" s="151">
        <v>148185</v>
      </c>
      <c r="B300" s="151"/>
      <c r="C300" s="151"/>
      <c r="D300" s="151"/>
      <c r="E300" s="151"/>
      <c r="F300" s="151"/>
      <c r="G300" s="151"/>
      <c r="H300" s="151"/>
      <c r="I300" s="151"/>
      <c r="J300" s="152">
        <v>42640.690578703703</v>
      </c>
      <c r="K300" s="151"/>
      <c r="L300" s="151" t="s">
        <v>32</v>
      </c>
      <c r="M300" s="152">
        <v>42640.430995370371</v>
      </c>
      <c r="N300" s="151" t="s">
        <v>40</v>
      </c>
      <c r="O300" s="151"/>
      <c r="P300" s="151"/>
      <c r="Q300" s="7" t="str">
        <f>IF(ISBLANK(patch[[#This Row],[OwnerEmail]]),Q299,patch[[#This Row],[OwnerEmail]])</f>
        <v>john.mathew@intel.com</v>
      </c>
      <c r="R300" s="7" t="str">
        <f>_xlfn.IFNA(VLOOKUP(patch[[#This Row],[tmp-owner.email]],OrgTree!$A:$K, 11, 0), "not ICG SWFW")</f>
        <v>FL And dev</v>
      </c>
      <c r="S300" s="7" t="str">
        <f>IF(patch[[#This Row],[reviewer]]=patch[[#This Row],[tmp-owner.email]], "author", _xlfn.IFNA(VLOOKUP(patch[[#This Row],[reviewer]],OrgTree!$A:$K, 11, 0), "not ICG SWFW"))</f>
        <v>BJ And dev</v>
      </c>
      <c r="T300" s="7" t="str">
        <f>IF(ISBLANK(patch[[#This Row],[mergeDate]]), "", MID(YEAR(patch[[#This Row],[mergeDate]]), 3,2)&amp;"'ww"&amp;WEEKNUM(patch[[#This Row],[mergeDate]]))</f>
        <v>16'ww40</v>
      </c>
      <c r="U300" s="7" t="str">
        <f>IF(ISBLANK(patch[[#This Row],[mergeDate]]), U299, MID(YEAR(patch[[#This Row],[mergeDate]]), 3,2)&amp;"'m"&amp;MONTH(patch[[#This Row],[mergeDate]]))</f>
        <v>16'm9</v>
      </c>
      <c r="V300" s="7" t="str">
        <f>IF(ISBLANK(patch[[#This Row],[project]]), "",SUM(patch[[#This Row],[BJ -1 num]:[SH -1 num]]))</f>
        <v/>
      </c>
      <c r="W300" s="7" t="str">
        <f>IF(ISBLANK(patch[[#This Row],[project]]), "",COUNTIFS($A:$A,patch[[#This Row],[number]],$S:$S, "BJ And dev",$AC:$AC, "Review-1"))</f>
        <v/>
      </c>
      <c r="X300" s="7" t="str">
        <f>IF(ISBLANK(patch[[#This Row],[project]]), "",COUNTIFS($A:$A,patch[[#This Row],[number]],$S:$S, "FL And dev",$AC:$AC, "Review-1"))</f>
        <v/>
      </c>
      <c r="Y300" s="7" t="str">
        <f>IF(ISBLANK(patch[[#This Row],[project]]), "",COUNTIFS($A:$A,patch[[#This Row],[number]],$S:$S, "SH And dev",$AC:$AC, "Review-1"))</f>
        <v/>
      </c>
      <c r="Z300" s="7" t="str">
        <f>IF(ISBLANK(patch[[#This Row],[project]]), "",COUNTIFS($A:$A,patch[[#This Row],[number]],$S:$S, "BJ And dev",$AD:$AD, "&lt;&gt;IntegratorValidationComment"))</f>
        <v/>
      </c>
      <c r="AA300" s="7" t="str">
        <f>IF(ISBLANK(patch[[#This Row],[project]]), "",COUNTIFS($A:$A,patch[[#This Row],[number]],$S:$S, "FL And dev",$AD:$AD, "&lt;&gt;IntegratorValidationComment"))</f>
        <v/>
      </c>
      <c r="AB300" s="7" t="str">
        <f>IF(ISBLANK(patch[[#This Row],[project]]), "",COUNTIFS($A:$A,patch[[#This Row],[number]],$S:$S, "SH And dev",$AD:$AD, "&lt;&gt;IntegratorValidationComment"))</f>
        <v/>
      </c>
      <c r="AC300" s="7" t="str">
        <f>IF(OR(ISNUMBER(FIND("Review-1", patch[[#This Row],[comments]])), ISNUMBER(FIND("Approver-1", patch[[#This Row],[comments]]))), "Review-1", "")</f>
        <v/>
      </c>
      <c r="AD3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00" s="7">
        <f>IF(ISBLANK(patch[[#This Row],[number]]),AE299,patch[[#This Row],[ifCommon]])</f>
        <v>0</v>
      </c>
    </row>
    <row r="301" spans="1:31">
      <c r="A301" s="151">
        <v>148185</v>
      </c>
      <c r="B301" s="151"/>
      <c r="C301" s="151"/>
      <c r="D301" s="151"/>
      <c r="E301" s="151"/>
      <c r="F301" s="151"/>
      <c r="G301" s="151"/>
      <c r="H301" s="151"/>
      <c r="I301" s="151"/>
      <c r="J301" s="152">
        <v>42640.690578703703</v>
      </c>
      <c r="K301" s="151"/>
      <c r="L301" s="151" t="s">
        <v>59</v>
      </c>
      <c r="M301" s="152">
        <v>42640.439780092587</v>
      </c>
      <c r="N301" s="151" t="s">
        <v>1880</v>
      </c>
      <c r="O301" s="151"/>
      <c r="P301" s="151"/>
      <c r="Q301" s="7" t="str">
        <f>IF(ISBLANK(patch[[#This Row],[OwnerEmail]]),Q300,patch[[#This Row],[OwnerEmail]])</f>
        <v>john.mathew@intel.com</v>
      </c>
      <c r="R301" s="7" t="str">
        <f>_xlfn.IFNA(VLOOKUP(patch[[#This Row],[tmp-owner.email]],OrgTree!$A:$K, 11, 0), "not ICG SWFW")</f>
        <v>FL And dev</v>
      </c>
      <c r="S301" s="7" t="str">
        <f>IF(patch[[#This Row],[reviewer]]=patch[[#This Row],[tmp-owner.email]], "author", _xlfn.IFNA(VLOOKUP(patch[[#This Row],[reviewer]],OrgTree!$A:$K, 11, 0), "not ICG SWFW"))</f>
        <v>BJ And dev</v>
      </c>
      <c r="T301" s="7" t="str">
        <f>IF(ISBLANK(patch[[#This Row],[mergeDate]]), "", MID(YEAR(patch[[#This Row],[mergeDate]]), 3,2)&amp;"'ww"&amp;WEEKNUM(patch[[#This Row],[mergeDate]]))</f>
        <v>16'ww40</v>
      </c>
      <c r="U301" s="7" t="str">
        <f>IF(ISBLANK(patch[[#This Row],[mergeDate]]), U300, MID(YEAR(patch[[#This Row],[mergeDate]]), 3,2)&amp;"'m"&amp;MONTH(patch[[#This Row],[mergeDate]]))</f>
        <v>16'm9</v>
      </c>
      <c r="V301" s="7" t="str">
        <f>IF(ISBLANK(patch[[#This Row],[project]]), "",SUM(patch[[#This Row],[BJ -1 num]:[SH -1 num]]))</f>
        <v/>
      </c>
      <c r="W301" s="7" t="str">
        <f>IF(ISBLANK(patch[[#This Row],[project]]), "",COUNTIFS($A:$A,patch[[#This Row],[number]],$S:$S, "BJ And dev",$AC:$AC, "Review-1"))</f>
        <v/>
      </c>
      <c r="X301" s="7" t="str">
        <f>IF(ISBLANK(patch[[#This Row],[project]]), "",COUNTIFS($A:$A,patch[[#This Row],[number]],$S:$S, "FL And dev",$AC:$AC, "Review-1"))</f>
        <v/>
      </c>
      <c r="Y301" s="7" t="str">
        <f>IF(ISBLANK(patch[[#This Row],[project]]), "",COUNTIFS($A:$A,patch[[#This Row],[number]],$S:$S, "SH And dev",$AC:$AC, "Review-1"))</f>
        <v/>
      </c>
      <c r="Z301" s="7" t="str">
        <f>IF(ISBLANK(patch[[#This Row],[project]]), "",COUNTIFS($A:$A,patch[[#This Row],[number]],$S:$S, "BJ And dev",$AD:$AD, "&lt;&gt;IntegratorValidationComment"))</f>
        <v/>
      </c>
      <c r="AA301" s="7" t="str">
        <f>IF(ISBLANK(patch[[#This Row],[project]]), "",COUNTIFS($A:$A,patch[[#This Row],[number]],$S:$S, "FL And dev",$AD:$AD, "&lt;&gt;IntegratorValidationComment"))</f>
        <v/>
      </c>
      <c r="AB301" s="7" t="str">
        <f>IF(ISBLANK(patch[[#This Row],[project]]), "",COUNTIFS($A:$A,patch[[#This Row],[number]],$S:$S, "SH And dev",$AD:$AD, "&lt;&gt;IntegratorValidationComment"))</f>
        <v/>
      </c>
      <c r="AC301" s="7" t="str">
        <f>IF(OR(ISNUMBER(FIND("Review-1", patch[[#This Row],[comments]])), ISNUMBER(FIND("Approver-1", patch[[#This Row],[comments]]))), "Review-1", "")</f>
        <v/>
      </c>
      <c r="AD3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01" s="7">
        <f>IF(ISBLANK(patch[[#This Row],[number]]),AE300,patch[[#This Row],[ifCommon]])</f>
        <v>0</v>
      </c>
    </row>
    <row r="302" spans="1:31">
      <c r="A302" s="151">
        <v>148185</v>
      </c>
      <c r="B302" s="151"/>
      <c r="C302" s="151"/>
      <c r="D302" s="151"/>
      <c r="E302" s="151"/>
      <c r="F302" s="151"/>
      <c r="G302" s="151"/>
      <c r="H302" s="151"/>
      <c r="I302" s="152"/>
      <c r="J302" s="152">
        <v>42640.690578703703</v>
      </c>
      <c r="K302" s="151"/>
      <c r="L302" s="151" t="s">
        <v>115</v>
      </c>
      <c r="M302" s="152">
        <v>42640.48332175926</v>
      </c>
      <c r="N302" s="151" t="s">
        <v>2494</v>
      </c>
      <c r="O302" s="151"/>
      <c r="P302" s="151"/>
      <c r="Q302" s="7" t="str">
        <f>IF(ISBLANK(patch[[#This Row],[OwnerEmail]]),Q301,patch[[#This Row],[OwnerEmail]])</f>
        <v>john.mathew@intel.com</v>
      </c>
      <c r="R302" s="7" t="str">
        <f>_xlfn.IFNA(VLOOKUP(patch[[#This Row],[tmp-owner.email]],OrgTree!$A:$K, 11, 0), "not ICG SWFW")</f>
        <v>FL And dev</v>
      </c>
      <c r="S302" s="7" t="str">
        <f>IF(patch[[#This Row],[reviewer]]=patch[[#This Row],[tmp-owner.email]], "author", _xlfn.IFNA(VLOOKUP(patch[[#This Row],[reviewer]],OrgTree!$A:$K, 11, 0), "not ICG SWFW"))</f>
        <v>Val</v>
      </c>
      <c r="T302" s="7" t="str">
        <f>IF(ISBLANK(patch[[#This Row],[mergeDate]]), "", MID(YEAR(patch[[#This Row],[mergeDate]]), 3,2)&amp;"'ww"&amp;WEEKNUM(patch[[#This Row],[mergeDate]]))</f>
        <v>16'ww40</v>
      </c>
      <c r="U302" s="7" t="str">
        <f>IF(ISBLANK(patch[[#This Row],[mergeDate]]), U301, MID(YEAR(patch[[#This Row],[mergeDate]]), 3,2)&amp;"'m"&amp;MONTH(patch[[#This Row],[mergeDate]]))</f>
        <v>16'm9</v>
      </c>
      <c r="V302" s="7" t="str">
        <f>IF(ISBLANK(patch[[#This Row],[project]]), "",SUM(patch[[#This Row],[BJ -1 num]:[SH -1 num]]))</f>
        <v/>
      </c>
      <c r="W302" s="7" t="str">
        <f>IF(ISBLANK(patch[[#This Row],[project]]), "",COUNTIFS($A:$A,patch[[#This Row],[number]],$S:$S, "BJ And dev",$AC:$AC, "Review-1"))</f>
        <v/>
      </c>
      <c r="X302" s="7" t="str">
        <f>IF(ISBLANK(patch[[#This Row],[project]]), "",COUNTIFS($A:$A,patch[[#This Row],[number]],$S:$S, "FL And dev",$AC:$AC, "Review-1"))</f>
        <v/>
      </c>
      <c r="Y302" s="7" t="str">
        <f>IF(ISBLANK(patch[[#This Row],[project]]), "",COUNTIFS($A:$A,patch[[#This Row],[number]],$S:$S, "SH And dev",$AC:$AC, "Review-1"))</f>
        <v/>
      </c>
      <c r="Z302" s="7" t="str">
        <f>IF(ISBLANK(patch[[#This Row],[project]]), "",COUNTIFS($A:$A,patch[[#This Row],[number]],$S:$S, "BJ And dev",$AD:$AD, "&lt;&gt;IntegratorValidationComment"))</f>
        <v/>
      </c>
      <c r="AA302" s="7" t="str">
        <f>IF(ISBLANK(patch[[#This Row],[project]]), "",COUNTIFS($A:$A,patch[[#This Row],[number]],$S:$S, "FL And dev",$AD:$AD, "&lt;&gt;IntegratorValidationComment"))</f>
        <v/>
      </c>
      <c r="AB302" s="7" t="str">
        <f>IF(ISBLANK(patch[[#This Row],[project]]), "",COUNTIFS($A:$A,patch[[#This Row],[number]],$S:$S, "SH And dev",$AD:$AD, "&lt;&gt;IntegratorValidationComment"))</f>
        <v/>
      </c>
      <c r="AC302" s="7" t="str">
        <f>IF(OR(ISNUMBER(FIND("Review-1", patch[[#This Row],[comments]])), ISNUMBER(FIND("Approver-1", patch[[#This Row],[comments]]))), "Review-1", "")</f>
        <v/>
      </c>
      <c r="AD3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302" s="7">
        <f>IF(ISBLANK(patch[[#This Row],[number]]),AE301,patch[[#This Row],[ifCommon]])</f>
        <v>0</v>
      </c>
    </row>
    <row r="303" spans="1:31">
      <c r="A303" s="151">
        <v>147839</v>
      </c>
      <c r="B303" s="151" t="s">
        <v>2490</v>
      </c>
      <c r="C303" s="151" t="s">
        <v>2491</v>
      </c>
      <c r="D303" s="151" t="s">
        <v>2742</v>
      </c>
      <c r="E303" s="151" t="s">
        <v>61</v>
      </c>
      <c r="F303" s="151" t="s">
        <v>23</v>
      </c>
      <c r="G303" s="151" t="s">
        <v>2743</v>
      </c>
      <c r="H303" s="151" t="s">
        <v>2744</v>
      </c>
      <c r="I303" s="152">
        <v>42636.845543981479</v>
      </c>
      <c r="J303" s="152">
        <v>42640.690578703703</v>
      </c>
      <c r="K303" s="151" t="s">
        <v>2445</v>
      </c>
      <c r="L303" s="151" t="s">
        <v>61</v>
      </c>
      <c r="M303" s="152">
        <v>42636.845543981479</v>
      </c>
      <c r="N303" s="151" t="s">
        <v>25</v>
      </c>
      <c r="O303" s="151"/>
      <c r="P303" s="151" t="s">
        <v>2554</v>
      </c>
      <c r="Q303" s="7" t="str">
        <f>IF(ISBLANK(patch[[#This Row],[OwnerEmail]]),Q302,patch[[#This Row],[OwnerEmail]])</f>
        <v>john.mathew@intel.com</v>
      </c>
      <c r="R303" s="7" t="str">
        <f>_xlfn.IFNA(VLOOKUP(patch[[#This Row],[tmp-owner.email]],OrgTree!$A:$K, 11, 0), "not ICG SWFW")</f>
        <v>FL And dev</v>
      </c>
      <c r="S303" s="7" t="str">
        <f>IF(patch[[#This Row],[reviewer]]=patch[[#This Row],[tmp-owner.email]], "author", _xlfn.IFNA(VLOOKUP(patch[[#This Row],[reviewer]],OrgTree!$A:$K, 11, 0), "not ICG SWFW"))</f>
        <v>author</v>
      </c>
      <c r="T303" s="7" t="str">
        <f>IF(ISBLANK(patch[[#This Row],[mergeDate]]), "", MID(YEAR(patch[[#This Row],[mergeDate]]), 3,2)&amp;"'ww"&amp;WEEKNUM(patch[[#This Row],[mergeDate]]))</f>
        <v>16'ww40</v>
      </c>
      <c r="U303" s="7" t="str">
        <f>IF(ISBLANK(patch[[#This Row],[mergeDate]]), U302, MID(YEAR(patch[[#This Row],[mergeDate]]), 3,2)&amp;"'m"&amp;MONTH(patch[[#This Row],[mergeDate]]))</f>
        <v>16'm9</v>
      </c>
      <c r="V303" s="7">
        <f>IF(ISBLANK(patch[[#This Row],[project]]), "",SUM(patch[[#This Row],[BJ -1 num]:[SH -1 num]]))</f>
        <v>0</v>
      </c>
      <c r="W303" s="7">
        <f>IF(ISBLANK(patch[[#This Row],[project]]), "",COUNTIFS($A:$A,patch[[#This Row],[number]],$S:$S, "BJ And dev",$AC:$AC, "Review-1"))</f>
        <v>0</v>
      </c>
      <c r="X303" s="7">
        <f>IF(ISBLANK(patch[[#This Row],[project]]), "",COUNTIFS($A:$A,patch[[#This Row],[number]],$S:$S, "FL And dev",$AC:$AC, "Review-1"))</f>
        <v>0</v>
      </c>
      <c r="Y303" s="7">
        <f>IF(ISBLANK(patch[[#This Row],[project]]), "",COUNTIFS($A:$A,patch[[#This Row],[number]],$S:$S, "SH And dev",$AC:$AC, "Review-1"))</f>
        <v>0</v>
      </c>
      <c r="Z303" s="7">
        <f>IF(ISBLANK(patch[[#This Row],[project]]), "",COUNTIFS($A:$A,patch[[#This Row],[number]],$S:$S, "BJ And dev",$AD:$AD, "&lt;&gt;IntegratorValidationComment"))</f>
        <v>4</v>
      </c>
      <c r="AA303" s="7">
        <f>IF(ISBLANK(patch[[#This Row],[project]]), "",COUNTIFS($A:$A,patch[[#This Row],[number]],$S:$S, "FL And dev",$AD:$AD, "&lt;&gt;IntegratorValidationComment"))</f>
        <v>0</v>
      </c>
      <c r="AB303" s="7">
        <f>IF(ISBLANK(patch[[#This Row],[project]]), "",COUNTIFS($A:$A,patch[[#This Row],[number]],$S:$S, "SH And dev",$AD:$AD, "&lt;&gt;IntegratorValidationComment"))</f>
        <v>0</v>
      </c>
      <c r="AC303" s="7" t="str">
        <f>IF(OR(ISNUMBER(FIND("Review-1", patch[[#This Row],[comments]])), ISNUMBER(FIND("Approver-1", patch[[#This Row],[comments]]))), "Review-1", "")</f>
        <v/>
      </c>
      <c r="AD3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03" s="7" t="str">
        <f>IF(ISBLANK(patch[[#This Row],[number]]),AE302,patch[[#This Row],[ifCommon]])</f>
        <v>not AndrHAL</v>
      </c>
    </row>
    <row r="304" spans="1:31">
      <c r="A304" s="151">
        <v>147839</v>
      </c>
      <c r="B304" s="151"/>
      <c r="C304" s="151"/>
      <c r="D304" s="151"/>
      <c r="E304" s="151"/>
      <c r="F304" s="151"/>
      <c r="G304" s="151"/>
      <c r="H304" s="151"/>
      <c r="I304" s="151"/>
      <c r="J304" s="152">
        <v>42640.690578703703</v>
      </c>
      <c r="K304" s="151"/>
      <c r="L304" s="151" t="s">
        <v>61</v>
      </c>
      <c r="M304" s="152">
        <v>42636.845555555563</v>
      </c>
      <c r="N304" s="151" t="s">
        <v>2428</v>
      </c>
      <c r="O304" s="151"/>
      <c r="P304" s="151"/>
      <c r="Q304" s="7" t="str">
        <f>IF(ISBLANK(patch[[#This Row],[OwnerEmail]]),Q303,patch[[#This Row],[OwnerEmail]])</f>
        <v>john.mathew@intel.com</v>
      </c>
      <c r="R304" s="7" t="str">
        <f>_xlfn.IFNA(VLOOKUP(patch[[#This Row],[tmp-owner.email]],OrgTree!$A:$K, 11, 0), "not ICG SWFW")</f>
        <v>FL And dev</v>
      </c>
      <c r="S304" s="7" t="str">
        <f>IF(patch[[#This Row],[reviewer]]=patch[[#This Row],[tmp-owner.email]], "author", _xlfn.IFNA(VLOOKUP(patch[[#This Row],[reviewer]],OrgTree!$A:$K, 11, 0), "not ICG SWFW"))</f>
        <v>author</v>
      </c>
      <c r="T304" s="7" t="str">
        <f>IF(ISBLANK(patch[[#This Row],[mergeDate]]), "", MID(YEAR(patch[[#This Row],[mergeDate]]), 3,2)&amp;"'ww"&amp;WEEKNUM(patch[[#This Row],[mergeDate]]))</f>
        <v>16'ww40</v>
      </c>
      <c r="U304" s="7" t="str">
        <f>IF(ISBLANK(patch[[#This Row],[mergeDate]]), U303, MID(YEAR(patch[[#This Row],[mergeDate]]), 3,2)&amp;"'m"&amp;MONTH(patch[[#This Row],[mergeDate]]))</f>
        <v>16'm9</v>
      </c>
      <c r="V304" s="7" t="str">
        <f>IF(ISBLANK(patch[[#This Row],[project]]), "",SUM(patch[[#This Row],[BJ -1 num]:[SH -1 num]]))</f>
        <v/>
      </c>
      <c r="W304" s="7" t="str">
        <f>IF(ISBLANK(patch[[#This Row],[project]]), "",COUNTIFS($A:$A,patch[[#This Row],[number]],$S:$S, "BJ And dev",$AC:$AC, "Review-1"))</f>
        <v/>
      </c>
      <c r="X304" s="7" t="str">
        <f>IF(ISBLANK(patch[[#This Row],[project]]), "",COUNTIFS($A:$A,patch[[#This Row],[number]],$S:$S, "FL And dev",$AC:$AC, "Review-1"))</f>
        <v/>
      </c>
      <c r="Y304" s="7" t="str">
        <f>IF(ISBLANK(patch[[#This Row],[project]]), "",COUNTIFS($A:$A,patch[[#This Row],[number]],$S:$S, "SH And dev",$AC:$AC, "Review-1"))</f>
        <v/>
      </c>
      <c r="Z304" s="7" t="str">
        <f>IF(ISBLANK(patch[[#This Row],[project]]), "",COUNTIFS($A:$A,patch[[#This Row],[number]],$S:$S, "BJ And dev",$AD:$AD, "&lt;&gt;IntegratorValidationComment"))</f>
        <v/>
      </c>
      <c r="AA304" s="7" t="str">
        <f>IF(ISBLANK(patch[[#This Row],[project]]), "",COUNTIFS($A:$A,patch[[#This Row],[number]],$S:$S, "FL And dev",$AD:$AD, "&lt;&gt;IntegratorValidationComment"))</f>
        <v/>
      </c>
      <c r="AB304" s="7" t="str">
        <f>IF(ISBLANK(patch[[#This Row],[project]]), "",COUNTIFS($A:$A,patch[[#This Row],[number]],$S:$S, "SH And dev",$AD:$AD, "&lt;&gt;IntegratorValidationComment"))</f>
        <v/>
      </c>
      <c r="AC304" s="7" t="str">
        <f>IF(OR(ISNUMBER(FIND("Review-1", patch[[#This Row],[comments]])), ISNUMBER(FIND("Approver-1", patch[[#This Row],[comments]]))), "Review-1", "")</f>
        <v/>
      </c>
      <c r="AD3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04" s="7">
        <f>IF(ISBLANK(patch[[#This Row],[number]]),AE303,patch[[#This Row],[ifCommon]])</f>
        <v>0</v>
      </c>
    </row>
    <row r="305" spans="1:31">
      <c r="A305" s="151">
        <v>147839</v>
      </c>
      <c r="B305" s="151"/>
      <c r="C305" s="151"/>
      <c r="D305" s="151"/>
      <c r="E305" s="151"/>
      <c r="F305" s="151"/>
      <c r="G305" s="151"/>
      <c r="H305" s="151"/>
      <c r="I305" s="151"/>
      <c r="J305" s="152">
        <v>42640.690578703703</v>
      </c>
      <c r="K305" s="151"/>
      <c r="L305" s="151" t="s">
        <v>61</v>
      </c>
      <c r="M305" s="152">
        <v>42636.847569444442</v>
      </c>
      <c r="N305" s="151" t="s">
        <v>40</v>
      </c>
      <c r="O305" s="151"/>
      <c r="P305" s="151"/>
      <c r="Q305" s="7" t="str">
        <f>IF(ISBLANK(patch[[#This Row],[OwnerEmail]]),Q304,patch[[#This Row],[OwnerEmail]])</f>
        <v>john.mathew@intel.com</v>
      </c>
      <c r="R305" s="7" t="str">
        <f>_xlfn.IFNA(VLOOKUP(patch[[#This Row],[tmp-owner.email]],OrgTree!$A:$K, 11, 0), "not ICG SWFW")</f>
        <v>FL And dev</v>
      </c>
      <c r="S305" s="7" t="str">
        <f>IF(patch[[#This Row],[reviewer]]=patch[[#This Row],[tmp-owner.email]], "author", _xlfn.IFNA(VLOOKUP(patch[[#This Row],[reviewer]],OrgTree!$A:$K, 11, 0), "not ICG SWFW"))</f>
        <v>author</v>
      </c>
      <c r="T305" s="7" t="str">
        <f>IF(ISBLANK(patch[[#This Row],[mergeDate]]), "", MID(YEAR(patch[[#This Row],[mergeDate]]), 3,2)&amp;"'ww"&amp;WEEKNUM(patch[[#This Row],[mergeDate]]))</f>
        <v>16'ww40</v>
      </c>
      <c r="U305" s="7" t="str">
        <f>IF(ISBLANK(patch[[#This Row],[mergeDate]]), U304, MID(YEAR(patch[[#This Row],[mergeDate]]), 3,2)&amp;"'m"&amp;MONTH(patch[[#This Row],[mergeDate]]))</f>
        <v>16'm9</v>
      </c>
      <c r="V305" s="7" t="str">
        <f>IF(ISBLANK(patch[[#This Row],[project]]), "",SUM(patch[[#This Row],[BJ -1 num]:[SH -1 num]]))</f>
        <v/>
      </c>
      <c r="W305" s="7" t="str">
        <f>IF(ISBLANK(patch[[#This Row],[project]]), "",COUNTIFS($A:$A,patch[[#This Row],[number]],$S:$S, "BJ And dev",$AC:$AC, "Review-1"))</f>
        <v/>
      </c>
      <c r="X305" s="7" t="str">
        <f>IF(ISBLANK(patch[[#This Row],[project]]), "",COUNTIFS($A:$A,patch[[#This Row],[number]],$S:$S, "FL And dev",$AC:$AC, "Review-1"))</f>
        <v/>
      </c>
      <c r="Y305" s="7" t="str">
        <f>IF(ISBLANK(patch[[#This Row],[project]]), "",COUNTIFS($A:$A,patch[[#This Row],[number]],$S:$S, "SH And dev",$AC:$AC, "Review-1"))</f>
        <v/>
      </c>
      <c r="Z305" s="7" t="str">
        <f>IF(ISBLANK(patch[[#This Row],[project]]), "",COUNTIFS($A:$A,patch[[#This Row],[number]],$S:$S, "BJ And dev",$AD:$AD, "&lt;&gt;IntegratorValidationComment"))</f>
        <v/>
      </c>
      <c r="AA305" s="7" t="str">
        <f>IF(ISBLANK(patch[[#This Row],[project]]), "",COUNTIFS($A:$A,patch[[#This Row],[number]],$S:$S, "FL And dev",$AD:$AD, "&lt;&gt;IntegratorValidationComment"))</f>
        <v/>
      </c>
      <c r="AB305" s="7" t="str">
        <f>IF(ISBLANK(patch[[#This Row],[project]]), "",COUNTIFS($A:$A,patch[[#This Row],[number]],$S:$S, "SH And dev",$AD:$AD, "&lt;&gt;IntegratorValidationComment"))</f>
        <v/>
      </c>
      <c r="AC305" s="7" t="str">
        <f>IF(OR(ISNUMBER(FIND("Review-1", patch[[#This Row],[comments]])), ISNUMBER(FIND("Approver-1", patch[[#This Row],[comments]]))), "Review-1", "")</f>
        <v/>
      </c>
      <c r="AD3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05" s="7">
        <f>IF(ISBLANK(patch[[#This Row],[number]]),AE304,patch[[#This Row],[ifCommon]])</f>
        <v>0</v>
      </c>
    </row>
    <row r="306" spans="1:31">
      <c r="A306" s="151">
        <v>147839</v>
      </c>
      <c r="B306" s="151"/>
      <c r="C306" s="151"/>
      <c r="D306" s="151"/>
      <c r="E306" s="151"/>
      <c r="F306" s="151"/>
      <c r="G306" s="151"/>
      <c r="H306" s="151"/>
      <c r="I306" s="151"/>
      <c r="J306" s="152">
        <v>42640.690578703703</v>
      </c>
      <c r="K306" s="151"/>
      <c r="L306" s="151" t="s">
        <v>59</v>
      </c>
      <c r="M306" s="152">
        <v>42639.377743055556</v>
      </c>
      <c r="N306" s="151" t="s">
        <v>2745</v>
      </c>
      <c r="O306" s="151"/>
      <c r="P306" s="151"/>
      <c r="Q306" s="7" t="str">
        <f>IF(ISBLANK(patch[[#This Row],[OwnerEmail]]),Q305,patch[[#This Row],[OwnerEmail]])</f>
        <v>john.mathew@intel.com</v>
      </c>
      <c r="R306" s="7" t="str">
        <f>_xlfn.IFNA(VLOOKUP(patch[[#This Row],[tmp-owner.email]],OrgTree!$A:$K, 11, 0), "not ICG SWFW")</f>
        <v>FL And dev</v>
      </c>
      <c r="S306" s="7" t="str">
        <f>IF(patch[[#This Row],[reviewer]]=patch[[#This Row],[tmp-owner.email]], "author", _xlfn.IFNA(VLOOKUP(patch[[#This Row],[reviewer]],OrgTree!$A:$K, 11, 0), "not ICG SWFW"))</f>
        <v>BJ And dev</v>
      </c>
      <c r="T306" s="7" t="str">
        <f>IF(ISBLANK(patch[[#This Row],[mergeDate]]), "", MID(YEAR(patch[[#This Row],[mergeDate]]), 3,2)&amp;"'ww"&amp;WEEKNUM(patch[[#This Row],[mergeDate]]))</f>
        <v>16'ww40</v>
      </c>
      <c r="U306" s="7" t="str">
        <f>IF(ISBLANK(patch[[#This Row],[mergeDate]]), U305, MID(YEAR(patch[[#This Row],[mergeDate]]), 3,2)&amp;"'m"&amp;MONTH(patch[[#This Row],[mergeDate]]))</f>
        <v>16'm9</v>
      </c>
      <c r="V306" s="7" t="str">
        <f>IF(ISBLANK(patch[[#This Row],[project]]), "",SUM(patch[[#This Row],[BJ -1 num]:[SH -1 num]]))</f>
        <v/>
      </c>
      <c r="W306" s="7" t="str">
        <f>IF(ISBLANK(patch[[#This Row],[project]]), "",COUNTIFS($A:$A,patch[[#This Row],[number]],$S:$S, "BJ And dev",$AC:$AC, "Review-1"))</f>
        <v/>
      </c>
      <c r="X306" s="7" t="str">
        <f>IF(ISBLANK(patch[[#This Row],[project]]), "",COUNTIFS($A:$A,patch[[#This Row],[number]],$S:$S, "FL And dev",$AC:$AC, "Review-1"))</f>
        <v/>
      </c>
      <c r="Y306" s="7" t="str">
        <f>IF(ISBLANK(patch[[#This Row],[project]]), "",COUNTIFS($A:$A,patch[[#This Row],[number]],$S:$S, "SH And dev",$AC:$AC, "Review-1"))</f>
        <v/>
      </c>
      <c r="Z306" s="7" t="str">
        <f>IF(ISBLANK(patch[[#This Row],[project]]), "",COUNTIFS($A:$A,patch[[#This Row],[number]],$S:$S, "BJ And dev",$AD:$AD, "&lt;&gt;IntegratorValidationComment"))</f>
        <v/>
      </c>
      <c r="AA306" s="7" t="str">
        <f>IF(ISBLANK(patch[[#This Row],[project]]), "",COUNTIFS($A:$A,patch[[#This Row],[number]],$S:$S, "FL And dev",$AD:$AD, "&lt;&gt;IntegratorValidationComment"))</f>
        <v/>
      </c>
      <c r="AB306" s="7" t="str">
        <f>IF(ISBLANK(patch[[#This Row],[project]]), "",COUNTIFS($A:$A,patch[[#This Row],[number]],$S:$S, "SH And dev",$AD:$AD, "&lt;&gt;IntegratorValidationComment"))</f>
        <v/>
      </c>
      <c r="AC306" s="7" t="str">
        <f>IF(OR(ISNUMBER(FIND("Review-1", patch[[#This Row],[comments]])), ISNUMBER(FIND("Approver-1", patch[[#This Row],[comments]]))), "Review-1", "")</f>
        <v/>
      </c>
      <c r="AD3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06" s="7">
        <f>IF(ISBLANK(patch[[#This Row],[number]]),AE305,patch[[#This Row],[ifCommon]])</f>
        <v>0</v>
      </c>
    </row>
    <row r="307" spans="1:31">
      <c r="A307" s="151">
        <v>147839</v>
      </c>
      <c r="B307" s="151"/>
      <c r="C307" s="151"/>
      <c r="D307" s="151"/>
      <c r="E307" s="151"/>
      <c r="F307" s="151"/>
      <c r="G307" s="151"/>
      <c r="H307" s="151"/>
      <c r="I307" s="151"/>
      <c r="J307" s="152">
        <v>42640.690578703703</v>
      </c>
      <c r="K307" s="151"/>
      <c r="L307" s="151" t="s">
        <v>59</v>
      </c>
      <c r="M307" s="152">
        <v>42639.3903587963</v>
      </c>
      <c r="N307" s="151" t="s">
        <v>2746</v>
      </c>
      <c r="O307" s="151"/>
      <c r="P307" s="151"/>
      <c r="Q307" s="7" t="str">
        <f>IF(ISBLANK(patch[[#This Row],[OwnerEmail]]),Q306,patch[[#This Row],[OwnerEmail]])</f>
        <v>john.mathew@intel.com</v>
      </c>
      <c r="R307" s="7" t="str">
        <f>_xlfn.IFNA(VLOOKUP(patch[[#This Row],[tmp-owner.email]],OrgTree!$A:$K, 11, 0), "not ICG SWFW")</f>
        <v>FL And dev</v>
      </c>
      <c r="S307" s="7" t="str">
        <f>IF(patch[[#This Row],[reviewer]]=patch[[#This Row],[tmp-owner.email]], "author", _xlfn.IFNA(VLOOKUP(patch[[#This Row],[reviewer]],OrgTree!$A:$K, 11, 0), "not ICG SWFW"))</f>
        <v>BJ And dev</v>
      </c>
      <c r="T307" s="7" t="str">
        <f>IF(ISBLANK(patch[[#This Row],[mergeDate]]), "", MID(YEAR(patch[[#This Row],[mergeDate]]), 3,2)&amp;"'ww"&amp;WEEKNUM(patch[[#This Row],[mergeDate]]))</f>
        <v>16'ww40</v>
      </c>
      <c r="U307" s="7" t="str">
        <f>IF(ISBLANK(patch[[#This Row],[mergeDate]]), U306, MID(YEAR(patch[[#This Row],[mergeDate]]), 3,2)&amp;"'m"&amp;MONTH(patch[[#This Row],[mergeDate]]))</f>
        <v>16'm9</v>
      </c>
      <c r="V307" s="7" t="str">
        <f>IF(ISBLANK(patch[[#This Row],[project]]), "",SUM(patch[[#This Row],[BJ -1 num]:[SH -1 num]]))</f>
        <v/>
      </c>
      <c r="W307" s="7" t="str">
        <f>IF(ISBLANK(patch[[#This Row],[project]]), "",COUNTIFS($A:$A,patch[[#This Row],[number]],$S:$S, "BJ And dev",$AC:$AC, "Review-1"))</f>
        <v/>
      </c>
      <c r="X307" s="7" t="str">
        <f>IF(ISBLANK(patch[[#This Row],[project]]), "",COUNTIFS($A:$A,patch[[#This Row],[number]],$S:$S, "FL And dev",$AC:$AC, "Review-1"))</f>
        <v/>
      </c>
      <c r="Y307" s="7" t="str">
        <f>IF(ISBLANK(patch[[#This Row],[project]]), "",COUNTIFS($A:$A,patch[[#This Row],[number]],$S:$S, "SH And dev",$AC:$AC, "Review-1"))</f>
        <v/>
      </c>
      <c r="Z307" s="7" t="str">
        <f>IF(ISBLANK(patch[[#This Row],[project]]), "",COUNTIFS($A:$A,patch[[#This Row],[number]],$S:$S, "BJ And dev",$AD:$AD, "&lt;&gt;IntegratorValidationComment"))</f>
        <v/>
      </c>
      <c r="AA307" s="7" t="str">
        <f>IF(ISBLANK(patch[[#This Row],[project]]), "",COUNTIFS($A:$A,patch[[#This Row],[number]],$S:$S, "FL And dev",$AD:$AD, "&lt;&gt;IntegratorValidationComment"))</f>
        <v/>
      </c>
      <c r="AB307" s="7" t="str">
        <f>IF(ISBLANK(patch[[#This Row],[project]]), "",COUNTIFS($A:$A,patch[[#This Row],[number]],$S:$S, "SH And dev",$AD:$AD, "&lt;&gt;IntegratorValidationComment"))</f>
        <v/>
      </c>
      <c r="AC307" s="7" t="str">
        <f>IF(OR(ISNUMBER(FIND("Review-1", patch[[#This Row],[comments]])), ISNUMBER(FIND("Approver-1", patch[[#This Row],[comments]]))), "Review-1", "")</f>
        <v/>
      </c>
      <c r="AD3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07" s="7">
        <f>IF(ISBLANK(patch[[#This Row],[number]]),AE306,patch[[#This Row],[ifCommon]])</f>
        <v>0</v>
      </c>
    </row>
    <row r="308" spans="1:31">
      <c r="A308" s="151">
        <v>147839</v>
      </c>
      <c r="B308" s="151"/>
      <c r="C308" s="151"/>
      <c r="D308" s="151"/>
      <c r="E308" s="151"/>
      <c r="F308" s="151"/>
      <c r="G308" s="151"/>
      <c r="H308" s="151"/>
      <c r="I308" s="151"/>
      <c r="J308" s="152">
        <v>42640.690578703703</v>
      </c>
      <c r="K308" s="151"/>
      <c r="L308" s="151" t="s">
        <v>32</v>
      </c>
      <c r="M308" s="152">
        <v>42639.580266203702</v>
      </c>
      <c r="N308" s="151" t="s">
        <v>40</v>
      </c>
      <c r="O308" s="151"/>
      <c r="P308" s="151"/>
      <c r="Q308" s="7" t="str">
        <f>IF(ISBLANK(patch[[#This Row],[OwnerEmail]]),Q307,patch[[#This Row],[OwnerEmail]])</f>
        <v>john.mathew@intel.com</v>
      </c>
      <c r="R308" s="7" t="str">
        <f>_xlfn.IFNA(VLOOKUP(patch[[#This Row],[tmp-owner.email]],OrgTree!$A:$K, 11, 0), "not ICG SWFW")</f>
        <v>FL And dev</v>
      </c>
      <c r="S308" s="7" t="str">
        <f>IF(patch[[#This Row],[reviewer]]=patch[[#This Row],[tmp-owner.email]], "author", _xlfn.IFNA(VLOOKUP(patch[[#This Row],[reviewer]],OrgTree!$A:$K, 11, 0), "not ICG SWFW"))</f>
        <v>BJ And dev</v>
      </c>
      <c r="T308" s="7" t="str">
        <f>IF(ISBLANK(patch[[#This Row],[mergeDate]]), "", MID(YEAR(patch[[#This Row],[mergeDate]]), 3,2)&amp;"'ww"&amp;WEEKNUM(patch[[#This Row],[mergeDate]]))</f>
        <v>16'ww40</v>
      </c>
      <c r="U308" s="7" t="str">
        <f>IF(ISBLANK(patch[[#This Row],[mergeDate]]), U307, MID(YEAR(patch[[#This Row],[mergeDate]]), 3,2)&amp;"'m"&amp;MONTH(patch[[#This Row],[mergeDate]]))</f>
        <v>16'm9</v>
      </c>
      <c r="V308" s="7" t="str">
        <f>IF(ISBLANK(patch[[#This Row],[project]]), "",SUM(patch[[#This Row],[BJ -1 num]:[SH -1 num]]))</f>
        <v/>
      </c>
      <c r="W308" s="7" t="str">
        <f>IF(ISBLANK(patch[[#This Row],[project]]), "",COUNTIFS($A:$A,patch[[#This Row],[number]],$S:$S, "BJ And dev",$AC:$AC, "Review-1"))</f>
        <v/>
      </c>
      <c r="X308" s="7" t="str">
        <f>IF(ISBLANK(patch[[#This Row],[project]]), "",COUNTIFS($A:$A,patch[[#This Row],[number]],$S:$S, "FL And dev",$AC:$AC, "Review-1"))</f>
        <v/>
      </c>
      <c r="Y308" s="7" t="str">
        <f>IF(ISBLANK(patch[[#This Row],[project]]), "",COUNTIFS($A:$A,patch[[#This Row],[number]],$S:$S, "SH And dev",$AC:$AC, "Review-1"))</f>
        <v/>
      </c>
      <c r="Z308" s="7" t="str">
        <f>IF(ISBLANK(patch[[#This Row],[project]]), "",COUNTIFS($A:$A,patch[[#This Row],[number]],$S:$S, "BJ And dev",$AD:$AD, "&lt;&gt;IntegratorValidationComment"))</f>
        <v/>
      </c>
      <c r="AA308" s="7" t="str">
        <f>IF(ISBLANK(patch[[#This Row],[project]]), "",COUNTIFS($A:$A,patch[[#This Row],[number]],$S:$S, "FL And dev",$AD:$AD, "&lt;&gt;IntegratorValidationComment"))</f>
        <v/>
      </c>
      <c r="AB308" s="7" t="str">
        <f>IF(ISBLANK(patch[[#This Row],[project]]), "",COUNTIFS($A:$A,patch[[#This Row],[number]],$S:$S, "SH And dev",$AD:$AD, "&lt;&gt;IntegratorValidationComment"))</f>
        <v/>
      </c>
      <c r="AC308" s="7" t="str">
        <f>IF(OR(ISNUMBER(FIND("Review-1", patch[[#This Row],[comments]])), ISNUMBER(FIND("Approver-1", patch[[#This Row],[comments]]))), "Review-1", "")</f>
        <v/>
      </c>
      <c r="AD3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08" s="7">
        <f>IF(ISBLANK(patch[[#This Row],[number]]),AE307,patch[[#This Row],[ifCommon]])</f>
        <v>0</v>
      </c>
    </row>
    <row r="309" spans="1:31">
      <c r="A309" s="151">
        <v>147839</v>
      </c>
      <c r="B309" s="151"/>
      <c r="C309" s="151"/>
      <c r="D309" s="151"/>
      <c r="E309" s="151"/>
      <c r="F309" s="151"/>
      <c r="G309" s="151"/>
      <c r="H309" s="151"/>
      <c r="I309" s="151"/>
      <c r="J309" s="152">
        <v>42640.690578703703</v>
      </c>
      <c r="K309" s="151"/>
      <c r="L309" s="151" t="s">
        <v>59</v>
      </c>
      <c r="M309" s="152">
        <v>42639.58452546296</v>
      </c>
      <c r="N309" s="151" t="s">
        <v>1880</v>
      </c>
      <c r="O309" s="151"/>
      <c r="P309" s="151"/>
      <c r="Q309" s="7" t="str">
        <f>IF(ISBLANK(patch[[#This Row],[OwnerEmail]]),Q308,patch[[#This Row],[OwnerEmail]])</f>
        <v>john.mathew@intel.com</v>
      </c>
      <c r="R309" s="7" t="str">
        <f>_xlfn.IFNA(VLOOKUP(patch[[#This Row],[tmp-owner.email]],OrgTree!$A:$K, 11, 0), "not ICG SWFW")</f>
        <v>FL And dev</v>
      </c>
      <c r="S309" s="7" t="str">
        <f>IF(patch[[#This Row],[reviewer]]=patch[[#This Row],[tmp-owner.email]], "author", _xlfn.IFNA(VLOOKUP(patch[[#This Row],[reviewer]],OrgTree!$A:$K, 11, 0), "not ICG SWFW"))</f>
        <v>BJ And dev</v>
      </c>
      <c r="T309" s="7" t="str">
        <f>IF(ISBLANK(patch[[#This Row],[mergeDate]]), "", MID(YEAR(patch[[#This Row],[mergeDate]]), 3,2)&amp;"'ww"&amp;WEEKNUM(patch[[#This Row],[mergeDate]]))</f>
        <v>16'ww40</v>
      </c>
      <c r="U309" s="7" t="str">
        <f>IF(ISBLANK(patch[[#This Row],[mergeDate]]), U308, MID(YEAR(patch[[#This Row],[mergeDate]]), 3,2)&amp;"'m"&amp;MONTH(patch[[#This Row],[mergeDate]]))</f>
        <v>16'm9</v>
      </c>
      <c r="V309" s="7" t="str">
        <f>IF(ISBLANK(patch[[#This Row],[project]]), "",SUM(patch[[#This Row],[BJ -1 num]:[SH -1 num]]))</f>
        <v/>
      </c>
      <c r="W309" s="7" t="str">
        <f>IF(ISBLANK(patch[[#This Row],[project]]), "",COUNTIFS($A:$A,patch[[#This Row],[number]],$S:$S, "BJ And dev",$AC:$AC, "Review-1"))</f>
        <v/>
      </c>
      <c r="X309" s="7" t="str">
        <f>IF(ISBLANK(patch[[#This Row],[project]]), "",COUNTIFS($A:$A,patch[[#This Row],[number]],$S:$S, "FL And dev",$AC:$AC, "Review-1"))</f>
        <v/>
      </c>
      <c r="Y309" s="7" t="str">
        <f>IF(ISBLANK(patch[[#This Row],[project]]), "",COUNTIFS($A:$A,patch[[#This Row],[number]],$S:$S, "SH And dev",$AC:$AC, "Review-1"))</f>
        <v/>
      </c>
      <c r="Z309" s="7" t="str">
        <f>IF(ISBLANK(patch[[#This Row],[project]]), "",COUNTIFS($A:$A,patch[[#This Row],[number]],$S:$S, "BJ And dev",$AD:$AD, "&lt;&gt;IntegratorValidationComment"))</f>
        <v/>
      </c>
      <c r="AA309" s="7" t="str">
        <f>IF(ISBLANK(patch[[#This Row],[project]]), "",COUNTIFS($A:$A,patch[[#This Row],[number]],$S:$S, "FL And dev",$AD:$AD, "&lt;&gt;IntegratorValidationComment"))</f>
        <v/>
      </c>
      <c r="AB309" s="7" t="str">
        <f>IF(ISBLANK(patch[[#This Row],[project]]), "",COUNTIFS($A:$A,patch[[#This Row],[number]],$S:$S, "SH And dev",$AD:$AD, "&lt;&gt;IntegratorValidationComment"))</f>
        <v/>
      </c>
      <c r="AC309" s="7" t="str">
        <f>IF(OR(ISNUMBER(FIND("Review-1", patch[[#This Row],[comments]])), ISNUMBER(FIND("Approver-1", patch[[#This Row],[comments]]))), "Review-1", "")</f>
        <v/>
      </c>
      <c r="AD3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09" s="7">
        <f>IF(ISBLANK(patch[[#This Row],[number]]),AE308,patch[[#This Row],[ifCommon]])</f>
        <v>0</v>
      </c>
    </row>
    <row r="310" spans="1:31">
      <c r="A310" s="151">
        <v>147839</v>
      </c>
      <c r="B310" s="151"/>
      <c r="C310" s="151"/>
      <c r="D310" s="151"/>
      <c r="E310" s="151"/>
      <c r="F310" s="151"/>
      <c r="G310" s="151"/>
      <c r="H310" s="151"/>
      <c r="I310" s="151"/>
      <c r="J310" s="152">
        <v>42640.690578703703</v>
      </c>
      <c r="K310" s="151"/>
      <c r="L310" s="151" t="s">
        <v>115</v>
      </c>
      <c r="M310" s="152">
        <v>42640.483680555553</v>
      </c>
      <c r="N310" s="151" t="s">
        <v>2494</v>
      </c>
      <c r="O310" s="151"/>
      <c r="P310" s="151"/>
      <c r="Q310" s="7" t="str">
        <f>IF(ISBLANK(patch[[#This Row],[OwnerEmail]]),Q309,patch[[#This Row],[OwnerEmail]])</f>
        <v>john.mathew@intel.com</v>
      </c>
      <c r="R310" s="7" t="str">
        <f>_xlfn.IFNA(VLOOKUP(patch[[#This Row],[tmp-owner.email]],OrgTree!$A:$K, 11, 0), "not ICG SWFW")</f>
        <v>FL And dev</v>
      </c>
      <c r="S310" s="7" t="str">
        <f>IF(patch[[#This Row],[reviewer]]=patch[[#This Row],[tmp-owner.email]], "author", _xlfn.IFNA(VLOOKUP(patch[[#This Row],[reviewer]],OrgTree!$A:$K, 11, 0), "not ICG SWFW"))</f>
        <v>Val</v>
      </c>
      <c r="T310" s="7" t="str">
        <f>IF(ISBLANK(patch[[#This Row],[mergeDate]]), "", MID(YEAR(patch[[#This Row],[mergeDate]]), 3,2)&amp;"'ww"&amp;WEEKNUM(patch[[#This Row],[mergeDate]]))</f>
        <v>16'ww40</v>
      </c>
      <c r="U310" s="7" t="str">
        <f>IF(ISBLANK(patch[[#This Row],[mergeDate]]), U309, MID(YEAR(patch[[#This Row],[mergeDate]]), 3,2)&amp;"'m"&amp;MONTH(patch[[#This Row],[mergeDate]]))</f>
        <v>16'm9</v>
      </c>
      <c r="V310" s="7" t="str">
        <f>IF(ISBLANK(patch[[#This Row],[project]]), "",SUM(patch[[#This Row],[BJ -1 num]:[SH -1 num]]))</f>
        <v/>
      </c>
      <c r="W310" s="7" t="str">
        <f>IF(ISBLANK(patch[[#This Row],[project]]), "",COUNTIFS($A:$A,patch[[#This Row],[number]],$S:$S, "BJ And dev",$AC:$AC, "Review-1"))</f>
        <v/>
      </c>
      <c r="X310" s="7" t="str">
        <f>IF(ISBLANK(patch[[#This Row],[project]]), "",COUNTIFS($A:$A,patch[[#This Row],[number]],$S:$S, "FL And dev",$AC:$AC, "Review-1"))</f>
        <v/>
      </c>
      <c r="Y310" s="7" t="str">
        <f>IF(ISBLANK(patch[[#This Row],[project]]), "",COUNTIFS($A:$A,patch[[#This Row],[number]],$S:$S, "SH And dev",$AC:$AC, "Review-1"))</f>
        <v/>
      </c>
      <c r="Z310" s="7" t="str">
        <f>IF(ISBLANK(patch[[#This Row],[project]]), "",COUNTIFS($A:$A,patch[[#This Row],[number]],$S:$S, "BJ And dev",$AD:$AD, "&lt;&gt;IntegratorValidationComment"))</f>
        <v/>
      </c>
      <c r="AA310" s="7" t="str">
        <f>IF(ISBLANK(patch[[#This Row],[project]]), "",COUNTIFS($A:$A,patch[[#This Row],[number]],$S:$S, "FL And dev",$AD:$AD, "&lt;&gt;IntegratorValidationComment"))</f>
        <v/>
      </c>
      <c r="AB310" s="7" t="str">
        <f>IF(ISBLANK(patch[[#This Row],[project]]), "",COUNTIFS($A:$A,patch[[#This Row],[number]],$S:$S, "SH And dev",$AD:$AD, "&lt;&gt;IntegratorValidationComment"))</f>
        <v/>
      </c>
      <c r="AC310" s="7" t="str">
        <f>IF(OR(ISNUMBER(FIND("Review-1", patch[[#This Row],[comments]])), ISNUMBER(FIND("Approver-1", patch[[#This Row],[comments]]))), "Review-1", "")</f>
        <v/>
      </c>
      <c r="AD3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310" s="7">
        <f>IF(ISBLANK(patch[[#This Row],[number]]),AE309,patch[[#This Row],[ifCommon]])</f>
        <v>0</v>
      </c>
    </row>
    <row r="311" spans="1:31">
      <c r="A311" s="151">
        <v>147795</v>
      </c>
      <c r="B311" s="151" t="s">
        <v>2490</v>
      </c>
      <c r="C311" s="151" t="s">
        <v>2491</v>
      </c>
      <c r="D311" s="151" t="s">
        <v>2747</v>
      </c>
      <c r="E311" s="151" t="s">
        <v>61</v>
      </c>
      <c r="F311" s="151" t="s">
        <v>23</v>
      </c>
      <c r="G311" s="151" t="s">
        <v>2748</v>
      </c>
      <c r="H311" s="151" t="s">
        <v>2749</v>
      </c>
      <c r="I311" s="152">
        <v>42636.766030092593</v>
      </c>
      <c r="J311" s="152">
        <v>42640.690578703703</v>
      </c>
      <c r="K311" s="151" t="s">
        <v>2445</v>
      </c>
      <c r="L311" s="151" t="s">
        <v>61</v>
      </c>
      <c r="M311" s="152">
        <v>42636.766030092593</v>
      </c>
      <c r="N311" s="151" t="s">
        <v>2428</v>
      </c>
      <c r="O311" s="151"/>
      <c r="P311" s="151" t="s">
        <v>2554</v>
      </c>
      <c r="Q311" s="7" t="str">
        <f>IF(ISBLANK(patch[[#This Row],[OwnerEmail]]),Q310,patch[[#This Row],[OwnerEmail]])</f>
        <v>john.mathew@intel.com</v>
      </c>
      <c r="R311" s="7" t="str">
        <f>_xlfn.IFNA(VLOOKUP(patch[[#This Row],[tmp-owner.email]],OrgTree!$A:$K, 11, 0), "not ICG SWFW")</f>
        <v>FL And dev</v>
      </c>
      <c r="S311" s="7" t="str">
        <f>IF(patch[[#This Row],[reviewer]]=patch[[#This Row],[tmp-owner.email]], "author", _xlfn.IFNA(VLOOKUP(patch[[#This Row],[reviewer]],OrgTree!$A:$K, 11, 0), "not ICG SWFW"))</f>
        <v>author</v>
      </c>
      <c r="T311" s="7" t="str">
        <f>IF(ISBLANK(patch[[#This Row],[mergeDate]]), "", MID(YEAR(patch[[#This Row],[mergeDate]]), 3,2)&amp;"'ww"&amp;WEEKNUM(patch[[#This Row],[mergeDate]]))</f>
        <v>16'ww40</v>
      </c>
      <c r="U311" s="7" t="str">
        <f>IF(ISBLANK(patch[[#This Row],[mergeDate]]), U310, MID(YEAR(patch[[#This Row],[mergeDate]]), 3,2)&amp;"'m"&amp;MONTH(patch[[#This Row],[mergeDate]]))</f>
        <v>16'm9</v>
      </c>
      <c r="V311" s="7">
        <f>IF(ISBLANK(patch[[#This Row],[project]]), "",SUM(patch[[#This Row],[BJ -1 num]:[SH -1 num]]))</f>
        <v>0</v>
      </c>
      <c r="W311" s="7">
        <f>IF(ISBLANK(patch[[#This Row],[project]]), "",COUNTIFS($A:$A,patch[[#This Row],[number]],$S:$S, "BJ And dev",$AC:$AC, "Review-1"))</f>
        <v>0</v>
      </c>
      <c r="X311" s="7">
        <f>IF(ISBLANK(patch[[#This Row],[project]]), "",COUNTIFS($A:$A,patch[[#This Row],[number]],$S:$S, "FL And dev",$AC:$AC, "Review-1"))</f>
        <v>0</v>
      </c>
      <c r="Y311" s="7">
        <f>IF(ISBLANK(patch[[#This Row],[project]]), "",COUNTIFS($A:$A,patch[[#This Row],[number]],$S:$S, "SH And dev",$AC:$AC, "Review-1"))</f>
        <v>0</v>
      </c>
      <c r="Z311" s="7">
        <f>IF(ISBLANK(patch[[#This Row],[project]]), "",COUNTIFS($A:$A,patch[[#This Row],[number]],$S:$S, "BJ And dev",$AD:$AD, "&lt;&gt;IntegratorValidationComment"))</f>
        <v>6</v>
      </c>
      <c r="AA311" s="7">
        <f>IF(ISBLANK(patch[[#This Row],[project]]), "",COUNTIFS($A:$A,patch[[#This Row],[number]],$S:$S, "FL And dev",$AD:$AD, "&lt;&gt;IntegratorValidationComment"))</f>
        <v>0</v>
      </c>
      <c r="AB311" s="7">
        <f>IF(ISBLANK(patch[[#This Row],[project]]), "",COUNTIFS($A:$A,patch[[#This Row],[number]],$S:$S, "SH And dev",$AD:$AD, "&lt;&gt;IntegratorValidationComment"))</f>
        <v>0</v>
      </c>
      <c r="AC311" s="7" t="str">
        <f>IF(OR(ISNUMBER(FIND("Review-1", patch[[#This Row],[comments]])), ISNUMBER(FIND("Approver-1", patch[[#This Row],[comments]]))), "Review-1", "")</f>
        <v/>
      </c>
      <c r="AD3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11" s="7" t="str">
        <f>IF(ISBLANK(patch[[#This Row],[number]]),AE310,patch[[#This Row],[ifCommon]])</f>
        <v>not AndrHAL</v>
      </c>
    </row>
    <row r="312" spans="1:31">
      <c r="A312" s="151">
        <v>147795</v>
      </c>
      <c r="B312" s="151"/>
      <c r="C312" s="151"/>
      <c r="D312" s="151"/>
      <c r="E312" s="151"/>
      <c r="F312" s="151"/>
      <c r="G312" s="151"/>
      <c r="H312" s="151"/>
      <c r="I312" s="151"/>
      <c r="J312" s="152">
        <v>42640.690578703703</v>
      </c>
      <c r="K312" s="151"/>
      <c r="L312" s="151" t="s">
        <v>61</v>
      </c>
      <c r="M312" s="152">
        <v>42636.766030092593</v>
      </c>
      <c r="N312" s="151" t="s">
        <v>25</v>
      </c>
      <c r="O312" s="151"/>
      <c r="P312" s="151"/>
      <c r="Q312" s="7" t="str">
        <f>IF(ISBLANK(patch[[#This Row],[OwnerEmail]]),Q311,patch[[#This Row],[OwnerEmail]])</f>
        <v>john.mathew@intel.com</v>
      </c>
      <c r="R312" s="7" t="str">
        <f>_xlfn.IFNA(VLOOKUP(patch[[#This Row],[tmp-owner.email]],OrgTree!$A:$K, 11, 0), "not ICG SWFW")</f>
        <v>FL And dev</v>
      </c>
      <c r="S312" s="7" t="str">
        <f>IF(patch[[#This Row],[reviewer]]=patch[[#This Row],[tmp-owner.email]], "author", _xlfn.IFNA(VLOOKUP(patch[[#This Row],[reviewer]],OrgTree!$A:$K, 11, 0), "not ICG SWFW"))</f>
        <v>author</v>
      </c>
      <c r="T312" s="7" t="str">
        <f>IF(ISBLANK(patch[[#This Row],[mergeDate]]), "", MID(YEAR(patch[[#This Row],[mergeDate]]), 3,2)&amp;"'ww"&amp;WEEKNUM(patch[[#This Row],[mergeDate]]))</f>
        <v>16'ww40</v>
      </c>
      <c r="U312" s="7" t="str">
        <f>IF(ISBLANK(patch[[#This Row],[mergeDate]]), U311, MID(YEAR(patch[[#This Row],[mergeDate]]), 3,2)&amp;"'m"&amp;MONTH(patch[[#This Row],[mergeDate]]))</f>
        <v>16'm9</v>
      </c>
      <c r="V312" s="7" t="str">
        <f>IF(ISBLANK(patch[[#This Row],[project]]), "",SUM(patch[[#This Row],[BJ -1 num]:[SH -1 num]]))</f>
        <v/>
      </c>
      <c r="W312" s="7" t="str">
        <f>IF(ISBLANK(patch[[#This Row],[project]]), "",COUNTIFS($A:$A,patch[[#This Row],[number]],$S:$S, "BJ And dev",$AC:$AC, "Review-1"))</f>
        <v/>
      </c>
      <c r="X312" s="7" t="str">
        <f>IF(ISBLANK(patch[[#This Row],[project]]), "",COUNTIFS($A:$A,patch[[#This Row],[number]],$S:$S, "FL And dev",$AC:$AC, "Review-1"))</f>
        <v/>
      </c>
      <c r="Y312" s="7" t="str">
        <f>IF(ISBLANK(patch[[#This Row],[project]]), "",COUNTIFS($A:$A,patch[[#This Row],[number]],$S:$S, "SH And dev",$AC:$AC, "Review-1"))</f>
        <v/>
      </c>
      <c r="Z312" s="7" t="str">
        <f>IF(ISBLANK(patch[[#This Row],[project]]), "",COUNTIFS($A:$A,patch[[#This Row],[number]],$S:$S, "BJ And dev",$AD:$AD, "&lt;&gt;IntegratorValidationComment"))</f>
        <v/>
      </c>
      <c r="AA312" s="7" t="str">
        <f>IF(ISBLANK(patch[[#This Row],[project]]), "",COUNTIFS($A:$A,patch[[#This Row],[number]],$S:$S, "FL And dev",$AD:$AD, "&lt;&gt;IntegratorValidationComment"))</f>
        <v/>
      </c>
      <c r="AB312" s="7" t="str">
        <f>IF(ISBLANK(patch[[#This Row],[project]]), "",COUNTIFS($A:$A,patch[[#This Row],[number]],$S:$S, "SH And dev",$AD:$AD, "&lt;&gt;IntegratorValidationComment"))</f>
        <v/>
      </c>
      <c r="AC312" s="7" t="str">
        <f>IF(OR(ISNUMBER(FIND("Review-1", patch[[#This Row],[comments]])), ISNUMBER(FIND("Approver-1", patch[[#This Row],[comments]]))), "Review-1", "")</f>
        <v/>
      </c>
      <c r="AD3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12" s="7">
        <f>IF(ISBLANK(patch[[#This Row],[number]]),AE311,patch[[#This Row],[ifCommon]])</f>
        <v>0</v>
      </c>
    </row>
    <row r="313" spans="1:31">
      <c r="A313" s="151">
        <v>147795</v>
      </c>
      <c r="B313" s="151"/>
      <c r="C313" s="151"/>
      <c r="D313" s="151"/>
      <c r="E313" s="151"/>
      <c r="F313" s="151"/>
      <c r="G313" s="151"/>
      <c r="H313" s="151"/>
      <c r="I313" s="151"/>
      <c r="J313" s="152">
        <v>42640.690578703703</v>
      </c>
      <c r="K313" s="151"/>
      <c r="L313" s="151" t="s">
        <v>61</v>
      </c>
      <c r="M313" s="152">
        <v>42636.766365740739</v>
      </c>
      <c r="N313" s="151" t="s">
        <v>40</v>
      </c>
      <c r="O313" s="151"/>
      <c r="P313" s="151"/>
      <c r="Q313" s="7" t="str">
        <f>IF(ISBLANK(patch[[#This Row],[OwnerEmail]]),Q312,patch[[#This Row],[OwnerEmail]])</f>
        <v>john.mathew@intel.com</v>
      </c>
      <c r="R313" s="7" t="str">
        <f>_xlfn.IFNA(VLOOKUP(patch[[#This Row],[tmp-owner.email]],OrgTree!$A:$K, 11, 0), "not ICG SWFW")</f>
        <v>FL And dev</v>
      </c>
      <c r="S313" s="7" t="str">
        <f>IF(patch[[#This Row],[reviewer]]=patch[[#This Row],[tmp-owner.email]], "author", _xlfn.IFNA(VLOOKUP(patch[[#This Row],[reviewer]],OrgTree!$A:$K, 11, 0), "not ICG SWFW"))</f>
        <v>author</v>
      </c>
      <c r="T313" s="7" t="str">
        <f>IF(ISBLANK(patch[[#This Row],[mergeDate]]), "", MID(YEAR(patch[[#This Row],[mergeDate]]), 3,2)&amp;"'ww"&amp;WEEKNUM(patch[[#This Row],[mergeDate]]))</f>
        <v>16'ww40</v>
      </c>
      <c r="U313" s="7" t="str">
        <f>IF(ISBLANK(patch[[#This Row],[mergeDate]]), U312, MID(YEAR(patch[[#This Row],[mergeDate]]), 3,2)&amp;"'m"&amp;MONTH(patch[[#This Row],[mergeDate]]))</f>
        <v>16'm9</v>
      </c>
      <c r="V313" s="7" t="str">
        <f>IF(ISBLANK(patch[[#This Row],[project]]), "",SUM(patch[[#This Row],[BJ -1 num]:[SH -1 num]]))</f>
        <v/>
      </c>
      <c r="W313" s="7" t="str">
        <f>IF(ISBLANK(patch[[#This Row],[project]]), "",COUNTIFS($A:$A,patch[[#This Row],[number]],$S:$S, "BJ And dev",$AC:$AC, "Review-1"))</f>
        <v/>
      </c>
      <c r="X313" s="7" t="str">
        <f>IF(ISBLANK(patch[[#This Row],[project]]), "",COUNTIFS($A:$A,patch[[#This Row],[number]],$S:$S, "FL And dev",$AC:$AC, "Review-1"))</f>
        <v/>
      </c>
      <c r="Y313" s="7" t="str">
        <f>IF(ISBLANK(patch[[#This Row],[project]]), "",COUNTIFS($A:$A,patch[[#This Row],[number]],$S:$S, "SH And dev",$AC:$AC, "Review-1"))</f>
        <v/>
      </c>
      <c r="Z313" s="7" t="str">
        <f>IF(ISBLANK(patch[[#This Row],[project]]), "",COUNTIFS($A:$A,patch[[#This Row],[number]],$S:$S, "BJ And dev",$AD:$AD, "&lt;&gt;IntegratorValidationComment"))</f>
        <v/>
      </c>
      <c r="AA313" s="7" t="str">
        <f>IF(ISBLANK(patch[[#This Row],[project]]), "",COUNTIFS($A:$A,patch[[#This Row],[number]],$S:$S, "FL And dev",$AD:$AD, "&lt;&gt;IntegratorValidationComment"))</f>
        <v/>
      </c>
      <c r="AB313" s="7" t="str">
        <f>IF(ISBLANK(patch[[#This Row],[project]]), "",COUNTIFS($A:$A,patch[[#This Row],[number]],$S:$S, "SH And dev",$AD:$AD, "&lt;&gt;IntegratorValidationComment"))</f>
        <v/>
      </c>
      <c r="AC313" s="7" t="str">
        <f>IF(OR(ISNUMBER(FIND("Review-1", patch[[#This Row],[comments]])), ISNUMBER(FIND("Approver-1", patch[[#This Row],[comments]]))), "Review-1", "")</f>
        <v/>
      </c>
      <c r="AD3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13" s="7">
        <f>IF(ISBLANK(patch[[#This Row],[number]]),AE312,patch[[#This Row],[ifCommon]])</f>
        <v>0</v>
      </c>
    </row>
    <row r="314" spans="1:31">
      <c r="A314" s="151">
        <v>147795</v>
      </c>
      <c r="B314" s="151"/>
      <c r="C314" s="151"/>
      <c r="D314" s="151"/>
      <c r="E314" s="151"/>
      <c r="F314" s="151"/>
      <c r="G314" s="151"/>
      <c r="H314" s="151"/>
      <c r="I314" s="151"/>
      <c r="J314" s="152">
        <v>42640.690578703703</v>
      </c>
      <c r="K314" s="151"/>
      <c r="L314" s="151" t="s">
        <v>59</v>
      </c>
      <c r="M314" s="152">
        <v>42636.772650462961</v>
      </c>
      <c r="N314" s="151" t="s">
        <v>2750</v>
      </c>
      <c r="O314" s="151"/>
      <c r="P314" s="151"/>
      <c r="Q314" s="7" t="str">
        <f>IF(ISBLANK(patch[[#This Row],[OwnerEmail]]),Q313,patch[[#This Row],[OwnerEmail]])</f>
        <v>john.mathew@intel.com</v>
      </c>
      <c r="R314" s="7" t="str">
        <f>_xlfn.IFNA(VLOOKUP(patch[[#This Row],[tmp-owner.email]],OrgTree!$A:$K, 11, 0), "not ICG SWFW")</f>
        <v>FL And dev</v>
      </c>
      <c r="S314" s="7" t="str">
        <f>IF(patch[[#This Row],[reviewer]]=patch[[#This Row],[tmp-owner.email]], "author", _xlfn.IFNA(VLOOKUP(patch[[#This Row],[reviewer]],OrgTree!$A:$K, 11, 0), "not ICG SWFW"))</f>
        <v>BJ And dev</v>
      </c>
      <c r="T314" s="7" t="str">
        <f>IF(ISBLANK(patch[[#This Row],[mergeDate]]), "", MID(YEAR(patch[[#This Row],[mergeDate]]), 3,2)&amp;"'ww"&amp;WEEKNUM(patch[[#This Row],[mergeDate]]))</f>
        <v>16'ww40</v>
      </c>
      <c r="U314" s="7" t="str">
        <f>IF(ISBLANK(patch[[#This Row],[mergeDate]]), U313, MID(YEAR(patch[[#This Row],[mergeDate]]), 3,2)&amp;"'m"&amp;MONTH(patch[[#This Row],[mergeDate]]))</f>
        <v>16'm9</v>
      </c>
      <c r="V314" s="7" t="str">
        <f>IF(ISBLANK(patch[[#This Row],[project]]), "",SUM(patch[[#This Row],[BJ -1 num]:[SH -1 num]]))</f>
        <v/>
      </c>
      <c r="W314" s="7" t="str">
        <f>IF(ISBLANK(patch[[#This Row],[project]]), "",COUNTIFS($A:$A,patch[[#This Row],[number]],$S:$S, "BJ And dev",$AC:$AC, "Review-1"))</f>
        <v/>
      </c>
      <c r="X314" s="7" t="str">
        <f>IF(ISBLANK(patch[[#This Row],[project]]), "",COUNTIFS($A:$A,patch[[#This Row],[number]],$S:$S, "FL And dev",$AC:$AC, "Review-1"))</f>
        <v/>
      </c>
      <c r="Y314" s="7" t="str">
        <f>IF(ISBLANK(patch[[#This Row],[project]]), "",COUNTIFS($A:$A,patch[[#This Row],[number]],$S:$S, "SH And dev",$AC:$AC, "Review-1"))</f>
        <v/>
      </c>
      <c r="Z314" s="7" t="str">
        <f>IF(ISBLANK(patch[[#This Row],[project]]), "",COUNTIFS($A:$A,patch[[#This Row],[number]],$S:$S, "BJ And dev",$AD:$AD, "&lt;&gt;IntegratorValidationComment"))</f>
        <v/>
      </c>
      <c r="AA314" s="7" t="str">
        <f>IF(ISBLANK(patch[[#This Row],[project]]), "",COUNTIFS($A:$A,patch[[#This Row],[number]],$S:$S, "FL And dev",$AD:$AD, "&lt;&gt;IntegratorValidationComment"))</f>
        <v/>
      </c>
      <c r="AB314" s="7" t="str">
        <f>IF(ISBLANK(patch[[#This Row],[project]]), "",COUNTIFS($A:$A,patch[[#This Row],[number]],$S:$S, "SH And dev",$AD:$AD, "&lt;&gt;IntegratorValidationComment"))</f>
        <v/>
      </c>
      <c r="AC314" s="7" t="str">
        <f>IF(OR(ISNUMBER(FIND("Review-1", patch[[#This Row],[comments]])), ISNUMBER(FIND("Approver-1", patch[[#This Row],[comments]]))), "Review-1", "")</f>
        <v/>
      </c>
      <c r="AD3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14" s="7">
        <f>IF(ISBLANK(patch[[#This Row],[number]]),AE313,patch[[#This Row],[ifCommon]])</f>
        <v>0</v>
      </c>
    </row>
    <row r="315" spans="1:31">
      <c r="A315" s="151">
        <v>147795</v>
      </c>
      <c r="B315" s="151"/>
      <c r="C315" s="151"/>
      <c r="D315" s="151"/>
      <c r="E315" s="151"/>
      <c r="F315" s="151"/>
      <c r="G315" s="151"/>
      <c r="H315" s="151"/>
      <c r="I315" s="151"/>
      <c r="J315" s="152">
        <v>42640.690578703703</v>
      </c>
      <c r="K315" s="151"/>
      <c r="L315" s="151" t="s">
        <v>59</v>
      </c>
      <c r="M315" s="152">
        <v>42636.77789351852</v>
      </c>
      <c r="N315" s="151" t="s">
        <v>2751</v>
      </c>
      <c r="O315" s="151"/>
      <c r="P315" s="151"/>
      <c r="Q315" s="7" t="str">
        <f>IF(ISBLANK(patch[[#This Row],[OwnerEmail]]),Q314,patch[[#This Row],[OwnerEmail]])</f>
        <v>john.mathew@intel.com</v>
      </c>
      <c r="R315" s="7" t="str">
        <f>_xlfn.IFNA(VLOOKUP(patch[[#This Row],[tmp-owner.email]],OrgTree!$A:$K, 11, 0), "not ICG SWFW")</f>
        <v>FL And dev</v>
      </c>
      <c r="S315" s="7" t="str">
        <f>IF(patch[[#This Row],[reviewer]]=patch[[#This Row],[tmp-owner.email]], "author", _xlfn.IFNA(VLOOKUP(patch[[#This Row],[reviewer]],OrgTree!$A:$K, 11, 0), "not ICG SWFW"))</f>
        <v>BJ And dev</v>
      </c>
      <c r="T315" s="7" t="str">
        <f>IF(ISBLANK(patch[[#This Row],[mergeDate]]), "", MID(YEAR(patch[[#This Row],[mergeDate]]), 3,2)&amp;"'ww"&amp;WEEKNUM(patch[[#This Row],[mergeDate]]))</f>
        <v>16'ww40</v>
      </c>
      <c r="U315" s="7" t="str">
        <f>IF(ISBLANK(patch[[#This Row],[mergeDate]]), U314, MID(YEAR(patch[[#This Row],[mergeDate]]), 3,2)&amp;"'m"&amp;MONTH(patch[[#This Row],[mergeDate]]))</f>
        <v>16'm9</v>
      </c>
      <c r="V315" s="7" t="str">
        <f>IF(ISBLANK(patch[[#This Row],[project]]), "",SUM(patch[[#This Row],[BJ -1 num]:[SH -1 num]]))</f>
        <v/>
      </c>
      <c r="W315" s="7" t="str">
        <f>IF(ISBLANK(patch[[#This Row],[project]]), "",COUNTIFS($A:$A,patch[[#This Row],[number]],$S:$S, "BJ And dev",$AC:$AC, "Review-1"))</f>
        <v/>
      </c>
      <c r="X315" s="7" t="str">
        <f>IF(ISBLANK(patch[[#This Row],[project]]), "",COUNTIFS($A:$A,patch[[#This Row],[number]],$S:$S, "FL And dev",$AC:$AC, "Review-1"))</f>
        <v/>
      </c>
      <c r="Y315" s="7" t="str">
        <f>IF(ISBLANK(patch[[#This Row],[project]]), "",COUNTIFS($A:$A,patch[[#This Row],[number]],$S:$S, "SH And dev",$AC:$AC, "Review-1"))</f>
        <v/>
      </c>
      <c r="Z315" s="7" t="str">
        <f>IF(ISBLANK(patch[[#This Row],[project]]), "",COUNTIFS($A:$A,patch[[#This Row],[number]],$S:$S, "BJ And dev",$AD:$AD, "&lt;&gt;IntegratorValidationComment"))</f>
        <v/>
      </c>
      <c r="AA315" s="7" t="str">
        <f>IF(ISBLANK(patch[[#This Row],[project]]), "",COUNTIFS($A:$A,patch[[#This Row],[number]],$S:$S, "FL And dev",$AD:$AD, "&lt;&gt;IntegratorValidationComment"))</f>
        <v/>
      </c>
      <c r="AB315" s="7" t="str">
        <f>IF(ISBLANK(patch[[#This Row],[project]]), "",COUNTIFS($A:$A,patch[[#This Row],[number]],$S:$S, "SH And dev",$AD:$AD, "&lt;&gt;IntegratorValidationComment"))</f>
        <v/>
      </c>
      <c r="AC315" s="7" t="str">
        <f>IF(OR(ISNUMBER(FIND("Review-1", patch[[#This Row],[comments]])), ISNUMBER(FIND("Approver-1", patch[[#This Row],[comments]]))), "Review-1", "")</f>
        <v/>
      </c>
      <c r="AD3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15" s="7">
        <f>IF(ISBLANK(patch[[#This Row],[number]]),AE314,patch[[#This Row],[ifCommon]])</f>
        <v>0</v>
      </c>
    </row>
    <row r="316" spans="1:31">
      <c r="A316" s="151">
        <v>147795</v>
      </c>
      <c r="B316" s="151"/>
      <c r="C316" s="151"/>
      <c r="D316" s="151"/>
      <c r="E316" s="151"/>
      <c r="F316" s="151"/>
      <c r="G316" s="151"/>
      <c r="H316" s="151"/>
      <c r="I316" s="151"/>
      <c r="J316" s="152">
        <v>42640.690578703703</v>
      </c>
      <c r="K316" s="151"/>
      <c r="L316" s="151" t="s">
        <v>61</v>
      </c>
      <c r="M316" s="152">
        <v>42636.845543981479</v>
      </c>
      <c r="N316" s="151" t="s">
        <v>2460</v>
      </c>
      <c r="O316" s="151"/>
      <c r="P316" s="151"/>
      <c r="Q316" s="7" t="str">
        <f>IF(ISBLANK(patch[[#This Row],[OwnerEmail]]),Q315,patch[[#This Row],[OwnerEmail]])</f>
        <v>john.mathew@intel.com</v>
      </c>
      <c r="R316" s="7" t="str">
        <f>_xlfn.IFNA(VLOOKUP(patch[[#This Row],[tmp-owner.email]],OrgTree!$A:$K, 11, 0), "not ICG SWFW")</f>
        <v>FL And dev</v>
      </c>
      <c r="S316" s="7" t="str">
        <f>IF(patch[[#This Row],[reviewer]]=patch[[#This Row],[tmp-owner.email]], "author", _xlfn.IFNA(VLOOKUP(patch[[#This Row],[reviewer]],OrgTree!$A:$K, 11, 0), "not ICG SWFW"))</f>
        <v>author</v>
      </c>
      <c r="T316" s="7" t="str">
        <f>IF(ISBLANK(patch[[#This Row],[mergeDate]]), "", MID(YEAR(patch[[#This Row],[mergeDate]]), 3,2)&amp;"'ww"&amp;WEEKNUM(patch[[#This Row],[mergeDate]]))</f>
        <v>16'ww40</v>
      </c>
      <c r="U316" s="7" t="str">
        <f>IF(ISBLANK(patch[[#This Row],[mergeDate]]), U315, MID(YEAR(patch[[#This Row],[mergeDate]]), 3,2)&amp;"'m"&amp;MONTH(patch[[#This Row],[mergeDate]]))</f>
        <v>16'm9</v>
      </c>
      <c r="V316" s="7" t="str">
        <f>IF(ISBLANK(patch[[#This Row],[project]]), "",SUM(patch[[#This Row],[BJ -1 num]:[SH -1 num]]))</f>
        <v/>
      </c>
      <c r="W316" s="7" t="str">
        <f>IF(ISBLANK(patch[[#This Row],[project]]), "",COUNTIFS($A:$A,patch[[#This Row],[number]],$S:$S, "BJ And dev",$AC:$AC, "Review-1"))</f>
        <v/>
      </c>
      <c r="X316" s="7" t="str">
        <f>IF(ISBLANK(patch[[#This Row],[project]]), "",COUNTIFS($A:$A,patch[[#This Row],[number]],$S:$S, "FL And dev",$AC:$AC, "Review-1"))</f>
        <v/>
      </c>
      <c r="Y316" s="7" t="str">
        <f>IF(ISBLANK(patch[[#This Row],[project]]), "",COUNTIFS($A:$A,patch[[#This Row],[number]],$S:$S, "SH And dev",$AC:$AC, "Review-1"))</f>
        <v/>
      </c>
      <c r="Z316" s="7" t="str">
        <f>IF(ISBLANK(patch[[#This Row],[project]]), "",COUNTIFS($A:$A,patch[[#This Row],[number]],$S:$S, "BJ And dev",$AD:$AD, "&lt;&gt;IntegratorValidationComment"))</f>
        <v/>
      </c>
      <c r="AA316" s="7" t="str">
        <f>IF(ISBLANK(patch[[#This Row],[project]]), "",COUNTIFS($A:$A,patch[[#This Row],[number]],$S:$S, "FL And dev",$AD:$AD, "&lt;&gt;IntegratorValidationComment"))</f>
        <v/>
      </c>
      <c r="AB316" s="7" t="str">
        <f>IF(ISBLANK(patch[[#This Row],[project]]), "",COUNTIFS($A:$A,patch[[#This Row],[number]],$S:$S, "SH And dev",$AD:$AD, "&lt;&gt;IntegratorValidationComment"))</f>
        <v/>
      </c>
      <c r="AC316" s="7" t="str">
        <f>IF(OR(ISNUMBER(FIND("Review-1", patch[[#This Row],[comments]])), ISNUMBER(FIND("Approver-1", patch[[#This Row],[comments]]))), "Review-1", "")</f>
        <v/>
      </c>
      <c r="AD3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16" s="7">
        <f>IF(ISBLANK(patch[[#This Row],[number]]),AE315,patch[[#This Row],[ifCommon]])</f>
        <v>0</v>
      </c>
    </row>
    <row r="317" spans="1:31">
      <c r="A317" s="151">
        <v>147795</v>
      </c>
      <c r="B317" s="151"/>
      <c r="C317" s="151"/>
      <c r="D317" s="151"/>
      <c r="E317" s="151"/>
      <c r="F317" s="151"/>
      <c r="G317" s="151"/>
      <c r="H317" s="151"/>
      <c r="I317" s="151"/>
      <c r="J317" s="152">
        <v>42640.690578703703</v>
      </c>
      <c r="K317" s="151"/>
      <c r="L317" s="151" t="s">
        <v>61</v>
      </c>
      <c r="M317" s="152">
        <v>42636.845543981479</v>
      </c>
      <c r="N317" s="151" t="s">
        <v>2429</v>
      </c>
      <c r="O317" s="151"/>
      <c r="P317" s="151"/>
      <c r="Q317" s="7" t="str">
        <f>IF(ISBLANK(patch[[#This Row],[OwnerEmail]]),Q316,patch[[#This Row],[OwnerEmail]])</f>
        <v>john.mathew@intel.com</v>
      </c>
      <c r="R317" s="7" t="str">
        <f>_xlfn.IFNA(VLOOKUP(patch[[#This Row],[tmp-owner.email]],OrgTree!$A:$K, 11, 0), "not ICG SWFW")</f>
        <v>FL And dev</v>
      </c>
      <c r="S317" s="7" t="str">
        <f>IF(patch[[#This Row],[reviewer]]=patch[[#This Row],[tmp-owner.email]], "author", _xlfn.IFNA(VLOOKUP(patch[[#This Row],[reviewer]],OrgTree!$A:$K, 11, 0), "not ICG SWFW"))</f>
        <v>author</v>
      </c>
      <c r="T317" s="7" t="str">
        <f>IF(ISBLANK(patch[[#This Row],[mergeDate]]), "", MID(YEAR(patch[[#This Row],[mergeDate]]), 3,2)&amp;"'ww"&amp;WEEKNUM(patch[[#This Row],[mergeDate]]))</f>
        <v>16'ww40</v>
      </c>
      <c r="U317" s="7" t="str">
        <f>IF(ISBLANK(patch[[#This Row],[mergeDate]]), U316, MID(YEAR(patch[[#This Row],[mergeDate]]), 3,2)&amp;"'m"&amp;MONTH(patch[[#This Row],[mergeDate]]))</f>
        <v>16'm9</v>
      </c>
      <c r="V317" s="7" t="str">
        <f>IF(ISBLANK(patch[[#This Row],[project]]), "",SUM(patch[[#This Row],[BJ -1 num]:[SH -1 num]]))</f>
        <v/>
      </c>
      <c r="W317" s="7" t="str">
        <f>IF(ISBLANK(patch[[#This Row],[project]]), "",COUNTIFS($A:$A,patch[[#This Row],[number]],$S:$S, "BJ And dev",$AC:$AC, "Review-1"))</f>
        <v/>
      </c>
      <c r="X317" s="7" t="str">
        <f>IF(ISBLANK(patch[[#This Row],[project]]), "",COUNTIFS($A:$A,patch[[#This Row],[number]],$S:$S, "FL And dev",$AC:$AC, "Review-1"))</f>
        <v/>
      </c>
      <c r="Y317" s="7" t="str">
        <f>IF(ISBLANK(patch[[#This Row],[project]]), "",COUNTIFS($A:$A,patch[[#This Row],[number]],$S:$S, "SH And dev",$AC:$AC, "Review-1"))</f>
        <v/>
      </c>
      <c r="Z317" s="7" t="str">
        <f>IF(ISBLANK(patch[[#This Row],[project]]), "",COUNTIFS($A:$A,patch[[#This Row],[number]],$S:$S, "BJ And dev",$AD:$AD, "&lt;&gt;IntegratorValidationComment"))</f>
        <v/>
      </c>
      <c r="AA317" s="7" t="str">
        <f>IF(ISBLANK(patch[[#This Row],[project]]), "",COUNTIFS($A:$A,patch[[#This Row],[number]],$S:$S, "FL And dev",$AD:$AD, "&lt;&gt;IntegratorValidationComment"))</f>
        <v/>
      </c>
      <c r="AB317" s="7" t="str">
        <f>IF(ISBLANK(patch[[#This Row],[project]]), "",COUNTIFS($A:$A,patch[[#This Row],[number]],$S:$S, "SH And dev",$AD:$AD, "&lt;&gt;IntegratorValidationComment"))</f>
        <v/>
      </c>
      <c r="AC317" s="7" t="str">
        <f>IF(OR(ISNUMBER(FIND("Review-1", patch[[#This Row],[comments]])), ISNUMBER(FIND("Approver-1", patch[[#This Row],[comments]]))), "Review-1", "")</f>
        <v/>
      </c>
      <c r="AD3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17" s="7">
        <f>IF(ISBLANK(patch[[#This Row],[number]]),AE316,patch[[#This Row],[ifCommon]])</f>
        <v>0</v>
      </c>
    </row>
    <row r="318" spans="1:31">
      <c r="A318" s="151">
        <v>147795</v>
      </c>
      <c r="B318" s="151"/>
      <c r="C318" s="151"/>
      <c r="D318" s="151"/>
      <c r="E318" s="151"/>
      <c r="F318" s="151"/>
      <c r="G318" s="151"/>
      <c r="H318" s="151"/>
      <c r="I318" s="151"/>
      <c r="J318" s="152">
        <v>42640.690578703703</v>
      </c>
      <c r="K318" s="151"/>
      <c r="L318" s="151" t="s">
        <v>59</v>
      </c>
      <c r="M318" s="152">
        <v>42639.381111111114</v>
      </c>
      <c r="N318" s="151" t="s">
        <v>2752</v>
      </c>
      <c r="O318" s="151"/>
      <c r="P318" s="151"/>
      <c r="Q318" s="7" t="str">
        <f>IF(ISBLANK(patch[[#This Row],[OwnerEmail]]),Q317,patch[[#This Row],[OwnerEmail]])</f>
        <v>john.mathew@intel.com</v>
      </c>
      <c r="R318" s="7" t="str">
        <f>_xlfn.IFNA(VLOOKUP(patch[[#This Row],[tmp-owner.email]],OrgTree!$A:$K, 11, 0), "not ICG SWFW")</f>
        <v>FL And dev</v>
      </c>
      <c r="S318" s="7" t="str">
        <f>IF(patch[[#This Row],[reviewer]]=patch[[#This Row],[tmp-owner.email]], "author", _xlfn.IFNA(VLOOKUP(patch[[#This Row],[reviewer]],OrgTree!$A:$K, 11, 0), "not ICG SWFW"))</f>
        <v>BJ And dev</v>
      </c>
      <c r="T318" s="7" t="str">
        <f>IF(ISBLANK(patch[[#This Row],[mergeDate]]), "", MID(YEAR(patch[[#This Row],[mergeDate]]), 3,2)&amp;"'ww"&amp;WEEKNUM(patch[[#This Row],[mergeDate]]))</f>
        <v>16'ww40</v>
      </c>
      <c r="U318" s="7" t="str">
        <f>IF(ISBLANK(patch[[#This Row],[mergeDate]]), U317, MID(YEAR(patch[[#This Row],[mergeDate]]), 3,2)&amp;"'m"&amp;MONTH(patch[[#This Row],[mergeDate]]))</f>
        <v>16'm9</v>
      </c>
      <c r="V318" s="7" t="str">
        <f>IF(ISBLANK(patch[[#This Row],[project]]), "",SUM(patch[[#This Row],[BJ -1 num]:[SH -1 num]]))</f>
        <v/>
      </c>
      <c r="W318" s="7" t="str">
        <f>IF(ISBLANK(patch[[#This Row],[project]]), "",COUNTIFS($A:$A,patch[[#This Row],[number]],$S:$S, "BJ And dev",$AC:$AC, "Review-1"))</f>
        <v/>
      </c>
      <c r="X318" s="7" t="str">
        <f>IF(ISBLANK(patch[[#This Row],[project]]), "",COUNTIFS($A:$A,patch[[#This Row],[number]],$S:$S, "FL And dev",$AC:$AC, "Review-1"))</f>
        <v/>
      </c>
      <c r="Y318" s="7" t="str">
        <f>IF(ISBLANK(patch[[#This Row],[project]]), "",COUNTIFS($A:$A,patch[[#This Row],[number]],$S:$S, "SH And dev",$AC:$AC, "Review-1"))</f>
        <v/>
      </c>
      <c r="Z318" s="7" t="str">
        <f>IF(ISBLANK(patch[[#This Row],[project]]), "",COUNTIFS($A:$A,patch[[#This Row],[number]],$S:$S, "BJ And dev",$AD:$AD, "&lt;&gt;IntegratorValidationComment"))</f>
        <v/>
      </c>
      <c r="AA318" s="7" t="str">
        <f>IF(ISBLANK(patch[[#This Row],[project]]), "",COUNTIFS($A:$A,patch[[#This Row],[number]],$S:$S, "FL And dev",$AD:$AD, "&lt;&gt;IntegratorValidationComment"))</f>
        <v/>
      </c>
      <c r="AB318" s="7" t="str">
        <f>IF(ISBLANK(patch[[#This Row],[project]]), "",COUNTIFS($A:$A,patch[[#This Row],[number]],$S:$S, "SH And dev",$AD:$AD, "&lt;&gt;IntegratorValidationComment"))</f>
        <v/>
      </c>
      <c r="AC318" s="7" t="str">
        <f>IF(OR(ISNUMBER(FIND("Review-1", patch[[#This Row],[comments]])), ISNUMBER(FIND("Approver-1", patch[[#This Row],[comments]]))), "Review-1", "")</f>
        <v/>
      </c>
      <c r="AD3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18" s="7">
        <f>IF(ISBLANK(patch[[#This Row],[number]]),AE317,patch[[#This Row],[ifCommon]])</f>
        <v>0</v>
      </c>
    </row>
    <row r="319" spans="1:31">
      <c r="A319" s="151">
        <v>147795</v>
      </c>
      <c r="B319" s="151"/>
      <c r="C319" s="151"/>
      <c r="D319" s="151"/>
      <c r="E319" s="151"/>
      <c r="F319" s="151"/>
      <c r="G319" s="151"/>
      <c r="H319" s="151"/>
      <c r="I319" s="151"/>
      <c r="J319" s="152">
        <v>42640.690578703703</v>
      </c>
      <c r="K319" s="151"/>
      <c r="L319" s="151" t="s">
        <v>59</v>
      </c>
      <c r="M319" s="152">
        <v>42639.392256944448</v>
      </c>
      <c r="N319" s="151" t="s">
        <v>2753</v>
      </c>
      <c r="O319" s="151"/>
      <c r="P319" s="151"/>
      <c r="Q319" s="7" t="str">
        <f>IF(ISBLANK(patch[[#This Row],[OwnerEmail]]),Q318,patch[[#This Row],[OwnerEmail]])</f>
        <v>john.mathew@intel.com</v>
      </c>
      <c r="R319" s="7" t="str">
        <f>_xlfn.IFNA(VLOOKUP(patch[[#This Row],[tmp-owner.email]],OrgTree!$A:$K, 11, 0), "not ICG SWFW")</f>
        <v>FL And dev</v>
      </c>
      <c r="S319" s="7" t="str">
        <f>IF(patch[[#This Row],[reviewer]]=patch[[#This Row],[tmp-owner.email]], "author", _xlfn.IFNA(VLOOKUP(patch[[#This Row],[reviewer]],OrgTree!$A:$K, 11, 0), "not ICG SWFW"))</f>
        <v>BJ And dev</v>
      </c>
      <c r="T319" s="7" t="str">
        <f>IF(ISBLANK(patch[[#This Row],[mergeDate]]), "", MID(YEAR(patch[[#This Row],[mergeDate]]), 3,2)&amp;"'ww"&amp;WEEKNUM(patch[[#This Row],[mergeDate]]))</f>
        <v>16'ww40</v>
      </c>
      <c r="U319" s="7" t="str">
        <f>IF(ISBLANK(patch[[#This Row],[mergeDate]]), U318, MID(YEAR(patch[[#This Row],[mergeDate]]), 3,2)&amp;"'m"&amp;MONTH(patch[[#This Row],[mergeDate]]))</f>
        <v>16'm9</v>
      </c>
      <c r="V319" s="7" t="str">
        <f>IF(ISBLANK(patch[[#This Row],[project]]), "",SUM(patch[[#This Row],[BJ -1 num]:[SH -1 num]]))</f>
        <v/>
      </c>
      <c r="W319" s="7" t="str">
        <f>IF(ISBLANK(patch[[#This Row],[project]]), "",COUNTIFS($A:$A,patch[[#This Row],[number]],$S:$S, "BJ And dev",$AC:$AC, "Review-1"))</f>
        <v/>
      </c>
      <c r="X319" s="7" t="str">
        <f>IF(ISBLANK(patch[[#This Row],[project]]), "",COUNTIFS($A:$A,patch[[#This Row],[number]],$S:$S, "FL And dev",$AC:$AC, "Review-1"))</f>
        <v/>
      </c>
      <c r="Y319" s="7" t="str">
        <f>IF(ISBLANK(patch[[#This Row],[project]]), "",COUNTIFS($A:$A,patch[[#This Row],[number]],$S:$S, "SH And dev",$AC:$AC, "Review-1"))</f>
        <v/>
      </c>
      <c r="Z319" s="7" t="str">
        <f>IF(ISBLANK(patch[[#This Row],[project]]), "",COUNTIFS($A:$A,patch[[#This Row],[number]],$S:$S, "BJ And dev",$AD:$AD, "&lt;&gt;IntegratorValidationComment"))</f>
        <v/>
      </c>
      <c r="AA319" s="7" t="str">
        <f>IF(ISBLANK(patch[[#This Row],[project]]), "",COUNTIFS($A:$A,patch[[#This Row],[number]],$S:$S, "FL And dev",$AD:$AD, "&lt;&gt;IntegratorValidationComment"))</f>
        <v/>
      </c>
      <c r="AB319" s="7" t="str">
        <f>IF(ISBLANK(patch[[#This Row],[project]]), "",COUNTIFS($A:$A,patch[[#This Row],[number]],$S:$S, "SH And dev",$AD:$AD, "&lt;&gt;IntegratorValidationComment"))</f>
        <v/>
      </c>
      <c r="AC319" s="7" t="str">
        <f>IF(OR(ISNUMBER(FIND("Review-1", patch[[#This Row],[comments]])), ISNUMBER(FIND("Approver-1", patch[[#This Row],[comments]]))), "Review-1", "")</f>
        <v/>
      </c>
      <c r="AD3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19" s="7">
        <f>IF(ISBLANK(patch[[#This Row],[number]]),AE318,patch[[#This Row],[ifCommon]])</f>
        <v>0</v>
      </c>
    </row>
    <row r="320" spans="1:31">
      <c r="A320" s="151">
        <v>147795</v>
      </c>
      <c r="B320" s="151"/>
      <c r="C320" s="151"/>
      <c r="D320" s="151"/>
      <c r="E320" s="151"/>
      <c r="F320" s="151"/>
      <c r="G320" s="151"/>
      <c r="H320" s="151"/>
      <c r="I320" s="151"/>
      <c r="J320" s="152">
        <v>42640.690578703703</v>
      </c>
      <c r="K320" s="151"/>
      <c r="L320" s="151" t="s">
        <v>32</v>
      </c>
      <c r="M320" s="152">
        <v>42639.579895833333</v>
      </c>
      <c r="N320" s="151" t="s">
        <v>27</v>
      </c>
      <c r="O320" s="151"/>
      <c r="P320" s="151"/>
      <c r="Q320" s="7" t="str">
        <f>IF(ISBLANK(patch[[#This Row],[OwnerEmail]]),Q319,patch[[#This Row],[OwnerEmail]])</f>
        <v>john.mathew@intel.com</v>
      </c>
      <c r="R320" s="7" t="str">
        <f>_xlfn.IFNA(VLOOKUP(patch[[#This Row],[tmp-owner.email]],OrgTree!$A:$K, 11, 0), "not ICG SWFW")</f>
        <v>FL And dev</v>
      </c>
      <c r="S320" s="7" t="str">
        <f>IF(patch[[#This Row],[reviewer]]=patch[[#This Row],[tmp-owner.email]], "author", _xlfn.IFNA(VLOOKUP(patch[[#This Row],[reviewer]],OrgTree!$A:$K, 11, 0), "not ICG SWFW"))</f>
        <v>BJ And dev</v>
      </c>
      <c r="T320" s="7" t="str">
        <f>IF(ISBLANK(patch[[#This Row],[mergeDate]]), "", MID(YEAR(patch[[#This Row],[mergeDate]]), 3,2)&amp;"'ww"&amp;WEEKNUM(patch[[#This Row],[mergeDate]]))</f>
        <v>16'ww40</v>
      </c>
      <c r="U320" s="7" t="str">
        <f>IF(ISBLANK(patch[[#This Row],[mergeDate]]), U319, MID(YEAR(patch[[#This Row],[mergeDate]]), 3,2)&amp;"'m"&amp;MONTH(patch[[#This Row],[mergeDate]]))</f>
        <v>16'm9</v>
      </c>
      <c r="V320" s="7" t="str">
        <f>IF(ISBLANK(patch[[#This Row],[project]]), "",SUM(patch[[#This Row],[BJ -1 num]:[SH -1 num]]))</f>
        <v/>
      </c>
      <c r="W320" s="7" t="str">
        <f>IF(ISBLANK(patch[[#This Row],[project]]), "",COUNTIFS($A:$A,patch[[#This Row],[number]],$S:$S, "BJ And dev",$AC:$AC, "Review-1"))</f>
        <v/>
      </c>
      <c r="X320" s="7" t="str">
        <f>IF(ISBLANK(patch[[#This Row],[project]]), "",COUNTIFS($A:$A,patch[[#This Row],[number]],$S:$S, "FL And dev",$AC:$AC, "Review-1"))</f>
        <v/>
      </c>
      <c r="Y320" s="7" t="str">
        <f>IF(ISBLANK(patch[[#This Row],[project]]), "",COUNTIFS($A:$A,patch[[#This Row],[number]],$S:$S, "SH And dev",$AC:$AC, "Review-1"))</f>
        <v/>
      </c>
      <c r="Z320" s="7" t="str">
        <f>IF(ISBLANK(patch[[#This Row],[project]]), "",COUNTIFS($A:$A,patch[[#This Row],[number]],$S:$S, "BJ And dev",$AD:$AD, "&lt;&gt;IntegratorValidationComment"))</f>
        <v/>
      </c>
      <c r="AA320" s="7" t="str">
        <f>IF(ISBLANK(patch[[#This Row],[project]]), "",COUNTIFS($A:$A,patch[[#This Row],[number]],$S:$S, "FL And dev",$AD:$AD, "&lt;&gt;IntegratorValidationComment"))</f>
        <v/>
      </c>
      <c r="AB320" s="7" t="str">
        <f>IF(ISBLANK(patch[[#This Row],[project]]), "",COUNTIFS($A:$A,patch[[#This Row],[number]],$S:$S, "SH And dev",$AD:$AD, "&lt;&gt;IntegratorValidationComment"))</f>
        <v/>
      </c>
      <c r="AC320" s="7" t="str">
        <f>IF(OR(ISNUMBER(FIND("Review-1", patch[[#This Row],[comments]])), ISNUMBER(FIND("Approver-1", patch[[#This Row],[comments]]))), "Review-1", "")</f>
        <v/>
      </c>
      <c r="AD3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20" s="7">
        <f>IF(ISBLANK(patch[[#This Row],[number]]),AE319,patch[[#This Row],[ifCommon]])</f>
        <v>0</v>
      </c>
    </row>
    <row r="321" spans="1:31">
      <c r="A321" s="151">
        <v>147795</v>
      </c>
      <c r="B321" s="151"/>
      <c r="C321" s="151"/>
      <c r="D321" s="151"/>
      <c r="E321" s="151"/>
      <c r="F321" s="151"/>
      <c r="G321" s="151"/>
      <c r="H321" s="151"/>
      <c r="I321" s="151"/>
      <c r="J321" s="152">
        <v>42640.690578703703</v>
      </c>
      <c r="K321" s="151"/>
      <c r="L321" s="151" t="s">
        <v>59</v>
      </c>
      <c r="M321" s="152">
        <v>42639.584282407413</v>
      </c>
      <c r="N321" s="151" t="s">
        <v>1873</v>
      </c>
      <c r="O321" s="151"/>
      <c r="P321" s="151"/>
      <c r="Q321" s="7" t="str">
        <f>IF(ISBLANK(patch[[#This Row],[OwnerEmail]]),Q320,patch[[#This Row],[OwnerEmail]])</f>
        <v>john.mathew@intel.com</v>
      </c>
      <c r="R321" s="7" t="str">
        <f>_xlfn.IFNA(VLOOKUP(patch[[#This Row],[tmp-owner.email]],OrgTree!$A:$K, 11, 0), "not ICG SWFW")</f>
        <v>FL And dev</v>
      </c>
      <c r="S321" s="7" t="str">
        <f>IF(patch[[#This Row],[reviewer]]=patch[[#This Row],[tmp-owner.email]], "author", _xlfn.IFNA(VLOOKUP(patch[[#This Row],[reviewer]],OrgTree!$A:$K, 11, 0), "not ICG SWFW"))</f>
        <v>BJ And dev</v>
      </c>
      <c r="T321" s="7" t="str">
        <f>IF(ISBLANK(patch[[#This Row],[mergeDate]]), "", MID(YEAR(patch[[#This Row],[mergeDate]]), 3,2)&amp;"'ww"&amp;WEEKNUM(patch[[#This Row],[mergeDate]]))</f>
        <v>16'ww40</v>
      </c>
      <c r="U321" s="7" t="str">
        <f>IF(ISBLANK(patch[[#This Row],[mergeDate]]), U320, MID(YEAR(patch[[#This Row],[mergeDate]]), 3,2)&amp;"'m"&amp;MONTH(patch[[#This Row],[mergeDate]]))</f>
        <v>16'm9</v>
      </c>
      <c r="V321" s="7" t="str">
        <f>IF(ISBLANK(patch[[#This Row],[project]]), "",SUM(patch[[#This Row],[BJ -1 num]:[SH -1 num]]))</f>
        <v/>
      </c>
      <c r="W321" s="7" t="str">
        <f>IF(ISBLANK(patch[[#This Row],[project]]), "",COUNTIFS($A:$A,patch[[#This Row],[number]],$S:$S, "BJ And dev",$AC:$AC, "Review-1"))</f>
        <v/>
      </c>
      <c r="X321" s="7" t="str">
        <f>IF(ISBLANK(patch[[#This Row],[project]]), "",COUNTIFS($A:$A,patch[[#This Row],[number]],$S:$S, "FL And dev",$AC:$AC, "Review-1"))</f>
        <v/>
      </c>
      <c r="Y321" s="7" t="str">
        <f>IF(ISBLANK(patch[[#This Row],[project]]), "",COUNTIFS($A:$A,patch[[#This Row],[number]],$S:$S, "SH And dev",$AC:$AC, "Review-1"))</f>
        <v/>
      </c>
      <c r="Z321" s="7" t="str">
        <f>IF(ISBLANK(patch[[#This Row],[project]]), "",COUNTIFS($A:$A,patch[[#This Row],[number]],$S:$S, "BJ And dev",$AD:$AD, "&lt;&gt;IntegratorValidationComment"))</f>
        <v/>
      </c>
      <c r="AA321" s="7" t="str">
        <f>IF(ISBLANK(patch[[#This Row],[project]]), "",COUNTIFS($A:$A,patch[[#This Row],[number]],$S:$S, "FL And dev",$AD:$AD, "&lt;&gt;IntegratorValidationComment"))</f>
        <v/>
      </c>
      <c r="AB321" s="7" t="str">
        <f>IF(ISBLANK(patch[[#This Row],[project]]), "",COUNTIFS($A:$A,patch[[#This Row],[number]],$S:$S, "SH And dev",$AD:$AD, "&lt;&gt;IntegratorValidationComment"))</f>
        <v/>
      </c>
      <c r="AC321" s="7" t="str">
        <f>IF(OR(ISNUMBER(FIND("Review-1", patch[[#This Row],[comments]])), ISNUMBER(FIND("Approver-1", patch[[#This Row],[comments]]))), "Review-1", "")</f>
        <v/>
      </c>
      <c r="AD3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21" s="7">
        <f>IF(ISBLANK(patch[[#This Row],[number]]),AE320,patch[[#This Row],[ifCommon]])</f>
        <v>0</v>
      </c>
    </row>
    <row r="322" spans="1:31">
      <c r="A322" s="151">
        <v>147795</v>
      </c>
      <c r="B322" s="151"/>
      <c r="C322" s="151"/>
      <c r="D322" s="151"/>
      <c r="E322" s="151"/>
      <c r="F322" s="151"/>
      <c r="G322" s="151"/>
      <c r="H322" s="151"/>
      <c r="I322" s="151"/>
      <c r="J322" s="152">
        <v>42640.690578703703</v>
      </c>
      <c r="K322" s="151"/>
      <c r="L322" s="151" t="s">
        <v>115</v>
      </c>
      <c r="M322" s="152">
        <v>42640.483749999999</v>
      </c>
      <c r="N322" s="151" t="s">
        <v>2495</v>
      </c>
      <c r="O322" s="151"/>
      <c r="P322" s="151"/>
      <c r="Q322" s="7" t="str">
        <f>IF(ISBLANK(patch[[#This Row],[OwnerEmail]]),Q321,patch[[#This Row],[OwnerEmail]])</f>
        <v>john.mathew@intel.com</v>
      </c>
      <c r="R322" s="7" t="str">
        <f>_xlfn.IFNA(VLOOKUP(patch[[#This Row],[tmp-owner.email]],OrgTree!$A:$K, 11, 0), "not ICG SWFW")</f>
        <v>FL And dev</v>
      </c>
      <c r="S322" s="7" t="str">
        <f>IF(patch[[#This Row],[reviewer]]=patch[[#This Row],[tmp-owner.email]], "author", _xlfn.IFNA(VLOOKUP(patch[[#This Row],[reviewer]],OrgTree!$A:$K, 11, 0), "not ICG SWFW"))</f>
        <v>Val</v>
      </c>
      <c r="T322" s="7" t="str">
        <f>IF(ISBLANK(patch[[#This Row],[mergeDate]]), "", MID(YEAR(patch[[#This Row],[mergeDate]]), 3,2)&amp;"'ww"&amp;WEEKNUM(patch[[#This Row],[mergeDate]]))</f>
        <v>16'ww40</v>
      </c>
      <c r="U322" s="7" t="str">
        <f>IF(ISBLANK(patch[[#This Row],[mergeDate]]), U321, MID(YEAR(patch[[#This Row],[mergeDate]]), 3,2)&amp;"'m"&amp;MONTH(patch[[#This Row],[mergeDate]]))</f>
        <v>16'm9</v>
      </c>
      <c r="V322" s="7" t="str">
        <f>IF(ISBLANK(patch[[#This Row],[project]]), "",SUM(patch[[#This Row],[BJ -1 num]:[SH -1 num]]))</f>
        <v/>
      </c>
      <c r="W322" s="7" t="str">
        <f>IF(ISBLANK(patch[[#This Row],[project]]), "",COUNTIFS($A:$A,patch[[#This Row],[number]],$S:$S, "BJ And dev",$AC:$AC, "Review-1"))</f>
        <v/>
      </c>
      <c r="X322" s="7" t="str">
        <f>IF(ISBLANK(patch[[#This Row],[project]]), "",COUNTIFS($A:$A,patch[[#This Row],[number]],$S:$S, "FL And dev",$AC:$AC, "Review-1"))</f>
        <v/>
      </c>
      <c r="Y322" s="7" t="str">
        <f>IF(ISBLANK(patch[[#This Row],[project]]), "",COUNTIFS($A:$A,patch[[#This Row],[number]],$S:$S, "SH And dev",$AC:$AC, "Review-1"))</f>
        <v/>
      </c>
      <c r="Z322" s="7" t="str">
        <f>IF(ISBLANK(patch[[#This Row],[project]]), "",COUNTIFS($A:$A,patch[[#This Row],[number]],$S:$S, "BJ And dev",$AD:$AD, "&lt;&gt;IntegratorValidationComment"))</f>
        <v/>
      </c>
      <c r="AA322" s="7" t="str">
        <f>IF(ISBLANK(patch[[#This Row],[project]]), "",COUNTIFS($A:$A,patch[[#This Row],[number]],$S:$S, "FL And dev",$AD:$AD, "&lt;&gt;IntegratorValidationComment"))</f>
        <v/>
      </c>
      <c r="AB322" s="7" t="str">
        <f>IF(ISBLANK(patch[[#This Row],[project]]), "",COUNTIFS($A:$A,patch[[#This Row],[number]],$S:$S, "SH And dev",$AD:$AD, "&lt;&gt;IntegratorValidationComment"))</f>
        <v/>
      </c>
      <c r="AC322" s="7" t="str">
        <f>IF(OR(ISNUMBER(FIND("Review-1", patch[[#This Row],[comments]])), ISNUMBER(FIND("Approver-1", patch[[#This Row],[comments]]))), "Review-1", "")</f>
        <v/>
      </c>
      <c r="AD3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322" s="7">
        <f>IF(ISBLANK(patch[[#This Row],[number]]),AE321,patch[[#This Row],[ifCommon]])</f>
        <v>0</v>
      </c>
    </row>
    <row r="323" spans="1:31">
      <c r="A323" s="151">
        <v>147743</v>
      </c>
      <c r="B323" s="151" t="s">
        <v>2490</v>
      </c>
      <c r="C323" s="151" t="s">
        <v>2491</v>
      </c>
      <c r="D323" s="151" t="s">
        <v>2754</v>
      </c>
      <c r="E323" s="151" t="s">
        <v>61</v>
      </c>
      <c r="F323" s="151" t="s">
        <v>23</v>
      </c>
      <c r="G323" s="151" t="s">
        <v>2755</v>
      </c>
      <c r="H323" s="151" t="s">
        <v>2756</v>
      </c>
      <c r="I323" s="152">
        <v>42636.574861111112</v>
      </c>
      <c r="J323" s="152">
        <v>42640.690509259257</v>
      </c>
      <c r="K323" s="151" t="s">
        <v>2445</v>
      </c>
      <c r="L323" s="151" t="s">
        <v>61</v>
      </c>
      <c r="M323" s="152">
        <v>42636.574861111112</v>
      </c>
      <c r="N323" s="151" t="s">
        <v>25</v>
      </c>
      <c r="O323" s="151"/>
      <c r="P323" s="151" t="s">
        <v>2554</v>
      </c>
      <c r="Q323" s="7" t="str">
        <f>IF(ISBLANK(patch[[#This Row],[OwnerEmail]]),Q322,patch[[#This Row],[OwnerEmail]])</f>
        <v>john.mathew@intel.com</v>
      </c>
      <c r="R323" s="7" t="str">
        <f>_xlfn.IFNA(VLOOKUP(patch[[#This Row],[tmp-owner.email]],OrgTree!$A:$K, 11, 0), "not ICG SWFW")</f>
        <v>FL And dev</v>
      </c>
      <c r="S323" s="7" t="str">
        <f>IF(patch[[#This Row],[reviewer]]=patch[[#This Row],[tmp-owner.email]], "author", _xlfn.IFNA(VLOOKUP(patch[[#This Row],[reviewer]],OrgTree!$A:$K, 11, 0), "not ICG SWFW"))</f>
        <v>author</v>
      </c>
      <c r="T323" s="7" t="str">
        <f>IF(ISBLANK(patch[[#This Row],[mergeDate]]), "", MID(YEAR(patch[[#This Row],[mergeDate]]), 3,2)&amp;"'ww"&amp;WEEKNUM(patch[[#This Row],[mergeDate]]))</f>
        <v>16'ww40</v>
      </c>
      <c r="U323" s="7" t="str">
        <f>IF(ISBLANK(patch[[#This Row],[mergeDate]]), U322, MID(YEAR(patch[[#This Row],[mergeDate]]), 3,2)&amp;"'m"&amp;MONTH(patch[[#This Row],[mergeDate]]))</f>
        <v>16'm9</v>
      </c>
      <c r="V323" s="7">
        <f>IF(ISBLANK(patch[[#This Row],[project]]), "",SUM(patch[[#This Row],[BJ -1 num]:[SH -1 num]]))</f>
        <v>1</v>
      </c>
      <c r="W323" s="7">
        <f>IF(ISBLANK(patch[[#This Row],[project]]), "",COUNTIFS($A:$A,patch[[#This Row],[number]],$S:$S, "BJ And dev",$AC:$AC, "Review-1"))</f>
        <v>1</v>
      </c>
      <c r="X323" s="7">
        <f>IF(ISBLANK(patch[[#This Row],[project]]), "",COUNTIFS($A:$A,patch[[#This Row],[number]],$S:$S, "FL And dev",$AC:$AC, "Review-1"))</f>
        <v>0</v>
      </c>
      <c r="Y323" s="7">
        <f>IF(ISBLANK(patch[[#This Row],[project]]), "",COUNTIFS($A:$A,patch[[#This Row],[number]],$S:$S, "SH And dev",$AC:$AC, "Review-1"))</f>
        <v>0</v>
      </c>
      <c r="Z323" s="7">
        <f>IF(ISBLANK(patch[[#This Row],[project]]), "",COUNTIFS($A:$A,patch[[#This Row],[number]],$S:$S, "BJ And dev",$AD:$AD, "&lt;&gt;IntegratorValidationComment"))</f>
        <v>13</v>
      </c>
      <c r="AA323" s="7">
        <f>IF(ISBLANK(patch[[#This Row],[project]]), "",COUNTIFS($A:$A,patch[[#This Row],[number]],$S:$S, "FL And dev",$AD:$AD, "&lt;&gt;IntegratorValidationComment"))</f>
        <v>0</v>
      </c>
      <c r="AB323" s="7">
        <f>IF(ISBLANK(patch[[#This Row],[project]]), "",COUNTIFS($A:$A,patch[[#This Row],[number]],$S:$S, "SH And dev",$AD:$AD, "&lt;&gt;IntegratorValidationComment"))</f>
        <v>0</v>
      </c>
      <c r="AC323" s="7" t="str">
        <f>IF(OR(ISNUMBER(FIND("Review-1", patch[[#This Row],[comments]])), ISNUMBER(FIND("Approver-1", patch[[#This Row],[comments]]))), "Review-1", "")</f>
        <v/>
      </c>
      <c r="AD3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23" s="7" t="str">
        <f>IF(ISBLANK(patch[[#This Row],[number]]),AE322,patch[[#This Row],[ifCommon]])</f>
        <v>not AndrHAL</v>
      </c>
    </row>
    <row r="324" spans="1:31">
      <c r="A324" s="151">
        <v>147743</v>
      </c>
      <c r="B324" s="151"/>
      <c r="C324" s="151"/>
      <c r="D324" s="151"/>
      <c r="E324" s="151"/>
      <c r="F324" s="151"/>
      <c r="G324" s="151"/>
      <c r="H324" s="151"/>
      <c r="I324" s="151"/>
      <c r="J324" s="152">
        <v>42640.690509259257</v>
      </c>
      <c r="K324" s="151"/>
      <c r="L324" s="151" t="s">
        <v>61</v>
      </c>
      <c r="M324" s="152">
        <v>42636.574861111112</v>
      </c>
      <c r="N324" s="151" t="s">
        <v>2428</v>
      </c>
      <c r="O324" s="151"/>
      <c r="P324" s="151"/>
      <c r="Q324" s="7" t="str">
        <f>IF(ISBLANK(patch[[#This Row],[OwnerEmail]]),Q323,patch[[#This Row],[OwnerEmail]])</f>
        <v>john.mathew@intel.com</v>
      </c>
      <c r="R324" s="7" t="str">
        <f>_xlfn.IFNA(VLOOKUP(patch[[#This Row],[tmp-owner.email]],OrgTree!$A:$K, 11, 0), "not ICG SWFW")</f>
        <v>FL And dev</v>
      </c>
      <c r="S324" s="7" t="str">
        <f>IF(patch[[#This Row],[reviewer]]=patch[[#This Row],[tmp-owner.email]], "author", _xlfn.IFNA(VLOOKUP(patch[[#This Row],[reviewer]],OrgTree!$A:$K, 11, 0), "not ICG SWFW"))</f>
        <v>author</v>
      </c>
      <c r="T324" s="7" t="str">
        <f>IF(ISBLANK(patch[[#This Row],[mergeDate]]), "", MID(YEAR(patch[[#This Row],[mergeDate]]), 3,2)&amp;"'ww"&amp;WEEKNUM(patch[[#This Row],[mergeDate]]))</f>
        <v>16'ww40</v>
      </c>
      <c r="U324" s="7" t="str">
        <f>IF(ISBLANK(patch[[#This Row],[mergeDate]]), U323, MID(YEAR(patch[[#This Row],[mergeDate]]), 3,2)&amp;"'m"&amp;MONTH(patch[[#This Row],[mergeDate]]))</f>
        <v>16'm9</v>
      </c>
      <c r="V324" s="7" t="str">
        <f>IF(ISBLANK(patch[[#This Row],[project]]), "",SUM(patch[[#This Row],[BJ -1 num]:[SH -1 num]]))</f>
        <v/>
      </c>
      <c r="W324" s="7" t="str">
        <f>IF(ISBLANK(patch[[#This Row],[project]]), "",COUNTIFS($A:$A,patch[[#This Row],[number]],$S:$S, "BJ And dev",$AC:$AC, "Review-1"))</f>
        <v/>
      </c>
      <c r="X324" s="7" t="str">
        <f>IF(ISBLANK(patch[[#This Row],[project]]), "",COUNTIFS($A:$A,patch[[#This Row],[number]],$S:$S, "FL And dev",$AC:$AC, "Review-1"))</f>
        <v/>
      </c>
      <c r="Y324" s="7" t="str">
        <f>IF(ISBLANK(patch[[#This Row],[project]]), "",COUNTIFS($A:$A,patch[[#This Row],[number]],$S:$S, "SH And dev",$AC:$AC, "Review-1"))</f>
        <v/>
      </c>
      <c r="Z324" s="7" t="str">
        <f>IF(ISBLANK(patch[[#This Row],[project]]), "",COUNTIFS($A:$A,patch[[#This Row],[number]],$S:$S, "BJ And dev",$AD:$AD, "&lt;&gt;IntegratorValidationComment"))</f>
        <v/>
      </c>
      <c r="AA324" s="7" t="str">
        <f>IF(ISBLANK(patch[[#This Row],[project]]), "",COUNTIFS($A:$A,patch[[#This Row],[number]],$S:$S, "FL And dev",$AD:$AD, "&lt;&gt;IntegratorValidationComment"))</f>
        <v/>
      </c>
      <c r="AB324" s="7" t="str">
        <f>IF(ISBLANK(patch[[#This Row],[project]]), "",COUNTIFS($A:$A,patch[[#This Row],[number]],$S:$S, "SH And dev",$AD:$AD, "&lt;&gt;IntegratorValidationComment"))</f>
        <v/>
      </c>
      <c r="AC324" s="7" t="str">
        <f>IF(OR(ISNUMBER(FIND("Review-1", patch[[#This Row],[comments]])), ISNUMBER(FIND("Approver-1", patch[[#This Row],[comments]]))), "Review-1", "")</f>
        <v/>
      </c>
      <c r="AD3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24" s="7">
        <f>IF(ISBLANK(patch[[#This Row],[number]]),AE323,patch[[#This Row],[ifCommon]])</f>
        <v>0</v>
      </c>
    </row>
    <row r="325" spans="1:31">
      <c r="A325" s="151">
        <v>147743</v>
      </c>
      <c r="B325" s="151"/>
      <c r="C325" s="151"/>
      <c r="D325" s="151"/>
      <c r="E325" s="151"/>
      <c r="F325" s="151"/>
      <c r="G325" s="151"/>
      <c r="H325" s="151"/>
      <c r="I325" s="151"/>
      <c r="J325" s="152">
        <v>42640.690509259257</v>
      </c>
      <c r="K325" s="151"/>
      <c r="L325" s="151" t="s">
        <v>61</v>
      </c>
      <c r="M325" s="152">
        <v>42636.575486111113</v>
      </c>
      <c r="N325" s="151" t="s">
        <v>40</v>
      </c>
      <c r="O325" s="151"/>
      <c r="P325" s="151"/>
      <c r="Q325" s="7" t="str">
        <f>IF(ISBLANK(patch[[#This Row],[OwnerEmail]]),Q324,patch[[#This Row],[OwnerEmail]])</f>
        <v>john.mathew@intel.com</v>
      </c>
      <c r="R325" s="7" t="str">
        <f>_xlfn.IFNA(VLOOKUP(patch[[#This Row],[tmp-owner.email]],OrgTree!$A:$K, 11, 0), "not ICG SWFW")</f>
        <v>FL And dev</v>
      </c>
      <c r="S325" s="7" t="str">
        <f>IF(patch[[#This Row],[reviewer]]=patch[[#This Row],[tmp-owner.email]], "author", _xlfn.IFNA(VLOOKUP(patch[[#This Row],[reviewer]],OrgTree!$A:$K, 11, 0), "not ICG SWFW"))</f>
        <v>author</v>
      </c>
      <c r="T325" s="7" t="str">
        <f>IF(ISBLANK(patch[[#This Row],[mergeDate]]), "", MID(YEAR(patch[[#This Row],[mergeDate]]), 3,2)&amp;"'ww"&amp;WEEKNUM(patch[[#This Row],[mergeDate]]))</f>
        <v>16'ww40</v>
      </c>
      <c r="U325" s="7" t="str">
        <f>IF(ISBLANK(patch[[#This Row],[mergeDate]]), U324, MID(YEAR(patch[[#This Row],[mergeDate]]), 3,2)&amp;"'m"&amp;MONTH(patch[[#This Row],[mergeDate]]))</f>
        <v>16'm9</v>
      </c>
      <c r="V325" s="7" t="str">
        <f>IF(ISBLANK(patch[[#This Row],[project]]), "",SUM(patch[[#This Row],[BJ -1 num]:[SH -1 num]]))</f>
        <v/>
      </c>
      <c r="W325" s="7" t="str">
        <f>IF(ISBLANK(patch[[#This Row],[project]]), "",COUNTIFS($A:$A,patch[[#This Row],[number]],$S:$S, "BJ And dev",$AC:$AC, "Review-1"))</f>
        <v/>
      </c>
      <c r="X325" s="7" t="str">
        <f>IF(ISBLANK(patch[[#This Row],[project]]), "",COUNTIFS($A:$A,patch[[#This Row],[number]],$S:$S, "FL And dev",$AC:$AC, "Review-1"))</f>
        <v/>
      </c>
      <c r="Y325" s="7" t="str">
        <f>IF(ISBLANK(patch[[#This Row],[project]]), "",COUNTIFS($A:$A,patch[[#This Row],[number]],$S:$S, "SH And dev",$AC:$AC, "Review-1"))</f>
        <v/>
      </c>
      <c r="Z325" s="7" t="str">
        <f>IF(ISBLANK(patch[[#This Row],[project]]), "",COUNTIFS($A:$A,patch[[#This Row],[number]],$S:$S, "BJ And dev",$AD:$AD, "&lt;&gt;IntegratorValidationComment"))</f>
        <v/>
      </c>
      <c r="AA325" s="7" t="str">
        <f>IF(ISBLANK(patch[[#This Row],[project]]), "",COUNTIFS($A:$A,patch[[#This Row],[number]],$S:$S, "FL And dev",$AD:$AD, "&lt;&gt;IntegratorValidationComment"))</f>
        <v/>
      </c>
      <c r="AB325" s="7" t="str">
        <f>IF(ISBLANK(patch[[#This Row],[project]]), "",COUNTIFS($A:$A,patch[[#This Row],[number]],$S:$S, "SH And dev",$AD:$AD, "&lt;&gt;IntegratorValidationComment"))</f>
        <v/>
      </c>
      <c r="AC325" s="7" t="str">
        <f>IF(OR(ISNUMBER(FIND("Review-1", patch[[#This Row],[comments]])), ISNUMBER(FIND("Approver-1", patch[[#This Row],[comments]]))), "Review-1", "")</f>
        <v/>
      </c>
      <c r="AD3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25" s="7">
        <f>IF(ISBLANK(patch[[#This Row],[number]]),AE324,patch[[#This Row],[ifCommon]])</f>
        <v>0</v>
      </c>
    </row>
    <row r="326" spans="1:31">
      <c r="A326" s="151">
        <v>147743</v>
      </c>
      <c r="B326" s="151"/>
      <c r="C326" s="151"/>
      <c r="D326" s="151"/>
      <c r="E326" s="151"/>
      <c r="F326" s="151"/>
      <c r="G326" s="151"/>
      <c r="H326" s="151"/>
      <c r="I326" s="151"/>
      <c r="J326" s="152">
        <v>42640.690509259257</v>
      </c>
      <c r="K326" s="151"/>
      <c r="L326" s="151" t="s">
        <v>59</v>
      </c>
      <c r="M326" s="152">
        <v>42636.576620370368</v>
      </c>
      <c r="N326" s="151" t="s">
        <v>2757</v>
      </c>
      <c r="O326" s="151"/>
      <c r="P326" s="151"/>
      <c r="Q326" s="7" t="str">
        <f>IF(ISBLANK(patch[[#This Row],[OwnerEmail]]),Q325,patch[[#This Row],[OwnerEmail]])</f>
        <v>john.mathew@intel.com</v>
      </c>
      <c r="R326" s="7" t="str">
        <f>_xlfn.IFNA(VLOOKUP(patch[[#This Row],[tmp-owner.email]],OrgTree!$A:$K, 11, 0), "not ICG SWFW")</f>
        <v>FL And dev</v>
      </c>
      <c r="S326" s="7" t="str">
        <f>IF(patch[[#This Row],[reviewer]]=patch[[#This Row],[tmp-owner.email]], "author", _xlfn.IFNA(VLOOKUP(patch[[#This Row],[reviewer]],OrgTree!$A:$K, 11, 0), "not ICG SWFW"))</f>
        <v>BJ And dev</v>
      </c>
      <c r="T326" s="7" t="str">
        <f>IF(ISBLANK(patch[[#This Row],[mergeDate]]), "", MID(YEAR(patch[[#This Row],[mergeDate]]), 3,2)&amp;"'ww"&amp;WEEKNUM(patch[[#This Row],[mergeDate]]))</f>
        <v>16'ww40</v>
      </c>
      <c r="U326" s="7" t="str">
        <f>IF(ISBLANK(patch[[#This Row],[mergeDate]]), U325, MID(YEAR(patch[[#This Row],[mergeDate]]), 3,2)&amp;"'m"&amp;MONTH(patch[[#This Row],[mergeDate]]))</f>
        <v>16'm9</v>
      </c>
      <c r="V326" s="7" t="str">
        <f>IF(ISBLANK(patch[[#This Row],[project]]), "",SUM(patch[[#This Row],[BJ -1 num]:[SH -1 num]]))</f>
        <v/>
      </c>
      <c r="W326" s="7" t="str">
        <f>IF(ISBLANK(patch[[#This Row],[project]]), "",COUNTIFS($A:$A,patch[[#This Row],[number]],$S:$S, "BJ And dev",$AC:$AC, "Review-1"))</f>
        <v/>
      </c>
      <c r="X326" s="7" t="str">
        <f>IF(ISBLANK(patch[[#This Row],[project]]), "",COUNTIFS($A:$A,patch[[#This Row],[number]],$S:$S, "FL And dev",$AC:$AC, "Review-1"))</f>
        <v/>
      </c>
      <c r="Y326" s="7" t="str">
        <f>IF(ISBLANK(patch[[#This Row],[project]]), "",COUNTIFS($A:$A,patch[[#This Row],[number]],$S:$S, "SH And dev",$AC:$AC, "Review-1"))</f>
        <v/>
      </c>
      <c r="Z326" s="7" t="str">
        <f>IF(ISBLANK(patch[[#This Row],[project]]), "",COUNTIFS($A:$A,patch[[#This Row],[number]],$S:$S, "BJ And dev",$AD:$AD, "&lt;&gt;IntegratorValidationComment"))</f>
        <v/>
      </c>
      <c r="AA326" s="7" t="str">
        <f>IF(ISBLANK(patch[[#This Row],[project]]), "",COUNTIFS($A:$A,patch[[#This Row],[number]],$S:$S, "FL And dev",$AD:$AD, "&lt;&gt;IntegratorValidationComment"))</f>
        <v/>
      </c>
      <c r="AB326" s="7" t="str">
        <f>IF(ISBLANK(patch[[#This Row],[project]]), "",COUNTIFS($A:$A,patch[[#This Row],[number]],$S:$S, "SH And dev",$AD:$AD, "&lt;&gt;IntegratorValidationComment"))</f>
        <v/>
      </c>
      <c r="AC326" s="7" t="str">
        <f>IF(OR(ISNUMBER(FIND("Review-1", patch[[#This Row],[comments]])), ISNUMBER(FIND("Approver-1", patch[[#This Row],[comments]]))), "Review-1", "")</f>
        <v/>
      </c>
      <c r="AD3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26" s="7">
        <f>IF(ISBLANK(patch[[#This Row],[number]]),AE325,patch[[#This Row],[ifCommon]])</f>
        <v>0</v>
      </c>
    </row>
    <row r="327" spans="1:31">
      <c r="A327" s="151">
        <v>147743</v>
      </c>
      <c r="B327" s="151"/>
      <c r="C327" s="151"/>
      <c r="D327" s="151"/>
      <c r="E327" s="151"/>
      <c r="F327" s="151"/>
      <c r="G327" s="151"/>
      <c r="H327" s="151"/>
      <c r="I327" s="151"/>
      <c r="J327" s="152">
        <v>42640.690509259257</v>
      </c>
      <c r="K327" s="151"/>
      <c r="L327" s="151" t="s">
        <v>59</v>
      </c>
      <c r="M327" s="152">
        <v>42636.5778587963</v>
      </c>
      <c r="N327" s="151" t="s">
        <v>2758</v>
      </c>
      <c r="O327" s="151"/>
      <c r="P327" s="151"/>
      <c r="Q327" s="7" t="str">
        <f>IF(ISBLANK(patch[[#This Row],[OwnerEmail]]),Q326,patch[[#This Row],[OwnerEmail]])</f>
        <v>john.mathew@intel.com</v>
      </c>
      <c r="R327" s="7" t="str">
        <f>_xlfn.IFNA(VLOOKUP(patch[[#This Row],[tmp-owner.email]],OrgTree!$A:$K, 11, 0), "not ICG SWFW")</f>
        <v>FL And dev</v>
      </c>
      <c r="S327" s="7" t="str">
        <f>IF(patch[[#This Row],[reviewer]]=patch[[#This Row],[tmp-owner.email]], "author", _xlfn.IFNA(VLOOKUP(patch[[#This Row],[reviewer]],OrgTree!$A:$K, 11, 0), "not ICG SWFW"))</f>
        <v>BJ And dev</v>
      </c>
      <c r="T327" s="7" t="str">
        <f>IF(ISBLANK(patch[[#This Row],[mergeDate]]), "", MID(YEAR(patch[[#This Row],[mergeDate]]), 3,2)&amp;"'ww"&amp;WEEKNUM(patch[[#This Row],[mergeDate]]))</f>
        <v>16'ww40</v>
      </c>
      <c r="U327" s="7" t="str">
        <f>IF(ISBLANK(patch[[#This Row],[mergeDate]]), U326, MID(YEAR(patch[[#This Row],[mergeDate]]), 3,2)&amp;"'m"&amp;MONTH(patch[[#This Row],[mergeDate]]))</f>
        <v>16'm9</v>
      </c>
      <c r="V327" s="7" t="str">
        <f>IF(ISBLANK(patch[[#This Row],[project]]), "",SUM(patch[[#This Row],[BJ -1 num]:[SH -1 num]]))</f>
        <v/>
      </c>
      <c r="W327" s="7" t="str">
        <f>IF(ISBLANK(patch[[#This Row],[project]]), "",COUNTIFS($A:$A,patch[[#This Row],[number]],$S:$S, "BJ And dev",$AC:$AC, "Review-1"))</f>
        <v/>
      </c>
      <c r="X327" s="7" t="str">
        <f>IF(ISBLANK(patch[[#This Row],[project]]), "",COUNTIFS($A:$A,patch[[#This Row],[number]],$S:$S, "FL And dev",$AC:$AC, "Review-1"))</f>
        <v/>
      </c>
      <c r="Y327" s="7" t="str">
        <f>IF(ISBLANK(patch[[#This Row],[project]]), "",COUNTIFS($A:$A,patch[[#This Row],[number]],$S:$S, "SH And dev",$AC:$AC, "Review-1"))</f>
        <v/>
      </c>
      <c r="Z327" s="7" t="str">
        <f>IF(ISBLANK(patch[[#This Row],[project]]), "",COUNTIFS($A:$A,patch[[#This Row],[number]],$S:$S, "BJ And dev",$AD:$AD, "&lt;&gt;IntegratorValidationComment"))</f>
        <v/>
      </c>
      <c r="AA327" s="7" t="str">
        <f>IF(ISBLANK(patch[[#This Row],[project]]), "",COUNTIFS($A:$A,patch[[#This Row],[number]],$S:$S, "FL And dev",$AD:$AD, "&lt;&gt;IntegratorValidationComment"))</f>
        <v/>
      </c>
      <c r="AB327" s="7" t="str">
        <f>IF(ISBLANK(patch[[#This Row],[project]]), "",COUNTIFS($A:$A,patch[[#This Row],[number]],$S:$S, "SH And dev",$AD:$AD, "&lt;&gt;IntegratorValidationComment"))</f>
        <v/>
      </c>
      <c r="AC327" s="7" t="str">
        <f>IF(OR(ISNUMBER(FIND("Review-1", patch[[#This Row],[comments]])), ISNUMBER(FIND("Approver-1", patch[[#This Row],[comments]]))), "Review-1", "")</f>
        <v/>
      </c>
      <c r="AD3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27" s="7">
        <f>IF(ISBLANK(patch[[#This Row],[number]]),AE326,patch[[#This Row],[ifCommon]])</f>
        <v>0</v>
      </c>
    </row>
    <row r="328" spans="1:31">
      <c r="A328" s="151">
        <v>147743</v>
      </c>
      <c r="B328" s="151"/>
      <c r="C328" s="151"/>
      <c r="D328" s="151"/>
      <c r="E328" s="151"/>
      <c r="F328" s="151"/>
      <c r="G328" s="151"/>
      <c r="H328" s="151"/>
      <c r="I328" s="151"/>
      <c r="J328" s="152">
        <v>42640.690509259257</v>
      </c>
      <c r="K328" s="151"/>
      <c r="L328" s="151" t="s">
        <v>59</v>
      </c>
      <c r="M328" s="152">
        <v>42636.581087962957</v>
      </c>
      <c r="N328" s="151" t="s">
        <v>2759</v>
      </c>
      <c r="O328" s="151"/>
      <c r="P328" s="151"/>
      <c r="Q328" s="7" t="str">
        <f>IF(ISBLANK(patch[[#This Row],[OwnerEmail]]),Q327,patch[[#This Row],[OwnerEmail]])</f>
        <v>john.mathew@intel.com</v>
      </c>
      <c r="R328" s="7" t="str">
        <f>_xlfn.IFNA(VLOOKUP(patch[[#This Row],[tmp-owner.email]],OrgTree!$A:$K, 11, 0), "not ICG SWFW")</f>
        <v>FL And dev</v>
      </c>
      <c r="S328" s="7" t="str">
        <f>IF(patch[[#This Row],[reviewer]]=patch[[#This Row],[tmp-owner.email]], "author", _xlfn.IFNA(VLOOKUP(patch[[#This Row],[reviewer]],OrgTree!$A:$K, 11, 0), "not ICG SWFW"))</f>
        <v>BJ And dev</v>
      </c>
      <c r="T328" s="7" t="str">
        <f>IF(ISBLANK(patch[[#This Row],[mergeDate]]), "", MID(YEAR(patch[[#This Row],[mergeDate]]), 3,2)&amp;"'ww"&amp;WEEKNUM(patch[[#This Row],[mergeDate]]))</f>
        <v>16'ww40</v>
      </c>
      <c r="U328" s="7" t="str">
        <f>IF(ISBLANK(patch[[#This Row],[mergeDate]]), U327, MID(YEAR(patch[[#This Row],[mergeDate]]), 3,2)&amp;"'m"&amp;MONTH(patch[[#This Row],[mergeDate]]))</f>
        <v>16'm9</v>
      </c>
      <c r="V328" s="7" t="str">
        <f>IF(ISBLANK(patch[[#This Row],[project]]), "",SUM(patch[[#This Row],[BJ -1 num]:[SH -1 num]]))</f>
        <v/>
      </c>
      <c r="W328" s="7" t="str">
        <f>IF(ISBLANK(patch[[#This Row],[project]]), "",COUNTIFS($A:$A,patch[[#This Row],[number]],$S:$S, "BJ And dev",$AC:$AC, "Review-1"))</f>
        <v/>
      </c>
      <c r="X328" s="7" t="str">
        <f>IF(ISBLANK(patch[[#This Row],[project]]), "",COUNTIFS($A:$A,patch[[#This Row],[number]],$S:$S, "FL And dev",$AC:$AC, "Review-1"))</f>
        <v/>
      </c>
      <c r="Y328" s="7" t="str">
        <f>IF(ISBLANK(patch[[#This Row],[project]]), "",COUNTIFS($A:$A,patch[[#This Row],[number]],$S:$S, "SH And dev",$AC:$AC, "Review-1"))</f>
        <v/>
      </c>
      <c r="Z328" s="7" t="str">
        <f>IF(ISBLANK(patch[[#This Row],[project]]), "",COUNTIFS($A:$A,patch[[#This Row],[number]],$S:$S, "BJ And dev",$AD:$AD, "&lt;&gt;IntegratorValidationComment"))</f>
        <v/>
      </c>
      <c r="AA328" s="7" t="str">
        <f>IF(ISBLANK(patch[[#This Row],[project]]), "",COUNTIFS($A:$A,patch[[#This Row],[number]],$S:$S, "FL And dev",$AD:$AD, "&lt;&gt;IntegratorValidationComment"))</f>
        <v/>
      </c>
      <c r="AB328" s="7" t="str">
        <f>IF(ISBLANK(patch[[#This Row],[project]]), "",COUNTIFS($A:$A,patch[[#This Row],[number]],$S:$S, "SH And dev",$AD:$AD, "&lt;&gt;IntegratorValidationComment"))</f>
        <v/>
      </c>
      <c r="AC328" s="7" t="str">
        <f>IF(OR(ISNUMBER(FIND("Review-1", patch[[#This Row],[comments]])), ISNUMBER(FIND("Approver-1", patch[[#This Row],[comments]]))), "Review-1", "")</f>
        <v/>
      </c>
      <c r="AD3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28" s="7">
        <f>IF(ISBLANK(patch[[#This Row],[number]]),AE327,patch[[#This Row],[ifCommon]])</f>
        <v>0</v>
      </c>
    </row>
    <row r="329" spans="1:31">
      <c r="A329" s="151">
        <v>147743</v>
      </c>
      <c r="B329" s="151"/>
      <c r="C329" s="151"/>
      <c r="D329" s="151"/>
      <c r="E329" s="151"/>
      <c r="F329" s="151"/>
      <c r="G329" s="151"/>
      <c r="H329" s="151"/>
      <c r="I329" s="151"/>
      <c r="J329" s="152">
        <v>42640.690509259257</v>
      </c>
      <c r="K329" s="151"/>
      <c r="L329" s="151" t="s">
        <v>61</v>
      </c>
      <c r="M329" s="152">
        <v>42636.656168981477</v>
      </c>
      <c r="N329" s="151" t="s">
        <v>65</v>
      </c>
      <c r="O329" s="151"/>
      <c r="P329" s="151"/>
      <c r="Q329" s="7" t="str">
        <f>IF(ISBLANK(patch[[#This Row],[OwnerEmail]]),Q328,patch[[#This Row],[OwnerEmail]])</f>
        <v>john.mathew@intel.com</v>
      </c>
      <c r="R329" s="7" t="str">
        <f>_xlfn.IFNA(VLOOKUP(patch[[#This Row],[tmp-owner.email]],OrgTree!$A:$K, 11, 0), "not ICG SWFW")</f>
        <v>FL And dev</v>
      </c>
      <c r="S329" s="7" t="str">
        <f>IF(patch[[#This Row],[reviewer]]=patch[[#This Row],[tmp-owner.email]], "author", _xlfn.IFNA(VLOOKUP(patch[[#This Row],[reviewer]],OrgTree!$A:$K, 11, 0), "not ICG SWFW"))</f>
        <v>author</v>
      </c>
      <c r="T329" s="7" t="str">
        <f>IF(ISBLANK(patch[[#This Row],[mergeDate]]), "", MID(YEAR(patch[[#This Row],[mergeDate]]), 3,2)&amp;"'ww"&amp;WEEKNUM(patch[[#This Row],[mergeDate]]))</f>
        <v>16'ww40</v>
      </c>
      <c r="U329" s="7" t="str">
        <f>IF(ISBLANK(patch[[#This Row],[mergeDate]]), U328, MID(YEAR(patch[[#This Row],[mergeDate]]), 3,2)&amp;"'m"&amp;MONTH(patch[[#This Row],[mergeDate]]))</f>
        <v>16'm9</v>
      </c>
      <c r="V329" s="7" t="str">
        <f>IF(ISBLANK(patch[[#This Row],[project]]), "",SUM(patch[[#This Row],[BJ -1 num]:[SH -1 num]]))</f>
        <v/>
      </c>
      <c r="W329" s="7" t="str">
        <f>IF(ISBLANK(patch[[#This Row],[project]]), "",COUNTIFS($A:$A,patch[[#This Row],[number]],$S:$S, "BJ And dev",$AC:$AC, "Review-1"))</f>
        <v/>
      </c>
      <c r="X329" s="7" t="str">
        <f>IF(ISBLANK(patch[[#This Row],[project]]), "",COUNTIFS($A:$A,patch[[#This Row],[number]],$S:$S, "FL And dev",$AC:$AC, "Review-1"))</f>
        <v/>
      </c>
      <c r="Y329" s="7" t="str">
        <f>IF(ISBLANK(patch[[#This Row],[project]]), "",COUNTIFS($A:$A,patch[[#This Row],[number]],$S:$S, "SH And dev",$AC:$AC, "Review-1"))</f>
        <v/>
      </c>
      <c r="Z329" s="7" t="str">
        <f>IF(ISBLANK(patch[[#This Row],[project]]), "",COUNTIFS($A:$A,patch[[#This Row],[number]],$S:$S, "BJ And dev",$AD:$AD, "&lt;&gt;IntegratorValidationComment"))</f>
        <v/>
      </c>
      <c r="AA329" s="7" t="str">
        <f>IF(ISBLANK(patch[[#This Row],[project]]), "",COUNTIFS($A:$A,patch[[#This Row],[number]],$S:$S, "FL And dev",$AD:$AD, "&lt;&gt;IntegratorValidationComment"))</f>
        <v/>
      </c>
      <c r="AB329" s="7" t="str">
        <f>IF(ISBLANK(patch[[#This Row],[project]]), "",COUNTIFS($A:$A,patch[[#This Row],[number]],$S:$S, "SH And dev",$AD:$AD, "&lt;&gt;IntegratorValidationComment"))</f>
        <v/>
      </c>
      <c r="AC329" s="7" t="str">
        <f>IF(OR(ISNUMBER(FIND("Review-1", patch[[#This Row],[comments]])), ISNUMBER(FIND("Approver-1", patch[[#This Row],[comments]]))), "Review-1", "")</f>
        <v/>
      </c>
      <c r="AD3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29" s="7">
        <f>IF(ISBLANK(patch[[#This Row],[number]]),AE328,patch[[#This Row],[ifCommon]])</f>
        <v>0</v>
      </c>
    </row>
    <row r="330" spans="1:31">
      <c r="A330" s="151">
        <v>147743</v>
      </c>
      <c r="B330" s="151"/>
      <c r="C330" s="151"/>
      <c r="D330" s="151"/>
      <c r="E330" s="151"/>
      <c r="F330" s="151"/>
      <c r="G330" s="151"/>
      <c r="H330" s="151"/>
      <c r="I330" s="152"/>
      <c r="J330" s="152">
        <v>42640.690509259257</v>
      </c>
      <c r="K330" s="151"/>
      <c r="L330" s="151" t="s">
        <v>61</v>
      </c>
      <c r="M330" s="152">
        <v>42636.656180555547</v>
      </c>
      <c r="N330" s="151" t="s">
        <v>2429</v>
      </c>
      <c r="O330" s="151"/>
      <c r="P330" s="151"/>
      <c r="Q330" s="7" t="str">
        <f>IF(ISBLANK(patch[[#This Row],[OwnerEmail]]),Q329,patch[[#This Row],[OwnerEmail]])</f>
        <v>john.mathew@intel.com</v>
      </c>
      <c r="R330" s="7" t="str">
        <f>_xlfn.IFNA(VLOOKUP(patch[[#This Row],[tmp-owner.email]],OrgTree!$A:$K, 11, 0), "not ICG SWFW")</f>
        <v>FL And dev</v>
      </c>
      <c r="S330" s="7" t="str">
        <f>IF(patch[[#This Row],[reviewer]]=patch[[#This Row],[tmp-owner.email]], "author", _xlfn.IFNA(VLOOKUP(patch[[#This Row],[reviewer]],OrgTree!$A:$K, 11, 0), "not ICG SWFW"))</f>
        <v>author</v>
      </c>
      <c r="T330" s="7" t="str">
        <f>IF(ISBLANK(patch[[#This Row],[mergeDate]]), "", MID(YEAR(patch[[#This Row],[mergeDate]]), 3,2)&amp;"'ww"&amp;WEEKNUM(patch[[#This Row],[mergeDate]]))</f>
        <v>16'ww40</v>
      </c>
      <c r="U330" s="7" t="str">
        <f>IF(ISBLANK(patch[[#This Row],[mergeDate]]), U329, MID(YEAR(patch[[#This Row],[mergeDate]]), 3,2)&amp;"'m"&amp;MONTH(patch[[#This Row],[mergeDate]]))</f>
        <v>16'm9</v>
      </c>
      <c r="V330" s="7" t="str">
        <f>IF(ISBLANK(patch[[#This Row],[project]]), "",SUM(patch[[#This Row],[BJ -1 num]:[SH -1 num]]))</f>
        <v/>
      </c>
      <c r="W330" s="7" t="str">
        <f>IF(ISBLANK(patch[[#This Row],[project]]), "",COUNTIFS($A:$A,patch[[#This Row],[number]],$S:$S, "BJ And dev",$AC:$AC, "Review-1"))</f>
        <v/>
      </c>
      <c r="X330" s="7" t="str">
        <f>IF(ISBLANK(patch[[#This Row],[project]]), "",COUNTIFS($A:$A,patch[[#This Row],[number]],$S:$S, "FL And dev",$AC:$AC, "Review-1"))</f>
        <v/>
      </c>
      <c r="Y330" s="7" t="str">
        <f>IF(ISBLANK(patch[[#This Row],[project]]), "",COUNTIFS($A:$A,patch[[#This Row],[number]],$S:$S, "SH And dev",$AC:$AC, "Review-1"))</f>
        <v/>
      </c>
      <c r="Z330" s="7" t="str">
        <f>IF(ISBLANK(patch[[#This Row],[project]]), "",COUNTIFS($A:$A,patch[[#This Row],[number]],$S:$S, "BJ And dev",$AD:$AD, "&lt;&gt;IntegratorValidationComment"))</f>
        <v/>
      </c>
      <c r="AA330" s="7" t="str">
        <f>IF(ISBLANK(patch[[#This Row],[project]]), "",COUNTIFS($A:$A,patch[[#This Row],[number]],$S:$S, "FL And dev",$AD:$AD, "&lt;&gt;IntegratorValidationComment"))</f>
        <v/>
      </c>
      <c r="AB330" s="7" t="str">
        <f>IF(ISBLANK(patch[[#This Row],[project]]), "",COUNTIFS($A:$A,patch[[#This Row],[number]],$S:$S, "SH And dev",$AD:$AD, "&lt;&gt;IntegratorValidationComment"))</f>
        <v/>
      </c>
      <c r="AC330" s="7" t="str">
        <f>IF(OR(ISNUMBER(FIND("Review-1", patch[[#This Row],[comments]])), ISNUMBER(FIND("Approver-1", patch[[#This Row],[comments]]))), "Review-1", "")</f>
        <v/>
      </c>
      <c r="AD3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30" s="7">
        <f>IF(ISBLANK(patch[[#This Row],[number]]),AE329,patch[[#This Row],[ifCommon]])</f>
        <v>0</v>
      </c>
    </row>
    <row r="331" spans="1:31">
      <c r="A331" s="151">
        <v>147743</v>
      </c>
      <c r="B331" s="151"/>
      <c r="C331" s="151"/>
      <c r="D331" s="151"/>
      <c r="E331" s="151"/>
      <c r="F331" s="151"/>
      <c r="G331" s="151"/>
      <c r="H331" s="151"/>
      <c r="I331" s="151"/>
      <c r="J331" s="152">
        <v>42640.690509259257</v>
      </c>
      <c r="K331" s="151"/>
      <c r="L331" s="151" t="s">
        <v>59</v>
      </c>
      <c r="M331" s="152">
        <v>42636.661249999997</v>
      </c>
      <c r="N331" s="151" t="s">
        <v>2760</v>
      </c>
      <c r="O331" s="151"/>
      <c r="P331" s="151"/>
      <c r="Q331" s="7" t="str">
        <f>IF(ISBLANK(patch[[#This Row],[OwnerEmail]]),Q330,patch[[#This Row],[OwnerEmail]])</f>
        <v>john.mathew@intel.com</v>
      </c>
      <c r="R331" s="7" t="str">
        <f>_xlfn.IFNA(VLOOKUP(patch[[#This Row],[tmp-owner.email]],OrgTree!$A:$K, 11, 0), "not ICG SWFW")</f>
        <v>FL And dev</v>
      </c>
      <c r="S331" s="7" t="str">
        <f>IF(patch[[#This Row],[reviewer]]=patch[[#This Row],[tmp-owner.email]], "author", _xlfn.IFNA(VLOOKUP(patch[[#This Row],[reviewer]],OrgTree!$A:$K, 11, 0), "not ICG SWFW"))</f>
        <v>BJ And dev</v>
      </c>
      <c r="T331" s="7" t="str">
        <f>IF(ISBLANK(patch[[#This Row],[mergeDate]]), "", MID(YEAR(patch[[#This Row],[mergeDate]]), 3,2)&amp;"'ww"&amp;WEEKNUM(patch[[#This Row],[mergeDate]]))</f>
        <v>16'ww40</v>
      </c>
      <c r="U331" s="7" t="str">
        <f>IF(ISBLANK(patch[[#This Row],[mergeDate]]), U330, MID(YEAR(patch[[#This Row],[mergeDate]]), 3,2)&amp;"'m"&amp;MONTH(patch[[#This Row],[mergeDate]]))</f>
        <v>16'm9</v>
      </c>
      <c r="V331" s="7" t="str">
        <f>IF(ISBLANK(patch[[#This Row],[project]]), "",SUM(patch[[#This Row],[BJ -1 num]:[SH -1 num]]))</f>
        <v/>
      </c>
      <c r="W331" s="7" t="str">
        <f>IF(ISBLANK(patch[[#This Row],[project]]), "",COUNTIFS($A:$A,patch[[#This Row],[number]],$S:$S, "BJ And dev",$AC:$AC, "Review-1"))</f>
        <v/>
      </c>
      <c r="X331" s="7" t="str">
        <f>IF(ISBLANK(patch[[#This Row],[project]]), "",COUNTIFS($A:$A,patch[[#This Row],[number]],$S:$S, "FL And dev",$AC:$AC, "Review-1"))</f>
        <v/>
      </c>
      <c r="Y331" s="7" t="str">
        <f>IF(ISBLANK(patch[[#This Row],[project]]), "",COUNTIFS($A:$A,patch[[#This Row],[number]],$S:$S, "SH And dev",$AC:$AC, "Review-1"))</f>
        <v/>
      </c>
      <c r="Z331" s="7" t="str">
        <f>IF(ISBLANK(patch[[#This Row],[project]]), "",COUNTIFS($A:$A,patch[[#This Row],[number]],$S:$S, "BJ And dev",$AD:$AD, "&lt;&gt;IntegratorValidationComment"))</f>
        <v/>
      </c>
      <c r="AA331" s="7" t="str">
        <f>IF(ISBLANK(patch[[#This Row],[project]]), "",COUNTIFS($A:$A,patch[[#This Row],[number]],$S:$S, "FL And dev",$AD:$AD, "&lt;&gt;IntegratorValidationComment"))</f>
        <v/>
      </c>
      <c r="AB331" s="7" t="str">
        <f>IF(ISBLANK(patch[[#This Row],[project]]), "",COUNTIFS($A:$A,patch[[#This Row],[number]],$S:$S, "SH And dev",$AD:$AD, "&lt;&gt;IntegratorValidationComment"))</f>
        <v/>
      </c>
      <c r="AC331" s="7" t="str">
        <f>IF(OR(ISNUMBER(FIND("Review-1", patch[[#This Row],[comments]])), ISNUMBER(FIND("Approver-1", patch[[#This Row],[comments]]))), "Review-1", "")</f>
        <v/>
      </c>
      <c r="AD3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31" s="7">
        <f>IF(ISBLANK(patch[[#This Row],[number]]),AE330,patch[[#This Row],[ifCommon]])</f>
        <v>0</v>
      </c>
    </row>
    <row r="332" spans="1:31">
      <c r="A332" s="151">
        <v>147743</v>
      </c>
      <c r="B332" s="151"/>
      <c r="C332" s="151"/>
      <c r="D332" s="151"/>
      <c r="E332" s="151"/>
      <c r="F332" s="151"/>
      <c r="G332" s="151"/>
      <c r="H332" s="151"/>
      <c r="I332" s="151"/>
      <c r="J332" s="152">
        <v>42640.690509259257</v>
      </c>
      <c r="K332" s="151"/>
      <c r="L332" s="151" t="s">
        <v>59</v>
      </c>
      <c r="M332" s="152">
        <v>42636.670532407406</v>
      </c>
      <c r="N332" s="151" t="s">
        <v>2761</v>
      </c>
      <c r="O332" s="151"/>
      <c r="P332" s="151"/>
      <c r="Q332" s="7" t="str">
        <f>IF(ISBLANK(patch[[#This Row],[OwnerEmail]]),Q331,patch[[#This Row],[OwnerEmail]])</f>
        <v>john.mathew@intel.com</v>
      </c>
      <c r="R332" s="7" t="str">
        <f>_xlfn.IFNA(VLOOKUP(patch[[#This Row],[tmp-owner.email]],OrgTree!$A:$K, 11, 0), "not ICG SWFW")</f>
        <v>FL And dev</v>
      </c>
      <c r="S332" s="7" t="str">
        <f>IF(patch[[#This Row],[reviewer]]=patch[[#This Row],[tmp-owner.email]], "author", _xlfn.IFNA(VLOOKUP(patch[[#This Row],[reviewer]],OrgTree!$A:$K, 11, 0), "not ICG SWFW"))</f>
        <v>BJ And dev</v>
      </c>
      <c r="T332" s="7" t="str">
        <f>IF(ISBLANK(patch[[#This Row],[mergeDate]]), "", MID(YEAR(patch[[#This Row],[mergeDate]]), 3,2)&amp;"'ww"&amp;WEEKNUM(patch[[#This Row],[mergeDate]]))</f>
        <v>16'ww40</v>
      </c>
      <c r="U332" s="7" t="str">
        <f>IF(ISBLANK(patch[[#This Row],[mergeDate]]), U331, MID(YEAR(patch[[#This Row],[mergeDate]]), 3,2)&amp;"'m"&amp;MONTH(patch[[#This Row],[mergeDate]]))</f>
        <v>16'm9</v>
      </c>
      <c r="V332" s="7" t="str">
        <f>IF(ISBLANK(patch[[#This Row],[project]]), "",SUM(patch[[#This Row],[BJ -1 num]:[SH -1 num]]))</f>
        <v/>
      </c>
      <c r="W332" s="7" t="str">
        <f>IF(ISBLANK(patch[[#This Row],[project]]), "",COUNTIFS($A:$A,patch[[#This Row],[number]],$S:$S, "BJ And dev",$AC:$AC, "Review-1"))</f>
        <v/>
      </c>
      <c r="X332" s="7" t="str">
        <f>IF(ISBLANK(patch[[#This Row],[project]]), "",COUNTIFS($A:$A,patch[[#This Row],[number]],$S:$S, "FL And dev",$AC:$AC, "Review-1"))</f>
        <v/>
      </c>
      <c r="Y332" s="7" t="str">
        <f>IF(ISBLANK(patch[[#This Row],[project]]), "",COUNTIFS($A:$A,patch[[#This Row],[number]],$S:$S, "SH And dev",$AC:$AC, "Review-1"))</f>
        <v/>
      </c>
      <c r="Z332" s="7" t="str">
        <f>IF(ISBLANK(patch[[#This Row],[project]]), "",COUNTIFS($A:$A,patch[[#This Row],[number]],$S:$S, "BJ And dev",$AD:$AD, "&lt;&gt;IntegratorValidationComment"))</f>
        <v/>
      </c>
      <c r="AA332" s="7" t="str">
        <f>IF(ISBLANK(patch[[#This Row],[project]]), "",COUNTIFS($A:$A,patch[[#This Row],[number]],$S:$S, "FL And dev",$AD:$AD, "&lt;&gt;IntegratorValidationComment"))</f>
        <v/>
      </c>
      <c r="AB332" s="7" t="str">
        <f>IF(ISBLANK(patch[[#This Row],[project]]), "",COUNTIFS($A:$A,patch[[#This Row],[number]],$S:$S, "SH And dev",$AD:$AD, "&lt;&gt;IntegratorValidationComment"))</f>
        <v/>
      </c>
      <c r="AC332" s="7" t="str">
        <f>IF(OR(ISNUMBER(FIND("Review-1", patch[[#This Row],[comments]])), ISNUMBER(FIND("Approver-1", patch[[#This Row],[comments]]))), "Review-1", "")</f>
        <v/>
      </c>
      <c r="AD3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32" s="7">
        <f>IF(ISBLANK(patch[[#This Row],[number]]),AE331,patch[[#This Row],[ifCommon]])</f>
        <v>0</v>
      </c>
    </row>
    <row r="333" spans="1:31">
      <c r="A333" s="151">
        <v>147743</v>
      </c>
      <c r="B333" s="151"/>
      <c r="C333" s="151"/>
      <c r="D333" s="151"/>
      <c r="E333" s="151"/>
      <c r="F333" s="151"/>
      <c r="G333" s="151"/>
      <c r="H333" s="151"/>
      <c r="I333" s="151"/>
      <c r="J333" s="152">
        <v>42640.690509259257</v>
      </c>
      <c r="K333" s="151"/>
      <c r="L333" s="151" t="s">
        <v>59</v>
      </c>
      <c r="M333" s="152">
        <v>42636.694467592592</v>
      </c>
      <c r="N333" s="151" t="s">
        <v>27</v>
      </c>
      <c r="O333" s="151"/>
      <c r="P333" s="151"/>
      <c r="Q333" s="7" t="str">
        <f>IF(ISBLANK(patch[[#This Row],[OwnerEmail]]),Q332,patch[[#This Row],[OwnerEmail]])</f>
        <v>john.mathew@intel.com</v>
      </c>
      <c r="R333" s="7" t="str">
        <f>_xlfn.IFNA(VLOOKUP(patch[[#This Row],[tmp-owner.email]],OrgTree!$A:$K, 11, 0), "not ICG SWFW")</f>
        <v>FL And dev</v>
      </c>
      <c r="S333" s="7" t="str">
        <f>IF(patch[[#This Row],[reviewer]]=patch[[#This Row],[tmp-owner.email]], "author", _xlfn.IFNA(VLOOKUP(patch[[#This Row],[reviewer]],OrgTree!$A:$K, 11, 0), "not ICG SWFW"))</f>
        <v>BJ And dev</v>
      </c>
      <c r="T333" s="7" t="str">
        <f>IF(ISBLANK(patch[[#This Row],[mergeDate]]), "", MID(YEAR(patch[[#This Row],[mergeDate]]), 3,2)&amp;"'ww"&amp;WEEKNUM(patch[[#This Row],[mergeDate]]))</f>
        <v>16'ww40</v>
      </c>
      <c r="U333" s="7" t="str">
        <f>IF(ISBLANK(patch[[#This Row],[mergeDate]]), U332, MID(YEAR(patch[[#This Row],[mergeDate]]), 3,2)&amp;"'m"&amp;MONTH(patch[[#This Row],[mergeDate]]))</f>
        <v>16'm9</v>
      </c>
      <c r="V333" s="7" t="str">
        <f>IF(ISBLANK(patch[[#This Row],[project]]), "",SUM(patch[[#This Row],[BJ -1 num]:[SH -1 num]]))</f>
        <v/>
      </c>
      <c r="W333" s="7" t="str">
        <f>IF(ISBLANK(patch[[#This Row],[project]]), "",COUNTIFS($A:$A,patch[[#This Row],[number]],$S:$S, "BJ And dev",$AC:$AC, "Review-1"))</f>
        <v/>
      </c>
      <c r="X333" s="7" t="str">
        <f>IF(ISBLANK(patch[[#This Row],[project]]), "",COUNTIFS($A:$A,patch[[#This Row],[number]],$S:$S, "FL And dev",$AC:$AC, "Review-1"))</f>
        <v/>
      </c>
      <c r="Y333" s="7" t="str">
        <f>IF(ISBLANK(patch[[#This Row],[project]]), "",COUNTIFS($A:$A,patch[[#This Row],[number]],$S:$S, "SH And dev",$AC:$AC, "Review-1"))</f>
        <v/>
      </c>
      <c r="Z333" s="7" t="str">
        <f>IF(ISBLANK(patch[[#This Row],[project]]), "",COUNTIFS($A:$A,patch[[#This Row],[number]],$S:$S, "BJ And dev",$AD:$AD, "&lt;&gt;IntegratorValidationComment"))</f>
        <v/>
      </c>
      <c r="AA333" s="7" t="str">
        <f>IF(ISBLANK(patch[[#This Row],[project]]), "",COUNTIFS($A:$A,patch[[#This Row],[number]],$S:$S, "FL And dev",$AD:$AD, "&lt;&gt;IntegratorValidationComment"))</f>
        <v/>
      </c>
      <c r="AB333" s="7" t="str">
        <f>IF(ISBLANK(patch[[#This Row],[project]]), "",COUNTIFS($A:$A,patch[[#This Row],[number]],$S:$S, "SH And dev",$AD:$AD, "&lt;&gt;IntegratorValidationComment"))</f>
        <v/>
      </c>
      <c r="AC333" s="7" t="str">
        <f>IF(OR(ISNUMBER(FIND("Review-1", patch[[#This Row],[comments]])), ISNUMBER(FIND("Approver-1", patch[[#This Row],[comments]]))), "Review-1", "")</f>
        <v/>
      </c>
      <c r="AD3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33" s="7">
        <f>IF(ISBLANK(patch[[#This Row],[number]]),AE332,patch[[#This Row],[ifCommon]])</f>
        <v>0</v>
      </c>
    </row>
    <row r="334" spans="1:31">
      <c r="A334" s="151">
        <v>147743</v>
      </c>
      <c r="B334" s="151"/>
      <c r="C334" s="151"/>
      <c r="D334" s="151"/>
      <c r="E334" s="151"/>
      <c r="F334" s="151"/>
      <c r="G334" s="151"/>
      <c r="H334" s="151"/>
      <c r="I334" s="151"/>
      <c r="J334" s="152">
        <v>42640.690509259257</v>
      </c>
      <c r="K334" s="151"/>
      <c r="L334" s="151" t="s">
        <v>32</v>
      </c>
      <c r="M334" s="152">
        <v>42636.704363425917</v>
      </c>
      <c r="N334" s="151" t="s">
        <v>2499</v>
      </c>
      <c r="O334" s="151" t="s">
        <v>2762</v>
      </c>
      <c r="P334" s="151"/>
      <c r="Q334" s="7" t="str">
        <f>IF(ISBLANK(patch[[#This Row],[OwnerEmail]]),Q333,patch[[#This Row],[OwnerEmail]])</f>
        <v>john.mathew@intel.com</v>
      </c>
      <c r="R334" s="7" t="str">
        <f>_xlfn.IFNA(VLOOKUP(patch[[#This Row],[tmp-owner.email]],OrgTree!$A:$K, 11, 0), "not ICG SWFW")</f>
        <v>FL And dev</v>
      </c>
      <c r="S334" s="7" t="str">
        <f>IF(patch[[#This Row],[reviewer]]=patch[[#This Row],[tmp-owner.email]], "author", _xlfn.IFNA(VLOOKUP(patch[[#This Row],[reviewer]],OrgTree!$A:$K, 11, 0), "not ICG SWFW"))</f>
        <v>BJ And dev</v>
      </c>
      <c r="T334" s="7" t="str">
        <f>IF(ISBLANK(patch[[#This Row],[mergeDate]]), "", MID(YEAR(patch[[#This Row],[mergeDate]]), 3,2)&amp;"'ww"&amp;WEEKNUM(patch[[#This Row],[mergeDate]]))</f>
        <v>16'ww40</v>
      </c>
      <c r="U334" s="7" t="str">
        <f>IF(ISBLANK(patch[[#This Row],[mergeDate]]), U333, MID(YEAR(patch[[#This Row],[mergeDate]]), 3,2)&amp;"'m"&amp;MONTH(patch[[#This Row],[mergeDate]]))</f>
        <v>16'm9</v>
      </c>
      <c r="V334" s="7" t="str">
        <f>IF(ISBLANK(patch[[#This Row],[project]]), "",SUM(patch[[#This Row],[BJ -1 num]:[SH -1 num]]))</f>
        <v/>
      </c>
      <c r="W334" s="7" t="str">
        <f>IF(ISBLANK(patch[[#This Row],[project]]), "",COUNTIFS($A:$A,patch[[#This Row],[number]],$S:$S, "BJ And dev",$AC:$AC, "Review-1"))</f>
        <v/>
      </c>
      <c r="X334" s="7" t="str">
        <f>IF(ISBLANK(patch[[#This Row],[project]]), "",COUNTIFS($A:$A,patch[[#This Row],[number]],$S:$S, "FL And dev",$AC:$AC, "Review-1"))</f>
        <v/>
      </c>
      <c r="Y334" s="7" t="str">
        <f>IF(ISBLANK(patch[[#This Row],[project]]), "",COUNTIFS($A:$A,patch[[#This Row],[number]],$S:$S, "SH And dev",$AC:$AC, "Review-1"))</f>
        <v/>
      </c>
      <c r="Z334" s="7" t="str">
        <f>IF(ISBLANK(patch[[#This Row],[project]]), "",COUNTIFS($A:$A,patch[[#This Row],[number]],$S:$S, "BJ And dev",$AD:$AD, "&lt;&gt;IntegratorValidationComment"))</f>
        <v/>
      </c>
      <c r="AA334" s="7" t="str">
        <f>IF(ISBLANK(patch[[#This Row],[project]]), "",COUNTIFS($A:$A,patch[[#This Row],[number]],$S:$S, "FL And dev",$AD:$AD, "&lt;&gt;IntegratorValidationComment"))</f>
        <v/>
      </c>
      <c r="AB334" s="7" t="str">
        <f>IF(ISBLANK(patch[[#This Row],[project]]), "",COUNTIFS($A:$A,patch[[#This Row],[number]],$S:$S, "SH And dev",$AD:$AD, "&lt;&gt;IntegratorValidationComment"))</f>
        <v/>
      </c>
      <c r="AC334" s="7" t="str">
        <f>IF(OR(ISNUMBER(FIND("Review-1", patch[[#This Row],[comments]])), ISNUMBER(FIND("Approver-1", patch[[#This Row],[comments]]))), "Review-1", "")</f>
        <v>Review-1</v>
      </c>
      <c r="AD3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34" s="7">
        <f>IF(ISBLANK(patch[[#This Row],[number]]),AE333,patch[[#This Row],[ifCommon]])</f>
        <v>0</v>
      </c>
    </row>
    <row r="335" spans="1:31">
      <c r="A335" s="151">
        <v>147743</v>
      </c>
      <c r="B335" s="151"/>
      <c r="C335" s="151"/>
      <c r="D335" s="151"/>
      <c r="E335" s="151"/>
      <c r="F335" s="151"/>
      <c r="G335" s="151"/>
      <c r="H335" s="151"/>
      <c r="I335" s="151"/>
      <c r="J335" s="152">
        <v>42640.690509259257</v>
      </c>
      <c r="K335" s="151"/>
      <c r="L335" s="151" t="s">
        <v>61</v>
      </c>
      <c r="M335" s="152">
        <v>42636.766030092593</v>
      </c>
      <c r="N335" s="151" t="s">
        <v>2450</v>
      </c>
      <c r="O335" s="151"/>
      <c r="P335" s="151"/>
      <c r="Q335" s="7" t="str">
        <f>IF(ISBLANK(patch[[#This Row],[OwnerEmail]]),Q334,patch[[#This Row],[OwnerEmail]])</f>
        <v>john.mathew@intel.com</v>
      </c>
      <c r="R335" s="7" t="str">
        <f>_xlfn.IFNA(VLOOKUP(patch[[#This Row],[tmp-owner.email]],OrgTree!$A:$K, 11, 0), "not ICG SWFW")</f>
        <v>FL And dev</v>
      </c>
      <c r="S335" s="7" t="str">
        <f>IF(patch[[#This Row],[reviewer]]=patch[[#This Row],[tmp-owner.email]], "author", _xlfn.IFNA(VLOOKUP(patch[[#This Row],[reviewer]],OrgTree!$A:$K, 11, 0), "not ICG SWFW"))</f>
        <v>author</v>
      </c>
      <c r="T335" s="7" t="str">
        <f>IF(ISBLANK(patch[[#This Row],[mergeDate]]), "", MID(YEAR(patch[[#This Row],[mergeDate]]), 3,2)&amp;"'ww"&amp;WEEKNUM(patch[[#This Row],[mergeDate]]))</f>
        <v>16'ww40</v>
      </c>
      <c r="U335" s="7" t="str">
        <f>IF(ISBLANK(patch[[#This Row],[mergeDate]]), U334, MID(YEAR(patch[[#This Row],[mergeDate]]), 3,2)&amp;"'m"&amp;MONTH(patch[[#This Row],[mergeDate]]))</f>
        <v>16'm9</v>
      </c>
      <c r="V335" s="7" t="str">
        <f>IF(ISBLANK(patch[[#This Row],[project]]), "",SUM(patch[[#This Row],[BJ -1 num]:[SH -1 num]]))</f>
        <v/>
      </c>
      <c r="W335" s="7" t="str">
        <f>IF(ISBLANK(patch[[#This Row],[project]]), "",COUNTIFS($A:$A,patch[[#This Row],[number]],$S:$S, "BJ And dev",$AC:$AC, "Review-1"))</f>
        <v/>
      </c>
      <c r="X335" s="7" t="str">
        <f>IF(ISBLANK(patch[[#This Row],[project]]), "",COUNTIFS($A:$A,patch[[#This Row],[number]],$S:$S, "FL And dev",$AC:$AC, "Review-1"))</f>
        <v/>
      </c>
      <c r="Y335" s="7" t="str">
        <f>IF(ISBLANK(patch[[#This Row],[project]]), "",COUNTIFS($A:$A,patch[[#This Row],[number]],$S:$S, "SH And dev",$AC:$AC, "Review-1"))</f>
        <v/>
      </c>
      <c r="Z335" s="7" t="str">
        <f>IF(ISBLANK(patch[[#This Row],[project]]), "",COUNTIFS($A:$A,patch[[#This Row],[number]],$S:$S, "BJ And dev",$AD:$AD, "&lt;&gt;IntegratorValidationComment"))</f>
        <v/>
      </c>
      <c r="AA335" s="7" t="str">
        <f>IF(ISBLANK(patch[[#This Row],[project]]), "",COUNTIFS($A:$A,patch[[#This Row],[number]],$S:$S, "FL And dev",$AD:$AD, "&lt;&gt;IntegratorValidationComment"))</f>
        <v/>
      </c>
      <c r="AB335" s="7" t="str">
        <f>IF(ISBLANK(patch[[#This Row],[project]]), "",COUNTIFS($A:$A,patch[[#This Row],[number]],$S:$S, "SH And dev",$AD:$AD, "&lt;&gt;IntegratorValidationComment"))</f>
        <v/>
      </c>
      <c r="AC335" s="7" t="str">
        <f>IF(OR(ISNUMBER(FIND("Review-1", patch[[#This Row],[comments]])), ISNUMBER(FIND("Approver-1", patch[[#This Row],[comments]]))), "Review-1", "")</f>
        <v/>
      </c>
      <c r="AD3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35" s="7">
        <f>IF(ISBLANK(patch[[#This Row],[number]]),AE334,patch[[#This Row],[ifCommon]])</f>
        <v>0</v>
      </c>
    </row>
    <row r="336" spans="1:31">
      <c r="A336" s="151">
        <v>147743</v>
      </c>
      <c r="B336" s="151"/>
      <c r="C336" s="151"/>
      <c r="D336" s="151"/>
      <c r="E336" s="151"/>
      <c r="F336" s="151"/>
      <c r="G336" s="151"/>
      <c r="H336" s="151"/>
      <c r="I336" s="151"/>
      <c r="J336" s="152">
        <v>42640.690509259257</v>
      </c>
      <c r="K336" s="151"/>
      <c r="L336" s="151" t="s">
        <v>61</v>
      </c>
      <c r="M336" s="152">
        <v>42636.766030092593</v>
      </c>
      <c r="N336" s="151" t="s">
        <v>1829</v>
      </c>
      <c r="O336" s="151"/>
      <c r="P336" s="151"/>
      <c r="Q336" s="7" t="str">
        <f>IF(ISBLANK(patch[[#This Row],[OwnerEmail]]),Q335,patch[[#This Row],[OwnerEmail]])</f>
        <v>john.mathew@intel.com</v>
      </c>
      <c r="R336" s="7" t="str">
        <f>_xlfn.IFNA(VLOOKUP(patch[[#This Row],[tmp-owner.email]],OrgTree!$A:$K, 11, 0), "not ICG SWFW")</f>
        <v>FL And dev</v>
      </c>
      <c r="S336" s="7" t="str">
        <f>IF(patch[[#This Row],[reviewer]]=patch[[#This Row],[tmp-owner.email]], "author", _xlfn.IFNA(VLOOKUP(patch[[#This Row],[reviewer]],OrgTree!$A:$K, 11, 0), "not ICG SWFW"))</f>
        <v>author</v>
      </c>
      <c r="T336" s="7" t="str">
        <f>IF(ISBLANK(patch[[#This Row],[mergeDate]]), "", MID(YEAR(patch[[#This Row],[mergeDate]]), 3,2)&amp;"'ww"&amp;WEEKNUM(patch[[#This Row],[mergeDate]]))</f>
        <v>16'ww40</v>
      </c>
      <c r="U336" s="7" t="str">
        <f>IF(ISBLANK(patch[[#This Row],[mergeDate]]), U335, MID(YEAR(patch[[#This Row],[mergeDate]]), 3,2)&amp;"'m"&amp;MONTH(patch[[#This Row],[mergeDate]]))</f>
        <v>16'm9</v>
      </c>
      <c r="V336" s="7" t="str">
        <f>IF(ISBLANK(patch[[#This Row],[project]]), "",SUM(patch[[#This Row],[BJ -1 num]:[SH -1 num]]))</f>
        <v/>
      </c>
      <c r="W336" s="7" t="str">
        <f>IF(ISBLANK(patch[[#This Row],[project]]), "",COUNTIFS($A:$A,patch[[#This Row],[number]],$S:$S, "BJ And dev",$AC:$AC, "Review-1"))</f>
        <v/>
      </c>
      <c r="X336" s="7" t="str">
        <f>IF(ISBLANK(patch[[#This Row],[project]]), "",COUNTIFS($A:$A,patch[[#This Row],[number]],$S:$S, "FL And dev",$AC:$AC, "Review-1"))</f>
        <v/>
      </c>
      <c r="Y336" s="7" t="str">
        <f>IF(ISBLANK(patch[[#This Row],[project]]), "",COUNTIFS($A:$A,patch[[#This Row],[number]],$S:$S, "SH And dev",$AC:$AC, "Review-1"))</f>
        <v/>
      </c>
      <c r="Z336" s="7" t="str">
        <f>IF(ISBLANK(patch[[#This Row],[project]]), "",COUNTIFS($A:$A,patch[[#This Row],[number]],$S:$S, "BJ And dev",$AD:$AD, "&lt;&gt;IntegratorValidationComment"))</f>
        <v/>
      </c>
      <c r="AA336" s="7" t="str">
        <f>IF(ISBLANK(patch[[#This Row],[project]]), "",COUNTIFS($A:$A,patch[[#This Row],[number]],$S:$S, "FL And dev",$AD:$AD, "&lt;&gt;IntegratorValidationComment"))</f>
        <v/>
      </c>
      <c r="AB336" s="7" t="str">
        <f>IF(ISBLANK(patch[[#This Row],[project]]), "",COUNTIFS($A:$A,patch[[#This Row],[number]],$S:$S, "SH And dev",$AD:$AD, "&lt;&gt;IntegratorValidationComment"))</f>
        <v/>
      </c>
      <c r="AC336" s="7" t="str">
        <f>IF(OR(ISNUMBER(FIND("Review-1", patch[[#This Row],[comments]])), ISNUMBER(FIND("Approver-1", patch[[#This Row],[comments]]))), "Review-1", "")</f>
        <v/>
      </c>
      <c r="AD3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36" s="7">
        <f>IF(ISBLANK(patch[[#This Row],[number]]),AE335,patch[[#This Row],[ifCommon]])</f>
        <v>0</v>
      </c>
    </row>
    <row r="337" spans="1:31">
      <c r="A337" s="151">
        <v>147743</v>
      </c>
      <c r="B337" s="151"/>
      <c r="C337" s="151"/>
      <c r="D337" s="151"/>
      <c r="E337" s="151"/>
      <c r="F337" s="151"/>
      <c r="G337" s="151"/>
      <c r="H337" s="151"/>
      <c r="I337" s="151"/>
      <c r="J337" s="152">
        <v>42640.690509259257</v>
      </c>
      <c r="K337" s="151"/>
      <c r="L337" s="151" t="s">
        <v>61</v>
      </c>
      <c r="M337" s="152">
        <v>42636.766481481478</v>
      </c>
      <c r="N337" s="151" t="s">
        <v>48</v>
      </c>
      <c r="O337" s="151"/>
      <c r="P337" s="151"/>
      <c r="Q337" s="7" t="str">
        <f>IF(ISBLANK(patch[[#This Row],[OwnerEmail]]),Q336,patch[[#This Row],[OwnerEmail]])</f>
        <v>john.mathew@intel.com</v>
      </c>
      <c r="R337" s="7" t="str">
        <f>_xlfn.IFNA(VLOOKUP(patch[[#This Row],[tmp-owner.email]],OrgTree!$A:$K, 11, 0), "not ICG SWFW")</f>
        <v>FL And dev</v>
      </c>
      <c r="S337" s="7" t="str">
        <f>IF(patch[[#This Row],[reviewer]]=patch[[#This Row],[tmp-owner.email]], "author", _xlfn.IFNA(VLOOKUP(patch[[#This Row],[reviewer]],OrgTree!$A:$K, 11, 0), "not ICG SWFW"))</f>
        <v>author</v>
      </c>
      <c r="T337" s="7" t="str">
        <f>IF(ISBLANK(patch[[#This Row],[mergeDate]]), "", MID(YEAR(patch[[#This Row],[mergeDate]]), 3,2)&amp;"'ww"&amp;WEEKNUM(patch[[#This Row],[mergeDate]]))</f>
        <v>16'ww40</v>
      </c>
      <c r="U337" s="7" t="str">
        <f>IF(ISBLANK(patch[[#This Row],[mergeDate]]), U336, MID(YEAR(patch[[#This Row],[mergeDate]]), 3,2)&amp;"'m"&amp;MONTH(patch[[#This Row],[mergeDate]]))</f>
        <v>16'm9</v>
      </c>
      <c r="V337" s="7" t="str">
        <f>IF(ISBLANK(patch[[#This Row],[project]]), "",SUM(patch[[#This Row],[BJ -1 num]:[SH -1 num]]))</f>
        <v/>
      </c>
      <c r="W337" s="7" t="str">
        <f>IF(ISBLANK(patch[[#This Row],[project]]), "",COUNTIFS($A:$A,patch[[#This Row],[number]],$S:$S, "BJ And dev",$AC:$AC, "Review-1"))</f>
        <v/>
      </c>
      <c r="X337" s="7" t="str">
        <f>IF(ISBLANK(patch[[#This Row],[project]]), "",COUNTIFS($A:$A,patch[[#This Row],[number]],$S:$S, "FL And dev",$AC:$AC, "Review-1"))</f>
        <v/>
      </c>
      <c r="Y337" s="7" t="str">
        <f>IF(ISBLANK(patch[[#This Row],[project]]), "",COUNTIFS($A:$A,patch[[#This Row],[number]],$S:$S, "SH And dev",$AC:$AC, "Review-1"))</f>
        <v/>
      </c>
      <c r="Z337" s="7" t="str">
        <f>IF(ISBLANK(patch[[#This Row],[project]]), "",COUNTIFS($A:$A,patch[[#This Row],[number]],$S:$S, "BJ And dev",$AD:$AD, "&lt;&gt;IntegratorValidationComment"))</f>
        <v/>
      </c>
      <c r="AA337" s="7" t="str">
        <f>IF(ISBLANK(patch[[#This Row],[project]]), "",COUNTIFS($A:$A,patch[[#This Row],[number]],$S:$S, "FL And dev",$AD:$AD, "&lt;&gt;IntegratorValidationComment"))</f>
        <v/>
      </c>
      <c r="AB337" s="7" t="str">
        <f>IF(ISBLANK(patch[[#This Row],[project]]), "",COUNTIFS($A:$A,patch[[#This Row],[number]],$S:$S, "SH And dev",$AD:$AD, "&lt;&gt;IntegratorValidationComment"))</f>
        <v/>
      </c>
      <c r="AC337" s="7" t="str">
        <f>IF(OR(ISNUMBER(FIND("Review-1", patch[[#This Row],[comments]])), ISNUMBER(FIND("Approver-1", patch[[#This Row],[comments]]))), "Review-1", "")</f>
        <v/>
      </c>
      <c r="AD3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37" s="7">
        <f>IF(ISBLANK(patch[[#This Row],[number]]),AE336,patch[[#This Row],[ifCommon]])</f>
        <v>0</v>
      </c>
    </row>
    <row r="338" spans="1:31">
      <c r="A338" s="151">
        <v>147743</v>
      </c>
      <c r="B338" s="151"/>
      <c r="C338" s="151"/>
      <c r="D338" s="151"/>
      <c r="E338" s="151"/>
      <c r="F338" s="151"/>
      <c r="G338" s="151"/>
      <c r="H338" s="151"/>
      <c r="I338" s="151"/>
      <c r="J338" s="152">
        <v>42640.690509259257</v>
      </c>
      <c r="K338" s="151"/>
      <c r="L338" s="151" t="s">
        <v>61</v>
      </c>
      <c r="M338" s="152">
        <v>42636.766608796293</v>
      </c>
      <c r="N338" s="151" t="s">
        <v>2455</v>
      </c>
      <c r="O338" s="151" t="s">
        <v>2763</v>
      </c>
      <c r="P338" s="151"/>
      <c r="Q338" s="7" t="str">
        <f>IF(ISBLANK(patch[[#This Row],[OwnerEmail]]),Q337,patch[[#This Row],[OwnerEmail]])</f>
        <v>john.mathew@intel.com</v>
      </c>
      <c r="R338" s="7" t="str">
        <f>_xlfn.IFNA(VLOOKUP(patch[[#This Row],[tmp-owner.email]],OrgTree!$A:$K, 11, 0), "not ICG SWFW")</f>
        <v>FL And dev</v>
      </c>
      <c r="S338" s="7" t="str">
        <f>IF(patch[[#This Row],[reviewer]]=patch[[#This Row],[tmp-owner.email]], "author", _xlfn.IFNA(VLOOKUP(patch[[#This Row],[reviewer]],OrgTree!$A:$K, 11, 0), "not ICG SWFW"))</f>
        <v>author</v>
      </c>
      <c r="T338" s="7" t="str">
        <f>IF(ISBLANK(patch[[#This Row],[mergeDate]]), "", MID(YEAR(patch[[#This Row],[mergeDate]]), 3,2)&amp;"'ww"&amp;WEEKNUM(patch[[#This Row],[mergeDate]]))</f>
        <v>16'ww40</v>
      </c>
      <c r="U338" s="7" t="str">
        <f>IF(ISBLANK(patch[[#This Row],[mergeDate]]), U337, MID(YEAR(patch[[#This Row],[mergeDate]]), 3,2)&amp;"'m"&amp;MONTH(patch[[#This Row],[mergeDate]]))</f>
        <v>16'm9</v>
      </c>
      <c r="V338" s="7" t="str">
        <f>IF(ISBLANK(patch[[#This Row],[project]]), "",SUM(patch[[#This Row],[BJ -1 num]:[SH -1 num]]))</f>
        <v/>
      </c>
      <c r="W338" s="7" t="str">
        <f>IF(ISBLANK(patch[[#This Row],[project]]), "",COUNTIFS($A:$A,patch[[#This Row],[number]],$S:$S, "BJ And dev",$AC:$AC, "Review-1"))</f>
        <v/>
      </c>
      <c r="X338" s="7" t="str">
        <f>IF(ISBLANK(patch[[#This Row],[project]]), "",COUNTIFS($A:$A,patch[[#This Row],[number]],$S:$S, "FL And dev",$AC:$AC, "Review-1"))</f>
        <v/>
      </c>
      <c r="Y338" s="7" t="str">
        <f>IF(ISBLANK(patch[[#This Row],[project]]), "",COUNTIFS($A:$A,patch[[#This Row],[number]],$S:$S, "SH And dev",$AC:$AC, "Review-1"))</f>
        <v/>
      </c>
      <c r="Z338" s="7" t="str">
        <f>IF(ISBLANK(patch[[#This Row],[project]]), "",COUNTIFS($A:$A,patch[[#This Row],[number]],$S:$S, "BJ And dev",$AD:$AD, "&lt;&gt;IntegratorValidationComment"))</f>
        <v/>
      </c>
      <c r="AA338" s="7" t="str">
        <f>IF(ISBLANK(patch[[#This Row],[project]]), "",COUNTIFS($A:$A,patch[[#This Row],[number]],$S:$S, "FL And dev",$AD:$AD, "&lt;&gt;IntegratorValidationComment"))</f>
        <v/>
      </c>
      <c r="AB338" s="7" t="str">
        <f>IF(ISBLANK(patch[[#This Row],[project]]), "",COUNTIFS($A:$A,patch[[#This Row],[number]],$S:$S, "SH And dev",$AD:$AD, "&lt;&gt;IntegratorValidationComment"))</f>
        <v/>
      </c>
      <c r="AC338" s="7" t="str">
        <f>IF(OR(ISNUMBER(FIND("Review-1", patch[[#This Row],[comments]])), ISNUMBER(FIND("Approver-1", patch[[#This Row],[comments]]))), "Review-1", "")</f>
        <v/>
      </c>
      <c r="AD3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38" s="7">
        <f>IF(ISBLANK(patch[[#This Row],[number]]),AE337,patch[[#This Row],[ifCommon]])</f>
        <v>0</v>
      </c>
    </row>
    <row r="339" spans="1:31">
      <c r="A339" s="151">
        <v>147743</v>
      </c>
      <c r="B339" s="151"/>
      <c r="C339" s="151"/>
      <c r="D339" s="151"/>
      <c r="E339" s="151"/>
      <c r="F339" s="151"/>
      <c r="G339" s="151"/>
      <c r="H339" s="151"/>
      <c r="I339" s="151"/>
      <c r="J339" s="152">
        <v>42640.690509259257</v>
      </c>
      <c r="K339" s="151"/>
      <c r="L339" s="151" t="s">
        <v>59</v>
      </c>
      <c r="M339" s="152">
        <v>42636.772662037038</v>
      </c>
      <c r="N339" s="151" t="s">
        <v>2764</v>
      </c>
      <c r="O339" s="151"/>
      <c r="P339" s="151"/>
      <c r="Q339" s="7" t="str">
        <f>IF(ISBLANK(patch[[#This Row],[OwnerEmail]]),Q338,patch[[#This Row],[OwnerEmail]])</f>
        <v>john.mathew@intel.com</v>
      </c>
      <c r="R339" s="7" t="str">
        <f>_xlfn.IFNA(VLOOKUP(patch[[#This Row],[tmp-owner.email]],OrgTree!$A:$K, 11, 0), "not ICG SWFW")</f>
        <v>FL And dev</v>
      </c>
      <c r="S339" s="7" t="str">
        <f>IF(patch[[#This Row],[reviewer]]=patch[[#This Row],[tmp-owner.email]], "author", _xlfn.IFNA(VLOOKUP(patch[[#This Row],[reviewer]],OrgTree!$A:$K, 11, 0), "not ICG SWFW"))</f>
        <v>BJ And dev</v>
      </c>
      <c r="T339" s="7" t="str">
        <f>IF(ISBLANK(patch[[#This Row],[mergeDate]]), "", MID(YEAR(patch[[#This Row],[mergeDate]]), 3,2)&amp;"'ww"&amp;WEEKNUM(patch[[#This Row],[mergeDate]]))</f>
        <v>16'ww40</v>
      </c>
      <c r="U339" s="7" t="str">
        <f>IF(ISBLANK(patch[[#This Row],[mergeDate]]), U338, MID(YEAR(patch[[#This Row],[mergeDate]]), 3,2)&amp;"'m"&amp;MONTH(patch[[#This Row],[mergeDate]]))</f>
        <v>16'm9</v>
      </c>
      <c r="V339" s="7" t="str">
        <f>IF(ISBLANK(patch[[#This Row],[project]]), "",SUM(patch[[#This Row],[BJ -1 num]:[SH -1 num]]))</f>
        <v/>
      </c>
      <c r="W339" s="7" t="str">
        <f>IF(ISBLANK(patch[[#This Row],[project]]), "",COUNTIFS($A:$A,patch[[#This Row],[number]],$S:$S, "BJ And dev",$AC:$AC, "Review-1"))</f>
        <v/>
      </c>
      <c r="X339" s="7" t="str">
        <f>IF(ISBLANK(patch[[#This Row],[project]]), "",COUNTIFS($A:$A,patch[[#This Row],[number]],$S:$S, "FL And dev",$AC:$AC, "Review-1"))</f>
        <v/>
      </c>
      <c r="Y339" s="7" t="str">
        <f>IF(ISBLANK(patch[[#This Row],[project]]), "",COUNTIFS($A:$A,patch[[#This Row],[number]],$S:$S, "SH And dev",$AC:$AC, "Review-1"))</f>
        <v/>
      </c>
      <c r="Z339" s="7" t="str">
        <f>IF(ISBLANK(patch[[#This Row],[project]]), "",COUNTIFS($A:$A,patch[[#This Row],[number]],$S:$S, "BJ And dev",$AD:$AD, "&lt;&gt;IntegratorValidationComment"))</f>
        <v/>
      </c>
      <c r="AA339" s="7" t="str">
        <f>IF(ISBLANK(patch[[#This Row],[project]]), "",COUNTIFS($A:$A,patch[[#This Row],[number]],$S:$S, "FL And dev",$AD:$AD, "&lt;&gt;IntegratorValidationComment"))</f>
        <v/>
      </c>
      <c r="AB339" s="7" t="str">
        <f>IF(ISBLANK(patch[[#This Row],[project]]), "",COUNTIFS($A:$A,patch[[#This Row],[number]],$S:$S, "SH And dev",$AD:$AD, "&lt;&gt;IntegratorValidationComment"))</f>
        <v/>
      </c>
      <c r="AC339" s="7" t="str">
        <f>IF(OR(ISNUMBER(FIND("Review-1", patch[[#This Row],[comments]])), ISNUMBER(FIND("Approver-1", patch[[#This Row],[comments]]))), "Review-1", "")</f>
        <v/>
      </c>
      <c r="AD3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39" s="7">
        <f>IF(ISBLANK(patch[[#This Row],[number]]),AE338,patch[[#This Row],[ifCommon]])</f>
        <v>0</v>
      </c>
    </row>
    <row r="340" spans="1:31">
      <c r="A340" s="151">
        <v>147743</v>
      </c>
      <c r="B340" s="151"/>
      <c r="C340" s="151"/>
      <c r="D340" s="151"/>
      <c r="E340" s="151"/>
      <c r="F340" s="151"/>
      <c r="G340" s="151"/>
      <c r="H340" s="151"/>
      <c r="I340" s="151"/>
      <c r="J340" s="152">
        <v>42640.690509259257</v>
      </c>
      <c r="K340" s="151"/>
      <c r="L340" s="151" t="s">
        <v>59</v>
      </c>
      <c r="M340" s="152">
        <v>42636.775590277779</v>
      </c>
      <c r="N340" s="151" t="s">
        <v>2765</v>
      </c>
      <c r="O340" s="151"/>
      <c r="P340" s="151"/>
      <c r="Q340" s="7" t="str">
        <f>IF(ISBLANK(patch[[#This Row],[OwnerEmail]]),Q339,patch[[#This Row],[OwnerEmail]])</f>
        <v>john.mathew@intel.com</v>
      </c>
      <c r="R340" s="7" t="str">
        <f>_xlfn.IFNA(VLOOKUP(patch[[#This Row],[tmp-owner.email]],OrgTree!$A:$K, 11, 0), "not ICG SWFW")</f>
        <v>FL And dev</v>
      </c>
      <c r="S340" s="7" t="str">
        <f>IF(patch[[#This Row],[reviewer]]=patch[[#This Row],[tmp-owner.email]], "author", _xlfn.IFNA(VLOOKUP(patch[[#This Row],[reviewer]],OrgTree!$A:$K, 11, 0), "not ICG SWFW"))</f>
        <v>BJ And dev</v>
      </c>
      <c r="T340" s="7" t="str">
        <f>IF(ISBLANK(patch[[#This Row],[mergeDate]]), "", MID(YEAR(patch[[#This Row],[mergeDate]]), 3,2)&amp;"'ww"&amp;WEEKNUM(patch[[#This Row],[mergeDate]]))</f>
        <v>16'ww40</v>
      </c>
      <c r="U340" s="7" t="str">
        <f>IF(ISBLANK(patch[[#This Row],[mergeDate]]), U339, MID(YEAR(patch[[#This Row],[mergeDate]]), 3,2)&amp;"'m"&amp;MONTH(patch[[#This Row],[mergeDate]]))</f>
        <v>16'm9</v>
      </c>
      <c r="V340" s="7" t="str">
        <f>IF(ISBLANK(patch[[#This Row],[project]]), "",SUM(patch[[#This Row],[BJ -1 num]:[SH -1 num]]))</f>
        <v/>
      </c>
      <c r="W340" s="7" t="str">
        <f>IF(ISBLANK(patch[[#This Row],[project]]), "",COUNTIFS($A:$A,patch[[#This Row],[number]],$S:$S, "BJ And dev",$AC:$AC, "Review-1"))</f>
        <v/>
      </c>
      <c r="X340" s="7" t="str">
        <f>IF(ISBLANK(patch[[#This Row],[project]]), "",COUNTIFS($A:$A,patch[[#This Row],[number]],$S:$S, "FL And dev",$AC:$AC, "Review-1"))</f>
        <v/>
      </c>
      <c r="Y340" s="7" t="str">
        <f>IF(ISBLANK(patch[[#This Row],[project]]), "",COUNTIFS($A:$A,patch[[#This Row],[number]],$S:$S, "SH And dev",$AC:$AC, "Review-1"))</f>
        <v/>
      </c>
      <c r="Z340" s="7" t="str">
        <f>IF(ISBLANK(patch[[#This Row],[project]]), "",COUNTIFS($A:$A,patch[[#This Row],[number]],$S:$S, "BJ And dev",$AD:$AD, "&lt;&gt;IntegratorValidationComment"))</f>
        <v/>
      </c>
      <c r="AA340" s="7" t="str">
        <f>IF(ISBLANK(patch[[#This Row],[project]]), "",COUNTIFS($A:$A,patch[[#This Row],[number]],$S:$S, "FL And dev",$AD:$AD, "&lt;&gt;IntegratorValidationComment"))</f>
        <v/>
      </c>
      <c r="AB340" s="7" t="str">
        <f>IF(ISBLANK(patch[[#This Row],[project]]), "",COUNTIFS($A:$A,patch[[#This Row],[number]],$S:$S, "SH And dev",$AD:$AD, "&lt;&gt;IntegratorValidationComment"))</f>
        <v/>
      </c>
      <c r="AC340" s="7" t="str">
        <f>IF(OR(ISNUMBER(FIND("Review-1", patch[[#This Row],[comments]])), ISNUMBER(FIND("Approver-1", patch[[#This Row],[comments]]))), "Review-1", "")</f>
        <v/>
      </c>
      <c r="AD3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40" s="7">
        <f>IF(ISBLANK(patch[[#This Row],[number]]),AE339,patch[[#This Row],[ifCommon]])</f>
        <v>0</v>
      </c>
    </row>
    <row r="341" spans="1:31">
      <c r="A341" s="151">
        <v>147743</v>
      </c>
      <c r="B341" s="151"/>
      <c r="C341" s="151"/>
      <c r="D341" s="151"/>
      <c r="E341" s="151"/>
      <c r="F341" s="151"/>
      <c r="G341" s="151"/>
      <c r="H341" s="151"/>
      <c r="I341" s="151"/>
      <c r="J341" s="152">
        <v>42640.690509259257</v>
      </c>
      <c r="K341" s="151"/>
      <c r="L341" s="151" t="s">
        <v>61</v>
      </c>
      <c r="M341" s="152">
        <v>42636.845543981479</v>
      </c>
      <c r="N341" s="151" t="s">
        <v>2451</v>
      </c>
      <c r="O341" s="151"/>
      <c r="P341" s="151"/>
      <c r="Q341" s="7" t="str">
        <f>IF(ISBLANK(patch[[#This Row],[OwnerEmail]]),Q340,patch[[#This Row],[OwnerEmail]])</f>
        <v>john.mathew@intel.com</v>
      </c>
      <c r="R341" s="7" t="str">
        <f>_xlfn.IFNA(VLOOKUP(patch[[#This Row],[tmp-owner.email]],OrgTree!$A:$K, 11, 0), "not ICG SWFW")</f>
        <v>FL And dev</v>
      </c>
      <c r="S341" s="7" t="str">
        <f>IF(patch[[#This Row],[reviewer]]=patch[[#This Row],[tmp-owner.email]], "author", _xlfn.IFNA(VLOOKUP(patch[[#This Row],[reviewer]],OrgTree!$A:$K, 11, 0), "not ICG SWFW"))</f>
        <v>author</v>
      </c>
      <c r="T341" s="7" t="str">
        <f>IF(ISBLANK(patch[[#This Row],[mergeDate]]), "", MID(YEAR(patch[[#This Row],[mergeDate]]), 3,2)&amp;"'ww"&amp;WEEKNUM(patch[[#This Row],[mergeDate]]))</f>
        <v>16'ww40</v>
      </c>
      <c r="U341" s="7" t="str">
        <f>IF(ISBLANK(patch[[#This Row],[mergeDate]]), U340, MID(YEAR(patch[[#This Row],[mergeDate]]), 3,2)&amp;"'m"&amp;MONTH(patch[[#This Row],[mergeDate]]))</f>
        <v>16'm9</v>
      </c>
      <c r="V341" s="7" t="str">
        <f>IF(ISBLANK(patch[[#This Row],[project]]), "",SUM(patch[[#This Row],[BJ -1 num]:[SH -1 num]]))</f>
        <v/>
      </c>
      <c r="W341" s="7" t="str">
        <f>IF(ISBLANK(patch[[#This Row],[project]]), "",COUNTIFS($A:$A,patch[[#This Row],[number]],$S:$S, "BJ And dev",$AC:$AC, "Review-1"))</f>
        <v/>
      </c>
      <c r="X341" s="7" t="str">
        <f>IF(ISBLANK(patch[[#This Row],[project]]), "",COUNTIFS($A:$A,patch[[#This Row],[number]],$S:$S, "FL And dev",$AC:$AC, "Review-1"))</f>
        <v/>
      </c>
      <c r="Y341" s="7" t="str">
        <f>IF(ISBLANK(patch[[#This Row],[project]]), "",COUNTIFS($A:$A,patch[[#This Row],[number]],$S:$S, "SH And dev",$AC:$AC, "Review-1"))</f>
        <v/>
      </c>
      <c r="Z341" s="7" t="str">
        <f>IF(ISBLANK(patch[[#This Row],[project]]), "",COUNTIFS($A:$A,patch[[#This Row],[number]],$S:$S, "BJ And dev",$AD:$AD, "&lt;&gt;IntegratorValidationComment"))</f>
        <v/>
      </c>
      <c r="AA341" s="7" t="str">
        <f>IF(ISBLANK(patch[[#This Row],[project]]), "",COUNTIFS($A:$A,patch[[#This Row],[number]],$S:$S, "FL And dev",$AD:$AD, "&lt;&gt;IntegratorValidationComment"))</f>
        <v/>
      </c>
      <c r="AB341" s="7" t="str">
        <f>IF(ISBLANK(patch[[#This Row],[project]]), "",COUNTIFS($A:$A,patch[[#This Row],[number]],$S:$S, "SH And dev",$AD:$AD, "&lt;&gt;IntegratorValidationComment"))</f>
        <v/>
      </c>
      <c r="AC341" s="7" t="str">
        <f>IF(OR(ISNUMBER(FIND("Review-1", patch[[#This Row],[comments]])), ISNUMBER(FIND("Approver-1", patch[[#This Row],[comments]]))), "Review-1", "")</f>
        <v/>
      </c>
      <c r="AD3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41" s="7">
        <f>IF(ISBLANK(patch[[#This Row],[number]]),AE340,patch[[#This Row],[ifCommon]])</f>
        <v>0</v>
      </c>
    </row>
    <row r="342" spans="1:31">
      <c r="A342" s="151">
        <v>147743</v>
      </c>
      <c r="B342" s="151"/>
      <c r="C342" s="151"/>
      <c r="D342" s="151"/>
      <c r="E342" s="151"/>
      <c r="F342" s="151"/>
      <c r="G342" s="151"/>
      <c r="H342" s="151"/>
      <c r="I342" s="151"/>
      <c r="J342" s="152">
        <v>42640.690509259257</v>
      </c>
      <c r="K342" s="151"/>
      <c r="L342" s="151" t="s">
        <v>61</v>
      </c>
      <c r="M342" s="152">
        <v>42636.845543981479</v>
      </c>
      <c r="N342" s="151" t="s">
        <v>1841</v>
      </c>
      <c r="O342" s="151"/>
      <c r="P342" s="151"/>
      <c r="Q342" s="7" t="str">
        <f>IF(ISBLANK(patch[[#This Row],[OwnerEmail]]),Q341,patch[[#This Row],[OwnerEmail]])</f>
        <v>john.mathew@intel.com</v>
      </c>
      <c r="R342" s="7" t="str">
        <f>_xlfn.IFNA(VLOOKUP(patch[[#This Row],[tmp-owner.email]],OrgTree!$A:$K, 11, 0), "not ICG SWFW")</f>
        <v>FL And dev</v>
      </c>
      <c r="S342" s="7" t="str">
        <f>IF(patch[[#This Row],[reviewer]]=patch[[#This Row],[tmp-owner.email]], "author", _xlfn.IFNA(VLOOKUP(patch[[#This Row],[reviewer]],OrgTree!$A:$K, 11, 0), "not ICG SWFW"))</f>
        <v>author</v>
      </c>
      <c r="T342" s="7" t="str">
        <f>IF(ISBLANK(patch[[#This Row],[mergeDate]]), "", MID(YEAR(patch[[#This Row],[mergeDate]]), 3,2)&amp;"'ww"&amp;WEEKNUM(patch[[#This Row],[mergeDate]]))</f>
        <v>16'ww40</v>
      </c>
      <c r="U342" s="7" t="str">
        <f>IF(ISBLANK(patch[[#This Row],[mergeDate]]), U341, MID(YEAR(patch[[#This Row],[mergeDate]]), 3,2)&amp;"'m"&amp;MONTH(patch[[#This Row],[mergeDate]]))</f>
        <v>16'm9</v>
      </c>
      <c r="V342" s="7" t="str">
        <f>IF(ISBLANK(patch[[#This Row],[project]]), "",SUM(patch[[#This Row],[BJ -1 num]:[SH -1 num]]))</f>
        <v/>
      </c>
      <c r="W342" s="7" t="str">
        <f>IF(ISBLANK(patch[[#This Row],[project]]), "",COUNTIFS($A:$A,patch[[#This Row],[number]],$S:$S, "BJ And dev",$AC:$AC, "Review-1"))</f>
        <v/>
      </c>
      <c r="X342" s="7" t="str">
        <f>IF(ISBLANK(patch[[#This Row],[project]]), "",COUNTIFS($A:$A,patch[[#This Row],[number]],$S:$S, "FL And dev",$AC:$AC, "Review-1"))</f>
        <v/>
      </c>
      <c r="Y342" s="7" t="str">
        <f>IF(ISBLANK(patch[[#This Row],[project]]), "",COUNTIFS($A:$A,patch[[#This Row],[number]],$S:$S, "SH And dev",$AC:$AC, "Review-1"))</f>
        <v/>
      </c>
      <c r="Z342" s="7" t="str">
        <f>IF(ISBLANK(patch[[#This Row],[project]]), "",COUNTIFS($A:$A,patch[[#This Row],[number]],$S:$S, "BJ And dev",$AD:$AD, "&lt;&gt;IntegratorValidationComment"))</f>
        <v/>
      </c>
      <c r="AA342" s="7" t="str">
        <f>IF(ISBLANK(patch[[#This Row],[project]]), "",COUNTIFS($A:$A,patch[[#This Row],[number]],$S:$S, "FL And dev",$AD:$AD, "&lt;&gt;IntegratorValidationComment"))</f>
        <v/>
      </c>
      <c r="AB342" s="7" t="str">
        <f>IF(ISBLANK(patch[[#This Row],[project]]), "",COUNTIFS($A:$A,patch[[#This Row],[number]],$S:$S, "SH And dev",$AD:$AD, "&lt;&gt;IntegratorValidationComment"))</f>
        <v/>
      </c>
      <c r="AC342" s="7" t="str">
        <f>IF(OR(ISNUMBER(FIND("Review-1", patch[[#This Row],[comments]])), ISNUMBER(FIND("Approver-1", patch[[#This Row],[comments]]))), "Review-1", "")</f>
        <v/>
      </c>
      <c r="AD3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42" s="7">
        <f>IF(ISBLANK(patch[[#This Row],[number]]),AE341,patch[[#This Row],[ifCommon]])</f>
        <v>0</v>
      </c>
    </row>
    <row r="343" spans="1:31">
      <c r="A343" s="151">
        <v>147743</v>
      </c>
      <c r="B343" s="151"/>
      <c r="C343" s="151"/>
      <c r="D343" s="151"/>
      <c r="E343" s="151"/>
      <c r="F343" s="151"/>
      <c r="G343" s="151"/>
      <c r="H343" s="151"/>
      <c r="I343" s="152"/>
      <c r="J343" s="152">
        <v>42640.690509259257</v>
      </c>
      <c r="K343" s="151"/>
      <c r="L343" s="151" t="s">
        <v>59</v>
      </c>
      <c r="M343" s="152">
        <v>42639.377743055556</v>
      </c>
      <c r="N343" s="151" t="s">
        <v>2766</v>
      </c>
      <c r="O343" s="151"/>
      <c r="P343" s="151"/>
      <c r="Q343" s="7" t="str">
        <f>IF(ISBLANK(patch[[#This Row],[OwnerEmail]]),Q342,patch[[#This Row],[OwnerEmail]])</f>
        <v>john.mathew@intel.com</v>
      </c>
      <c r="R343" s="7" t="str">
        <f>_xlfn.IFNA(VLOOKUP(patch[[#This Row],[tmp-owner.email]],OrgTree!$A:$K, 11, 0), "not ICG SWFW")</f>
        <v>FL And dev</v>
      </c>
      <c r="S343" s="7" t="str">
        <f>IF(patch[[#This Row],[reviewer]]=patch[[#This Row],[tmp-owner.email]], "author", _xlfn.IFNA(VLOOKUP(patch[[#This Row],[reviewer]],OrgTree!$A:$K, 11, 0), "not ICG SWFW"))</f>
        <v>BJ And dev</v>
      </c>
      <c r="T343" s="7" t="str">
        <f>IF(ISBLANK(patch[[#This Row],[mergeDate]]), "", MID(YEAR(patch[[#This Row],[mergeDate]]), 3,2)&amp;"'ww"&amp;WEEKNUM(patch[[#This Row],[mergeDate]]))</f>
        <v>16'ww40</v>
      </c>
      <c r="U343" s="7" t="str">
        <f>IF(ISBLANK(patch[[#This Row],[mergeDate]]), U342, MID(YEAR(patch[[#This Row],[mergeDate]]), 3,2)&amp;"'m"&amp;MONTH(patch[[#This Row],[mergeDate]]))</f>
        <v>16'm9</v>
      </c>
      <c r="V343" s="7" t="str">
        <f>IF(ISBLANK(patch[[#This Row],[project]]), "",SUM(patch[[#This Row],[BJ -1 num]:[SH -1 num]]))</f>
        <v/>
      </c>
      <c r="W343" s="7" t="str">
        <f>IF(ISBLANK(patch[[#This Row],[project]]), "",COUNTIFS($A:$A,patch[[#This Row],[number]],$S:$S, "BJ And dev",$AC:$AC, "Review-1"))</f>
        <v/>
      </c>
      <c r="X343" s="7" t="str">
        <f>IF(ISBLANK(patch[[#This Row],[project]]), "",COUNTIFS($A:$A,patch[[#This Row],[number]],$S:$S, "FL And dev",$AC:$AC, "Review-1"))</f>
        <v/>
      </c>
      <c r="Y343" s="7" t="str">
        <f>IF(ISBLANK(patch[[#This Row],[project]]), "",COUNTIFS($A:$A,patch[[#This Row],[number]],$S:$S, "SH And dev",$AC:$AC, "Review-1"))</f>
        <v/>
      </c>
      <c r="Z343" s="7" t="str">
        <f>IF(ISBLANK(patch[[#This Row],[project]]), "",COUNTIFS($A:$A,patch[[#This Row],[number]],$S:$S, "BJ And dev",$AD:$AD, "&lt;&gt;IntegratorValidationComment"))</f>
        <v/>
      </c>
      <c r="AA343" s="7" t="str">
        <f>IF(ISBLANK(patch[[#This Row],[project]]), "",COUNTIFS($A:$A,patch[[#This Row],[number]],$S:$S, "FL And dev",$AD:$AD, "&lt;&gt;IntegratorValidationComment"))</f>
        <v/>
      </c>
      <c r="AB343" s="7" t="str">
        <f>IF(ISBLANK(patch[[#This Row],[project]]), "",COUNTIFS($A:$A,patch[[#This Row],[number]],$S:$S, "SH And dev",$AD:$AD, "&lt;&gt;IntegratorValidationComment"))</f>
        <v/>
      </c>
      <c r="AC343" s="7" t="str">
        <f>IF(OR(ISNUMBER(FIND("Review-1", patch[[#This Row],[comments]])), ISNUMBER(FIND("Approver-1", patch[[#This Row],[comments]]))), "Review-1", "")</f>
        <v/>
      </c>
      <c r="AD3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43" s="7">
        <f>IF(ISBLANK(patch[[#This Row],[number]]),AE342,patch[[#This Row],[ifCommon]])</f>
        <v>0</v>
      </c>
    </row>
    <row r="344" spans="1:31">
      <c r="A344" s="151">
        <v>147743</v>
      </c>
      <c r="B344" s="151"/>
      <c r="C344" s="151"/>
      <c r="D344" s="151"/>
      <c r="E344" s="151"/>
      <c r="F344" s="151"/>
      <c r="G344" s="151"/>
      <c r="H344" s="151"/>
      <c r="I344" s="151"/>
      <c r="J344" s="152">
        <v>42640.690509259257</v>
      </c>
      <c r="K344" s="151"/>
      <c r="L344" s="151" t="s">
        <v>59</v>
      </c>
      <c r="M344" s="152">
        <v>42639.383159722223</v>
      </c>
      <c r="N344" s="151" t="s">
        <v>2767</v>
      </c>
      <c r="O344" s="151"/>
      <c r="P344" s="151"/>
      <c r="Q344" s="7" t="str">
        <f>IF(ISBLANK(patch[[#This Row],[OwnerEmail]]),Q343,patch[[#This Row],[OwnerEmail]])</f>
        <v>john.mathew@intel.com</v>
      </c>
      <c r="R344" s="7" t="str">
        <f>_xlfn.IFNA(VLOOKUP(patch[[#This Row],[tmp-owner.email]],OrgTree!$A:$K, 11, 0), "not ICG SWFW")</f>
        <v>FL And dev</v>
      </c>
      <c r="S344" s="7" t="str">
        <f>IF(patch[[#This Row],[reviewer]]=patch[[#This Row],[tmp-owner.email]], "author", _xlfn.IFNA(VLOOKUP(patch[[#This Row],[reviewer]],OrgTree!$A:$K, 11, 0), "not ICG SWFW"))</f>
        <v>BJ And dev</v>
      </c>
      <c r="T344" s="7" t="str">
        <f>IF(ISBLANK(patch[[#This Row],[mergeDate]]), "", MID(YEAR(patch[[#This Row],[mergeDate]]), 3,2)&amp;"'ww"&amp;WEEKNUM(patch[[#This Row],[mergeDate]]))</f>
        <v>16'ww40</v>
      </c>
      <c r="U344" s="7" t="str">
        <f>IF(ISBLANK(patch[[#This Row],[mergeDate]]), U343, MID(YEAR(patch[[#This Row],[mergeDate]]), 3,2)&amp;"'m"&amp;MONTH(patch[[#This Row],[mergeDate]]))</f>
        <v>16'm9</v>
      </c>
      <c r="V344" s="7" t="str">
        <f>IF(ISBLANK(patch[[#This Row],[project]]), "",SUM(patch[[#This Row],[BJ -1 num]:[SH -1 num]]))</f>
        <v/>
      </c>
      <c r="W344" s="7" t="str">
        <f>IF(ISBLANK(patch[[#This Row],[project]]), "",COUNTIFS($A:$A,patch[[#This Row],[number]],$S:$S, "BJ And dev",$AC:$AC, "Review-1"))</f>
        <v/>
      </c>
      <c r="X344" s="7" t="str">
        <f>IF(ISBLANK(patch[[#This Row],[project]]), "",COUNTIFS($A:$A,patch[[#This Row],[number]],$S:$S, "FL And dev",$AC:$AC, "Review-1"))</f>
        <v/>
      </c>
      <c r="Y344" s="7" t="str">
        <f>IF(ISBLANK(patch[[#This Row],[project]]), "",COUNTIFS($A:$A,patch[[#This Row],[number]],$S:$S, "SH And dev",$AC:$AC, "Review-1"))</f>
        <v/>
      </c>
      <c r="Z344" s="7" t="str">
        <f>IF(ISBLANK(patch[[#This Row],[project]]), "",COUNTIFS($A:$A,patch[[#This Row],[number]],$S:$S, "BJ And dev",$AD:$AD, "&lt;&gt;IntegratorValidationComment"))</f>
        <v/>
      </c>
      <c r="AA344" s="7" t="str">
        <f>IF(ISBLANK(patch[[#This Row],[project]]), "",COUNTIFS($A:$A,patch[[#This Row],[number]],$S:$S, "FL And dev",$AD:$AD, "&lt;&gt;IntegratorValidationComment"))</f>
        <v/>
      </c>
      <c r="AB344" s="7" t="str">
        <f>IF(ISBLANK(patch[[#This Row],[project]]), "",COUNTIFS($A:$A,patch[[#This Row],[number]],$S:$S, "SH And dev",$AD:$AD, "&lt;&gt;IntegratorValidationComment"))</f>
        <v/>
      </c>
      <c r="AC344" s="7" t="str">
        <f>IF(OR(ISNUMBER(FIND("Review-1", patch[[#This Row],[comments]])), ISNUMBER(FIND("Approver-1", patch[[#This Row],[comments]]))), "Review-1", "")</f>
        <v/>
      </c>
      <c r="AD3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44" s="7">
        <f>IF(ISBLANK(patch[[#This Row],[number]]),AE343,patch[[#This Row],[ifCommon]])</f>
        <v>0</v>
      </c>
    </row>
    <row r="345" spans="1:31">
      <c r="A345" s="151">
        <v>147743</v>
      </c>
      <c r="B345" s="151"/>
      <c r="C345" s="151"/>
      <c r="D345" s="151"/>
      <c r="E345" s="151"/>
      <c r="F345" s="151"/>
      <c r="G345" s="151"/>
      <c r="H345" s="151"/>
      <c r="I345" s="151"/>
      <c r="J345" s="152">
        <v>42640.690509259257</v>
      </c>
      <c r="K345" s="151"/>
      <c r="L345" s="151" t="s">
        <v>32</v>
      </c>
      <c r="M345" s="152">
        <v>42639.579641203702</v>
      </c>
      <c r="N345" s="151" t="s">
        <v>31</v>
      </c>
      <c r="O345" s="151"/>
      <c r="P345" s="151"/>
      <c r="Q345" s="7" t="str">
        <f>IF(ISBLANK(patch[[#This Row],[OwnerEmail]]),Q344,patch[[#This Row],[OwnerEmail]])</f>
        <v>john.mathew@intel.com</v>
      </c>
      <c r="R345" s="7" t="str">
        <f>_xlfn.IFNA(VLOOKUP(patch[[#This Row],[tmp-owner.email]],OrgTree!$A:$K, 11, 0), "not ICG SWFW")</f>
        <v>FL And dev</v>
      </c>
      <c r="S345" s="7" t="str">
        <f>IF(patch[[#This Row],[reviewer]]=patch[[#This Row],[tmp-owner.email]], "author", _xlfn.IFNA(VLOOKUP(patch[[#This Row],[reviewer]],OrgTree!$A:$K, 11, 0), "not ICG SWFW"))</f>
        <v>BJ And dev</v>
      </c>
      <c r="T345" s="7" t="str">
        <f>IF(ISBLANK(patch[[#This Row],[mergeDate]]), "", MID(YEAR(patch[[#This Row],[mergeDate]]), 3,2)&amp;"'ww"&amp;WEEKNUM(patch[[#This Row],[mergeDate]]))</f>
        <v>16'ww40</v>
      </c>
      <c r="U345" s="7" t="str">
        <f>IF(ISBLANK(patch[[#This Row],[mergeDate]]), U344, MID(YEAR(patch[[#This Row],[mergeDate]]), 3,2)&amp;"'m"&amp;MONTH(patch[[#This Row],[mergeDate]]))</f>
        <v>16'm9</v>
      </c>
      <c r="V345" s="7" t="str">
        <f>IF(ISBLANK(patch[[#This Row],[project]]), "",SUM(patch[[#This Row],[BJ -1 num]:[SH -1 num]]))</f>
        <v/>
      </c>
      <c r="W345" s="7" t="str">
        <f>IF(ISBLANK(patch[[#This Row],[project]]), "",COUNTIFS($A:$A,patch[[#This Row],[number]],$S:$S, "BJ And dev",$AC:$AC, "Review-1"))</f>
        <v/>
      </c>
      <c r="X345" s="7" t="str">
        <f>IF(ISBLANK(patch[[#This Row],[project]]), "",COUNTIFS($A:$A,patch[[#This Row],[number]],$S:$S, "FL And dev",$AC:$AC, "Review-1"))</f>
        <v/>
      </c>
      <c r="Y345" s="7" t="str">
        <f>IF(ISBLANK(patch[[#This Row],[project]]), "",COUNTIFS($A:$A,patch[[#This Row],[number]],$S:$S, "SH And dev",$AC:$AC, "Review-1"))</f>
        <v/>
      </c>
      <c r="Z345" s="7" t="str">
        <f>IF(ISBLANK(patch[[#This Row],[project]]), "",COUNTIFS($A:$A,patch[[#This Row],[number]],$S:$S, "BJ And dev",$AD:$AD, "&lt;&gt;IntegratorValidationComment"))</f>
        <v/>
      </c>
      <c r="AA345" s="7" t="str">
        <f>IF(ISBLANK(patch[[#This Row],[project]]), "",COUNTIFS($A:$A,patch[[#This Row],[number]],$S:$S, "FL And dev",$AD:$AD, "&lt;&gt;IntegratorValidationComment"))</f>
        <v/>
      </c>
      <c r="AB345" s="7" t="str">
        <f>IF(ISBLANK(patch[[#This Row],[project]]), "",COUNTIFS($A:$A,patch[[#This Row],[number]],$S:$S, "SH And dev",$AD:$AD, "&lt;&gt;IntegratorValidationComment"))</f>
        <v/>
      </c>
      <c r="AC345" s="7" t="str">
        <f>IF(OR(ISNUMBER(FIND("Review-1", patch[[#This Row],[comments]])), ISNUMBER(FIND("Approver-1", patch[[#This Row],[comments]]))), "Review-1", "")</f>
        <v/>
      </c>
      <c r="AD3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45" s="7">
        <f>IF(ISBLANK(patch[[#This Row],[number]]),AE344,patch[[#This Row],[ifCommon]])</f>
        <v>0</v>
      </c>
    </row>
    <row r="346" spans="1:31">
      <c r="A346" s="151">
        <v>147743</v>
      </c>
      <c r="B346" s="151"/>
      <c r="C346" s="151"/>
      <c r="D346" s="151"/>
      <c r="E346" s="151"/>
      <c r="F346" s="151"/>
      <c r="G346" s="151"/>
      <c r="H346" s="151"/>
      <c r="I346" s="151"/>
      <c r="J346" s="152">
        <v>42640.690509259257</v>
      </c>
      <c r="K346" s="151"/>
      <c r="L346" s="151" t="s">
        <v>59</v>
      </c>
      <c r="M346" s="152">
        <v>42639.584155092591</v>
      </c>
      <c r="N346" s="151" t="s">
        <v>1890</v>
      </c>
      <c r="O346" s="151"/>
      <c r="P346" s="151"/>
      <c r="Q346" s="7" t="str">
        <f>IF(ISBLANK(patch[[#This Row],[OwnerEmail]]),Q345,patch[[#This Row],[OwnerEmail]])</f>
        <v>john.mathew@intel.com</v>
      </c>
      <c r="R346" s="7" t="str">
        <f>_xlfn.IFNA(VLOOKUP(patch[[#This Row],[tmp-owner.email]],OrgTree!$A:$K, 11, 0), "not ICG SWFW")</f>
        <v>FL And dev</v>
      </c>
      <c r="S346" s="7" t="str">
        <f>IF(patch[[#This Row],[reviewer]]=patch[[#This Row],[tmp-owner.email]], "author", _xlfn.IFNA(VLOOKUP(patch[[#This Row],[reviewer]],OrgTree!$A:$K, 11, 0), "not ICG SWFW"))</f>
        <v>BJ And dev</v>
      </c>
      <c r="T346" s="7" t="str">
        <f>IF(ISBLANK(patch[[#This Row],[mergeDate]]), "", MID(YEAR(patch[[#This Row],[mergeDate]]), 3,2)&amp;"'ww"&amp;WEEKNUM(patch[[#This Row],[mergeDate]]))</f>
        <v>16'ww40</v>
      </c>
      <c r="U346" s="7" t="str">
        <f>IF(ISBLANK(patch[[#This Row],[mergeDate]]), U345, MID(YEAR(patch[[#This Row],[mergeDate]]), 3,2)&amp;"'m"&amp;MONTH(patch[[#This Row],[mergeDate]]))</f>
        <v>16'm9</v>
      </c>
      <c r="V346" s="7" t="str">
        <f>IF(ISBLANK(patch[[#This Row],[project]]), "",SUM(patch[[#This Row],[BJ -1 num]:[SH -1 num]]))</f>
        <v/>
      </c>
      <c r="W346" s="7" t="str">
        <f>IF(ISBLANK(patch[[#This Row],[project]]), "",COUNTIFS($A:$A,patch[[#This Row],[number]],$S:$S, "BJ And dev",$AC:$AC, "Review-1"))</f>
        <v/>
      </c>
      <c r="X346" s="7" t="str">
        <f>IF(ISBLANK(patch[[#This Row],[project]]), "",COUNTIFS($A:$A,patch[[#This Row],[number]],$S:$S, "FL And dev",$AC:$AC, "Review-1"))</f>
        <v/>
      </c>
      <c r="Y346" s="7" t="str">
        <f>IF(ISBLANK(patch[[#This Row],[project]]), "",COUNTIFS($A:$A,patch[[#This Row],[number]],$S:$S, "SH And dev",$AC:$AC, "Review-1"))</f>
        <v/>
      </c>
      <c r="Z346" s="7" t="str">
        <f>IF(ISBLANK(patch[[#This Row],[project]]), "",COUNTIFS($A:$A,patch[[#This Row],[number]],$S:$S, "BJ And dev",$AD:$AD, "&lt;&gt;IntegratorValidationComment"))</f>
        <v/>
      </c>
      <c r="AA346" s="7" t="str">
        <f>IF(ISBLANK(patch[[#This Row],[project]]), "",COUNTIFS($A:$A,patch[[#This Row],[number]],$S:$S, "FL And dev",$AD:$AD, "&lt;&gt;IntegratorValidationComment"))</f>
        <v/>
      </c>
      <c r="AB346" s="7" t="str">
        <f>IF(ISBLANK(patch[[#This Row],[project]]), "",COUNTIFS($A:$A,patch[[#This Row],[number]],$S:$S, "SH And dev",$AD:$AD, "&lt;&gt;IntegratorValidationComment"))</f>
        <v/>
      </c>
      <c r="AC346" s="7" t="str">
        <f>IF(OR(ISNUMBER(FIND("Review-1", patch[[#This Row],[comments]])), ISNUMBER(FIND("Approver-1", patch[[#This Row],[comments]]))), "Review-1", "")</f>
        <v/>
      </c>
      <c r="AD3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46" s="7">
        <f>IF(ISBLANK(patch[[#This Row],[number]]),AE345,patch[[#This Row],[ifCommon]])</f>
        <v>0</v>
      </c>
    </row>
    <row r="347" spans="1:31">
      <c r="A347" s="151">
        <v>147743</v>
      </c>
      <c r="B347" s="151"/>
      <c r="C347" s="151"/>
      <c r="D347" s="151"/>
      <c r="E347" s="151"/>
      <c r="F347" s="151"/>
      <c r="G347" s="151"/>
      <c r="H347" s="151"/>
      <c r="I347" s="152"/>
      <c r="J347" s="152">
        <v>42640.690509259257</v>
      </c>
      <c r="K347" s="151"/>
      <c r="L347" s="151" t="s">
        <v>115</v>
      </c>
      <c r="M347" s="152">
        <v>42640.483599537038</v>
      </c>
      <c r="N347" s="151" t="s">
        <v>2496</v>
      </c>
      <c r="O347" s="151"/>
      <c r="P347" s="151"/>
      <c r="Q347" s="7" t="str">
        <f>IF(ISBLANK(patch[[#This Row],[OwnerEmail]]),Q346,patch[[#This Row],[OwnerEmail]])</f>
        <v>john.mathew@intel.com</v>
      </c>
      <c r="R347" s="7" t="str">
        <f>_xlfn.IFNA(VLOOKUP(patch[[#This Row],[tmp-owner.email]],OrgTree!$A:$K, 11, 0), "not ICG SWFW")</f>
        <v>FL And dev</v>
      </c>
      <c r="S347" s="7" t="str">
        <f>IF(patch[[#This Row],[reviewer]]=patch[[#This Row],[tmp-owner.email]], "author", _xlfn.IFNA(VLOOKUP(patch[[#This Row],[reviewer]],OrgTree!$A:$K, 11, 0), "not ICG SWFW"))</f>
        <v>Val</v>
      </c>
      <c r="T347" s="7" t="str">
        <f>IF(ISBLANK(patch[[#This Row],[mergeDate]]), "", MID(YEAR(patch[[#This Row],[mergeDate]]), 3,2)&amp;"'ww"&amp;WEEKNUM(patch[[#This Row],[mergeDate]]))</f>
        <v>16'ww40</v>
      </c>
      <c r="U347" s="7" t="str">
        <f>IF(ISBLANK(patch[[#This Row],[mergeDate]]), U346, MID(YEAR(patch[[#This Row],[mergeDate]]), 3,2)&amp;"'m"&amp;MONTH(patch[[#This Row],[mergeDate]]))</f>
        <v>16'm9</v>
      </c>
      <c r="V347" s="7" t="str">
        <f>IF(ISBLANK(patch[[#This Row],[project]]), "",SUM(patch[[#This Row],[BJ -1 num]:[SH -1 num]]))</f>
        <v/>
      </c>
      <c r="W347" s="7" t="str">
        <f>IF(ISBLANK(patch[[#This Row],[project]]), "",COUNTIFS($A:$A,patch[[#This Row],[number]],$S:$S, "BJ And dev",$AC:$AC, "Review-1"))</f>
        <v/>
      </c>
      <c r="X347" s="7" t="str">
        <f>IF(ISBLANK(patch[[#This Row],[project]]), "",COUNTIFS($A:$A,patch[[#This Row],[number]],$S:$S, "FL And dev",$AC:$AC, "Review-1"))</f>
        <v/>
      </c>
      <c r="Y347" s="7" t="str">
        <f>IF(ISBLANK(patch[[#This Row],[project]]), "",COUNTIFS($A:$A,patch[[#This Row],[number]],$S:$S, "SH And dev",$AC:$AC, "Review-1"))</f>
        <v/>
      </c>
      <c r="Z347" s="7" t="str">
        <f>IF(ISBLANK(patch[[#This Row],[project]]), "",COUNTIFS($A:$A,patch[[#This Row],[number]],$S:$S, "BJ And dev",$AD:$AD, "&lt;&gt;IntegratorValidationComment"))</f>
        <v/>
      </c>
      <c r="AA347" s="7" t="str">
        <f>IF(ISBLANK(patch[[#This Row],[project]]), "",COUNTIFS($A:$A,patch[[#This Row],[number]],$S:$S, "FL And dev",$AD:$AD, "&lt;&gt;IntegratorValidationComment"))</f>
        <v/>
      </c>
      <c r="AB347" s="7" t="str">
        <f>IF(ISBLANK(patch[[#This Row],[project]]), "",COUNTIFS($A:$A,patch[[#This Row],[number]],$S:$S, "SH And dev",$AD:$AD, "&lt;&gt;IntegratorValidationComment"))</f>
        <v/>
      </c>
      <c r="AC347" s="7" t="str">
        <f>IF(OR(ISNUMBER(FIND("Review-1", patch[[#This Row],[comments]])), ISNUMBER(FIND("Approver-1", patch[[#This Row],[comments]]))), "Review-1", "")</f>
        <v/>
      </c>
      <c r="AD3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347" s="7">
        <f>IF(ISBLANK(patch[[#This Row],[number]]),AE346,patch[[#This Row],[ifCommon]])</f>
        <v>0</v>
      </c>
    </row>
    <row r="348" spans="1:31">
      <c r="A348" s="151">
        <v>147386</v>
      </c>
      <c r="B348" s="151" t="s">
        <v>2490</v>
      </c>
      <c r="C348" s="151" t="s">
        <v>2491</v>
      </c>
      <c r="D348" s="151" t="s">
        <v>2768</v>
      </c>
      <c r="E348" s="151" t="s">
        <v>59</v>
      </c>
      <c r="F348" s="151" t="s">
        <v>23</v>
      </c>
      <c r="G348" s="151" t="s">
        <v>2769</v>
      </c>
      <c r="H348" s="151" t="s">
        <v>2770</v>
      </c>
      <c r="I348" s="152">
        <v>42635.745949074073</v>
      </c>
      <c r="J348" s="152">
        <v>42640.690381944441</v>
      </c>
      <c r="K348" s="151" t="s">
        <v>2445</v>
      </c>
      <c r="L348" s="151" t="s">
        <v>59</v>
      </c>
      <c r="M348" s="152">
        <v>42635.745949074073</v>
      </c>
      <c r="N348" s="151" t="s">
        <v>25</v>
      </c>
      <c r="O348" s="151"/>
      <c r="P348" s="151" t="s">
        <v>2771</v>
      </c>
      <c r="Q348" s="7" t="str">
        <f>IF(ISBLANK(patch[[#This Row],[OwnerEmail]]),Q347,patch[[#This Row],[OwnerEmail]])</f>
        <v>xiaozhou.liu@intel.com</v>
      </c>
      <c r="R348" s="7" t="str">
        <f>_xlfn.IFNA(VLOOKUP(patch[[#This Row],[tmp-owner.email]],OrgTree!$A:$K, 11, 0), "not ICG SWFW")</f>
        <v>BJ And dev</v>
      </c>
      <c r="S348" s="7" t="str">
        <f>IF(patch[[#This Row],[reviewer]]=patch[[#This Row],[tmp-owner.email]], "author", _xlfn.IFNA(VLOOKUP(patch[[#This Row],[reviewer]],OrgTree!$A:$K, 11, 0), "not ICG SWFW"))</f>
        <v>author</v>
      </c>
      <c r="T348" s="7" t="str">
        <f>IF(ISBLANK(patch[[#This Row],[mergeDate]]), "", MID(YEAR(patch[[#This Row],[mergeDate]]), 3,2)&amp;"'ww"&amp;WEEKNUM(patch[[#This Row],[mergeDate]]))</f>
        <v>16'ww40</v>
      </c>
      <c r="U348" s="7" t="str">
        <f>IF(ISBLANK(patch[[#This Row],[mergeDate]]), U347, MID(YEAR(patch[[#This Row],[mergeDate]]), 3,2)&amp;"'m"&amp;MONTH(patch[[#This Row],[mergeDate]]))</f>
        <v>16'm9</v>
      </c>
      <c r="V348" s="7">
        <f>IF(ISBLANK(patch[[#This Row],[project]]), "",SUM(patch[[#This Row],[BJ -1 num]:[SH -1 num]]))</f>
        <v>1</v>
      </c>
      <c r="W348" s="7">
        <f>IF(ISBLANK(patch[[#This Row],[project]]), "",COUNTIFS($A:$A,patch[[#This Row],[number]],$S:$S, "BJ And dev",$AC:$AC, "Review-1"))</f>
        <v>1</v>
      </c>
      <c r="X348" s="7">
        <f>IF(ISBLANK(patch[[#This Row],[project]]), "",COUNTIFS($A:$A,patch[[#This Row],[number]],$S:$S, "FL And dev",$AC:$AC, "Review-1"))</f>
        <v>0</v>
      </c>
      <c r="Y348" s="7">
        <f>IF(ISBLANK(patch[[#This Row],[project]]), "",COUNTIFS($A:$A,patch[[#This Row],[number]],$S:$S, "SH And dev",$AC:$AC, "Review-1"))</f>
        <v>0</v>
      </c>
      <c r="Z348" s="7">
        <f>IF(ISBLANK(patch[[#This Row],[project]]), "",COUNTIFS($A:$A,patch[[#This Row],[number]],$S:$S, "BJ And dev",$AD:$AD, "&lt;&gt;IntegratorValidationComment"))</f>
        <v>5</v>
      </c>
      <c r="AA348" s="7">
        <f>IF(ISBLANK(patch[[#This Row],[project]]), "",COUNTIFS($A:$A,patch[[#This Row],[number]],$S:$S, "FL And dev",$AD:$AD, "&lt;&gt;IntegratorValidationComment"))</f>
        <v>0</v>
      </c>
      <c r="AB348" s="7">
        <f>IF(ISBLANK(patch[[#This Row],[project]]), "",COUNTIFS($A:$A,patch[[#This Row],[number]],$S:$S, "SH And dev",$AD:$AD, "&lt;&gt;IntegratorValidationComment"))</f>
        <v>0</v>
      </c>
      <c r="AC348" s="7" t="str">
        <f>IF(OR(ISNUMBER(FIND("Review-1", patch[[#This Row],[comments]])), ISNUMBER(FIND("Approver-1", patch[[#This Row],[comments]]))), "Review-1", "")</f>
        <v/>
      </c>
      <c r="AD3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48" s="7" t="str">
        <f>IF(ISBLANK(patch[[#This Row],[number]]),AE347,patch[[#This Row],[ifCommon]])</f>
        <v>not AndrHAL</v>
      </c>
    </row>
    <row r="349" spans="1:31">
      <c r="A349" s="151">
        <v>147386</v>
      </c>
      <c r="B349" s="151"/>
      <c r="C349" s="151"/>
      <c r="D349" s="151"/>
      <c r="E349" s="151"/>
      <c r="F349" s="151"/>
      <c r="G349" s="151"/>
      <c r="H349" s="151"/>
      <c r="I349" s="151"/>
      <c r="J349" s="152">
        <v>42640.690381944441</v>
      </c>
      <c r="K349" s="151"/>
      <c r="L349" s="151" t="s">
        <v>59</v>
      </c>
      <c r="M349" s="152">
        <v>42635.745949074073</v>
      </c>
      <c r="N349" s="151" t="s">
        <v>2428</v>
      </c>
      <c r="O349" s="151"/>
      <c r="P349" s="151"/>
      <c r="Q349" s="7" t="str">
        <f>IF(ISBLANK(patch[[#This Row],[OwnerEmail]]),Q348,patch[[#This Row],[OwnerEmail]])</f>
        <v>xiaozhou.liu@intel.com</v>
      </c>
      <c r="R349" s="7" t="str">
        <f>_xlfn.IFNA(VLOOKUP(patch[[#This Row],[tmp-owner.email]],OrgTree!$A:$K, 11, 0), "not ICG SWFW")</f>
        <v>BJ And dev</v>
      </c>
      <c r="S349" s="7" t="str">
        <f>IF(patch[[#This Row],[reviewer]]=patch[[#This Row],[tmp-owner.email]], "author", _xlfn.IFNA(VLOOKUP(patch[[#This Row],[reviewer]],OrgTree!$A:$K, 11, 0), "not ICG SWFW"))</f>
        <v>author</v>
      </c>
      <c r="T349" s="7" t="str">
        <f>IF(ISBLANK(patch[[#This Row],[mergeDate]]), "", MID(YEAR(patch[[#This Row],[mergeDate]]), 3,2)&amp;"'ww"&amp;WEEKNUM(patch[[#This Row],[mergeDate]]))</f>
        <v>16'ww40</v>
      </c>
      <c r="U349" s="7" t="str">
        <f>IF(ISBLANK(patch[[#This Row],[mergeDate]]), U348, MID(YEAR(patch[[#This Row],[mergeDate]]), 3,2)&amp;"'m"&amp;MONTH(patch[[#This Row],[mergeDate]]))</f>
        <v>16'm9</v>
      </c>
      <c r="V349" s="7" t="str">
        <f>IF(ISBLANK(patch[[#This Row],[project]]), "",SUM(patch[[#This Row],[BJ -1 num]:[SH -1 num]]))</f>
        <v/>
      </c>
      <c r="W349" s="7" t="str">
        <f>IF(ISBLANK(patch[[#This Row],[project]]), "",COUNTIFS($A:$A,patch[[#This Row],[number]],$S:$S, "BJ And dev",$AC:$AC, "Review-1"))</f>
        <v/>
      </c>
      <c r="X349" s="7" t="str">
        <f>IF(ISBLANK(patch[[#This Row],[project]]), "",COUNTIFS($A:$A,patch[[#This Row],[number]],$S:$S, "FL And dev",$AC:$AC, "Review-1"))</f>
        <v/>
      </c>
      <c r="Y349" s="7" t="str">
        <f>IF(ISBLANK(patch[[#This Row],[project]]), "",COUNTIFS($A:$A,patch[[#This Row],[number]],$S:$S, "SH And dev",$AC:$AC, "Review-1"))</f>
        <v/>
      </c>
      <c r="Z349" s="7" t="str">
        <f>IF(ISBLANK(patch[[#This Row],[project]]), "",COUNTIFS($A:$A,patch[[#This Row],[number]],$S:$S, "BJ And dev",$AD:$AD, "&lt;&gt;IntegratorValidationComment"))</f>
        <v/>
      </c>
      <c r="AA349" s="7" t="str">
        <f>IF(ISBLANK(patch[[#This Row],[project]]), "",COUNTIFS($A:$A,patch[[#This Row],[number]],$S:$S, "FL And dev",$AD:$AD, "&lt;&gt;IntegratorValidationComment"))</f>
        <v/>
      </c>
      <c r="AB349" s="7" t="str">
        <f>IF(ISBLANK(patch[[#This Row],[project]]), "",COUNTIFS($A:$A,patch[[#This Row],[number]],$S:$S, "SH And dev",$AD:$AD, "&lt;&gt;IntegratorValidationComment"))</f>
        <v/>
      </c>
      <c r="AC349" s="7" t="str">
        <f>IF(OR(ISNUMBER(FIND("Review-1", patch[[#This Row],[comments]])), ISNUMBER(FIND("Approver-1", patch[[#This Row],[comments]]))), "Review-1", "")</f>
        <v/>
      </c>
      <c r="AD3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49" s="7">
        <f>IF(ISBLANK(patch[[#This Row],[number]]),AE348,patch[[#This Row],[ifCommon]])</f>
        <v>0</v>
      </c>
    </row>
    <row r="350" spans="1:31">
      <c r="A350" s="151">
        <v>147386</v>
      </c>
      <c r="B350" s="151"/>
      <c r="C350" s="151"/>
      <c r="D350" s="151"/>
      <c r="E350" s="151"/>
      <c r="F350" s="151"/>
      <c r="G350" s="151"/>
      <c r="H350" s="151"/>
      <c r="I350" s="151"/>
      <c r="J350" s="152">
        <v>42640.690381944441</v>
      </c>
      <c r="K350" s="151"/>
      <c r="L350" s="151" t="s">
        <v>59</v>
      </c>
      <c r="M350" s="152">
        <v>42635.748124999998</v>
      </c>
      <c r="N350" s="151" t="s">
        <v>2429</v>
      </c>
      <c r="O350" s="151"/>
      <c r="P350" s="151"/>
      <c r="Q350" s="7" t="str">
        <f>IF(ISBLANK(patch[[#This Row],[OwnerEmail]]),Q349,patch[[#This Row],[OwnerEmail]])</f>
        <v>xiaozhou.liu@intel.com</v>
      </c>
      <c r="R350" s="7" t="str">
        <f>_xlfn.IFNA(VLOOKUP(patch[[#This Row],[tmp-owner.email]],OrgTree!$A:$K, 11, 0), "not ICG SWFW")</f>
        <v>BJ And dev</v>
      </c>
      <c r="S350" s="7" t="str">
        <f>IF(patch[[#This Row],[reviewer]]=patch[[#This Row],[tmp-owner.email]], "author", _xlfn.IFNA(VLOOKUP(patch[[#This Row],[reviewer]],OrgTree!$A:$K, 11, 0), "not ICG SWFW"))</f>
        <v>author</v>
      </c>
      <c r="T350" s="7" t="str">
        <f>IF(ISBLANK(patch[[#This Row],[mergeDate]]), "", MID(YEAR(patch[[#This Row],[mergeDate]]), 3,2)&amp;"'ww"&amp;WEEKNUM(patch[[#This Row],[mergeDate]]))</f>
        <v>16'ww40</v>
      </c>
      <c r="U350" s="7" t="str">
        <f>IF(ISBLANK(patch[[#This Row],[mergeDate]]), U349, MID(YEAR(patch[[#This Row],[mergeDate]]), 3,2)&amp;"'m"&amp;MONTH(patch[[#This Row],[mergeDate]]))</f>
        <v>16'm9</v>
      </c>
      <c r="V350" s="7" t="str">
        <f>IF(ISBLANK(patch[[#This Row],[project]]), "",SUM(patch[[#This Row],[BJ -1 num]:[SH -1 num]]))</f>
        <v/>
      </c>
      <c r="W350" s="7" t="str">
        <f>IF(ISBLANK(patch[[#This Row],[project]]), "",COUNTIFS($A:$A,patch[[#This Row],[number]],$S:$S, "BJ And dev",$AC:$AC, "Review-1"))</f>
        <v/>
      </c>
      <c r="X350" s="7" t="str">
        <f>IF(ISBLANK(patch[[#This Row],[project]]), "",COUNTIFS($A:$A,patch[[#This Row],[number]],$S:$S, "FL And dev",$AC:$AC, "Review-1"))</f>
        <v/>
      </c>
      <c r="Y350" s="7" t="str">
        <f>IF(ISBLANK(patch[[#This Row],[project]]), "",COUNTIFS($A:$A,patch[[#This Row],[number]],$S:$S, "SH And dev",$AC:$AC, "Review-1"))</f>
        <v/>
      </c>
      <c r="Z350" s="7" t="str">
        <f>IF(ISBLANK(patch[[#This Row],[project]]), "",COUNTIFS($A:$A,patch[[#This Row],[number]],$S:$S, "BJ And dev",$AD:$AD, "&lt;&gt;IntegratorValidationComment"))</f>
        <v/>
      </c>
      <c r="AA350" s="7" t="str">
        <f>IF(ISBLANK(patch[[#This Row],[project]]), "",COUNTIFS($A:$A,patch[[#This Row],[number]],$S:$S, "FL And dev",$AD:$AD, "&lt;&gt;IntegratorValidationComment"))</f>
        <v/>
      </c>
      <c r="AB350" s="7" t="str">
        <f>IF(ISBLANK(patch[[#This Row],[project]]), "",COUNTIFS($A:$A,patch[[#This Row],[number]],$S:$S, "SH And dev",$AD:$AD, "&lt;&gt;IntegratorValidationComment"))</f>
        <v/>
      </c>
      <c r="AC350" s="7" t="str">
        <f>IF(OR(ISNUMBER(FIND("Review-1", patch[[#This Row],[comments]])), ISNUMBER(FIND("Approver-1", patch[[#This Row],[comments]]))), "Review-1", "")</f>
        <v/>
      </c>
      <c r="AD3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50" s="7">
        <f>IF(ISBLANK(patch[[#This Row],[number]]),AE349,patch[[#This Row],[ifCommon]])</f>
        <v>0</v>
      </c>
    </row>
    <row r="351" spans="1:31">
      <c r="A351" s="151">
        <v>147386</v>
      </c>
      <c r="B351" s="151"/>
      <c r="C351" s="151"/>
      <c r="D351" s="151"/>
      <c r="E351" s="151"/>
      <c r="F351" s="151"/>
      <c r="G351" s="151"/>
      <c r="H351" s="151"/>
      <c r="I351" s="151"/>
      <c r="J351" s="152">
        <v>42640.690381944441</v>
      </c>
      <c r="K351" s="151"/>
      <c r="L351" s="151" t="s">
        <v>59</v>
      </c>
      <c r="M351" s="152">
        <v>42635.748124999998</v>
      </c>
      <c r="N351" s="151" t="s">
        <v>29</v>
      </c>
      <c r="O351" s="151"/>
      <c r="P351" s="151"/>
      <c r="Q351" s="7" t="str">
        <f>IF(ISBLANK(patch[[#This Row],[OwnerEmail]]),Q350,patch[[#This Row],[OwnerEmail]])</f>
        <v>xiaozhou.liu@intel.com</v>
      </c>
      <c r="R351" s="7" t="str">
        <f>_xlfn.IFNA(VLOOKUP(patch[[#This Row],[tmp-owner.email]],OrgTree!$A:$K, 11, 0), "not ICG SWFW")</f>
        <v>BJ And dev</v>
      </c>
      <c r="S351" s="7" t="str">
        <f>IF(patch[[#This Row],[reviewer]]=patch[[#This Row],[tmp-owner.email]], "author", _xlfn.IFNA(VLOOKUP(patch[[#This Row],[reviewer]],OrgTree!$A:$K, 11, 0), "not ICG SWFW"))</f>
        <v>author</v>
      </c>
      <c r="T351" s="7" t="str">
        <f>IF(ISBLANK(patch[[#This Row],[mergeDate]]), "", MID(YEAR(patch[[#This Row],[mergeDate]]), 3,2)&amp;"'ww"&amp;WEEKNUM(patch[[#This Row],[mergeDate]]))</f>
        <v>16'ww40</v>
      </c>
      <c r="U351" s="7" t="str">
        <f>IF(ISBLANK(patch[[#This Row],[mergeDate]]), U350, MID(YEAR(patch[[#This Row],[mergeDate]]), 3,2)&amp;"'m"&amp;MONTH(patch[[#This Row],[mergeDate]]))</f>
        <v>16'm9</v>
      </c>
      <c r="V351" s="7" t="str">
        <f>IF(ISBLANK(patch[[#This Row],[project]]), "",SUM(patch[[#This Row],[BJ -1 num]:[SH -1 num]]))</f>
        <v/>
      </c>
      <c r="W351" s="7" t="str">
        <f>IF(ISBLANK(patch[[#This Row],[project]]), "",COUNTIFS($A:$A,patch[[#This Row],[number]],$S:$S, "BJ And dev",$AC:$AC, "Review-1"))</f>
        <v/>
      </c>
      <c r="X351" s="7" t="str">
        <f>IF(ISBLANK(patch[[#This Row],[project]]), "",COUNTIFS($A:$A,patch[[#This Row],[number]],$S:$S, "FL And dev",$AC:$AC, "Review-1"))</f>
        <v/>
      </c>
      <c r="Y351" s="7" t="str">
        <f>IF(ISBLANK(patch[[#This Row],[project]]), "",COUNTIFS($A:$A,patch[[#This Row],[number]],$S:$S, "SH And dev",$AC:$AC, "Review-1"))</f>
        <v/>
      </c>
      <c r="Z351" s="7" t="str">
        <f>IF(ISBLANK(patch[[#This Row],[project]]), "",COUNTIFS($A:$A,patch[[#This Row],[number]],$S:$S, "BJ And dev",$AD:$AD, "&lt;&gt;IntegratorValidationComment"))</f>
        <v/>
      </c>
      <c r="AA351" s="7" t="str">
        <f>IF(ISBLANK(patch[[#This Row],[project]]), "",COUNTIFS($A:$A,patch[[#This Row],[number]],$S:$S, "FL And dev",$AD:$AD, "&lt;&gt;IntegratorValidationComment"))</f>
        <v/>
      </c>
      <c r="AB351" s="7" t="str">
        <f>IF(ISBLANK(patch[[#This Row],[project]]), "",COUNTIFS($A:$A,patch[[#This Row],[number]],$S:$S, "SH And dev",$AD:$AD, "&lt;&gt;IntegratorValidationComment"))</f>
        <v/>
      </c>
      <c r="AC351" s="7" t="str">
        <f>IF(OR(ISNUMBER(FIND("Review-1", patch[[#This Row],[comments]])), ISNUMBER(FIND("Approver-1", patch[[#This Row],[comments]]))), "Review-1", "")</f>
        <v/>
      </c>
      <c r="AD3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51" s="7">
        <f>IF(ISBLANK(patch[[#This Row],[number]]),AE350,patch[[#This Row],[ifCommon]])</f>
        <v>0</v>
      </c>
    </row>
    <row r="352" spans="1:31">
      <c r="A352" s="151">
        <v>147386</v>
      </c>
      <c r="B352" s="151"/>
      <c r="C352" s="151"/>
      <c r="D352" s="151"/>
      <c r="E352" s="151"/>
      <c r="F352" s="151"/>
      <c r="G352" s="151"/>
      <c r="H352" s="151"/>
      <c r="I352" s="151"/>
      <c r="J352" s="152">
        <v>42640.690381944441</v>
      </c>
      <c r="K352" s="151"/>
      <c r="L352" s="151" t="s">
        <v>59</v>
      </c>
      <c r="M352" s="152">
        <v>42635.748506944437</v>
      </c>
      <c r="N352" s="151" t="s">
        <v>27</v>
      </c>
      <c r="O352" s="151"/>
      <c r="P352" s="151"/>
      <c r="Q352" s="7" t="str">
        <f>IF(ISBLANK(patch[[#This Row],[OwnerEmail]]),Q351,patch[[#This Row],[OwnerEmail]])</f>
        <v>xiaozhou.liu@intel.com</v>
      </c>
      <c r="R352" s="7" t="str">
        <f>_xlfn.IFNA(VLOOKUP(patch[[#This Row],[tmp-owner.email]],OrgTree!$A:$K, 11, 0), "not ICG SWFW")</f>
        <v>BJ And dev</v>
      </c>
      <c r="S352" s="7" t="str">
        <f>IF(patch[[#This Row],[reviewer]]=patch[[#This Row],[tmp-owner.email]], "author", _xlfn.IFNA(VLOOKUP(patch[[#This Row],[reviewer]],OrgTree!$A:$K, 11, 0), "not ICG SWFW"))</f>
        <v>author</v>
      </c>
      <c r="T352" s="7" t="str">
        <f>IF(ISBLANK(patch[[#This Row],[mergeDate]]), "", MID(YEAR(patch[[#This Row],[mergeDate]]), 3,2)&amp;"'ww"&amp;WEEKNUM(patch[[#This Row],[mergeDate]]))</f>
        <v>16'ww40</v>
      </c>
      <c r="U352" s="7" t="str">
        <f>IF(ISBLANK(patch[[#This Row],[mergeDate]]), U351, MID(YEAR(patch[[#This Row],[mergeDate]]), 3,2)&amp;"'m"&amp;MONTH(patch[[#This Row],[mergeDate]]))</f>
        <v>16'm9</v>
      </c>
      <c r="V352" s="7" t="str">
        <f>IF(ISBLANK(patch[[#This Row],[project]]), "",SUM(patch[[#This Row],[BJ -1 num]:[SH -1 num]]))</f>
        <v/>
      </c>
      <c r="W352" s="7" t="str">
        <f>IF(ISBLANK(patch[[#This Row],[project]]), "",COUNTIFS($A:$A,patch[[#This Row],[number]],$S:$S, "BJ And dev",$AC:$AC, "Review-1"))</f>
        <v/>
      </c>
      <c r="X352" s="7" t="str">
        <f>IF(ISBLANK(patch[[#This Row],[project]]), "",COUNTIFS($A:$A,patch[[#This Row],[number]],$S:$S, "FL And dev",$AC:$AC, "Review-1"))</f>
        <v/>
      </c>
      <c r="Y352" s="7" t="str">
        <f>IF(ISBLANK(patch[[#This Row],[project]]), "",COUNTIFS($A:$A,patch[[#This Row],[number]],$S:$S, "SH And dev",$AC:$AC, "Review-1"))</f>
        <v/>
      </c>
      <c r="Z352" s="7" t="str">
        <f>IF(ISBLANK(patch[[#This Row],[project]]), "",COUNTIFS($A:$A,patch[[#This Row],[number]],$S:$S, "BJ And dev",$AD:$AD, "&lt;&gt;IntegratorValidationComment"))</f>
        <v/>
      </c>
      <c r="AA352" s="7" t="str">
        <f>IF(ISBLANK(patch[[#This Row],[project]]), "",COUNTIFS($A:$A,patch[[#This Row],[number]],$S:$S, "FL And dev",$AD:$AD, "&lt;&gt;IntegratorValidationComment"))</f>
        <v/>
      </c>
      <c r="AB352" s="7" t="str">
        <f>IF(ISBLANK(patch[[#This Row],[project]]), "",COUNTIFS($A:$A,patch[[#This Row],[number]],$S:$S, "SH And dev",$AD:$AD, "&lt;&gt;IntegratorValidationComment"))</f>
        <v/>
      </c>
      <c r="AC352" s="7" t="str">
        <f>IF(OR(ISNUMBER(FIND("Review-1", patch[[#This Row],[comments]])), ISNUMBER(FIND("Approver-1", patch[[#This Row],[comments]]))), "Review-1", "")</f>
        <v/>
      </c>
      <c r="AD3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52" s="7">
        <f>IF(ISBLANK(patch[[#This Row],[number]]),AE351,patch[[#This Row],[ifCommon]])</f>
        <v>0</v>
      </c>
    </row>
    <row r="353" spans="1:31">
      <c r="A353" s="151">
        <v>147386</v>
      </c>
      <c r="B353" s="151"/>
      <c r="C353" s="151"/>
      <c r="D353" s="151"/>
      <c r="E353" s="151"/>
      <c r="F353" s="151"/>
      <c r="G353" s="151"/>
      <c r="H353" s="151"/>
      <c r="I353" s="151"/>
      <c r="J353" s="152">
        <v>42640.690381944441</v>
      </c>
      <c r="K353" s="151"/>
      <c r="L353" s="151" t="s">
        <v>59</v>
      </c>
      <c r="M353" s="152">
        <v>42635.761400462958</v>
      </c>
      <c r="N353" s="151" t="s">
        <v>2772</v>
      </c>
      <c r="O353" s="151"/>
      <c r="P353" s="151"/>
      <c r="Q353" s="7" t="str">
        <f>IF(ISBLANK(patch[[#This Row],[OwnerEmail]]),Q352,patch[[#This Row],[OwnerEmail]])</f>
        <v>xiaozhou.liu@intel.com</v>
      </c>
      <c r="R353" s="7" t="str">
        <f>_xlfn.IFNA(VLOOKUP(patch[[#This Row],[tmp-owner.email]],OrgTree!$A:$K, 11, 0), "not ICG SWFW")</f>
        <v>BJ And dev</v>
      </c>
      <c r="S353" s="7" t="str">
        <f>IF(patch[[#This Row],[reviewer]]=patch[[#This Row],[tmp-owner.email]], "author", _xlfn.IFNA(VLOOKUP(patch[[#This Row],[reviewer]],OrgTree!$A:$K, 11, 0), "not ICG SWFW"))</f>
        <v>author</v>
      </c>
      <c r="T353" s="7" t="str">
        <f>IF(ISBLANK(patch[[#This Row],[mergeDate]]), "", MID(YEAR(patch[[#This Row],[mergeDate]]), 3,2)&amp;"'ww"&amp;WEEKNUM(patch[[#This Row],[mergeDate]]))</f>
        <v>16'ww40</v>
      </c>
      <c r="U353" s="7" t="str">
        <f>IF(ISBLANK(patch[[#This Row],[mergeDate]]), U352, MID(YEAR(patch[[#This Row],[mergeDate]]), 3,2)&amp;"'m"&amp;MONTH(patch[[#This Row],[mergeDate]]))</f>
        <v>16'm9</v>
      </c>
      <c r="V353" s="7" t="str">
        <f>IF(ISBLANK(patch[[#This Row],[project]]), "",SUM(patch[[#This Row],[BJ -1 num]:[SH -1 num]]))</f>
        <v/>
      </c>
      <c r="W353" s="7" t="str">
        <f>IF(ISBLANK(patch[[#This Row],[project]]), "",COUNTIFS($A:$A,patch[[#This Row],[number]],$S:$S, "BJ And dev",$AC:$AC, "Review-1"))</f>
        <v/>
      </c>
      <c r="X353" s="7" t="str">
        <f>IF(ISBLANK(patch[[#This Row],[project]]), "",COUNTIFS($A:$A,patch[[#This Row],[number]],$S:$S, "FL And dev",$AC:$AC, "Review-1"))</f>
        <v/>
      </c>
      <c r="Y353" s="7" t="str">
        <f>IF(ISBLANK(patch[[#This Row],[project]]), "",COUNTIFS($A:$A,patch[[#This Row],[number]],$S:$S, "SH And dev",$AC:$AC, "Review-1"))</f>
        <v/>
      </c>
      <c r="Z353" s="7" t="str">
        <f>IF(ISBLANK(patch[[#This Row],[project]]), "",COUNTIFS($A:$A,patch[[#This Row],[number]],$S:$S, "BJ And dev",$AD:$AD, "&lt;&gt;IntegratorValidationComment"))</f>
        <v/>
      </c>
      <c r="AA353" s="7" t="str">
        <f>IF(ISBLANK(patch[[#This Row],[project]]), "",COUNTIFS($A:$A,patch[[#This Row],[number]],$S:$S, "FL And dev",$AD:$AD, "&lt;&gt;IntegratorValidationComment"))</f>
        <v/>
      </c>
      <c r="AB353" s="7" t="str">
        <f>IF(ISBLANK(patch[[#This Row],[project]]), "",COUNTIFS($A:$A,patch[[#This Row],[number]],$S:$S, "SH And dev",$AD:$AD, "&lt;&gt;IntegratorValidationComment"))</f>
        <v/>
      </c>
      <c r="AC353" s="7" t="str">
        <f>IF(OR(ISNUMBER(FIND("Review-1", patch[[#This Row],[comments]])), ISNUMBER(FIND("Approver-1", patch[[#This Row],[comments]]))), "Review-1", "")</f>
        <v/>
      </c>
      <c r="AD3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53" s="7">
        <f>IF(ISBLANK(patch[[#This Row],[number]]),AE352,patch[[#This Row],[ifCommon]])</f>
        <v>0</v>
      </c>
    </row>
    <row r="354" spans="1:31">
      <c r="A354" s="151">
        <v>147386</v>
      </c>
      <c r="B354" s="151"/>
      <c r="C354" s="151"/>
      <c r="D354" s="151"/>
      <c r="E354" s="151"/>
      <c r="F354" s="151"/>
      <c r="G354" s="151"/>
      <c r="H354" s="151"/>
      <c r="I354" s="151"/>
      <c r="J354" s="152">
        <v>42640.690381944441</v>
      </c>
      <c r="K354" s="151"/>
      <c r="L354" s="151" t="s">
        <v>32</v>
      </c>
      <c r="M354" s="152">
        <v>42635.766261574077</v>
      </c>
      <c r="N354" s="151" t="s">
        <v>27</v>
      </c>
      <c r="O354" s="151"/>
      <c r="P354" s="151"/>
      <c r="Q354" s="7" t="str">
        <f>IF(ISBLANK(patch[[#This Row],[OwnerEmail]]),Q353,patch[[#This Row],[OwnerEmail]])</f>
        <v>xiaozhou.liu@intel.com</v>
      </c>
      <c r="R354" s="7" t="str">
        <f>_xlfn.IFNA(VLOOKUP(patch[[#This Row],[tmp-owner.email]],OrgTree!$A:$K, 11, 0), "not ICG SWFW")</f>
        <v>BJ And dev</v>
      </c>
      <c r="S354" s="7" t="str">
        <f>IF(patch[[#This Row],[reviewer]]=patch[[#This Row],[tmp-owner.email]], "author", _xlfn.IFNA(VLOOKUP(patch[[#This Row],[reviewer]],OrgTree!$A:$K, 11, 0), "not ICG SWFW"))</f>
        <v>BJ And dev</v>
      </c>
      <c r="T354" s="7" t="str">
        <f>IF(ISBLANK(patch[[#This Row],[mergeDate]]), "", MID(YEAR(patch[[#This Row],[mergeDate]]), 3,2)&amp;"'ww"&amp;WEEKNUM(patch[[#This Row],[mergeDate]]))</f>
        <v>16'ww40</v>
      </c>
      <c r="U354" s="7" t="str">
        <f>IF(ISBLANK(patch[[#This Row],[mergeDate]]), U353, MID(YEAR(patch[[#This Row],[mergeDate]]), 3,2)&amp;"'m"&amp;MONTH(patch[[#This Row],[mergeDate]]))</f>
        <v>16'm9</v>
      </c>
      <c r="V354" s="7" t="str">
        <f>IF(ISBLANK(patch[[#This Row],[project]]), "",SUM(patch[[#This Row],[BJ -1 num]:[SH -1 num]]))</f>
        <v/>
      </c>
      <c r="W354" s="7" t="str">
        <f>IF(ISBLANK(patch[[#This Row],[project]]), "",COUNTIFS($A:$A,patch[[#This Row],[number]],$S:$S, "BJ And dev",$AC:$AC, "Review-1"))</f>
        <v/>
      </c>
      <c r="X354" s="7" t="str">
        <f>IF(ISBLANK(patch[[#This Row],[project]]), "",COUNTIFS($A:$A,patch[[#This Row],[number]],$S:$S, "FL And dev",$AC:$AC, "Review-1"))</f>
        <v/>
      </c>
      <c r="Y354" s="7" t="str">
        <f>IF(ISBLANK(patch[[#This Row],[project]]), "",COUNTIFS($A:$A,patch[[#This Row],[number]],$S:$S, "SH And dev",$AC:$AC, "Review-1"))</f>
        <v/>
      </c>
      <c r="Z354" s="7" t="str">
        <f>IF(ISBLANK(patch[[#This Row],[project]]), "",COUNTIFS($A:$A,patch[[#This Row],[number]],$S:$S, "BJ And dev",$AD:$AD, "&lt;&gt;IntegratorValidationComment"))</f>
        <v/>
      </c>
      <c r="AA354" s="7" t="str">
        <f>IF(ISBLANK(patch[[#This Row],[project]]), "",COUNTIFS($A:$A,patch[[#This Row],[number]],$S:$S, "FL And dev",$AD:$AD, "&lt;&gt;IntegratorValidationComment"))</f>
        <v/>
      </c>
      <c r="AB354" s="7" t="str">
        <f>IF(ISBLANK(patch[[#This Row],[project]]), "",COUNTIFS($A:$A,patch[[#This Row],[number]],$S:$S, "SH And dev",$AD:$AD, "&lt;&gt;IntegratorValidationComment"))</f>
        <v/>
      </c>
      <c r="AC354" s="7" t="str">
        <f>IF(OR(ISNUMBER(FIND("Review-1", patch[[#This Row],[comments]])), ISNUMBER(FIND("Approver-1", patch[[#This Row],[comments]]))), "Review-1", "")</f>
        <v/>
      </c>
      <c r="AD3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54" s="7">
        <f>IF(ISBLANK(patch[[#This Row],[number]]),AE353,patch[[#This Row],[ifCommon]])</f>
        <v>0</v>
      </c>
    </row>
    <row r="355" spans="1:31">
      <c r="A355" s="151">
        <v>147386</v>
      </c>
      <c r="B355" s="151"/>
      <c r="C355" s="151"/>
      <c r="D355" s="151"/>
      <c r="E355" s="151"/>
      <c r="F355" s="151"/>
      <c r="G355" s="151"/>
      <c r="H355" s="151"/>
      <c r="I355" s="151"/>
      <c r="J355" s="152">
        <v>42640.690381944441</v>
      </c>
      <c r="K355" s="151"/>
      <c r="L355" s="151" t="s">
        <v>59</v>
      </c>
      <c r="M355" s="152">
        <v>42636.460046296299</v>
      </c>
      <c r="N355" s="151" t="s">
        <v>2773</v>
      </c>
      <c r="O355" s="151"/>
      <c r="P355" s="151"/>
      <c r="Q355" s="7" t="str">
        <f>IF(ISBLANK(patch[[#This Row],[OwnerEmail]]),Q354,patch[[#This Row],[OwnerEmail]])</f>
        <v>xiaozhou.liu@intel.com</v>
      </c>
      <c r="R355" s="7" t="str">
        <f>_xlfn.IFNA(VLOOKUP(patch[[#This Row],[tmp-owner.email]],OrgTree!$A:$K, 11, 0), "not ICG SWFW")</f>
        <v>BJ And dev</v>
      </c>
      <c r="S355" s="7" t="str">
        <f>IF(patch[[#This Row],[reviewer]]=patch[[#This Row],[tmp-owner.email]], "author", _xlfn.IFNA(VLOOKUP(patch[[#This Row],[reviewer]],OrgTree!$A:$K, 11, 0), "not ICG SWFW"))</f>
        <v>author</v>
      </c>
      <c r="T355" s="7" t="str">
        <f>IF(ISBLANK(patch[[#This Row],[mergeDate]]), "", MID(YEAR(patch[[#This Row],[mergeDate]]), 3,2)&amp;"'ww"&amp;WEEKNUM(patch[[#This Row],[mergeDate]]))</f>
        <v>16'ww40</v>
      </c>
      <c r="U355" s="7" t="str">
        <f>IF(ISBLANK(patch[[#This Row],[mergeDate]]), U354, MID(YEAR(patch[[#This Row],[mergeDate]]), 3,2)&amp;"'m"&amp;MONTH(patch[[#This Row],[mergeDate]]))</f>
        <v>16'm9</v>
      </c>
      <c r="V355" s="7" t="str">
        <f>IF(ISBLANK(patch[[#This Row],[project]]), "",SUM(patch[[#This Row],[BJ -1 num]:[SH -1 num]]))</f>
        <v/>
      </c>
      <c r="W355" s="7" t="str">
        <f>IF(ISBLANK(patch[[#This Row],[project]]), "",COUNTIFS($A:$A,patch[[#This Row],[number]],$S:$S, "BJ And dev",$AC:$AC, "Review-1"))</f>
        <v/>
      </c>
      <c r="X355" s="7" t="str">
        <f>IF(ISBLANK(patch[[#This Row],[project]]), "",COUNTIFS($A:$A,patch[[#This Row],[number]],$S:$S, "FL And dev",$AC:$AC, "Review-1"))</f>
        <v/>
      </c>
      <c r="Y355" s="7" t="str">
        <f>IF(ISBLANK(patch[[#This Row],[project]]), "",COUNTIFS($A:$A,patch[[#This Row],[number]],$S:$S, "SH And dev",$AC:$AC, "Review-1"))</f>
        <v/>
      </c>
      <c r="Z355" s="7" t="str">
        <f>IF(ISBLANK(patch[[#This Row],[project]]), "",COUNTIFS($A:$A,patch[[#This Row],[number]],$S:$S, "BJ And dev",$AD:$AD, "&lt;&gt;IntegratorValidationComment"))</f>
        <v/>
      </c>
      <c r="AA355" s="7" t="str">
        <f>IF(ISBLANK(patch[[#This Row],[project]]), "",COUNTIFS($A:$A,patch[[#This Row],[number]],$S:$S, "FL And dev",$AD:$AD, "&lt;&gt;IntegratorValidationComment"))</f>
        <v/>
      </c>
      <c r="AB355" s="7" t="str">
        <f>IF(ISBLANK(patch[[#This Row],[project]]), "",COUNTIFS($A:$A,patch[[#This Row],[number]],$S:$S, "SH And dev",$AD:$AD, "&lt;&gt;IntegratorValidationComment"))</f>
        <v/>
      </c>
      <c r="AC355" s="7" t="str">
        <f>IF(OR(ISNUMBER(FIND("Review-1", patch[[#This Row],[comments]])), ISNUMBER(FIND("Approver-1", patch[[#This Row],[comments]]))), "Review-1", "")</f>
        <v/>
      </c>
      <c r="AD3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55" s="7">
        <f>IF(ISBLANK(patch[[#This Row],[number]]),AE354,patch[[#This Row],[ifCommon]])</f>
        <v>0</v>
      </c>
    </row>
    <row r="356" spans="1:31">
      <c r="A356" s="151">
        <v>147386</v>
      </c>
      <c r="B356" s="151"/>
      <c r="C356" s="151"/>
      <c r="D356" s="151"/>
      <c r="E356" s="151"/>
      <c r="F356" s="151"/>
      <c r="G356" s="151"/>
      <c r="H356" s="151"/>
      <c r="I356" s="151"/>
      <c r="J356" s="152">
        <v>42640.690381944441</v>
      </c>
      <c r="K356" s="151"/>
      <c r="L356" s="151" t="s">
        <v>59</v>
      </c>
      <c r="M356" s="152">
        <v>42636.750462962962</v>
      </c>
      <c r="N356" s="151" t="s">
        <v>2450</v>
      </c>
      <c r="O356" s="151"/>
      <c r="P356" s="151"/>
      <c r="Q356" s="7" t="str">
        <f>IF(ISBLANK(patch[[#This Row],[OwnerEmail]]),Q355,patch[[#This Row],[OwnerEmail]])</f>
        <v>xiaozhou.liu@intel.com</v>
      </c>
      <c r="R356" s="7" t="str">
        <f>_xlfn.IFNA(VLOOKUP(patch[[#This Row],[tmp-owner.email]],OrgTree!$A:$K, 11, 0), "not ICG SWFW")</f>
        <v>BJ And dev</v>
      </c>
      <c r="S356" s="7" t="str">
        <f>IF(patch[[#This Row],[reviewer]]=patch[[#This Row],[tmp-owner.email]], "author", _xlfn.IFNA(VLOOKUP(patch[[#This Row],[reviewer]],OrgTree!$A:$K, 11, 0), "not ICG SWFW"))</f>
        <v>author</v>
      </c>
      <c r="T356" s="7" t="str">
        <f>IF(ISBLANK(patch[[#This Row],[mergeDate]]), "", MID(YEAR(patch[[#This Row],[mergeDate]]), 3,2)&amp;"'ww"&amp;WEEKNUM(patch[[#This Row],[mergeDate]]))</f>
        <v>16'ww40</v>
      </c>
      <c r="U356" s="7" t="str">
        <f>IF(ISBLANK(patch[[#This Row],[mergeDate]]), U355, MID(YEAR(patch[[#This Row],[mergeDate]]), 3,2)&amp;"'m"&amp;MONTH(patch[[#This Row],[mergeDate]]))</f>
        <v>16'm9</v>
      </c>
      <c r="V356" s="7" t="str">
        <f>IF(ISBLANK(patch[[#This Row],[project]]), "",SUM(patch[[#This Row],[BJ -1 num]:[SH -1 num]]))</f>
        <v/>
      </c>
      <c r="W356" s="7" t="str">
        <f>IF(ISBLANK(patch[[#This Row],[project]]), "",COUNTIFS($A:$A,patch[[#This Row],[number]],$S:$S, "BJ And dev",$AC:$AC, "Review-1"))</f>
        <v/>
      </c>
      <c r="X356" s="7" t="str">
        <f>IF(ISBLANK(patch[[#This Row],[project]]), "",COUNTIFS($A:$A,patch[[#This Row],[number]],$S:$S, "FL And dev",$AC:$AC, "Review-1"))</f>
        <v/>
      </c>
      <c r="Y356" s="7" t="str">
        <f>IF(ISBLANK(patch[[#This Row],[project]]), "",COUNTIFS($A:$A,patch[[#This Row],[number]],$S:$S, "SH And dev",$AC:$AC, "Review-1"))</f>
        <v/>
      </c>
      <c r="Z356" s="7" t="str">
        <f>IF(ISBLANK(patch[[#This Row],[project]]), "",COUNTIFS($A:$A,patch[[#This Row],[number]],$S:$S, "BJ And dev",$AD:$AD, "&lt;&gt;IntegratorValidationComment"))</f>
        <v/>
      </c>
      <c r="AA356" s="7" t="str">
        <f>IF(ISBLANK(patch[[#This Row],[project]]), "",COUNTIFS($A:$A,patch[[#This Row],[number]],$S:$S, "FL And dev",$AD:$AD, "&lt;&gt;IntegratorValidationComment"))</f>
        <v/>
      </c>
      <c r="AB356" s="7" t="str">
        <f>IF(ISBLANK(patch[[#This Row],[project]]), "",COUNTIFS($A:$A,patch[[#This Row],[number]],$S:$S, "SH And dev",$AD:$AD, "&lt;&gt;IntegratorValidationComment"))</f>
        <v/>
      </c>
      <c r="AC356" s="7" t="str">
        <f>IF(OR(ISNUMBER(FIND("Review-1", patch[[#This Row],[comments]])), ISNUMBER(FIND("Approver-1", patch[[#This Row],[comments]]))), "Review-1", "")</f>
        <v/>
      </c>
      <c r="AD3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56" s="7">
        <f>IF(ISBLANK(patch[[#This Row],[number]]),AE355,patch[[#This Row],[ifCommon]])</f>
        <v>0</v>
      </c>
    </row>
    <row r="357" spans="1:31">
      <c r="A357" s="151">
        <v>147386</v>
      </c>
      <c r="B357" s="151"/>
      <c r="C357" s="151"/>
      <c r="D357" s="151"/>
      <c r="E357" s="151"/>
      <c r="F357" s="151"/>
      <c r="G357" s="151"/>
      <c r="H357" s="151"/>
      <c r="I357" s="151"/>
      <c r="J357" s="152">
        <v>42640.690381944441</v>
      </c>
      <c r="K357" s="151"/>
      <c r="L357" s="151" t="s">
        <v>59</v>
      </c>
      <c r="M357" s="152">
        <v>42636.750462962962</v>
      </c>
      <c r="N357" s="151" t="s">
        <v>2704</v>
      </c>
      <c r="O357" s="151"/>
      <c r="P357" s="151"/>
      <c r="Q357" s="7" t="str">
        <f>IF(ISBLANK(patch[[#This Row],[OwnerEmail]]),Q356,patch[[#This Row],[OwnerEmail]])</f>
        <v>xiaozhou.liu@intel.com</v>
      </c>
      <c r="R357" s="7" t="str">
        <f>_xlfn.IFNA(VLOOKUP(patch[[#This Row],[tmp-owner.email]],OrgTree!$A:$K, 11, 0), "not ICG SWFW")</f>
        <v>BJ And dev</v>
      </c>
      <c r="S357" s="7" t="str">
        <f>IF(patch[[#This Row],[reviewer]]=patch[[#This Row],[tmp-owner.email]], "author", _xlfn.IFNA(VLOOKUP(patch[[#This Row],[reviewer]],OrgTree!$A:$K, 11, 0), "not ICG SWFW"))</f>
        <v>author</v>
      </c>
      <c r="T357" s="7" t="str">
        <f>IF(ISBLANK(patch[[#This Row],[mergeDate]]), "", MID(YEAR(patch[[#This Row],[mergeDate]]), 3,2)&amp;"'ww"&amp;WEEKNUM(patch[[#This Row],[mergeDate]]))</f>
        <v>16'ww40</v>
      </c>
      <c r="U357" s="7" t="str">
        <f>IF(ISBLANK(patch[[#This Row],[mergeDate]]), U356, MID(YEAR(patch[[#This Row],[mergeDate]]), 3,2)&amp;"'m"&amp;MONTH(patch[[#This Row],[mergeDate]]))</f>
        <v>16'm9</v>
      </c>
      <c r="V357" s="7" t="str">
        <f>IF(ISBLANK(patch[[#This Row],[project]]), "",SUM(patch[[#This Row],[BJ -1 num]:[SH -1 num]]))</f>
        <v/>
      </c>
      <c r="W357" s="7" t="str">
        <f>IF(ISBLANK(patch[[#This Row],[project]]), "",COUNTIFS($A:$A,patch[[#This Row],[number]],$S:$S, "BJ And dev",$AC:$AC, "Review-1"))</f>
        <v/>
      </c>
      <c r="X357" s="7" t="str">
        <f>IF(ISBLANK(patch[[#This Row],[project]]), "",COUNTIFS($A:$A,patch[[#This Row],[number]],$S:$S, "FL And dev",$AC:$AC, "Review-1"))</f>
        <v/>
      </c>
      <c r="Y357" s="7" t="str">
        <f>IF(ISBLANK(patch[[#This Row],[project]]), "",COUNTIFS($A:$A,patch[[#This Row],[number]],$S:$S, "SH And dev",$AC:$AC, "Review-1"))</f>
        <v/>
      </c>
      <c r="Z357" s="7" t="str">
        <f>IF(ISBLANK(patch[[#This Row],[project]]), "",COUNTIFS($A:$A,patch[[#This Row],[number]],$S:$S, "BJ And dev",$AD:$AD, "&lt;&gt;IntegratorValidationComment"))</f>
        <v/>
      </c>
      <c r="AA357" s="7" t="str">
        <f>IF(ISBLANK(patch[[#This Row],[project]]), "",COUNTIFS($A:$A,patch[[#This Row],[number]],$S:$S, "FL And dev",$AD:$AD, "&lt;&gt;IntegratorValidationComment"))</f>
        <v/>
      </c>
      <c r="AB357" s="7" t="str">
        <f>IF(ISBLANK(patch[[#This Row],[project]]), "",COUNTIFS($A:$A,patch[[#This Row],[number]],$S:$S, "SH And dev",$AD:$AD, "&lt;&gt;IntegratorValidationComment"))</f>
        <v/>
      </c>
      <c r="AC357" s="7" t="str">
        <f>IF(OR(ISNUMBER(FIND("Review-1", patch[[#This Row],[comments]])), ISNUMBER(FIND("Approver-1", patch[[#This Row],[comments]]))), "Review-1", "")</f>
        <v/>
      </c>
      <c r="AD3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57" s="7">
        <f>IF(ISBLANK(patch[[#This Row],[number]]),AE356,patch[[#This Row],[ifCommon]])</f>
        <v>0</v>
      </c>
    </row>
    <row r="358" spans="1:31">
      <c r="A358" s="151">
        <v>147386</v>
      </c>
      <c r="B358" s="151"/>
      <c r="C358" s="151"/>
      <c r="D358" s="151"/>
      <c r="E358" s="151"/>
      <c r="F358" s="151"/>
      <c r="G358" s="151"/>
      <c r="H358" s="151"/>
      <c r="I358" s="151"/>
      <c r="J358" s="152">
        <v>42640.690381944441</v>
      </c>
      <c r="K358" s="151"/>
      <c r="L358" s="151" t="s">
        <v>59</v>
      </c>
      <c r="M358" s="152">
        <v>42636.75508101852</v>
      </c>
      <c r="N358" s="151" t="s">
        <v>2774</v>
      </c>
      <c r="O358" s="151"/>
      <c r="P358" s="151"/>
      <c r="Q358" s="7" t="str">
        <f>IF(ISBLANK(patch[[#This Row],[OwnerEmail]]),Q357,patch[[#This Row],[OwnerEmail]])</f>
        <v>xiaozhou.liu@intel.com</v>
      </c>
      <c r="R358" s="7" t="str">
        <f>_xlfn.IFNA(VLOOKUP(patch[[#This Row],[tmp-owner.email]],OrgTree!$A:$K, 11, 0), "not ICG SWFW")</f>
        <v>BJ And dev</v>
      </c>
      <c r="S358" s="7" t="str">
        <f>IF(patch[[#This Row],[reviewer]]=patch[[#This Row],[tmp-owner.email]], "author", _xlfn.IFNA(VLOOKUP(patch[[#This Row],[reviewer]],OrgTree!$A:$K, 11, 0), "not ICG SWFW"))</f>
        <v>author</v>
      </c>
      <c r="T358" s="7" t="str">
        <f>IF(ISBLANK(patch[[#This Row],[mergeDate]]), "", MID(YEAR(patch[[#This Row],[mergeDate]]), 3,2)&amp;"'ww"&amp;WEEKNUM(patch[[#This Row],[mergeDate]]))</f>
        <v>16'ww40</v>
      </c>
      <c r="U358" s="7" t="str">
        <f>IF(ISBLANK(patch[[#This Row],[mergeDate]]), U357, MID(YEAR(patch[[#This Row],[mergeDate]]), 3,2)&amp;"'m"&amp;MONTH(patch[[#This Row],[mergeDate]]))</f>
        <v>16'm9</v>
      </c>
      <c r="V358" s="7" t="str">
        <f>IF(ISBLANK(patch[[#This Row],[project]]), "",SUM(patch[[#This Row],[BJ -1 num]:[SH -1 num]]))</f>
        <v/>
      </c>
      <c r="W358" s="7" t="str">
        <f>IF(ISBLANK(patch[[#This Row],[project]]), "",COUNTIFS($A:$A,patch[[#This Row],[number]],$S:$S, "BJ And dev",$AC:$AC, "Review-1"))</f>
        <v/>
      </c>
      <c r="X358" s="7" t="str">
        <f>IF(ISBLANK(patch[[#This Row],[project]]), "",COUNTIFS($A:$A,patch[[#This Row],[number]],$S:$S, "FL And dev",$AC:$AC, "Review-1"))</f>
        <v/>
      </c>
      <c r="Y358" s="7" t="str">
        <f>IF(ISBLANK(patch[[#This Row],[project]]), "",COUNTIFS($A:$A,patch[[#This Row],[number]],$S:$S, "SH And dev",$AC:$AC, "Review-1"))</f>
        <v/>
      </c>
      <c r="Z358" s="7" t="str">
        <f>IF(ISBLANK(patch[[#This Row],[project]]), "",COUNTIFS($A:$A,patch[[#This Row],[number]],$S:$S, "BJ And dev",$AD:$AD, "&lt;&gt;IntegratorValidationComment"))</f>
        <v/>
      </c>
      <c r="AA358" s="7" t="str">
        <f>IF(ISBLANK(patch[[#This Row],[project]]), "",COUNTIFS($A:$A,patch[[#This Row],[number]],$S:$S, "FL And dev",$AD:$AD, "&lt;&gt;IntegratorValidationComment"))</f>
        <v/>
      </c>
      <c r="AB358" s="7" t="str">
        <f>IF(ISBLANK(patch[[#This Row],[project]]), "",COUNTIFS($A:$A,patch[[#This Row],[number]],$S:$S, "SH And dev",$AD:$AD, "&lt;&gt;IntegratorValidationComment"))</f>
        <v/>
      </c>
      <c r="AC358" s="7" t="str">
        <f>IF(OR(ISNUMBER(FIND("Review-1", patch[[#This Row],[comments]])), ISNUMBER(FIND("Approver-1", patch[[#This Row],[comments]]))), "Review-1", "")</f>
        <v/>
      </c>
      <c r="AD3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58" s="7">
        <f>IF(ISBLANK(patch[[#This Row],[number]]),AE357,patch[[#This Row],[ifCommon]])</f>
        <v>0</v>
      </c>
    </row>
    <row r="359" spans="1:31">
      <c r="A359" s="151">
        <v>147386</v>
      </c>
      <c r="B359" s="151"/>
      <c r="C359" s="151"/>
      <c r="D359" s="151"/>
      <c r="E359" s="151"/>
      <c r="F359" s="151"/>
      <c r="G359" s="151"/>
      <c r="H359" s="151"/>
      <c r="I359" s="151"/>
      <c r="J359" s="152">
        <v>42640.690381944441</v>
      </c>
      <c r="K359" s="151"/>
      <c r="L359" s="151" t="s">
        <v>59</v>
      </c>
      <c r="M359" s="152">
        <v>42636.773275462961</v>
      </c>
      <c r="N359" s="151" t="s">
        <v>2775</v>
      </c>
      <c r="O359" s="151"/>
      <c r="P359" s="151"/>
      <c r="Q359" s="7" t="str">
        <f>IF(ISBLANK(patch[[#This Row],[OwnerEmail]]),Q358,patch[[#This Row],[OwnerEmail]])</f>
        <v>xiaozhou.liu@intel.com</v>
      </c>
      <c r="R359" s="7" t="str">
        <f>_xlfn.IFNA(VLOOKUP(patch[[#This Row],[tmp-owner.email]],OrgTree!$A:$K, 11, 0), "not ICG SWFW")</f>
        <v>BJ And dev</v>
      </c>
      <c r="S359" s="7" t="str">
        <f>IF(patch[[#This Row],[reviewer]]=patch[[#This Row],[tmp-owner.email]], "author", _xlfn.IFNA(VLOOKUP(patch[[#This Row],[reviewer]],OrgTree!$A:$K, 11, 0), "not ICG SWFW"))</f>
        <v>author</v>
      </c>
      <c r="T359" s="7" t="str">
        <f>IF(ISBLANK(patch[[#This Row],[mergeDate]]), "", MID(YEAR(patch[[#This Row],[mergeDate]]), 3,2)&amp;"'ww"&amp;WEEKNUM(patch[[#This Row],[mergeDate]]))</f>
        <v>16'ww40</v>
      </c>
      <c r="U359" s="7" t="str">
        <f>IF(ISBLANK(patch[[#This Row],[mergeDate]]), U358, MID(YEAR(patch[[#This Row],[mergeDate]]), 3,2)&amp;"'m"&amp;MONTH(patch[[#This Row],[mergeDate]]))</f>
        <v>16'm9</v>
      </c>
      <c r="V359" s="7" t="str">
        <f>IF(ISBLANK(patch[[#This Row],[project]]), "",SUM(patch[[#This Row],[BJ -1 num]:[SH -1 num]]))</f>
        <v/>
      </c>
      <c r="W359" s="7" t="str">
        <f>IF(ISBLANK(patch[[#This Row],[project]]), "",COUNTIFS($A:$A,patch[[#This Row],[number]],$S:$S, "BJ And dev",$AC:$AC, "Review-1"))</f>
        <v/>
      </c>
      <c r="X359" s="7" t="str">
        <f>IF(ISBLANK(patch[[#This Row],[project]]), "",COUNTIFS($A:$A,patch[[#This Row],[number]],$S:$S, "FL And dev",$AC:$AC, "Review-1"))</f>
        <v/>
      </c>
      <c r="Y359" s="7" t="str">
        <f>IF(ISBLANK(patch[[#This Row],[project]]), "",COUNTIFS($A:$A,patch[[#This Row],[number]],$S:$S, "SH And dev",$AC:$AC, "Review-1"))</f>
        <v/>
      </c>
      <c r="Z359" s="7" t="str">
        <f>IF(ISBLANK(patch[[#This Row],[project]]), "",COUNTIFS($A:$A,patch[[#This Row],[number]],$S:$S, "BJ And dev",$AD:$AD, "&lt;&gt;IntegratorValidationComment"))</f>
        <v/>
      </c>
      <c r="AA359" s="7" t="str">
        <f>IF(ISBLANK(patch[[#This Row],[project]]), "",COUNTIFS($A:$A,patch[[#This Row],[number]],$S:$S, "FL And dev",$AD:$AD, "&lt;&gt;IntegratorValidationComment"))</f>
        <v/>
      </c>
      <c r="AB359" s="7" t="str">
        <f>IF(ISBLANK(patch[[#This Row],[project]]), "",COUNTIFS($A:$A,patch[[#This Row],[number]],$S:$S, "SH And dev",$AD:$AD, "&lt;&gt;IntegratorValidationComment"))</f>
        <v/>
      </c>
      <c r="AC359" s="7" t="str">
        <f>IF(OR(ISNUMBER(FIND("Review-1", patch[[#This Row],[comments]])), ISNUMBER(FIND("Approver-1", patch[[#This Row],[comments]]))), "Review-1", "")</f>
        <v/>
      </c>
      <c r="AD3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59" s="7">
        <f>IF(ISBLANK(patch[[#This Row],[number]]),AE358,patch[[#This Row],[ifCommon]])</f>
        <v>0</v>
      </c>
    </row>
    <row r="360" spans="1:31">
      <c r="A360" s="151">
        <v>147386</v>
      </c>
      <c r="B360" s="151"/>
      <c r="C360" s="151"/>
      <c r="D360" s="151"/>
      <c r="E360" s="151"/>
      <c r="F360" s="151"/>
      <c r="G360" s="151"/>
      <c r="H360" s="151"/>
      <c r="I360" s="151"/>
      <c r="J360" s="152">
        <v>42640.690381944441</v>
      </c>
      <c r="K360" s="151"/>
      <c r="L360" s="151" t="s">
        <v>59</v>
      </c>
      <c r="M360" s="152">
        <v>42639.450543981482</v>
      </c>
      <c r="N360" s="151" t="s">
        <v>2536</v>
      </c>
      <c r="O360" s="151"/>
      <c r="P360" s="151"/>
      <c r="Q360" s="7" t="str">
        <f>IF(ISBLANK(patch[[#This Row],[OwnerEmail]]),Q359,patch[[#This Row],[OwnerEmail]])</f>
        <v>xiaozhou.liu@intel.com</v>
      </c>
      <c r="R360" s="7" t="str">
        <f>_xlfn.IFNA(VLOOKUP(patch[[#This Row],[tmp-owner.email]],OrgTree!$A:$K, 11, 0), "not ICG SWFW")</f>
        <v>BJ And dev</v>
      </c>
      <c r="S360" s="7" t="str">
        <f>IF(patch[[#This Row],[reviewer]]=patch[[#This Row],[tmp-owner.email]], "author", _xlfn.IFNA(VLOOKUP(patch[[#This Row],[reviewer]],OrgTree!$A:$K, 11, 0), "not ICG SWFW"))</f>
        <v>author</v>
      </c>
      <c r="T360" s="7" t="str">
        <f>IF(ISBLANK(patch[[#This Row],[mergeDate]]), "", MID(YEAR(patch[[#This Row],[mergeDate]]), 3,2)&amp;"'ww"&amp;WEEKNUM(patch[[#This Row],[mergeDate]]))</f>
        <v>16'ww40</v>
      </c>
      <c r="U360" s="7" t="str">
        <f>IF(ISBLANK(patch[[#This Row],[mergeDate]]), U359, MID(YEAR(patch[[#This Row],[mergeDate]]), 3,2)&amp;"'m"&amp;MONTH(patch[[#This Row],[mergeDate]]))</f>
        <v>16'm9</v>
      </c>
      <c r="V360" s="7" t="str">
        <f>IF(ISBLANK(patch[[#This Row],[project]]), "",SUM(patch[[#This Row],[BJ -1 num]:[SH -1 num]]))</f>
        <v/>
      </c>
      <c r="W360" s="7" t="str">
        <f>IF(ISBLANK(patch[[#This Row],[project]]), "",COUNTIFS($A:$A,patch[[#This Row],[number]],$S:$S, "BJ And dev",$AC:$AC, "Review-1"))</f>
        <v/>
      </c>
      <c r="X360" s="7" t="str">
        <f>IF(ISBLANK(patch[[#This Row],[project]]), "",COUNTIFS($A:$A,patch[[#This Row],[number]],$S:$S, "FL And dev",$AC:$AC, "Review-1"))</f>
        <v/>
      </c>
      <c r="Y360" s="7" t="str">
        <f>IF(ISBLANK(patch[[#This Row],[project]]), "",COUNTIFS($A:$A,patch[[#This Row],[number]],$S:$S, "SH And dev",$AC:$AC, "Review-1"))</f>
        <v/>
      </c>
      <c r="Z360" s="7" t="str">
        <f>IF(ISBLANK(patch[[#This Row],[project]]), "",COUNTIFS($A:$A,patch[[#This Row],[number]],$S:$S, "BJ And dev",$AD:$AD, "&lt;&gt;IntegratorValidationComment"))</f>
        <v/>
      </c>
      <c r="AA360" s="7" t="str">
        <f>IF(ISBLANK(patch[[#This Row],[project]]), "",COUNTIFS($A:$A,patch[[#This Row],[number]],$S:$S, "FL And dev",$AD:$AD, "&lt;&gt;IntegratorValidationComment"))</f>
        <v/>
      </c>
      <c r="AB360" s="7" t="str">
        <f>IF(ISBLANK(patch[[#This Row],[project]]), "",COUNTIFS($A:$A,patch[[#This Row],[number]],$S:$S, "SH And dev",$AD:$AD, "&lt;&gt;IntegratorValidationComment"))</f>
        <v/>
      </c>
      <c r="AC360" s="7" t="str">
        <f>IF(OR(ISNUMBER(FIND("Review-1", patch[[#This Row],[comments]])), ISNUMBER(FIND("Approver-1", patch[[#This Row],[comments]]))), "Review-1", "")</f>
        <v/>
      </c>
      <c r="AD3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60" s="7">
        <f>IF(ISBLANK(patch[[#This Row],[number]]),AE359,patch[[#This Row],[ifCommon]])</f>
        <v>0</v>
      </c>
    </row>
    <row r="361" spans="1:31">
      <c r="A361" s="151">
        <v>147386</v>
      </c>
      <c r="B361" s="151"/>
      <c r="C361" s="151"/>
      <c r="D361" s="151"/>
      <c r="E361" s="151"/>
      <c r="F361" s="151"/>
      <c r="G361" s="151"/>
      <c r="H361" s="151"/>
      <c r="I361" s="151"/>
      <c r="J361" s="152">
        <v>42640.690381944441</v>
      </c>
      <c r="K361" s="151"/>
      <c r="L361" s="151" t="s">
        <v>59</v>
      </c>
      <c r="M361" s="152">
        <v>42639.450555555559</v>
      </c>
      <c r="N361" s="151" t="s">
        <v>2451</v>
      </c>
      <c r="O361" s="151"/>
      <c r="P361" s="151"/>
      <c r="Q361" s="7" t="str">
        <f>IF(ISBLANK(patch[[#This Row],[OwnerEmail]]),Q360,patch[[#This Row],[OwnerEmail]])</f>
        <v>xiaozhou.liu@intel.com</v>
      </c>
      <c r="R361" s="7" t="str">
        <f>_xlfn.IFNA(VLOOKUP(patch[[#This Row],[tmp-owner.email]],OrgTree!$A:$K, 11, 0), "not ICG SWFW")</f>
        <v>BJ And dev</v>
      </c>
      <c r="S361" s="7" t="str">
        <f>IF(patch[[#This Row],[reviewer]]=patch[[#This Row],[tmp-owner.email]], "author", _xlfn.IFNA(VLOOKUP(patch[[#This Row],[reviewer]],OrgTree!$A:$K, 11, 0), "not ICG SWFW"))</f>
        <v>author</v>
      </c>
      <c r="T361" s="7" t="str">
        <f>IF(ISBLANK(patch[[#This Row],[mergeDate]]), "", MID(YEAR(patch[[#This Row],[mergeDate]]), 3,2)&amp;"'ww"&amp;WEEKNUM(patch[[#This Row],[mergeDate]]))</f>
        <v>16'ww40</v>
      </c>
      <c r="U361" s="7" t="str">
        <f>IF(ISBLANK(patch[[#This Row],[mergeDate]]), U360, MID(YEAR(patch[[#This Row],[mergeDate]]), 3,2)&amp;"'m"&amp;MONTH(patch[[#This Row],[mergeDate]]))</f>
        <v>16'm9</v>
      </c>
      <c r="V361" s="7" t="str">
        <f>IF(ISBLANK(patch[[#This Row],[project]]), "",SUM(patch[[#This Row],[BJ -1 num]:[SH -1 num]]))</f>
        <v/>
      </c>
      <c r="W361" s="7" t="str">
        <f>IF(ISBLANK(patch[[#This Row],[project]]), "",COUNTIFS($A:$A,patch[[#This Row],[number]],$S:$S, "BJ And dev",$AC:$AC, "Review-1"))</f>
        <v/>
      </c>
      <c r="X361" s="7" t="str">
        <f>IF(ISBLANK(patch[[#This Row],[project]]), "",COUNTIFS($A:$A,patch[[#This Row],[number]],$S:$S, "FL And dev",$AC:$AC, "Review-1"))</f>
        <v/>
      </c>
      <c r="Y361" s="7" t="str">
        <f>IF(ISBLANK(patch[[#This Row],[project]]), "",COUNTIFS($A:$A,patch[[#This Row],[number]],$S:$S, "SH And dev",$AC:$AC, "Review-1"))</f>
        <v/>
      </c>
      <c r="Z361" s="7" t="str">
        <f>IF(ISBLANK(patch[[#This Row],[project]]), "",COUNTIFS($A:$A,patch[[#This Row],[number]],$S:$S, "BJ And dev",$AD:$AD, "&lt;&gt;IntegratorValidationComment"))</f>
        <v/>
      </c>
      <c r="AA361" s="7" t="str">
        <f>IF(ISBLANK(patch[[#This Row],[project]]), "",COUNTIFS($A:$A,patch[[#This Row],[number]],$S:$S, "FL And dev",$AD:$AD, "&lt;&gt;IntegratorValidationComment"))</f>
        <v/>
      </c>
      <c r="AB361" s="7" t="str">
        <f>IF(ISBLANK(patch[[#This Row],[project]]), "",COUNTIFS($A:$A,patch[[#This Row],[number]],$S:$S, "SH And dev",$AD:$AD, "&lt;&gt;IntegratorValidationComment"))</f>
        <v/>
      </c>
      <c r="AC361" s="7" t="str">
        <f>IF(OR(ISNUMBER(FIND("Review-1", patch[[#This Row],[comments]])), ISNUMBER(FIND("Approver-1", patch[[#This Row],[comments]]))), "Review-1", "")</f>
        <v/>
      </c>
      <c r="AD3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61" s="7">
        <f>IF(ISBLANK(patch[[#This Row],[number]]),AE360,patch[[#This Row],[ifCommon]])</f>
        <v>0</v>
      </c>
    </row>
    <row r="362" spans="1:31">
      <c r="A362" s="151">
        <v>147386</v>
      </c>
      <c r="B362" s="151"/>
      <c r="C362" s="151"/>
      <c r="D362" s="151"/>
      <c r="E362" s="151"/>
      <c r="F362" s="151"/>
      <c r="G362" s="151"/>
      <c r="H362" s="151"/>
      <c r="I362" s="152"/>
      <c r="J362" s="152">
        <v>42640.690381944441</v>
      </c>
      <c r="K362" s="151"/>
      <c r="L362" s="151" t="s">
        <v>59</v>
      </c>
      <c r="M362" s="152">
        <v>42639.453194444453</v>
      </c>
      <c r="N362" s="151" t="s">
        <v>2776</v>
      </c>
      <c r="O362" s="151"/>
      <c r="P362" s="151"/>
      <c r="Q362" s="7" t="str">
        <f>IF(ISBLANK(patch[[#This Row],[OwnerEmail]]),Q361,patch[[#This Row],[OwnerEmail]])</f>
        <v>xiaozhou.liu@intel.com</v>
      </c>
      <c r="R362" s="7" t="str">
        <f>_xlfn.IFNA(VLOOKUP(patch[[#This Row],[tmp-owner.email]],OrgTree!$A:$K, 11, 0), "not ICG SWFW")</f>
        <v>BJ And dev</v>
      </c>
      <c r="S362" s="7" t="str">
        <f>IF(patch[[#This Row],[reviewer]]=patch[[#This Row],[tmp-owner.email]], "author", _xlfn.IFNA(VLOOKUP(patch[[#This Row],[reviewer]],OrgTree!$A:$K, 11, 0), "not ICG SWFW"))</f>
        <v>author</v>
      </c>
      <c r="T362" s="7" t="str">
        <f>IF(ISBLANK(patch[[#This Row],[mergeDate]]), "", MID(YEAR(patch[[#This Row],[mergeDate]]), 3,2)&amp;"'ww"&amp;WEEKNUM(patch[[#This Row],[mergeDate]]))</f>
        <v>16'ww40</v>
      </c>
      <c r="U362" s="7" t="str">
        <f>IF(ISBLANK(patch[[#This Row],[mergeDate]]), U361, MID(YEAR(patch[[#This Row],[mergeDate]]), 3,2)&amp;"'m"&amp;MONTH(patch[[#This Row],[mergeDate]]))</f>
        <v>16'm9</v>
      </c>
      <c r="V362" s="7" t="str">
        <f>IF(ISBLANK(patch[[#This Row],[project]]), "",SUM(patch[[#This Row],[BJ -1 num]:[SH -1 num]]))</f>
        <v/>
      </c>
      <c r="W362" s="7" t="str">
        <f>IF(ISBLANK(patch[[#This Row],[project]]), "",COUNTIFS($A:$A,patch[[#This Row],[number]],$S:$S, "BJ And dev",$AC:$AC, "Review-1"))</f>
        <v/>
      </c>
      <c r="X362" s="7" t="str">
        <f>IF(ISBLANK(patch[[#This Row],[project]]), "",COUNTIFS($A:$A,patch[[#This Row],[number]],$S:$S, "FL And dev",$AC:$AC, "Review-1"))</f>
        <v/>
      </c>
      <c r="Y362" s="7" t="str">
        <f>IF(ISBLANK(patch[[#This Row],[project]]), "",COUNTIFS($A:$A,patch[[#This Row],[number]],$S:$S, "SH And dev",$AC:$AC, "Review-1"))</f>
        <v/>
      </c>
      <c r="Z362" s="7" t="str">
        <f>IF(ISBLANK(patch[[#This Row],[project]]), "",COUNTIFS($A:$A,patch[[#This Row],[number]],$S:$S, "BJ And dev",$AD:$AD, "&lt;&gt;IntegratorValidationComment"))</f>
        <v/>
      </c>
      <c r="AA362" s="7" t="str">
        <f>IF(ISBLANK(patch[[#This Row],[project]]), "",COUNTIFS($A:$A,patch[[#This Row],[number]],$S:$S, "FL And dev",$AD:$AD, "&lt;&gt;IntegratorValidationComment"))</f>
        <v/>
      </c>
      <c r="AB362" s="7" t="str">
        <f>IF(ISBLANK(patch[[#This Row],[project]]), "",COUNTIFS($A:$A,patch[[#This Row],[number]],$S:$S, "SH And dev",$AD:$AD, "&lt;&gt;IntegratorValidationComment"))</f>
        <v/>
      </c>
      <c r="AC362" s="7" t="str">
        <f>IF(OR(ISNUMBER(FIND("Review-1", patch[[#This Row],[comments]])), ISNUMBER(FIND("Approver-1", patch[[#This Row],[comments]]))), "Review-1", "")</f>
        <v/>
      </c>
      <c r="AD3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62" s="7">
        <f>IF(ISBLANK(patch[[#This Row],[number]]),AE361,patch[[#This Row],[ifCommon]])</f>
        <v>0</v>
      </c>
    </row>
    <row r="363" spans="1:31">
      <c r="A363" s="151">
        <v>147386</v>
      </c>
      <c r="B363" s="151"/>
      <c r="C363" s="151"/>
      <c r="D363" s="151"/>
      <c r="E363" s="151"/>
      <c r="F363" s="151"/>
      <c r="G363" s="151"/>
      <c r="H363" s="151"/>
      <c r="I363" s="151"/>
      <c r="J363" s="152">
        <v>42640.690381944441</v>
      </c>
      <c r="K363" s="151"/>
      <c r="L363" s="151" t="s">
        <v>59</v>
      </c>
      <c r="M363" s="152">
        <v>42639.456469907411</v>
      </c>
      <c r="N363" s="151" t="s">
        <v>2777</v>
      </c>
      <c r="O363" s="151"/>
      <c r="P363" s="151"/>
      <c r="Q363" s="7" t="str">
        <f>IF(ISBLANK(patch[[#This Row],[OwnerEmail]]),Q362,patch[[#This Row],[OwnerEmail]])</f>
        <v>xiaozhou.liu@intel.com</v>
      </c>
      <c r="R363" s="7" t="str">
        <f>_xlfn.IFNA(VLOOKUP(patch[[#This Row],[tmp-owner.email]],OrgTree!$A:$K, 11, 0), "not ICG SWFW")</f>
        <v>BJ And dev</v>
      </c>
      <c r="S363" s="7" t="str">
        <f>IF(patch[[#This Row],[reviewer]]=patch[[#This Row],[tmp-owner.email]], "author", _xlfn.IFNA(VLOOKUP(patch[[#This Row],[reviewer]],OrgTree!$A:$K, 11, 0), "not ICG SWFW"))</f>
        <v>author</v>
      </c>
      <c r="T363" s="7" t="str">
        <f>IF(ISBLANK(patch[[#This Row],[mergeDate]]), "", MID(YEAR(patch[[#This Row],[mergeDate]]), 3,2)&amp;"'ww"&amp;WEEKNUM(patch[[#This Row],[mergeDate]]))</f>
        <v>16'ww40</v>
      </c>
      <c r="U363" s="7" t="str">
        <f>IF(ISBLANK(patch[[#This Row],[mergeDate]]), U362, MID(YEAR(patch[[#This Row],[mergeDate]]), 3,2)&amp;"'m"&amp;MONTH(patch[[#This Row],[mergeDate]]))</f>
        <v>16'm9</v>
      </c>
      <c r="V363" s="7" t="str">
        <f>IF(ISBLANK(patch[[#This Row],[project]]), "",SUM(patch[[#This Row],[BJ -1 num]:[SH -1 num]]))</f>
        <v/>
      </c>
      <c r="W363" s="7" t="str">
        <f>IF(ISBLANK(patch[[#This Row],[project]]), "",COUNTIFS($A:$A,patch[[#This Row],[number]],$S:$S, "BJ And dev",$AC:$AC, "Review-1"))</f>
        <v/>
      </c>
      <c r="X363" s="7" t="str">
        <f>IF(ISBLANK(patch[[#This Row],[project]]), "",COUNTIFS($A:$A,patch[[#This Row],[number]],$S:$S, "FL And dev",$AC:$AC, "Review-1"))</f>
        <v/>
      </c>
      <c r="Y363" s="7" t="str">
        <f>IF(ISBLANK(patch[[#This Row],[project]]), "",COUNTIFS($A:$A,patch[[#This Row],[number]],$S:$S, "SH And dev",$AC:$AC, "Review-1"))</f>
        <v/>
      </c>
      <c r="Z363" s="7" t="str">
        <f>IF(ISBLANK(patch[[#This Row],[project]]), "",COUNTIFS($A:$A,patch[[#This Row],[number]],$S:$S, "BJ And dev",$AD:$AD, "&lt;&gt;IntegratorValidationComment"))</f>
        <v/>
      </c>
      <c r="AA363" s="7" t="str">
        <f>IF(ISBLANK(patch[[#This Row],[project]]), "",COUNTIFS($A:$A,patch[[#This Row],[number]],$S:$S, "FL And dev",$AD:$AD, "&lt;&gt;IntegratorValidationComment"))</f>
        <v/>
      </c>
      <c r="AB363" s="7" t="str">
        <f>IF(ISBLANK(patch[[#This Row],[project]]), "",COUNTIFS($A:$A,patch[[#This Row],[number]],$S:$S, "SH And dev",$AD:$AD, "&lt;&gt;IntegratorValidationComment"))</f>
        <v/>
      </c>
      <c r="AC363" s="7" t="str">
        <f>IF(OR(ISNUMBER(FIND("Review-1", patch[[#This Row],[comments]])), ISNUMBER(FIND("Approver-1", patch[[#This Row],[comments]]))), "Review-1", "")</f>
        <v/>
      </c>
      <c r="AD3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63" s="7">
        <f>IF(ISBLANK(patch[[#This Row],[number]]),AE362,patch[[#This Row],[ifCommon]])</f>
        <v>0</v>
      </c>
    </row>
    <row r="364" spans="1:31">
      <c r="A364" s="151">
        <v>147386</v>
      </c>
      <c r="B364" s="151"/>
      <c r="C364" s="151"/>
      <c r="D364" s="151"/>
      <c r="E364" s="151"/>
      <c r="F364" s="151"/>
      <c r="G364" s="151"/>
      <c r="H364" s="151"/>
      <c r="I364" s="151"/>
      <c r="J364" s="152">
        <v>42640.690381944441</v>
      </c>
      <c r="K364" s="151"/>
      <c r="L364" s="151" t="s">
        <v>24</v>
      </c>
      <c r="M364" s="152">
        <v>42639.481076388889</v>
      </c>
      <c r="N364" s="151" t="s">
        <v>1890</v>
      </c>
      <c r="O364" s="151"/>
      <c r="P364" s="151"/>
      <c r="Q364" s="7" t="str">
        <f>IF(ISBLANK(patch[[#This Row],[OwnerEmail]]),Q363,patch[[#This Row],[OwnerEmail]])</f>
        <v>xiaozhou.liu@intel.com</v>
      </c>
      <c r="R364" s="7" t="str">
        <f>_xlfn.IFNA(VLOOKUP(patch[[#This Row],[tmp-owner.email]],OrgTree!$A:$K, 11, 0), "not ICG SWFW")</f>
        <v>BJ And dev</v>
      </c>
      <c r="S364" s="7" t="str">
        <f>IF(patch[[#This Row],[reviewer]]=patch[[#This Row],[tmp-owner.email]], "author", _xlfn.IFNA(VLOOKUP(patch[[#This Row],[reviewer]],OrgTree!$A:$K, 11, 0), "not ICG SWFW"))</f>
        <v>BJ And dev</v>
      </c>
      <c r="T364" s="7" t="str">
        <f>IF(ISBLANK(patch[[#This Row],[mergeDate]]), "", MID(YEAR(patch[[#This Row],[mergeDate]]), 3,2)&amp;"'ww"&amp;WEEKNUM(patch[[#This Row],[mergeDate]]))</f>
        <v>16'ww40</v>
      </c>
      <c r="U364" s="7" t="str">
        <f>IF(ISBLANK(patch[[#This Row],[mergeDate]]), U363, MID(YEAR(patch[[#This Row],[mergeDate]]), 3,2)&amp;"'m"&amp;MONTH(patch[[#This Row],[mergeDate]]))</f>
        <v>16'm9</v>
      </c>
      <c r="V364" s="7" t="str">
        <f>IF(ISBLANK(patch[[#This Row],[project]]), "",SUM(patch[[#This Row],[BJ -1 num]:[SH -1 num]]))</f>
        <v/>
      </c>
      <c r="W364" s="7" t="str">
        <f>IF(ISBLANK(patch[[#This Row],[project]]), "",COUNTIFS($A:$A,patch[[#This Row],[number]],$S:$S, "BJ And dev",$AC:$AC, "Review-1"))</f>
        <v/>
      </c>
      <c r="X364" s="7" t="str">
        <f>IF(ISBLANK(patch[[#This Row],[project]]), "",COUNTIFS($A:$A,patch[[#This Row],[number]],$S:$S, "FL And dev",$AC:$AC, "Review-1"))</f>
        <v/>
      </c>
      <c r="Y364" s="7" t="str">
        <f>IF(ISBLANK(patch[[#This Row],[project]]), "",COUNTIFS($A:$A,patch[[#This Row],[number]],$S:$S, "SH And dev",$AC:$AC, "Review-1"))</f>
        <v/>
      </c>
      <c r="Z364" s="7" t="str">
        <f>IF(ISBLANK(patch[[#This Row],[project]]), "",COUNTIFS($A:$A,patch[[#This Row],[number]],$S:$S, "BJ And dev",$AD:$AD, "&lt;&gt;IntegratorValidationComment"))</f>
        <v/>
      </c>
      <c r="AA364" s="7" t="str">
        <f>IF(ISBLANK(patch[[#This Row],[project]]), "",COUNTIFS($A:$A,patch[[#This Row],[number]],$S:$S, "FL And dev",$AD:$AD, "&lt;&gt;IntegratorValidationComment"))</f>
        <v/>
      </c>
      <c r="AB364" s="7" t="str">
        <f>IF(ISBLANK(patch[[#This Row],[project]]), "",COUNTIFS($A:$A,patch[[#This Row],[number]],$S:$S, "SH And dev",$AD:$AD, "&lt;&gt;IntegratorValidationComment"))</f>
        <v/>
      </c>
      <c r="AC364" s="7" t="str">
        <f>IF(OR(ISNUMBER(FIND("Review-1", patch[[#This Row],[comments]])), ISNUMBER(FIND("Approver-1", patch[[#This Row],[comments]]))), "Review-1", "")</f>
        <v/>
      </c>
      <c r="AD3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64" s="7">
        <f>IF(ISBLANK(patch[[#This Row],[number]]),AE363,patch[[#This Row],[ifCommon]])</f>
        <v>0</v>
      </c>
    </row>
    <row r="365" spans="1:31">
      <c r="A365" s="151">
        <v>147386</v>
      </c>
      <c r="B365" s="151"/>
      <c r="C365" s="151"/>
      <c r="D365" s="151"/>
      <c r="E365" s="151"/>
      <c r="F365" s="151"/>
      <c r="G365" s="151"/>
      <c r="H365" s="151"/>
      <c r="I365" s="151"/>
      <c r="J365" s="152">
        <v>42640.690381944441</v>
      </c>
      <c r="K365" s="151"/>
      <c r="L365" s="151" t="s">
        <v>1203</v>
      </c>
      <c r="M365" s="152">
        <v>42639.482094907413</v>
      </c>
      <c r="N365" s="151" t="s">
        <v>2510</v>
      </c>
      <c r="O365" s="151" t="s">
        <v>2778</v>
      </c>
      <c r="P365" s="151"/>
      <c r="Q365" s="7" t="str">
        <f>IF(ISBLANK(patch[[#This Row],[OwnerEmail]]),Q364,patch[[#This Row],[OwnerEmail]])</f>
        <v>xiaozhou.liu@intel.com</v>
      </c>
      <c r="R365" s="7" t="str">
        <f>_xlfn.IFNA(VLOOKUP(patch[[#This Row],[tmp-owner.email]],OrgTree!$A:$K, 11, 0), "not ICG SWFW")</f>
        <v>BJ And dev</v>
      </c>
      <c r="S365" s="7" t="str">
        <f>IF(patch[[#This Row],[reviewer]]=patch[[#This Row],[tmp-owner.email]], "author", _xlfn.IFNA(VLOOKUP(patch[[#This Row],[reviewer]],OrgTree!$A:$K, 11, 0), "not ICG SWFW"))</f>
        <v>BJ And dev</v>
      </c>
      <c r="T365" s="7" t="str">
        <f>IF(ISBLANK(patch[[#This Row],[mergeDate]]), "", MID(YEAR(patch[[#This Row],[mergeDate]]), 3,2)&amp;"'ww"&amp;WEEKNUM(patch[[#This Row],[mergeDate]]))</f>
        <v>16'ww40</v>
      </c>
      <c r="U365" s="7" t="str">
        <f>IF(ISBLANK(patch[[#This Row],[mergeDate]]), U364, MID(YEAR(patch[[#This Row],[mergeDate]]), 3,2)&amp;"'m"&amp;MONTH(patch[[#This Row],[mergeDate]]))</f>
        <v>16'm9</v>
      </c>
      <c r="V365" s="7" t="str">
        <f>IF(ISBLANK(patch[[#This Row],[project]]), "",SUM(patch[[#This Row],[BJ -1 num]:[SH -1 num]]))</f>
        <v/>
      </c>
      <c r="W365" s="7" t="str">
        <f>IF(ISBLANK(patch[[#This Row],[project]]), "",COUNTIFS($A:$A,patch[[#This Row],[number]],$S:$S, "BJ And dev",$AC:$AC, "Review-1"))</f>
        <v/>
      </c>
      <c r="X365" s="7" t="str">
        <f>IF(ISBLANK(patch[[#This Row],[project]]), "",COUNTIFS($A:$A,patch[[#This Row],[number]],$S:$S, "FL And dev",$AC:$AC, "Review-1"))</f>
        <v/>
      </c>
      <c r="Y365" s="7" t="str">
        <f>IF(ISBLANK(patch[[#This Row],[project]]), "",COUNTIFS($A:$A,patch[[#This Row],[number]],$S:$S, "SH And dev",$AC:$AC, "Review-1"))</f>
        <v/>
      </c>
      <c r="Z365" s="7" t="str">
        <f>IF(ISBLANK(patch[[#This Row],[project]]), "",COUNTIFS($A:$A,patch[[#This Row],[number]],$S:$S, "BJ And dev",$AD:$AD, "&lt;&gt;IntegratorValidationComment"))</f>
        <v/>
      </c>
      <c r="AA365" s="7" t="str">
        <f>IF(ISBLANK(patch[[#This Row],[project]]), "",COUNTIFS($A:$A,patch[[#This Row],[number]],$S:$S, "FL And dev",$AD:$AD, "&lt;&gt;IntegratorValidationComment"))</f>
        <v/>
      </c>
      <c r="AB365" s="7" t="str">
        <f>IF(ISBLANK(patch[[#This Row],[project]]), "",COUNTIFS($A:$A,patch[[#This Row],[number]],$S:$S, "SH And dev",$AD:$AD, "&lt;&gt;IntegratorValidationComment"))</f>
        <v/>
      </c>
      <c r="AC365" s="7" t="str">
        <f>IF(OR(ISNUMBER(FIND("Review-1", patch[[#This Row],[comments]])), ISNUMBER(FIND("Approver-1", patch[[#This Row],[comments]]))), "Review-1", "")</f>
        <v>Review-1</v>
      </c>
      <c r="AD3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65" s="7">
        <f>IF(ISBLANK(patch[[#This Row],[number]]),AE364,patch[[#This Row],[ifCommon]])</f>
        <v>0</v>
      </c>
    </row>
    <row r="366" spans="1:31">
      <c r="A366" s="151">
        <v>147386</v>
      </c>
      <c r="B366" s="151"/>
      <c r="C366" s="151"/>
      <c r="D366" s="151"/>
      <c r="E366" s="151"/>
      <c r="F366" s="151"/>
      <c r="G366" s="151"/>
      <c r="H366" s="151"/>
      <c r="I366" s="151"/>
      <c r="J366" s="152">
        <v>42640.690381944441</v>
      </c>
      <c r="K366" s="151"/>
      <c r="L366" s="151" t="s">
        <v>1203</v>
      </c>
      <c r="M366" s="152">
        <v>42639.484016203707</v>
      </c>
      <c r="N366" s="151" t="s">
        <v>31</v>
      </c>
      <c r="O366" s="151"/>
      <c r="P366" s="151"/>
      <c r="Q366" s="7" t="str">
        <f>IF(ISBLANK(patch[[#This Row],[OwnerEmail]]),Q365,patch[[#This Row],[OwnerEmail]])</f>
        <v>xiaozhou.liu@intel.com</v>
      </c>
      <c r="R366" s="7" t="str">
        <f>_xlfn.IFNA(VLOOKUP(patch[[#This Row],[tmp-owner.email]],OrgTree!$A:$K, 11, 0), "not ICG SWFW")</f>
        <v>BJ And dev</v>
      </c>
      <c r="S366" s="7" t="str">
        <f>IF(patch[[#This Row],[reviewer]]=patch[[#This Row],[tmp-owner.email]], "author", _xlfn.IFNA(VLOOKUP(patch[[#This Row],[reviewer]],OrgTree!$A:$K, 11, 0), "not ICG SWFW"))</f>
        <v>BJ And dev</v>
      </c>
      <c r="T366" s="7" t="str">
        <f>IF(ISBLANK(patch[[#This Row],[mergeDate]]), "", MID(YEAR(patch[[#This Row],[mergeDate]]), 3,2)&amp;"'ww"&amp;WEEKNUM(patch[[#This Row],[mergeDate]]))</f>
        <v>16'ww40</v>
      </c>
      <c r="U366" s="7" t="str">
        <f>IF(ISBLANK(patch[[#This Row],[mergeDate]]), U365, MID(YEAR(patch[[#This Row],[mergeDate]]), 3,2)&amp;"'m"&amp;MONTH(patch[[#This Row],[mergeDate]]))</f>
        <v>16'm9</v>
      </c>
      <c r="V366" s="7" t="str">
        <f>IF(ISBLANK(patch[[#This Row],[project]]), "",SUM(patch[[#This Row],[BJ -1 num]:[SH -1 num]]))</f>
        <v/>
      </c>
      <c r="W366" s="7" t="str">
        <f>IF(ISBLANK(patch[[#This Row],[project]]), "",COUNTIFS($A:$A,patch[[#This Row],[number]],$S:$S, "BJ And dev",$AC:$AC, "Review-1"))</f>
        <v/>
      </c>
      <c r="X366" s="7" t="str">
        <f>IF(ISBLANK(patch[[#This Row],[project]]), "",COUNTIFS($A:$A,patch[[#This Row],[number]],$S:$S, "FL And dev",$AC:$AC, "Review-1"))</f>
        <v/>
      </c>
      <c r="Y366" s="7" t="str">
        <f>IF(ISBLANK(patch[[#This Row],[project]]), "",COUNTIFS($A:$A,patch[[#This Row],[number]],$S:$S, "SH And dev",$AC:$AC, "Review-1"))</f>
        <v/>
      </c>
      <c r="Z366" s="7" t="str">
        <f>IF(ISBLANK(patch[[#This Row],[project]]), "",COUNTIFS($A:$A,patch[[#This Row],[number]],$S:$S, "BJ And dev",$AD:$AD, "&lt;&gt;IntegratorValidationComment"))</f>
        <v/>
      </c>
      <c r="AA366" s="7" t="str">
        <f>IF(ISBLANK(patch[[#This Row],[project]]), "",COUNTIFS($A:$A,patch[[#This Row],[number]],$S:$S, "FL And dev",$AD:$AD, "&lt;&gt;IntegratorValidationComment"))</f>
        <v/>
      </c>
      <c r="AB366" s="7" t="str">
        <f>IF(ISBLANK(patch[[#This Row],[project]]), "",COUNTIFS($A:$A,patch[[#This Row],[number]],$S:$S, "SH And dev",$AD:$AD, "&lt;&gt;IntegratorValidationComment"))</f>
        <v/>
      </c>
      <c r="AC366" s="7" t="str">
        <f>IF(OR(ISNUMBER(FIND("Review-1", patch[[#This Row],[comments]])), ISNUMBER(FIND("Approver-1", patch[[#This Row],[comments]]))), "Review-1", "")</f>
        <v/>
      </c>
      <c r="AD3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66" s="7">
        <f>IF(ISBLANK(patch[[#This Row],[number]]),AE365,patch[[#This Row],[ifCommon]])</f>
        <v>0</v>
      </c>
    </row>
    <row r="367" spans="1:31">
      <c r="A367" s="151">
        <v>147386</v>
      </c>
      <c r="B367" s="151"/>
      <c r="C367" s="151"/>
      <c r="D367" s="151"/>
      <c r="E367" s="151"/>
      <c r="F367" s="151"/>
      <c r="G367" s="151"/>
      <c r="H367" s="151"/>
      <c r="I367" s="151"/>
      <c r="J367" s="152">
        <v>42640.690381944441</v>
      </c>
      <c r="K367" s="151"/>
      <c r="L367" s="151" t="s">
        <v>59</v>
      </c>
      <c r="M367" s="152">
        <v>42639.484293981477</v>
      </c>
      <c r="N367" s="151" t="s">
        <v>2530</v>
      </c>
      <c r="O367" s="151" t="s">
        <v>2779</v>
      </c>
      <c r="P367" s="151"/>
      <c r="Q367" s="7" t="str">
        <f>IF(ISBLANK(patch[[#This Row],[OwnerEmail]]),Q366,patch[[#This Row],[OwnerEmail]])</f>
        <v>xiaozhou.liu@intel.com</v>
      </c>
      <c r="R367" s="7" t="str">
        <f>_xlfn.IFNA(VLOOKUP(patch[[#This Row],[tmp-owner.email]],OrgTree!$A:$K, 11, 0), "not ICG SWFW")</f>
        <v>BJ And dev</v>
      </c>
      <c r="S367" s="7" t="str">
        <f>IF(patch[[#This Row],[reviewer]]=patch[[#This Row],[tmp-owner.email]], "author", _xlfn.IFNA(VLOOKUP(patch[[#This Row],[reviewer]],OrgTree!$A:$K, 11, 0), "not ICG SWFW"))</f>
        <v>author</v>
      </c>
      <c r="T367" s="7" t="str">
        <f>IF(ISBLANK(patch[[#This Row],[mergeDate]]), "", MID(YEAR(patch[[#This Row],[mergeDate]]), 3,2)&amp;"'ww"&amp;WEEKNUM(patch[[#This Row],[mergeDate]]))</f>
        <v>16'ww40</v>
      </c>
      <c r="U367" s="7" t="str">
        <f>IF(ISBLANK(patch[[#This Row],[mergeDate]]), U366, MID(YEAR(patch[[#This Row],[mergeDate]]), 3,2)&amp;"'m"&amp;MONTH(patch[[#This Row],[mergeDate]]))</f>
        <v>16'm9</v>
      </c>
      <c r="V367" s="7" t="str">
        <f>IF(ISBLANK(patch[[#This Row],[project]]), "",SUM(patch[[#This Row],[BJ -1 num]:[SH -1 num]]))</f>
        <v/>
      </c>
      <c r="W367" s="7" t="str">
        <f>IF(ISBLANK(patch[[#This Row],[project]]), "",COUNTIFS($A:$A,patch[[#This Row],[number]],$S:$S, "BJ And dev",$AC:$AC, "Review-1"))</f>
        <v/>
      </c>
      <c r="X367" s="7" t="str">
        <f>IF(ISBLANK(patch[[#This Row],[project]]), "",COUNTIFS($A:$A,patch[[#This Row],[number]],$S:$S, "FL And dev",$AC:$AC, "Review-1"))</f>
        <v/>
      </c>
      <c r="Y367" s="7" t="str">
        <f>IF(ISBLANK(patch[[#This Row],[project]]), "",COUNTIFS($A:$A,patch[[#This Row],[number]],$S:$S, "SH And dev",$AC:$AC, "Review-1"))</f>
        <v/>
      </c>
      <c r="Z367" s="7" t="str">
        <f>IF(ISBLANK(patch[[#This Row],[project]]), "",COUNTIFS($A:$A,patch[[#This Row],[number]],$S:$S, "BJ And dev",$AD:$AD, "&lt;&gt;IntegratorValidationComment"))</f>
        <v/>
      </c>
      <c r="AA367" s="7" t="str">
        <f>IF(ISBLANK(patch[[#This Row],[project]]), "",COUNTIFS($A:$A,patch[[#This Row],[number]],$S:$S, "FL And dev",$AD:$AD, "&lt;&gt;IntegratorValidationComment"))</f>
        <v/>
      </c>
      <c r="AB367" s="7" t="str">
        <f>IF(ISBLANK(patch[[#This Row],[project]]), "",COUNTIFS($A:$A,patch[[#This Row],[number]],$S:$S, "SH And dev",$AD:$AD, "&lt;&gt;IntegratorValidationComment"))</f>
        <v/>
      </c>
      <c r="AC367" s="7" t="str">
        <f>IF(OR(ISNUMBER(FIND("Review-1", patch[[#This Row],[comments]])), ISNUMBER(FIND("Approver-1", patch[[#This Row],[comments]]))), "Review-1", "")</f>
        <v/>
      </c>
      <c r="AD3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67" s="7">
        <f>IF(ISBLANK(patch[[#This Row],[number]]),AE366,patch[[#This Row],[ifCommon]])</f>
        <v>0</v>
      </c>
    </row>
    <row r="368" spans="1:31">
      <c r="A368" s="151">
        <v>147386</v>
      </c>
      <c r="B368" s="151"/>
      <c r="C368" s="151"/>
      <c r="D368" s="151"/>
      <c r="E368" s="151"/>
      <c r="F368" s="151"/>
      <c r="G368" s="151"/>
      <c r="H368" s="151"/>
      <c r="I368" s="151"/>
      <c r="J368" s="152">
        <v>42640.690381944441</v>
      </c>
      <c r="K368" s="151"/>
      <c r="L368" s="151" t="s">
        <v>1203</v>
      </c>
      <c r="M368" s="152">
        <v>42639.49145833333</v>
      </c>
      <c r="N368" s="151" t="s">
        <v>2530</v>
      </c>
      <c r="O368" s="151" t="s">
        <v>2780</v>
      </c>
      <c r="P368" s="151"/>
      <c r="Q368" s="7" t="str">
        <f>IF(ISBLANK(patch[[#This Row],[OwnerEmail]]),Q367,patch[[#This Row],[OwnerEmail]])</f>
        <v>xiaozhou.liu@intel.com</v>
      </c>
      <c r="R368" s="7" t="str">
        <f>_xlfn.IFNA(VLOOKUP(patch[[#This Row],[tmp-owner.email]],OrgTree!$A:$K, 11, 0), "not ICG SWFW")</f>
        <v>BJ And dev</v>
      </c>
      <c r="S368" s="7" t="str">
        <f>IF(patch[[#This Row],[reviewer]]=patch[[#This Row],[tmp-owner.email]], "author", _xlfn.IFNA(VLOOKUP(patch[[#This Row],[reviewer]],OrgTree!$A:$K, 11, 0), "not ICG SWFW"))</f>
        <v>BJ And dev</v>
      </c>
      <c r="T368" s="7" t="str">
        <f>IF(ISBLANK(patch[[#This Row],[mergeDate]]), "", MID(YEAR(patch[[#This Row],[mergeDate]]), 3,2)&amp;"'ww"&amp;WEEKNUM(patch[[#This Row],[mergeDate]]))</f>
        <v>16'ww40</v>
      </c>
      <c r="U368" s="7" t="str">
        <f>IF(ISBLANK(patch[[#This Row],[mergeDate]]), U367, MID(YEAR(patch[[#This Row],[mergeDate]]), 3,2)&amp;"'m"&amp;MONTH(patch[[#This Row],[mergeDate]]))</f>
        <v>16'm9</v>
      </c>
      <c r="V368" s="7" t="str">
        <f>IF(ISBLANK(patch[[#This Row],[project]]), "",SUM(patch[[#This Row],[BJ -1 num]:[SH -1 num]]))</f>
        <v/>
      </c>
      <c r="W368" s="7" t="str">
        <f>IF(ISBLANK(patch[[#This Row],[project]]), "",COUNTIFS($A:$A,patch[[#This Row],[number]],$S:$S, "BJ And dev",$AC:$AC, "Review-1"))</f>
        <v/>
      </c>
      <c r="X368" s="7" t="str">
        <f>IF(ISBLANK(patch[[#This Row],[project]]), "",COUNTIFS($A:$A,patch[[#This Row],[number]],$S:$S, "FL And dev",$AC:$AC, "Review-1"))</f>
        <v/>
      </c>
      <c r="Y368" s="7" t="str">
        <f>IF(ISBLANK(patch[[#This Row],[project]]), "",COUNTIFS($A:$A,patch[[#This Row],[number]],$S:$S, "SH And dev",$AC:$AC, "Review-1"))</f>
        <v/>
      </c>
      <c r="Z368" s="7" t="str">
        <f>IF(ISBLANK(patch[[#This Row],[project]]), "",COUNTIFS($A:$A,patch[[#This Row],[number]],$S:$S, "BJ And dev",$AD:$AD, "&lt;&gt;IntegratorValidationComment"))</f>
        <v/>
      </c>
      <c r="AA368" s="7" t="str">
        <f>IF(ISBLANK(patch[[#This Row],[project]]), "",COUNTIFS($A:$A,patch[[#This Row],[number]],$S:$S, "FL And dev",$AD:$AD, "&lt;&gt;IntegratorValidationComment"))</f>
        <v/>
      </c>
      <c r="AB368" s="7" t="str">
        <f>IF(ISBLANK(patch[[#This Row],[project]]), "",COUNTIFS($A:$A,patch[[#This Row],[number]],$S:$S, "SH And dev",$AD:$AD, "&lt;&gt;IntegratorValidationComment"))</f>
        <v/>
      </c>
      <c r="AC368" s="7" t="str">
        <f>IF(OR(ISNUMBER(FIND("Review-1", patch[[#This Row],[comments]])), ISNUMBER(FIND("Approver-1", patch[[#This Row],[comments]]))), "Review-1", "")</f>
        <v/>
      </c>
      <c r="AD3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68" s="7">
        <f>IF(ISBLANK(patch[[#This Row],[number]]),AE367,patch[[#This Row],[ifCommon]])</f>
        <v>0</v>
      </c>
    </row>
    <row r="369" spans="1:31">
      <c r="A369" s="151">
        <v>147386</v>
      </c>
      <c r="B369" s="151"/>
      <c r="C369" s="151"/>
      <c r="D369" s="151"/>
      <c r="E369" s="151"/>
      <c r="F369" s="151"/>
      <c r="G369" s="151"/>
      <c r="H369" s="151"/>
      <c r="I369" s="151"/>
      <c r="J369" s="152">
        <v>42640.690381944441</v>
      </c>
      <c r="K369" s="151"/>
      <c r="L369" s="151" t="s">
        <v>115</v>
      </c>
      <c r="M369" s="152">
        <v>42640.48337962963</v>
      </c>
      <c r="N369" s="151" t="s">
        <v>2496</v>
      </c>
      <c r="O369" s="151"/>
      <c r="P369" s="151"/>
      <c r="Q369" s="7" t="str">
        <f>IF(ISBLANK(patch[[#This Row],[OwnerEmail]]),Q368,patch[[#This Row],[OwnerEmail]])</f>
        <v>xiaozhou.liu@intel.com</v>
      </c>
      <c r="R369" s="7" t="str">
        <f>_xlfn.IFNA(VLOOKUP(patch[[#This Row],[tmp-owner.email]],OrgTree!$A:$K, 11, 0), "not ICG SWFW")</f>
        <v>BJ And dev</v>
      </c>
      <c r="S369" s="7" t="str">
        <f>IF(patch[[#This Row],[reviewer]]=patch[[#This Row],[tmp-owner.email]], "author", _xlfn.IFNA(VLOOKUP(patch[[#This Row],[reviewer]],OrgTree!$A:$K, 11, 0), "not ICG SWFW"))</f>
        <v>Val</v>
      </c>
      <c r="T369" s="7" t="str">
        <f>IF(ISBLANK(patch[[#This Row],[mergeDate]]), "", MID(YEAR(patch[[#This Row],[mergeDate]]), 3,2)&amp;"'ww"&amp;WEEKNUM(patch[[#This Row],[mergeDate]]))</f>
        <v>16'ww40</v>
      </c>
      <c r="U369" s="7" t="str">
        <f>IF(ISBLANK(patch[[#This Row],[mergeDate]]), U368, MID(YEAR(patch[[#This Row],[mergeDate]]), 3,2)&amp;"'m"&amp;MONTH(patch[[#This Row],[mergeDate]]))</f>
        <v>16'm9</v>
      </c>
      <c r="V369" s="7" t="str">
        <f>IF(ISBLANK(patch[[#This Row],[project]]), "",SUM(patch[[#This Row],[BJ -1 num]:[SH -1 num]]))</f>
        <v/>
      </c>
      <c r="W369" s="7" t="str">
        <f>IF(ISBLANK(patch[[#This Row],[project]]), "",COUNTIFS($A:$A,patch[[#This Row],[number]],$S:$S, "BJ And dev",$AC:$AC, "Review-1"))</f>
        <v/>
      </c>
      <c r="X369" s="7" t="str">
        <f>IF(ISBLANK(patch[[#This Row],[project]]), "",COUNTIFS($A:$A,patch[[#This Row],[number]],$S:$S, "FL And dev",$AC:$AC, "Review-1"))</f>
        <v/>
      </c>
      <c r="Y369" s="7" t="str">
        <f>IF(ISBLANK(patch[[#This Row],[project]]), "",COUNTIFS($A:$A,patch[[#This Row],[number]],$S:$S, "SH And dev",$AC:$AC, "Review-1"))</f>
        <v/>
      </c>
      <c r="Z369" s="7" t="str">
        <f>IF(ISBLANK(patch[[#This Row],[project]]), "",COUNTIFS($A:$A,patch[[#This Row],[number]],$S:$S, "BJ And dev",$AD:$AD, "&lt;&gt;IntegratorValidationComment"))</f>
        <v/>
      </c>
      <c r="AA369" s="7" t="str">
        <f>IF(ISBLANK(patch[[#This Row],[project]]), "",COUNTIFS($A:$A,patch[[#This Row],[number]],$S:$S, "FL And dev",$AD:$AD, "&lt;&gt;IntegratorValidationComment"))</f>
        <v/>
      </c>
      <c r="AB369" s="7" t="str">
        <f>IF(ISBLANK(patch[[#This Row],[project]]), "",COUNTIFS($A:$A,patch[[#This Row],[number]],$S:$S, "SH And dev",$AD:$AD, "&lt;&gt;IntegratorValidationComment"))</f>
        <v/>
      </c>
      <c r="AC369" s="7" t="str">
        <f>IF(OR(ISNUMBER(FIND("Review-1", patch[[#This Row],[comments]])), ISNUMBER(FIND("Approver-1", patch[[#This Row],[comments]]))), "Review-1", "")</f>
        <v/>
      </c>
      <c r="AD3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369" s="7">
        <f>IF(ISBLANK(patch[[#This Row],[number]]),AE368,patch[[#This Row],[ifCommon]])</f>
        <v>0</v>
      </c>
    </row>
    <row r="370" spans="1:31">
      <c r="A370" s="151">
        <v>147943</v>
      </c>
      <c r="B370" s="151" t="s">
        <v>2490</v>
      </c>
      <c r="C370" s="151" t="s">
        <v>2491</v>
      </c>
      <c r="D370" s="151" t="s">
        <v>2781</v>
      </c>
      <c r="E370" s="151" t="s">
        <v>72</v>
      </c>
      <c r="F370" s="151" t="s">
        <v>23</v>
      </c>
      <c r="G370" s="151" t="s">
        <v>2782</v>
      </c>
      <c r="H370" s="151" t="s">
        <v>2783</v>
      </c>
      <c r="I370" s="152">
        <v>42637.286828703713</v>
      </c>
      <c r="J370" s="152">
        <v>42639.75172453704</v>
      </c>
      <c r="K370" s="151" t="s">
        <v>2445</v>
      </c>
      <c r="L370" s="151" t="s">
        <v>72</v>
      </c>
      <c r="M370" s="152">
        <v>42637.286828703713</v>
      </c>
      <c r="N370" s="151" t="s">
        <v>25</v>
      </c>
      <c r="O370" s="151"/>
      <c r="P370" s="151" t="s">
        <v>2784</v>
      </c>
      <c r="Q370" s="7" t="str">
        <f>IF(ISBLANK(patch[[#This Row],[OwnerEmail]]),Q369,patch[[#This Row],[OwnerEmail]])</f>
        <v>bin.b.yang@intel.com</v>
      </c>
      <c r="R370" s="7" t="str">
        <f>_xlfn.IFNA(VLOOKUP(patch[[#This Row],[tmp-owner.email]],OrgTree!$A:$K, 11, 0), "not ICG SWFW")</f>
        <v>BJ And dev</v>
      </c>
      <c r="S370" s="7" t="str">
        <f>IF(patch[[#This Row],[reviewer]]=patch[[#This Row],[tmp-owner.email]], "author", _xlfn.IFNA(VLOOKUP(patch[[#This Row],[reviewer]],OrgTree!$A:$K, 11, 0), "not ICG SWFW"))</f>
        <v>author</v>
      </c>
      <c r="T370" s="7" t="str">
        <f>IF(ISBLANK(patch[[#This Row],[mergeDate]]), "", MID(YEAR(patch[[#This Row],[mergeDate]]), 3,2)&amp;"'ww"&amp;WEEKNUM(patch[[#This Row],[mergeDate]]))</f>
        <v>16'ww40</v>
      </c>
      <c r="U370" s="7" t="str">
        <f>IF(ISBLANK(patch[[#This Row],[mergeDate]]), U369, MID(YEAR(patch[[#This Row],[mergeDate]]), 3,2)&amp;"'m"&amp;MONTH(patch[[#This Row],[mergeDate]]))</f>
        <v>16'm9</v>
      </c>
      <c r="V370" s="7">
        <f>IF(ISBLANK(patch[[#This Row],[project]]), "",SUM(patch[[#This Row],[BJ -1 num]:[SH -1 num]]))</f>
        <v>0</v>
      </c>
      <c r="W370" s="7">
        <f>IF(ISBLANK(patch[[#This Row],[project]]), "",COUNTIFS($A:$A,patch[[#This Row],[number]],$S:$S, "BJ And dev",$AC:$AC, "Review-1"))</f>
        <v>0</v>
      </c>
      <c r="X370" s="7">
        <f>IF(ISBLANK(patch[[#This Row],[project]]), "",COUNTIFS($A:$A,patch[[#This Row],[number]],$S:$S, "FL And dev",$AC:$AC, "Review-1"))</f>
        <v>0</v>
      </c>
      <c r="Y370" s="7">
        <f>IF(ISBLANK(patch[[#This Row],[project]]), "",COUNTIFS($A:$A,patch[[#This Row],[number]],$S:$S, "SH And dev",$AC:$AC, "Review-1"))</f>
        <v>0</v>
      </c>
      <c r="Z370" s="7">
        <f>IF(ISBLANK(patch[[#This Row],[project]]), "",COUNTIFS($A:$A,patch[[#This Row],[number]],$S:$S, "BJ And dev",$AD:$AD, "&lt;&gt;IntegratorValidationComment"))</f>
        <v>4</v>
      </c>
      <c r="AA370" s="7">
        <f>IF(ISBLANK(patch[[#This Row],[project]]), "",COUNTIFS($A:$A,patch[[#This Row],[number]],$S:$S, "FL And dev",$AD:$AD, "&lt;&gt;IntegratorValidationComment"))</f>
        <v>0</v>
      </c>
      <c r="AB370" s="7">
        <f>IF(ISBLANK(patch[[#This Row],[project]]), "",COUNTIFS($A:$A,patch[[#This Row],[number]],$S:$S, "SH And dev",$AD:$AD, "&lt;&gt;IntegratorValidationComment"))</f>
        <v>0</v>
      </c>
      <c r="AC370" s="7" t="str">
        <f>IF(OR(ISNUMBER(FIND("Review-1", patch[[#This Row],[comments]])), ISNUMBER(FIND("Approver-1", patch[[#This Row],[comments]]))), "Review-1", "")</f>
        <v/>
      </c>
      <c r="AD3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70" s="7" t="str">
        <f>IF(ISBLANK(patch[[#This Row],[number]]),AE369,patch[[#This Row],[ifCommon]])</f>
        <v>not AndrHAL</v>
      </c>
    </row>
    <row r="371" spans="1:31">
      <c r="A371" s="151">
        <v>147943</v>
      </c>
      <c r="B371" s="151"/>
      <c r="C371" s="151"/>
      <c r="D371" s="151"/>
      <c r="E371" s="151"/>
      <c r="F371" s="151"/>
      <c r="G371" s="151"/>
      <c r="H371" s="151"/>
      <c r="I371" s="151"/>
      <c r="J371" s="152">
        <v>42639.75172453704</v>
      </c>
      <c r="K371" s="151"/>
      <c r="L371" s="151" t="s">
        <v>72</v>
      </c>
      <c r="M371" s="152">
        <v>42637.286828703713</v>
      </c>
      <c r="N371" s="151" t="s">
        <v>2428</v>
      </c>
      <c r="O371" s="151"/>
      <c r="P371" s="151"/>
      <c r="Q371" s="7" t="str">
        <f>IF(ISBLANK(patch[[#This Row],[OwnerEmail]]),Q370,patch[[#This Row],[OwnerEmail]])</f>
        <v>bin.b.yang@intel.com</v>
      </c>
      <c r="R371" s="7" t="str">
        <f>_xlfn.IFNA(VLOOKUP(patch[[#This Row],[tmp-owner.email]],OrgTree!$A:$K, 11, 0), "not ICG SWFW")</f>
        <v>BJ And dev</v>
      </c>
      <c r="S371" s="7" t="str">
        <f>IF(patch[[#This Row],[reviewer]]=patch[[#This Row],[tmp-owner.email]], "author", _xlfn.IFNA(VLOOKUP(patch[[#This Row],[reviewer]],OrgTree!$A:$K, 11, 0), "not ICG SWFW"))</f>
        <v>author</v>
      </c>
      <c r="T371" s="7" t="str">
        <f>IF(ISBLANK(patch[[#This Row],[mergeDate]]), "", MID(YEAR(patch[[#This Row],[mergeDate]]), 3,2)&amp;"'ww"&amp;WEEKNUM(patch[[#This Row],[mergeDate]]))</f>
        <v>16'ww40</v>
      </c>
      <c r="U371" s="7" t="str">
        <f>IF(ISBLANK(patch[[#This Row],[mergeDate]]), U370, MID(YEAR(patch[[#This Row],[mergeDate]]), 3,2)&amp;"'m"&amp;MONTH(patch[[#This Row],[mergeDate]]))</f>
        <v>16'm9</v>
      </c>
      <c r="V371" s="7" t="str">
        <f>IF(ISBLANK(patch[[#This Row],[project]]), "",SUM(patch[[#This Row],[BJ -1 num]:[SH -1 num]]))</f>
        <v/>
      </c>
      <c r="W371" s="7" t="str">
        <f>IF(ISBLANK(patch[[#This Row],[project]]), "",COUNTIFS($A:$A,patch[[#This Row],[number]],$S:$S, "BJ And dev",$AC:$AC, "Review-1"))</f>
        <v/>
      </c>
      <c r="X371" s="7" t="str">
        <f>IF(ISBLANK(patch[[#This Row],[project]]), "",COUNTIFS($A:$A,patch[[#This Row],[number]],$S:$S, "FL And dev",$AC:$AC, "Review-1"))</f>
        <v/>
      </c>
      <c r="Y371" s="7" t="str">
        <f>IF(ISBLANK(patch[[#This Row],[project]]), "",COUNTIFS($A:$A,patch[[#This Row],[number]],$S:$S, "SH And dev",$AC:$AC, "Review-1"))</f>
        <v/>
      </c>
      <c r="Z371" s="7" t="str">
        <f>IF(ISBLANK(patch[[#This Row],[project]]), "",COUNTIFS($A:$A,patch[[#This Row],[number]],$S:$S, "BJ And dev",$AD:$AD, "&lt;&gt;IntegratorValidationComment"))</f>
        <v/>
      </c>
      <c r="AA371" s="7" t="str">
        <f>IF(ISBLANK(patch[[#This Row],[project]]), "",COUNTIFS($A:$A,patch[[#This Row],[number]],$S:$S, "FL And dev",$AD:$AD, "&lt;&gt;IntegratorValidationComment"))</f>
        <v/>
      </c>
      <c r="AB371" s="7" t="str">
        <f>IF(ISBLANK(patch[[#This Row],[project]]), "",COUNTIFS($A:$A,patch[[#This Row],[number]],$S:$S, "SH And dev",$AD:$AD, "&lt;&gt;IntegratorValidationComment"))</f>
        <v/>
      </c>
      <c r="AC371" s="7" t="str">
        <f>IF(OR(ISNUMBER(FIND("Review-1", patch[[#This Row],[comments]])), ISNUMBER(FIND("Approver-1", patch[[#This Row],[comments]]))), "Review-1", "")</f>
        <v/>
      </c>
      <c r="AD3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71" s="7">
        <f>IF(ISBLANK(patch[[#This Row],[number]]),AE370,patch[[#This Row],[ifCommon]])</f>
        <v>0</v>
      </c>
    </row>
    <row r="372" spans="1:31">
      <c r="A372" s="151">
        <v>147943</v>
      </c>
      <c r="B372" s="151"/>
      <c r="C372" s="151"/>
      <c r="D372" s="151"/>
      <c r="E372" s="151"/>
      <c r="F372" s="151"/>
      <c r="G372" s="151"/>
      <c r="H372" s="151"/>
      <c r="I372" s="152"/>
      <c r="J372" s="152">
        <v>42639.75172453704</v>
      </c>
      <c r="K372" s="151"/>
      <c r="L372" s="151" t="s">
        <v>72</v>
      </c>
      <c r="M372" s="152">
        <v>42637.287118055552</v>
      </c>
      <c r="N372" s="151" t="s">
        <v>40</v>
      </c>
      <c r="O372" s="151"/>
      <c r="P372" s="151"/>
      <c r="Q372" s="7" t="str">
        <f>IF(ISBLANK(patch[[#This Row],[OwnerEmail]]),Q371,patch[[#This Row],[OwnerEmail]])</f>
        <v>bin.b.yang@intel.com</v>
      </c>
      <c r="R372" s="7" t="str">
        <f>_xlfn.IFNA(VLOOKUP(patch[[#This Row],[tmp-owner.email]],OrgTree!$A:$K, 11, 0), "not ICG SWFW")</f>
        <v>BJ And dev</v>
      </c>
      <c r="S372" s="7" t="str">
        <f>IF(patch[[#This Row],[reviewer]]=patch[[#This Row],[tmp-owner.email]], "author", _xlfn.IFNA(VLOOKUP(patch[[#This Row],[reviewer]],OrgTree!$A:$K, 11, 0), "not ICG SWFW"))</f>
        <v>author</v>
      </c>
      <c r="T372" s="7" t="str">
        <f>IF(ISBLANK(patch[[#This Row],[mergeDate]]), "", MID(YEAR(patch[[#This Row],[mergeDate]]), 3,2)&amp;"'ww"&amp;WEEKNUM(patch[[#This Row],[mergeDate]]))</f>
        <v>16'ww40</v>
      </c>
      <c r="U372" s="7" t="str">
        <f>IF(ISBLANK(patch[[#This Row],[mergeDate]]), U371, MID(YEAR(patch[[#This Row],[mergeDate]]), 3,2)&amp;"'m"&amp;MONTH(patch[[#This Row],[mergeDate]]))</f>
        <v>16'm9</v>
      </c>
      <c r="V372" s="7" t="str">
        <f>IF(ISBLANK(patch[[#This Row],[project]]), "",SUM(patch[[#This Row],[BJ -1 num]:[SH -1 num]]))</f>
        <v/>
      </c>
      <c r="W372" s="7" t="str">
        <f>IF(ISBLANK(patch[[#This Row],[project]]), "",COUNTIFS($A:$A,patch[[#This Row],[number]],$S:$S, "BJ And dev",$AC:$AC, "Review-1"))</f>
        <v/>
      </c>
      <c r="X372" s="7" t="str">
        <f>IF(ISBLANK(patch[[#This Row],[project]]), "",COUNTIFS($A:$A,patch[[#This Row],[number]],$S:$S, "FL And dev",$AC:$AC, "Review-1"))</f>
        <v/>
      </c>
      <c r="Y372" s="7" t="str">
        <f>IF(ISBLANK(patch[[#This Row],[project]]), "",COUNTIFS($A:$A,patch[[#This Row],[number]],$S:$S, "SH And dev",$AC:$AC, "Review-1"))</f>
        <v/>
      </c>
      <c r="Z372" s="7" t="str">
        <f>IF(ISBLANK(patch[[#This Row],[project]]), "",COUNTIFS($A:$A,patch[[#This Row],[number]],$S:$S, "BJ And dev",$AD:$AD, "&lt;&gt;IntegratorValidationComment"))</f>
        <v/>
      </c>
      <c r="AA372" s="7" t="str">
        <f>IF(ISBLANK(patch[[#This Row],[project]]), "",COUNTIFS($A:$A,patch[[#This Row],[number]],$S:$S, "FL And dev",$AD:$AD, "&lt;&gt;IntegratorValidationComment"))</f>
        <v/>
      </c>
      <c r="AB372" s="7" t="str">
        <f>IF(ISBLANK(patch[[#This Row],[project]]), "",COUNTIFS($A:$A,patch[[#This Row],[number]],$S:$S, "SH And dev",$AD:$AD, "&lt;&gt;IntegratorValidationComment"))</f>
        <v/>
      </c>
      <c r="AC372" s="7" t="str">
        <f>IF(OR(ISNUMBER(FIND("Review-1", patch[[#This Row],[comments]])), ISNUMBER(FIND("Approver-1", patch[[#This Row],[comments]]))), "Review-1", "")</f>
        <v/>
      </c>
      <c r="AD3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72" s="7">
        <f>IF(ISBLANK(patch[[#This Row],[number]]),AE371,patch[[#This Row],[ifCommon]])</f>
        <v>0</v>
      </c>
    </row>
    <row r="373" spans="1:31">
      <c r="A373" s="151">
        <v>147943</v>
      </c>
      <c r="B373" s="151"/>
      <c r="C373" s="151"/>
      <c r="D373" s="151"/>
      <c r="E373" s="151"/>
      <c r="F373" s="151"/>
      <c r="G373" s="151"/>
      <c r="H373" s="151"/>
      <c r="I373" s="151"/>
      <c r="J373" s="152">
        <v>42639.75172453704</v>
      </c>
      <c r="K373" s="151"/>
      <c r="L373" s="151" t="s">
        <v>2785</v>
      </c>
      <c r="M373" s="152">
        <v>42637.288298611107</v>
      </c>
      <c r="N373" s="151" t="s">
        <v>2786</v>
      </c>
      <c r="O373" s="151"/>
      <c r="P373" s="151"/>
      <c r="Q373" s="7" t="str">
        <f>IF(ISBLANK(patch[[#This Row],[OwnerEmail]]),Q372,patch[[#This Row],[OwnerEmail]])</f>
        <v>bin.b.yang@intel.com</v>
      </c>
      <c r="R373" s="7" t="str">
        <f>_xlfn.IFNA(VLOOKUP(patch[[#This Row],[tmp-owner.email]],OrgTree!$A:$K, 11, 0), "not ICG SWFW")</f>
        <v>BJ And dev</v>
      </c>
      <c r="S373" s="7" t="str">
        <f>IF(patch[[#This Row],[reviewer]]=patch[[#This Row],[tmp-owner.email]], "author", _xlfn.IFNA(VLOOKUP(patch[[#This Row],[reviewer]],OrgTree!$A:$K, 11, 0), "not ICG SWFW"))</f>
        <v>not ICG SWFW</v>
      </c>
      <c r="T373" s="7" t="str">
        <f>IF(ISBLANK(patch[[#This Row],[mergeDate]]), "", MID(YEAR(patch[[#This Row],[mergeDate]]), 3,2)&amp;"'ww"&amp;WEEKNUM(patch[[#This Row],[mergeDate]]))</f>
        <v>16'ww40</v>
      </c>
      <c r="U373" s="7" t="str">
        <f>IF(ISBLANK(patch[[#This Row],[mergeDate]]), U372, MID(YEAR(patch[[#This Row],[mergeDate]]), 3,2)&amp;"'m"&amp;MONTH(patch[[#This Row],[mergeDate]]))</f>
        <v>16'm9</v>
      </c>
      <c r="V373" s="7" t="str">
        <f>IF(ISBLANK(patch[[#This Row],[project]]), "",SUM(patch[[#This Row],[BJ -1 num]:[SH -1 num]]))</f>
        <v/>
      </c>
      <c r="W373" s="7" t="str">
        <f>IF(ISBLANK(patch[[#This Row],[project]]), "",COUNTIFS($A:$A,patch[[#This Row],[number]],$S:$S, "BJ And dev",$AC:$AC, "Review-1"))</f>
        <v/>
      </c>
      <c r="X373" s="7" t="str">
        <f>IF(ISBLANK(patch[[#This Row],[project]]), "",COUNTIFS($A:$A,patch[[#This Row],[number]],$S:$S, "FL And dev",$AC:$AC, "Review-1"))</f>
        <v/>
      </c>
      <c r="Y373" s="7" t="str">
        <f>IF(ISBLANK(patch[[#This Row],[project]]), "",COUNTIFS($A:$A,patch[[#This Row],[number]],$S:$S, "SH And dev",$AC:$AC, "Review-1"))</f>
        <v/>
      </c>
      <c r="Z373" s="7" t="str">
        <f>IF(ISBLANK(patch[[#This Row],[project]]), "",COUNTIFS($A:$A,patch[[#This Row],[number]],$S:$S, "BJ And dev",$AD:$AD, "&lt;&gt;IntegratorValidationComment"))</f>
        <v/>
      </c>
      <c r="AA373" s="7" t="str">
        <f>IF(ISBLANK(patch[[#This Row],[project]]), "",COUNTIFS($A:$A,patch[[#This Row],[number]],$S:$S, "FL And dev",$AD:$AD, "&lt;&gt;IntegratorValidationComment"))</f>
        <v/>
      </c>
      <c r="AB373" s="7" t="str">
        <f>IF(ISBLANK(patch[[#This Row],[project]]), "",COUNTIFS($A:$A,patch[[#This Row],[number]],$S:$S, "SH And dev",$AD:$AD, "&lt;&gt;IntegratorValidationComment"))</f>
        <v/>
      </c>
      <c r="AC373" s="7" t="str">
        <f>IF(OR(ISNUMBER(FIND("Review-1", patch[[#This Row],[comments]])), ISNUMBER(FIND("Approver-1", patch[[#This Row],[comments]]))), "Review-1", "")</f>
        <v/>
      </c>
      <c r="AD3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73" s="7">
        <f>IF(ISBLANK(patch[[#This Row],[number]]),AE372,patch[[#This Row],[ifCommon]])</f>
        <v>0</v>
      </c>
    </row>
    <row r="374" spans="1:31">
      <c r="A374" s="151">
        <v>147943</v>
      </c>
      <c r="B374" s="151"/>
      <c r="C374" s="151"/>
      <c r="D374" s="151"/>
      <c r="E374" s="151"/>
      <c r="F374" s="151"/>
      <c r="G374" s="151"/>
      <c r="H374" s="151"/>
      <c r="I374" s="151"/>
      <c r="J374" s="152">
        <v>42639.75172453704</v>
      </c>
      <c r="K374" s="151"/>
      <c r="L374" s="151" t="s">
        <v>32</v>
      </c>
      <c r="M374" s="152">
        <v>42637.331712962958</v>
      </c>
      <c r="N374" s="151" t="s">
        <v>40</v>
      </c>
      <c r="O374" s="151"/>
      <c r="P374" s="151"/>
      <c r="Q374" s="7" t="str">
        <f>IF(ISBLANK(patch[[#This Row],[OwnerEmail]]),Q373,patch[[#This Row],[OwnerEmail]])</f>
        <v>bin.b.yang@intel.com</v>
      </c>
      <c r="R374" s="7" t="str">
        <f>_xlfn.IFNA(VLOOKUP(patch[[#This Row],[tmp-owner.email]],OrgTree!$A:$K, 11, 0), "not ICG SWFW")</f>
        <v>BJ And dev</v>
      </c>
      <c r="S374" s="7" t="str">
        <f>IF(patch[[#This Row],[reviewer]]=patch[[#This Row],[tmp-owner.email]], "author", _xlfn.IFNA(VLOOKUP(patch[[#This Row],[reviewer]],OrgTree!$A:$K, 11, 0), "not ICG SWFW"))</f>
        <v>BJ And dev</v>
      </c>
      <c r="T374" s="7" t="str">
        <f>IF(ISBLANK(patch[[#This Row],[mergeDate]]), "", MID(YEAR(patch[[#This Row],[mergeDate]]), 3,2)&amp;"'ww"&amp;WEEKNUM(patch[[#This Row],[mergeDate]]))</f>
        <v>16'ww40</v>
      </c>
      <c r="U374" s="7" t="str">
        <f>IF(ISBLANK(patch[[#This Row],[mergeDate]]), U373, MID(YEAR(patch[[#This Row],[mergeDate]]), 3,2)&amp;"'m"&amp;MONTH(patch[[#This Row],[mergeDate]]))</f>
        <v>16'm9</v>
      </c>
      <c r="V374" s="7" t="str">
        <f>IF(ISBLANK(patch[[#This Row],[project]]), "",SUM(patch[[#This Row],[BJ -1 num]:[SH -1 num]]))</f>
        <v/>
      </c>
      <c r="W374" s="7" t="str">
        <f>IF(ISBLANK(patch[[#This Row],[project]]), "",COUNTIFS($A:$A,patch[[#This Row],[number]],$S:$S, "BJ And dev",$AC:$AC, "Review-1"))</f>
        <v/>
      </c>
      <c r="X374" s="7" t="str">
        <f>IF(ISBLANK(patch[[#This Row],[project]]), "",COUNTIFS($A:$A,patch[[#This Row],[number]],$S:$S, "FL And dev",$AC:$AC, "Review-1"))</f>
        <v/>
      </c>
      <c r="Y374" s="7" t="str">
        <f>IF(ISBLANK(patch[[#This Row],[project]]), "",COUNTIFS($A:$A,patch[[#This Row],[number]],$S:$S, "SH And dev",$AC:$AC, "Review-1"))</f>
        <v/>
      </c>
      <c r="Z374" s="7" t="str">
        <f>IF(ISBLANK(patch[[#This Row],[project]]), "",COUNTIFS($A:$A,patch[[#This Row],[number]],$S:$S, "BJ And dev",$AD:$AD, "&lt;&gt;IntegratorValidationComment"))</f>
        <v/>
      </c>
      <c r="AA374" s="7" t="str">
        <f>IF(ISBLANK(patch[[#This Row],[project]]), "",COUNTIFS($A:$A,patch[[#This Row],[number]],$S:$S, "FL And dev",$AD:$AD, "&lt;&gt;IntegratorValidationComment"))</f>
        <v/>
      </c>
      <c r="AB374" s="7" t="str">
        <f>IF(ISBLANK(patch[[#This Row],[project]]), "",COUNTIFS($A:$A,patch[[#This Row],[number]],$S:$S, "SH And dev",$AD:$AD, "&lt;&gt;IntegratorValidationComment"))</f>
        <v/>
      </c>
      <c r="AC374" s="7" t="str">
        <f>IF(OR(ISNUMBER(FIND("Review-1", patch[[#This Row],[comments]])), ISNUMBER(FIND("Approver-1", patch[[#This Row],[comments]]))), "Review-1", "")</f>
        <v/>
      </c>
      <c r="AD3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74" s="7">
        <f>IF(ISBLANK(patch[[#This Row],[number]]),AE373,patch[[#This Row],[ifCommon]])</f>
        <v>0</v>
      </c>
    </row>
    <row r="375" spans="1:31">
      <c r="A375" s="151">
        <v>147943</v>
      </c>
      <c r="B375" s="151"/>
      <c r="C375" s="151"/>
      <c r="D375" s="151"/>
      <c r="E375" s="151"/>
      <c r="F375" s="151"/>
      <c r="G375" s="151"/>
      <c r="H375" s="151"/>
      <c r="I375" s="151"/>
      <c r="J375" s="152">
        <v>42639.75172453704</v>
      </c>
      <c r="K375" s="151"/>
      <c r="L375" s="151" t="s">
        <v>24</v>
      </c>
      <c r="M375" s="152">
        <v>42637.392824074072</v>
      </c>
      <c r="N375" s="151" t="s">
        <v>1880</v>
      </c>
      <c r="O375" s="151"/>
      <c r="P375" s="151"/>
      <c r="Q375" s="7" t="str">
        <f>IF(ISBLANK(patch[[#This Row],[OwnerEmail]]),Q374,patch[[#This Row],[OwnerEmail]])</f>
        <v>bin.b.yang@intel.com</v>
      </c>
      <c r="R375" s="7" t="str">
        <f>_xlfn.IFNA(VLOOKUP(patch[[#This Row],[tmp-owner.email]],OrgTree!$A:$K, 11, 0), "not ICG SWFW")</f>
        <v>BJ And dev</v>
      </c>
      <c r="S375" s="7" t="str">
        <f>IF(patch[[#This Row],[reviewer]]=patch[[#This Row],[tmp-owner.email]], "author", _xlfn.IFNA(VLOOKUP(patch[[#This Row],[reviewer]],OrgTree!$A:$K, 11, 0), "not ICG SWFW"))</f>
        <v>BJ And dev</v>
      </c>
      <c r="T375" s="7" t="str">
        <f>IF(ISBLANK(patch[[#This Row],[mergeDate]]), "", MID(YEAR(patch[[#This Row],[mergeDate]]), 3,2)&amp;"'ww"&amp;WEEKNUM(patch[[#This Row],[mergeDate]]))</f>
        <v>16'ww40</v>
      </c>
      <c r="U375" s="7" t="str">
        <f>IF(ISBLANK(patch[[#This Row],[mergeDate]]), U374, MID(YEAR(patch[[#This Row],[mergeDate]]), 3,2)&amp;"'m"&amp;MONTH(patch[[#This Row],[mergeDate]]))</f>
        <v>16'm9</v>
      </c>
      <c r="V375" s="7" t="str">
        <f>IF(ISBLANK(patch[[#This Row],[project]]), "",SUM(patch[[#This Row],[BJ -1 num]:[SH -1 num]]))</f>
        <v/>
      </c>
      <c r="W375" s="7" t="str">
        <f>IF(ISBLANK(patch[[#This Row],[project]]), "",COUNTIFS($A:$A,patch[[#This Row],[number]],$S:$S, "BJ And dev",$AC:$AC, "Review-1"))</f>
        <v/>
      </c>
      <c r="X375" s="7" t="str">
        <f>IF(ISBLANK(patch[[#This Row],[project]]), "",COUNTIFS($A:$A,patch[[#This Row],[number]],$S:$S, "FL And dev",$AC:$AC, "Review-1"))</f>
        <v/>
      </c>
      <c r="Y375" s="7" t="str">
        <f>IF(ISBLANK(patch[[#This Row],[project]]), "",COUNTIFS($A:$A,patch[[#This Row],[number]],$S:$S, "SH And dev",$AC:$AC, "Review-1"))</f>
        <v/>
      </c>
      <c r="Z375" s="7" t="str">
        <f>IF(ISBLANK(patch[[#This Row],[project]]), "",COUNTIFS($A:$A,patch[[#This Row],[number]],$S:$S, "BJ And dev",$AD:$AD, "&lt;&gt;IntegratorValidationComment"))</f>
        <v/>
      </c>
      <c r="AA375" s="7" t="str">
        <f>IF(ISBLANK(patch[[#This Row],[project]]), "",COUNTIFS($A:$A,patch[[#This Row],[number]],$S:$S, "FL And dev",$AD:$AD, "&lt;&gt;IntegratorValidationComment"))</f>
        <v/>
      </c>
      <c r="AB375" s="7" t="str">
        <f>IF(ISBLANK(patch[[#This Row],[project]]), "",COUNTIFS($A:$A,patch[[#This Row],[number]],$S:$S, "SH And dev",$AD:$AD, "&lt;&gt;IntegratorValidationComment"))</f>
        <v/>
      </c>
      <c r="AC375" s="7" t="str">
        <f>IF(OR(ISNUMBER(FIND("Review-1", patch[[#This Row],[comments]])), ISNUMBER(FIND("Approver-1", patch[[#This Row],[comments]]))), "Review-1", "")</f>
        <v/>
      </c>
      <c r="AD3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75" s="7">
        <f>IF(ISBLANK(patch[[#This Row],[number]]),AE374,patch[[#This Row],[ifCommon]])</f>
        <v>0</v>
      </c>
    </row>
    <row r="376" spans="1:31">
      <c r="A376" s="151">
        <v>147943</v>
      </c>
      <c r="B376" s="151"/>
      <c r="C376" s="151"/>
      <c r="D376" s="151"/>
      <c r="E376" s="151"/>
      <c r="F376" s="151"/>
      <c r="G376" s="151"/>
      <c r="H376" s="151"/>
      <c r="I376" s="151"/>
      <c r="J376" s="152">
        <v>42639.75172453704</v>
      </c>
      <c r="K376" s="151"/>
      <c r="L376" s="151" t="s">
        <v>59</v>
      </c>
      <c r="M376" s="152">
        <v>42639.381898148153</v>
      </c>
      <c r="N376" s="151" t="s">
        <v>2787</v>
      </c>
      <c r="O376" s="151"/>
      <c r="P376" s="151"/>
      <c r="Q376" s="7" t="str">
        <f>IF(ISBLANK(patch[[#This Row],[OwnerEmail]]),Q375,patch[[#This Row],[OwnerEmail]])</f>
        <v>bin.b.yang@intel.com</v>
      </c>
      <c r="R376" s="7" t="str">
        <f>_xlfn.IFNA(VLOOKUP(patch[[#This Row],[tmp-owner.email]],OrgTree!$A:$K, 11, 0), "not ICG SWFW")</f>
        <v>BJ And dev</v>
      </c>
      <c r="S376" s="7" t="str">
        <f>IF(patch[[#This Row],[reviewer]]=patch[[#This Row],[tmp-owner.email]], "author", _xlfn.IFNA(VLOOKUP(patch[[#This Row],[reviewer]],OrgTree!$A:$K, 11, 0), "not ICG SWFW"))</f>
        <v>BJ And dev</v>
      </c>
      <c r="T376" s="7" t="str">
        <f>IF(ISBLANK(patch[[#This Row],[mergeDate]]), "", MID(YEAR(patch[[#This Row],[mergeDate]]), 3,2)&amp;"'ww"&amp;WEEKNUM(patch[[#This Row],[mergeDate]]))</f>
        <v>16'ww40</v>
      </c>
      <c r="U376" s="7" t="str">
        <f>IF(ISBLANK(patch[[#This Row],[mergeDate]]), U375, MID(YEAR(patch[[#This Row],[mergeDate]]), 3,2)&amp;"'m"&amp;MONTH(patch[[#This Row],[mergeDate]]))</f>
        <v>16'm9</v>
      </c>
      <c r="V376" s="7" t="str">
        <f>IF(ISBLANK(patch[[#This Row],[project]]), "",SUM(patch[[#This Row],[BJ -1 num]:[SH -1 num]]))</f>
        <v/>
      </c>
      <c r="W376" s="7" t="str">
        <f>IF(ISBLANK(patch[[#This Row],[project]]), "",COUNTIFS($A:$A,patch[[#This Row],[number]],$S:$S, "BJ And dev",$AC:$AC, "Review-1"))</f>
        <v/>
      </c>
      <c r="X376" s="7" t="str">
        <f>IF(ISBLANK(patch[[#This Row],[project]]), "",COUNTIFS($A:$A,patch[[#This Row],[number]],$S:$S, "FL And dev",$AC:$AC, "Review-1"))</f>
        <v/>
      </c>
      <c r="Y376" s="7" t="str">
        <f>IF(ISBLANK(patch[[#This Row],[project]]), "",COUNTIFS($A:$A,patch[[#This Row],[number]],$S:$S, "SH And dev",$AC:$AC, "Review-1"))</f>
        <v/>
      </c>
      <c r="Z376" s="7" t="str">
        <f>IF(ISBLANK(patch[[#This Row],[project]]), "",COUNTIFS($A:$A,patch[[#This Row],[number]],$S:$S, "BJ And dev",$AD:$AD, "&lt;&gt;IntegratorValidationComment"))</f>
        <v/>
      </c>
      <c r="AA376" s="7" t="str">
        <f>IF(ISBLANK(patch[[#This Row],[project]]), "",COUNTIFS($A:$A,patch[[#This Row],[number]],$S:$S, "FL And dev",$AD:$AD, "&lt;&gt;IntegratorValidationComment"))</f>
        <v/>
      </c>
      <c r="AB376" s="7" t="str">
        <f>IF(ISBLANK(patch[[#This Row],[project]]), "",COUNTIFS($A:$A,patch[[#This Row],[number]],$S:$S, "SH And dev",$AD:$AD, "&lt;&gt;IntegratorValidationComment"))</f>
        <v/>
      </c>
      <c r="AC376" s="7" t="str">
        <f>IF(OR(ISNUMBER(FIND("Review-1", patch[[#This Row],[comments]])), ISNUMBER(FIND("Approver-1", patch[[#This Row],[comments]]))), "Review-1", "")</f>
        <v/>
      </c>
      <c r="AD3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76" s="7">
        <f>IF(ISBLANK(patch[[#This Row],[number]]),AE375,patch[[#This Row],[ifCommon]])</f>
        <v>0</v>
      </c>
    </row>
    <row r="377" spans="1:31">
      <c r="A377" s="151">
        <v>147943</v>
      </c>
      <c r="B377" s="151"/>
      <c r="C377" s="151"/>
      <c r="D377" s="151"/>
      <c r="E377" s="151"/>
      <c r="F377" s="151"/>
      <c r="G377" s="151"/>
      <c r="H377" s="151"/>
      <c r="I377" s="151"/>
      <c r="J377" s="152">
        <v>42639.75172453704</v>
      </c>
      <c r="K377" s="151"/>
      <c r="L377" s="151" t="s">
        <v>59</v>
      </c>
      <c r="M377" s="152">
        <v>42639.39466435185</v>
      </c>
      <c r="N377" s="151" t="s">
        <v>2788</v>
      </c>
      <c r="O377" s="151"/>
      <c r="P377" s="151"/>
      <c r="Q377" s="7" t="str">
        <f>IF(ISBLANK(patch[[#This Row],[OwnerEmail]]),Q376,patch[[#This Row],[OwnerEmail]])</f>
        <v>bin.b.yang@intel.com</v>
      </c>
      <c r="R377" s="7" t="str">
        <f>_xlfn.IFNA(VLOOKUP(patch[[#This Row],[tmp-owner.email]],OrgTree!$A:$K, 11, 0), "not ICG SWFW")</f>
        <v>BJ And dev</v>
      </c>
      <c r="S377" s="7" t="str">
        <f>IF(patch[[#This Row],[reviewer]]=patch[[#This Row],[tmp-owner.email]], "author", _xlfn.IFNA(VLOOKUP(patch[[#This Row],[reviewer]],OrgTree!$A:$K, 11, 0), "not ICG SWFW"))</f>
        <v>BJ And dev</v>
      </c>
      <c r="T377" s="7" t="str">
        <f>IF(ISBLANK(patch[[#This Row],[mergeDate]]), "", MID(YEAR(patch[[#This Row],[mergeDate]]), 3,2)&amp;"'ww"&amp;WEEKNUM(patch[[#This Row],[mergeDate]]))</f>
        <v>16'ww40</v>
      </c>
      <c r="U377" s="7" t="str">
        <f>IF(ISBLANK(patch[[#This Row],[mergeDate]]), U376, MID(YEAR(patch[[#This Row],[mergeDate]]), 3,2)&amp;"'m"&amp;MONTH(patch[[#This Row],[mergeDate]]))</f>
        <v>16'm9</v>
      </c>
      <c r="V377" s="7" t="str">
        <f>IF(ISBLANK(patch[[#This Row],[project]]), "",SUM(patch[[#This Row],[BJ -1 num]:[SH -1 num]]))</f>
        <v/>
      </c>
      <c r="W377" s="7" t="str">
        <f>IF(ISBLANK(patch[[#This Row],[project]]), "",COUNTIFS($A:$A,patch[[#This Row],[number]],$S:$S, "BJ And dev",$AC:$AC, "Review-1"))</f>
        <v/>
      </c>
      <c r="X377" s="7" t="str">
        <f>IF(ISBLANK(patch[[#This Row],[project]]), "",COUNTIFS($A:$A,patch[[#This Row],[number]],$S:$S, "FL And dev",$AC:$AC, "Review-1"))</f>
        <v/>
      </c>
      <c r="Y377" s="7" t="str">
        <f>IF(ISBLANK(patch[[#This Row],[project]]), "",COUNTIFS($A:$A,patch[[#This Row],[number]],$S:$S, "SH And dev",$AC:$AC, "Review-1"))</f>
        <v/>
      </c>
      <c r="Z377" s="7" t="str">
        <f>IF(ISBLANK(patch[[#This Row],[project]]), "",COUNTIFS($A:$A,patch[[#This Row],[number]],$S:$S, "BJ And dev",$AD:$AD, "&lt;&gt;IntegratorValidationComment"))</f>
        <v/>
      </c>
      <c r="AA377" s="7" t="str">
        <f>IF(ISBLANK(patch[[#This Row],[project]]), "",COUNTIFS($A:$A,patch[[#This Row],[number]],$S:$S, "FL And dev",$AD:$AD, "&lt;&gt;IntegratorValidationComment"))</f>
        <v/>
      </c>
      <c r="AB377" s="7" t="str">
        <f>IF(ISBLANK(patch[[#This Row],[project]]), "",COUNTIFS($A:$A,patch[[#This Row],[number]],$S:$S, "SH And dev",$AD:$AD, "&lt;&gt;IntegratorValidationComment"))</f>
        <v/>
      </c>
      <c r="AC377" s="7" t="str">
        <f>IF(OR(ISNUMBER(FIND("Review-1", patch[[#This Row],[comments]])), ISNUMBER(FIND("Approver-1", patch[[#This Row],[comments]]))), "Review-1", "")</f>
        <v/>
      </c>
      <c r="AD3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77" s="7">
        <f>IF(ISBLANK(patch[[#This Row],[number]]),AE376,patch[[#This Row],[ifCommon]])</f>
        <v>0</v>
      </c>
    </row>
    <row r="378" spans="1:31">
      <c r="A378" s="151">
        <v>147943</v>
      </c>
      <c r="B378" s="151"/>
      <c r="C378" s="151"/>
      <c r="D378" s="151"/>
      <c r="E378" s="151"/>
      <c r="F378" s="151"/>
      <c r="G378" s="151"/>
      <c r="H378" s="151"/>
      <c r="I378" s="151"/>
      <c r="J378" s="152">
        <v>42639.75172453704</v>
      </c>
      <c r="K378" s="151"/>
      <c r="L378" s="151" t="s">
        <v>115</v>
      </c>
      <c r="M378" s="152">
        <v>42639.429444444453</v>
      </c>
      <c r="N378" s="151" t="s">
        <v>2494</v>
      </c>
      <c r="O378" s="151"/>
      <c r="P378" s="151"/>
      <c r="Q378" s="7" t="str">
        <f>IF(ISBLANK(patch[[#This Row],[OwnerEmail]]),Q377,patch[[#This Row],[OwnerEmail]])</f>
        <v>bin.b.yang@intel.com</v>
      </c>
      <c r="R378" s="7" t="str">
        <f>_xlfn.IFNA(VLOOKUP(patch[[#This Row],[tmp-owner.email]],OrgTree!$A:$K, 11, 0), "not ICG SWFW")</f>
        <v>BJ And dev</v>
      </c>
      <c r="S378" s="7" t="str">
        <f>IF(patch[[#This Row],[reviewer]]=patch[[#This Row],[tmp-owner.email]], "author", _xlfn.IFNA(VLOOKUP(patch[[#This Row],[reviewer]],OrgTree!$A:$K, 11, 0), "not ICG SWFW"))</f>
        <v>Val</v>
      </c>
      <c r="T378" s="7" t="str">
        <f>IF(ISBLANK(patch[[#This Row],[mergeDate]]), "", MID(YEAR(patch[[#This Row],[mergeDate]]), 3,2)&amp;"'ww"&amp;WEEKNUM(patch[[#This Row],[mergeDate]]))</f>
        <v>16'ww40</v>
      </c>
      <c r="U378" s="7" t="str">
        <f>IF(ISBLANK(patch[[#This Row],[mergeDate]]), U377, MID(YEAR(patch[[#This Row],[mergeDate]]), 3,2)&amp;"'m"&amp;MONTH(patch[[#This Row],[mergeDate]]))</f>
        <v>16'm9</v>
      </c>
      <c r="V378" s="7" t="str">
        <f>IF(ISBLANK(patch[[#This Row],[project]]), "",SUM(patch[[#This Row],[BJ -1 num]:[SH -1 num]]))</f>
        <v/>
      </c>
      <c r="W378" s="7" t="str">
        <f>IF(ISBLANK(patch[[#This Row],[project]]), "",COUNTIFS($A:$A,patch[[#This Row],[number]],$S:$S, "BJ And dev",$AC:$AC, "Review-1"))</f>
        <v/>
      </c>
      <c r="X378" s="7" t="str">
        <f>IF(ISBLANK(patch[[#This Row],[project]]), "",COUNTIFS($A:$A,patch[[#This Row],[number]],$S:$S, "FL And dev",$AC:$AC, "Review-1"))</f>
        <v/>
      </c>
      <c r="Y378" s="7" t="str">
        <f>IF(ISBLANK(patch[[#This Row],[project]]), "",COUNTIFS($A:$A,patch[[#This Row],[number]],$S:$S, "SH And dev",$AC:$AC, "Review-1"))</f>
        <v/>
      </c>
      <c r="Z378" s="7" t="str">
        <f>IF(ISBLANK(patch[[#This Row],[project]]), "",COUNTIFS($A:$A,patch[[#This Row],[number]],$S:$S, "BJ And dev",$AD:$AD, "&lt;&gt;IntegratorValidationComment"))</f>
        <v/>
      </c>
      <c r="AA378" s="7" t="str">
        <f>IF(ISBLANK(patch[[#This Row],[project]]), "",COUNTIFS($A:$A,patch[[#This Row],[number]],$S:$S, "FL And dev",$AD:$AD, "&lt;&gt;IntegratorValidationComment"))</f>
        <v/>
      </c>
      <c r="AB378" s="7" t="str">
        <f>IF(ISBLANK(patch[[#This Row],[project]]), "",COUNTIFS($A:$A,patch[[#This Row],[number]],$S:$S, "SH And dev",$AD:$AD, "&lt;&gt;IntegratorValidationComment"))</f>
        <v/>
      </c>
      <c r="AC378" s="7" t="str">
        <f>IF(OR(ISNUMBER(FIND("Review-1", patch[[#This Row],[comments]])), ISNUMBER(FIND("Approver-1", patch[[#This Row],[comments]]))), "Review-1", "")</f>
        <v/>
      </c>
      <c r="AD3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378" s="7">
        <f>IF(ISBLANK(patch[[#This Row],[number]]),AE377,patch[[#This Row],[ifCommon]])</f>
        <v>0</v>
      </c>
    </row>
    <row r="379" spans="1:31">
      <c r="A379" s="151">
        <v>147381</v>
      </c>
      <c r="B379" s="151" t="s">
        <v>2490</v>
      </c>
      <c r="C379" s="151" t="s">
        <v>2491</v>
      </c>
      <c r="D379" s="151" t="s">
        <v>2789</v>
      </c>
      <c r="E379" s="151" t="s">
        <v>24</v>
      </c>
      <c r="F379" s="151" t="s">
        <v>23</v>
      </c>
      <c r="G379" s="151" t="s">
        <v>2790</v>
      </c>
      <c r="H379" s="151" t="s">
        <v>2791</v>
      </c>
      <c r="I379" s="152">
        <v>42635.72483796296</v>
      </c>
      <c r="J379" s="152">
        <v>42639.754687499997</v>
      </c>
      <c r="K379" s="151" t="s">
        <v>2445</v>
      </c>
      <c r="L379" s="151" t="s">
        <v>24</v>
      </c>
      <c r="M379" s="152">
        <v>42635.72483796296</v>
      </c>
      <c r="N379" s="151" t="s">
        <v>25</v>
      </c>
      <c r="O379" s="151"/>
      <c r="P379" s="151" t="s">
        <v>2792</v>
      </c>
      <c r="Q379" s="7" t="str">
        <f>IF(ISBLANK(patch[[#This Row],[OwnerEmail]]),Q378,patch[[#This Row],[OwnerEmail]])</f>
        <v>qingwu.zhang@intel.com</v>
      </c>
      <c r="R379" s="7" t="str">
        <f>_xlfn.IFNA(VLOOKUP(patch[[#This Row],[tmp-owner.email]],OrgTree!$A:$K, 11, 0), "not ICG SWFW")</f>
        <v>BJ And dev</v>
      </c>
      <c r="S379" s="7" t="str">
        <f>IF(patch[[#This Row],[reviewer]]=patch[[#This Row],[tmp-owner.email]], "author", _xlfn.IFNA(VLOOKUP(patch[[#This Row],[reviewer]],OrgTree!$A:$K, 11, 0), "not ICG SWFW"))</f>
        <v>author</v>
      </c>
      <c r="T379" s="7" t="str">
        <f>IF(ISBLANK(patch[[#This Row],[mergeDate]]), "", MID(YEAR(patch[[#This Row],[mergeDate]]), 3,2)&amp;"'ww"&amp;WEEKNUM(patch[[#This Row],[mergeDate]]))</f>
        <v>16'ww40</v>
      </c>
      <c r="U379" s="7" t="str">
        <f>IF(ISBLANK(patch[[#This Row],[mergeDate]]), U378, MID(YEAR(patch[[#This Row],[mergeDate]]), 3,2)&amp;"'m"&amp;MONTH(patch[[#This Row],[mergeDate]]))</f>
        <v>16'm9</v>
      </c>
      <c r="V379" s="7">
        <f>IF(ISBLANK(patch[[#This Row],[project]]), "",SUM(patch[[#This Row],[BJ -1 num]:[SH -1 num]]))</f>
        <v>0</v>
      </c>
      <c r="W379" s="7">
        <f>IF(ISBLANK(patch[[#This Row],[project]]), "",COUNTIFS($A:$A,patch[[#This Row],[number]],$S:$S, "BJ And dev",$AC:$AC, "Review-1"))</f>
        <v>0</v>
      </c>
      <c r="X379" s="7">
        <f>IF(ISBLANK(patch[[#This Row],[project]]), "",COUNTIFS($A:$A,patch[[#This Row],[number]],$S:$S, "FL And dev",$AC:$AC, "Review-1"))</f>
        <v>0</v>
      </c>
      <c r="Y379" s="7">
        <f>IF(ISBLANK(patch[[#This Row],[project]]), "",COUNTIFS($A:$A,patch[[#This Row],[number]],$S:$S, "SH And dev",$AC:$AC, "Review-1"))</f>
        <v>0</v>
      </c>
      <c r="Z379" s="7">
        <f>IF(ISBLANK(patch[[#This Row],[project]]), "",COUNTIFS($A:$A,patch[[#This Row],[number]],$S:$S, "BJ And dev",$AD:$AD, "&lt;&gt;IntegratorValidationComment"))</f>
        <v>5</v>
      </c>
      <c r="AA379" s="7">
        <f>IF(ISBLANK(patch[[#This Row],[project]]), "",COUNTIFS($A:$A,patch[[#This Row],[number]],$S:$S, "FL And dev",$AD:$AD, "&lt;&gt;IntegratorValidationComment"))</f>
        <v>0</v>
      </c>
      <c r="AB379" s="7">
        <f>IF(ISBLANK(patch[[#This Row],[project]]), "",COUNTIFS($A:$A,patch[[#This Row],[number]],$S:$S, "SH And dev",$AD:$AD, "&lt;&gt;IntegratorValidationComment"))</f>
        <v>0</v>
      </c>
      <c r="AC379" s="7" t="str">
        <f>IF(OR(ISNUMBER(FIND("Review-1", patch[[#This Row],[comments]])), ISNUMBER(FIND("Approver-1", patch[[#This Row],[comments]]))), "Review-1", "")</f>
        <v/>
      </c>
      <c r="AD3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79" s="7" t="str">
        <f>IF(ISBLANK(patch[[#This Row],[number]]),AE378,patch[[#This Row],[ifCommon]])</f>
        <v>not AndrHAL</v>
      </c>
    </row>
    <row r="380" spans="1:31">
      <c r="A380" s="151">
        <v>147381</v>
      </c>
      <c r="B380" s="151"/>
      <c r="C380" s="151"/>
      <c r="D380" s="151"/>
      <c r="E380" s="151"/>
      <c r="F380" s="151"/>
      <c r="G380" s="151"/>
      <c r="H380" s="151"/>
      <c r="I380" s="151"/>
      <c r="J380" s="152">
        <v>42639.754687499997</v>
      </c>
      <c r="K380" s="151"/>
      <c r="L380" s="151" t="s">
        <v>24</v>
      </c>
      <c r="M380" s="152">
        <v>42635.724849537037</v>
      </c>
      <c r="N380" s="151" t="s">
        <v>2458</v>
      </c>
      <c r="O380" s="151"/>
      <c r="P380" s="151"/>
      <c r="Q380" s="7" t="str">
        <f>IF(ISBLANK(patch[[#This Row],[OwnerEmail]]),Q379,patch[[#This Row],[OwnerEmail]])</f>
        <v>qingwu.zhang@intel.com</v>
      </c>
      <c r="R380" s="7" t="str">
        <f>_xlfn.IFNA(VLOOKUP(patch[[#This Row],[tmp-owner.email]],OrgTree!$A:$K, 11, 0), "not ICG SWFW")</f>
        <v>BJ And dev</v>
      </c>
      <c r="S380" s="7" t="str">
        <f>IF(patch[[#This Row],[reviewer]]=patch[[#This Row],[tmp-owner.email]], "author", _xlfn.IFNA(VLOOKUP(patch[[#This Row],[reviewer]],OrgTree!$A:$K, 11, 0), "not ICG SWFW"))</f>
        <v>author</v>
      </c>
      <c r="T380" s="7" t="str">
        <f>IF(ISBLANK(patch[[#This Row],[mergeDate]]), "", MID(YEAR(patch[[#This Row],[mergeDate]]), 3,2)&amp;"'ww"&amp;WEEKNUM(patch[[#This Row],[mergeDate]]))</f>
        <v>16'ww40</v>
      </c>
      <c r="U380" s="7" t="str">
        <f>IF(ISBLANK(patch[[#This Row],[mergeDate]]), U379, MID(YEAR(patch[[#This Row],[mergeDate]]), 3,2)&amp;"'m"&amp;MONTH(patch[[#This Row],[mergeDate]]))</f>
        <v>16'm9</v>
      </c>
      <c r="V380" s="7" t="str">
        <f>IF(ISBLANK(patch[[#This Row],[project]]), "",SUM(patch[[#This Row],[BJ -1 num]:[SH -1 num]]))</f>
        <v/>
      </c>
      <c r="W380" s="7" t="str">
        <f>IF(ISBLANK(patch[[#This Row],[project]]), "",COUNTIFS($A:$A,patch[[#This Row],[number]],$S:$S, "BJ And dev",$AC:$AC, "Review-1"))</f>
        <v/>
      </c>
      <c r="X380" s="7" t="str">
        <f>IF(ISBLANK(patch[[#This Row],[project]]), "",COUNTIFS($A:$A,patch[[#This Row],[number]],$S:$S, "FL And dev",$AC:$AC, "Review-1"))</f>
        <v/>
      </c>
      <c r="Y380" s="7" t="str">
        <f>IF(ISBLANK(patch[[#This Row],[project]]), "",COUNTIFS($A:$A,patch[[#This Row],[number]],$S:$S, "SH And dev",$AC:$AC, "Review-1"))</f>
        <v/>
      </c>
      <c r="Z380" s="7" t="str">
        <f>IF(ISBLANK(patch[[#This Row],[project]]), "",COUNTIFS($A:$A,patch[[#This Row],[number]],$S:$S, "BJ And dev",$AD:$AD, "&lt;&gt;IntegratorValidationComment"))</f>
        <v/>
      </c>
      <c r="AA380" s="7" t="str">
        <f>IF(ISBLANK(patch[[#This Row],[project]]), "",COUNTIFS($A:$A,patch[[#This Row],[number]],$S:$S, "FL And dev",$AD:$AD, "&lt;&gt;IntegratorValidationComment"))</f>
        <v/>
      </c>
      <c r="AB380" s="7" t="str">
        <f>IF(ISBLANK(patch[[#This Row],[project]]), "",COUNTIFS($A:$A,patch[[#This Row],[number]],$S:$S, "SH And dev",$AD:$AD, "&lt;&gt;IntegratorValidationComment"))</f>
        <v/>
      </c>
      <c r="AC380" s="7" t="str">
        <f>IF(OR(ISNUMBER(FIND("Review-1", patch[[#This Row],[comments]])), ISNUMBER(FIND("Approver-1", patch[[#This Row],[comments]]))), "Review-1", "")</f>
        <v/>
      </c>
      <c r="AD3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80" s="7">
        <f>IF(ISBLANK(patch[[#This Row],[number]]),AE379,patch[[#This Row],[ifCommon]])</f>
        <v>0</v>
      </c>
    </row>
    <row r="381" spans="1:31">
      <c r="A381" s="151">
        <v>147381</v>
      </c>
      <c r="B381" s="151"/>
      <c r="C381" s="151"/>
      <c r="D381" s="151"/>
      <c r="E381" s="151"/>
      <c r="F381" s="151"/>
      <c r="G381" s="151"/>
      <c r="H381" s="151"/>
      <c r="I381" s="151"/>
      <c r="J381" s="152">
        <v>42639.754687499997</v>
      </c>
      <c r="K381" s="151"/>
      <c r="L381" s="151" t="s">
        <v>24</v>
      </c>
      <c r="M381" s="152">
        <v>42636.840752314813</v>
      </c>
      <c r="N381" s="151" t="s">
        <v>2456</v>
      </c>
      <c r="O381" s="151"/>
      <c r="P381" s="151"/>
      <c r="Q381" s="7" t="str">
        <f>IF(ISBLANK(patch[[#This Row],[OwnerEmail]]),Q380,patch[[#This Row],[OwnerEmail]])</f>
        <v>qingwu.zhang@intel.com</v>
      </c>
      <c r="R381" s="7" t="str">
        <f>_xlfn.IFNA(VLOOKUP(patch[[#This Row],[tmp-owner.email]],OrgTree!$A:$K, 11, 0), "not ICG SWFW")</f>
        <v>BJ And dev</v>
      </c>
      <c r="S381" s="7" t="str">
        <f>IF(patch[[#This Row],[reviewer]]=patch[[#This Row],[tmp-owner.email]], "author", _xlfn.IFNA(VLOOKUP(patch[[#This Row],[reviewer]],OrgTree!$A:$K, 11, 0), "not ICG SWFW"))</f>
        <v>author</v>
      </c>
      <c r="T381" s="7" t="str">
        <f>IF(ISBLANK(patch[[#This Row],[mergeDate]]), "", MID(YEAR(patch[[#This Row],[mergeDate]]), 3,2)&amp;"'ww"&amp;WEEKNUM(patch[[#This Row],[mergeDate]]))</f>
        <v>16'ww40</v>
      </c>
      <c r="U381" s="7" t="str">
        <f>IF(ISBLANK(patch[[#This Row],[mergeDate]]), U380, MID(YEAR(patch[[#This Row],[mergeDate]]), 3,2)&amp;"'m"&amp;MONTH(patch[[#This Row],[mergeDate]]))</f>
        <v>16'm9</v>
      </c>
      <c r="V381" s="7" t="str">
        <f>IF(ISBLANK(patch[[#This Row],[project]]), "",SUM(patch[[#This Row],[BJ -1 num]:[SH -1 num]]))</f>
        <v/>
      </c>
      <c r="W381" s="7" t="str">
        <f>IF(ISBLANK(patch[[#This Row],[project]]), "",COUNTIFS($A:$A,patch[[#This Row],[number]],$S:$S, "BJ And dev",$AC:$AC, "Review-1"))</f>
        <v/>
      </c>
      <c r="X381" s="7" t="str">
        <f>IF(ISBLANK(patch[[#This Row],[project]]), "",COUNTIFS($A:$A,patch[[#This Row],[number]],$S:$S, "FL And dev",$AC:$AC, "Review-1"))</f>
        <v/>
      </c>
      <c r="Y381" s="7" t="str">
        <f>IF(ISBLANK(patch[[#This Row],[project]]), "",COUNTIFS($A:$A,patch[[#This Row],[number]],$S:$S, "SH And dev",$AC:$AC, "Review-1"))</f>
        <v/>
      </c>
      <c r="Z381" s="7" t="str">
        <f>IF(ISBLANK(patch[[#This Row],[project]]), "",COUNTIFS($A:$A,patch[[#This Row],[number]],$S:$S, "BJ And dev",$AD:$AD, "&lt;&gt;IntegratorValidationComment"))</f>
        <v/>
      </c>
      <c r="AA381" s="7" t="str">
        <f>IF(ISBLANK(patch[[#This Row],[project]]), "",COUNTIFS($A:$A,patch[[#This Row],[number]],$S:$S, "FL And dev",$AD:$AD, "&lt;&gt;IntegratorValidationComment"))</f>
        <v/>
      </c>
      <c r="AB381" s="7" t="str">
        <f>IF(ISBLANK(patch[[#This Row],[project]]), "",COUNTIFS($A:$A,patch[[#This Row],[number]],$S:$S, "SH And dev",$AD:$AD, "&lt;&gt;IntegratorValidationComment"))</f>
        <v/>
      </c>
      <c r="AC381" s="7" t="str">
        <f>IF(OR(ISNUMBER(FIND("Review-1", patch[[#This Row],[comments]])), ISNUMBER(FIND("Approver-1", patch[[#This Row],[comments]]))), "Review-1", "")</f>
        <v/>
      </c>
      <c r="AD3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81" s="7">
        <f>IF(ISBLANK(patch[[#This Row],[number]]),AE380,patch[[#This Row],[ifCommon]])</f>
        <v>0</v>
      </c>
    </row>
    <row r="382" spans="1:31">
      <c r="A382" s="151">
        <v>147381</v>
      </c>
      <c r="B382" s="151"/>
      <c r="C382" s="151"/>
      <c r="D382" s="151"/>
      <c r="E382" s="151"/>
      <c r="F382" s="151"/>
      <c r="G382" s="151"/>
      <c r="H382" s="151"/>
      <c r="I382" s="151"/>
      <c r="J382" s="152">
        <v>42639.754687499997</v>
      </c>
      <c r="K382" s="151"/>
      <c r="L382" s="151" t="s">
        <v>24</v>
      </c>
      <c r="M382" s="152">
        <v>42636.840775462973</v>
      </c>
      <c r="N382" s="151" t="s">
        <v>2461</v>
      </c>
      <c r="O382" s="151"/>
      <c r="P382" s="151"/>
      <c r="Q382" s="7" t="str">
        <f>IF(ISBLANK(patch[[#This Row],[OwnerEmail]]),Q381,patch[[#This Row],[OwnerEmail]])</f>
        <v>qingwu.zhang@intel.com</v>
      </c>
      <c r="R382" s="7" t="str">
        <f>_xlfn.IFNA(VLOOKUP(patch[[#This Row],[tmp-owner.email]],OrgTree!$A:$K, 11, 0), "not ICG SWFW")</f>
        <v>BJ And dev</v>
      </c>
      <c r="S382" s="7" t="str">
        <f>IF(patch[[#This Row],[reviewer]]=patch[[#This Row],[tmp-owner.email]], "author", _xlfn.IFNA(VLOOKUP(patch[[#This Row],[reviewer]],OrgTree!$A:$K, 11, 0), "not ICG SWFW"))</f>
        <v>author</v>
      </c>
      <c r="T382" s="7" t="str">
        <f>IF(ISBLANK(patch[[#This Row],[mergeDate]]), "", MID(YEAR(patch[[#This Row],[mergeDate]]), 3,2)&amp;"'ww"&amp;WEEKNUM(patch[[#This Row],[mergeDate]]))</f>
        <v>16'ww40</v>
      </c>
      <c r="U382" s="7" t="str">
        <f>IF(ISBLANK(patch[[#This Row],[mergeDate]]), U381, MID(YEAR(patch[[#This Row],[mergeDate]]), 3,2)&amp;"'m"&amp;MONTH(patch[[#This Row],[mergeDate]]))</f>
        <v>16'm9</v>
      </c>
      <c r="V382" s="7" t="str">
        <f>IF(ISBLANK(patch[[#This Row],[project]]), "",SUM(patch[[#This Row],[BJ -1 num]:[SH -1 num]]))</f>
        <v/>
      </c>
      <c r="W382" s="7" t="str">
        <f>IF(ISBLANK(patch[[#This Row],[project]]), "",COUNTIFS($A:$A,patch[[#This Row],[number]],$S:$S, "BJ And dev",$AC:$AC, "Review-1"))</f>
        <v/>
      </c>
      <c r="X382" s="7" t="str">
        <f>IF(ISBLANK(patch[[#This Row],[project]]), "",COUNTIFS($A:$A,patch[[#This Row],[number]],$S:$S, "FL And dev",$AC:$AC, "Review-1"))</f>
        <v/>
      </c>
      <c r="Y382" s="7" t="str">
        <f>IF(ISBLANK(patch[[#This Row],[project]]), "",COUNTIFS($A:$A,patch[[#This Row],[number]],$S:$S, "SH And dev",$AC:$AC, "Review-1"))</f>
        <v/>
      </c>
      <c r="Z382" s="7" t="str">
        <f>IF(ISBLANK(patch[[#This Row],[project]]), "",COUNTIFS($A:$A,patch[[#This Row],[number]],$S:$S, "BJ And dev",$AD:$AD, "&lt;&gt;IntegratorValidationComment"))</f>
        <v/>
      </c>
      <c r="AA382" s="7" t="str">
        <f>IF(ISBLANK(patch[[#This Row],[project]]), "",COUNTIFS($A:$A,patch[[#This Row],[number]],$S:$S, "FL And dev",$AD:$AD, "&lt;&gt;IntegratorValidationComment"))</f>
        <v/>
      </c>
      <c r="AB382" s="7" t="str">
        <f>IF(ISBLANK(patch[[#This Row],[project]]), "",COUNTIFS($A:$A,patch[[#This Row],[number]],$S:$S, "SH And dev",$AD:$AD, "&lt;&gt;IntegratorValidationComment"))</f>
        <v/>
      </c>
      <c r="AC382" s="7" t="str">
        <f>IF(OR(ISNUMBER(FIND("Review-1", patch[[#This Row],[comments]])), ISNUMBER(FIND("Approver-1", patch[[#This Row],[comments]]))), "Review-1", "")</f>
        <v/>
      </c>
      <c r="AD3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82" s="7">
        <f>IF(ISBLANK(patch[[#This Row],[number]]),AE381,patch[[#This Row],[ifCommon]])</f>
        <v>0</v>
      </c>
    </row>
    <row r="383" spans="1:31">
      <c r="A383" s="151">
        <v>147381</v>
      </c>
      <c r="B383" s="151"/>
      <c r="C383" s="151"/>
      <c r="D383" s="151"/>
      <c r="E383" s="151"/>
      <c r="F383" s="151"/>
      <c r="G383" s="151"/>
      <c r="H383" s="151"/>
      <c r="I383" s="151"/>
      <c r="J383" s="152">
        <v>42639.754687499997</v>
      </c>
      <c r="K383" s="151"/>
      <c r="L383" s="151" t="s">
        <v>72</v>
      </c>
      <c r="M383" s="152">
        <v>42637.179548611108</v>
      </c>
      <c r="N383" s="151" t="s">
        <v>27</v>
      </c>
      <c r="O383" s="151"/>
      <c r="P383" s="151"/>
      <c r="Q383" s="7" t="str">
        <f>IF(ISBLANK(patch[[#This Row],[OwnerEmail]]),Q382,patch[[#This Row],[OwnerEmail]])</f>
        <v>qingwu.zhang@intel.com</v>
      </c>
      <c r="R383" s="7" t="str">
        <f>_xlfn.IFNA(VLOOKUP(patch[[#This Row],[tmp-owner.email]],OrgTree!$A:$K, 11, 0), "not ICG SWFW")</f>
        <v>BJ And dev</v>
      </c>
      <c r="S383" s="7" t="str">
        <f>IF(patch[[#This Row],[reviewer]]=patch[[#This Row],[tmp-owner.email]], "author", _xlfn.IFNA(VLOOKUP(patch[[#This Row],[reviewer]],OrgTree!$A:$K, 11, 0), "not ICG SWFW"))</f>
        <v>BJ And dev</v>
      </c>
      <c r="T383" s="7" t="str">
        <f>IF(ISBLANK(patch[[#This Row],[mergeDate]]), "", MID(YEAR(patch[[#This Row],[mergeDate]]), 3,2)&amp;"'ww"&amp;WEEKNUM(patch[[#This Row],[mergeDate]]))</f>
        <v>16'ww40</v>
      </c>
      <c r="U383" s="7" t="str">
        <f>IF(ISBLANK(patch[[#This Row],[mergeDate]]), U382, MID(YEAR(patch[[#This Row],[mergeDate]]), 3,2)&amp;"'m"&amp;MONTH(patch[[#This Row],[mergeDate]]))</f>
        <v>16'm9</v>
      </c>
      <c r="V383" s="7" t="str">
        <f>IF(ISBLANK(patch[[#This Row],[project]]), "",SUM(patch[[#This Row],[BJ -1 num]:[SH -1 num]]))</f>
        <v/>
      </c>
      <c r="W383" s="7" t="str">
        <f>IF(ISBLANK(patch[[#This Row],[project]]), "",COUNTIFS($A:$A,patch[[#This Row],[number]],$S:$S, "BJ And dev",$AC:$AC, "Review-1"))</f>
        <v/>
      </c>
      <c r="X383" s="7" t="str">
        <f>IF(ISBLANK(patch[[#This Row],[project]]), "",COUNTIFS($A:$A,patch[[#This Row],[number]],$S:$S, "FL And dev",$AC:$AC, "Review-1"))</f>
        <v/>
      </c>
      <c r="Y383" s="7" t="str">
        <f>IF(ISBLANK(patch[[#This Row],[project]]), "",COUNTIFS($A:$A,patch[[#This Row],[number]],$S:$S, "SH And dev",$AC:$AC, "Review-1"))</f>
        <v/>
      </c>
      <c r="Z383" s="7" t="str">
        <f>IF(ISBLANK(patch[[#This Row],[project]]), "",COUNTIFS($A:$A,patch[[#This Row],[number]],$S:$S, "BJ And dev",$AD:$AD, "&lt;&gt;IntegratorValidationComment"))</f>
        <v/>
      </c>
      <c r="AA383" s="7" t="str">
        <f>IF(ISBLANK(patch[[#This Row],[project]]), "",COUNTIFS($A:$A,patch[[#This Row],[number]],$S:$S, "FL And dev",$AD:$AD, "&lt;&gt;IntegratorValidationComment"))</f>
        <v/>
      </c>
      <c r="AB383" s="7" t="str">
        <f>IF(ISBLANK(patch[[#This Row],[project]]), "",COUNTIFS($A:$A,patch[[#This Row],[number]],$S:$S, "SH And dev",$AD:$AD, "&lt;&gt;IntegratorValidationComment"))</f>
        <v/>
      </c>
      <c r="AC383" s="7" t="str">
        <f>IF(OR(ISNUMBER(FIND("Review-1", patch[[#This Row],[comments]])), ISNUMBER(FIND("Approver-1", patch[[#This Row],[comments]]))), "Review-1", "")</f>
        <v/>
      </c>
      <c r="AD3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83" s="7">
        <f>IF(ISBLANK(patch[[#This Row],[number]]),AE382,patch[[#This Row],[ifCommon]])</f>
        <v>0</v>
      </c>
    </row>
    <row r="384" spans="1:31">
      <c r="A384" s="151">
        <v>147381</v>
      </c>
      <c r="B384" s="151"/>
      <c r="C384" s="151"/>
      <c r="D384" s="151"/>
      <c r="E384" s="151"/>
      <c r="F384" s="151"/>
      <c r="G384" s="151"/>
      <c r="H384" s="151"/>
      <c r="I384" s="151"/>
      <c r="J384" s="152">
        <v>42639.754687499997</v>
      </c>
      <c r="K384" s="151"/>
      <c r="L384" s="151" t="s">
        <v>72</v>
      </c>
      <c r="M384" s="152">
        <v>42637.271481481483</v>
      </c>
      <c r="N384" s="151" t="s">
        <v>42</v>
      </c>
      <c r="O384" s="151"/>
      <c r="P384" s="151"/>
      <c r="Q384" s="7" t="str">
        <f>IF(ISBLANK(patch[[#This Row],[OwnerEmail]]),Q383,patch[[#This Row],[OwnerEmail]])</f>
        <v>qingwu.zhang@intel.com</v>
      </c>
      <c r="R384" s="7" t="str">
        <f>_xlfn.IFNA(VLOOKUP(patch[[#This Row],[tmp-owner.email]],OrgTree!$A:$K, 11, 0), "not ICG SWFW")</f>
        <v>BJ And dev</v>
      </c>
      <c r="S384" s="7" t="str">
        <f>IF(patch[[#This Row],[reviewer]]=patch[[#This Row],[tmp-owner.email]], "author", _xlfn.IFNA(VLOOKUP(patch[[#This Row],[reviewer]],OrgTree!$A:$K, 11, 0), "not ICG SWFW"))</f>
        <v>BJ And dev</v>
      </c>
      <c r="T384" s="7" t="str">
        <f>IF(ISBLANK(patch[[#This Row],[mergeDate]]), "", MID(YEAR(patch[[#This Row],[mergeDate]]), 3,2)&amp;"'ww"&amp;WEEKNUM(patch[[#This Row],[mergeDate]]))</f>
        <v>16'ww40</v>
      </c>
      <c r="U384" s="7" t="str">
        <f>IF(ISBLANK(patch[[#This Row],[mergeDate]]), U383, MID(YEAR(patch[[#This Row],[mergeDate]]), 3,2)&amp;"'m"&amp;MONTH(patch[[#This Row],[mergeDate]]))</f>
        <v>16'm9</v>
      </c>
      <c r="V384" s="7" t="str">
        <f>IF(ISBLANK(patch[[#This Row],[project]]), "",SUM(patch[[#This Row],[BJ -1 num]:[SH -1 num]]))</f>
        <v/>
      </c>
      <c r="W384" s="7" t="str">
        <f>IF(ISBLANK(patch[[#This Row],[project]]), "",COUNTIFS($A:$A,patch[[#This Row],[number]],$S:$S, "BJ And dev",$AC:$AC, "Review-1"))</f>
        <v/>
      </c>
      <c r="X384" s="7" t="str">
        <f>IF(ISBLANK(patch[[#This Row],[project]]), "",COUNTIFS($A:$A,patch[[#This Row],[number]],$S:$S, "FL And dev",$AC:$AC, "Review-1"))</f>
        <v/>
      </c>
      <c r="Y384" s="7" t="str">
        <f>IF(ISBLANK(patch[[#This Row],[project]]), "",COUNTIFS($A:$A,patch[[#This Row],[number]],$S:$S, "SH And dev",$AC:$AC, "Review-1"))</f>
        <v/>
      </c>
      <c r="Z384" s="7" t="str">
        <f>IF(ISBLANK(patch[[#This Row],[project]]), "",COUNTIFS($A:$A,patch[[#This Row],[number]],$S:$S, "BJ And dev",$AD:$AD, "&lt;&gt;IntegratorValidationComment"))</f>
        <v/>
      </c>
      <c r="AA384" s="7" t="str">
        <f>IF(ISBLANK(patch[[#This Row],[project]]), "",COUNTIFS($A:$A,patch[[#This Row],[number]],$S:$S, "FL And dev",$AD:$AD, "&lt;&gt;IntegratorValidationComment"))</f>
        <v/>
      </c>
      <c r="AB384" s="7" t="str">
        <f>IF(ISBLANK(patch[[#This Row],[project]]), "",COUNTIFS($A:$A,patch[[#This Row],[number]],$S:$S, "SH And dev",$AD:$AD, "&lt;&gt;IntegratorValidationComment"))</f>
        <v/>
      </c>
      <c r="AC384" s="7" t="str">
        <f>IF(OR(ISNUMBER(FIND("Review-1", patch[[#This Row],[comments]])), ISNUMBER(FIND("Approver-1", patch[[#This Row],[comments]]))), "Review-1", "")</f>
        <v/>
      </c>
      <c r="AD3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84" s="7">
        <f>IF(ISBLANK(patch[[#This Row],[number]]),AE383,patch[[#This Row],[ifCommon]])</f>
        <v>0</v>
      </c>
    </row>
    <row r="385" spans="1:31">
      <c r="A385" s="151">
        <v>147381</v>
      </c>
      <c r="B385" s="151"/>
      <c r="C385" s="151"/>
      <c r="D385" s="151"/>
      <c r="E385" s="151"/>
      <c r="F385" s="151"/>
      <c r="G385" s="151"/>
      <c r="H385" s="151"/>
      <c r="I385" s="151"/>
      <c r="J385" s="152">
        <v>42639.754687499997</v>
      </c>
      <c r="K385" s="151"/>
      <c r="L385" s="151" t="s">
        <v>32</v>
      </c>
      <c r="M385" s="152">
        <v>42637.330613425933</v>
      </c>
      <c r="N385" s="151" t="s">
        <v>27</v>
      </c>
      <c r="O385" s="151"/>
      <c r="P385" s="151"/>
      <c r="Q385" s="7" t="str">
        <f>IF(ISBLANK(patch[[#This Row],[OwnerEmail]]),Q384,patch[[#This Row],[OwnerEmail]])</f>
        <v>qingwu.zhang@intel.com</v>
      </c>
      <c r="R385" s="7" t="str">
        <f>_xlfn.IFNA(VLOOKUP(patch[[#This Row],[tmp-owner.email]],OrgTree!$A:$K, 11, 0), "not ICG SWFW")</f>
        <v>BJ And dev</v>
      </c>
      <c r="S385" s="7" t="str">
        <f>IF(patch[[#This Row],[reviewer]]=patch[[#This Row],[tmp-owner.email]], "author", _xlfn.IFNA(VLOOKUP(patch[[#This Row],[reviewer]],OrgTree!$A:$K, 11, 0), "not ICG SWFW"))</f>
        <v>BJ And dev</v>
      </c>
      <c r="T385" s="7" t="str">
        <f>IF(ISBLANK(patch[[#This Row],[mergeDate]]), "", MID(YEAR(patch[[#This Row],[mergeDate]]), 3,2)&amp;"'ww"&amp;WEEKNUM(patch[[#This Row],[mergeDate]]))</f>
        <v>16'ww40</v>
      </c>
      <c r="U385" s="7" t="str">
        <f>IF(ISBLANK(patch[[#This Row],[mergeDate]]), U384, MID(YEAR(patch[[#This Row],[mergeDate]]), 3,2)&amp;"'m"&amp;MONTH(patch[[#This Row],[mergeDate]]))</f>
        <v>16'm9</v>
      </c>
      <c r="V385" s="7" t="str">
        <f>IF(ISBLANK(patch[[#This Row],[project]]), "",SUM(patch[[#This Row],[BJ -1 num]:[SH -1 num]]))</f>
        <v/>
      </c>
      <c r="W385" s="7" t="str">
        <f>IF(ISBLANK(patch[[#This Row],[project]]), "",COUNTIFS($A:$A,patch[[#This Row],[number]],$S:$S, "BJ And dev",$AC:$AC, "Review-1"))</f>
        <v/>
      </c>
      <c r="X385" s="7" t="str">
        <f>IF(ISBLANK(patch[[#This Row],[project]]), "",COUNTIFS($A:$A,patch[[#This Row],[number]],$S:$S, "FL And dev",$AC:$AC, "Review-1"))</f>
        <v/>
      </c>
      <c r="Y385" s="7" t="str">
        <f>IF(ISBLANK(patch[[#This Row],[project]]), "",COUNTIFS($A:$A,patch[[#This Row],[number]],$S:$S, "SH And dev",$AC:$AC, "Review-1"))</f>
        <v/>
      </c>
      <c r="Z385" s="7" t="str">
        <f>IF(ISBLANK(patch[[#This Row],[project]]), "",COUNTIFS($A:$A,patch[[#This Row],[number]],$S:$S, "BJ And dev",$AD:$AD, "&lt;&gt;IntegratorValidationComment"))</f>
        <v/>
      </c>
      <c r="AA385" s="7" t="str">
        <f>IF(ISBLANK(patch[[#This Row],[project]]), "",COUNTIFS($A:$A,patch[[#This Row],[number]],$S:$S, "FL And dev",$AD:$AD, "&lt;&gt;IntegratorValidationComment"))</f>
        <v/>
      </c>
      <c r="AB385" s="7" t="str">
        <f>IF(ISBLANK(patch[[#This Row],[project]]), "",COUNTIFS($A:$A,patch[[#This Row],[number]],$S:$S, "SH And dev",$AD:$AD, "&lt;&gt;IntegratorValidationComment"))</f>
        <v/>
      </c>
      <c r="AC385" s="7" t="str">
        <f>IF(OR(ISNUMBER(FIND("Review-1", patch[[#This Row],[comments]])), ISNUMBER(FIND("Approver-1", patch[[#This Row],[comments]]))), "Review-1", "")</f>
        <v/>
      </c>
      <c r="AD3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85" s="7">
        <f>IF(ISBLANK(patch[[#This Row],[number]]),AE384,patch[[#This Row],[ifCommon]])</f>
        <v>0</v>
      </c>
    </row>
    <row r="386" spans="1:31">
      <c r="A386" s="151">
        <v>147381</v>
      </c>
      <c r="B386" s="151"/>
      <c r="C386" s="151"/>
      <c r="D386" s="151"/>
      <c r="E386" s="151"/>
      <c r="F386" s="151"/>
      <c r="G386" s="151"/>
      <c r="H386" s="151"/>
      <c r="I386" s="151"/>
      <c r="J386" s="152">
        <v>42639.754687499997</v>
      </c>
      <c r="K386" s="151"/>
      <c r="L386" s="151" t="s">
        <v>24</v>
      </c>
      <c r="M386" s="152">
        <v>42637.393275462957</v>
      </c>
      <c r="N386" s="151" t="s">
        <v>2462</v>
      </c>
      <c r="O386" s="151"/>
      <c r="P386" s="151"/>
      <c r="Q386" s="7" t="str">
        <f>IF(ISBLANK(patch[[#This Row],[OwnerEmail]]),Q385,patch[[#This Row],[OwnerEmail]])</f>
        <v>qingwu.zhang@intel.com</v>
      </c>
      <c r="R386" s="7" t="str">
        <f>_xlfn.IFNA(VLOOKUP(patch[[#This Row],[tmp-owner.email]],OrgTree!$A:$K, 11, 0), "not ICG SWFW")</f>
        <v>BJ And dev</v>
      </c>
      <c r="S386" s="7" t="str">
        <f>IF(patch[[#This Row],[reviewer]]=patch[[#This Row],[tmp-owner.email]], "author", _xlfn.IFNA(VLOOKUP(patch[[#This Row],[reviewer]],OrgTree!$A:$K, 11, 0), "not ICG SWFW"))</f>
        <v>author</v>
      </c>
      <c r="T386" s="7" t="str">
        <f>IF(ISBLANK(patch[[#This Row],[mergeDate]]), "", MID(YEAR(patch[[#This Row],[mergeDate]]), 3,2)&amp;"'ww"&amp;WEEKNUM(patch[[#This Row],[mergeDate]]))</f>
        <v>16'ww40</v>
      </c>
      <c r="U386" s="7" t="str">
        <f>IF(ISBLANK(patch[[#This Row],[mergeDate]]), U385, MID(YEAR(patch[[#This Row],[mergeDate]]), 3,2)&amp;"'m"&amp;MONTH(patch[[#This Row],[mergeDate]]))</f>
        <v>16'm9</v>
      </c>
      <c r="V386" s="7" t="str">
        <f>IF(ISBLANK(patch[[#This Row],[project]]), "",SUM(patch[[#This Row],[BJ -1 num]:[SH -1 num]]))</f>
        <v/>
      </c>
      <c r="W386" s="7" t="str">
        <f>IF(ISBLANK(patch[[#This Row],[project]]), "",COUNTIFS($A:$A,patch[[#This Row],[number]],$S:$S, "BJ And dev",$AC:$AC, "Review-1"))</f>
        <v/>
      </c>
      <c r="X386" s="7" t="str">
        <f>IF(ISBLANK(patch[[#This Row],[project]]), "",COUNTIFS($A:$A,patch[[#This Row],[number]],$S:$S, "FL And dev",$AC:$AC, "Review-1"))</f>
        <v/>
      </c>
      <c r="Y386" s="7" t="str">
        <f>IF(ISBLANK(patch[[#This Row],[project]]), "",COUNTIFS($A:$A,patch[[#This Row],[number]],$S:$S, "SH And dev",$AC:$AC, "Review-1"))</f>
        <v/>
      </c>
      <c r="Z386" s="7" t="str">
        <f>IF(ISBLANK(patch[[#This Row],[project]]), "",COUNTIFS($A:$A,patch[[#This Row],[number]],$S:$S, "BJ And dev",$AD:$AD, "&lt;&gt;IntegratorValidationComment"))</f>
        <v/>
      </c>
      <c r="AA386" s="7" t="str">
        <f>IF(ISBLANK(patch[[#This Row],[project]]), "",COUNTIFS($A:$A,patch[[#This Row],[number]],$S:$S, "FL And dev",$AD:$AD, "&lt;&gt;IntegratorValidationComment"))</f>
        <v/>
      </c>
      <c r="AB386" s="7" t="str">
        <f>IF(ISBLANK(patch[[#This Row],[project]]), "",COUNTIFS($A:$A,patch[[#This Row],[number]],$S:$S, "SH And dev",$AD:$AD, "&lt;&gt;IntegratorValidationComment"))</f>
        <v/>
      </c>
      <c r="AC386" s="7" t="str">
        <f>IF(OR(ISNUMBER(FIND("Review-1", patch[[#This Row],[comments]])), ISNUMBER(FIND("Approver-1", patch[[#This Row],[comments]]))), "Review-1", "")</f>
        <v/>
      </c>
      <c r="AD3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86" s="7">
        <f>IF(ISBLANK(patch[[#This Row],[number]]),AE385,patch[[#This Row],[ifCommon]])</f>
        <v>0</v>
      </c>
    </row>
    <row r="387" spans="1:31">
      <c r="A387" s="151">
        <v>147381</v>
      </c>
      <c r="B387" s="151"/>
      <c r="C387" s="151"/>
      <c r="D387" s="151"/>
      <c r="E387" s="151"/>
      <c r="F387" s="151"/>
      <c r="G387" s="151"/>
      <c r="H387" s="151"/>
      <c r="I387" s="151"/>
      <c r="J387" s="152">
        <v>42639.754687499997</v>
      </c>
      <c r="K387" s="151"/>
      <c r="L387" s="151" t="s">
        <v>24</v>
      </c>
      <c r="M387" s="152">
        <v>42637.393321759257</v>
      </c>
      <c r="N387" s="151" t="s">
        <v>27</v>
      </c>
      <c r="O387" s="151"/>
      <c r="P387" s="151"/>
      <c r="Q387" s="7" t="str">
        <f>IF(ISBLANK(patch[[#This Row],[OwnerEmail]]),Q386,patch[[#This Row],[OwnerEmail]])</f>
        <v>qingwu.zhang@intel.com</v>
      </c>
      <c r="R387" s="7" t="str">
        <f>_xlfn.IFNA(VLOOKUP(patch[[#This Row],[tmp-owner.email]],OrgTree!$A:$K, 11, 0), "not ICG SWFW")</f>
        <v>BJ And dev</v>
      </c>
      <c r="S387" s="7" t="str">
        <f>IF(patch[[#This Row],[reviewer]]=patch[[#This Row],[tmp-owner.email]], "author", _xlfn.IFNA(VLOOKUP(patch[[#This Row],[reviewer]],OrgTree!$A:$K, 11, 0), "not ICG SWFW"))</f>
        <v>author</v>
      </c>
      <c r="T387" s="7" t="str">
        <f>IF(ISBLANK(patch[[#This Row],[mergeDate]]), "", MID(YEAR(patch[[#This Row],[mergeDate]]), 3,2)&amp;"'ww"&amp;WEEKNUM(patch[[#This Row],[mergeDate]]))</f>
        <v>16'ww40</v>
      </c>
      <c r="U387" s="7" t="str">
        <f>IF(ISBLANK(patch[[#This Row],[mergeDate]]), U386, MID(YEAR(patch[[#This Row],[mergeDate]]), 3,2)&amp;"'m"&amp;MONTH(patch[[#This Row],[mergeDate]]))</f>
        <v>16'm9</v>
      </c>
      <c r="V387" s="7" t="str">
        <f>IF(ISBLANK(patch[[#This Row],[project]]), "",SUM(patch[[#This Row],[BJ -1 num]:[SH -1 num]]))</f>
        <v/>
      </c>
      <c r="W387" s="7" t="str">
        <f>IF(ISBLANK(patch[[#This Row],[project]]), "",COUNTIFS($A:$A,patch[[#This Row],[number]],$S:$S, "BJ And dev",$AC:$AC, "Review-1"))</f>
        <v/>
      </c>
      <c r="X387" s="7" t="str">
        <f>IF(ISBLANK(patch[[#This Row],[project]]), "",COUNTIFS($A:$A,patch[[#This Row],[number]],$S:$S, "FL And dev",$AC:$AC, "Review-1"))</f>
        <v/>
      </c>
      <c r="Y387" s="7" t="str">
        <f>IF(ISBLANK(patch[[#This Row],[project]]), "",COUNTIFS($A:$A,patch[[#This Row],[number]],$S:$S, "SH And dev",$AC:$AC, "Review-1"))</f>
        <v/>
      </c>
      <c r="Z387" s="7" t="str">
        <f>IF(ISBLANK(patch[[#This Row],[project]]), "",COUNTIFS($A:$A,patch[[#This Row],[number]],$S:$S, "BJ And dev",$AD:$AD, "&lt;&gt;IntegratorValidationComment"))</f>
        <v/>
      </c>
      <c r="AA387" s="7" t="str">
        <f>IF(ISBLANK(patch[[#This Row],[project]]), "",COUNTIFS($A:$A,patch[[#This Row],[number]],$S:$S, "FL And dev",$AD:$AD, "&lt;&gt;IntegratorValidationComment"))</f>
        <v/>
      </c>
      <c r="AB387" s="7" t="str">
        <f>IF(ISBLANK(patch[[#This Row],[project]]), "",COUNTIFS($A:$A,patch[[#This Row],[number]],$S:$S, "SH And dev",$AD:$AD, "&lt;&gt;IntegratorValidationComment"))</f>
        <v/>
      </c>
      <c r="AC387" s="7" t="str">
        <f>IF(OR(ISNUMBER(FIND("Review-1", patch[[#This Row],[comments]])), ISNUMBER(FIND("Approver-1", patch[[#This Row],[comments]]))), "Review-1", "")</f>
        <v/>
      </c>
      <c r="AD3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87" s="7">
        <f>IF(ISBLANK(patch[[#This Row],[number]]),AE386,patch[[#This Row],[ifCommon]])</f>
        <v>0</v>
      </c>
    </row>
    <row r="388" spans="1:31">
      <c r="A388" s="151">
        <v>147381</v>
      </c>
      <c r="B388" s="151"/>
      <c r="C388" s="151"/>
      <c r="D388" s="151"/>
      <c r="E388" s="151"/>
      <c r="F388" s="151"/>
      <c r="G388" s="151"/>
      <c r="H388" s="151"/>
      <c r="I388" s="151"/>
      <c r="J388" s="152">
        <v>42639.754687499997</v>
      </c>
      <c r="K388" s="151"/>
      <c r="L388" s="151" t="s">
        <v>59</v>
      </c>
      <c r="M388" s="152">
        <v>42639.377743055556</v>
      </c>
      <c r="N388" s="151" t="s">
        <v>2793</v>
      </c>
      <c r="O388" s="151"/>
      <c r="P388" s="151"/>
      <c r="Q388" s="7" t="str">
        <f>IF(ISBLANK(patch[[#This Row],[OwnerEmail]]),Q387,patch[[#This Row],[OwnerEmail]])</f>
        <v>qingwu.zhang@intel.com</v>
      </c>
      <c r="R388" s="7" t="str">
        <f>_xlfn.IFNA(VLOOKUP(patch[[#This Row],[tmp-owner.email]],OrgTree!$A:$K, 11, 0), "not ICG SWFW")</f>
        <v>BJ And dev</v>
      </c>
      <c r="S388" s="7" t="str">
        <f>IF(patch[[#This Row],[reviewer]]=patch[[#This Row],[tmp-owner.email]], "author", _xlfn.IFNA(VLOOKUP(patch[[#This Row],[reviewer]],OrgTree!$A:$K, 11, 0), "not ICG SWFW"))</f>
        <v>BJ And dev</v>
      </c>
      <c r="T388" s="7" t="str">
        <f>IF(ISBLANK(patch[[#This Row],[mergeDate]]), "", MID(YEAR(patch[[#This Row],[mergeDate]]), 3,2)&amp;"'ww"&amp;WEEKNUM(patch[[#This Row],[mergeDate]]))</f>
        <v>16'ww40</v>
      </c>
      <c r="U388" s="7" t="str">
        <f>IF(ISBLANK(patch[[#This Row],[mergeDate]]), U387, MID(YEAR(patch[[#This Row],[mergeDate]]), 3,2)&amp;"'m"&amp;MONTH(patch[[#This Row],[mergeDate]]))</f>
        <v>16'm9</v>
      </c>
      <c r="V388" s="7" t="str">
        <f>IF(ISBLANK(patch[[#This Row],[project]]), "",SUM(patch[[#This Row],[BJ -1 num]:[SH -1 num]]))</f>
        <v/>
      </c>
      <c r="W388" s="7" t="str">
        <f>IF(ISBLANK(patch[[#This Row],[project]]), "",COUNTIFS($A:$A,patch[[#This Row],[number]],$S:$S, "BJ And dev",$AC:$AC, "Review-1"))</f>
        <v/>
      </c>
      <c r="X388" s="7" t="str">
        <f>IF(ISBLANK(patch[[#This Row],[project]]), "",COUNTIFS($A:$A,patch[[#This Row],[number]],$S:$S, "FL And dev",$AC:$AC, "Review-1"))</f>
        <v/>
      </c>
      <c r="Y388" s="7" t="str">
        <f>IF(ISBLANK(patch[[#This Row],[project]]), "",COUNTIFS($A:$A,patch[[#This Row],[number]],$S:$S, "SH And dev",$AC:$AC, "Review-1"))</f>
        <v/>
      </c>
      <c r="Z388" s="7" t="str">
        <f>IF(ISBLANK(patch[[#This Row],[project]]), "",COUNTIFS($A:$A,patch[[#This Row],[number]],$S:$S, "BJ And dev",$AD:$AD, "&lt;&gt;IntegratorValidationComment"))</f>
        <v/>
      </c>
      <c r="AA388" s="7" t="str">
        <f>IF(ISBLANK(patch[[#This Row],[project]]), "",COUNTIFS($A:$A,patch[[#This Row],[number]],$S:$S, "FL And dev",$AD:$AD, "&lt;&gt;IntegratorValidationComment"))</f>
        <v/>
      </c>
      <c r="AB388" s="7" t="str">
        <f>IF(ISBLANK(patch[[#This Row],[project]]), "",COUNTIFS($A:$A,patch[[#This Row],[number]],$S:$S, "SH And dev",$AD:$AD, "&lt;&gt;IntegratorValidationComment"))</f>
        <v/>
      </c>
      <c r="AC388" s="7" t="str">
        <f>IF(OR(ISNUMBER(FIND("Review-1", patch[[#This Row],[comments]])), ISNUMBER(FIND("Approver-1", patch[[#This Row],[comments]]))), "Review-1", "")</f>
        <v/>
      </c>
      <c r="AD3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88" s="7">
        <f>IF(ISBLANK(patch[[#This Row],[number]]),AE387,patch[[#This Row],[ifCommon]])</f>
        <v>0</v>
      </c>
    </row>
    <row r="389" spans="1:31">
      <c r="A389" s="151">
        <v>147381</v>
      </c>
      <c r="B389" s="151"/>
      <c r="C389" s="151"/>
      <c r="D389" s="151"/>
      <c r="E389" s="151"/>
      <c r="F389" s="151"/>
      <c r="G389" s="151"/>
      <c r="H389" s="151"/>
      <c r="I389" s="151"/>
      <c r="J389" s="152">
        <v>42639.754687499997</v>
      </c>
      <c r="K389" s="151"/>
      <c r="L389" s="151" t="s">
        <v>59</v>
      </c>
      <c r="M389" s="152">
        <v>42639.385659722233</v>
      </c>
      <c r="N389" s="151" t="s">
        <v>2794</v>
      </c>
      <c r="O389" s="151"/>
      <c r="P389" s="151"/>
      <c r="Q389" s="7" t="str">
        <f>IF(ISBLANK(patch[[#This Row],[OwnerEmail]]),Q388,patch[[#This Row],[OwnerEmail]])</f>
        <v>qingwu.zhang@intel.com</v>
      </c>
      <c r="R389" s="7" t="str">
        <f>_xlfn.IFNA(VLOOKUP(patch[[#This Row],[tmp-owner.email]],OrgTree!$A:$K, 11, 0), "not ICG SWFW")</f>
        <v>BJ And dev</v>
      </c>
      <c r="S389" s="7" t="str">
        <f>IF(patch[[#This Row],[reviewer]]=patch[[#This Row],[tmp-owner.email]], "author", _xlfn.IFNA(VLOOKUP(patch[[#This Row],[reviewer]],OrgTree!$A:$K, 11, 0), "not ICG SWFW"))</f>
        <v>BJ And dev</v>
      </c>
      <c r="T389" s="7" t="str">
        <f>IF(ISBLANK(patch[[#This Row],[mergeDate]]), "", MID(YEAR(patch[[#This Row],[mergeDate]]), 3,2)&amp;"'ww"&amp;WEEKNUM(patch[[#This Row],[mergeDate]]))</f>
        <v>16'ww40</v>
      </c>
      <c r="U389" s="7" t="str">
        <f>IF(ISBLANK(patch[[#This Row],[mergeDate]]), U388, MID(YEAR(patch[[#This Row],[mergeDate]]), 3,2)&amp;"'m"&amp;MONTH(patch[[#This Row],[mergeDate]]))</f>
        <v>16'm9</v>
      </c>
      <c r="V389" s="7" t="str">
        <f>IF(ISBLANK(patch[[#This Row],[project]]), "",SUM(patch[[#This Row],[BJ -1 num]:[SH -1 num]]))</f>
        <v/>
      </c>
      <c r="W389" s="7" t="str">
        <f>IF(ISBLANK(patch[[#This Row],[project]]), "",COUNTIFS($A:$A,patch[[#This Row],[number]],$S:$S, "BJ And dev",$AC:$AC, "Review-1"))</f>
        <v/>
      </c>
      <c r="X389" s="7" t="str">
        <f>IF(ISBLANK(patch[[#This Row],[project]]), "",COUNTIFS($A:$A,patch[[#This Row],[number]],$S:$S, "FL And dev",$AC:$AC, "Review-1"))</f>
        <v/>
      </c>
      <c r="Y389" s="7" t="str">
        <f>IF(ISBLANK(patch[[#This Row],[project]]), "",COUNTIFS($A:$A,patch[[#This Row],[number]],$S:$S, "SH And dev",$AC:$AC, "Review-1"))</f>
        <v/>
      </c>
      <c r="Z389" s="7" t="str">
        <f>IF(ISBLANK(patch[[#This Row],[project]]), "",COUNTIFS($A:$A,patch[[#This Row],[number]],$S:$S, "BJ And dev",$AD:$AD, "&lt;&gt;IntegratorValidationComment"))</f>
        <v/>
      </c>
      <c r="AA389" s="7" t="str">
        <f>IF(ISBLANK(patch[[#This Row],[project]]), "",COUNTIFS($A:$A,patch[[#This Row],[number]],$S:$S, "FL And dev",$AD:$AD, "&lt;&gt;IntegratorValidationComment"))</f>
        <v/>
      </c>
      <c r="AB389" s="7" t="str">
        <f>IF(ISBLANK(patch[[#This Row],[project]]), "",COUNTIFS($A:$A,patch[[#This Row],[number]],$S:$S, "SH And dev",$AD:$AD, "&lt;&gt;IntegratorValidationComment"))</f>
        <v/>
      </c>
      <c r="AC389" s="7" t="str">
        <f>IF(OR(ISNUMBER(FIND("Review-1", patch[[#This Row],[comments]])), ISNUMBER(FIND("Approver-1", patch[[#This Row],[comments]]))), "Review-1", "")</f>
        <v/>
      </c>
      <c r="AD3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89" s="7">
        <f>IF(ISBLANK(patch[[#This Row],[number]]),AE388,patch[[#This Row],[ifCommon]])</f>
        <v>0</v>
      </c>
    </row>
    <row r="390" spans="1:31">
      <c r="A390" s="151">
        <v>147381</v>
      </c>
      <c r="B390" s="151"/>
      <c r="C390" s="151"/>
      <c r="D390" s="151"/>
      <c r="E390" s="151"/>
      <c r="F390" s="151"/>
      <c r="G390" s="151"/>
      <c r="H390" s="151"/>
      <c r="I390" s="151"/>
      <c r="J390" s="152">
        <v>42639.754687499997</v>
      </c>
      <c r="K390" s="151"/>
      <c r="L390" s="151" t="s">
        <v>115</v>
      </c>
      <c r="M390" s="152">
        <v>42639.429583333331</v>
      </c>
      <c r="N390" s="151" t="s">
        <v>2495</v>
      </c>
      <c r="O390" s="151"/>
      <c r="P390" s="151"/>
      <c r="Q390" s="7" t="str">
        <f>IF(ISBLANK(patch[[#This Row],[OwnerEmail]]),Q389,patch[[#This Row],[OwnerEmail]])</f>
        <v>qingwu.zhang@intel.com</v>
      </c>
      <c r="R390" s="7" t="str">
        <f>_xlfn.IFNA(VLOOKUP(patch[[#This Row],[tmp-owner.email]],OrgTree!$A:$K, 11, 0), "not ICG SWFW")</f>
        <v>BJ And dev</v>
      </c>
      <c r="S390" s="7" t="str">
        <f>IF(patch[[#This Row],[reviewer]]=patch[[#This Row],[tmp-owner.email]], "author", _xlfn.IFNA(VLOOKUP(patch[[#This Row],[reviewer]],OrgTree!$A:$K, 11, 0), "not ICG SWFW"))</f>
        <v>Val</v>
      </c>
      <c r="T390" s="7" t="str">
        <f>IF(ISBLANK(patch[[#This Row],[mergeDate]]), "", MID(YEAR(patch[[#This Row],[mergeDate]]), 3,2)&amp;"'ww"&amp;WEEKNUM(patch[[#This Row],[mergeDate]]))</f>
        <v>16'ww40</v>
      </c>
      <c r="U390" s="7" t="str">
        <f>IF(ISBLANK(patch[[#This Row],[mergeDate]]), U389, MID(YEAR(patch[[#This Row],[mergeDate]]), 3,2)&amp;"'m"&amp;MONTH(patch[[#This Row],[mergeDate]]))</f>
        <v>16'm9</v>
      </c>
      <c r="V390" s="7" t="str">
        <f>IF(ISBLANK(patch[[#This Row],[project]]), "",SUM(patch[[#This Row],[BJ -1 num]:[SH -1 num]]))</f>
        <v/>
      </c>
      <c r="W390" s="7" t="str">
        <f>IF(ISBLANK(patch[[#This Row],[project]]), "",COUNTIFS($A:$A,patch[[#This Row],[number]],$S:$S, "BJ And dev",$AC:$AC, "Review-1"))</f>
        <v/>
      </c>
      <c r="X390" s="7" t="str">
        <f>IF(ISBLANK(patch[[#This Row],[project]]), "",COUNTIFS($A:$A,patch[[#This Row],[number]],$S:$S, "FL And dev",$AC:$AC, "Review-1"))</f>
        <v/>
      </c>
      <c r="Y390" s="7" t="str">
        <f>IF(ISBLANK(patch[[#This Row],[project]]), "",COUNTIFS($A:$A,patch[[#This Row],[number]],$S:$S, "SH And dev",$AC:$AC, "Review-1"))</f>
        <v/>
      </c>
      <c r="Z390" s="7" t="str">
        <f>IF(ISBLANK(patch[[#This Row],[project]]), "",COUNTIFS($A:$A,patch[[#This Row],[number]],$S:$S, "BJ And dev",$AD:$AD, "&lt;&gt;IntegratorValidationComment"))</f>
        <v/>
      </c>
      <c r="AA390" s="7" t="str">
        <f>IF(ISBLANK(patch[[#This Row],[project]]), "",COUNTIFS($A:$A,patch[[#This Row],[number]],$S:$S, "FL And dev",$AD:$AD, "&lt;&gt;IntegratorValidationComment"))</f>
        <v/>
      </c>
      <c r="AB390" s="7" t="str">
        <f>IF(ISBLANK(patch[[#This Row],[project]]), "",COUNTIFS($A:$A,patch[[#This Row],[number]],$S:$S, "SH And dev",$AD:$AD, "&lt;&gt;IntegratorValidationComment"))</f>
        <v/>
      </c>
      <c r="AC390" s="7" t="str">
        <f>IF(OR(ISNUMBER(FIND("Review-1", patch[[#This Row],[comments]])), ISNUMBER(FIND("Approver-1", patch[[#This Row],[comments]]))), "Review-1", "")</f>
        <v/>
      </c>
      <c r="AD3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390" s="7">
        <f>IF(ISBLANK(patch[[#This Row],[number]]),AE389,patch[[#This Row],[ifCommon]])</f>
        <v>0</v>
      </c>
    </row>
    <row r="391" spans="1:31">
      <c r="A391" s="151">
        <v>147381</v>
      </c>
      <c r="B391" s="151"/>
      <c r="C391" s="151"/>
      <c r="D391" s="151"/>
      <c r="E391" s="151"/>
      <c r="F391" s="151"/>
      <c r="G391" s="151"/>
      <c r="H391" s="151"/>
      <c r="I391" s="151"/>
      <c r="J391" s="152">
        <v>42639.754687499997</v>
      </c>
      <c r="K391" s="151"/>
      <c r="L391" s="151" t="s">
        <v>115</v>
      </c>
      <c r="M391" s="152">
        <v>42639.754652777781</v>
      </c>
      <c r="N391" s="151" t="s">
        <v>2704</v>
      </c>
      <c r="O391" s="151"/>
      <c r="P391" s="151"/>
      <c r="Q391" s="7" t="str">
        <f>IF(ISBLANK(patch[[#This Row],[OwnerEmail]]),Q390,patch[[#This Row],[OwnerEmail]])</f>
        <v>qingwu.zhang@intel.com</v>
      </c>
      <c r="R391" s="7" t="str">
        <f>_xlfn.IFNA(VLOOKUP(patch[[#This Row],[tmp-owner.email]],OrgTree!$A:$K, 11, 0), "not ICG SWFW")</f>
        <v>BJ And dev</v>
      </c>
      <c r="S391" s="7" t="str">
        <f>IF(patch[[#This Row],[reviewer]]=patch[[#This Row],[tmp-owner.email]], "author", _xlfn.IFNA(VLOOKUP(patch[[#This Row],[reviewer]],OrgTree!$A:$K, 11, 0), "not ICG SWFW"))</f>
        <v>Val</v>
      </c>
      <c r="T391" s="7" t="str">
        <f>IF(ISBLANK(patch[[#This Row],[mergeDate]]), "", MID(YEAR(patch[[#This Row],[mergeDate]]), 3,2)&amp;"'ww"&amp;WEEKNUM(patch[[#This Row],[mergeDate]]))</f>
        <v>16'ww40</v>
      </c>
      <c r="U391" s="7" t="str">
        <f>IF(ISBLANK(patch[[#This Row],[mergeDate]]), U390, MID(YEAR(patch[[#This Row],[mergeDate]]), 3,2)&amp;"'m"&amp;MONTH(patch[[#This Row],[mergeDate]]))</f>
        <v>16'm9</v>
      </c>
      <c r="V391" s="7" t="str">
        <f>IF(ISBLANK(patch[[#This Row],[project]]), "",SUM(patch[[#This Row],[BJ -1 num]:[SH -1 num]]))</f>
        <v/>
      </c>
      <c r="W391" s="7" t="str">
        <f>IF(ISBLANK(patch[[#This Row],[project]]), "",COUNTIFS($A:$A,patch[[#This Row],[number]],$S:$S, "BJ And dev",$AC:$AC, "Review-1"))</f>
        <v/>
      </c>
      <c r="X391" s="7" t="str">
        <f>IF(ISBLANK(patch[[#This Row],[project]]), "",COUNTIFS($A:$A,patch[[#This Row],[number]],$S:$S, "FL And dev",$AC:$AC, "Review-1"))</f>
        <v/>
      </c>
      <c r="Y391" s="7" t="str">
        <f>IF(ISBLANK(patch[[#This Row],[project]]), "",COUNTIFS($A:$A,patch[[#This Row],[number]],$S:$S, "SH And dev",$AC:$AC, "Review-1"))</f>
        <v/>
      </c>
      <c r="Z391" s="7" t="str">
        <f>IF(ISBLANK(patch[[#This Row],[project]]), "",COUNTIFS($A:$A,patch[[#This Row],[number]],$S:$S, "BJ And dev",$AD:$AD, "&lt;&gt;IntegratorValidationComment"))</f>
        <v/>
      </c>
      <c r="AA391" s="7" t="str">
        <f>IF(ISBLANK(patch[[#This Row],[project]]), "",COUNTIFS($A:$A,patch[[#This Row],[number]],$S:$S, "FL And dev",$AD:$AD, "&lt;&gt;IntegratorValidationComment"))</f>
        <v/>
      </c>
      <c r="AB391" s="7" t="str">
        <f>IF(ISBLANK(patch[[#This Row],[project]]), "",COUNTIFS($A:$A,patch[[#This Row],[number]],$S:$S, "SH And dev",$AD:$AD, "&lt;&gt;IntegratorValidationComment"))</f>
        <v/>
      </c>
      <c r="AC391" s="7" t="str">
        <f>IF(OR(ISNUMBER(FIND("Review-1", patch[[#This Row],[comments]])), ISNUMBER(FIND("Approver-1", patch[[#This Row],[comments]]))), "Review-1", "")</f>
        <v/>
      </c>
      <c r="AD3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91" s="7">
        <f>IF(ISBLANK(patch[[#This Row],[number]]),AE390,patch[[#This Row],[ifCommon]])</f>
        <v>0</v>
      </c>
    </row>
    <row r="392" spans="1:31">
      <c r="A392" s="151">
        <v>147381</v>
      </c>
      <c r="B392" s="151"/>
      <c r="C392" s="151"/>
      <c r="D392" s="151"/>
      <c r="E392" s="151"/>
      <c r="F392" s="151"/>
      <c r="G392" s="151"/>
      <c r="H392" s="151"/>
      <c r="I392" s="151"/>
      <c r="J392" s="152">
        <v>42639.754687499997</v>
      </c>
      <c r="K392" s="151"/>
      <c r="L392" s="151" t="s">
        <v>115</v>
      </c>
      <c r="M392" s="152">
        <v>42639.754664351851</v>
      </c>
      <c r="N392" s="151" t="s">
        <v>2450</v>
      </c>
      <c r="O392" s="151"/>
      <c r="P392" s="151"/>
      <c r="Q392" s="7" t="str">
        <f>IF(ISBLANK(patch[[#This Row],[OwnerEmail]]),Q391,patch[[#This Row],[OwnerEmail]])</f>
        <v>qingwu.zhang@intel.com</v>
      </c>
      <c r="R392" s="7" t="str">
        <f>_xlfn.IFNA(VLOOKUP(patch[[#This Row],[tmp-owner.email]],OrgTree!$A:$K, 11, 0), "not ICG SWFW")</f>
        <v>BJ And dev</v>
      </c>
      <c r="S392" s="7" t="str">
        <f>IF(patch[[#This Row],[reviewer]]=patch[[#This Row],[tmp-owner.email]], "author", _xlfn.IFNA(VLOOKUP(patch[[#This Row],[reviewer]],OrgTree!$A:$K, 11, 0), "not ICG SWFW"))</f>
        <v>Val</v>
      </c>
      <c r="T392" s="7" t="str">
        <f>IF(ISBLANK(patch[[#This Row],[mergeDate]]), "", MID(YEAR(patch[[#This Row],[mergeDate]]), 3,2)&amp;"'ww"&amp;WEEKNUM(patch[[#This Row],[mergeDate]]))</f>
        <v>16'ww40</v>
      </c>
      <c r="U392" s="7" t="str">
        <f>IF(ISBLANK(patch[[#This Row],[mergeDate]]), U391, MID(YEAR(patch[[#This Row],[mergeDate]]), 3,2)&amp;"'m"&amp;MONTH(patch[[#This Row],[mergeDate]]))</f>
        <v>16'm9</v>
      </c>
      <c r="V392" s="7" t="str">
        <f>IF(ISBLANK(patch[[#This Row],[project]]), "",SUM(patch[[#This Row],[BJ -1 num]:[SH -1 num]]))</f>
        <v/>
      </c>
      <c r="W392" s="7" t="str">
        <f>IF(ISBLANK(patch[[#This Row],[project]]), "",COUNTIFS($A:$A,patch[[#This Row],[number]],$S:$S, "BJ And dev",$AC:$AC, "Review-1"))</f>
        <v/>
      </c>
      <c r="X392" s="7" t="str">
        <f>IF(ISBLANK(patch[[#This Row],[project]]), "",COUNTIFS($A:$A,patch[[#This Row],[number]],$S:$S, "FL And dev",$AC:$AC, "Review-1"))</f>
        <v/>
      </c>
      <c r="Y392" s="7" t="str">
        <f>IF(ISBLANK(patch[[#This Row],[project]]), "",COUNTIFS($A:$A,patch[[#This Row],[number]],$S:$S, "SH And dev",$AC:$AC, "Review-1"))</f>
        <v/>
      </c>
      <c r="Z392" s="7" t="str">
        <f>IF(ISBLANK(patch[[#This Row],[project]]), "",COUNTIFS($A:$A,patch[[#This Row],[number]],$S:$S, "BJ And dev",$AD:$AD, "&lt;&gt;IntegratorValidationComment"))</f>
        <v/>
      </c>
      <c r="AA392" s="7" t="str">
        <f>IF(ISBLANK(patch[[#This Row],[project]]), "",COUNTIFS($A:$A,patch[[#This Row],[number]],$S:$S, "FL And dev",$AD:$AD, "&lt;&gt;IntegratorValidationComment"))</f>
        <v/>
      </c>
      <c r="AB392" s="7" t="str">
        <f>IF(ISBLANK(patch[[#This Row],[project]]), "",COUNTIFS($A:$A,patch[[#This Row],[number]],$S:$S, "SH And dev",$AD:$AD, "&lt;&gt;IntegratorValidationComment"))</f>
        <v/>
      </c>
      <c r="AC392" s="7" t="str">
        <f>IF(OR(ISNUMBER(FIND("Review-1", patch[[#This Row],[comments]])), ISNUMBER(FIND("Approver-1", patch[[#This Row],[comments]]))), "Review-1", "")</f>
        <v/>
      </c>
      <c r="AD3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92" s="7">
        <f>IF(ISBLANK(patch[[#This Row],[number]]),AE391,patch[[#This Row],[ifCommon]])</f>
        <v>0</v>
      </c>
    </row>
    <row r="393" spans="1:31">
      <c r="A393" s="151">
        <v>147790</v>
      </c>
      <c r="B393" s="151" t="s">
        <v>2490</v>
      </c>
      <c r="C393" s="151" t="s">
        <v>2795</v>
      </c>
      <c r="D393" s="151" t="s">
        <v>2796</v>
      </c>
      <c r="E393" s="151" t="s">
        <v>677</v>
      </c>
      <c r="F393" s="151" t="s">
        <v>23</v>
      </c>
      <c r="G393" s="151" t="s">
        <v>2797</v>
      </c>
      <c r="H393" s="151" t="s">
        <v>2798</v>
      </c>
      <c r="I393" s="152">
        <v>42636.741226851853</v>
      </c>
      <c r="J393" s="152">
        <v>42639.753958333327</v>
      </c>
      <c r="K393" s="151" t="s">
        <v>2445</v>
      </c>
      <c r="L393" s="151" t="s">
        <v>677</v>
      </c>
      <c r="M393" s="152">
        <v>42636.741226851853</v>
      </c>
      <c r="N393" s="151" t="s">
        <v>25</v>
      </c>
      <c r="O393" s="151"/>
      <c r="P393" s="151" t="s">
        <v>2799</v>
      </c>
      <c r="Q393" s="7" t="str">
        <f>IF(ISBLANK(patch[[#This Row],[OwnerEmail]]),Q392,patch[[#This Row],[OwnerEmail]])</f>
        <v>lipingx.xu@intel.com</v>
      </c>
      <c r="R393" s="7" t="str">
        <f>_xlfn.IFNA(VLOOKUP(patch[[#This Row],[tmp-owner.email]],OrgTree!$A:$K, 11, 0), "not ICG SWFW")</f>
        <v>BJ And dev</v>
      </c>
      <c r="S393" s="7" t="str">
        <f>IF(patch[[#This Row],[reviewer]]=patch[[#This Row],[tmp-owner.email]], "author", _xlfn.IFNA(VLOOKUP(patch[[#This Row],[reviewer]],OrgTree!$A:$K, 11, 0), "not ICG SWFW"))</f>
        <v>author</v>
      </c>
      <c r="T393" s="7" t="str">
        <f>IF(ISBLANK(patch[[#This Row],[mergeDate]]), "", MID(YEAR(patch[[#This Row],[mergeDate]]), 3,2)&amp;"'ww"&amp;WEEKNUM(patch[[#This Row],[mergeDate]]))</f>
        <v>16'ww40</v>
      </c>
      <c r="U393" s="7" t="str">
        <f>IF(ISBLANK(patch[[#This Row],[mergeDate]]), U392, MID(YEAR(patch[[#This Row],[mergeDate]]), 3,2)&amp;"'m"&amp;MONTH(patch[[#This Row],[mergeDate]]))</f>
        <v>16'm9</v>
      </c>
      <c r="V393" s="7">
        <f>IF(ISBLANK(patch[[#This Row],[project]]), "",SUM(patch[[#This Row],[BJ -1 num]:[SH -1 num]]))</f>
        <v>0</v>
      </c>
      <c r="W393" s="7">
        <f>IF(ISBLANK(patch[[#This Row],[project]]), "",COUNTIFS($A:$A,patch[[#This Row],[number]],$S:$S, "BJ And dev",$AC:$AC, "Review-1"))</f>
        <v>0</v>
      </c>
      <c r="X393" s="7">
        <f>IF(ISBLANK(patch[[#This Row],[project]]), "",COUNTIFS($A:$A,patch[[#This Row],[number]],$S:$S, "FL And dev",$AC:$AC, "Review-1"))</f>
        <v>0</v>
      </c>
      <c r="Y393" s="7">
        <f>IF(ISBLANK(patch[[#This Row],[project]]), "",COUNTIFS($A:$A,patch[[#This Row],[number]],$S:$S, "SH And dev",$AC:$AC, "Review-1"))</f>
        <v>0</v>
      </c>
      <c r="Z393" s="7">
        <f>IF(ISBLANK(patch[[#This Row],[project]]), "",COUNTIFS($A:$A,patch[[#This Row],[number]],$S:$S, "BJ And dev",$AD:$AD, "&lt;&gt;IntegratorValidationComment"))</f>
        <v>3</v>
      </c>
      <c r="AA393" s="7">
        <f>IF(ISBLANK(patch[[#This Row],[project]]), "",COUNTIFS($A:$A,patch[[#This Row],[number]],$S:$S, "FL And dev",$AD:$AD, "&lt;&gt;IntegratorValidationComment"))</f>
        <v>0</v>
      </c>
      <c r="AB393" s="7">
        <f>IF(ISBLANK(patch[[#This Row],[project]]), "",COUNTIFS($A:$A,patch[[#This Row],[number]],$S:$S, "SH And dev",$AD:$AD, "&lt;&gt;IntegratorValidationComment"))</f>
        <v>0</v>
      </c>
      <c r="AC393" s="7" t="str">
        <f>IF(OR(ISNUMBER(FIND("Review-1", patch[[#This Row],[comments]])), ISNUMBER(FIND("Approver-1", patch[[#This Row],[comments]]))), "Review-1", "")</f>
        <v/>
      </c>
      <c r="AD3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93" s="7" t="str">
        <f>IF(ISBLANK(patch[[#This Row],[number]]),AE392,patch[[#This Row],[ifCommon]])</f>
        <v>not AndrHAL</v>
      </c>
    </row>
    <row r="394" spans="1:31">
      <c r="A394" s="151">
        <v>147790</v>
      </c>
      <c r="B394" s="151"/>
      <c r="C394" s="151"/>
      <c r="D394" s="151"/>
      <c r="E394" s="151"/>
      <c r="F394" s="151"/>
      <c r="G394" s="151"/>
      <c r="H394" s="151"/>
      <c r="I394" s="151"/>
      <c r="J394" s="152">
        <v>42639.753958333327</v>
      </c>
      <c r="K394" s="151"/>
      <c r="L394" s="151" t="s">
        <v>677</v>
      </c>
      <c r="M394" s="152">
        <v>42636.741261574083</v>
      </c>
      <c r="N394" s="151" t="s">
        <v>2428</v>
      </c>
      <c r="O394" s="151"/>
      <c r="P394" s="151"/>
      <c r="Q394" s="7" t="str">
        <f>IF(ISBLANK(patch[[#This Row],[OwnerEmail]]),Q393,patch[[#This Row],[OwnerEmail]])</f>
        <v>lipingx.xu@intel.com</v>
      </c>
      <c r="R394" s="7" t="str">
        <f>_xlfn.IFNA(VLOOKUP(patch[[#This Row],[tmp-owner.email]],OrgTree!$A:$K, 11, 0), "not ICG SWFW")</f>
        <v>BJ And dev</v>
      </c>
      <c r="S394" s="7" t="str">
        <f>IF(patch[[#This Row],[reviewer]]=patch[[#This Row],[tmp-owner.email]], "author", _xlfn.IFNA(VLOOKUP(patch[[#This Row],[reviewer]],OrgTree!$A:$K, 11, 0), "not ICG SWFW"))</f>
        <v>author</v>
      </c>
      <c r="T394" s="7" t="str">
        <f>IF(ISBLANK(patch[[#This Row],[mergeDate]]), "", MID(YEAR(patch[[#This Row],[mergeDate]]), 3,2)&amp;"'ww"&amp;WEEKNUM(patch[[#This Row],[mergeDate]]))</f>
        <v>16'ww40</v>
      </c>
      <c r="U394" s="7" t="str">
        <f>IF(ISBLANK(patch[[#This Row],[mergeDate]]), U393, MID(YEAR(patch[[#This Row],[mergeDate]]), 3,2)&amp;"'m"&amp;MONTH(patch[[#This Row],[mergeDate]]))</f>
        <v>16'm9</v>
      </c>
      <c r="V394" s="7" t="str">
        <f>IF(ISBLANK(patch[[#This Row],[project]]), "",SUM(patch[[#This Row],[BJ -1 num]:[SH -1 num]]))</f>
        <v/>
      </c>
      <c r="W394" s="7" t="str">
        <f>IF(ISBLANK(patch[[#This Row],[project]]), "",COUNTIFS($A:$A,patch[[#This Row],[number]],$S:$S, "BJ And dev",$AC:$AC, "Review-1"))</f>
        <v/>
      </c>
      <c r="X394" s="7" t="str">
        <f>IF(ISBLANK(patch[[#This Row],[project]]), "",COUNTIFS($A:$A,patch[[#This Row],[number]],$S:$S, "FL And dev",$AC:$AC, "Review-1"))</f>
        <v/>
      </c>
      <c r="Y394" s="7" t="str">
        <f>IF(ISBLANK(patch[[#This Row],[project]]), "",COUNTIFS($A:$A,patch[[#This Row],[number]],$S:$S, "SH And dev",$AC:$AC, "Review-1"))</f>
        <v/>
      </c>
      <c r="Z394" s="7" t="str">
        <f>IF(ISBLANK(patch[[#This Row],[project]]), "",COUNTIFS($A:$A,patch[[#This Row],[number]],$S:$S, "BJ And dev",$AD:$AD, "&lt;&gt;IntegratorValidationComment"))</f>
        <v/>
      </c>
      <c r="AA394" s="7" t="str">
        <f>IF(ISBLANK(patch[[#This Row],[project]]), "",COUNTIFS($A:$A,patch[[#This Row],[number]],$S:$S, "FL And dev",$AD:$AD, "&lt;&gt;IntegratorValidationComment"))</f>
        <v/>
      </c>
      <c r="AB394" s="7" t="str">
        <f>IF(ISBLANK(patch[[#This Row],[project]]), "",COUNTIFS($A:$A,patch[[#This Row],[number]],$S:$S, "SH And dev",$AD:$AD, "&lt;&gt;IntegratorValidationComment"))</f>
        <v/>
      </c>
      <c r="AC394" s="7" t="str">
        <f>IF(OR(ISNUMBER(FIND("Review-1", patch[[#This Row],[comments]])), ISNUMBER(FIND("Approver-1", patch[[#This Row],[comments]]))), "Review-1", "")</f>
        <v/>
      </c>
      <c r="AD3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94" s="7">
        <f>IF(ISBLANK(patch[[#This Row],[number]]),AE393,patch[[#This Row],[ifCommon]])</f>
        <v>0</v>
      </c>
    </row>
    <row r="395" spans="1:31">
      <c r="A395" s="151">
        <v>147790</v>
      </c>
      <c r="B395" s="151"/>
      <c r="C395" s="151"/>
      <c r="D395" s="151"/>
      <c r="E395" s="151"/>
      <c r="F395" s="151"/>
      <c r="G395" s="151"/>
      <c r="H395" s="151"/>
      <c r="I395" s="151"/>
      <c r="J395" s="152">
        <v>42639.753958333327</v>
      </c>
      <c r="K395" s="151"/>
      <c r="L395" s="151" t="s">
        <v>677</v>
      </c>
      <c r="M395" s="152">
        <v>42636.741759259261</v>
      </c>
      <c r="N395" s="151" t="s">
        <v>40</v>
      </c>
      <c r="O395" s="151"/>
      <c r="P395" s="151"/>
      <c r="Q395" s="7" t="str">
        <f>IF(ISBLANK(patch[[#This Row],[OwnerEmail]]),Q394,patch[[#This Row],[OwnerEmail]])</f>
        <v>lipingx.xu@intel.com</v>
      </c>
      <c r="R395" s="7" t="str">
        <f>_xlfn.IFNA(VLOOKUP(patch[[#This Row],[tmp-owner.email]],OrgTree!$A:$K, 11, 0), "not ICG SWFW")</f>
        <v>BJ And dev</v>
      </c>
      <c r="S395" s="7" t="str">
        <f>IF(patch[[#This Row],[reviewer]]=patch[[#This Row],[tmp-owner.email]], "author", _xlfn.IFNA(VLOOKUP(patch[[#This Row],[reviewer]],OrgTree!$A:$K, 11, 0), "not ICG SWFW"))</f>
        <v>author</v>
      </c>
      <c r="T395" s="7" t="str">
        <f>IF(ISBLANK(patch[[#This Row],[mergeDate]]), "", MID(YEAR(patch[[#This Row],[mergeDate]]), 3,2)&amp;"'ww"&amp;WEEKNUM(patch[[#This Row],[mergeDate]]))</f>
        <v>16'ww40</v>
      </c>
      <c r="U395" s="7" t="str">
        <f>IF(ISBLANK(patch[[#This Row],[mergeDate]]), U394, MID(YEAR(patch[[#This Row],[mergeDate]]), 3,2)&amp;"'m"&amp;MONTH(patch[[#This Row],[mergeDate]]))</f>
        <v>16'm9</v>
      </c>
      <c r="V395" s="7" t="str">
        <f>IF(ISBLANK(patch[[#This Row],[project]]), "",SUM(patch[[#This Row],[BJ -1 num]:[SH -1 num]]))</f>
        <v/>
      </c>
      <c r="W395" s="7" t="str">
        <f>IF(ISBLANK(patch[[#This Row],[project]]), "",COUNTIFS($A:$A,patch[[#This Row],[number]],$S:$S, "BJ And dev",$AC:$AC, "Review-1"))</f>
        <v/>
      </c>
      <c r="X395" s="7" t="str">
        <f>IF(ISBLANK(patch[[#This Row],[project]]), "",COUNTIFS($A:$A,patch[[#This Row],[number]],$S:$S, "FL And dev",$AC:$AC, "Review-1"))</f>
        <v/>
      </c>
      <c r="Y395" s="7" t="str">
        <f>IF(ISBLANK(patch[[#This Row],[project]]), "",COUNTIFS($A:$A,patch[[#This Row],[number]],$S:$S, "SH And dev",$AC:$AC, "Review-1"))</f>
        <v/>
      </c>
      <c r="Z395" s="7" t="str">
        <f>IF(ISBLANK(patch[[#This Row],[project]]), "",COUNTIFS($A:$A,patch[[#This Row],[number]],$S:$S, "BJ And dev",$AD:$AD, "&lt;&gt;IntegratorValidationComment"))</f>
        <v/>
      </c>
      <c r="AA395" s="7" t="str">
        <f>IF(ISBLANK(patch[[#This Row],[project]]), "",COUNTIFS($A:$A,patch[[#This Row],[number]],$S:$S, "FL And dev",$AD:$AD, "&lt;&gt;IntegratorValidationComment"))</f>
        <v/>
      </c>
      <c r="AB395" s="7" t="str">
        <f>IF(ISBLANK(patch[[#This Row],[project]]), "",COUNTIFS($A:$A,patch[[#This Row],[number]],$S:$S, "SH And dev",$AD:$AD, "&lt;&gt;IntegratorValidationComment"))</f>
        <v/>
      </c>
      <c r="AC395" s="7" t="str">
        <f>IF(OR(ISNUMBER(FIND("Review-1", patch[[#This Row],[comments]])), ISNUMBER(FIND("Approver-1", patch[[#This Row],[comments]]))), "Review-1", "")</f>
        <v/>
      </c>
      <c r="AD3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95" s="7">
        <f>IF(ISBLANK(patch[[#This Row],[number]]),AE394,patch[[#This Row],[ifCommon]])</f>
        <v>0</v>
      </c>
    </row>
    <row r="396" spans="1:31">
      <c r="A396" s="151">
        <v>147790</v>
      </c>
      <c r="B396" s="151"/>
      <c r="C396" s="151"/>
      <c r="D396" s="151"/>
      <c r="E396" s="151"/>
      <c r="F396" s="151"/>
      <c r="G396" s="151"/>
      <c r="H396" s="151"/>
      <c r="I396" s="151"/>
      <c r="J396" s="152">
        <v>42639.753958333327</v>
      </c>
      <c r="K396" s="151"/>
      <c r="L396" s="151" t="s">
        <v>59</v>
      </c>
      <c r="M396" s="152">
        <v>42636.745740740742</v>
      </c>
      <c r="N396" s="151" t="s">
        <v>2800</v>
      </c>
      <c r="O396" s="151"/>
      <c r="P396" s="151"/>
      <c r="Q396" s="7" t="str">
        <f>IF(ISBLANK(patch[[#This Row],[OwnerEmail]]),Q395,patch[[#This Row],[OwnerEmail]])</f>
        <v>lipingx.xu@intel.com</v>
      </c>
      <c r="R396" s="7" t="str">
        <f>_xlfn.IFNA(VLOOKUP(patch[[#This Row],[tmp-owner.email]],OrgTree!$A:$K, 11, 0), "not ICG SWFW")</f>
        <v>BJ And dev</v>
      </c>
      <c r="S396" s="7" t="str">
        <f>IF(patch[[#This Row],[reviewer]]=patch[[#This Row],[tmp-owner.email]], "author", _xlfn.IFNA(VLOOKUP(patch[[#This Row],[reviewer]],OrgTree!$A:$K, 11, 0), "not ICG SWFW"))</f>
        <v>BJ And dev</v>
      </c>
      <c r="T396" s="7" t="str">
        <f>IF(ISBLANK(patch[[#This Row],[mergeDate]]), "", MID(YEAR(patch[[#This Row],[mergeDate]]), 3,2)&amp;"'ww"&amp;WEEKNUM(patch[[#This Row],[mergeDate]]))</f>
        <v>16'ww40</v>
      </c>
      <c r="U396" s="7" t="str">
        <f>IF(ISBLANK(patch[[#This Row],[mergeDate]]), U395, MID(YEAR(patch[[#This Row],[mergeDate]]), 3,2)&amp;"'m"&amp;MONTH(patch[[#This Row],[mergeDate]]))</f>
        <v>16'm9</v>
      </c>
      <c r="V396" s="7" t="str">
        <f>IF(ISBLANK(patch[[#This Row],[project]]), "",SUM(patch[[#This Row],[BJ -1 num]:[SH -1 num]]))</f>
        <v/>
      </c>
      <c r="W396" s="7" t="str">
        <f>IF(ISBLANK(patch[[#This Row],[project]]), "",COUNTIFS($A:$A,patch[[#This Row],[number]],$S:$S, "BJ And dev",$AC:$AC, "Review-1"))</f>
        <v/>
      </c>
      <c r="X396" s="7" t="str">
        <f>IF(ISBLANK(patch[[#This Row],[project]]), "",COUNTIFS($A:$A,patch[[#This Row],[number]],$S:$S, "FL And dev",$AC:$AC, "Review-1"))</f>
        <v/>
      </c>
      <c r="Y396" s="7" t="str">
        <f>IF(ISBLANK(patch[[#This Row],[project]]), "",COUNTIFS($A:$A,patch[[#This Row],[number]],$S:$S, "SH And dev",$AC:$AC, "Review-1"))</f>
        <v/>
      </c>
      <c r="Z396" s="7" t="str">
        <f>IF(ISBLANK(patch[[#This Row],[project]]), "",COUNTIFS($A:$A,patch[[#This Row],[number]],$S:$S, "BJ And dev",$AD:$AD, "&lt;&gt;IntegratorValidationComment"))</f>
        <v/>
      </c>
      <c r="AA396" s="7" t="str">
        <f>IF(ISBLANK(patch[[#This Row],[project]]), "",COUNTIFS($A:$A,patch[[#This Row],[number]],$S:$S, "FL And dev",$AD:$AD, "&lt;&gt;IntegratorValidationComment"))</f>
        <v/>
      </c>
      <c r="AB396" s="7" t="str">
        <f>IF(ISBLANK(patch[[#This Row],[project]]), "",COUNTIFS($A:$A,patch[[#This Row],[number]],$S:$S, "SH And dev",$AD:$AD, "&lt;&gt;IntegratorValidationComment"))</f>
        <v/>
      </c>
      <c r="AC396" s="7" t="str">
        <f>IF(OR(ISNUMBER(FIND("Review-1", patch[[#This Row],[comments]])), ISNUMBER(FIND("Approver-1", patch[[#This Row],[comments]]))), "Review-1", "")</f>
        <v/>
      </c>
      <c r="AD3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96" s="7">
        <f>IF(ISBLANK(patch[[#This Row],[number]]),AE395,patch[[#This Row],[ifCommon]])</f>
        <v>0</v>
      </c>
    </row>
    <row r="397" spans="1:31">
      <c r="A397" s="151">
        <v>147790</v>
      </c>
      <c r="B397" s="151"/>
      <c r="C397" s="151"/>
      <c r="D397" s="151"/>
      <c r="E397" s="151"/>
      <c r="F397" s="151"/>
      <c r="G397" s="151"/>
      <c r="H397" s="151"/>
      <c r="I397" s="151"/>
      <c r="J397" s="152">
        <v>42639.753958333327</v>
      </c>
      <c r="K397" s="151"/>
      <c r="L397" s="151" t="s">
        <v>59</v>
      </c>
      <c r="M397" s="152">
        <v>42636.749421296299</v>
      </c>
      <c r="N397" s="151" t="s">
        <v>1880</v>
      </c>
      <c r="O397" s="151"/>
      <c r="P397" s="151"/>
      <c r="Q397" s="7" t="str">
        <f>IF(ISBLANK(patch[[#This Row],[OwnerEmail]]),Q396,patch[[#This Row],[OwnerEmail]])</f>
        <v>lipingx.xu@intel.com</v>
      </c>
      <c r="R397" s="7" t="str">
        <f>_xlfn.IFNA(VLOOKUP(patch[[#This Row],[tmp-owner.email]],OrgTree!$A:$K, 11, 0), "not ICG SWFW")</f>
        <v>BJ And dev</v>
      </c>
      <c r="S397" s="7" t="str">
        <f>IF(patch[[#This Row],[reviewer]]=patch[[#This Row],[tmp-owner.email]], "author", _xlfn.IFNA(VLOOKUP(patch[[#This Row],[reviewer]],OrgTree!$A:$K, 11, 0), "not ICG SWFW"))</f>
        <v>BJ And dev</v>
      </c>
      <c r="T397" s="7" t="str">
        <f>IF(ISBLANK(patch[[#This Row],[mergeDate]]), "", MID(YEAR(patch[[#This Row],[mergeDate]]), 3,2)&amp;"'ww"&amp;WEEKNUM(patch[[#This Row],[mergeDate]]))</f>
        <v>16'ww40</v>
      </c>
      <c r="U397" s="7" t="str">
        <f>IF(ISBLANK(patch[[#This Row],[mergeDate]]), U396, MID(YEAR(patch[[#This Row],[mergeDate]]), 3,2)&amp;"'m"&amp;MONTH(patch[[#This Row],[mergeDate]]))</f>
        <v>16'm9</v>
      </c>
      <c r="V397" s="7" t="str">
        <f>IF(ISBLANK(patch[[#This Row],[project]]), "",SUM(patch[[#This Row],[BJ -1 num]:[SH -1 num]]))</f>
        <v/>
      </c>
      <c r="W397" s="7" t="str">
        <f>IF(ISBLANK(patch[[#This Row],[project]]), "",COUNTIFS($A:$A,patch[[#This Row],[number]],$S:$S, "BJ And dev",$AC:$AC, "Review-1"))</f>
        <v/>
      </c>
      <c r="X397" s="7" t="str">
        <f>IF(ISBLANK(patch[[#This Row],[project]]), "",COUNTIFS($A:$A,patch[[#This Row],[number]],$S:$S, "FL And dev",$AC:$AC, "Review-1"))</f>
        <v/>
      </c>
      <c r="Y397" s="7" t="str">
        <f>IF(ISBLANK(patch[[#This Row],[project]]), "",COUNTIFS($A:$A,patch[[#This Row],[number]],$S:$S, "SH And dev",$AC:$AC, "Review-1"))</f>
        <v/>
      </c>
      <c r="Z397" s="7" t="str">
        <f>IF(ISBLANK(patch[[#This Row],[project]]), "",COUNTIFS($A:$A,patch[[#This Row],[number]],$S:$S, "BJ And dev",$AD:$AD, "&lt;&gt;IntegratorValidationComment"))</f>
        <v/>
      </c>
      <c r="AA397" s="7" t="str">
        <f>IF(ISBLANK(patch[[#This Row],[project]]), "",COUNTIFS($A:$A,patch[[#This Row],[number]],$S:$S, "FL And dev",$AD:$AD, "&lt;&gt;IntegratorValidationComment"))</f>
        <v/>
      </c>
      <c r="AB397" s="7" t="str">
        <f>IF(ISBLANK(patch[[#This Row],[project]]), "",COUNTIFS($A:$A,patch[[#This Row],[number]],$S:$S, "SH And dev",$AD:$AD, "&lt;&gt;IntegratorValidationComment"))</f>
        <v/>
      </c>
      <c r="AC397" s="7" t="str">
        <f>IF(OR(ISNUMBER(FIND("Review-1", patch[[#This Row],[comments]])), ISNUMBER(FIND("Approver-1", patch[[#This Row],[comments]]))), "Review-1", "")</f>
        <v/>
      </c>
      <c r="AD3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97" s="7">
        <f>IF(ISBLANK(patch[[#This Row],[number]]),AE396,patch[[#This Row],[ifCommon]])</f>
        <v>0</v>
      </c>
    </row>
    <row r="398" spans="1:31">
      <c r="A398" s="151">
        <v>147790</v>
      </c>
      <c r="B398" s="151"/>
      <c r="C398" s="151"/>
      <c r="D398" s="151"/>
      <c r="E398" s="151"/>
      <c r="F398" s="151"/>
      <c r="G398" s="151"/>
      <c r="H398" s="151"/>
      <c r="I398" s="151"/>
      <c r="J398" s="152">
        <v>42639.753958333327</v>
      </c>
      <c r="K398" s="151"/>
      <c r="L398" s="151" t="s">
        <v>59</v>
      </c>
      <c r="M398" s="152">
        <v>42636.753518518519</v>
      </c>
      <c r="N398" s="151" t="s">
        <v>2801</v>
      </c>
      <c r="O398" s="151"/>
      <c r="P398" s="151"/>
      <c r="Q398" s="7" t="str">
        <f>IF(ISBLANK(patch[[#This Row],[OwnerEmail]]),Q397,patch[[#This Row],[OwnerEmail]])</f>
        <v>lipingx.xu@intel.com</v>
      </c>
      <c r="R398" s="7" t="str">
        <f>_xlfn.IFNA(VLOOKUP(patch[[#This Row],[tmp-owner.email]],OrgTree!$A:$K, 11, 0), "not ICG SWFW")</f>
        <v>BJ And dev</v>
      </c>
      <c r="S398" s="7" t="str">
        <f>IF(patch[[#This Row],[reviewer]]=patch[[#This Row],[tmp-owner.email]], "author", _xlfn.IFNA(VLOOKUP(patch[[#This Row],[reviewer]],OrgTree!$A:$K, 11, 0), "not ICG SWFW"))</f>
        <v>BJ And dev</v>
      </c>
      <c r="T398" s="7" t="str">
        <f>IF(ISBLANK(patch[[#This Row],[mergeDate]]), "", MID(YEAR(patch[[#This Row],[mergeDate]]), 3,2)&amp;"'ww"&amp;WEEKNUM(patch[[#This Row],[mergeDate]]))</f>
        <v>16'ww40</v>
      </c>
      <c r="U398" s="7" t="str">
        <f>IF(ISBLANK(patch[[#This Row],[mergeDate]]), U397, MID(YEAR(patch[[#This Row],[mergeDate]]), 3,2)&amp;"'m"&amp;MONTH(patch[[#This Row],[mergeDate]]))</f>
        <v>16'm9</v>
      </c>
      <c r="V398" s="7" t="str">
        <f>IF(ISBLANK(patch[[#This Row],[project]]), "",SUM(patch[[#This Row],[BJ -1 num]:[SH -1 num]]))</f>
        <v/>
      </c>
      <c r="W398" s="7" t="str">
        <f>IF(ISBLANK(patch[[#This Row],[project]]), "",COUNTIFS($A:$A,patch[[#This Row],[number]],$S:$S, "BJ And dev",$AC:$AC, "Review-1"))</f>
        <v/>
      </c>
      <c r="X398" s="7" t="str">
        <f>IF(ISBLANK(patch[[#This Row],[project]]), "",COUNTIFS($A:$A,patch[[#This Row],[number]],$S:$S, "FL And dev",$AC:$AC, "Review-1"))</f>
        <v/>
      </c>
      <c r="Y398" s="7" t="str">
        <f>IF(ISBLANK(patch[[#This Row],[project]]), "",COUNTIFS($A:$A,patch[[#This Row],[number]],$S:$S, "SH And dev",$AC:$AC, "Review-1"))</f>
        <v/>
      </c>
      <c r="Z398" s="7" t="str">
        <f>IF(ISBLANK(patch[[#This Row],[project]]), "",COUNTIFS($A:$A,patch[[#This Row],[number]],$S:$S, "BJ And dev",$AD:$AD, "&lt;&gt;IntegratorValidationComment"))</f>
        <v/>
      </c>
      <c r="AA398" s="7" t="str">
        <f>IF(ISBLANK(patch[[#This Row],[project]]), "",COUNTIFS($A:$A,patch[[#This Row],[number]],$S:$S, "FL And dev",$AD:$AD, "&lt;&gt;IntegratorValidationComment"))</f>
        <v/>
      </c>
      <c r="AB398" s="7" t="str">
        <f>IF(ISBLANK(patch[[#This Row],[project]]), "",COUNTIFS($A:$A,patch[[#This Row],[number]],$S:$S, "SH And dev",$AD:$AD, "&lt;&gt;IntegratorValidationComment"))</f>
        <v/>
      </c>
      <c r="AC398" s="7" t="str">
        <f>IF(OR(ISNUMBER(FIND("Review-1", patch[[#This Row],[comments]])), ISNUMBER(FIND("Approver-1", patch[[#This Row],[comments]]))), "Review-1", "")</f>
        <v/>
      </c>
      <c r="AD3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398" s="7">
        <f>IF(ISBLANK(patch[[#This Row],[number]]),AE397,patch[[#This Row],[ifCommon]])</f>
        <v>0</v>
      </c>
    </row>
    <row r="399" spans="1:31">
      <c r="A399" s="151">
        <v>147790</v>
      </c>
      <c r="B399" s="151"/>
      <c r="C399" s="151"/>
      <c r="D399" s="151"/>
      <c r="E399" s="151"/>
      <c r="F399" s="151"/>
      <c r="G399" s="151"/>
      <c r="H399" s="151"/>
      <c r="I399" s="151"/>
      <c r="J399" s="152">
        <v>42639.753958333327</v>
      </c>
      <c r="K399" s="151"/>
      <c r="L399" s="151" t="s">
        <v>115</v>
      </c>
      <c r="M399" s="152">
        <v>42639.480393518519</v>
      </c>
      <c r="N399" s="151" t="s">
        <v>2494</v>
      </c>
      <c r="O399" s="151"/>
      <c r="P399" s="151"/>
      <c r="Q399" s="7" t="str">
        <f>IF(ISBLANK(patch[[#This Row],[OwnerEmail]]),Q398,patch[[#This Row],[OwnerEmail]])</f>
        <v>lipingx.xu@intel.com</v>
      </c>
      <c r="R399" s="7" t="str">
        <f>_xlfn.IFNA(VLOOKUP(patch[[#This Row],[tmp-owner.email]],OrgTree!$A:$K, 11, 0), "not ICG SWFW")</f>
        <v>BJ And dev</v>
      </c>
      <c r="S399" s="7" t="str">
        <f>IF(patch[[#This Row],[reviewer]]=patch[[#This Row],[tmp-owner.email]], "author", _xlfn.IFNA(VLOOKUP(patch[[#This Row],[reviewer]],OrgTree!$A:$K, 11, 0), "not ICG SWFW"))</f>
        <v>Val</v>
      </c>
      <c r="T399" s="7" t="str">
        <f>IF(ISBLANK(patch[[#This Row],[mergeDate]]), "", MID(YEAR(patch[[#This Row],[mergeDate]]), 3,2)&amp;"'ww"&amp;WEEKNUM(patch[[#This Row],[mergeDate]]))</f>
        <v>16'ww40</v>
      </c>
      <c r="U399" s="7" t="str">
        <f>IF(ISBLANK(patch[[#This Row],[mergeDate]]), U398, MID(YEAR(patch[[#This Row],[mergeDate]]), 3,2)&amp;"'m"&amp;MONTH(patch[[#This Row],[mergeDate]]))</f>
        <v>16'm9</v>
      </c>
      <c r="V399" s="7" t="str">
        <f>IF(ISBLANK(patch[[#This Row],[project]]), "",SUM(patch[[#This Row],[BJ -1 num]:[SH -1 num]]))</f>
        <v/>
      </c>
      <c r="W399" s="7" t="str">
        <f>IF(ISBLANK(patch[[#This Row],[project]]), "",COUNTIFS($A:$A,patch[[#This Row],[number]],$S:$S, "BJ And dev",$AC:$AC, "Review-1"))</f>
        <v/>
      </c>
      <c r="X399" s="7" t="str">
        <f>IF(ISBLANK(patch[[#This Row],[project]]), "",COUNTIFS($A:$A,patch[[#This Row],[number]],$S:$S, "FL And dev",$AC:$AC, "Review-1"))</f>
        <v/>
      </c>
      <c r="Y399" s="7" t="str">
        <f>IF(ISBLANK(patch[[#This Row],[project]]), "",COUNTIFS($A:$A,patch[[#This Row],[number]],$S:$S, "SH And dev",$AC:$AC, "Review-1"))</f>
        <v/>
      </c>
      <c r="Z399" s="7" t="str">
        <f>IF(ISBLANK(patch[[#This Row],[project]]), "",COUNTIFS($A:$A,patch[[#This Row],[number]],$S:$S, "BJ And dev",$AD:$AD, "&lt;&gt;IntegratorValidationComment"))</f>
        <v/>
      </c>
      <c r="AA399" s="7" t="str">
        <f>IF(ISBLANK(patch[[#This Row],[project]]), "",COUNTIFS($A:$A,patch[[#This Row],[number]],$S:$S, "FL And dev",$AD:$AD, "&lt;&gt;IntegratorValidationComment"))</f>
        <v/>
      </c>
      <c r="AB399" s="7" t="str">
        <f>IF(ISBLANK(patch[[#This Row],[project]]), "",COUNTIFS($A:$A,patch[[#This Row],[number]],$S:$S, "SH And dev",$AD:$AD, "&lt;&gt;IntegratorValidationComment"))</f>
        <v/>
      </c>
      <c r="AC399" s="7" t="str">
        <f>IF(OR(ISNUMBER(FIND("Review-1", patch[[#This Row],[comments]])), ISNUMBER(FIND("Approver-1", patch[[#This Row],[comments]]))), "Review-1", "")</f>
        <v/>
      </c>
      <c r="AD3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399" s="7">
        <f>IF(ISBLANK(patch[[#This Row],[number]]),AE398,patch[[#This Row],[ifCommon]])</f>
        <v>0</v>
      </c>
    </row>
    <row r="400" spans="1:31">
      <c r="A400" s="151">
        <v>147790</v>
      </c>
      <c r="B400" s="151"/>
      <c r="C400" s="151"/>
      <c r="D400" s="151"/>
      <c r="E400" s="151"/>
      <c r="F400" s="151"/>
      <c r="G400" s="151"/>
      <c r="H400" s="151"/>
      <c r="I400" s="151"/>
      <c r="J400" s="152">
        <v>42639.753958333327</v>
      </c>
      <c r="K400" s="151"/>
      <c r="L400" s="151" t="s">
        <v>115</v>
      </c>
      <c r="M400" s="152">
        <v>42639.753935185188</v>
      </c>
      <c r="N400" s="151" t="s">
        <v>2429</v>
      </c>
      <c r="O400" s="151"/>
      <c r="P400" s="151"/>
      <c r="Q400" s="7" t="str">
        <f>IF(ISBLANK(patch[[#This Row],[OwnerEmail]]),Q399,patch[[#This Row],[OwnerEmail]])</f>
        <v>lipingx.xu@intel.com</v>
      </c>
      <c r="R400" s="7" t="str">
        <f>_xlfn.IFNA(VLOOKUP(patch[[#This Row],[tmp-owner.email]],OrgTree!$A:$K, 11, 0), "not ICG SWFW")</f>
        <v>BJ And dev</v>
      </c>
      <c r="S400" s="7" t="str">
        <f>IF(patch[[#This Row],[reviewer]]=patch[[#This Row],[tmp-owner.email]], "author", _xlfn.IFNA(VLOOKUP(patch[[#This Row],[reviewer]],OrgTree!$A:$K, 11, 0), "not ICG SWFW"))</f>
        <v>Val</v>
      </c>
      <c r="T400" s="7" t="str">
        <f>IF(ISBLANK(patch[[#This Row],[mergeDate]]), "", MID(YEAR(patch[[#This Row],[mergeDate]]), 3,2)&amp;"'ww"&amp;WEEKNUM(patch[[#This Row],[mergeDate]]))</f>
        <v>16'ww40</v>
      </c>
      <c r="U400" s="7" t="str">
        <f>IF(ISBLANK(patch[[#This Row],[mergeDate]]), U399, MID(YEAR(patch[[#This Row],[mergeDate]]), 3,2)&amp;"'m"&amp;MONTH(patch[[#This Row],[mergeDate]]))</f>
        <v>16'm9</v>
      </c>
      <c r="V400" s="7" t="str">
        <f>IF(ISBLANK(patch[[#This Row],[project]]), "",SUM(patch[[#This Row],[BJ -1 num]:[SH -1 num]]))</f>
        <v/>
      </c>
      <c r="W400" s="7" t="str">
        <f>IF(ISBLANK(patch[[#This Row],[project]]), "",COUNTIFS($A:$A,patch[[#This Row],[number]],$S:$S, "BJ And dev",$AC:$AC, "Review-1"))</f>
        <v/>
      </c>
      <c r="X400" s="7" t="str">
        <f>IF(ISBLANK(patch[[#This Row],[project]]), "",COUNTIFS($A:$A,patch[[#This Row],[number]],$S:$S, "FL And dev",$AC:$AC, "Review-1"))</f>
        <v/>
      </c>
      <c r="Y400" s="7" t="str">
        <f>IF(ISBLANK(patch[[#This Row],[project]]), "",COUNTIFS($A:$A,patch[[#This Row],[number]],$S:$S, "SH And dev",$AC:$AC, "Review-1"))</f>
        <v/>
      </c>
      <c r="Z400" s="7" t="str">
        <f>IF(ISBLANK(patch[[#This Row],[project]]), "",COUNTIFS($A:$A,patch[[#This Row],[number]],$S:$S, "BJ And dev",$AD:$AD, "&lt;&gt;IntegratorValidationComment"))</f>
        <v/>
      </c>
      <c r="AA400" s="7" t="str">
        <f>IF(ISBLANK(patch[[#This Row],[project]]), "",COUNTIFS($A:$A,patch[[#This Row],[number]],$S:$S, "FL And dev",$AD:$AD, "&lt;&gt;IntegratorValidationComment"))</f>
        <v/>
      </c>
      <c r="AB400" s="7" t="str">
        <f>IF(ISBLANK(patch[[#This Row],[project]]), "",COUNTIFS($A:$A,patch[[#This Row],[number]],$S:$S, "SH And dev",$AD:$AD, "&lt;&gt;IntegratorValidationComment"))</f>
        <v/>
      </c>
      <c r="AC400" s="7" t="str">
        <f>IF(OR(ISNUMBER(FIND("Review-1", patch[[#This Row],[comments]])), ISNUMBER(FIND("Approver-1", patch[[#This Row],[comments]]))), "Review-1", "")</f>
        <v/>
      </c>
      <c r="AD4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00" s="7">
        <f>IF(ISBLANK(patch[[#This Row],[number]]),AE399,patch[[#This Row],[ifCommon]])</f>
        <v>0</v>
      </c>
    </row>
    <row r="401" spans="1:31">
      <c r="A401" s="151">
        <v>147790</v>
      </c>
      <c r="B401" s="151"/>
      <c r="C401" s="151"/>
      <c r="D401" s="151"/>
      <c r="E401" s="151"/>
      <c r="F401" s="151"/>
      <c r="G401" s="151"/>
      <c r="H401" s="151"/>
      <c r="I401" s="151"/>
      <c r="J401" s="152">
        <v>42639.753958333327</v>
      </c>
      <c r="K401" s="151"/>
      <c r="L401" s="151" t="s">
        <v>115</v>
      </c>
      <c r="M401" s="152">
        <v>42639.753935185188</v>
      </c>
      <c r="N401" s="151" t="s">
        <v>2505</v>
      </c>
      <c r="O401" s="151"/>
      <c r="P401" s="151"/>
      <c r="Q401" s="7" t="str">
        <f>IF(ISBLANK(patch[[#This Row],[OwnerEmail]]),Q400,patch[[#This Row],[OwnerEmail]])</f>
        <v>lipingx.xu@intel.com</v>
      </c>
      <c r="R401" s="7" t="str">
        <f>_xlfn.IFNA(VLOOKUP(patch[[#This Row],[tmp-owner.email]],OrgTree!$A:$K, 11, 0), "not ICG SWFW")</f>
        <v>BJ And dev</v>
      </c>
      <c r="S401" s="7" t="str">
        <f>IF(patch[[#This Row],[reviewer]]=patch[[#This Row],[tmp-owner.email]], "author", _xlfn.IFNA(VLOOKUP(patch[[#This Row],[reviewer]],OrgTree!$A:$K, 11, 0), "not ICG SWFW"))</f>
        <v>Val</v>
      </c>
      <c r="T401" s="7" t="str">
        <f>IF(ISBLANK(patch[[#This Row],[mergeDate]]), "", MID(YEAR(patch[[#This Row],[mergeDate]]), 3,2)&amp;"'ww"&amp;WEEKNUM(patch[[#This Row],[mergeDate]]))</f>
        <v>16'ww40</v>
      </c>
      <c r="U401" s="7" t="str">
        <f>IF(ISBLANK(patch[[#This Row],[mergeDate]]), U400, MID(YEAR(patch[[#This Row],[mergeDate]]), 3,2)&amp;"'m"&amp;MONTH(patch[[#This Row],[mergeDate]]))</f>
        <v>16'm9</v>
      </c>
      <c r="V401" s="7" t="str">
        <f>IF(ISBLANK(patch[[#This Row],[project]]), "",SUM(patch[[#This Row],[BJ -1 num]:[SH -1 num]]))</f>
        <v/>
      </c>
      <c r="W401" s="7" t="str">
        <f>IF(ISBLANK(patch[[#This Row],[project]]), "",COUNTIFS($A:$A,patch[[#This Row],[number]],$S:$S, "BJ And dev",$AC:$AC, "Review-1"))</f>
        <v/>
      </c>
      <c r="X401" s="7" t="str">
        <f>IF(ISBLANK(patch[[#This Row],[project]]), "",COUNTIFS($A:$A,patch[[#This Row],[number]],$S:$S, "FL And dev",$AC:$AC, "Review-1"))</f>
        <v/>
      </c>
      <c r="Y401" s="7" t="str">
        <f>IF(ISBLANK(patch[[#This Row],[project]]), "",COUNTIFS($A:$A,patch[[#This Row],[number]],$S:$S, "SH And dev",$AC:$AC, "Review-1"))</f>
        <v/>
      </c>
      <c r="Z401" s="7" t="str">
        <f>IF(ISBLANK(patch[[#This Row],[project]]), "",COUNTIFS($A:$A,patch[[#This Row],[number]],$S:$S, "BJ And dev",$AD:$AD, "&lt;&gt;IntegratorValidationComment"))</f>
        <v/>
      </c>
      <c r="AA401" s="7" t="str">
        <f>IF(ISBLANK(patch[[#This Row],[project]]), "",COUNTIFS($A:$A,patch[[#This Row],[number]],$S:$S, "FL And dev",$AD:$AD, "&lt;&gt;IntegratorValidationComment"))</f>
        <v/>
      </c>
      <c r="AB401" s="7" t="str">
        <f>IF(ISBLANK(patch[[#This Row],[project]]), "",COUNTIFS($A:$A,patch[[#This Row],[number]],$S:$S, "SH And dev",$AD:$AD, "&lt;&gt;IntegratorValidationComment"))</f>
        <v/>
      </c>
      <c r="AC401" s="7" t="str">
        <f>IF(OR(ISNUMBER(FIND("Review-1", patch[[#This Row],[comments]])), ISNUMBER(FIND("Approver-1", patch[[#This Row],[comments]]))), "Review-1", "")</f>
        <v/>
      </c>
      <c r="AD4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01" s="7">
        <f>IF(ISBLANK(patch[[#This Row],[number]]),AE400,patch[[#This Row],[ifCommon]])</f>
        <v>0</v>
      </c>
    </row>
    <row r="402" spans="1:31">
      <c r="A402" s="151">
        <v>147789</v>
      </c>
      <c r="B402" s="151" t="s">
        <v>2490</v>
      </c>
      <c r="C402" s="151" t="s">
        <v>2795</v>
      </c>
      <c r="D402" s="151" t="s">
        <v>2802</v>
      </c>
      <c r="E402" s="151" t="s">
        <v>677</v>
      </c>
      <c r="F402" s="151" t="s">
        <v>23</v>
      </c>
      <c r="G402" s="151" t="s">
        <v>2803</v>
      </c>
      <c r="H402" s="151" t="s">
        <v>2804</v>
      </c>
      <c r="I402" s="152">
        <v>42636.741226851853</v>
      </c>
      <c r="J402" s="152">
        <v>42639.75377314815</v>
      </c>
      <c r="K402" s="151" t="s">
        <v>2445</v>
      </c>
      <c r="L402" s="151" t="s">
        <v>677</v>
      </c>
      <c r="M402" s="152">
        <v>42636.741226851853</v>
      </c>
      <c r="N402" s="151" t="s">
        <v>25</v>
      </c>
      <c r="O402" s="151"/>
      <c r="P402" s="151" t="s">
        <v>2799</v>
      </c>
      <c r="Q402" s="7" t="str">
        <f>IF(ISBLANK(patch[[#This Row],[OwnerEmail]]),Q401,patch[[#This Row],[OwnerEmail]])</f>
        <v>lipingx.xu@intel.com</v>
      </c>
      <c r="R402" s="7" t="str">
        <f>_xlfn.IFNA(VLOOKUP(patch[[#This Row],[tmp-owner.email]],OrgTree!$A:$K, 11, 0), "not ICG SWFW")</f>
        <v>BJ And dev</v>
      </c>
      <c r="S402" s="7" t="str">
        <f>IF(patch[[#This Row],[reviewer]]=patch[[#This Row],[tmp-owner.email]], "author", _xlfn.IFNA(VLOOKUP(patch[[#This Row],[reviewer]],OrgTree!$A:$K, 11, 0), "not ICG SWFW"))</f>
        <v>author</v>
      </c>
      <c r="T402" s="7" t="str">
        <f>IF(ISBLANK(patch[[#This Row],[mergeDate]]), "", MID(YEAR(patch[[#This Row],[mergeDate]]), 3,2)&amp;"'ww"&amp;WEEKNUM(patch[[#This Row],[mergeDate]]))</f>
        <v>16'ww40</v>
      </c>
      <c r="U402" s="7" t="str">
        <f>IF(ISBLANK(patch[[#This Row],[mergeDate]]), U401, MID(YEAR(patch[[#This Row],[mergeDate]]), 3,2)&amp;"'m"&amp;MONTH(patch[[#This Row],[mergeDate]]))</f>
        <v>16'm9</v>
      </c>
      <c r="V402" s="7">
        <f>IF(ISBLANK(patch[[#This Row],[project]]), "",SUM(patch[[#This Row],[BJ -1 num]:[SH -1 num]]))</f>
        <v>0</v>
      </c>
      <c r="W402" s="7">
        <f>IF(ISBLANK(patch[[#This Row],[project]]), "",COUNTIFS($A:$A,patch[[#This Row],[number]],$S:$S, "BJ And dev",$AC:$AC, "Review-1"))</f>
        <v>0</v>
      </c>
      <c r="X402" s="7">
        <f>IF(ISBLANK(patch[[#This Row],[project]]), "",COUNTIFS($A:$A,patch[[#This Row],[number]],$S:$S, "FL And dev",$AC:$AC, "Review-1"))</f>
        <v>0</v>
      </c>
      <c r="Y402" s="7">
        <f>IF(ISBLANK(patch[[#This Row],[project]]), "",COUNTIFS($A:$A,patch[[#This Row],[number]],$S:$S, "SH And dev",$AC:$AC, "Review-1"))</f>
        <v>0</v>
      </c>
      <c r="Z402" s="7">
        <f>IF(ISBLANK(patch[[#This Row],[project]]), "",COUNTIFS($A:$A,patch[[#This Row],[number]],$S:$S, "BJ And dev",$AD:$AD, "&lt;&gt;IntegratorValidationComment"))</f>
        <v>3</v>
      </c>
      <c r="AA402" s="7">
        <f>IF(ISBLANK(patch[[#This Row],[project]]), "",COUNTIFS($A:$A,patch[[#This Row],[number]],$S:$S, "FL And dev",$AD:$AD, "&lt;&gt;IntegratorValidationComment"))</f>
        <v>0</v>
      </c>
      <c r="AB402" s="7">
        <f>IF(ISBLANK(patch[[#This Row],[project]]), "",COUNTIFS($A:$A,patch[[#This Row],[number]],$S:$S, "SH And dev",$AD:$AD, "&lt;&gt;IntegratorValidationComment"))</f>
        <v>0</v>
      </c>
      <c r="AC402" s="7" t="str">
        <f>IF(OR(ISNUMBER(FIND("Review-1", patch[[#This Row],[comments]])), ISNUMBER(FIND("Approver-1", patch[[#This Row],[comments]]))), "Review-1", "")</f>
        <v/>
      </c>
      <c r="AD4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02" s="7" t="str">
        <f>IF(ISBLANK(patch[[#This Row],[number]]),AE401,patch[[#This Row],[ifCommon]])</f>
        <v>not AndrHAL</v>
      </c>
    </row>
    <row r="403" spans="1:31">
      <c r="A403" s="151">
        <v>147789</v>
      </c>
      <c r="B403" s="151"/>
      <c r="C403" s="151"/>
      <c r="D403" s="151"/>
      <c r="E403" s="151"/>
      <c r="F403" s="151"/>
      <c r="G403" s="151"/>
      <c r="H403" s="151"/>
      <c r="I403" s="151"/>
      <c r="J403" s="152">
        <v>42639.75377314815</v>
      </c>
      <c r="K403" s="151"/>
      <c r="L403" s="151" t="s">
        <v>677</v>
      </c>
      <c r="M403" s="152">
        <v>42636.741249999999</v>
      </c>
      <c r="N403" s="151" t="s">
        <v>2428</v>
      </c>
      <c r="O403" s="151"/>
      <c r="P403" s="151"/>
      <c r="Q403" s="7" t="str">
        <f>IF(ISBLANK(patch[[#This Row],[OwnerEmail]]),Q402,patch[[#This Row],[OwnerEmail]])</f>
        <v>lipingx.xu@intel.com</v>
      </c>
      <c r="R403" s="7" t="str">
        <f>_xlfn.IFNA(VLOOKUP(patch[[#This Row],[tmp-owner.email]],OrgTree!$A:$K, 11, 0), "not ICG SWFW")</f>
        <v>BJ And dev</v>
      </c>
      <c r="S403" s="7" t="str">
        <f>IF(patch[[#This Row],[reviewer]]=patch[[#This Row],[tmp-owner.email]], "author", _xlfn.IFNA(VLOOKUP(patch[[#This Row],[reviewer]],OrgTree!$A:$K, 11, 0), "not ICG SWFW"))</f>
        <v>author</v>
      </c>
      <c r="T403" s="7" t="str">
        <f>IF(ISBLANK(patch[[#This Row],[mergeDate]]), "", MID(YEAR(patch[[#This Row],[mergeDate]]), 3,2)&amp;"'ww"&amp;WEEKNUM(patch[[#This Row],[mergeDate]]))</f>
        <v>16'ww40</v>
      </c>
      <c r="U403" s="7" t="str">
        <f>IF(ISBLANK(patch[[#This Row],[mergeDate]]), U402, MID(YEAR(patch[[#This Row],[mergeDate]]), 3,2)&amp;"'m"&amp;MONTH(patch[[#This Row],[mergeDate]]))</f>
        <v>16'm9</v>
      </c>
      <c r="V403" s="7" t="str">
        <f>IF(ISBLANK(patch[[#This Row],[project]]), "",SUM(patch[[#This Row],[BJ -1 num]:[SH -1 num]]))</f>
        <v/>
      </c>
      <c r="W403" s="7" t="str">
        <f>IF(ISBLANK(patch[[#This Row],[project]]), "",COUNTIFS($A:$A,patch[[#This Row],[number]],$S:$S, "BJ And dev",$AC:$AC, "Review-1"))</f>
        <v/>
      </c>
      <c r="X403" s="7" t="str">
        <f>IF(ISBLANK(patch[[#This Row],[project]]), "",COUNTIFS($A:$A,patch[[#This Row],[number]],$S:$S, "FL And dev",$AC:$AC, "Review-1"))</f>
        <v/>
      </c>
      <c r="Y403" s="7" t="str">
        <f>IF(ISBLANK(patch[[#This Row],[project]]), "",COUNTIFS($A:$A,patch[[#This Row],[number]],$S:$S, "SH And dev",$AC:$AC, "Review-1"))</f>
        <v/>
      </c>
      <c r="Z403" s="7" t="str">
        <f>IF(ISBLANK(patch[[#This Row],[project]]), "",COUNTIFS($A:$A,patch[[#This Row],[number]],$S:$S, "BJ And dev",$AD:$AD, "&lt;&gt;IntegratorValidationComment"))</f>
        <v/>
      </c>
      <c r="AA403" s="7" t="str">
        <f>IF(ISBLANK(patch[[#This Row],[project]]), "",COUNTIFS($A:$A,patch[[#This Row],[number]],$S:$S, "FL And dev",$AD:$AD, "&lt;&gt;IntegratorValidationComment"))</f>
        <v/>
      </c>
      <c r="AB403" s="7" t="str">
        <f>IF(ISBLANK(patch[[#This Row],[project]]), "",COUNTIFS($A:$A,patch[[#This Row],[number]],$S:$S, "SH And dev",$AD:$AD, "&lt;&gt;IntegratorValidationComment"))</f>
        <v/>
      </c>
      <c r="AC403" s="7" t="str">
        <f>IF(OR(ISNUMBER(FIND("Review-1", patch[[#This Row],[comments]])), ISNUMBER(FIND("Approver-1", patch[[#This Row],[comments]]))), "Review-1", "")</f>
        <v/>
      </c>
      <c r="AD4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03" s="7">
        <f>IF(ISBLANK(patch[[#This Row],[number]]),AE402,patch[[#This Row],[ifCommon]])</f>
        <v>0</v>
      </c>
    </row>
    <row r="404" spans="1:31">
      <c r="A404" s="151">
        <v>147789</v>
      </c>
      <c r="B404" s="151"/>
      <c r="C404" s="151"/>
      <c r="D404" s="151"/>
      <c r="E404" s="151"/>
      <c r="F404" s="151"/>
      <c r="G404" s="151"/>
      <c r="H404" s="151"/>
      <c r="I404" s="152"/>
      <c r="J404" s="152">
        <v>42639.75377314815</v>
      </c>
      <c r="K404" s="151"/>
      <c r="L404" s="151" t="s">
        <v>677</v>
      </c>
      <c r="M404" s="152">
        <v>42636.741689814808</v>
      </c>
      <c r="N404" s="151" t="s">
        <v>40</v>
      </c>
      <c r="O404" s="151"/>
      <c r="P404" s="151"/>
      <c r="Q404" s="7" t="str">
        <f>IF(ISBLANK(patch[[#This Row],[OwnerEmail]]),Q403,patch[[#This Row],[OwnerEmail]])</f>
        <v>lipingx.xu@intel.com</v>
      </c>
      <c r="R404" s="7" t="str">
        <f>_xlfn.IFNA(VLOOKUP(patch[[#This Row],[tmp-owner.email]],OrgTree!$A:$K, 11, 0), "not ICG SWFW")</f>
        <v>BJ And dev</v>
      </c>
      <c r="S404" s="7" t="str">
        <f>IF(patch[[#This Row],[reviewer]]=patch[[#This Row],[tmp-owner.email]], "author", _xlfn.IFNA(VLOOKUP(patch[[#This Row],[reviewer]],OrgTree!$A:$K, 11, 0), "not ICG SWFW"))</f>
        <v>author</v>
      </c>
      <c r="T404" s="7" t="str">
        <f>IF(ISBLANK(patch[[#This Row],[mergeDate]]), "", MID(YEAR(patch[[#This Row],[mergeDate]]), 3,2)&amp;"'ww"&amp;WEEKNUM(patch[[#This Row],[mergeDate]]))</f>
        <v>16'ww40</v>
      </c>
      <c r="U404" s="7" t="str">
        <f>IF(ISBLANK(patch[[#This Row],[mergeDate]]), U403, MID(YEAR(patch[[#This Row],[mergeDate]]), 3,2)&amp;"'m"&amp;MONTH(patch[[#This Row],[mergeDate]]))</f>
        <v>16'm9</v>
      </c>
      <c r="V404" s="7" t="str">
        <f>IF(ISBLANK(patch[[#This Row],[project]]), "",SUM(patch[[#This Row],[BJ -1 num]:[SH -1 num]]))</f>
        <v/>
      </c>
      <c r="W404" s="7" t="str">
        <f>IF(ISBLANK(patch[[#This Row],[project]]), "",COUNTIFS($A:$A,patch[[#This Row],[number]],$S:$S, "BJ And dev",$AC:$AC, "Review-1"))</f>
        <v/>
      </c>
      <c r="X404" s="7" t="str">
        <f>IF(ISBLANK(patch[[#This Row],[project]]), "",COUNTIFS($A:$A,patch[[#This Row],[number]],$S:$S, "FL And dev",$AC:$AC, "Review-1"))</f>
        <v/>
      </c>
      <c r="Y404" s="7" t="str">
        <f>IF(ISBLANK(patch[[#This Row],[project]]), "",COUNTIFS($A:$A,patch[[#This Row],[number]],$S:$S, "SH And dev",$AC:$AC, "Review-1"))</f>
        <v/>
      </c>
      <c r="Z404" s="7" t="str">
        <f>IF(ISBLANK(patch[[#This Row],[project]]), "",COUNTIFS($A:$A,patch[[#This Row],[number]],$S:$S, "BJ And dev",$AD:$AD, "&lt;&gt;IntegratorValidationComment"))</f>
        <v/>
      </c>
      <c r="AA404" s="7" t="str">
        <f>IF(ISBLANK(patch[[#This Row],[project]]), "",COUNTIFS($A:$A,patch[[#This Row],[number]],$S:$S, "FL And dev",$AD:$AD, "&lt;&gt;IntegratorValidationComment"))</f>
        <v/>
      </c>
      <c r="AB404" s="7" t="str">
        <f>IF(ISBLANK(patch[[#This Row],[project]]), "",COUNTIFS($A:$A,patch[[#This Row],[number]],$S:$S, "SH And dev",$AD:$AD, "&lt;&gt;IntegratorValidationComment"))</f>
        <v/>
      </c>
      <c r="AC404" s="7" t="str">
        <f>IF(OR(ISNUMBER(FIND("Review-1", patch[[#This Row],[comments]])), ISNUMBER(FIND("Approver-1", patch[[#This Row],[comments]]))), "Review-1", "")</f>
        <v/>
      </c>
      <c r="AD4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04" s="7">
        <f>IF(ISBLANK(patch[[#This Row],[number]]),AE403,patch[[#This Row],[ifCommon]])</f>
        <v>0</v>
      </c>
    </row>
    <row r="405" spans="1:31">
      <c r="A405" s="151">
        <v>147789</v>
      </c>
      <c r="B405" s="151"/>
      <c r="C405" s="151"/>
      <c r="D405" s="151"/>
      <c r="E405" s="151"/>
      <c r="F405" s="151"/>
      <c r="G405" s="151"/>
      <c r="H405" s="151"/>
      <c r="I405" s="151"/>
      <c r="J405" s="152">
        <v>42639.75377314815</v>
      </c>
      <c r="K405" s="151"/>
      <c r="L405" s="151" t="s">
        <v>59</v>
      </c>
      <c r="M405" s="152">
        <v>42636.749363425923</v>
      </c>
      <c r="N405" s="151" t="s">
        <v>1880</v>
      </c>
      <c r="O405" s="151"/>
      <c r="P405" s="151"/>
      <c r="Q405" s="7" t="str">
        <f>IF(ISBLANK(patch[[#This Row],[OwnerEmail]]),Q404,patch[[#This Row],[OwnerEmail]])</f>
        <v>lipingx.xu@intel.com</v>
      </c>
      <c r="R405" s="7" t="str">
        <f>_xlfn.IFNA(VLOOKUP(patch[[#This Row],[tmp-owner.email]],OrgTree!$A:$K, 11, 0), "not ICG SWFW")</f>
        <v>BJ And dev</v>
      </c>
      <c r="S405" s="7" t="str">
        <f>IF(patch[[#This Row],[reviewer]]=patch[[#This Row],[tmp-owner.email]], "author", _xlfn.IFNA(VLOOKUP(patch[[#This Row],[reviewer]],OrgTree!$A:$K, 11, 0), "not ICG SWFW"))</f>
        <v>BJ And dev</v>
      </c>
      <c r="T405" s="7" t="str">
        <f>IF(ISBLANK(patch[[#This Row],[mergeDate]]), "", MID(YEAR(patch[[#This Row],[mergeDate]]), 3,2)&amp;"'ww"&amp;WEEKNUM(patch[[#This Row],[mergeDate]]))</f>
        <v>16'ww40</v>
      </c>
      <c r="U405" s="7" t="str">
        <f>IF(ISBLANK(patch[[#This Row],[mergeDate]]), U404, MID(YEAR(patch[[#This Row],[mergeDate]]), 3,2)&amp;"'m"&amp;MONTH(patch[[#This Row],[mergeDate]]))</f>
        <v>16'm9</v>
      </c>
      <c r="V405" s="7" t="str">
        <f>IF(ISBLANK(patch[[#This Row],[project]]), "",SUM(patch[[#This Row],[BJ -1 num]:[SH -1 num]]))</f>
        <v/>
      </c>
      <c r="W405" s="7" t="str">
        <f>IF(ISBLANK(patch[[#This Row],[project]]), "",COUNTIFS($A:$A,patch[[#This Row],[number]],$S:$S, "BJ And dev",$AC:$AC, "Review-1"))</f>
        <v/>
      </c>
      <c r="X405" s="7" t="str">
        <f>IF(ISBLANK(patch[[#This Row],[project]]), "",COUNTIFS($A:$A,patch[[#This Row],[number]],$S:$S, "FL And dev",$AC:$AC, "Review-1"))</f>
        <v/>
      </c>
      <c r="Y405" s="7" t="str">
        <f>IF(ISBLANK(patch[[#This Row],[project]]), "",COUNTIFS($A:$A,patch[[#This Row],[number]],$S:$S, "SH And dev",$AC:$AC, "Review-1"))</f>
        <v/>
      </c>
      <c r="Z405" s="7" t="str">
        <f>IF(ISBLANK(patch[[#This Row],[project]]), "",COUNTIFS($A:$A,patch[[#This Row],[number]],$S:$S, "BJ And dev",$AD:$AD, "&lt;&gt;IntegratorValidationComment"))</f>
        <v/>
      </c>
      <c r="AA405" s="7" t="str">
        <f>IF(ISBLANK(patch[[#This Row],[project]]), "",COUNTIFS($A:$A,patch[[#This Row],[number]],$S:$S, "FL And dev",$AD:$AD, "&lt;&gt;IntegratorValidationComment"))</f>
        <v/>
      </c>
      <c r="AB405" s="7" t="str">
        <f>IF(ISBLANK(patch[[#This Row],[project]]), "",COUNTIFS($A:$A,patch[[#This Row],[number]],$S:$S, "SH And dev",$AD:$AD, "&lt;&gt;IntegratorValidationComment"))</f>
        <v/>
      </c>
      <c r="AC405" s="7" t="str">
        <f>IF(OR(ISNUMBER(FIND("Review-1", patch[[#This Row],[comments]])), ISNUMBER(FIND("Approver-1", patch[[#This Row],[comments]]))), "Review-1", "")</f>
        <v/>
      </c>
      <c r="AD4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05" s="7">
        <f>IF(ISBLANK(patch[[#This Row],[number]]),AE404,patch[[#This Row],[ifCommon]])</f>
        <v>0</v>
      </c>
    </row>
    <row r="406" spans="1:31">
      <c r="A406" s="151">
        <v>147789</v>
      </c>
      <c r="B406" s="151"/>
      <c r="C406" s="151"/>
      <c r="D406" s="151"/>
      <c r="E406" s="151"/>
      <c r="F406" s="151"/>
      <c r="G406" s="151"/>
      <c r="H406" s="151"/>
      <c r="I406" s="151"/>
      <c r="J406" s="152">
        <v>42639.75377314815</v>
      </c>
      <c r="K406" s="151"/>
      <c r="L406" s="151" t="s">
        <v>59</v>
      </c>
      <c r="M406" s="152">
        <v>42636.7502662037</v>
      </c>
      <c r="N406" s="151" t="s">
        <v>2805</v>
      </c>
      <c r="O406" s="151"/>
      <c r="P406" s="151"/>
      <c r="Q406" s="7" t="str">
        <f>IF(ISBLANK(patch[[#This Row],[OwnerEmail]]),Q405,patch[[#This Row],[OwnerEmail]])</f>
        <v>lipingx.xu@intel.com</v>
      </c>
      <c r="R406" s="7" t="str">
        <f>_xlfn.IFNA(VLOOKUP(patch[[#This Row],[tmp-owner.email]],OrgTree!$A:$K, 11, 0), "not ICG SWFW")</f>
        <v>BJ And dev</v>
      </c>
      <c r="S406" s="7" t="str">
        <f>IF(patch[[#This Row],[reviewer]]=patch[[#This Row],[tmp-owner.email]], "author", _xlfn.IFNA(VLOOKUP(patch[[#This Row],[reviewer]],OrgTree!$A:$K, 11, 0), "not ICG SWFW"))</f>
        <v>BJ And dev</v>
      </c>
      <c r="T406" s="7" t="str">
        <f>IF(ISBLANK(patch[[#This Row],[mergeDate]]), "", MID(YEAR(patch[[#This Row],[mergeDate]]), 3,2)&amp;"'ww"&amp;WEEKNUM(patch[[#This Row],[mergeDate]]))</f>
        <v>16'ww40</v>
      </c>
      <c r="U406" s="7" t="str">
        <f>IF(ISBLANK(patch[[#This Row],[mergeDate]]), U405, MID(YEAR(patch[[#This Row],[mergeDate]]), 3,2)&amp;"'m"&amp;MONTH(patch[[#This Row],[mergeDate]]))</f>
        <v>16'm9</v>
      </c>
      <c r="V406" s="7" t="str">
        <f>IF(ISBLANK(patch[[#This Row],[project]]), "",SUM(patch[[#This Row],[BJ -1 num]:[SH -1 num]]))</f>
        <v/>
      </c>
      <c r="W406" s="7" t="str">
        <f>IF(ISBLANK(patch[[#This Row],[project]]), "",COUNTIFS($A:$A,patch[[#This Row],[number]],$S:$S, "BJ And dev",$AC:$AC, "Review-1"))</f>
        <v/>
      </c>
      <c r="X406" s="7" t="str">
        <f>IF(ISBLANK(patch[[#This Row],[project]]), "",COUNTIFS($A:$A,patch[[#This Row],[number]],$S:$S, "FL And dev",$AC:$AC, "Review-1"))</f>
        <v/>
      </c>
      <c r="Y406" s="7" t="str">
        <f>IF(ISBLANK(patch[[#This Row],[project]]), "",COUNTIFS($A:$A,patch[[#This Row],[number]],$S:$S, "SH And dev",$AC:$AC, "Review-1"))</f>
        <v/>
      </c>
      <c r="Z406" s="7" t="str">
        <f>IF(ISBLANK(patch[[#This Row],[project]]), "",COUNTIFS($A:$A,patch[[#This Row],[number]],$S:$S, "BJ And dev",$AD:$AD, "&lt;&gt;IntegratorValidationComment"))</f>
        <v/>
      </c>
      <c r="AA406" s="7" t="str">
        <f>IF(ISBLANK(patch[[#This Row],[project]]), "",COUNTIFS($A:$A,patch[[#This Row],[number]],$S:$S, "FL And dev",$AD:$AD, "&lt;&gt;IntegratorValidationComment"))</f>
        <v/>
      </c>
      <c r="AB406" s="7" t="str">
        <f>IF(ISBLANK(patch[[#This Row],[project]]), "",COUNTIFS($A:$A,patch[[#This Row],[number]],$S:$S, "SH And dev",$AD:$AD, "&lt;&gt;IntegratorValidationComment"))</f>
        <v/>
      </c>
      <c r="AC406" s="7" t="str">
        <f>IF(OR(ISNUMBER(FIND("Review-1", patch[[#This Row],[comments]])), ISNUMBER(FIND("Approver-1", patch[[#This Row],[comments]]))), "Review-1", "")</f>
        <v/>
      </c>
      <c r="AD4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06" s="7">
        <f>IF(ISBLANK(patch[[#This Row],[number]]),AE405,patch[[#This Row],[ifCommon]])</f>
        <v>0</v>
      </c>
    </row>
    <row r="407" spans="1:31">
      <c r="A407" s="151">
        <v>147789</v>
      </c>
      <c r="B407" s="151"/>
      <c r="C407" s="151"/>
      <c r="D407" s="151"/>
      <c r="E407" s="151"/>
      <c r="F407" s="151"/>
      <c r="G407" s="151"/>
      <c r="H407" s="151"/>
      <c r="I407" s="151"/>
      <c r="J407" s="152">
        <v>42639.75377314815</v>
      </c>
      <c r="K407" s="151"/>
      <c r="L407" s="151" t="s">
        <v>59</v>
      </c>
      <c r="M407" s="152">
        <v>42636.764479166668</v>
      </c>
      <c r="N407" s="151" t="s">
        <v>2806</v>
      </c>
      <c r="O407" s="151"/>
      <c r="P407" s="151"/>
      <c r="Q407" s="7" t="str">
        <f>IF(ISBLANK(patch[[#This Row],[OwnerEmail]]),Q406,patch[[#This Row],[OwnerEmail]])</f>
        <v>lipingx.xu@intel.com</v>
      </c>
      <c r="R407" s="7" t="str">
        <f>_xlfn.IFNA(VLOOKUP(patch[[#This Row],[tmp-owner.email]],OrgTree!$A:$K, 11, 0), "not ICG SWFW")</f>
        <v>BJ And dev</v>
      </c>
      <c r="S407" s="7" t="str">
        <f>IF(patch[[#This Row],[reviewer]]=patch[[#This Row],[tmp-owner.email]], "author", _xlfn.IFNA(VLOOKUP(patch[[#This Row],[reviewer]],OrgTree!$A:$K, 11, 0), "not ICG SWFW"))</f>
        <v>BJ And dev</v>
      </c>
      <c r="T407" s="7" t="str">
        <f>IF(ISBLANK(patch[[#This Row],[mergeDate]]), "", MID(YEAR(patch[[#This Row],[mergeDate]]), 3,2)&amp;"'ww"&amp;WEEKNUM(patch[[#This Row],[mergeDate]]))</f>
        <v>16'ww40</v>
      </c>
      <c r="U407" s="7" t="str">
        <f>IF(ISBLANK(patch[[#This Row],[mergeDate]]), U406, MID(YEAR(patch[[#This Row],[mergeDate]]), 3,2)&amp;"'m"&amp;MONTH(patch[[#This Row],[mergeDate]]))</f>
        <v>16'm9</v>
      </c>
      <c r="V407" s="7" t="str">
        <f>IF(ISBLANK(patch[[#This Row],[project]]), "",SUM(patch[[#This Row],[BJ -1 num]:[SH -1 num]]))</f>
        <v/>
      </c>
      <c r="W407" s="7" t="str">
        <f>IF(ISBLANK(patch[[#This Row],[project]]), "",COUNTIFS($A:$A,patch[[#This Row],[number]],$S:$S, "BJ And dev",$AC:$AC, "Review-1"))</f>
        <v/>
      </c>
      <c r="X407" s="7" t="str">
        <f>IF(ISBLANK(patch[[#This Row],[project]]), "",COUNTIFS($A:$A,patch[[#This Row],[number]],$S:$S, "FL And dev",$AC:$AC, "Review-1"))</f>
        <v/>
      </c>
      <c r="Y407" s="7" t="str">
        <f>IF(ISBLANK(patch[[#This Row],[project]]), "",COUNTIFS($A:$A,patch[[#This Row],[number]],$S:$S, "SH And dev",$AC:$AC, "Review-1"))</f>
        <v/>
      </c>
      <c r="Z407" s="7" t="str">
        <f>IF(ISBLANK(patch[[#This Row],[project]]), "",COUNTIFS($A:$A,patch[[#This Row],[number]],$S:$S, "BJ And dev",$AD:$AD, "&lt;&gt;IntegratorValidationComment"))</f>
        <v/>
      </c>
      <c r="AA407" s="7" t="str">
        <f>IF(ISBLANK(patch[[#This Row],[project]]), "",COUNTIFS($A:$A,patch[[#This Row],[number]],$S:$S, "FL And dev",$AD:$AD, "&lt;&gt;IntegratorValidationComment"))</f>
        <v/>
      </c>
      <c r="AB407" s="7" t="str">
        <f>IF(ISBLANK(patch[[#This Row],[project]]), "",COUNTIFS($A:$A,patch[[#This Row],[number]],$S:$S, "SH And dev",$AD:$AD, "&lt;&gt;IntegratorValidationComment"))</f>
        <v/>
      </c>
      <c r="AC407" s="7" t="str">
        <f>IF(OR(ISNUMBER(FIND("Review-1", patch[[#This Row],[comments]])), ISNUMBER(FIND("Approver-1", patch[[#This Row],[comments]]))), "Review-1", "")</f>
        <v/>
      </c>
      <c r="AD4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07" s="7">
        <f>IF(ISBLANK(patch[[#This Row],[number]]),AE406,patch[[#This Row],[ifCommon]])</f>
        <v>0</v>
      </c>
    </row>
    <row r="408" spans="1:31">
      <c r="A408" s="151">
        <v>147789</v>
      </c>
      <c r="B408" s="151"/>
      <c r="C408" s="151"/>
      <c r="D408" s="151"/>
      <c r="E408" s="151"/>
      <c r="F408" s="151"/>
      <c r="G408" s="151"/>
      <c r="H408" s="151"/>
      <c r="I408" s="152"/>
      <c r="J408" s="152">
        <v>42639.75377314815</v>
      </c>
      <c r="K408" s="151"/>
      <c r="L408" s="151" t="s">
        <v>115</v>
      </c>
      <c r="M408" s="152">
        <v>42639.480462962973</v>
      </c>
      <c r="N408" s="151" t="s">
        <v>2494</v>
      </c>
      <c r="O408" s="151"/>
      <c r="P408" s="151"/>
      <c r="Q408" s="7" t="str">
        <f>IF(ISBLANK(patch[[#This Row],[OwnerEmail]]),Q407,patch[[#This Row],[OwnerEmail]])</f>
        <v>lipingx.xu@intel.com</v>
      </c>
      <c r="R408" s="7" t="str">
        <f>_xlfn.IFNA(VLOOKUP(patch[[#This Row],[tmp-owner.email]],OrgTree!$A:$K, 11, 0), "not ICG SWFW")</f>
        <v>BJ And dev</v>
      </c>
      <c r="S408" s="7" t="str">
        <f>IF(patch[[#This Row],[reviewer]]=patch[[#This Row],[tmp-owner.email]], "author", _xlfn.IFNA(VLOOKUP(patch[[#This Row],[reviewer]],OrgTree!$A:$K, 11, 0), "not ICG SWFW"))</f>
        <v>Val</v>
      </c>
      <c r="T408" s="7" t="str">
        <f>IF(ISBLANK(patch[[#This Row],[mergeDate]]), "", MID(YEAR(patch[[#This Row],[mergeDate]]), 3,2)&amp;"'ww"&amp;WEEKNUM(patch[[#This Row],[mergeDate]]))</f>
        <v>16'ww40</v>
      </c>
      <c r="U408" s="7" t="str">
        <f>IF(ISBLANK(patch[[#This Row],[mergeDate]]), U407, MID(YEAR(patch[[#This Row],[mergeDate]]), 3,2)&amp;"'m"&amp;MONTH(patch[[#This Row],[mergeDate]]))</f>
        <v>16'm9</v>
      </c>
      <c r="V408" s="7" t="str">
        <f>IF(ISBLANK(patch[[#This Row],[project]]), "",SUM(patch[[#This Row],[BJ -1 num]:[SH -1 num]]))</f>
        <v/>
      </c>
      <c r="W408" s="7" t="str">
        <f>IF(ISBLANK(patch[[#This Row],[project]]), "",COUNTIFS($A:$A,patch[[#This Row],[number]],$S:$S, "BJ And dev",$AC:$AC, "Review-1"))</f>
        <v/>
      </c>
      <c r="X408" s="7" t="str">
        <f>IF(ISBLANK(patch[[#This Row],[project]]), "",COUNTIFS($A:$A,patch[[#This Row],[number]],$S:$S, "FL And dev",$AC:$AC, "Review-1"))</f>
        <v/>
      </c>
      <c r="Y408" s="7" t="str">
        <f>IF(ISBLANK(patch[[#This Row],[project]]), "",COUNTIFS($A:$A,patch[[#This Row],[number]],$S:$S, "SH And dev",$AC:$AC, "Review-1"))</f>
        <v/>
      </c>
      <c r="Z408" s="7" t="str">
        <f>IF(ISBLANK(patch[[#This Row],[project]]), "",COUNTIFS($A:$A,patch[[#This Row],[number]],$S:$S, "BJ And dev",$AD:$AD, "&lt;&gt;IntegratorValidationComment"))</f>
        <v/>
      </c>
      <c r="AA408" s="7" t="str">
        <f>IF(ISBLANK(patch[[#This Row],[project]]), "",COUNTIFS($A:$A,patch[[#This Row],[number]],$S:$S, "FL And dev",$AD:$AD, "&lt;&gt;IntegratorValidationComment"))</f>
        <v/>
      </c>
      <c r="AB408" s="7" t="str">
        <f>IF(ISBLANK(patch[[#This Row],[project]]), "",COUNTIFS($A:$A,patch[[#This Row],[number]],$S:$S, "SH And dev",$AD:$AD, "&lt;&gt;IntegratorValidationComment"))</f>
        <v/>
      </c>
      <c r="AC408" s="7" t="str">
        <f>IF(OR(ISNUMBER(FIND("Review-1", patch[[#This Row],[comments]])), ISNUMBER(FIND("Approver-1", patch[[#This Row],[comments]]))), "Review-1", "")</f>
        <v/>
      </c>
      <c r="AD4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408" s="7">
        <f>IF(ISBLANK(patch[[#This Row],[number]]),AE407,patch[[#This Row],[ifCommon]])</f>
        <v>0</v>
      </c>
    </row>
    <row r="409" spans="1:31">
      <c r="A409" s="151">
        <v>147789</v>
      </c>
      <c r="B409" s="151"/>
      <c r="C409" s="151"/>
      <c r="D409" s="151"/>
      <c r="E409" s="151"/>
      <c r="F409" s="151"/>
      <c r="G409" s="151"/>
      <c r="H409" s="151"/>
      <c r="I409" s="151"/>
      <c r="J409" s="152">
        <v>42639.75377314815</v>
      </c>
      <c r="K409" s="151"/>
      <c r="L409" s="151" t="s">
        <v>115</v>
      </c>
      <c r="M409" s="152">
        <v>42639.753738425927</v>
      </c>
      <c r="N409" s="151" t="s">
        <v>2429</v>
      </c>
      <c r="O409" s="151"/>
      <c r="P409" s="151"/>
      <c r="Q409" s="7" t="str">
        <f>IF(ISBLANK(patch[[#This Row],[OwnerEmail]]),Q408,patch[[#This Row],[OwnerEmail]])</f>
        <v>lipingx.xu@intel.com</v>
      </c>
      <c r="R409" s="7" t="str">
        <f>_xlfn.IFNA(VLOOKUP(patch[[#This Row],[tmp-owner.email]],OrgTree!$A:$K, 11, 0), "not ICG SWFW")</f>
        <v>BJ And dev</v>
      </c>
      <c r="S409" s="7" t="str">
        <f>IF(patch[[#This Row],[reviewer]]=patch[[#This Row],[tmp-owner.email]], "author", _xlfn.IFNA(VLOOKUP(patch[[#This Row],[reviewer]],OrgTree!$A:$K, 11, 0), "not ICG SWFW"))</f>
        <v>Val</v>
      </c>
      <c r="T409" s="7" t="str">
        <f>IF(ISBLANK(patch[[#This Row],[mergeDate]]), "", MID(YEAR(patch[[#This Row],[mergeDate]]), 3,2)&amp;"'ww"&amp;WEEKNUM(patch[[#This Row],[mergeDate]]))</f>
        <v>16'ww40</v>
      </c>
      <c r="U409" s="7" t="str">
        <f>IF(ISBLANK(patch[[#This Row],[mergeDate]]), U408, MID(YEAR(patch[[#This Row],[mergeDate]]), 3,2)&amp;"'m"&amp;MONTH(patch[[#This Row],[mergeDate]]))</f>
        <v>16'm9</v>
      </c>
      <c r="V409" s="7" t="str">
        <f>IF(ISBLANK(patch[[#This Row],[project]]), "",SUM(patch[[#This Row],[BJ -1 num]:[SH -1 num]]))</f>
        <v/>
      </c>
      <c r="W409" s="7" t="str">
        <f>IF(ISBLANK(patch[[#This Row],[project]]), "",COUNTIFS($A:$A,patch[[#This Row],[number]],$S:$S, "BJ And dev",$AC:$AC, "Review-1"))</f>
        <v/>
      </c>
      <c r="X409" s="7" t="str">
        <f>IF(ISBLANK(patch[[#This Row],[project]]), "",COUNTIFS($A:$A,patch[[#This Row],[number]],$S:$S, "FL And dev",$AC:$AC, "Review-1"))</f>
        <v/>
      </c>
      <c r="Y409" s="7" t="str">
        <f>IF(ISBLANK(patch[[#This Row],[project]]), "",COUNTIFS($A:$A,patch[[#This Row],[number]],$S:$S, "SH And dev",$AC:$AC, "Review-1"))</f>
        <v/>
      </c>
      <c r="Z409" s="7" t="str">
        <f>IF(ISBLANK(patch[[#This Row],[project]]), "",COUNTIFS($A:$A,patch[[#This Row],[number]],$S:$S, "BJ And dev",$AD:$AD, "&lt;&gt;IntegratorValidationComment"))</f>
        <v/>
      </c>
      <c r="AA409" s="7" t="str">
        <f>IF(ISBLANK(patch[[#This Row],[project]]), "",COUNTIFS($A:$A,patch[[#This Row],[number]],$S:$S, "FL And dev",$AD:$AD, "&lt;&gt;IntegratorValidationComment"))</f>
        <v/>
      </c>
      <c r="AB409" s="7" t="str">
        <f>IF(ISBLANK(patch[[#This Row],[project]]), "",COUNTIFS($A:$A,patch[[#This Row],[number]],$S:$S, "SH And dev",$AD:$AD, "&lt;&gt;IntegratorValidationComment"))</f>
        <v/>
      </c>
      <c r="AC409" s="7" t="str">
        <f>IF(OR(ISNUMBER(FIND("Review-1", patch[[#This Row],[comments]])), ISNUMBER(FIND("Approver-1", patch[[#This Row],[comments]]))), "Review-1", "")</f>
        <v/>
      </c>
      <c r="AD4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09" s="7">
        <f>IF(ISBLANK(patch[[#This Row],[number]]),AE408,patch[[#This Row],[ifCommon]])</f>
        <v>0</v>
      </c>
    </row>
    <row r="410" spans="1:31">
      <c r="A410" s="151">
        <v>147789</v>
      </c>
      <c r="B410" s="151"/>
      <c r="C410" s="151"/>
      <c r="D410" s="151"/>
      <c r="E410" s="151"/>
      <c r="F410" s="151"/>
      <c r="G410" s="151"/>
      <c r="H410" s="151"/>
      <c r="I410" s="151"/>
      <c r="J410" s="152">
        <v>42639.75377314815</v>
      </c>
      <c r="K410" s="151"/>
      <c r="L410" s="151" t="s">
        <v>115</v>
      </c>
      <c r="M410" s="152">
        <v>42639.753738425927</v>
      </c>
      <c r="N410" s="151" t="s">
        <v>2505</v>
      </c>
      <c r="O410" s="151"/>
      <c r="P410" s="151"/>
      <c r="Q410" s="7" t="str">
        <f>IF(ISBLANK(patch[[#This Row],[OwnerEmail]]),Q409,patch[[#This Row],[OwnerEmail]])</f>
        <v>lipingx.xu@intel.com</v>
      </c>
      <c r="R410" s="7" t="str">
        <f>_xlfn.IFNA(VLOOKUP(patch[[#This Row],[tmp-owner.email]],OrgTree!$A:$K, 11, 0), "not ICG SWFW")</f>
        <v>BJ And dev</v>
      </c>
      <c r="S410" s="7" t="str">
        <f>IF(patch[[#This Row],[reviewer]]=patch[[#This Row],[tmp-owner.email]], "author", _xlfn.IFNA(VLOOKUP(patch[[#This Row],[reviewer]],OrgTree!$A:$K, 11, 0), "not ICG SWFW"))</f>
        <v>Val</v>
      </c>
      <c r="T410" s="7" t="str">
        <f>IF(ISBLANK(patch[[#This Row],[mergeDate]]), "", MID(YEAR(patch[[#This Row],[mergeDate]]), 3,2)&amp;"'ww"&amp;WEEKNUM(patch[[#This Row],[mergeDate]]))</f>
        <v>16'ww40</v>
      </c>
      <c r="U410" s="7" t="str">
        <f>IF(ISBLANK(patch[[#This Row],[mergeDate]]), U409, MID(YEAR(patch[[#This Row],[mergeDate]]), 3,2)&amp;"'m"&amp;MONTH(patch[[#This Row],[mergeDate]]))</f>
        <v>16'm9</v>
      </c>
      <c r="V410" s="7" t="str">
        <f>IF(ISBLANK(patch[[#This Row],[project]]), "",SUM(patch[[#This Row],[BJ -1 num]:[SH -1 num]]))</f>
        <v/>
      </c>
      <c r="W410" s="7" t="str">
        <f>IF(ISBLANK(patch[[#This Row],[project]]), "",COUNTIFS($A:$A,patch[[#This Row],[number]],$S:$S, "BJ And dev",$AC:$AC, "Review-1"))</f>
        <v/>
      </c>
      <c r="X410" s="7" t="str">
        <f>IF(ISBLANK(patch[[#This Row],[project]]), "",COUNTIFS($A:$A,patch[[#This Row],[number]],$S:$S, "FL And dev",$AC:$AC, "Review-1"))</f>
        <v/>
      </c>
      <c r="Y410" s="7" t="str">
        <f>IF(ISBLANK(patch[[#This Row],[project]]), "",COUNTIFS($A:$A,patch[[#This Row],[number]],$S:$S, "SH And dev",$AC:$AC, "Review-1"))</f>
        <v/>
      </c>
      <c r="Z410" s="7" t="str">
        <f>IF(ISBLANK(patch[[#This Row],[project]]), "",COUNTIFS($A:$A,patch[[#This Row],[number]],$S:$S, "BJ And dev",$AD:$AD, "&lt;&gt;IntegratorValidationComment"))</f>
        <v/>
      </c>
      <c r="AA410" s="7" t="str">
        <f>IF(ISBLANK(patch[[#This Row],[project]]), "",COUNTIFS($A:$A,patch[[#This Row],[number]],$S:$S, "FL And dev",$AD:$AD, "&lt;&gt;IntegratorValidationComment"))</f>
        <v/>
      </c>
      <c r="AB410" s="7" t="str">
        <f>IF(ISBLANK(patch[[#This Row],[project]]), "",COUNTIFS($A:$A,patch[[#This Row],[number]],$S:$S, "SH And dev",$AD:$AD, "&lt;&gt;IntegratorValidationComment"))</f>
        <v/>
      </c>
      <c r="AC410" s="7" t="str">
        <f>IF(OR(ISNUMBER(FIND("Review-1", patch[[#This Row],[comments]])), ISNUMBER(FIND("Approver-1", patch[[#This Row],[comments]]))), "Review-1", "")</f>
        <v/>
      </c>
      <c r="AD4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10" s="7">
        <f>IF(ISBLANK(patch[[#This Row],[number]]),AE409,patch[[#This Row],[ifCommon]])</f>
        <v>0</v>
      </c>
    </row>
    <row r="411" spans="1:31">
      <c r="A411" s="151">
        <v>147788</v>
      </c>
      <c r="B411" s="151" t="s">
        <v>2490</v>
      </c>
      <c r="C411" s="151" t="s">
        <v>2795</v>
      </c>
      <c r="D411" s="151" t="s">
        <v>2807</v>
      </c>
      <c r="E411" s="151" t="s">
        <v>677</v>
      </c>
      <c r="F411" s="151" t="s">
        <v>23</v>
      </c>
      <c r="G411" s="151" t="s">
        <v>2808</v>
      </c>
      <c r="H411" s="151" t="s">
        <v>2809</v>
      </c>
      <c r="I411" s="152">
        <v>42636.741226851853</v>
      </c>
      <c r="J411" s="152">
        <v>42639.75341435185</v>
      </c>
      <c r="K411" s="151" t="s">
        <v>2445</v>
      </c>
      <c r="L411" s="151" t="s">
        <v>677</v>
      </c>
      <c r="M411" s="152">
        <v>42636.741226851853</v>
      </c>
      <c r="N411" s="151" t="s">
        <v>25</v>
      </c>
      <c r="O411" s="151"/>
      <c r="P411" s="151" t="s">
        <v>2799</v>
      </c>
      <c r="Q411" s="7" t="str">
        <f>IF(ISBLANK(patch[[#This Row],[OwnerEmail]]),Q410,patch[[#This Row],[OwnerEmail]])</f>
        <v>lipingx.xu@intel.com</v>
      </c>
      <c r="R411" s="7" t="str">
        <f>_xlfn.IFNA(VLOOKUP(patch[[#This Row],[tmp-owner.email]],OrgTree!$A:$K, 11, 0), "not ICG SWFW")</f>
        <v>BJ And dev</v>
      </c>
      <c r="S411" s="7" t="str">
        <f>IF(patch[[#This Row],[reviewer]]=patch[[#This Row],[tmp-owner.email]], "author", _xlfn.IFNA(VLOOKUP(patch[[#This Row],[reviewer]],OrgTree!$A:$K, 11, 0), "not ICG SWFW"))</f>
        <v>author</v>
      </c>
      <c r="T411" s="7" t="str">
        <f>IF(ISBLANK(patch[[#This Row],[mergeDate]]), "", MID(YEAR(patch[[#This Row],[mergeDate]]), 3,2)&amp;"'ww"&amp;WEEKNUM(patch[[#This Row],[mergeDate]]))</f>
        <v>16'ww40</v>
      </c>
      <c r="U411" s="7" t="str">
        <f>IF(ISBLANK(patch[[#This Row],[mergeDate]]), U410, MID(YEAR(patch[[#This Row],[mergeDate]]), 3,2)&amp;"'m"&amp;MONTH(patch[[#This Row],[mergeDate]]))</f>
        <v>16'm9</v>
      </c>
      <c r="V411" s="7">
        <f>IF(ISBLANK(patch[[#This Row],[project]]), "",SUM(patch[[#This Row],[BJ -1 num]:[SH -1 num]]))</f>
        <v>0</v>
      </c>
      <c r="W411" s="7">
        <f>IF(ISBLANK(patch[[#This Row],[project]]), "",COUNTIFS($A:$A,patch[[#This Row],[number]],$S:$S, "BJ And dev",$AC:$AC, "Review-1"))</f>
        <v>0</v>
      </c>
      <c r="X411" s="7">
        <f>IF(ISBLANK(patch[[#This Row],[project]]), "",COUNTIFS($A:$A,patch[[#This Row],[number]],$S:$S, "FL And dev",$AC:$AC, "Review-1"))</f>
        <v>0</v>
      </c>
      <c r="Y411" s="7">
        <f>IF(ISBLANK(patch[[#This Row],[project]]), "",COUNTIFS($A:$A,patch[[#This Row],[number]],$S:$S, "SH And dev",$AC:$AC, "Review-1"))</f>
        <v>0</v>
      </c>
      <c r="Z411" s="7">
        <f>IF(ISBLANK(patch[[#This Row],[project]]), "",COUNTIFS($A:$A,patch[[#This Row],[number]],$S:$S, "BJ And dev",$AD:$AD, "&lt;&gt;IntegratorValidationComment"))</f>
        <v>3</v>
      </c>
      <c r="AA411" s="7">
        <f>IF(ISBLANK(patch[[#This Row],[project]]), "",COUNTIFS($A:$A,patch[[#This Row],[number]],$S:$S, "FL And dev",$AD:$AD, "&lt;&gt;IntegratorValidationComment"))</f>
        <v>0</v>
      </c>
      <c r="AB411" s="7">
        <f>IF(ISBLANK(patch[[#This Row],[project]]), "",COUNTIFS($A:$A,patch[[#This Row],[number]],$S:$S, "SH And dev",$AD:$AD, "&lt;&gt;IntegratorValidationComment"))</f>
        <v>0</v>
      </c>
      <c r="AC411" s="7" t="str">
        <f>IF(OR(ISNUMBER(FIND("Review-1", patch[[#This Row],[comments]])), ISNUMBER(FIND("Approver-1", patch[[#This Row],[comments]]))), "Review-1", "")</f>
        <v/>
      </c>
      <c r="AD4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11" s="7" t="str">
        <f>IF(ISBLANK(patch[[#This Row],[number]]),AE410,patch[[#This Row],[ifCommon]])</f>
        <v>not AndrHAL</v>
      </c>
    </row>
    <row r="412" spans="1:31">
      <c r="A412" s="151">
        <v>147788</v>
      </c>
      <c r="B412" s="151"/>
      <c r="C412" s="151"/>
      <c r="D412" s="151"/>
      <c r="E412" s="151"/>
      <c r="F412" s="151"/>
      <c r="G412" s="151"/>
      <c r="H412" s="151"/>
      <c r="I412" s="151"/>
      <c r="J412" s="152">
        <v>42639.75341435185</v>
      </c>
      <c r="K412" s="151"/>
      <c r="L412" s="151" t="s">
        <v>677</v>
      </c>
      <c r="M412" s="152">
        <v>42636.741238425922</v>
      </c>
      <c r="N412" s="151" t="s">
        <v>2428</v>
      </c>
      <c r="O412" s="151"/>
      <c r="P412" s="151"/>
      <c r="Q412" s="7" t="str">
        <f>IF(ISBLANK(patch[[#This Row],[OwnerEmail]]),Q411,patch[[#This Row],[OwnerEmail]])</f>
        <v>lipingx.xu@intel.com</v>
      </c>
      <c r="R412" s="7" t="str">
        <f>_xlfn.IFNA(VLOOKUP(patch[[#This Row],[tmp-owner.email]],OrgTree!$A:$K, 11, 0), "not ICG SWFW")</f>
        <v>BJ And dev</v>
      </c>
      <c r="S412" s="7" t="str">
        <f>IF(patch[[#This Row],[reviewer]]=patch[[#This Row],[tmp-owner.email]], "author", _xlfn.IFNA(VLOOKUP(patch[[#This Row],[reviewer]],OrgTree!$A:$K, 11, 0), "not ICG SWFW"))</f>
        <v>author</v>
      </c>
      <c r="T412" s="7" t="str">
        <f>IF(ISBLANK(patch[[#This Row],[mergeDate]]), "", MID(YEAR(patch[[#This Row],[mergeDate]]), 3,2)&amp;"'ww"&amp;WEEKNUM(patch[[#This Row],[mergeDate]]))</f>
        <v>16'ww40</v>
      </c>
      <c r="U412" s="7" t="str">
        <f>IF(ISBLANK(patch[[#This Row],[mergeDate]]), U411, MID(YEAR(patch[[#This Row],[mergeDate]]), 3,2)&amp;"'m"&amp;MONTH(patch[[#This Row],[mergeDate]]))</f>
        <v>16'm9</v>
      </c>
      <c r="V412" s="7" t="str">
        <f>IF(ISBLANK(patch[[#This Row],[project]]), "",SUM(patch[[#This Row],[BJ -1 num]:[SH -1 num]]))</f>
        <v/>
      </c>
      <c r="W412" s="7" t="str">
        <f>IF(ISBLANK(patch[[#This Row],[project]]), "",COUNTIFS($A:$A,patch[[#This Row],[number]],$S:$S, "BJ And dev",$AC:$AC, "Review-1"))</f>
        <v/>
      </c>
      <c r="X412" s="7" t="str">
        <f>IF(ISBLANK(patch[[#This Row],[project]]), "",COUNTIFS($A:$A,patch[[#This Row],[number]],$S:$S, "FL And dev",$AC:$AC, "Review-1"))</f>
        <v/>
      </c>
      <c r="Y412" s="7" t="str">
        <f>IF(ISBLANK(patch[[#This Row],[project]]), "",COUNTIFS($A:$A,patch[[#This Row],[number]],$S:$S, "SH And dev",$AC:$AC, "Review-1"))</f>
        <v/>
      </c>
      <c r="Z412" s="7" t="str">
        <f>IF(ISBLANK(patch[[#This Row],[project]]), "",COUNTIFS($A:$A,patch[[#This Row],[number]],$S:$S, "BJ And dev",$AD:$AD, "&lt;&gt;IntegratorValidationComment"))</f>
        <v/>
      </c>
      <c r="AA412" s="7" t="str">
        <f>IF(ISBLANK(patch[[#This Row],[project]]), "",COUNTIFS($A:$A,patch[[#This Row],[number]],$S:$S, "FL And dev",$AD:$AD, "&lt;&gt;IntegratorValidationComment"))</f>
        <v/>
      </c>
      <c r="AB412" s="7" t="str">
        <f>IF(ISBLANK(patch[[#This Row],[project]]), "",COUNTIFS($A:$A,patch[[#This Row],[number]],$S:$S, "SH And dev",$AD:$AD, "&lt;&gt;IntegratorValidationComment"))</f>
        <v/>
      </c>
      <c r="AC412" s="7" t="str">
        <f>IF(OR(ISNUMBER(FIND("Review-1", patch[[#This Row],[comments]])), ISNUMBER(FIND("Approver-1", patch[[#This Row],[comments]]))), "Review-1", "")</f>
        <v/>
      </c>
      <c r="AD4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12" s="7">
        <f>IF(ISBLANK(patch[[#This Row],[number]]),AE411,patch[[#This Row],[ifCommon]])</f>
        <v>0</v>
      </c>
    </row>
    <row r="413" spans="1:31">
      <c r="A413" s="151">
        <v>147788</v>
      </c>
      <c r="B413" s="151"/>
      <c r="C413" s="151"/>
      <c r="D413" s="151"/>
      <c r="E413" s="151"/>
      <c r="F413" s="151"/>
      <c r="G413" s="151"/>
      <c r="H413" s="151"/>
      <c r="I413" s="151"/>
      <c r="J413" s="152">
        <v>42639.75341435185</v>
      </c>
      <c r="K413" s="151"/>
      <c r="L413" s="151" t="s">
        <v>677</v>
      </c>
      <c r="M413" s="152">
        <v>42636.741620370369</v>
      </c>
      <c r="N413" s="151" t="s">
        <v>40</v>
      </c>
      <c r="O413" s="151"/>
      <c r="P413" s="151"/>
      <c r="Q413" s="7" t="str">
        <f>IF(ISBLANK(patch[[#This Row],[OwnerEmail]]),Q412,patch[[#This Row],[OwnerEmail]])</f>
        <v>lipingx.xu@intel.com</v>
      </c>
      <c r="R413" s="7" t="str">
        <f>_xlfn.IFNA(VLOOKUP(patch[[#This Row],[tmp-owner.email]],OrgTree!$A:$K, 11, 0), "not ICG SWFW")</f>
        <v>BJ And dev</v>
      </c>
      <c r="S413" s="7" t="str">
        <f>IF(patch[[#This Row],[reviewer]]=patch[[#This Row],[tmp-owner.email]], "author", _xlfn.IFNA(VLOOKUP(patch[[#This Row],[reviewer]],OrgTree!$A:$K, 11, 0), "not ICG SWFW"))</f>
        <v>author</v>
      </c>
      <c r="T413" s="7" t="str">
        <f>IF(ISBLANK(patch[[#This Row],[mergeDate]]), "", MID(YEAR(patch[[#This Row],[mergeDate]]), 3,2)&amp;"'ww"&amp;WEEKNUM(patch[[#This Row],[mergeDate]]))</f>
        <v>16'ww40</v>
      </c>
      <c r="U413" s="7" t="str">
        <f>IF(ISBLANK(patch[[#This Row],[mergeDate]]), U412, MID(YEAR(patch[[#This Row],[mergeDate]]), 3,2)&amp;"'m"&amp;MONTH(patch[[#This Row],[mergeDate]]))</f>
        <v>16'm9</v>
      </c>
      <c r="V413" s="7" t="str">
        <f>IF(ISBLANK(patch[[#This Row],[project]]), "",SUM(patch[[#This Row],[BJ -1 num]:[SH -1 num]]))</f>
        <v/>
      </c>
      <c r="W413" s="7" t="str">
        <f>IF(ISBLANK(patch[[#This Row],[project]]), "",COUNTIFS($A:$A,patch[[#This Row],[number]],$S:$S, "BJ And dev",$AC:$AC, "Review-1"))</f>
        <v/>
      </c>
      <c r="X413" s="7" t="str">
        <f>IF(ISBLANK(patch[[#This Row],[project]]), "",COUNTIFS($A:$A,patch[[#This Row],[number]],$S:$S, "FL And dev",$AC:$AC, "Review-1"))</f>
        <v/>
      </c>
      <c r="Y413" s="7" t="str">
        <f>IF(ISBLANK(patch[[#This Row],[project]]), "",COUNTIFS($A:$A,patch[[#This Row],[number]],$S:$S, "SH And dev",$AC:$AC, "Review-1"))</f>
        <v/>
      </c>
      <c r="Z413" s="7" t="str">
        <f>IF(ISBLANK(patch[[#This Row],[project]]), "",COUNTIFS($A:$A,patch[[#This Row],[number]],$S:$S, "BJ And dev",$AD:$AD, "&lt;&gt;IntegratorValidationComment"))</f>
        <v/>
      </c>
      <c r="AA413" s="7" t="str">
        <f>IF(ISBLANK(patch[[#This Row],[project]]), "",COUNTIFS($A:$A,patch[[#This Row],[number]],$S:$S, "FL And dev",$AD:$AD, "&lt;&gt;IntegratorValidationComment"))</f>
        <v/>
      </c>
      <c r="AB413" s="7" t="str">
        <f>IF(ISBLANK(patch[[#This Row],[project]]), "",COUNTIFS($A:$A,patch[[#This Row],[number]],$S:$S, "SH And dev",$AD:$AD, "&lt;&gt;IntegratorValidationComment"))</f>
        <v/>
      </c>
      <c r="AC413" s="7" t="str">
        <f>IF(OR(ISNUMBER(FIND("Review-1", patch[[#This Row],[comments]])), ISNUMBER(FIND("Approver-1", patch[[#This Row],[comments]]))), "Review-1", "")</f>
        <v/>
      </c>
      <c r="AD4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13" s="7">
        <f>IF(ISBLANK(patch[[#This Row],[number]]),AE412,patch[[#This Row],[ifCommon]])</f>
        <v>0</v>
      </c>
    </row>
    <row r="414" spans="1:31">
      <c r="A414" s="151">
        <v>147788</v>
      </c>
      <c r="B414" s="151"/>
      <c r="C414" s="151"/>
      <c r="D414" s="151"/>
      <c r="E414" s="151"/>
      <c r="F414" s="151"/>
      <c r="G414" s="151"/>
      <c r="H414" s="151"/>
      <c r="I414" s="151"/>
      <c r="J414" s="152">
        <v>42639.75341435185</v>
      </c>
      <c r="K414" s="151"/>
      <c r="L414" s="151" t="s">
        <v>59</v>
      </c>
      <c r="M414" s="152">
        <v>42636.749305555553</v>
      </c>
      <c r="N414" s="151" t="s">
        <v>1880</v>
      </c>
      <c r="O414" s="151"/>
      <c r="P414" s="151"/>
      <c r="Q414" s="7" t="str">
        <f>IF(ISBLANK(patch[[#This Row],[OwnerEmail]]),Q413,patch[[#This Row],[OwnerEmail]])</f>
        <v>lipingx.xu@intel.com</v>
      </c>
      <c r="R414" s="7" t="str">
        <f>_xlfn.IFNA(VLOOKUP(patch[[#This Row],[tmp-owner.email]],OrgTree!$A:$K, 11, 0), "not ICG SWFW")</f>
        <v>BJ And dev</v>
      </c>
      <c r="S414" s="7" t="str">
        <f>IF(patch[[#This Row],[reviewer]]=patch[[#This Row],[tmp-owner.email]], "author", _xlfn.IFNA(VLOOKUP(patch[[#This Row],[reviewer]],OrgTree!$A:$K, 11, 0), "not ICG SWFW"))</f>
        <v>BJ And dev</v>
      </c>
      <c r="T414" s="7" t="str">
        <f>IF(ISBLANK(patch[[#This Row],[mergeDate]]), "", MID(YEAR(patch[[#This Row],[mergeDate]]), 3,2)&amp;"'ww"&amp;WEEKNUM(patch[[#This Row],[mergeDate]]))</f>
        <v>16'ww40</v>
      </c>
      <c r="U414" s="7" t="str">
        <f>IF(ISBLANK(patch[[#This Row],[mergeDate]]), U413, MID(YEAR(patch[[#This Row],[mergeDate]]), 3,2)&amp;"'m"&amp;MONTH(patch[[#This Row],[mergeDate]]))</f>
        <v>16'm9</v>
      </c>
      <c r="V414" s="7" t="str">
        <f>IF(ISBLANK(patch[[#This Row],[project]]), "",SUM(patch[[#This Row],[BJ -1 num]:[SH -1 num]]))</f>
        <v/>
      </c>
      <c r="W414" s="7" t="str">
        <f>IF(ISBLANK(patch[[#This Row],[project]]), "",COUNTIFS($A:$A,patch[[#This Row],[number]],$S:$S, "BJ And dev",$AC:$AC, "Review-1"))</f>
        <v/>
      </c>
      <c r="X414" s="7" t="str">
        <f>IF(ISBLANK(patch[[#This Row],[project]]), "",COUNTIFS($A:$A,patch[[#This Row],[number]],$S:$S, "FL And dev",$AC:$AC, "Review-1"))</f>
        <v/>
      </c>
      <c r="Y414" s="7" t="str">
        <f>IF(ISBLANK(patch[[#This Row],[project]]), "",COUNTIFS($A:$A,patch[[#This Row],[number]],$S:$S, "SH And dev",$AC:$AC, "Review-1"))</f>
        <v/>
      </c>
      <c r="Z414" s="7" t="str">
        <f>IF(ISBLANK(patch[[#This Row],[project]]), "",COUNTIFS($A:$A,patch[[#This Row],[number]],$S:$S, "BJ And dev",$AD:$AD, "&lt;&gt;IntegratorValidationComment"))</f>
        <v/>
      </c>
      <c r="AA414" s="7" t="str">
        <f>IF(ISBLANK(patch[[#This Row],[project]]), "",COUNTIFS($A:$A,patch[[#This Row],[number]],$S:$S, "FL And dev",$AD:$AD, "&lt;&gt;IntegratorValidationComment"))</f>
        <v/>
      </c>
      <c r="AB414" s="7" t="str">
        <f>IF(ISBLANK(patch[[#This Row],[project]]), "",COUNTIFS($A:$A,patch[[#This Row],[number]],$S:$S, "SH And dev",$AD:$AD, "&lt;&gt;IntegratorValidationComment"))</f>
        <v/>
      </c>
      <c r="AC414" s="7" t="str">
        <f>IF(OR(ISNUMBER(FIND("Review-1", patch[[#This Row],[comments]])), ISNUMBER(FIND("Approver-1", patch[[#This Row],[comments]]))), "Review-1", "")</f>
        <v/>
      </c>
      <c r="AD4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14" s="7">
        <f>IF(ISBLANK(patch[[#This Row],[number]]),AE413,patch[[#This Row],[ifCommon]])</f>
        <v>0</v>
      </c>
    </row>
    <row r="415" spans="1:31">
      <c r="A415" s="151">
        <v>147788</v>
      </c>
      <c r="B415" s="151"/>
      <c r="C415" s="151"/>
      <c r="D415" s="151"/>
      <c r="E415" s="151"/>
      <c r="F415" s="151"/>
      <c r="G415" s="151"/>
      <c r="H415" s="151"/>
      <c r="I415" s="151"/>
      <c r="J415" s="152">
        <v>42639.75341435185</v>
      </c>
      <c r="K415" s="151"/>
      <c r="L415" s="151" t="s">
        <v>59</v>
      </c>
      <c r="M415" s="152">
        <v>42636.7502662037</v>
      </c>
      <c r="N415" s="151" t="s">
        <v>2810</v>
      </c>
      <c r="O415" s="151"/>
      <c r="P415" s="151"/>
      <c r="Q415" s="7" t="str">
        <f>IF(ISBLANK(patch[[#This Row],[OwnerEmail]]),Q414,patch[[#This Row],[OwnerEmail]])</f>
        <v>lipingx.xu@intel.com</v>
      </c>
      <c r="R415" s="7" t="str">
        <f>_xlfn.IFNA(VLOOKUP(patch[[#This Row],[tmp-owner.email]],OrgTree!$A:$K, 11, 0), "not ICG SWFW")</f>
        <v>BJ And dev</v>
      </c>
      <c r="S415" s="7" t="str">
        <f>IF(patch[[#This Row],[reviewer]]=patch[[#This Row],[tmp-owner.email]], "author", _xlfn.IFNA(VLOOKUP(patch[[#This Row],[reviewer]],OrgTree!$A:$K, 11, 0), "not ICG SWFW"))</f>
        <v>BJ And dev</v>
      </c>
      <c r="T415" s="7" t="str">
        <f>IF(ISBLANK(patch[[#This Row],[mergeDate]]), "", MID(YEAR(patch[[#This Row],[mergeDate]]), 3,2)&amp;"'ww"&amp;WEEKNUM(patch[[#This Row],[mergeDate]]))</f>
        <v>16'ww40</v>
      </c>
      <c r="U415" s="7" t="str">
        <f>IF(ISBLANK(patch[[#This Row],[mergeDate]]), U414, MID(YEAR(patch[[#This Row],[mergeDate]]), 3,2)&amp;"'m"&amp;MONTH(patch[[#This Row],[mergeDate]]))</f>
        <v>16'm9</v>
      </c>
      <c r="V415" s="7" t="str">
        <f>IF(ISBLANK(patch[[#This Row],[project]]), "",SUM(patch[[#This Row],[BJ -1 num]:[SH -1 num]]))</f>
        <v/>
      </c>
      <c r="W415" s="7" t="str">
        <f>IF(ISBLANK(patch[[#This Row],[project]]), "",COUNTIFS($A:$A,patch[[#This Row],[number]],$S:$S, "BJ And dev",$AC:$AC, "Review-1"))</f>
        <v/>
      </c>
      <c r="X415" s="7" t="str">
        <f>IF(ISBLANK(patch[[#This Row],[project]]), "",COUNTIFS($A:$A,patch[[#This Row],[number]],$S:$S, "FL And dev",$AC:$AC, "Review-1"))</f>
        <v/>
      </c>
      <c r="Y415" s="7" t="str">
        <f>IF(ISBLANK(patch[[#This Row],[project]]), "",COUNTIFS($A:$A,patch[[#This Row],[number]],$S:$S, "SH And dev",$AC:$AC, "Review-1"))</f>
        <v/>
      </c>
      <c r="Z415" s="7" t="str">
        <f>IF(ISBLANK(patch[[#This Row],[project]]), "",COUNTIFS($A:$A,patch[[#This Row],[number]],$S:$S, "BJ And dev",$AD:$AD, "&lt;&gt;IntegratorValidationComment"))</f>
        <v/>
      </c>
      <c r="AA415" s="7" t="str">
        <f>IF(ISBLANK(patch[[#This Row],[project]]), "",COUNTIFS($A:$A,patch[[#This Row],[number]],$S:$S, "FL And dev",$AD:$AD, "&lt;&gt;IntegratorValidationComment"))</f>
        <v/>
      </c>
      <c r="AB415" s="7" t="str">
        <f>IF(ISBLANK(patch[[#This Row],[project]]), "",COUNTIFS($A:$A,patch[[#This Row],[number]],$S:$S, "SH And dev",$AD:$AD, "&lt;&gt;IntegratorValidationComment"))</f>
        <v/>
      </c>
      <c r="AC415" s="7" t="str">
        <f>IF(OR(ISNUMBER(FIND("Review-1", patch[[#This Row],[comments]])), ISNUMBER(FIND("Approver-1", patch[[#This Row],[comments]]))), "Review-1", "")</f>
        <v/>
      </c>
      <c r="AD4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15" s="7">
        <f>IF(ISBLANK(patch[[#This Row],[number]]),AE414,patch[[#This Row],[ifCommon]])</f>
        <v>0</v>
      </c>
    </row>
    <row r="416" spans="1:31">
      <c r="A416" s="151">
        <v>147788</v>
      </c>
      <c r="B416" s="151"/>
      <c r="C416" s="151"/>
      <c r="D416" s="151"/>
      <c r="E416" s="151"/>
      <c r="F416" s="151"/>
      <c r="G416" s="151"/>
      <c r="H416" s="151"/>
      <c r="I416" s="151"/>
      <c r="J416" s="152">
        <v>42639.75341435185</v>
      </c>
      <c r="K416" s="151"/>
      <c r="L416" s="151" t="s">
        <v>59</v>
      </c>
      <c r="M416" s="152">
        <v>42636.766724537039</v>
      </c>
      <c r="N416" s="151" t="s">
        <v>2811</v>
      </c>
      <c r="O416" s="151"/>
      <c r="P416" s="151"/>
      <c r="Q416" s="7" t="str">
        <f>IF(ISBLANK(patch[[#This Row],[OwnerEmail]]),Q415,patch[[#This Row],[OwnerEmail]])</f>
        <v>lipingx.xu@intel.com</v>
      </c>
      <c r="R416" s="7" t="str">
        <f>_xlfn.IFNA(VLOOKUP(patch[[#This Row],[tmp-owner.email]],OrgTree!$A:$K, 11, 0), "not ICG SWFW")</f>
        <v>BJ And dev</v>
      </c>
      <c r="S416" s="7" t="str">
        <f>IF(patch[[#This Row],[reviewer]]=patch[[#This Row],[tmp-owner.email]], "author", _xlfn.IFNA(VLOOKUP(patch[[#This Row],[reviewer]],OrgTree!$A:$K, 11, 0), "not ICG SWFW"))</f>
        <v>BJ And dev</v>
      </c>
      <c r="T416" s="7" t="str">
        <f>IF(ISBLANK(patch[[#This Row],[mergeDate]]), "", MID(YEAR(patch[[#This Row],[mergeDate]]), 3,2)&amp;"'ww"&amp;WEEKNUM(patch[[#This Row],[mergeDate]]))</f>
        <v>16'ww40</v>
      </c>
      <c r="U416" s="7" t="str">
        <f>IF(ISBLANK(patch[[#This Row],[mergeDate]]), U415, MID(YEAR(patch[[#This Row],[mergeDate]]), 3,2)&amp;"'m"&amp;MONTH(patch[[#This Row],[mergeDate]]))</f>
        <v>16'm9</v>
      </c>
      <c r="V416" s="7" t="str">
        <f>IF(ISBLANK(patch[[#This Row],[project]]), "",SUM(patch[[#This Row],[BJ -1 num]:[SH -1 num]]))</f>
        <v/>
      </c>
      <c r="W416" s="7" t="str">
        <f>IF(ISBLANK(patch[[#This Row],[project]]), "",COUNTIFS($A:$A,patch[[#This Row],[number]],$S:$S, "BJ And dev",$AC:$AC, "Review-1"))</f>
        <v/>
      </c>
      <c r="X416" s="7" t="str">
        <f>IF(ISBLANK(patch[[#This Row],[project]]), "",COUNTIFS($A:$A,patch[[#This Row],[number]],$S:$S, "FL And dev",$AC:$AC, "Review-1"))</f>
        <v/>
      </c>
      <c r="Y416" s="7" t="str">
        <f>IF(ISBLANK(patch[[#This Row],[project]]), "",COUNTIFS($A:$A,patch[[#This Row],[number]],$S:$S, "SH And dev",$AC:$AC, "Review-1"))</f>
        <v/>
      </c>
      <c r="Z416" s="7" t="str">
        <f>IF(ISBLANK(patch[[#This Row],[project]]), "",COUNTIFS($A:$A,patch[[#This Row],[number]],$S:$S, "BJ And dev",$AD:$AD, "&lt;&gt;IntegratorValidationComment"))</f>
        <v/>
      </c>
      <c r="AA416" s="7" t="str">
        <f>IF(ISBLANK(patch[[#This Row],[project]]), "",COUNTIFS($A:$A,patch[[#This Row],[number]],$S:$S, "FL And dev",$AD:$AD, "&lt;&gt;IntegratorValidationComment"))</f>
        <v/>
      </c>
      <c r="AB416" s="7" t="str">
        <f>IF(ISBLANK(patch[[#This Row],[project]]), "",COUNTIFS($A:$A,patch[[#This Row],[number]],$S:$S, "SH And dev",$AD:$AD, "&lt;&gt;IntegratorValidationComment"))</f>
        <v/>
      </c>
      <c r="AC416" s="7" t="str">
        <f>IF(OR(ISNUMBER(FIND("Review-1", patch[[#This Row],[comments]])), ISNUMBER(FIND("Approver-1", patch[[#This Row],[comments]]))), "Review-1", "")</f>
        <v/>
      </c>
      <c r="AD4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16" s="7">
        <f>IF(ISBLANK(patch[[#This Row],[number]]),AE415,patch[[#This Row],[ifCommon]])</f>
        <v>0</v>
      </c>
    </row>
    <row r="417" spans="1:31">
      <c r="A417" s="151">
        <v>147788</v>
      </c>
      <c r="B417" s="151"/>
      <c r="C417" s="151"/>
      <c r="D417" s="151"/>
      <c r="E417" s="151"/>
      <c r="F417" s="151"/>
      <c r="G417" s="151"/>
      <c r="H417" s="151"/>
      <c r="I417" s="151"/>
      <c r="J417" s="152">
        <v>42639.75341435185</v>
      </c>
      <c r="K417" s="151"/>
      <c r="L417" s="151" t="s">
        <v>115</v>
      </c>
      <c r="M417" s="152">
        <v>42639.480520833327</v>
      </c>
      <c r="N417" s="151" t="s">
        <v>2494</v>
      </c>
      <c r="O417" s="151"/>
      <c r="P417" s="151"/>
      <c r="Q417" s="7" t="str">
        <f>IF(ISBLANK(patch[[#This Row],[OwnerEmail]]),Q416,patch[[#This Row],[OwnerEmail]])</f>
        <v>lipingx.xu@intel.com</v>
      </c>
      <c r="R417" s="7" t="str">
        <f>_xlfn.IFNA(VLOOKUP(patch[[#This Row],[tmp-owner.email]],OrgTree!$A:$K, 11, 0), "not ICG SWFW")</f>
        <v>BJ And dev</v>
      </c>
      <c r="S417" s="7" t="str">
        <f>IF(patch[[#This Row],[reviewer]]=patch[[#This Row],[tmp-owner.email]], "author", _xlfn.IFNA(VLOOKUP(patch[[#This Row],[reviewer]],OrgTree!$A:$K, 11, 0), "not ICG SWFW"))</f>
        <v>Val</v>
      </c>
      <c r="T417" s="7" t="str">
        <f>IF(ISBLANK(patch[[#This Row],[mergeDate]]), "", MID(YEAR(patch[[#This Row],[mergeDate]]), 3,2)&amp;"'ww"&amp;WEEKNUM(patch[[#This Row],[mergeDate]]))</f>
        <v>16'ww40</v>
      </c>
      <c r="U417" s="7" t="str">
        <f>IF(ISBLANK(patch[[#This Row],[mergeDate]]), U416, MID(YEAR(patch[[#This Row],[mergeDate]]), 3,2)&amp;"'m"&amp;MONTH(patch[[#This Row],[mergeDate]]))</f>
        <v>16'm9</v>
      </c>
      <c r="V417" s="7" t="str">
        <f>IF(ISBLANK(patch[[#This Row],[project]]), "",SUM(patch[[#This Row],[BJ -1 num]:[SH -1 num]]))</f>
        <v/>
      </c>
      <c r="W417" s="7" t="str">
        <f>IF(ISBLANK(patch[[#This Row],[project]]), "",COUNTIFS($A:$A,patch[[#This Row],[number]],$S:$S, "BJ And dev",$AC:$AC, "Review-1"))</f>
        <v/>
      </c>
      <c r="X417" s="7" t="str">
        <f>IF(ISBLANK(patch[[#This Row],[project]]), "",COUNTIFS($A:$A,patch[[#This Row],[number]],$S:$S, "FL And dev",$AC:$AC, "Review-1"))</f>
        <v/>
      </c>
      <c r="Y417" s="7" t="str">
        <f>IF(ISBLANK(patch[[#This Row],[project]]), "",COUNTIFS($A:$A,patch[[#This Row],[number]],$S:$S, "SH And dev",$AC:$AC, "Review-1"))</f>
        <v/>
      </c>
      <c r="Z417" s="7" t="str">
        <f>IF(ISBLANK(patch[[#This Row],[project]]), "",COUNTIFS($A:$A,patch[[#This Row],[number]],$S:$S, "BJ And dev",$AD:$AD, "&lt;&gt;IntegratorValidationComment"))</f>
        <v/>
      </c>
      <c r="AA417" s="7" t="str">
        <f>IF(ISBLANK(patch[[#This Row],[project]]), "",COUNTIFS($A:$A,patch[[#This Row],[number]],$S:$S, "FL And dev",$AD:$AD, "&lt;&gt;IntegratorValidationComment"))</f>
        <v/>
      </c>
      <c r="AB417" s="7" t="str">
        <f>IF(ISBLANK(patch[[#This Row],[project]]), "",COUNTIFS($A:$A,patch[[#This Row],[number]],$S:$S, "SH And dev",$AD:$AD, "&lt;&gt;IntegratorValidationComment"))</f>
        <v/>
      </c>
      <c r="AC417" s="7" t="str">
        <f>IF(OR(ISNUMBER(FIND("Review-1", patch[[#This Row],[comments]])), ISNUMBER(FIND("Approver-1", patch[[#This Row],[comments]]))), "Review-1", "")</f>
        <v/>
      </c>
      <c r="AD4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417" s="7">
        <f>IF(ISBLANK(patch[[#This Row],[number]]),AE416,patch[[#This Row],[ifCommon]])</f>
        <v>0</v>
      </c>
    </row>
    <row r="418" spans="1:31">
      <c r="A418" s="151">
        <v>147788</v>
      </c>
      <c r="B418" s="151"/>
      <c r="C418" s="151"/>
      <c r="D418" s="151"/>
      <c r="E418" s="151"/>
      <c r="F418" s="151"/>
      <c r="G418" s="151"/>
      <c r="H418" s="151"/>
      <c r="I418" s="151"/>
      <c r="J418" s="152">
        <v>42639.75341435185</v>
      </c>
      <c r="K418" s="151"/>
      <c r="L418" s="151" t="s">
        <v>115</v>
      </c>
      <c r="M418" s="152">
        <v>42639.75335648148</v>
      </c>
      <c r="N418" s="151" t="s">
        <v>2505</v>
      </c>
      <c r="O418" s="151"/>
      <c r="P418" s="151"/>
      <c r="Q418" s="7" t="str">
        <f>IF(ISBLANK(patch[[#This Row],[OwnerEmail]]),Q417,patch[[#This Row],[OwnerEmail]])</f>
        <v>lipingx.xu@intel.com</v>
      </c>
      <c r="R418" s="7" t="str">
        <f>_xlfn.IFNA(VLOOKUP(patch[[#This Row],[tmp-owner.email]],OrgTree!$A:$K, 11, 0), "not ICG SWFW")</f>
        <v>BJ And dev</v>
      </c>
      <c r="S418" s="7" t="str">
        <f>IF(patch[[#This Row],[reviewer]]=patch[[#This Row],[tmp-owner.email]], "author", _xlfn.IFNA(VLOOKUP(patch[[#This Row],[reviewer]],OrgTree!$A:$K, 11, 0), "not ICG SWFW"))</f>
        <v>Val</v>
      </c>
      <c r="T418" s="7" t="str">
        <f>IF(ISBLANK(patch[[#This Row],[mergeDate]]), "", MID(YEAR(patch[[#This Row],[mergeDate]]), 3,2)&amp;"'ww"&amp;WEEKNUM(patch[[#This Row],[mergeDate]]))</f>
        <v>16'ww40</v>
      </c>
      <c r="U418" s="7" t="str">
        <f>IF(ISBLANK(patch[[#This Row],[mergeDate]]), U417, MID(YEAR(patch[[#This Row],[mergeDate]]), 3,2)&amp;"'m"&amp;MONTH(patch[[#This Row],[mergeDate]]))</f>
        <v>16'm9</v>
      </c>
      <c r="V418" s="7" t="str">
        <f>IF(ISBLANK(patch[[#This Row],[project]]), "",SUM(patch[[#This Row],[BJ -1 num]:[SH -1 num]]))</f>
        <v/>
      </c>
      <c r="W418" s="7" t="str">
        <f>IF(ISBLANK(patch[[#This Row],[project]]), "",COUNTIFS($A:$A,patch[[#This Row],[number]],$S:$S, "BJ And dev",$AC:$AC, "Review-1"))</f>
        <v/>
      </c>
      <c r="X418" s="7" t="str">
        <f>IF(ISBLANK(patch[[#This Row],[project]]), "",COUNTIFS($A:$A,patch[[#This Row],[number]],$S:$S, "FL And dev",$AC:$AC, "Review-1"))</f>
        <v/>
      </c>
      <c r="Y418" s="7" t="str">
        <f>IF(ISBLANK(patch[[#This Row],[project]]), "",COUNTIFS($A:$A,patch[[#This Row],[number]],$S:$S, "SH And dev",$AC:$AC, "Review-1"))</f>
        <v/>
      </c>
      <c r="Z418" s="7" t="str">
        <f>IF(ISBLANK(patch[[#This Row],[project]]), "",COUNTIFS($A:$A,patch[[#This Row],[number]],$S:$S, "BJ And dev",$AD:$AD, "&lt;&gt;IntegratorValidationComment"))</f>
        <v/>
      </c>
      <c r="AA418" s="7" t="str">
        <f>IF(ISBLANK(patch[[#This Row],[project]]), "",COUNTIFS($A:$A,patch[[#This Row],[number]],$S:$S, "FL And dev",$AD:$AD, "&lt;&gt;IntegratorValidationComment"))</f>
        <v/>
      </c>
      <c r="AB418" s="7" t="str">
        <f>IF(ISBLANK(patch[[#This Row],[project]]), "",COUNTIFS($A:$A,patch[[#This Row],[number]],$S:$S, "SH And dev",$AD:$AD, "&lt;&gt;IntegratorValidationComment"))</f>
        <v/>
      </c>
      <c r="AC418" s="7" t="str">
        <f>IF(OR(ISNUMBER(FIND("Review-1", patch[[#This Row],[comments]])), ISNUMBER(FIND("Approver-1", patch[[#This Row],[comments]]))), "Review-1", "")</f>
        <v/>
      </c>
      <c r="AD4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18" s="7">
        <f>IF(ISBLANK(patch[[#This Row],[number]]),AE417,patch[[#This Row],[ifCommon]])</f>
        <v>0</v>
      </c>
    </row>
    <row r="419" spans="1:31">
      <c r="A419" s="151">
        <v>147788</v>
      </c>
      <c r="B419" s="151"/>
      <c r="C419" s="151"/>
      <c r="D419" s="151"/>
      <c r="E419" s="151"/>
      <c r="F419" s="151"/>
      <c r="G419" s="151"/>
      <c r="H419" s="151"/>
      <c r="I419" s="151"/>
      <c r="J419" s="152">
        <v>42639.75341435185</v>
      </c>
      <c r="K419" s="151"/>
      <c r="L419" s="151" t="s">
        <v>115</v>
      </c>
      <c r="M419" s="152">
        <v>42639.753368055557</v>
      </c>
      <c r="N419" s="151" t="s">
        <v>2429</v>
      </c>
      <c r="O419" s="151"/>
      <c r="P419" s="151"/>
      <c r="Q419" s="7" t="str">
        <f>IF(ISBLANK(patch[[#This Row],[OwnerEmail]]),Q418,patch[[#This Row],[OwnerEmail]])</f>
        <v>lipingx.xu@intel.com</v>
      </c>
      <c r="R419" s="7" t="str">
        <f>_xlfn.IFNA(VLOOKUP(patch[[#This Row],[tmp-owner.email]],OrgTree!$A:$K, 11, 0), "not ICG SWFW")</f>
        <v>BJ And dev</v>
      </c>
      <c r="S419" s="7" t="str">
        <f>IF(patch[[#This Row],[reviewer]]=patch[[#This Row],[tmp-owner.email]], "author", _xlfn.IFNA(VLOOKUP(patch[[#This Row],[reviewer]],OrgTree!$A:$K, 11, 0), "not ICG SWFW"))</f>
        <v>Val</v>
      </c>
      <c r="T419" s="7" t="str">
        <f>IF(ISBLANK(patch[[#This Row],[mergeDate]]), "", MID(YEAR(patch[[#This Row],[mergeDate]]), 3,2)&amp;"'ww"&amp;WEEKNUM(patch[[#This Row],[mergeDate]]))</f>
        <v>16'ww40</v>
      </c>
      <c r="U419" s="7" t="str">
        <f>IF(ISBLANK(patch[[#This Row],[mergeDate]]), U418, MID(YEAR(patch[[#This Row],[mergeDate]]), 3,2)&amp;"'m"&amp;MONTH(patch[[#This Row],[mergeDate]]))</f>
        <v>16'm9</v>
      </c>
      <c r="V419" s="7" t="str">
        <f>IF(ISBLANK(patch[[#This Row],[project]]), "",SUM(patch[[#This Row],[BJ -1 num]:[SH -1 num]]))</f>
        <v/>
      </c>
      <c r="W419" s="7" t="str">
        <f>IF(ISBLANK(patch[[#This Row],[project]]), "",COUNTIFS($A:$A,patch[[#This Row],[number]],$S:$S, "BJ And dev",$AC:$AC, "Review-1"))</f>
        <v/>
      </c>
      <c r="X419" s="7" t="str">
        <f>IF(ISBLANK(patch[[#This Row],[project]]), "",COUNTIFS($A:$A,patch[[#This Row],[number]],$S:$S, "FL And dev",$AC:$AC, "Review-1"))</f>
        <v/>
      </c>
      <c r="Y419" s="7" t="str">
        <f>IF(ISBLANK(patch[[#This Row],[project]]), "",COUNTIFS($A:$A,patch[[#This Row],[number]],$S:$S, "SH And dev",$AC:$AC, "Review-1"))</f>
        <v/>
      </c>
      <c r="Z419" s="7" t="str">
        <f>IF(ISBLANK(patch[[#This Row],[project]]), "",COUNTIFS($A:$A,patch[[#This Row],[number]],$S:$S, "BJ And dev",$AD:$AD, "&lt;&gt;IntegratorValidationComment"))</f>
        <v/>
      </c>
      <c r="AA419" s="7" t="str">
        <f>IF(ISBLANK(patch[[#This Row],[project]]), "",COUNTIFS($A:$A,patch[[#This Row],[number]],$S:$S, "FL And dev",$AD:$AD, "&lt;&gt;IntegratorValidationComment"))</f>
        <v/>
      </c>
      <c r="AB419" s="7" t="str">
        <f>IF(ISBLANK(patch[[#This Row],[project]]), "",COUNTIFS($A:$A,patch[[#This Row],[number]],$S:$S, "SH And dev",$AD:$AD, "&lt;&gt;IntegratorValidationComment"))</f>
        <v/>
      </c>
      <c r="AC419" s="7" t="str">
        <f>IF(OR(ISNUMBER(FIND("Review-1", patch[[#This Row],[comments]])), ISNUMBER(FIND("Approver-1", patch[[#This Row],[comments]]))), "Review-1", "")</f>
        <v/>
      </c>
      <c r="AD4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19" s="7">
        <f>IF(ISBLANK(patch[[#This Row],[number]]),AE418,patch[[#This Row],[ifCommon]])</f>
        <v>0</v>
      </c>
    </row>
    <row r="420" spans="1:31">
      <c r="A420" s="151">
        <v>148091</v>
      </c>
      <c r="B420" s="151" t="s">
        <v>2490</v>
      </c>
      <c r="C420" s="151" t="s">
        <v>2795</v>
      </c>
      <c r="D420" s="151" t="s">
        <v>2789</v>
      </c>
      <c r="E420" s="151" t="s">
        <v>677</v>
      </c>
      <c r="F420" s="151" t="s">
        <v>23</v>
      </c>
      <c r="G420" s="151" t="s">
        <v>2790</v>
      </c>
      <c r="H420" s="151" t="s">
        <v>2791</v>
      </c>
      <c r="I420" s="152">
        <v>42639.464236111111</v>
      </c>
      <c r="J420" s="152">
        <v>42639.752511574072</v>
      </c>
      <c r="K420" s="151" t="s">
        <v>2445</v>
      </c>
      <c r="L420" s="151" t="s">
        <v>677</v>
      </c>
      <c r="M420" s="152">
        <v>42639.464236111111</v>
      </c>
      <c r="N420" s="151" t="s">
        <v>25</v>
      </c>
      <c r="O420" s="151"/>
      <c r="P420" s="151" t="s">
        <v>59</v>
      </c>
      <c r="Q420" s="7" t="str">
        <f>IF(ISBLANK(patch[[#This Row],[OwnerEmail]]),Q419,patch[[#This Row],[OwnerEmail]])</f>
        <v>lipingx.xu@intel.com</v>
      </c>
      <c r="R420" s="7" t="str">
        <f>_xlfn.IFNA(VLOOKUP(patch[[#This Row],[tmp-owner.email]],OrgTree!$A:$K, 11, 0), "not ICG SWFW")</f>
        <v>BJ And dev</v>
      </c>
      <c r="S420" s="7" t="str">
        <f>IF(patch[[#This Row],[reviewer]]=patch[[#This Row],[tmp-owner.email]], "author", _xlfn.IFNA(VLOOKUP(patch[[#This Row],[reviewer]],OrgTree!$A:$K, 11, 0), "not ICG SWFW"))</f>
        <v>author</v>
      </c>
      <c r="T420" s="7" t="str">
        <f>IF(ISBLANK(patch[[#This Row],[mergeDate]]), "", MID(YEAR(patch[[#This Row],[mergeDate]]), 3,2)&amp;"'ww"&amp;WEEKNUM(patch[[#This Row],[mergeDate]]))</f>
        <v>16'ww40</v>
      </c>
      <c r="U420" s="7" t="str">
        <f>IF(ISBLANK(patch[[#This Row],[mergeDate]]), U419, MID(YEAR(patch[[#This Row],[mergeDate]]), 3,2)&amp;"'m"&amp;MONTH(patch[[#This Row],[mergeDate]]))</f>
        <v>16'm9</v>
      </c>
      <c r="V420" s="7">
        <f>IF(ISBLANK(patch[[#This Row],[project]]), "",SUM(patch[[#This Row],[BJ -1 num]:[SH -1 num]]))</f>
        <v>0</v>
      </c>
      <c r="W420" s="7">
        <f>IF(ISBLANK(patch[[#This Row],[project]]), "",COUNTIFS($A:$A,patch[[#This Row],[number]],$S:$S, "BJ And dev",$AC:$AC, "Review-1"))</f>
        <v>0</v>
      </c>
      <c r="X420" s="7">
        <f>IF(ISBLANK(patch[[#This Row],[project]]), "",COUNTIFS($A:$A,patch[[#This Row],[number]],$S:$S, "FL And dev",$AC:$AC, "Review-1"))</f>
        <v>0</v>
      </c>
      <c r="Y420" s="7">
        <f>IF(ISBLANK(patch[[#This Row],[project]]), "",COUNTIFS($A:$A,patch[[#This Row],[number]],$S:$S, "SH And dev",$AC:$AC, "Review-1"))</f>
        <v>0</v>
      </c>
      <c r="Z420" s="7">
        <f>IF(ISBLANK(patch[[#This Row],[project]]), "",COUNTIFS($A:$A,patch[[#This Row],[number]],$S:$S, "BJ And dev",$AD:$AD, "&lt;&gt;IntegratorValidationComment"))</f>
        <v>3</v>
      </c>
      <c r="AA420" s="7">
        <f>IF(ISBLANK(patch[[#This Row],[project]]), "",COUNTIFS($A:$A,patch[[#This Row],[number]],$S:$S, "FL And dev",$AD:$AD, "&lt;&gt;IntegratorValidationComment"))</f>
        <v>0</v>
      </c>
      <c r="AB420" s="7">
        <f>IF(ISBLANK(patch[[#This Row],[project]]), "",COUNTIFS($A:$A,patch[[#This Row],[number]],$S:$S, "SH And dev",$AD:$AD, "&lt;&gt;IntegratorValidationComment"))</f>
        <v>0</v>
      </c>
      <c r="AC420" s="7" t="str">
        <f>IF(OR(ISNUMBER(FIND("Review-1", patch[[#This Row],[comments]])), ISNUMBER(FIND("Approver-1", patch[[#This Row],[comments]]))), "Review-1", "")</f>
        <v/>
      </c>
      <c r="AD4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20" s="7" t="str">
        <f>IF(ISBLANK(patch[[#This Row],[number]]),AE419,patch[[#This Row],[ifCommon]])</f>
        <v>not AndrHAL</v>
      </c>
    </row>
    <row r="421" spans="1:31">
      <c r="A421" s="151">
        <v>148091</v>
      </c>
      <c r="B421" s="151"/>
      <c r="C421" s="151"/>
      <c r="D421" s="151"/>
      <c r="E421" s="151"/>
      <c r="F421" s="151"/>
      <c r="G421" s="151"/>
      <c r="H421" s="151"/>
      <c r="I421" s="151"/>
      <c r="J421" s="152">
        <v>42639.752511574072</v>
      </c>
      <c r="K421" s="151"/>
      <c r="L421" s="151" t="s">
        <v>677</v>
      </c>
      <c r="M421" s="152">
        <v>42639.464247685188</v>
      </c>
      <c r="N421" s="151" t="s">
        <v>2428</v>
      </c>
      <c r="O421" s="151"/>
      <c r="P421" s="151"/>
      <c r="Q421" s="7" t="str">
        <f>IF(ISBLANK(patch[[#This Row],[OwnerEmail]]),Q420,patch[[#This Row],[OwnerEmail]])</f>
        <v>lipingx.xu@intel.com</v>
      </c>
      <c r="R421" s="7" t="str">
        <f>_xlfn.IFNA(VLOOKUP(patch[[#This Row],[tmp-owner.email]],OrgTree!$A:$K, 11, 0), "not ICG SWFW")</f>
        <v>BJ And dev</v>
      </c>
      <c r="S421" s="7" t="str">
        <f>IF(patch[[#This Row],[reviewer]]=patch[[#This Row],[tmp-owner.email]], "author", _xlfn.IFNA(VLOOKUP(patch[[#This Row],[reviewer]],OrgTree!$A:$K, 11, 0), "not ICG SWFW"))</f>
        <v>author</v>
      </c>
      <c r="T421" s="7" t="str">
        <f>IF(ISBLANK(patch[[#This Row],[mergeDate]]), "", MID(YEAR(patch[[#This Row],[mergeDate]]), 3,2)&amp;"'ww"&amp;WEEKNUM(patch[[#This Row],[mergeDate]]))</f>
        <v>16'ww40</v>
      </c>
      <c r="U421" s="7" t="str">
        <f>IF(ISBLANK(patch[[#This Row],[mergeDate]]), U420, MID(YEAR(patch[[#This Row],[mergeDate]]), 3,2)&amp;"'m"&amp;MONTH(patch[[#This Row],[mergeDate]]))</f>
        <v>16'm9</v>
      </c>
      <c r="V421" s="7" t="str">
        <f>IF(ISBLANK(patch[[#This Row],[project]]), "",SUM(patch[[#This Row],[BJ -1 num]:[SH -1 num]]))</f>
        <v/>
      </c>
      <c r="W421" s="7" t="str">
        <f>IF(ISBLANK(patch[[#This Row],[project]]), "",COUNTIFS($A:$A,patch[[#This Row],[number]],$S:$S, "BJ And dev",$AC:$AC, "Review-1"))</f>
        <v/>
      </c>
      <c r="X421" s="7" t="str">
        <f>IF(ISBLANK(patch[[#This Row],[project]]), "",COUNTIFS($A:$A,patch[[#This Row],[number]],$S:$S, "FL And dev",$AC:$AC, "Review-1"))</f>
        <v/>
      </c>
      <c r="Y421" s="7" t="str">
        <f>IF(ISBLANK(patch[[#This Row],[project]]), "",COUNTIFS($A:$A,patch[[#This Row],[number]],$S:$S, "SH And dev",$AC:$AC, "Review-1"))</f>
        <v/>
      </c>
      <c r="Z421" s="7" t="str">
        <f>IF(ISBLANK(patch[[#This Row],[project]]), "",COUNTIFS($A:$A,patch[[#This Row],[number]],$S:$S, "BJ And dev",$AD:$AD, "&lt;&gt;IntegratorValidationComment"))</f>
        <v/>
      </c>
      <c r="AA421" s="7" t="str">
        <f>IF(ISBLANK(patch[[#This Row],[project]]), "",COUNTIFS($A:$A,patch[[#This Row],[number]],$S:$S, "FL And dev",$AD:$AD, "&lt;&gt;IntegratorValidationComment"))</f>
        <v/>
      </c>
      <c r="AB421" s="7" t="str">
        <f>IF(ISBLANK(patch[[#This Row],[project]]), "",COUNTIFS($A:$A,patch[[#This Row],[number]],$S:$S, "SH And dev",$AD:$AD, "&lt;&gt;IntegratorValidationComment"))</f>
        <v/>
      </c>
      <c r="AC421" s="7" t="str">
        <f>IF(OR(ISNUMBER(FIND("Review-1", patch[[#This Row],[comments]])), ISNUMBER(FIND("Approver-1", patch[[#This Row],[comments]]))), "Review-1", "")</f>
        <v/>
      </c>
      <c r="AD4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21" s="7">
        <f>IF(ISBLANK(patch[[#This Row],[number]]),AE420,patch[[#This Row],[ifCommon]])</f>
        <v>0</v>
      </c>
    </row>
    <row r="422" spans="1:31">
      <c r="A422" s="151">
        <v>148091</v>
      </c>
      <c r="B422" s="151"/>
      <c r="C422" s="151"/>
      <c r="D422" s="151"/>
      <c r="E422" s="151"/>
      <c r="F422" s="151"/>
      <c r="G422" s="151"/>
      <c r="H422" s="151"/>
      <c r="I422" s="151"/>
      <c r="J422" s="152">
        <v>42639.752511574072</v>
      </c>
      <c r="K422" s="151"/>
      <c r="L422" s="151" t="s">
        <v>677</v>
      </c>
      <c r="M422" s="152">
        <v>42639.465057870373</v>
      </c>
      <c r="N422" s="151" t="s">
        <v>40</v>
      </c>
      <c r="O422" s="151"/>
      <c r="P422" s="151"/>
      <c r="Q422" s="7" t="str">
        <f>IF(ISBLANK(patch[[#This Row],[OwnerEmail]]),Q421,patch[[#This Row],[OwnerEmail]])</f>
        <v>lipingx.xu@intel.com</v>
      </c>
      <c r="R422" s="7" t="str">
        <f>_xlfn.IFNA(VLOOKUP(patch[[#This Row],[tmp-owner.email]],OrgTree!$A:$K, 11, 0), "not ICG SWFW")</f>
        <v>BJ And dev</v>
      </c>
      <c r="S422" s="7" t="str">
        <f>IF(patch[[#This Row],[reviewer]]=patch[[#This Row],[tmp-owner.email]], "author", _xlfn.IFNA(VLOOKUP(patch[[#This Row],[reviewer]],OrgTree!$A:$K, 11, 0), "not ICG SWFW"))</f>
        <v>author</v>
      </c>
      <c r="T422" s="7" t="str">
        <f>IF(ISBLANK(patch[[#This Row],[mergeDate]]), "", MID(YEAR(patch[[#This Row],[mergeDate]]), 3,2)&amp;"'ww"&amp;WEEKNUM(patch[[#This Row],[mergeDate]]))</f>
        <v>16'ww40</v>
      </c>
      <c r="U422" s="7" t="str">
        <f>IF(ISBLANK(patch[[#This Row],[mergeDate]]), U421, MID(YEAR(patch[[#This Row],[mergeDate]]), 3,2)&amp;"'m"&amp;MONTH(patch[[#This Row],[mergeDate]]))</f>
        <v>16'm9</v>
      </c>
      <c r="V422" s="7" t="str">
        <f>IF(ISBLANK(patch[[#This Row],[project]]), "",SUM(patch[[#This Row],[BJ -1 num]:[SH -1 num]]))</f>
        <v/>
      </c>
      <c r="W422" s="7" t="str">
        <f>IF(ISBLANK(patch[[#This Row],[project]]), "",COUNTIFS($A:$A,patch[[#This Row],[number]],$S:$S, "BJ And dev",$AC:$AC, "Review-1"))</f>
        <v/>
      </c>
      <c r="X422" s="7" t="str">
        <f>IF(ISBLANK(patch[[#This Row],[project]]), "",COUNTIFS($A:$A,patch[[#This Row],[number]],$S:$S, "FL And dev",$AC:$AC, "Review-1"))</f>
        <v/>
      </c>
      <c r="Y422" s="7" t="str">
        <f>IF(ISBLANK(patch[[#This Row],[project]]), "",COUNTIFS($A:$A,patch[[#This Row],[number]],$S:$S, "SH And dev",$AC:$AC, "Review-1"))</f>
        <v/>
      </c>
      <c r="Z422" s="7" t="str">
        <f>IF(ISBLANK(patch[[#This Row],[project]]), "",COUNTIFS($A:$A,patch[[#This Row],[number]],$S:$S, "BJ And dev",$AD:$AD, "&lt;&gt;IntegratorValidationComment"))</f>
        <v/>
      </c>
      <c r="AA422" s="7" t="str">
        <f>IF(ISBLANK(patch[[#This Row],[project]]), "",COUNTIFS($A:$A,patch[[#This Row],[number]],$S:$S, "FL And dev",$AD:$AD, "&lt;&gt;IntegratorValidationComment"))</f>
        <v/>
      </c>
      <c r="AB422" s="7" t="str">
        <f>IF(ISBLANK(patch[[#This Row],[project]]), "",COUNTIFS($A:$A,patch[[#This Row],[number]],$S:$S, "SH And dev",$AD:$AD, "&lt;&gt;IntegratorValidationComment"))</f>
        <v/>
      </c>
      <c r="AC422" s="7" t="str">
        <f>IF(OR(ISNUMBER(FIND("Review-1", patch[[#This Row],[comments]])), ISNUMBER(FIND("Approver-1", patch[[#This Row],[comments]]))), "Review-1", "")</f>
        <v/>
      </c>
      <c r="AD4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22" s="7">
        <f>IF(ISBLANK(patch[[#This Row],[number]]),AE421,patch[[#This Row],[ifCommon]])</f>
        <v>0</v>
      </c>
    </row>
    <row r="423" spans="1:31">
      <c r="A423" s="151">
        <v>148091</v>
      </c>
      <c r="B423" s="151"/>
      <c r="C423" s="151"/>
      <c r="D423" s="151"/>
      <c r="E423" s="151"/>
      <c r="F423" s="151"/>
      <c r="G423" s="151"/>
      <c r="H423" s="151"/>
      <c r="I423" s="151"/>
      <c r="J423" s="152">
        <v>42639.752511574072</v>
      </c>
      <c r="K423" s="151"/>
      <c r="L423" s="151" t="s">
        <v>59</v>
      </c>
      <c r="M423" s="152">
        <v>42639.468090277784</v>
      </c>
      <c r="N423" s="151" t="s">
        <v>2812</v>
      </c>
      <c r="O423" s="151"/>
      <c r="P423" s="151"/>
      <c r="Q423" s="7" t="str">
        <f>IF(ISBLANK(patch[[#This Row],[OwnerEmail]]),Q422,patch[[#This Row],[OwnerEmail]])</f>
        <v>lipingx.xu@intel.com</v>
      </c>
      <c r="R423" s="7" t="str">
        <f>_xlfn.IFNA(VLOOKUP(patch[[#This Row],[tmp-owner.email]],OrgTree!$A:$K, 11, 0), "not ICG SWFW")</f>
        <v>BJ And dev</v>
      </c>
      <c r="S423" s="7" t="str">
        <f>IF(patch[[#This Row],[reviewer]]=patch[[#This Row],[tmp-owner.email]], "author", _xlfn.IFNA(VLOOKUP(patch[[#This Row],[reviewer]],OrgTree!$A:$K, 11, 0), "not ICG SWFW"))</f>
        <v>BJ And dev</v>
      </c>
      <c r="T423" s="7" t="str">
        <f>IF(ISBLANK(patch[[#This Row],[mergeDate]]), "", MID(YEAR(patch[[#This Row],[mergeDate]]), 3,2)&amp;"'ww"&amp;WEEKNUM(patch[[#This Row],[mergeDate]]))</f>
        <v>16'ww40</v>
      </c>
      <c r="U423" s="7" t="str">
        <f>IF(ISBLANK(patch[[#This Row],[mergeDate]]), U422, MID(YEAR(patch[[#This Row],[mergeDate]]), 3,2)&amp;"'m"&amp;MONTH(patch[[#This Row],[mergeDate]]))</f>
        <v>16'm9</v>
      </c>
      <c r="V423" s="7" t="str">
        <f>IF(ISBLANK(patch[[#This Row],[project]]), "",SUM(patch[[#This Row],[BJ -1 num]:[SH -1 num]]))</f>
        <v/>
      </c>
      <c r="W423" s="7" t="str">
        <f>IF(ISBLANK(patch[[#This Row],[project]]), "",COUNTIFS($A:$A,patch[[#This Row],[number]],$S:$S, "BJ And dev",$AC:$AC, "Review-1"))</f>
        <v/>
      </c>
      <c r="X423" s="7" t="str">
        <f>IF(ISBLANK(patch[[#This Row],[project]]), "",COUNTIFS($A:$A,patch[[#This Row],[number]],$S:$S, "FL And dev",$AC:$AC, "Review-1"))</f>
        <v/>
      </c>
      <c r="Y423" s="7" t="str">
        <f>IF(ISBLANK(patch[[#This Row],[project]]), "",COUNTIFS($A:$A,patch[[#This Row],[number]],$S:$S, "SH And dev",$AC:$AC, "Review-1"))</f>
        <v/>
      </c>
      <c r="Z423" s="7" t="str">
        <f>IF(ISBLANK(patch[[#This Row],[project]]), "",COUNTIFS($A:$A,patch[[#This Row],[number]],$S:$S, "BJ And dev",$AD:$AD, "&lt;&gt;IntegratorValidationComment"))</f>
        <v/>
      </c>
      <c r="AA423" s="7" t="str">
        <f>IF(ISBLANK(patch[[#This Row],[project]]), "",COUNTIFS($A:$A,patch[[#This Row],[number]],$S:$S, "FL And dev",$AD:$AD, "&lt;&gt;IntegratorValidationComment"))</f>
        <v/>
      </c>
      <c r="AB423" s="7" t="str">
        <f>IF(ISBLANK(patch[[#This Row],[project]]), "",COUNTIFS($A:$A,patch[[#This Row],[number]],$S:$S, "SH And dev",$AD:$AD, "&lt;&gt;IntegratorValidationComment"))</f>
        <v/>
      </c>
      <c r="AC423" s="7" t="str">
        <f>IF(OR(ISNUMBER(FIND("Review-1", patch[[#This Row],[comments]])), ISNUMBER(FIND("Approver-1", patch[[#This Row],[comments]]))), "Review-1", "")</f>
        <v/>
      </c>
      <c r="AD4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23" s="7">
        <f>IF(ISBLANK(patch[[#This Row],[number]]),AE422,patch[[#This Row],[ifCommon]])</f>
        <v>0</v>
      </c>
    </row>
    <row r="424" spans="1:31">
      <c r="A424" s="151">
        <v>148091</v>
      </c>
      <c r="B424" s="151"/>
      <c r="C424" s="151"/>
      <c r="D424" s="151"/>
      <c r="E424" s="151"/>
      <c r="F424" s="151"/>
      <c r="G424" s="151"/>
      <c r="H424" s="151"/>
      <c r="I424" s="151"/>
      <c r="J424" s="152">
        <v>42639.752511574072</v>
      </c>
      <c r="K424" s="151"/>
      <c r="L424" s="151" t="s">
        <v>59</v>
      </c>
      <c r="M424" s="152">
        <v>42639.474849537037</v>
      </c>
      <c r="N424" s="151" t="s">
        <v>1880</v>
      </c>
      <c r="O424" s="151"/>
      <c r="P424" s="151"/>
      <c r="Q424" s="7" t="str">
        <f>IF(ISBLANK(patch[[#This Row],[OwnerEmail]]),Q423,patch[[#This Row],[OwnerEmail]])</f>
        <v>lipingx.xu@intel.com</v>
      </c>
      <c r="R424" s="7" t="str">
        <f>_xlfn.IFNA(VLOOKUP(patch[[#This Row],[tmp-owner.email]],OrgTree!$A:$K, 11, 0), "not ICG SWFW")</f>
        <v>BJ And dev</v>
      </c>
      <c r="S424" s="7" t="str">
        <f>IF(patch[[#This Row],[reviewer]]=patch[[#This Row],[tmp-owner.email]], "author", _xlfn.IFNA(VLOOKUP(patch[[#This Row],[reviewer]],OrgTree!$A:$K, 11, 0), "not ICG SWFW"))</f>
        <v>BJ And dev</v>
      </c>
      <c r="T424" s="7" t="str">
        <f>IF(ISBLANK(patch[[#This Row],[mergeDate]]), "", MID(YEAR(patch[[#This Row],[mergeDate]]), 3,2)&amp;"'ww"&amp;WEEKNUM(patch[[#This Row],[mergeDate]]))</f>
        <v>16'ww40</v>
      </c>
      <c r="U424" s="7" t="str">
        <f>IF(ISBLANK(patch[[#This Row],[mergeDate]]), U423, MID(YEAR(patch[[#This Row],[mergeDate]]), 3,2)&amp;"'m"&amp;MONTH(patch[[#This Row],[mergeDate]]))</f>
        <v>16'm9</v>
      </c>
      <c r="V424" s="7" t="str">
        <f>IF(ISBLANK(patch[[#This Row],[project]]), "",SUM(patch[[#This Row],[BJ -1 num]:[SH -1 num]]))</f>
        <v/>
      </c>
      <c r="W424" s="7" t="str">
        <f>IF(ISBLANK(patch[[#This Row],[project]]), "",COUNTIFS($A:$A,patch[[#This Row],[number]],$S:$S, "BJ And dev",$AC:$AC, "Review-1"))</f>
        <v/>
      </c>
      <c r="X424" s="7" t="str">
        <f>IF(ISBLANK(patch[[#This Row],[project]]), "",COUNTIFS($A:$A,patch[[#This Row],[number]],$S:$S, "FL And dev",$AC:$AC, "Review-1"))</f>
        <v/>
      </c>
      <c r="Y424" s="7" t="str">
        <f>IF(ISBLANK(patch[[#This Row],[project]]), "",COUNTIFS($A:$A,patch[[#This Row],[number]],$S:$S, "SH And dev",$AC:$AC, "Review-1"))</f>
        <v/>
      </c>
      <c r="Z424" s="7" t="str">
        <f>IF(ISBLANK(patch[[#This Row],[project]]), "",COUNTIFS($A:$A,patch[[#This Row],[number]],$S:$S, "BJ And dev",$AD:$AD, "&lt;&gt;IntegratorValidationComment"))</f>
        <v/>
      </c>
      <c r="AA424" s="7" t="str">
        <f>IF(ISBLANK(patch[[#This Row],[project]]), "",COUNTIFS($A:$A,patch[[#This Row],[number]],$S:$S, "FL And dev",$AD:$AD, "&lt;&gt;IntegratorValidationComment"))</f>
        <v/>
      </c>
      <c r="AB424" s="7" t="str">
        <f>IF(ISBLANK(patch[[#This Row],[project]]), "",COUNTIFS($A:$A,patch[[#This Row],[number]],$S:$S, "SH And dev",$AD:$AD, "&lt;&gt;IntegratorValidationComment"))</f>
        <v/>
      </c>
      <c r="AC424" s="7" t="str">
        <f>IF(OR(ISNUMBER(FIND("Review-1", patch[[#This Row],[comments]])), ISNUMBER(FIND("Approver-1", patch[[#This Row],[comments]]))), "Review-1", "")</f>
        <v/>
      </c>
      <c r="AD4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24" s="7">
        <f>IF(ISBLANK(patch[[#This Row],[number]]),AE423,patch[[#This Row],[ifCommon]])</f>
        <v>0</v>
      </c>
    </row>
    <row r="425" spans="1:31">
      <c r="A425" s="151">
        <v>148091</v>
      </c>
      <c r="B425" s="151"/>
      <c r="C425" s="151"/>
      <c r="D425" s="151"/>
      <c r="E425" s="151"/>
      <c r="F425" s="151"/>
      <c r="G425" s="151"/>
      <c r="H425" s="151"/>
      <c r="I425" s="151"/>
      <c r="J425" s="152">
        <v>42639.752511574072</v>
      </c>
      <c r="K425" s="151"/>
      <c r="L425" s="151" t="s">
        <v>59</v>
      </c>
      <c r="M425" s="152">
        <v>42639.476805555547</v>
      </c>
      <c r="N425" s="151" t="s">
        <v>2813</v>
      </c>
      <c r="O425" s="151"/>
      <c r="P425" s="151"/>
      <c r="Q425" s="7" t="str">
        <f>IF(ISBLANK(patch[[#This Row],[OwnerEmail]]),Q424,patch[[#This Row],[OwnerEmail]])</f>
        <v>lipingx.xu@intel.com</v>
      </c>
      <c r="R425" s="7" t="str">
        <f>_xlfn.IFNA(VLOOKUP(patch[[#This Row],[tmp-owner.email]],OrgTree!$A:$K, 11, 0), "not ICG SWFW")</f>
        <v>BJ And dev</v>
      </c>
      <c r="S425" s="7" t="str">
        <f>IF(patch[[#This Row],[reviewer]]=patch[[#This Row],[tmp-owner.email]], "author", _xlfn.IFNA(VLOOKUP(patch[[#This Row],[reviewer]],OrgTree!$A:$K, 11, 0), "not ICG SWFW"))</f>
        <v>BJ And dev</v>
      </c>
      <c r="T425" s="7" t="str">
        <f>IF(ISBLANK(patch[[#This Row],[mergeDate]]), "", MID(YEAR(patch[[#This Row],[mergeDate]]), 3,2)&amp;"'ww"&amp;WEEKNUM(patch[[#This Row],[mergeDate]]))</f>
        <v>16'ww40</v>
      </c>
      <c r="U425" s="7" t="str">
        <f>IF(ISBLANK(patch[[#This Row],[mergeDate]]), U424, MID(YEAR(patch[[#This Row],[mergeDate]]), 3,2)&amp;"'m"&amp;MONTH(patch[[#This Row],[mergeDate]]))</f>
        <v>16'm9</v>
      </c>
      <c r="V425" s="7" t="str">
        <f>IF(ISBLANK(patch[[#This Row],[project]]), "",SUM(patch[[#This Row],[BJ -1 num]:[SH -1 num]]))</f>
        <v/>
      </c>
      <c r="W425" s="7" t="str">
        <f>IF(ISBLANK(patch[[#This Row],[project]]), "",COUNTIFS($A:$A,patch[[#This Row],[number]],$S:$S, "BJ And dev",$AC:$AC, "Review-1"))</f>
        <v/>
      </c>
      <c r="X425" s="7" t="str">
        <f>IF(ISBLANK(patch[[#This Row],[project]]), "",COUNTIFS($A:$A,patch[[#This Row],[number]],$S:$S, "FL And dev",$AC:$AC, "Review-1"))</f>
        <v/>
      </c>
      <c r="Y425" s="7" t="str">
        <f>IF(ISBLANK(patch[[#This Row],[project]]), "",COUNTIFS($A:$A,patch[[#This Row],[number]],$S:$S, "SH And dev",$AC:$AC, "Review-1"))</f>
        <v/>
      </c>
      <c r="Z425" s="7" t="str">
        <f>IF(ISBLANK(patch[[#This Row],[project]]), "",COUNTIFS($A:$A,patch[[#This Row],[number]],$S:$S, "BJ And dev",$AD:$AD, "&lt;&gt;IntegratorValidationComment"))</f>
        <v/>
      </c>
      <c r="AA425" s="7" t="str">
        <f>IF(ISBLANK(patch[[#This Row],[project]]), "",COUNTIFS($A:$A,patch[[#This Row],[number]],$S:$S, "FL And dev",$AD:$AD, "&lt;&gt;IntegratorValidationComment"))</f>
        <v/>
      </c>
      <c r="AB425" s="7" t="str">
        <f>IF(ISBLANK(patch[[#This Row],[project]]), "",COUNTIFS($A:$A,patch[[#This Row],[number]],$S:$S, "SH And dev",$AD:$AD, "&lt;&gt;IntegratorValidationComment"))</f>
        <v/>
      </c>
      <c r="AC425" s="7" t="str">
        <f>IF(OR(ISNUMBER(FIND("Review-1", patch[[#This Row],[comments]])), ISNUMBER(FIND("Approver-1", patch[[#This Row],[comments]]))), "Review-1", "")</f>
        <v/>
      </c>
      <c r="AD4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25" s="7">
        <f>IF(ISBLANK(patch[[#This Row],[number]]),AE424,patch[[#This Row],[ifCommon]])</f>
        <v>0</v>
      </c>
    </row>
    <row r="426" spans="1:31">
      <c r="A426" s="151">
        <v>148091</v>
      </c>
      <c r="B426" s="151"/>
      <c r="C426" s="151"/>
      <c r="D426" s="151"/>
      <c r="E426" s="151"/>
      <c r="F426" s="151"/>
      <c r="G426" s="151"/>
      <c r="H426" s="151"/>
      <c r="I426" s="151"/>
      <c r="J426" s="152">
        <v>42639.752511574072</v>
      </c>
      <c r="K426" s="151"/>
      <c r="L426" s="151" t="s">
        <v>115</v>
      </c>
      <c r="M426" s="152">
        <v>42639.479583333326</v>
      </c>
      <c r="N426" s="151" t="s">
        <v>2494</v>
      </c>
      <c r="O426" s="151"/>
      <c r="P426" s="151"/>
      <c r="Q426" s="7" t="str">
        <f>IF(ISBLANK(patch[[#This Row],[OwnerEmail]]),Q425,patch[[#This Row],[OwnerEmail]])</f>
        <v>lipingx.xu@intel.com</v>
      </c>
      <c r="R426" s="7" t="str">
        <f>_xlfn.IFNA(VLOOKUP(patch[[#This Row],[tmp-owner.email]],OrgTree!$A:$K, 11, 0), "not ICG SWFW")</f>
        <v>BJ And dev</v>
      </c>
      <c r="S426" s="7" t="str">
        <f>IF(patch[[#This Row],[reviewer]]=patch[[#This Row],[tmp-owner.email]], "author", _xlfn.IFNA(VLOOKUP(patch[[#This Row],[reviewer]],OrgTree!$A:$K, 11, 0), "not ICG SWFW"))</f>
        <v>Val</v>
      </c>
      <c r="T426" s="7" t="str">
        <f>IF(ISBLANK(patch[[#This Row],[mergeDate]]), "", MID(YEAR(patch[[#This Row],[mergeDate]]), 3,2)&amp;"'ww"&amp;WEEKNUM(patch[[#This Row],[mergeDate]]))</f>
        <v>16'ww40</v>
      </c>
      <c r="U426" s="7" t="str">
        <f>IF(ISBLANK(patch[[#This Row],[mergeDate]]), U425, MID(YEAR(patch[[#This Row],[mergeDate]]), 3,2)&amp;"'m"&amp;MONTH(patch[[#This Row],[mergeDate]]))</f>
        <v>16'm9</v>
      </c>
      <c r="V426" s="7" t="str">
        <f>IF(ISBLANK(patch[[#This Row],[project]]), "",SUM(patch[[#This Row],[BJ -1 num]:[SH -1 num]]))</f>
        <v/>
      </c>
      <c r="W426" s="7" t="str">
        <f>IF(ISBLANK(patch[[#This Row],[project]]), "",COUNTIFS($A:$A,patch[[#This Row],[number]],$S:$S, "BJ And dev",$AC:$AC, "Review-1"))</f>
        <v/>
      </c>
      <c r="X426" s="7" t="str">
        <f>IF(ISBLANK(patch[[#This Row],[project]]), "",COUNTIFS($A:$A,patch[[#This Row],[number]],$S:$S, "FL And dev",$AC:$AC, "Review-1"))</f>
        <v/>
      </c>
      <c r="Y426" s="7" t="str">
        <f>IF(ISBLANK(patch[[#This Row],[project]]), "",COUNTIFS($A:$A,patch[[#This Row],[number]],$S:$S, "SH And dev",$AC:$AC, "Review-1"))</f>
        <v/>
      </c>
      <c r="Z426" s="7" t="str">
        <f>IF(ISBLANK(patch[[#This Row],[project]]), "",COUNTIFS($A:$A,patch[[#This Row],[number]],$S:$S, "BJ And dev",$AD:$AD, "&lt;&gt;IntegratorValidationComment"))</f>
        <v/>
      </c>
      <c r="AA426" s="7" t="str">
        <f>IF(ISBLANK(patch[[#This Row],[project]]), "",COUNTIFS($A:$A,patch[[#This Row],[number]],$S:$S, "FL And dev",$AD:$AD, "&lt;&gt;IntegratorValidationComment"))</f>
        <v/>
      </c>
      <c r="AB426" s="7" t="str">
        <f>IF(ISBLANK(patch[[#This Row],[project]]), "",COUNTIFS($A:$A,patch[[#This Row],[number]],$S:$S, "SH And dev",$AD:$AD, "&lt;&gt;IntegratorValidationComment"))</f>
        <v/>
      </c>
      <c r="AC426" s="7" t="str">
        <f>IF(OR(ISNUMBER(FIND("Review-1", patch[[#This Row],[comments]])), ISNUMBER(FIND("Approver-1", patch[[#This Row],[comments]]))), "Review-1", "")</f>
        <v/>
      </c>
      <c r="AD4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426" s="7">
        <f>IF(ISBLANK(patch[[#This Row],[number]]),AE425,patch[[#This Row],[ifCommon]])</f>
        <v>0</v>
      </c>
    </row>
    <row r="427" spans="1:31">
      <c r="A427" s="151">
        <v>147785</v>
      </c>
      <c r="B427" s="151" t="s">
        <v>2490</v>
      </c>
      <c r="C427" s="151" t="s">
        <v>2795</v>
      </c>
      <c r="D427" s="151" t="s">
        <v>2814</v>
      </c>
      <c r="E427" s="151" t="s">
        <v>677</v>
      </c>
      <c r="F427" s="151" t="s">
        <v>23</v>
      </c>
      <c r="G427" s="151" t="s">
        <v>2815</v>
      </c>
      <c r="H427" s="151" t="s">
        <v>2816</v>
      </c>
      <c r="I427" s="152">
        <v>42636.741226851853</v>
      </c>
      <c r="J427" s="152">
        <v>42639.752476851849</v>
      </c>
      <c r="K427" s="151" t="s">
        <v>2445</v>
      </c>
      <c r="L427" s="151" t="s">
        <v>677</v>
      </c>
      <c r="M427" s="152">
        <v>42636.741226851853</v>
      </c>
      <c r="N427" s="151" t="s">
        <v>2428</v>
      </c>
      <c r="O427" s="151"/>
      <c r="P427" s="151" t="s">
        <v>59</v>
      </c>
      <c r="Q427" s="7" t="str">
        <f>IF(ISBLANK(patch[[#This Row],[OwnerEmail]]),Q426,patch[[#This Row],[OwnerEmail]])</f>
        <v>lipingx.xu@intel.com</v>
      </c>
      <c r="R427" s="7" t="str">
        <f>_xlfn.IFNA(VLOOKUP(patch[[#This Row],[tmp-owner.email]],OrgTree!$A:$K, 11, 0), "not ICG SWFW")</f>
        <v>BJ And dev</v>
      </c>
      <c r="S427" s="7" t="str">
        <f>IF(patch[[#This Row],[reviewer]]=patch[[#This Row],[tmp-owner.email]], "author", _xlfn.IFNA(VLOOKUP(patch[[#This Row],[reviewer]],OrgTree!$A:$K, 11, 0), "not ICG SWFW"))</f>
        <v>author</v>
      </c>
      <c r="T427" s="7" t="str">
        <f>IF(ISBLANK(patch[[#This Row],[mergeDate]]), "", MID(YEAR(patch[[#This Row],[mergeDate]]), 3,2)&amp;"'ww"&amp;WEEKNUM(patch[[#This Row],[mergeDate]]))</f>
        <v>16'ww40</v>
      </c>
      <c r="U427" s="7" t="str">
        <f>IF(ISBLANK(patch[[#This Row],[mergeDate]]), U426, MID(YEAR(patch[[#This Row],[mergeDate]]), 3,2)&amp;"'m"&amp;MONTH(patch[[#This Row],[mergeDate]]))</f>
        <v>16'm9</v>
      </c>
      <c r="V427" s="7">
        <f>IF(ISBLANK(patch[[#This Row],[project]]), "",SUM(patch[[#This Row],[BJ -1 num]:[SH -1 num]]))</f>
        <v>0</v>
      </c>
      <c r="W427" s="7">
        <f>IF(ISBLANK(patch[[#This Row],[project]]), "",COUNTIFS($A:$A,patch[[#This Row],[number]],$S:$S, "BJ And dev",$AC:$AC, "Review-1"))</f>
        <v>0</v>
      </c>
      <c r="X427" s="7">
        <f>IF(ISBLANK(patch[[#This Row],[project]]), "",COUNTIFS($A:$A,patch[[#This Row],[number]],$S:$S, "FL And dev",$AC:$AC, "Review-1"))</f>
        <v>0</v>
      </c>
      <c r="Y427" s="7">
        <f>IF(ISBLANK(patch[[#This Row],[project]]), "",COUNTIFS($A:$A,patch[[#This Row],[number]],$S:$S, "SH And dev",$AC:$AC, "Review-1"))</f>
        <v>0</v>
      </c>
      <c r="Z427" s="7">
        <f>IF(ISBLANK(patch[[#This Row],[project]]), "",COUNTIFS($A:$A,patch[[#This Row],[number]],$S:$S, "BJ And dev",$AD:$AD, "&lt;&gt;IntegratorValidationComment"))</f>
        <v>5</v>
      </c>
      <c r="AA427" s="7">
        <f>IF(ISBLANK(patch[[#This Row],[project]]), "",COUNTIFS($A:$A,patch[[#This Row],[number]],$S:$S, "FL And dev",$AD:$AD, "&lt;&gt;IntegratorValidationComment"))</f>
        <v>0</v>
      </c>
      <c r="AB427" s="7">
        <f>IF(ISBLANK(patch[[#This Row],[project]]), "",COUNTIFS($A:$A,patch[[#This Row],[number]],$S:$S, "SH And dev",$AD:$AD, "&lt;&gt;IntegratorValidationComment"))</f>
        <v>0</v>
      </c>
      <c r="AC427" s="7" t="str">
        <f>IF(OR(ISNUMBER(FIND("Review-1", patch[[#This Row],[comments]])), ISNUMBER(FIND("Approver-1", patch[[#This Row],[comments]]))), "Review-1", "")</f>
        <v/>
      </c>
      <c r="AD4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27" s="7" t="str">
        <f>IF(ISBLANK(patch[[#This Row],[number]]),AE426,patch[[#This Row],[ifCommon]])</f>
        <v>not AndrHAL</v>
      </c>
    </row>
    <row r="428" spans="1:31">
      <c r="A428" s="151">
        <v>147785</v>
      </c>
      <c r="B428" s="151"/>
      <c r="C428" s="151"/>
      <c r="D428" s="151"/>
      <c r="E428" s="151"/>
      <c r="F428" s="151"/>
      <c r="G428" s="151"/>
      <c r="H428" s="151"/>
      <c r="I428" s="151"/>
      <c r="J428" s="152">
        <v>42639.752476851849</v>
      </c>
      <c r="K428" s="151"/>
      <c r="L428" s="151" t="s">
        <v>677</v>
      </c>
      <c r="M428" s="152">
        <v>42636.741226851853</v>
      </c>
      <c r="N428" s="151" t="s">
        <v>25</v>
      </c>
      <c r="O428" s="151"/>
      <c r="P428" s="151"/>
      <c r="Q428" s="7" t="str">
        <f>IF(ISBLANK(patch[[#This Row],[OwnerEmail]]),Q427,patch[[#This Row],[OwnerEmail]])</f>
        <v>lipingx.xu@intel.com</v>
      </c>
      <c r="R428" s="7" t="str">
        <f>_xlfn.IFNA(VLOOKUP(patch[[#This Row],[tmp-owner.email]],OrgTree!$A:$K, 11, 0), "not ICG SWFW")</f>
        <v>BJ And dev</v>
      </c>
      <c r="S428" s="7" t="str">
        <f>IF(patch[[#This Row],[reviewer]]=patch[[#This Row],[tmp-owner.email]], "author", _xlfn.IFNA(VLOOKUP(patch[[#This Row],[reviewer]],OrgTree!$A:$K, 11, 0), "not ICG SWFW"))</f>
        <v>author</v>
      </c>
      <c r="T428" s="7" t="str">
        <f>IF(ISBLANK(patch[[#This Row],[mergeDate]]), "", MID(YEAR(patch[[#This Row],[mergeDate]]), 3,2)&amp;"'ww"&amp;WEEKNUM(patch[[#This Row],[mergeDate]]))</f>
        <v>16'ww40</v>
      </c>
      <c r="U428" s="7" t="str">
        <f>IF(ISBLANK(patch[[#This Row],[mergeDate]]), U427, MID(YEAR(patch[[#This Row],[mergeDate]]), 3,2)&amp;"'m"&amp;MONTH(patch[[#This Row],[mergeDate]]))</f>
        <v>16'm9</v>
      </c>
      <c r="V428" s="7" t="str">
        <f>IF(ISBLANK(patch[[#This Row],[project]]), "",SUM(patch[[#This Row],[BJ -1 num]:[SH -1 num]]))</f>
        <v/>
      </c>
      <c r="W428" s="7" t="str">
        <f>IF(ISBLANK(patch[[#This Row],[project]]), "",COUNTIFS($A:$A,patch[[#This Row],[number]],$S:$S, "BJ And dev",$AC:$AC, "Review-1"))</f>
        <v/>
      </c>
      <c r="X428" s="7" t="str">
        <f>IF(ISBLANK(patch[[#This Row],[project]]), "",COUNTIFS($A:$A,patch[[#This Row],[number]],$S:$S, "FL And dev",$AC:$AC, "Review-1"))</f>
        <v/>
      </c>
      <c r="Y428" s="7" t="str">
        <f>IF(ISBLANK(patch[[#This Row],[project]]), "",COUNTIFS($A:$A,patch[[#This Row],[number]],$S:$S, "SH And dev",$AC:$AC, "Review-1"))</f>
        <v/>
      </c>
      <c r="Z428" s="7" t="str">
        <f>IF(ISBLANK(patch[[#This Row],[project]]), "",COUNTIFS($A:$A,patch[[#This Row],[number]],$S:$S, "BJ And dev",$AD:$AD, "&lt;&gt;IntegratorValidationComment"))</f>
        <v/>
      </c>
      <c r="AA428" s="7" t="str">
        <f>IF(ISBLANK(patch[[#This Row],[project]]), "",COUNTIFS($A:$A,patch[[#This Row],[number]],$S:$S, "FL And dev",$AD:$AD, "&lt;&gt;IntegratorValidationComment"))</f>
        <v/>
      </c>
      <c r="AB428" s="7" t="str">
        <f>IF(ISBLANK(patch[[#This Row],[project]]), "",COUNTIFS($A:$A,patch[[#This Row],[number]],$S:$S, "SH And dev",$AD:$AD, "&lt;&gt;IntegratorValidationComment"))</f>
        <v/>
      </c>
      <c r="AC428" s="7" t="str">
        <f>IF(OR(ISNUMBER(FIND("Review-1", patch[[#This Row],[comments]])), ISNUMBER(FIND("Approver-1", patch[[#This Row],[comments]]))), "Review-1", "")</f>
        <v/>
      </c>
      <c r="AD4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28" s="7">
        <f>IF(ISBLANK(patch[[#This Row],[number]]),AE427,patch[[#This Row],[ifCommon]])</f>
        <v>0</v>
      </c>
    </row>
    <row r="429" spans="1:31">
      <c r="A429" s="151">
        <v>147785</v>
      </c>
      <c r="B429" s="151"/>
      <c r="C429" s="151"/>
      <c r="D429" s="151"/>
      <c r="E429" s="151"/>
      <c r="F429" s="151"/>
      <c r="G429" s="151"/>
      <c r="H429" s="151"/>
      <c r="I429" s="151"/>
      <c r="J429" s="152">
        <v>42639.752476851849</v>
      </c>
      <c r="K429" s="151"/>
      <c r="L429" s="151" t="s">
        <v>677</v>
      </c>
      <c r="M429" s="152">
        <v>42636.741400462961</v>
      </c>
      <c r="N429" s="151" t="s">
        <v>40</v>
      </c>
      <c r="O429" s="151"/>
      <c r="P429" s="151"/>
      <c r="Q429" s="7" t="str">
        <f>IF(ISBLANK(patch[[#This Row],[OwnerEmail]]),Q428,patch[[#This Row],[OwnerEmail]])</f>
        <v>lipingx.xu@intel.com</v>
      </c>
      <c r="R429" s="7" t="str">
        <f>_xlfn.IFNA(VLOOKUP(patch[[#This Row],[tmp-owner.email]],OrgTree!$A:$K, 11, 0), "not ICG SWFW")</f>
        <v>BJ And dev</v>
      </c>
      <c r="S429" s="7" t="str">
        <f>IF(patch[[#This Row],[reviewer]]=patch[[#This Row],[tmp-owner.email]], "author", _xlfn.IFNA(VLOOKUP(patch[[#This Row],[reviewer]],OrgTree!$A:$K, 11, 0), "not ICG SWFW"))</f>
        <v>author</v>
      </c>
      <c r="T429" s="7" t="str">
        <f>IF(ISBLANK(patch[[#This Row],[mergeDate]]), "", MID(YEAR(patch[[#This Row],[mergeDate]]), 3,2)&amp;"'ww"&amp;WEEKNUM(patch[[#This Row],[mergeDate]]))</f>
        <v>16'ww40</v>
      </c>
      <c r="U429" s="7" t="str">
        <f>IF(ISBLANK(patch[[#This Row],[mergeDate]]), U428, MID(YEAR(patch[[#This Row],[mergeDate]]), 3,2)&amp;"'m"&amp;MONTH(patch[[#This Row],[mergeDate]]))</f>
        <v>16'm9</v>
      </c>
      <c r="V429" s="7" t="str">
        <f>IF(ISBLANK(patch[[#This Row],[project]]), "",SUM(patch[[#This Row],[BJ -1 num]:[SH -1 num]]))</f>
        <v/>
      </c>
      <c r="W429" s="7" t="str">
        <f>IF(ISBLANK(patch[[#This Row],[project]]), "",COUNTIFS($A:$A,patch[[#This Row],[number]],$S:$S, "BJ And dev",$AC:$AC, "Review-1"))</f>
        <v/>
      </c>
      <c r="X429" s="7" t="str">
        <f>IF(ISBLANK(patch[[#This Row],[project]]), "",COUNTIFS($A:$A,patch[[#This Row],[number]],$S:$S, "FL And dev",$AC:$AC, "Review-1"))</f>
        <v/>
      </c>
      <c r="Y429" s="7" t="str">
        <f>IF(ISBLANK(patch[[#This Row],[project]]), "",COUNTIFS($A:$A,patch[[#This Row],[number]],$S:$S, "SH And dev",$AC:$AC, "Review-1"))</f>
        <v/>
      </c>
      <c r="Z429" s="7" t="str">
        <f>IF(ISBLANK(patch[[#This Row],[project]]), "",COUNTIFS($A:$A,patch[[#This Row],[number]],$S:$S, "BJ And dev",$AD:$AD, "&lt;&gt;IntegratorValidationComment"))</f>
        <v/>
      </c>
      <c r="AA429" s="7" t="str">
        <f>IF(ISBLANK(patch[[#This Row],[project]]), "",COUNTIFS($A:$A,patch[[#This Row],[number]],$S:$S, "FL And dev",$AD:$AD, "&lt;&gt;IntegratorValidationComment"))</f>
        <v/>
      </c>
      <c r="AB429" s="7" t="str">
        <f>IF(ISBLANK(patch[[#This Row],[project]]), "",COUNTIFS($A:$A,patch[[#This Row],[number]],$S:$S, "SH And dev",$AD:$AD, "&lt;&gt;IntegratorValidationComment"))</f>
        <v/>
      </c>
      <c r="AC429" s="7" t="str">
        <f>IF(OR(ISNUMBER(FIND("Review-1", patch[[#This Row],[comments]])), ISNUMBER(FIND("Approver-1", patch[[#This Row],[comments]]))), "Review-1", "")</f>
        <v/>
      </c>
      <c r="AD4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29" s="7">
        <f>IF(ISBLANK(patch[[#This Row],[number]]),AE428,patch[[#This Row],[ifCommon]])</f>
        <v>0</v>
      </c>
    </row>
    <row r="430" spans="1:31">
      <c r="A430" s="151">
        <v>147785</v>
      </c>
      <c r="B430" s="151"/>
      <c r="C430" s="151"/>
      <c r="D430" s="151"/>
      <c r="E430" s="151"/>
      <c r="F430" s="151"/>
      <c r="G430" s="151"/>
      <c r="H430" s="151"/>
      <c r="I430" s="151"/>
      <c r="J430" s="152">
        <v>42639.752476851849</v>
      </c>
      <c r="K430" s="151"/>
      <c r="L430" s="151" t="s">
        <v>59</v>
      </c>
      <c r="M430" s="152">
        <v>42636.749131944453</v>
      </c>
      <c r="N430" s="151" t="s">
        <v>1880</v>
      </c>
      <c r="O430" s="151"/>
      <c r="P430" s="151"/>
      <c r="Q430" s="7" t="str">
        <f>IF(ISBLANK(patch[[#This Row],[OwnerEmail]]),Q429,patch[[#This Row],[OwnerEmail]])</f>
        <v>lipingx.xu@intel.com</v>
      </c>
      <c r="R430" s="7" t="str">
        <f>_xlfn.IFNA(VLOOKUP(patch[[#This Row],[tmp-owner.email]],OrgTree!$A:$K, 11, 0), "not ICG SWFW")</f>
        <v>BJ And dev</v>
      </c>
      <c r="S430" s="7" t="str">
        <f>IF(patch[[#This Row],[reviewer]]=patch[[#This Row],[tmp-owner.email]], "author", _xlfn.IFNA(VLOOKUP(patch[[#This Row],[reviewer]],OrgTree!$A:$K, 11, 0), "not ICG SWFW"))</f>
        <v>BJ And dev</v>
      </c>
      <c r="T430" s="7" t="str">
        <f>IF(ISBLANK(patch[[#This Row],[mergeDate]]), "", MID(YEAR(patch[[#This Row],[mergeDate]]), 3,2)&amp;"'ww"&amp;WEEKNUM(patch[[#This Row],[mergeDate]]))</f>
        <v>16'ww40</v>
      </c>
      <c r="U430" s="7" t="str">
        <f>IF(ISBLANK(patch[[#This Row],[mergeDate]]), U429, MID(YEAR(patch[[#This Row],[mergeDate]]), 3,2)&amp;"'m"&amp;MONTH(patch[[#This Row],[mergeDate]]))</f>
        <v>16'm9</v>
      </c>
      <c r="V430" s="7" t="str">
        <f>IF(ISBLANK(patch[[#This Row],[project]]), "",SUM(patch[[#This Row],[BJ -1 num]:[SH -1 num]]))</f>
        <v/>
      </c>
      <c r="W430" s="7" t="str">
        <f>IF(ISBLANK(patch[[#This Row],[project]]), "",COUNTIFS($A:$A,patch[[#This Row],[number]],$S:$S, "BJ And dev",$AC:$AC, "Review-1"))</f>
        <v/>
      </c>
      <c r="X430" s="7" t="str">
        <f>IF(ISBLANK(patch[[#This Row],[project]]), "",COUNTIFS($A:$A,patch[[#This Row],[number]],$S:$S, "FL And dev",$AC:$AC, "Review-1"))</f>
        <v/>
      </c>
      <c r="Y430" s="7" t="str">
        <f>IF(ISBLANK(patch[[#This Row],[project]]), "",COUNTIFS($A:$A,patch[[#This Row],[number]],$S:$S, "SH And dev",$AC:$AC, "Review-1"))</f>
        <v/>
      </c>
      <c r="Z430" s="7" t="str">
        <f>IF(ISBLANK(patch[[#This Row],[project]]), "",COUNTIFS($A:$A,patch[[#This Row],[number]],$S:$S, "BJ And dev",$AD:$AD, "&lt;&gt;IntegratorValidationComment"))</f>
        <v/>
      </c>
      <c r="AA430" s="7" t="str">
        <f>IF(ISBLANK(patch[[#This Row],[project]]), "",COUNTIFS($A:$A,patch[[#This Row],[number]],$S:$S, "FL And dev",$AD:$AD, "&lt;&gt;IntegratorValidationComment"))</f>
        <v/>
      </c>
      <c r="AB430" s="7" t="str">
        <f>IF(ISBLANK(patch[[#This Row],[project]]), "",COUNTIFS($A:$A,patch[[#This Row],[number]],$S:$S, "SH And dev",$AD:$AD, "&lt;&gt;IntegratorValidationComment"))</f>
        <v/>
      </c>
      <c r="AC430" s="7" t="str">
        <f>IF(OR(ISNUMBER(FIND("Review-1", patch[[#This Row],[comments]])), ISNUMBER(FIND("Approver-1", patch[[#This Row],[comments]]))), "Review-1", "")</f>
        <v/>
      </c>
      <c r="AD4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30" s="7">
        <f>IF(ISBLANK(patch[[#This Row],[number]]),AE429,patch[[#This Row],[ifCommon]])</f>
        <v>0</v>
      </c>
    </row>
    <row r="431" spans="1:31">
      <c r="A431" s="151">
        <v>147785</v>
      </c>
      <c r="B431" s="151"/>
      <c r="C431" s="151"/>
      <c r="D431" s="151"/>
      <c r="E431" s="151"/>
      <c r="F431" s="151"/>
      <c r="G431" s="151"/>
      <c r="H431" s="151"/>
      <c r="I431" s="151"/>
      <c r="J431" s="152">
        <v>42639.752476851849</v>
      </c>
      <c r="K431" s="151"/>
      <c r="L431" s="151" t="s">
        <v>59</v>
      </c>
      <c r="M431" s="152">
        <v>42636.749212962961</v>
      </c>
      <c r="N431" s="151" t="s">
        <v>2817</v>
      </c>
      <c r="O431" s="151"/>
      <c r="P431" s="151"/>
      <c r="Q431" s="7" t="str">
        <f>IF(ISBLANK(patch[[#This Row],[OwnerEmail]]),Q430,patch[[#This Row],[OwnerEmail]])</f>
        <v>lipingx.xu@intel.com</v>
      </c>
      <c r="R431" s="7" t="str">
        <f>_xlfn.IFNA(VLOOKUP(patch[[#This Row],[tmp-owner.email]],OrgTree!$A:$K, 11, 0), "not ICG SWFW")</f>
        <v>BJ And dev</v>
      </c>
      <c r="S431" s="7" t="str">
        <f>IF(patch[[#This Row],[reviewer]]=patch[[#This Row],[tmp-owner.email]], "author", _xlfn.IFNA(VLOOKUP(patch[[#This Row],[reviewer]],OrgTree!$A:$K, 11, 0), "not ICG SWFW"))</f>
        <v>BJ And dev</v>
      </c>
      <c r="T431" s="7" t="str">
        <f>IF(ISBLANK(patch[[#This Row],[mergeDate]]), "", MID(YEAR(patch[[#This Row],[mergeDate]]), 3,2)&amp;"'ww"&amp;WEEKNUM(patch[[#This Row],[mergeDate]]))</f>
        <v>16'ww40</v>
      </c>
      <c r="U431" s="7" t="str">
        <f>IF(ISBLANK(patch[[#This Row],[mergeDate]]), U430, MID(YEAR(patch[[#This Row],[mergeDate]]), 3,2)&amp;"'m"&amp;MONTH(patch[[#This Row],[mergeDate]]))</f>
        <v>16'm9</v>
      </c>
      <c r="V431" s="7" t="str">
        <f>IF(ISBLANK(patch[[#This Row],[project]]), "",SUM(patch[[#This Row],[BJ -1 num]:[SH -1 num]]))</f>
        <v/>
      </c>
      <c r="W431" s="7" t="str">
        <f>IF(ISBLANK(patch[[#This Row],[project]]), "",COUNTIFS($A:$A,patch[[#This Row],[number]],$S:$S, "BJ And dev",$AC:$AC, "Review-1"))</f>
        <v/>
      </c>
      <c r="X431" s="7" t="str">
        <f>IF(ISBLANK(patch[[#This Row],[project]]), "",COUNTIFS($A:$A,patch[[#This Row],[number]],$S:$S, "FL And dev",$AC:$AC, "Review-1"))</f>
        <v/>
      </c>
      <c r="Y431" s="7" t="str">
        <f>IF(ISBLANK(patch[[#This Row],[project]]), "",COUNTIFS($A:$A,patch[[#This Row],[number]],$S:$S, "SH And dev",$AC:$AC, "Review-1"))</f>
        <v/>
      </c>
      <c r="Z431" s="7" t="str">
        <f>IF(ISBLANK(patch[[#This Row],[project]]), "",COUNTIFS($A:$A,patch[[#This Row],[number]],$S:$S, "BJ And dev",$AD:$AD, "&lt;&gt;IntegratorValidationComment"))</f>
        <v/>
      </c>
      <c r="AA431" s="7" t="str">
        <f>IF(ISBLANK(patch[[#This Row],[project]]), "",COUNTIFS($A:$A,patch[[#This Row],[number]],$S:$S, "FL And dev",$AD:$AD, "&lt;&gt;IntegratorValidationComment"))</f>
        <v/>
      </c>
      <c r="AB431" s="7" t="str">
        <f>IF(ISBLANK(patch[[#This Row],[project]]), "",COUNTIFS($A:$A,patch[[#This Row],[number]],$S:$S, "SH And dev",$AD:$AD, "&lt;&gt;IntegratorValidationComment"))</f>
        <v/>
      </c>
      <c r="AC431" s="7" t="str">
        <f>IF(OR(ISNUMBER(FIND("Review-1", patch[[#This Row],[comments]])), ISNUMBER(FIND("Approver-1", patch[[#This Row],[comments]]))), "Review-1", "")</f>
        <v/>
      </c>
      <c r="AD4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31" s="7">
        <f>IF(ISBLANK(patch[[#This Row],[number]]),AE430,patch[[#This Row],[ifCommon]])</f>
        <v>0</v>
      </c>
    </row>
    <row r="432" spans="1:31">
      <c r="A432" s="151">
        <v>147785</v>
      </c>
      <c r="B432" s="151"/>
      <c r="C432" s="151"/>
      <c r="D432" s="151"/>
      <c r="E432" s="151"/>
      <c r="F432" s="151"/>
      <c r="G432" s="151"/>
      <c r="H432" s="151"/>
      <c r="I432" s="151"/>
      <c r="J432" s="152">
        <v>42639.752476851849</v>
      </c>
      <c r="K432" s="151"/>
      <c r="L432" s="151" t="s">
        <v>59</v>
      </c>
      <c r="M432" s="152">
        <v>42636.762256944443</v>
      </c>
      <c r="N432" s="151" t="s">
        <v>2818</v>
      </c>
      <c r="O432" s="151"/>
      <c r="P432" s="151"/>
      <c r="Q432" s="7" t="str">
        <f>IF(ISBLANK(patch[[#This Row],[OwnerEmail]]),Q431,patch[[#This Row],[OwnerEmail]])</f>
        <v>lipingx.xu@intel.com</v>
      </c>
      <c r="R432" s="7" t="str">
        <f>_xlfn.IFNA(VLOOKUP(patch[[#This Row],[tmp-owner.email]],OrgTree!$A:$K, 11, 0), "not ICG SWFW")</f>
        <v>BJ And dev</v>
      </c>
      <c r="S432" s="7" t="str">
        <f>IF(patch[[#This Row],[reviewer]]=patch[[#This Row],[tmp-owner.email]], "author", _xlfn.IFNA(VLOOKUP(patch[[#This Row],[reviewer]],OrgTree!$A:$K, 11, 0), "not ICG SWFW"))</f>
        <v>BJ And dev</v>
      </c>
      <c r="T432" s="7" t="str">
        <f>IF(ISBLANK(patch[[#This Row],[mergeDate]]), "", MID(YEAR(patch[[#This Row],[mergeDate]]), 3,2)&amp;"'ww"&amp;WEEKNUM(patch[[#This Row],[mergeDate]]))</f>
        <v>16'ww40</v>
      </c>
      <c r="U432" s="7" t="str">
        <f>IF(ISBLANK(patch[[#This Row],[mergeDate]]), U431, MID(YEAR(patch[[#This Row],[mergeDate]]), 3,2)&amp;"'m"&amp;MONTH(patch[[#This Row],[mergeDate]]))</f>
        <v>16'm9</v>
      </c>
      <c r="V432" s="7" t="str">
        <f>IF(ISBLANK(patch[[#This Row],[project]]), "",SUM(patch[[#This Row],[BJ -1 num]:[SH -1 num]]))</f>
        <v/>
      </c>
      <c r="W432" s="7" t="str">
        <f>IF(ISBLANK(patch[[#This Row],[project]]), "",COUNTIFS($A:$A,patch[[#This Row],[number]],$S:$S, "BJ And dev",$AC:$AC, "Review-1"))</f>
        <v/>
      </c>
      <c r="X432" s="7" t="str">
        <f>IF(ISBLANK(patch[[#This Row],[project]]), "",COUNTIFS($A:$A,patch[[#This Row],[number]],$S:$S, "FL And dev",$AC:$AC, "Review-1"))</f>
        <v/>
      </c>
      <c r="Y432" s="7" t="str">
        <f>IF(ISBLANK(patch[[#This Row],[project]]), "",COUNTIFS($A:$A,patch[[#This Row],[number]],$S:$S, "SH And dev",$AC:$AC, "Review-1"))</f>
        <v/>
      </c>
      <c r="Z432" s="7" t="str">
        <f>IF(ISBLANK(patch[[#This Row],[project]]), "",COUNTIFS($A:$A,patch[[#This Row],[number]],$S:$S, "BJ And dev",$AD:$AD, "&lt;&gt;IntegratorValidationComment"))</f>
        <v/>
      </c>
      <c r="AA432" s="7" t="str">
        <f>IF(ISBLANK(patch[[#This Row],[project]]), "",COUNTIFS($A:$A,patch[[#This Row],[number]],$S:$S, "FL And dev",$AD:$AD, "&lt;&gt;IntegratorValidationComment"))</f>
        <v/>
      </c>
      <c r="AB432" s="7" t="str">
        <f>IF(ISBLANK(patch[[#This Row],[project]]), "",COUNTIFS($A:$A,patch[[#This Row],[number]],$S:$S, "SH And dev",$AD:$AD, "&lt;&gt;IntegratorValidationComment"))</f>
        <v/>
      </c>
      <c r="AC432" s="7" t="str">
        <f>IF(OR(ISNUMBER(FIND("Review-1", patch[[#This Row],[comments]])), ISNUMBER(FIND("Approver-1", patch[[#This Row],[comments]]))), "Review-1", "")</f>
        <v/>
      </c>
      <c r="AD4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32" s="7">
        <f>IF(ISBLANK(patch[[#This Row],[number]]),AE431,patch[[#This Row],[ifCommon]])</f>
        <v>0</v>
      </c>
    </row>
    <row r="433" spans="1:31">
      <c r="A433" s="151">
        <v>147785</v>
      </c>
      <c r="B433" s="151"/>
      <c r="C433" s="151"/>
      <c r="D433" s="151"/>
      <c r="E433" s="151"/>
      <c r="F433" s="151"/>
      <c r="G433" s="151"/>
      <c r="H433" s="151"/>
      <c r="I433" s="151"/>
      <c r="J433" s="152">
        <v>42639.752476851849</v>
      </c>
      <c r="K433" s="151"/>
      <c r="L433" s="151" t="s">
        <v>677</v>
      </c>
      <c r="M433" s="152">
        <v>42639.464236111111</v>
      </c>
      <c r="N433" s="151" t="s">
        <v>2460</v>
      </c>
      <c r="O433" s="151"/>
      <c r="P433" s="151"/>
      <c r="Q433" s="7" t="str">
        <f>IF(ISBLANK(patch[[#This Row],[OwnerEmail]]),Q432,patch[[#This Row],[OwnerEmail]])</f>
        <v>lipingx.xu@intel.com</v>
      </c>
      <c r="R433" s="7" t="str">
        <f>_xlfn.IFNA(VLOOKUP(patch[[#This Row],[tmp-owner.email]],OrgTree!$A:$K, 11, 0), "not ICG SWFW")</f>
        <v>BJ And dev</v>
      </c>
      <c r="S433" s="7" t="str">
        <f>IF(patch[[#This Row],[reviewer]]=patch[[#This Row],[tmp-owner.email]], "author", _xlfn.IFNA(VLOOKUP(patch[[#This Row],[reviewer]],OrgTree!$A:$K, 11, 0), "not ICG SWFW"))</f>
        <v>author</v>
      </c>
      <c r="T433" s="7" t="str">
        <f>IF(ISBLANK(patch[[#This Row],[mergeDate]]), "", MID(YEAR(patch[[#This Row],[mergeDate]]), 3,2)&amp;"'ww"&amp;WEEKNUM(patch[[#This Row],[mergeDate]]))</f>
        <v>16'ww40</v>
      </c>
      <c r="U433" s="7" t="str">
        <f>IF(ISBLANK(patch[[#This Row],[mergeDate]]), U432, MID(YEAR(patch[[#This Row],[mergeDate]]), 3,2)&amp;"'m"&amp;MONTH(patch[[#This Row],[mergeDate]]))</f>
        <v>16'm9</v>
      </c>
      <c r="V433" s="7" t="str">
        <f>IF(ISBLANK(patch[[#This Row],[project]]), "",SUM(patch[[#This Row],[BJ -1 num]:[SH -1 num]]))</f>
        <v/>
      </c>
      <c r="W433" s="7" t="str">
        <f>IF(ISBLANK(patch[[#This Row],[project]]), "",COUNTIFS($A:$A,patch[[#This Row],[number]],$S:$S, "BJ And dev",$AC:$AC, "Review-1"))</f>
        <v/>
      </c>
      <c r="X433" s="7" t="str">
        <f>IF(ISBLANK(patch[[#This Row],[project]]), "",COUNTIFS($A:$A,patch[[#This Row],[number]],$S:$S, "FL And dev",$AC:$AC, "Review-1"))</f>
        <v/>
      </c>
      <c r="Y433" s="7" t="str">
        <f>IF(ISBLANK(patch[[#This Row],[project]]), "",COUNTIFS($A:$A,patch[[#This Row],[number]],$S:$S, "SH And dev",$AC:$AC, "Review-1"))</f>
        <v/>
      </c>
      <c r="Z433" s="7" t="str">
        <f>IF(ISBLANK(patch[[#This Row],[project]]), "",COUNTIFS($A:$A,patch[[#This Row],[number]],$S:$S, "BJ And dev",$AD:$AD, "&lt;&gt;IntegratorValidationComment"))</f>
        <v/>
      </c>
      <c r="AA433" s="7" t="str">
        <f>IF(ISBLANK(patch[[#This Row],[project]]), "",COUNTIFS($A:$A,patch[[#This Row],[number]],$S:$S, "FL And dev",$AD:$AD, "&lt;&gt;IntegratorValidationComment"))</f>
        <v/>
      </c>
      <c r="AB433" s="7" t="str">
        <f>IF(ISBLANK(patch[[#This Row],[project]]), "",COUNTIFS($A:$A,patch[[#This Row],[number]],$S:$S, "SH And dev",$AD:$AD, "&lt;&gt;IntegratorValidationComment"))</f>
        <v/>
      </c>
      <c r="AC433" s="7" t="str">
        <f>IF(OR(ISNUMBER(FIND("Review-1", patch[[#This Row],[comments]])), ISNUMBER(FIND("Approver-1", patch[[#This Row],[comments]]))), "Review-1", "")</f>
        <v/>
      </c>
      <c r="AD4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33" s="7">
        <f>IF(ISBLANK(patch[[#This Row],[number]]),AE432,patch[[#This Row],[ifCommon]])</f>
        <v>0</v>
      </c>
    </row>
    <row r="434" spans="1:31">
      <c r="A434" s="151">
        <v>147785</v>
      </c>
      <c r="B434" s="151"/>
      <c r="C434" s="151"/>
      <c r="D434" s="151"/>
      <c r="E434" s="151"/>
      <c r="F434" s="151"/>
      <c r="G434" s="151"/>
      <c r="H434" s="151"/>
      <c r="I434" s="151"/>
      <c r="J434" s="152">
        <v>42639.752476851849</v>
      </c>
      <c r="K434" s="151"/>
      <c r="L434" s="151" t="s">
        <v>677</v>
      </c>
      <c r="M434" s="152">
        <v>42639.464247685188</v>
      </c>
      <c r="N434" s="151" t="s">
        <v>2429</v>
      </c>
      <c r="O434" s="151"/>
      <c r="P434" s="151"/>
      <c r="Q434" s="7" t="str">
        <f>IF(ISBLANK(patch[[#This Row],[OwnerEmail]]),Q433,patch[[#This Row],[OwnerEmail]])</f>
        <v>lipingx.xu@intel.com</v>
      </c>
      <c r="R434" s="7" t="str">
        <f>_xlfn.IFNA(VLOOKUP(patch[[#This Row],[tmp-owner.email]],OrgTree!$A:$K, 11, 0), "not ICG SWFW")</f>
        <v>BJ And dev</v>
      </c>
      <c r="S434" s="7" t="str">
        <f>IF(patch[[#This Row],[reviewer]]=patch[[#This Row],[tmp-owner.email]], "author", _xlfn.IFNA(VLOOKUP(patch[[#This Row],[reviewer]],OrgTree!$A:$K, 11, 0), "not ICG SWFW"))</f>
        <v>author</v>
      </c>
      <c r="T434" s="7" t="str">
        <f>IF(ISBLANK(patch[[#This Row],[mergeDate]]), "", MID(YEAR(patch[[#This Row],[mergeDate]]), 3,2)&amp;"'ww"&amp;WEEKNUM(patch[[#This Row],[mergeDate]]))</f>
        <v>16'ww40</v>
      </c>
      <c r="U434" s="7" t="str">
        <f>IF(ISBLANK(patch[[#This Row],[mergeDate]]), U433, MID(YEAR(patch[[#This Row],[mergeDate]]), 3,2)&amp;"'m"&amp;MONTH(patch[[#This Row],[mergeDate]]))</f>
        <v>16'm9</v>
      </c>
      <c r="V434" s="7" t="str">
        <f>IF(ISBLANK(patch[[#This Row],[project]]), "",SUM(patch[[#This Row],[BJ -1 num]:[SH -1 num]]))</f>
        <v/>
      </c>
      <c r="W434" s="7" t="str">
        <f>IF(ISBLANK(patch[[#This Row],[project]]), "",COUNTIFS($A:$A,patch[[#This Row],[number]],$S:$S, "BJ And dev",$AC:$AC, "Review-1"))</f>
        <v/>
      </c>
      <c r="X434" s="7" t="str">
        <f>IF(ISBLANK(patch[[#This Row],[project]]), "",COUNTIFS($A:$A,patch[[#This Row],[number]],$S:$S, "FL And dev",$AC:$AC, "Review-1"))</f>
        <v/>
      </c>
      <c r="Y434" s="7" t="str">
        <f>IF(ISBLANK(patch[[#This Row],[project]]), "",COUNTIFS($A:$A,patch[[#This Row],[number]],$S:$S, "SH And dev",$AC:$AC, "Review-1"))</f>
        <v/>
      </c>
      <c r="Z434" s="7" t="str">
        <f>IF(ISBLANK(patch[[#This Row],[project]]), "",COUNTIFS($A:$A,patch[[#This Row],[number]],$S:$S, "BJ And dev",$AD:$AD, "&lt;&gt;IntegratorValidationComment"))</f>
        <v/>
      </c>
      <c r="AA434" s="7" t="str">
        <f>IF(ISBLANK(patch[[#This Row],[project]]), "",COUNTIFS($A:$A,patch[[#This Row],[number]],$S:$S, "FL And dev",$AD:$AD, "&lt;&gt;IntegratorValidationComment"))</f>
        <v/>
      </c>
      <c r="AB434" s="7" t="str">
        <f>IF(ISBLANK(patch[[#This Row],[project]]), "",COUNTIFS($A:$A,patch[[#This Row],[number]],$S:$S, "SH And dev",$AD:$AD, "&lt;&gt;IntegratorValidationComment"))</f>
        <v/>
      </c>
      <c r="AC434" s="7" t="str">
        <f>IF(OR(ISNUMBER(FIND("Review-1", patch[[#This Row],[comments]])), ISNUMBER(FIND("Approver-1", patch[[#This Row],[comments]]))), "Review-1", "")</f>
        <v/>
      </c>
      <c r="AD4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34" s="7">
        <f>IF(ISBLANK(patch[[#This Row],[number]]),AE433,patch[[#This Row],[ifCommon]])</f>
        <v>0</v>
      </c>
    </row>
    <row r="435" spans="1:31">
      <c r="A435" s="151">
        <v>147785</v>
      </c>
      <c r="B435" s="151"/>
      <c r="C435" s="151"/>
      <c r="D435" s="151"/>
      <c r="E435" s="151"/>
      <c r="F435" s="151"/>
      <c r="G435" s="151"/>
      <c r="H435" s="151"/>
      <c r="I435" s="151"/>
      <c r="J435" s="152">
        <v>42639.752476851849</v>
      </c>
      <c r="K435" s="151"/>
      <c r="L435" s="151" t="s">
        <v>59</v>
      </c>
      <c r="M435" s="152">
        <v>42639.472071759257</v>
      </c>
      <c r="N435" s="151" t="s">
        <v>2819</v>
      </c>
      <c r="O435" s="151"/>
      <c r="P435" s="151"/>
      <c r="Q435" s="7" t="str">
        <f>IF(ISBLANK(patch[[#This Row],[OwnerEmail]]),Q434,patch[[#This Row],[OwnerEmail]])</f>
        <v>lipingx.xu@intel.com</v>
      </c>
      <c r="R435" s="7" t="str">
        <f>_xlfn.IFNA(VLOOKUP(patch[[#This Row],[tmp-owner.email]],OrgTree!$A:$K, 11, 0), "not ICG SWFW")</f>
        <v>BJ And dev</v>
      </c>
      <c r="S435" s="7" t="str">
        <f>IF(patch[[#This Row],[reviewer]]=patch[[#This Row],[tmp-owner.email]], "author", _xlfn.IFNA(VLOOKUP(patch[[#This Row],[reviewer]],OrgTree!$A:$K, 11, 0), "not ICG SWFW"))</f>
        <v>BJ And dev</v>
      </c>
      <c r="T435" s="7" t="str">
        <f>IF(ISBLANK(patch[[#This Row],[mergeDate]]), "", MID(YEAR(patch[[#This Row],[mergeDate]]), 3,2)&amp;"'ww"&amp;WEEKNUM(patch[[#This Row],[mergeDate]]))</f>
        <v>16'ww40</v>
      </c>
      <c r="U435" s="7" t="str">
        <f>IF(ISBLANK(patch[[#This Row],[mergeDate]]), U434, MID(YEAR(patch[[#This Row],[mergeDate]]), 3,2)&amp;"'m"&amp;MONTH(patch[[#This Row],[mergeDate]]))</f>
        <v>16'm9</v>
      </c>
      <c r="V435" s="7" t="str">
        <f>IF(ISBLANK(patch[[#This Row],[project]]), "",SUM(patch[[#This Row],[BJ -1 num]:[SH -1 num]]))</f>
        <v/>
      </c>
      <c r="W435" s="7" t="str">
        <f>IF(ISBLANK(patch[[#This Row],[project]]), "",COUNTIFS($A:$A,patch[[#This Row],[number]],$S:$S, "BJ And dev",$AC:$AC, "Review-1"))</f>
        <v/>
      </c>
      <c r="X435" s="7" t="str">
        <f>IF(ISBLANK(patch[[#This Row],[project]]), "",COUNTIFS($A:$A,patch[[#This Row],[number]],$S:$S, "FL And dev",$AC:$AC, "Review-1"))</f>
        <v/>
      </c>
      <c r="Y435" s="7" t="str">
        <f>IF(ISBLANK(patch[[#This Row],[project]]), "",COUNTIFS($A:$A,patch[[#This Row],[number]],$S:$S, "SH And dev",$AC:$AC, "Review-1"))</f>
        <v/>
      </c>
      <c r="Z435" s="7" t="str">
        <f>IF(ISBLANK(patch[[#This Row],[project]]), "",COUNTIFS($A:$A,patch[[#This Row],[number]],$S:$S, "BJ And dev",$AD:$AD, "&lt;&gt;IntegratorValidationComment"))</f>
        <v/>
      </c>
      <c r="AA435" s="7" t="str">
        <f>IF(ISBLANK(patch[[#This Row],[project]]), "",COUNTIFS($A:$A,patch[[#This Row],[number]],$S:$S, "FL And dev",$AD:$AD, "&lt;&gt;IntegratorValidationComment"))</f>
        <v/>
      </c>
      <c r="AB435" s="7" t="str">
        <f>IF(ISBLANK(patch[[#This Row],[project]]), "",COUNTIFS($A:$A,patch[[#This Row],[number]],$S:$S, "SH And dev",$AD:$AD, "&lt;&gt;IntegratorValidationComment"))</f>
        <v/>
      </c>
      <c r="AC435" s="7" t="str">
        <f>IF(OR(ISNUMBER(FIND("Review-1", patch[[#This Row],[comments]])), ISNUMBER(FIND("Approver-1", patch[[#This Row],[comments]]))), "Review-1", "")</f>
        <v/>
      </c>
      <c r="AD4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35" s="7">
        <f>IF(ISBLANK(patch[[#This Row],[number]]),AE434,patch[[#This Row],[ifCommon]])</f>
        <v>0</v>
      </c>
    </row>
    <row r="436" spans="1:31">
      <c r="A436" s="151">
        <v>147785</v>
      </c>
      <c r="B436" s="151"/>
      <c r="C436" s="151"/>
      <c r="D436" s="151"/>
      <c r="E436" s="151"/>
      <c r="F436" s="151"/>
      <c r="G436" s="151"/>
      <c r="H436" s="151"/>
      <c r="I436" s="152"/>
      <c r="J436" s="152">
        <v>42639.752476851849</v>
      </c>
      <c r="K436" s="151"/>
      <c r="L436" s="151" t="s">
        <v>115</v>
      </c>
      <c r="M436" s="152">
        <v>42639.480196759258</v>
      </c>
      <c r="N436" s="151" t="s">
        <v>2495</v>
      </c>
      <c r="O436" s="151"/>
      <c r="P436" s="151"/>
      <c r="Q436" s="7" t="str">
        <f>IF(ISBLANK(patch[[#This Row],[OwnerEmail]]),Q435,patch[[#This Row],[OwnerEmail]])</f>
        <v>lipingx.xu@intel.com</v>
      </c>
      <c r="R436" s="7" t="str">
        <f>_xlfn.IFNA(VLOOKUP(patch[[#This Row],[tmp-owner.email]],OrgTree!$A:$K, 11, 0), "not ICG SWFW")</f>
        <v>BJ And dev</v>
      </c>
      <c r="S436" s="7" t="str">
        <f>IF(patch[[#This Row],[reviewer]]=patch[[#This Row],[tmp-owner.email]], "author", _xlfn.IFNA(VLOOKUP(patch[[#This Row],[reviewer]],OrgTree!$A:$K, 11, 0), "not ICG SWFW"))</f>
        <v>Val</v>
      </c>
      <c r="T436" s="7" t="str">
        <f>IF(ISBLANK(patch[[#This Row],[mergeDate]]), "", MID(YEAR(patch[[#This Row],[mergeDate]]), 3,2)&amp;"'ww"&amp;WEEKNUM(patch[[#This Row],[mergeDate]]))</f>
        <v>16'ww40</v>
      </c>
      <c r="U436" s="7" t="str">
        <f>IF(ISBLANK(patch[[#This Row],[mergeDate]]), U435, MID(YEAR(patch[[#This Row],[mergeDate]]), 3,2)&amp;"'m"&amp;MONTH(patch[[#This Row],[mergeDate]]))</f>
        <v>16'm9</v>
      </c>
      <c r="V436" s="7" t="str">
        <f>IF(ISBLANK(patch[[#This Row],[project]]), "",SUM(patch[[#This Row],[BJ -1 num]:[SH -1 num]]))</f>
        <v/>
      </c>
      <c r="W436" s="7" t="str">
        <f>IF(ISBLANK(patch[[#This Row],[project]]), "",COUNTIFS($A:$A,patch[[#This Row],[number]],$S:$S, "BJ And dev",$AC:$AC, "Review-1"))</f>
        <v/>
      </c>
      <c r="X436" s="7" t="str">
        <f>IF(ISBLANK(patch[[#This Row],[project]]), "",COUNTIFS($A:$A,patch[[#This Row],[number]],$S:$S, "FL And dev",$AC:$AC, "Review-1"))</f>
        <v/>
      </c>
      <c r="Y436" s="7" t="str">
        <f>IF(ISBLANK(patch[[#This Row],[project]]), "",COUNTIFS($A:$A,patch[[#This Row],[number]],$S:$S, "SH And dev",$AC:$AC, "Review-1"))</f>
        <v/>
      </c>
      <c r="Z436" s="7" t="str">
        <f>IF(ISBLANK(patch[[#This Row],[project]]), "",COUNTIFS($A:$A,patch[[#This Row],[number]],$S:$S, "BJ And dev",$AD:$AD, "&lt;&gt;IntegratorValidationComment"))</f>
        <v/>
      </c>
      <c r="AA436" s="7" t="str">
        <f>IF(ISBLANK(patch[[#This Row],[project]]), "",COUNTIFS($A:$A,patch[[#This Row],[number]],$S:$S, "FL And dev",$AD:$AD, "&lt;&gt;IntegratorValidationComment"))</f>
        <v/>
      </c>
      <c r="AB436" s="7" t="str">
        <f>IF(ISBLANK(patch[[#This Row],[project]]), "",COUNTIFS($A:$A,patch[[#This Row],[number]],$S:$S, "SH And dev",$AD:$AD, "&lt;&gt;IntegratorValidationComment"))</f>
        <v/>
      </c>
      <c r="AC436" s="7" t="str">
        <f>IF(OR(ISNUMBER(FIND("Review-1", patch[[#This Row],[comments]])), ISNUMBER(FIND("Approver-1", patch[[#This Row],[comments]]))), "Review-1", "")</f>
        <v/>
      </c>
      <c r="AD4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436" s="7">
        <f>IF(ISBLANK(patch[[#This Row],[number]]),AE435,patch[[#This Row],[ifCommon]])</f>
        <v>0</v>
      </c>
    </row>
    <row r="437" spans="1:31">
      <c r="A437" s="151">
        <v>147785</v>
      </c>
      <c r="B437" s="151"/>
      <c r="C437" s="151"/>
      <c r="D437" s="151"/>
      <c r="E437" s="151"/>
      <c r="F437" s="151"/>
      <c r="G437" s="151"/>
      <c r="H437" s="151"/>
      <c r="I437" s="151"/>
      <c r="J437" s="152">
        <v>42639.752476851849</v>
      </c>
      <c r="K437" s="151"/>
      <c r="L437" s="151" t="s">
        <v>59</v>
      </c>
      <c r="M437" s="152">
        <v>42639.488043981481</v>
      </c>
      <c r="N437" s="151" t="s">
        <v>2820</v>
      </c>
      <c r="O437" s="151"/>
      <c r="P437" s="151"/>
      <c r="Q437" s="7" t="str">
        <f>IF(ISBLANK(patch[[#This Row],[OwnerEmail]]),Q436,patch[[#This Row],[OwnerEmail]])</f>
        <v>lipingx.xu@intel.com</v>
      </c>
      <c r="R437" s="7" t="str">
        <f>_xlfn.IFNA(VLOOKUP(patch[[#This Row],[tmp-owner.email]],OrgTree!$A:$K, 11, 0), "not ICG SWFW")</f>
        <v>BJ And dev</v>
      </c>
      <c r="S437" s="7" t="str">
        <f>IF(patch[[#This Row],[reviewer]]=patch[[#This Row],[tmp-owner.email]], "author", _xlfn.IFNA(VLOOKUP(patch[[#This Row],[reviewer]],OrgTree!$A:$K, 11, 0), "not ICG SWFW"))</f>
        <v>BJ And dev</v>
      </c>
      <c r="T437" s="7" t="str">
        <f>IF(ISBLANK(patch[[#This Row],[mergeDate]]), "", MID(YEAR(patch[[#This Row],[mergeDate]]), 3,2)&amp;"'ww"&amp;WEEKNUM(patch[[#This Row],[mergeDate]]))</f>
        <v>16'ww40</v>
      </c>
      <c r="U437" s="7" t="str">
        <f>IF(ISBLANK(patch[[#This Row],[mergeDate]]), U436, MID(YEAR(patch[[#This Row],[mergeDate]]), 3,2)&amp;"'m"&amp;MONTH(patch[[#This Row],[mergeDate]]))</f>
        <v>16'm9</v>
      </c>
      <c r="V437" s="7" t="str">
        <f>IF(ISBLANK(patch[[#This Row],[project]]), "",SUM(patch[[#This Row],[BJ -1 num]:[SH -1 num]]))</f>
        <v/>
      </c>
      <c r="W437" s="7" t="str">
        <f>IF(ISBLANK(patch[[#This Row],[project]]), "",COUNTIFS($A:$A,patch[[#This Row],[number]],$S:$S, "BJ And dev",$AC:$AC, "Review-1"))</f>
        <v/>
      </c>
      <c r="X437" s="7" t="str">
        <f>IF(ISBLANK(patch[[#This Row],[project]]), "",COUNTIFS($A:$A,patch[[#This Row],[number]],$S:$S, "FL And dev",$AC:$AC, "Review-1"))</f>
        <v/>
      </c>
      <c r="Y437" s="7" t="str">
        <f>IF(ISBLANK(patch[[#This Row],[project]]), "",COUNTIFS($A:$A,patch[[#This Row],[number]],$S:$S, "SH And dev",$AC:$AC, "Review-1"))</f>
        <v/>
      </c>
      <c r="Z437" s="7" t="str">
        <f>IF(ISBLANK(patch[[#This Row],[project]]), "",COUNTIFS($A:$A,patch[[#This Row],[number]],$S:$S, "BJ And dev",$AD:$AD, "&lt;&gt;IntegratorValidationComment"))</f>
        <v/>
      </c>
      <c r="AA437" s="7" t="str">
        <f>IF(ISBLANK(patch[[#This Row],[project]]), "",COUNTIFS($A:$A,patch[[#This Row],[number]],$S:$S, "FL And dev",$AD:$AD, "&lt;&gt;IntegratorValidationComment"))</f>
        <v/>
      </c>
      <c r="AB437" s="7" t="str">
        <f>IF(ISBLANK(patch[[#This Row],[project]]), "",COUNTIFS($A:$A,patch[[#This Row],[number]],$S:$S, "SH And dev",$AD:$AD, "&lt;&gt;IntegratorValidationComment"))</f>
        <v/>
      </c>
      <c r="AC437" s="7" t="str">
        <f>IF(OR(ISNUMBER(FIND("Review-1", patch[[#This Row],[comments]])), ISNUMBER(FIND("Approver-1", patch[[#This Row],[comments]]))), "Review-1", "")</f>
        <v/>
      </c>
      <c r="AD4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37" s="7">
        <f>IF(ISBLANK(patch[[#This Row],[number]]),AE436,patch[[#This Row],[ifCommon]])</f>
        <v>0</v>
      </c>
    </row>
    <row r="438" spans="1:31">
      <c r="A438" s="151">
        <v>147786</v>
      </c>
      <c r="B438" s="151" t="s">
        <v>2490</v>
      </c>
      <c r="C438" s="151" t="s">
        <v>2795</v>
      </c>
      <c r="D438" s="151" t="s">
        <v>2821</v>
      </c>
      <c r="E438" s="151" t="s">
        <v>677</v>
      </c>
      <c r="F438" s="151" t="s">
        <v>23</v>
      </c>
      <c r="G438" s="151" t="s">
        <v>2822</v>
      </c>
      <c r="H438" s="151" t="s">
        <v>2823</v>
      </c>
      <c r="I438" s="152">
        <v>42636.741226851853</v>
      </c>
      <c r="J438" s="152">
        <v>42639.752476851849</v>
      </c>
      <c r="K438" s="151" t="s">
        <v>2445</v>
      </c>
      <c r="L438" s="151" t="s">
        <v>677</v>
      </c>
      <c r="M438" s="152">
        <v>42636.741226851853</v>
      </c>
      <c r="N438" s="151" t="s">
        <v>25</v>
      </c>
      <c r="O438" s="151"/>
      <c r="P438" s="151" t="s">
        <v>59</v>
      </c>
      <c r="Q438" s="7" t="str">
        <f>IF(ISBLANK(patch[[#This Row],[OwnerEmail]]),Q437,patch[[#This Row],[OwnerEmail]])</f>
        <v>lipingx.xu@intel.com</v>
      </c>
      <c r="R438" s="7" t="str">
        <f>_xlfn.IFNA(VLOOKUP(patch[[#This Row],[tmp-owner.email]],OrgTree!$A:$K, 11, 0), "not ICG SWFW")</f>
        <v>BJ And dev</v>
      </c>
      <c r="S438" s="7" t="str">
        <f>IF(patch[[#This Row],[reviewer]]=patch[[#This Row],[tmp-owner.email]], "author", _xlfn.IFNA(VLOOKUP(patch[[#This Row],[reviewer]],OrgTree!$A:$K, 11, 0), "not ICG SWFW"))</f>
        <v>author</v>
      </c>
      <c r="T438" s="7" t="str">
        <f>IF(ISBLANK(patch[[#This Row],[mergeDate]]), "", MID(YEAR(patch[[#This Row],[mergeDate]]), 3,2)&amp;"'ww"&amp;WEEKNUM(patch[[#This Row],[mergeDate]]))</f>
        <v>16'ww40</v>
      </c>
      <c r="U438" s="7" t="str">
        <f>IF(ISBLANK(patch[[#This Row],[mergeDate]]), U437, MID(YEAR(patch[[#This Row],[mergeDate]]), 3,2)&amp;"'m"&amp;MONTH(patch[[#This Row],[mergeDate]]))</f>
        <v>16'm9</v>
      </c>
      <c r="V438" s="7">
        <f>IF(ISBLANK(patch[[#This Row],[project]]), "",SUM(patch[[#This Row],[BJ -1 num]:[SH -1 num]]))</f>
        <v>0</v>
      </c>
      <c r="W438" s="7">
        <f>IF(ISBLANK(patch[[#This Row],[project]]), "",COUNTIFS($A:$A,patch[[#This Row],[number]],$S:$S, "BJ And dev",$AC:$AC, "Review-1"))</f>
        <v>0</v>
      </c>
      <c r="X438" s="7">
        <f>IF(ISBLANK(patch[[#This Row],[project]]), "",COUNTIFS($A:$A,patch[[#This Row],[number]],$S:$S, "FL And dev",$AC:$AC, "Review-1"))</f>
        <v>0</v>
      </c>
      <c r="Y438" s="7">
        <f>IF(ISBLANK(patch[[#This Row],[project]]), "",COUNTIFS($A:$A,patch[[#This Row],[number]],$S:$S, "SH And dev",$AC:$AC, "Review-1"))</f>
        <v>0</v>
      </c>
      <c r="Z438" s="7">
        <f>IF(ISBLANK(patch[[#This Row],[project]]), "",COUNTIFS($A:$A,patch[[#This Row],[number]],$S:$S, "BJ And dev",$AD:$AD, "&lt;&gt;IntegratorValidationComment"))</f>
        <v>5</v>
      </c>
      <c r="AA438" s="7">
        <f>IF(ISBLANK(patch[[#This Row],[project]]), "",COUNTIFS($A:$A,patch[[#This Row],[number]],$S:$S, "FL And dev",$AD:$AD, "&lt;&gt;IntegratorValidationComment"))</f>
        <v>0</v>
      </c>
      <c r="AB438" s="7">
        <f>IF(ISBLANK(patch[[#This Row],[project]]), "",COUNTIFS($A:$A,patch[[#This Row],[number]],$S:$S, "SH And dev",$AD:$AD, "&lt;&gt;IntegratorValidationComment"))</f>
        <v>0</v>
      </c>
      <c r="AC438" s="7" t="str">
        <f>IF(OR(ISNUMBER(FIND("Review-1", patch[[#This Row],[comments]])), ISNUMBER(FIND("Approver-1", patch[[#This Row],[comments]]))), "Review-1", "")</f>
        <v/>
      </c>
      <c r="AD4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38" s="7" t="str">
        <f>IF(ISBLANK(patch[[#This Row],[number]]),AE437,patch[[#This Row],[ifCommon]])</f>
        <v>not AndrHAL</v>
      </c>
    </row>
    <row r="439" spans="1:31">
      <c r="A439" s="151">
        <v>147786</v>
      </c>
      <c r="B439" s="151"/>
      <c r="C439" s="151"/>
      <c r="D439" s="151"/>
      <c r="E439" s="151"/>
      <c r="F439" s="151"/>
      <c r="G439" s="151"/>
      <c r="H439" s="151"/>
      <c r="I439" s="151"/>
      <c r="J439" s="152">
        <v>42639.752476851849</v>
      </c>
      <c r="K439" s="151"/>
      <c r="L439" s="151" t="s">
        <v>677</v>
      </c>
      <c r="M439" s="152">
        <v>42636.741238425922</v>
      </c>
      <c r="N439" s="151" t="s">
        <v>2428</v>
      </c>
      <c r="O439" s="151"/>
      <c r="P439" s="151"/>
      <c r="Q439" s="7" t="str">
        <f>IF(ISBLANK(patch[[#This Row],[OwnerEmail]]),Q438,patch[[#This Row],[OwnerEmail]])</f>
        <v>lipingx.xu@intel.com</v>
      </c>
      <c r="R439" s="7" t="str">
        <f>_xlfn.IFNA(VLOOKUP(patch[[#This Row],[tmp-owner.email]],OrgTree!$A:$K, 11, 0), "not ICG SWFW")</f>
        <v>BJ And dev</v>
      </c>
      <c r="S439" s="7" t="str">
        <f>IF(patch[[#This Row],[reviewer]]=patch[[#This Row],[tmp-owner.email]], "author", _xlfn.IFNA(VLOOKUP(patch[[#This Row],[reviewer]],OrgTree!$A:$K, 11, 0), "not ICG SWFW"))</f>
        <v>author</v>
      </c>
      <c r="T439" s="7" t="str">
        <f>IF(ISBLANK(patch[[#This Row],[mergeDate]]), "", MID(YEAR(patch[[#This Row],[mergeDate]]), 3,2)&amp;"'ww"&amp;WEEKNUM(patch[[#This Row],[mergeDate]]))</f>
        <v>16'ww40</v>
      </c>
      <c r="U439" s="7" t="str">
        <f>IF(ISBLANK(patch[[#This Row],[mergeDate]]), U438, MID(YEAR(patch[[#This Row],[mergeDate]]), 3,2)&amp;"'m"&amp;MONTH(patch[[#This Row],[mergeDate]]))</f>
        <v>16'm9</v>
      </c>
      <c r="V439" s="7" t="str">
        <f>IF(ISBLANK(patch[[#This Row],[project]]), "",SUM(patch[[#This Row],[BJ -1 num]:[SH -1 num]]))</f>
        <v/>
      </c>
      <c r="W439" s="7" t="str">
        <f>IF(ISBLANK(patch[[#This Row],[project]]), "",COUNTIFS($A:$A,patch[[#This Row],[number]],$S:$S, "BJ And dev",$AC:$AC, "Review-1"))</f>
        <v/>
      </c>
      <c r="X439" s="7" t="str">
        <f>IF(ISBLANK(patch[[#This Row],[project]]), "",COUNTIFS($A:$A,patch[[#This Row],[number]],$S:$S, "FL And dev",$AC:$AC, "Review-1"))</f>
        <v/>
      </c>
      <c r="Y439" s="7" t="str">
        <f>IF(ISBLANK(patch[[#This Row],[project]]), "",COUNTIFS($A:$A,patch[[#This Row],[number]],$S:$S, "SH And dev",$AC:$AC, "Review-1"))</f>
        <v/>
      </c>
      <c r="Z439" s="7" t="str">
        <f>IF(ISBLANK(patch[[#This Row],[project]]), "",COUNTIFS($A:$A,patch[[#This Row],[number]],$S:$S, "BJ And dev",$AD:$AD, "&lt;&gt;IntegratorValidationComment"))</f>
        <v/>
      </c>
      <c r="AA439" s="7" t="str">
        <f>IF(ISBLANK(patch[[#This Row],[project]]), "",COUNTIFS($A:$A,patch[[#This Row],[number]],$S:$S, "FL And dev",$AD:$AD, "&lt;&gt;IntegratorValidationComment"))</f>
        <v/>
      </c>
      <c r="AB439" s="7" t="str">
        <f>IF(ISBLANK(patch[[#This Row],[project]]), "",COUNTIFS($A:$A,patch[[#This Row],[number]],$S:$S, "SH And dev",$AD:$AD, "&lt;&gt;IntegratorValidationComment"))</f>
        <v/>
      </c>
      <c r="AC439" s="7" t="str">
        <f>IF(OR(ISNUMBER(FIND("Review-1", patch[[#This Row],[comments]])), ISNUMBER(FIND("Approver-1", patch[[#This Row],[comments]]))), "Review-1", "")</f>
        <v/>
      </c>
      <c r="AD4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39" s="7">
        <f>IF(ISBLANK(patch[[#This Row],[number]]),AE438,patch[[#This Row],[ifCommon]])</f>
        <v>0</v>
      </c>
    </row>
    <row r="440" spans="1:31">
      <c r="A440" s="151">
        <v>147786</v>
      </c>
      <c r="B440" s="151"/>
      <c r="C440" s="151"/>
      <c r="D440" s="151"/>
      <c r="E440" s="151"/>
      <c r="F440" s="151"/>
      <c r="G440" s="151"/>
      <c r="H440" s="151"/>
      <c r="I440" s="151"/>
      <c r="J440" s="152">
        <v>42639.752476851849</v>
      </c>
      <c r="K440" s="151"/>
      <c r="L440" s="151" t="s">
        <v>677</v>
      </c>
      <c r="M440" s="152">
        <v>42636.741469907407</v>
      </c>
      <c r="N440" s="151" t="s">
        <v>40</v>
      </c>
      <c r="O440" s="151"/>
      <c r="P440" s="151"/>
      <c r="Q440" s="7" t="str">
        <f>IF(ISBLANK(patch[[#This Row],[OwnerEmail]]),Q439,patch[[#This Row],[OwnerEmail]])</f>
        <v>lipingx.xu@intel.com</v>
      </c>
      <c r="R440" s="7" t="str">
        <f>_xlfn.IFNA(VLOOKUP(patch[[#This Row],[tmp-owner.email]],OrgTree!$A:$K, 11, 0), "not ICG SWFW")</f>
        <v>BJ And dev</v>
      </c>
      <c r="S440" s="7" t="str">
        <f>IF(patch[[#This Row],[reviewer]]=patch[[#This Row],[tmp-owner.email]], "author", _xlfn.IFNA(VLOOKUP(patch[[#This Row],[reviewer]],OrgTree!$A:$K, 11, 0), "not ICG SWFW"))</f>
        <v>author</v>
      </c>
      <c r="T440" s="7" t="str">
        <f>IF(ISBLANK(patch[[#This Row],[mergeDate]]), "", MID(YEAR(patch[[#This Row],[mergeDate]]), 3,2)&amp;"'ww"&amp;WEEKNUM(patch[[#This Row],[mergeDate]]))</f>
        <v>16'ww40</v>
      </c>
      <c r="U440" s="7" t="str">
        <f>IF(ISBLANK(patch[[#This Row],[mergeDate]]), U439, MID(YEAR(patch[[#This Row],[mergeDate]]), 3,2)&amp;"'m"&amp;MONTH(patch[[#This Row],[mergeDate]]))</f>
        <v>16'm9</v>
      </c>
      <c r="V440" s="7" t="str">
        <f>IF(ISBLANK(patch[[#This Row],[project]]), "",SUM(patch[[#This Row],[BJ -1 num]:[SH -1 num]]))</f>
        <v/>
      </c>
      <c r="W440" s="7" t="str">
        <f>IF(ISBLANK(patch[[#This Row],[project]]), "",COUNTIFS($A:$A,patch[[#This Row],[number]],$S:$S, "BJ And dev",$AC:$AC, "Review-1"))</f>
        <v/>
      </c>
      <c r="X440" s="7" t="str">
        <f>IF(ISBLANK(patch[[#This Row],[project]]), "",COUNTIFS($A:$A,patch[[#This Row],[number]],$S:$S, "FL And dev",$AC:$AC, "Review-1"))</f>
        <v/>
      </c>
      <c r="Y440" s="7" t="str">
        <f>IF(ISBLANK(patch[[#This Row],[project]]), "",COUNTIFS($A:$A,patch[[#This Row],[number]],$S:$S, "SH And dev",$AC:$AC, "Review-1"))</f>
        <v/>
      </c>
      <c r="Z440" s="7" t="str">
        <f>IF(ISBLANK(patch[[#This Row],[project]]), "",COUNTIFS($A:$A,patch[[#This Row],[number]],$S:$S, "BJ And dev",$AD:$AD, "&lt;&gt;IntegratorValidationComment"))</f>
        <v/>
      </c>
      <c r="AA440" s="7" t="str">
        <f>IF(ISBLANK(patch[[#This Row],[project]]), "",COUNTIFS($A:$A,patch[[#This Row],[number]],$S:$S, "FL And dev",$AD:$AD, "&lt;&gt;IntegratorValidationComment"))</f>
        <v/>
      </c>
      <c r="AB440" s="7" t="str">
        <f>IF(ISBLANK(patch[[#This Row],[project]]), "",COUNTIFS($A:$A,patch[[#This Row],[number]],$S:$S, "SH And dev",$AD:$AD, "&lt;&gt;IntegratorValidationComment"))</f>
        <v/>
      </c>
      <c r="AC440" s="7" t="str">
        <f>IF(OR(ISNUMBER(FIND("Review-1", patch[[#This Row],[comments]])), ISNUMBER(FIND("Approver-1", patch[[#This Row],[comments]]))), "Review-1", "")</f>
        <v/>
      </c>
      <c r="AD4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40" s="7">
        <f>IF(ISBLANK(patch[[#This Row],[number]]),AE439,patch[[#This Row],[ifCommon]])</f>
        <v>0</v>
      </c>
    </row>
    <row r="441" spans="1:31">
      <c r="A441" s="151">
        <v>147786</v>
      </c>
      <c r="B441" s="151"/>
      <c r="C441" s="151"/>
      <c r="D441" s="151"/>
      <c r="E441" s="151"/>
      <c r="F441" s="151"/>
      <c r="G441" s="151"/>
      <c r="H441" s="151"/>
      <c r="I441" s="151"/>
      <c r="J441" s="152">
        <v>42639.752476851849</v>
      </c>
      <c r="K441" s="151"/>
      <c r="L441" s="151" t="s">
        <v>59</v>
      </c>
      <c r="M441" s="152">
        <v>42636.745752314811</v>
      </c>
      <c r="N441" s="151" t="s">
        <v>2824</v>
      </c>
      <c r="O441" s="151"/>
      <c r="P441" s="151"/>
      <c r="Q441" s="7" t="str">
        <f>IF(ISBLANK(patch[[#This Row],[OwnerEmail]]),Q440,patch[[#This Row],[OwnerEmail]])</f>
        <v>lipingx.xu@intel.com</v>
      </c>
      <c r="R441" s="7" t="str">
        <f>_xlfn.IFNA(VLOOKUP(patch[[#This Row],[tmp-owner.email]],OrgTree!$A:$K, 11, 0), "not ICG SWFW")</f>
        <v>BJ And dev</v>
      </c>
      <c r="S441" s="7" t="str">
        <f>IF(patch[[#This Row],[reviewer]]=patch[[#This Row],[tmp-owner.email]], "author", _xlfn.IFNA(VLOOKUP(patch[[#This Row],[reviewer]],OrgTree!$A:$K, 11, 0), "not ICG SWFW"))</f>
        <v>BJ And dev</v>
      </c>
      <c r="T441" s="7" t="str">
        <f>IF(ISBLANK(patch[[#This Row],[mergeDate]]), "", MID(YEAR(patch[[#This Row],[mergeDate]]), 3,2)&amp;"'ww"&amp;WEEKNUM(patch[[#This Row],[mergeDate]]))</f>
        <v>16'ww40</v>
      </c>
      <c r="U441" s="7" t="str">
        <f>IF(ISBLANK(patch[[#This Row],[mergeDate]]), U440, MID(YEAR(patch[[#This Row],[mergeDate]]), 3,2)&amp;"'m"&amp;MONTH(patch[[#This Row],[mergeDate]]))</f>
        <v>16'm9</v>
      </c>
      <c r="V441" s="7" t="str">
        <f>IF(ISBLANK(patch[[#This Row],[project]]), "",SUM(patch[[#This Row],[BJ -1 num]:[SH -1 num]]))</f>
        <v/>
      </c>
      <c r="W441" s="7" t="str">
        <f>IF(ISBLANK(patch[[#This Row],[project]]), "",COUNTIFS($A:$A,patch[[#This Row],[number]],$S:$S, "BJ And dev",$AC:$AC, "Review-1"))</f>
        <v/>
      </c>
      <c r="X441" s="7" t="str">
        <f>IF(ISBLANK(patch[[#This Row],[project]]), "",COUNTIFS($A:$A,patch[[#This Row],[number]],$S:$S, "FL And dev",$AC:$AC, "Review-1"))</f>
        <v/>
      </c>
      <c r="Y441" s="7" t="str">
        <f>IF(ISBLANK(patch[[#This Row],[project]]), "",COUNTIFS($A:$A,patch[[#This Row],[number]],$S:$S, "SH And dev",$AC:$AC, "Review-1"))</f>
        <v/>
      </c>
      <c r="Z441" s="7" t="str">
        <f>IF(ISBLANK(patch[[#This Row],[project]]), "",COUNTIFS($A:$A,patch[[#This Row],[number]],$S:$S, "BJ And dev",$AD:$AD, "&lt;&gt;IntegratorValidationComment"))</f>
        <v/>
      </c>
      <c r="AA441" s="7" t="str">
        <f>IF(ISBLANK(patch[[#This Row],[project]]), "",COUNTIFS($A:$A,patch[[#This Row],[number]],$S:$S, "FL And dev",$AD:$AD, "&lt;&gt;IntegratorValidationComment"))</f>
        <v/>
      </c>
      <c r="AB441" s="7" t="str">
        <f>IF(ISBLANK(patch[[#This Row],[project]]), "",COUNTIFS($A:$A,patch[[#This Row],[number]],$S:$S, "SH And dev",$AD:$AD, "&lt;&gt;IntegratorValidationComment"))</f>
        <v/>
      </c>
      <c r="AC441" s="7" t="str">
        <f>IF(OR(ISNUMBER(FIND("Review-1", patch[[#This Row],[comments]])), ISNUMBER(FIND("Approver-1", patch[[#This Row],[comments]]))), "Review-1", "")</f>
        <v/>
      </c>
      <c r="AD4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41" s="7">
        <f>IF(ISBLANK(patch[[#This Row],[number]]),AE440,patch[[#This Row],[ifCommon]])</f>
        <v>0</v>
      </c>
    </row>
    <row r="442" spans="1:31">
      <c r="A442" s="151">
        <v>147786</v>
      </c>
      <c r="B442" s="151"/>
      <c r="C442" s="151"/>
      <c r="D442" s="151"/>
      <c r="E442" s="151"/>
      <c r="F442" s="151"/>
      <c r="G442" s="151"/>
      <c r="H442" s="151"/>
      <c r="I442" s="151"/>
      <c r="J442" s="152">
        <v>42639.752476851849</v>
      </c>
      <c r="K442" s="151"/>
      <c r="L442" s="151" t="s">
        <v>59</v>
      </c>
      <c r="M442" s="152">
        <v>42636.749189814807</v>
      </c>
      <c r="N442" s="151" t="s">
        <v>1880</v>
      </c>
      <c r="O442" s="151"/>
      <c r="P442" s="151"/>
      <c r="Q442" s="7" t="str">
        <f>IF(ISBLANK(patch[[#This Row],[OwnerEmail]]),Q441,patch[[#This Row],[OwnerEmail]])</f>
        <v>lipingx.xu@intel.com</v>
      </c>
      <c r="R442" s="7" t="str">
        <f>_xlfn.IFNA(VLOOKUP(patch[[#This Row],[tmp-owner.email]],OrgTree!$A:$K, 11, 0), "not ICG SWFW")</f>
        <v>BJ And dev</v>
      </c>
      <c r="S442" s="7" t="str">
        <f>IF(patch[[#This Row],[reviewer]]=patch[[#This Row],[tmp-owner.email]], "author", _xlfn.IFNA(VLOOKUP(patch[[#This Row],[reviewer]],OrgTree!$A:$K, 11, 0), "not ICG SWFW"))</f>
        <v>BJ And dev</v>
      </c>
      <c r="T442" s="7" t="str">
        <f>IF(ISBLANK(patch[[#This Row],[mergeDate]]), "", MID(YEAR(patch[[#This Row],[mergeDate]]), 3,2)&amp;"'ww"&amp;WEEKNUM(patch[[#This Row],[mergeDate]]))</f>
        <v>16'ww40</v>
      </c>
      <c r="U442" s="7" t="str">
        <f>IF(ISBLANK(patch[[#This Row],[mergeDate]]), U441, MID(YEAR(patch[[#This Row],[mergeDate]]), 3,2)&amp;"'m"&amp;MONTH(patch[[#This Row],[mergeDate]]))</f>
        <v>16'm9</v>
      </c>
      <c r="V442" s="7" t="str">
        <f>IF(ISBLANK(patch[[#This Row],[project]]), "",SUM(patch[[#This Row],[BJ -1 num]:[SH -1 num]]))</f>
        <v/>
      </c>
      <c r="W442" s="7" t="str">
        <f>IF(ISBLANK(patch[[#This Row],[project]]), "",COUNTIFS($A:$A,patch[[#This Row],[number]],$S:$S, "BJ And dev",$AC:$AC, "Review-1"))</f>
        <v/>
      </c>
      <c r="X442" s="7" t="str">
        <f>IF(ISBLANK(patch[[#This Row],[project]]), "",COUNTIFS($A:$A,patch[[#This Row],[number]],$S:$S, "FL And dev",$AC:$AC, "Review-1"))</f>
        <v/>
      </c>
      <c r="Y442" s="7" t="str">
        <f>IF(ISBLANK(patch[[#This Row],[project]]), "",COUNTIFS($A:$A,patch[[#This Row],[number]],$S:$S, "SH And dev",$AC:$AC, "Review-1"))</f>
        <v/>
      </c>
      <c r="Z442" s="7" t="str">
        <f>IF(ISBLANK(patch[[#This Row],[project]]), "",COUNTIFS($A:$A,patch[[#This Row],[number]],$S:$S, "BJ And dev",$AD:$AD, "&lt;&gt;IntegratorValidationComment"))</f>
        <v/>
      </c>
      <c r="AA442" s="7" t="str">
        <f>IF(ISBLANK(patch[[#This Row],[project]]), "",COUNTIFS($A:$A,patch[[#This Row],[number]],$S:$S, "FL And dev",$AD:$AD, "&lt;&gt;IntegratorValidationComment"))</f>
        <v/>
      </c>
      <c r="AB442" s="7" t="str">
        <f>IF(ISBLANK(patch[[#This Row],[project]]), "",COUNTIFS($A:$A,patch[[#This Row],[number]],$S:$S, "SH And dev",$AD:$AD, "&lt;&gt;IntegratorValidationComment"))</f>
        <v/>
      </c>
      <c r="AC442" s="7" t="str">
        <f>IF(OR(ISNUMBER(FIND("Review-1", patch[[#This Row],[comments]])), ISNUMBER(FIND("Approver-1", patch[[#This Row],[comments]]))), "Review-1", "")</f>
        <v/>
      </c>
      <c r="AD4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42" s="7">
        <f>IF(ISBLANK(patch[[#This Row],[number]]),AE441,patch[[#This Row],[ifCommon]])</f>
        <v>0</v>
      </c>
    </row>
    <row r="443" spans="1:31">
      <c r="A443" s="151">
        <v>147786</v>
      </c>
      <c r="B443" s="151"/>
      <c r="C443" s="151"/>
      <c r="D443" s="151"/>
      <c r="E443" s="151"/>
      <c r="F443" s="151"/>
      <c r="G443" s="151"/>
      <c r="H443" s="151"/>
      <c r="I443" s="151"/>
      <c r="J443" s="152">
        <v>42639.752476851849</v>
      </c>
      <c r="K443" s="151"/>
      <c r="L443" s="151" t="s">
        <v>59</v>
      </c>
      <c r="M443" s="152">
        <v>42636.760023148148</v>
      </c>
      <c r="N443" s="151" t="s">
        <v>2825</v>
      </c>
      <c r="O443" s="151"/>
      <c r="P443" s="151"/>
      <c r="Q443" s="7" t="str">
        <f>IF(ISBLANK(patch[[#This Row],[OwnerEmail]]),Q442,patch[[#This Row],[OwnerEmail]])</f>
        <v>lipingx.xu@intel.com</v>
      </c>
      <c r="R443" s="7" t="str">
        <f>_xlfn.IFNA(VLOOKUP(patch[[#This Row],[tmp-owner.email]],OrgTree!$A:$K, 11, 0), "not ICG SWFW")</f>
        <v>BJ And dev</v>
      </c>
      <c r="S443" s="7" t="str">
        <f>IF(patch[[#This Row],[reviewer]]=patch[[#This Row],[tmp-owner.email]], "author", _xlfn.IFNA(VLOOKUP(patch[[#This Row],[reviewer]],OrgTree!$A:$K, 11, 0), "not ICG SWFW"))</f>
        <v>BJ And dev</v>
      </c>
      <c r="T443" s="7" t="str">
        <f>IF(ISBLANK(patch[[#This Row],[mergeDate]]), "", MID(YEAR(patch[[#This Row],[mergeDate]]), 3,2)&amp;"'ww"&amp;WEEKNUM(patch[[#This Row],[mergeDate]]))</f>
        <v>16'ww40</v>
      </c>
      <c r="U443" s="7" t="str">
        <f>IF(ISBLANK(patch[[#This Row],[mergeDate]]), U442, MID(YEAR(patch[[#This Row],[mergeDate]]), 3,2)&amp;"'m"&amp;MONTH(patch[[#This Row],[mergeDate]]))</f>
        <v>16'm9</v>
      </c>
      <c r="V443" s="7" t="str">
        <f>IF(ISBLANK(patch[[#This Row],[project]]), "",SUM(patch[[#This Row],[BJ -1 num]:[SH -1 num]]))</f>
        <v/>
      </c>
      <c r="W443" s="7" t="str">
        <f>IF(ISBLANK(patch[[#This Row],[project]]), "",COUNTIFS($A:$A,patch[[#This Row],[number]],$S:$S, "BJ And dev",$AC:$AC, "Review-1"))</f>
        <v/>
      </c>
      <c r="X443" s="7" t="str">
        <f>IF(ISBLANK(patch[[#This Row],[project]]), "",COUNTIFS($A:$A,patch[[#This Row],[number]],$S:$S, "FL And dev",$AC:$AC, "Review-1"))</f>
        <v/>
      </c>
      <c r="Y443" s="7" t="str">
        <f>IF(ISBLANK(patch[[#This Row],[project]]), "",COUNTIFS($A:$A,patch[[#This Row],[number]],$S:$S, "SH And dev",$AC:$AC, "Review-1"))</f>
        <v/>
      </c>
      <c r="Z443" s="7" t="str">
        <f>IF(ISBLANK(patch[[#This Row],[project]]), "",COUNTIFS($A:$A,patch[[#This Row],[number]],$S:$S, "BJ And dev",$AD:$AD, "&lt;&gt;IntegratorValidationComment"))</f>
        <v/>
      </c>
      <c r="AA443" s="7" t="str">
        <f>IF(ISBLANK(patch[[#This Row],[project]]), "",COUNTIFS($A:$A,patch[[#This Row],[number]],$S:$S, "FL And dev",$AD:$AD, "&lt;&gt;IntegratorValidationComment"))</f>
        <v/>
      </c>
      <c r="AB443" s="7" t="str">
        <f>IF(ISBLANK(patch[[#This Row],[project]]), "",COUNTIFS($A:$A,patch[[#This Row],[number]],$S:$S, "SH And dev",$AD:$AD, "&lt;&gt;IntegratorValidationComment"))</f>
        <v/>
      </c>
      <c r="AC443" s="7" t="str">
        <f>IF(OR(ISNUMBER(FIND("Review-1", patch[[#This Row],[comments]])), ISNUMBER(FIND("Approver-1", patch[[#This Row],[comments]]))), "Review-1", "")</f>
        <v/>
      </c>
      <c r="AD4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43" s="7">
        <f>IF(ISBLANK(patch[[#This Row],[number]]),AE442,patch[[#This Row],[ifCommon]])</f>
        <v>0</v>
      </c>
    </row>
    <row r="444" spans="1:31">
      <c r="A444" s="151">
        <v>147786</v>
      </c>
      <c r="B444" s="151"/>
      <c r="C444" s="151"/>
      <c r="D444" s="151"/>
      <c r="E444" s="151"/>
      <c r="F444" s="151"/>
      <c r="G444" s="151"/>
      <c r="H444" s="151"/>
      <c r="I444" s="151"/>
      <c r="J444" s="152">
        <v>42639.752476851849</v>
      </c>
      <c r="K444" s="151"/>
      <c r="L444" s="151" t="s">
        <v>677</v>
      </c>
      <c r="M444" s="152">
        <v>42639.464236111111</v>
      </c>
      <c r="N444" s="151" t="s">
        <v>2460</v>
      </c>
      <c r="O444" s="151"/>
      <c r="P444" s="151"/>
      <c r="Q444" s="7" t="str">
        <f>IF(ISBLANK(patch[[#This Row],[OwnerEmail]]),Q443,patch[[#This Row],[OwnerEmail]])</f>
        <v>lipingx.xu@intel.com</v>
      </c>
      <c r="R444" s="7" t="str">
        <f>_xlfn.IFNA(VLOOKUP(patch[[#This Row],[tmp-owner.email]],OrgTree!$A:$K, 11, 0), "not ICG SWFW")</f>
        <v>BJ And dev</v>
      </c>
      <c r="S444" s="7" t="str">
        <f>IF(patch[[#This Row],[reviewer]]=patch[[#This Row],[tmp-owner.email]], "author", _xlfn.IFNA(VLOOKUP(patch[[#This Row],[reviewer]],OrgTree!$A:$K, 11, 0), "not ICG SWFW"))</f>
        <v>author</v>
      </c>
      <c r="T444" s="7" t="str">
        <f>IF(ISBLANK(patch[[#This Row],[mergeDate]]), "", MID(YEAR(patch[[#This Row],[mergeDate]]), 3,2)&amp;"'ww"&amp;WEEKNUM(patch[[#This Row],[mergeDate]]))</f>
        <v>16'ww40</v>
      </c>
      <c r="U444" s="7" t="str">
        <f>IF(ISBLANK(patch[[#This Row],[mergeDate]]), U443, MID(YEAR(patch[[#This Row],[mergeDate]]), 3,2)&amp;"'m"&amp;MONTH(patch[[#This Row],[mergeDate]]))</f>
        <v>16'm9</v>
      </c>
      <c r="V444" s="7" t="str">
        <f>IF(ISBLANK(patch[[#This Row],[project]]), "",SUM(patch[[#This Row],[BJ -1 num]:[SH -1 num]]))</f>
        <v/>
      </c>
      <c r="W444" s="7" t="str">
        <f>IF(ISBLANK(patch[[#This Row],[project]]), "",COUNTIFS($A:$A,patch[[#This Row],[number]],$S:$S, "BJ And dev",$AC:$AC, "Review-1"))</f>
        <v/>
      </c>
      <c r="X444" s="7" t="str">
        <f>IF(ISBLANK(patch[[#This Row],[project]]), "",COUNTIFS($A:$A,patch[[#This Row],[number]],$S:$S, "FL And dev",$AC:$AC, "Review-1"))</f>
        <v/>
      </c>
      <c r="Y444" s="7" t="str">
        <f>IF(ISBLANK(patch[[#This Row],[project]]), "",COUNTIFS($A:$A,patch[[#This Row],[number]],$S:$S, "SH And dev",$AC:$AC, "Review-1"))</f>
        <v/>
      </c>
      <c r="Z444" s="7" t="str">
        <f>IF(ISBLANK(patch[[#This Row],[project]]), "",COUNTIFS($A:$A,patch[[#This Row],[number]],$S:$S, "BJ And dev",$AD:$AD, "&lt;&gt;IntegratorValidationComment"))</f>
        <v/>
      </c>
      <c r="AA444" s="7" t="str">
        <f>IF(ISBLANK(patch[[#This Row],[project]]), "",COUNTIFS($A:$A,patch[[#This Row],[number]],$S:$S, "FL And dev",$AD:$AD, "&lt;&gt;IntegratorValidationComment"))</f>
        <v/>
      </c>
      <c r="AB444" s="7" t="str">
        <f>IF(ISBLANK(patch[[#This Row],[project]]), "",COUNTIFS($A:$A,patch[[#This Row],[number]],$S:$S, "SH And dev",$AD:$AD, "&lt;&gt;IntegratorValidationComment"))</f>
        <v/>
      </c>
      <c r="AC444" s="7" t="str">
        <f>IF(OR(ISNUMBER(FIND("Review-1", patch[[#This Row],[comments]])), ISNUMBER(FIND("Approver-1", patch[[#This Row],[comments]]))), "Review-1", "")</f>
        <v/>
      </c>
      <c r="AD4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44" s="7">
        <f>IF(ISBLANK(patch[[#This Row],[number]]),AE443,patch[[#This Row],[ifCommon]])</f>
        <v>0</v>
      </c>
    </row>
    <row r="445" spans="1:31">
      <c r="A445" s="151">
        <v>147786</v>
      </c>
      <c r="B445" s="151"/>
      <c r="C445" s="151"/>
      <c r="D445" s="151"/>
      <c r="E445" s="151"/>
      <c r="F445" s="151"/>
      <c r="G445" s="151"/>
      <c r="H445" s="151"/>
      <c r="I445" s="151"/>
      <c r="J445" s="152">
        <v>42639.752476851849</v>
      </c>
      <c r="K445" s="151"/>
      <c r="L445" s="151" t="s">
        <v>677</v>
      </c>
      <c r="M445" s="152">
        <v>42639.464236111111</v>
      </c>
      <c r="N445" s="151" t="s">
        <v>2429</v>
      </c>
      <c r="O445" s="151"/>
      <c r="P445" s="151"/>
      <c r="Q445" s="7" t="str">
        <f>IF(ISBLANK(patch[[#This Row],[OwnerEmail]]),Q444,patch[[#This Row],[OwnerEmail]])</f>
        <v>lipingx.xu@intel.com</v>
      </c>
      <c r="R445" s="7" t="str">
        <f>_xlfn.IFNA(VLOOKUP(patch[[#This Row],[tmp-owner.email]],OrgTree!$A:$K, 11, 0), "not ICG SWFW")</f>
        <v>BJ And dev</v>
      </c>
      <c r="S445" s="7" t="str">
        <f>IF(patch[[#This Row],[reviewer]]=patch[[#This Row],[tmp-owner.email]], "author", _xlfn.IFNA(VLOOKUP(patch[[#This Row],[reviewer]],OrgTree!$A:$K, 11, 0), "not ICG SWFW"))</f>
        <v>author</v>
      </c>
      <c r="T445" s="7" t="str">
        <f>IF(ISBLANK(patch[[#This Row],[mergeDate]]), "", MID(YEAR(patch[[#This Row],[mergeDate]]), 3,2)&amp;"'ww"&amp;WEEKNUM(patch[[#This Row],[mergeDate]]))</f>
        <v>16'ww40</v>
      </c>
      <c r="U445" s="7" t="str">
        <f>IF(ISBLANK(patch[[#This Row],[mergeDate]]), U444, MID(YEAR(patch[[#This Row],[mergeDate]]), 3,2)&amp;"'m"&amp;MONTH(patch[[#This Row],[mergeDate]]))</f>
        <v>16'm9</v>
      </c>
      <c r="V445" s="7" t="str">
        <f>IF(ISBLANK(patch[[#This Row],[project]]), "",SUM(patch[[#This Row],[BJ -1 num]:[SH -1 num]]))</f>
        <v/>
      </c>
      <c r="W445" s="7" t="str">
        <f>IF(ISBLANK(patch[[#This Row],[project]]), "",COUNTIFS($A:$A,patch[[#This Row],[number]],$S:$S, "BJ And dev",$AC:$AC, "Review-1"))</f>
        <v/>
      </c>
      <c r="X445" s="7" t="str">
        <f>IF(ISBLANK(patch[[#This Row],[project]]), "",COUNTIFS($A:$A,patch[[#This Row],[number]],$S:$S, "FL And dev",$AC:$AC, "Review-1"))</f>
        <v/>
      </c>
      <c r="Y445" s="7" t="str">
        <f>IF(ISBLANK(patch[[#This Row],[project]]), "",COUNTIFS($A:$A,patch[[#This Row],[number]],$S:$S, "SH And dev",$AC:$AC, "Review-1"))</f>
        <v/>
      </c>
      <c r="Z445" s="7" t="str">
        <f>IF(ISBLANK(patch[[#This Row],[project]]), "",COUNTIFS($A:$A,patch[[#This Row],[number]],$S:$S, "BJ And dev",$AD:$AD, "&lt;&gt;IntegratorValidationComment"))</f>
        <v/>
      </c>
      <c r="AA445" s="7" t="str">
        <f>IF(ISBLANK(patch[[#This Row],[project]]), "",COUNTIFS($A:$A,patch[[#This Row],[number]],$S:$S, "FL And dev",$AD:$AD, "&lt;&gt;IntegratorValidationComment"))</f>
        <v/>
      </c>
      <c r="AB445" s="7" t="str">
        <f>IF(ISBLANK(patch[[#This Row],[project]]), "",COUNTIFS($A:$A,patch[[#This Row],[number]],$S:$S, "SH And dev",$AD:$AD, "&lt;&gt;IntegratorValidationComment"))</f>
        <v/>
      </c>
      <c r="AC445" s="7" t="str">
        <f>IF(OR(ISNUMBER(FIND("Review-1", patch[[#This Row],[comments]])), ISNUMBER(FIND("Approver-1", patch[[#This Row],[comments]]))), "Review-1", "")</f>
        <v/>
      </c>
      <c r="AD4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45" s="7">
        <f>IF(ISBLANK(patch[[#This Row],[number]]),AE444,patch[[#This Row],[ifCommon]])</f>
        <v>0</v>
      </c>
    </row>
    <row r="446" spans="1:31">
      <c r="A446" s="151">
        <v>147786</v>
      </c>
      <c r="B446" s="151"/>
      <c r="C446" s="151"/>
      <c r="D446" s="151"/>
      <c r="E446" s="151"/>
      <c r="F446" s="151"/>
      <c r="G446" s="151"/>
      <c r="H446" s="151"/>
      <c r="I446" s="152"/>
      <c r="J446" s="152">
        <v>42639.752476851849</v>
      </c>
      <c r="K446" s="151"/>
      <c r="L446" s="151" t="s">
        <v>59</v>
      </c>
      <c r="M446" s="152">
        <v>42639.471319444441</v>
      </c>
      <c r="N446" s="151" t="s">
        <v>2826</v>
      </c>
      <c r="O446" s="151"/>
      <c r="P446" s="151"/>
      <c r="Q446" s="7" t="str">
        <f>IF(ISBLANK(patch[[#This Row],[OwnerEmail]]),Q445,patch[[#This Row],[OwnerEmail]])</f>
        <v>lipingx.xu@intel.com</v>
      </c>
      <c r="R446" s="7" t="str">
        <f>_xlfn.IFNA(VLOOKUP(patch[[#This Row],[tmp-owner.email]],OrgTree!$A:$K, 11, 0), "not ICG SWFW")</f>
        <v>BJ And dev</v>
      </c>
      <c r="S446" s="7" t="str">
        <f>IF(patch[[#This Row],[reviewer]]=patch[[#This Row],[tmp-owner.email]], "author", _xlfn.IFNA(VLOOKUP(patch[[#This Row],[reviewer]],OrgTree!$A:$K, 11, 0), "not ICG SWFW"))</f>
        <v>BJ And dev</v>
      </c>
      <c r="T446" s="7" t="str">
        <f>IF(ISBLANK(patch[[#This Row],[mergeDate]]), "", MID(YEAR(patch[[#This Row],[mergeDate]]), 3,2)&amp;"'ww"&amp;WEEKNUM(patch[[#This Row],[mergeDate]]))</f>
        <v>16'ww40</v>
      </c>
      <c r="U446" s="7" t="str">
        <f>IF(ISBLANK(patch[[#This Row],[mergeDate]]), U445, MID(YEAR(patch[[#This Row],[mergeDate]]), 3,2)&amp;"'m"&amp;MONTH(patch[[#This Row],[mergeDate]]))</f>
        <v>16'm9</v>
      </c>
      <c r="V446" s="7" t="str">
        <f>IF(ISBLANK(patch[[#This Row],[project]]), "",SUM(patch[[#This Row],[BJ -1 num]:[SH -1 num]]))</f>
        <v/>
      </c>
      <c r="W446" s="7" t="str">
        <f>IF(ISBLANK(patch[[#This Row],[project]]), "",COUNTIFS($A:$A,patch[[#This Row],[number]],$S:$S, "BJ And dev",$AC:$AC, "Review-1"))</f>
        <v/>
      </c>
      <c r="X446" s="7" t="str">
        <f>IF(ISBLANK(patch[[#This Row],[project]]), "",COUNTIFS($A:$A,patch[[#This Row],[number]],$S:$S, "FL And dev",$AC:$AC, "Review-1"))</f>
        <v/>
      </c>
      <c r="Y446" s="7" t="str">
        <f>IF(ISBLANK(patch[[#This Row],[project]]), "",COUNTIFS($A:$A,patch[[#This Row],[number]],$S:$S, "SH And dev",$AC:$AC, "Review-1"))</f>
        <v/>
      </c>
      <c r="Z446" s="7" t="str">
        <f>IF(ISBLANK(patch[[#This Row],[project]]), "",COUNTIFS($A:$A,patch[[#This Row],[number]],$S:$S, "BJ And dev",$AD:$AD, "&lt;&gt;IntegratorValidationComment"))</f>
        <v/>
      </c>
      <c r="AA446" s="7" t="str">
        <f>IF(ISBLANK(patch[[#This Row],[project]]), "",COUNTIFS($A:$A,patch[[#This Row],[number]],$S:$S, "FL And dev",$AD:$AD, "&lt;&gt;IntegratorValidationComment"))</f>
        <v/>
      </c>
      <c r="AB446" s="7" t="str">
        <f>IF(ISBLANK(patch[[#This Row],[project]]), "",COUNTIFS($A:$A,patch[[#This Row],[number]],$S:$S, "SH And dev",$AD:$AD, "&lt;&gt;IntegratorValidationComment"))</f>
        <v/>
      </c>
      <c r="AC446" s="7" t="str">
        <f>IF(OR(ISNUMBER(FIND("Review-1", patch[[#This Row],[comments]])), ISNUMBER(FIND("Approver-1", patch[[#This Row],[comments]]))), "Review-1", "")</f>
        <v/>
      </c>
      <c r="AD4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46" s="7">
        <f>IF(ISBLANK(patch[[#This Row],[number]]),AE445,patch[[#This Row],[ifCommon]])</f>
        <v>0</v>
      </c>
    </row>
    <row r="447" spans="1:31">
      <c r="A447" s="151">
        <v>147786</v>
      </c>
      <c r="B447" s="151"/>
      <c r="C447" s="151"/>
      <c r="D447" s="151"/>
      <c r="E447" s="151"/>
      <c r="F447" s="151"/>
      <c r="G447" s="151"/>
      <c r="H447" s="151"/>
      <c r="I447" s="151"/>
      <c r="J447" s="152">
        <v>42639.752476851849</v>
      </c>
      <c r="K447" s="151"/>
      <c r="L447" s="151" t="s">
        <v>115</v>
      </c>
      <c r="M447" s="152">
        <v>42639.480266203696</v>
      </c>
      <c r="N447" s="151" t="s">
        <v>2495</v>
      </c>
      <c r="O447" s="151"/>
      <c r="P447" s="151"/>
      <c r="Q447" s="7" t="str">
        <f>IF(ISBLANK(patch[[#This Row],[OwnerEmail]]),Q446,patch[[#This Row],[OwnerEmail]])</f>
        <v>lipingx.xu@intel.com</v>
      </c>
      <c r="R447" s="7" t="str">
        <f>_xlfn.IFNA(VLOOKUP(patch[[#This Row],[tmp-owner.email]],OrgTree!$A:$K, 11, 0), "not ICG SWFW")</f>
        <v>BJ And dev</v>
      </c>
      <c r="S447" s="7" t="str">
        <f>IF(patch[[#This Row],[reviewer]]=patch[[#This Row],[tmp-owner.email]], "author", _xlfn.IFNA(VLOOKUP(patch[[#This Row],[reviewer]],OrgTree!$A:$K, 11, 0), "not ICG SWFW"))</f>
        <v>Val</v>
      </c>
      <c r="T447" s="7" t="str">
        <f>IF(ISBLANK(patch[[#This Row],[mergeDate]]), "", MID(YEAR(patch[[#This Row],[mergeDate]]), 3,2)&amp;"'ww"&amp;WEEKNUM(patch[[#This Row],[mergeDate]]))</f>
        <v>16'ww40</v>
      </c>
      <c r="U447" s="7" t="str">
        <f>IF(ISBLANK(patch[[#This Row],[mergeDate]]), U446, MID(YEAR(patch[[#This Row],[mergeDate]]), 3,2)&amp;"'m"&amp;MONTH(patch[[#This Row],[mergeDate]]))</f>
        <v>16'm9</v>
      </c>
      <c r="V447" s="7" t="str">
        <f>IF(ISBLANK(patch[[#This Row],[project]]), "",SUM(patch[[#This Row],[BJ -1 num]:[SH -1 num]]))</f>
        <v/>
      </c>
      <c r="W447" s="7" t="str">
        <f>IF(ISBLANK(patch[[#This Row],[project]]), "",COUNTIFS($A:$A,patch[[#This Row],[number]],$S:$S, "BJ And dev",$AC:$AC, "Review-1"))</f>
        <v/>
      </c>
      <c r="X447" s="7" t="str">
        <f>IF(ISBLANK(patch[[#This Row],[project]]), "",COUNTIFS($A:$A,patch[[#This Row],[number]],$S:$S, "FL And dev",$AC:$AC, "Review-1"))</f>
        <v/>
      </c>
      <c r="Y447" s="7" t="str">
        <f>IF(ISBLANK(patch[[#This Row],[project]]), "",COUNTIFS($A:$A,patch[[#This Row],[number]],$S:$S, "SH And dev",$AC:$AC, "Review-1"))</f>
        <v/>
      </c>
      <c r="Z447" s="7" t="str">
        <f>IF(ISBLANK(patch[[#This Row],[project]]), "",COUNTIFS($A:$A,patch[[#This Row],[number]],$S:$S, "BJ And dev",$AD:$AD, "&lt;&gt;IntegratorValidationComment"))</f>
        <v/>
      </c>
      <c r="AA447" s="7" t="str">
        <f>IF(ISBLANK(patch[[#This Row],[project]]), "",COUNTIFS($A:$A,patch[[#This Row],[number]],$S:$S, "FL And dev",$AD:$AD, "&lt;&gt;IntegratorValidationComment"))</f>
        <v/>
      </c>
      <c r="AB447" s="7" t="str">
        <f>IF(ISBLANK(patch[[#This Row],[project]]), "",COUNTIFS($A:$A,patch[[#This Row],[number]],$S:$S, "SH And dev",$AD:$AD, "&lt;&gt;IntegratorValidationComment"))</f>
        <v/>
      </c>
      <c r="AC447" s="7" t="str">
        <f>IF(OR(ISNUMBER(FIND("Review-1", patch[[#This Row],[comments]])), ISNUMBER(FIND("Approver-1", patch[[#This Row],[comments]]))), "Review-1", "")</f>
        <v/>
      </c>
      <c r="AD4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447" s="7">
        <f>IF(ISBLANK(patch[[#This Row],[number]]),AE446,patch[[#This Row],[ifCommon]])</f>
        <v>0</v>
      </c>
    </row>
    <row r="448" spans="1:31">
      <c r="A448" s="151">
        <v>147786</v>
      </c>
      <c r="B448" s="151"/>
      <c r="C448" s="151"/>
      <c r="D448" s="151"/>
      <c r="E448" s="151"/>
      <c r="F448" s="151"/>
      <c r="G448" s="151"/>
      <c r="H448" s="151"/>
      <c r="I448" s="151"/>
      <c r="J448" s="152">
        <v>42639.752476851849</v>
      </c>
      <c r="K448" s="151"/>
      <c r="L448" s="151" t="s">
        <v>59</v>
      </c>
      <c r="M448" s="152">
        <v>42639.485138888893</v>
      </c>
      <c r="N448" s="151" t="s">
        <v>2827</v>
      </c>
      <c r="O448" s="151"/>
      <c r="P448" s="151"/>
      <c r="Q448" s="7" t="str">
        <f>IF(ISBLANK(patch[[#This Row],[OwnerEmail]]),Q447,patch[[#This Row],[OwnerEmail]])</f>
        <v>lipingx.xu@intel.com</v>
      </c>
      <c r="R448" s="7" t="str">
        <f>_xlfn.IFNA(VLOOKUP(patch[[#This Row],[tmp-owner.email]],OrgTree!$A:$K, 11, 0), "not ICG SWFW")</f>
        <v>BJ And dev</v>
      </c>
      <c r="S448" s="7" t="str">
        <f>IF(patch[[#This Row],[reviewer]]=patch[[#This Row],[tmp-owner.email]], "author", _xlfn.IFNA(VLOOKUP(patch[[#This Row],[reviewer]],OrgTree!$A:$K, 11, 0), "not ICG SWFW"))</f>
        <v>BJ And dev</v>
      </c>
      <c r="T448" s="7" t="str">
        <f>IF(ISBLANK(patch[[#This Row],[mergeDate]]), "", MID(YEAR(patch[[#This Row],[mergeDate]]), 3,2)&amp;"'ww"&amp;WEEKNUM(patch[[#This Row],[mergeDate]]))</f>
        <v>16'ww40</v>
      </c>
      <c r="U448" s="7" t="str">
        <f>IF(ISBLANK(patch[[#This Row],[mergeDate]]), U447, MID(YEAR(patch[[#This Row],[mergeDate]]), 3,2)&amp;"'m"&amp;MONTH(patch[[#This Row],[mergeDate]]))</f>
        <v>16'm9</v>
      </c>
      <c r="V448" s="7" t="str">
        <f>IF(ISBLANK(patch[[#This Row],[project]]), "",SUM(patch[[#This Row],[BJ -1 num]:[SH -1 num]]))</f>
        <v/>
      </c>
      <c r="W448" s="7" t="str">
        <f>IF(ISBLANK(patch[[#This Row],[project]]), "",COUNTIFS($A:$A,patch[[#This Row],[number]],$S:$S, "BJ And dev",$AC:$AC, "Review-1"))</f>
        <v/>
      </c>
      <c r="X448" s="7" t="str">
        <f>IF(ISBLANK(patch[[#This Row],[project]]), "",COUNTIFS($A:$A,patch[[#This Row],[number]],$S:$S, "FL And dev",$AC:$AC, "Review-1"))</f>
        <v/>
      </c>
      <c r="Y448" s="7" t="str">
        <f>IF(ISBLANK(patch[[#This Row],[project]]), "",COUNTIFS($A:$A,patch[[#This Row],[number]],$S:$S, "SH And dev",$AC:$AC, "Review-1"))</f>
        <v/>
      </c>
      <c r="Z448" s="7" t="str">
        <f>IF(ISBLANK(patch[[#This Row],[project]]), "",COUNTIFS($A:$A,patch[[#This Row],[number]],$S:$S, "BJ And dev",$AD:$AD, "&lt;&gt;IntegratorValidationComment"))</f>
        <v/>
      </c>
      <c r="AA448" s="7" t="str">
        <f>IF(ISBLANK(patch[[#This Row],[project]]), "",COUNTIFS($A:$A,patch[[#This Row],[number]],$S:$S, "FL And dev",$AD:$AD, "&lt;&gt;IntegratorValidationComment"))</f>
        <v/>
      </c>
      <c r="AB448" s="7" t="str">
        <f>IF(ISBLANK(patch[[#This Row],[project]]), "",COUNTIFS($A:$A,patch[[#This Row],[number]],$S:$S, "SH And dev",$AD:$AD, "&lt;&gt;IntegratorValidationComment"))</f>
        <v/>
      </c>
      <c r="AC448" s="7" t="str">
        <f>IF(OR(ISNUMBER(FIND("Review-1", patch[[#This Row],[comments]])), ISNUMBER(FIND("Approver-1", patch[[#This Row],[comments]]))), "Review-1", "")</f>
        <v/>
      </c>
      <c r="AD4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48" s="7">
        <f>IF(ISBLANK(patch[[#This Row],[number]]),AE447,patch[[#This Row],[ifCommon]])</f>
        <v>0</v>
      </c>
    </row>
    <row r="449" spans="1:31">
      <c r="A449" s="151">
        <v>147787</v>
      </c>
      <c r="B449" s="151" t="s">
        <v>2490</v>
      </c>
      <c r="C449" s="151" t="s">
        <v>2795</v>
      </c>
      <c r="D449" s="151" t="s">
        <v>2828</v>
      </c>
      <c r="E449" s="151" t="s">
        <v>677</v>
      </c>
      <c r="F449" s="151" t="s">
        <v>23</v>
      </c>
      <c r="G449" s="151" t="s">
        <v>2829</v>
      </c>
      <c r="H449" s="151" t="s">
        <v>2830</v>
      </c>
      <c r="I449" s="152">
        <v>42636.741226851853</v>
      </c>
      <c r="J449" s="152">
        <v>42639.752476851849</v>
      </c>
      <c r="K449" s="151" t="s">
        <v>2445</v>
      </c>
      <c r="L449" s="151" t="s">
        <v>677</v>
      </c>
      <c r="M449" s="152">
        <v>42636.741226851853</v>
      </c>
      <c r="N449" s="151" t="s">
        <v>25</v>
      </c>
      <c r="O449" s="151"/>
      <c r="P449" s="151" t="s">
        <v>59</v>
      </c>
      <c r="Q449" s="7" t="str">
        <f>IF(ISBLANK(patch[[#This Row],[OwnerEmail]]),Q448,patch[[#This Row],[OwnerEmail]])</f>
        <v>lipingx.xu@intel.com</v>
      </c>
      <c r="R449" s="7" t="str">
        <f>_xlfn.IFNA(VLOOKUP(patch[[#This Row],[tmp-owner.email]],OrgTree!$A:$K, 11, 0), "not ICG SWFW")</f>
        <v>BJ And dev</v>
      </c>
      <c r="S449" s="7" t="str">
        <f>IF(patch[[#This Row],[reviewer]]=patch[[#This Row],[tmp-owner.email]], "author", _xlfn.IFNA(VLOOKUP(patch[[#This Row],[reviewer]],OrgTree!$A:$K, 11, 0), "not ICG SWFW"))</f>
        <v>author</v>
      </c>
      <c r="T449" s="7" t="str">
        <f>IF(ISBLANK(patch[[#This Row],[mergeDate]]), "", MID(YEAR(patch[[#This Row],[mergeDate]]), 3,2)&amp;"'ww"&amp;WEEKNUM(patch[[#This Row],[mergeDate]]))</f>
        <v>16'ww40</v>
      </c>
      <c r="U449" s="7" t="str">
        <f>IF(ISBLANK(patch[[#This Row],[mergeDate]]), U448, MID(YEAR(patch[[#This Row],[mergeDate]]), 3,2)&amp;"'m"&amp;MONTH(patch[[#This Row],[mergeDate]]))</f>
        <v>16'm9</v>
      </c>
      <c r="V449" s="7">
        <f>IF(ISBLANK(patch[[#This Row],[project]]), "",SUM(patch[[#This Row],[BJ -1 num]:[SH -1 num]]))</f>
        <v>0</v>
      </c>
      <c r="W449" s="7">
        <f>IF(ISBLANK(patch[[#This Row],[project]]), "",COUNTIFS($A:$A,patch[[#This Row],[number]],$S:$S, "BJ And dev",$AC:$AC, "Review-1"))</f>
        <v>0</v>
      </c>
      <c r="X449" s="7">
        <f>IF(ISBLANK(patch[[#This Row],[project]]), "",COUNTIFS($A:$A,patch[[#This Row],[number]],$S:$S, "FL And dev",$AC:$AC, "Review-1"))</f>
        <v>0</v>
      </c>
      <c r="Y449" s="7">
        <f>IF(ISBLANK(patch[[#This Row],[project]]), "",COUNTIFS($A:$A,patch[[#This Row],[number]],$S:$S, "SH And dev",$AC:$AC, "Review-1"))</f>
        <v>0</v>
      </c>
      <c r="Z449" s="7">
        <f>IF(ISBLANK(patch[[#This Row],[project]]), "",COUNTIFS($A:$A,patch[[#This Row],[number]],$S:$S, "BJ And dev",$AD:$AD, "&lt;&gt;IntegratorValidationComment"))</f>
        <v>5</v>
      </c>
      <c r="AA449" s="7">
        <f>IF(ISBLANK(patch[[#This Row],[project]]), "",COUNTIFS($A:$A,patch[[#This Row],[number]],$S:$S, "FL And dev",$AD:$AD, "&lt;&gt;IntegratorValidationComment"))</f>
        <v>0</v>
      </c>
      <c r="AB449" s="7">
        <f>IF(ISBLANK(patch[[#This Row],[project]]), "",COUNTIFS($A:$A,patch[[#This Row],[number]],$S:$S, "SH And dev",$AD:$AD, "&lt;&gt;IntegratorValidationComment"))</f>
        <v>0</v>
      </c>
      <c r="AC449" s="7" t="str">
        <f>IF(OR(ISNUMBER(FIND("Review-1", patch[[#This Row],[comments]])), ISNUMBER(FIND("Approver-1", patch[[#This Row],[comments]]))), "Review-1", "")</f>
        <v/>
      </c>
      <c r="AD4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49" s="7" t="str">
        <f>IF(ISBLANK(patch[[#This Row],[number]]),AE448,patch[[#This Row],[ifCommon]])</f>
        <v>not AndrHAL</v>
      </c>
    </row>
    <row r="450" spans="1:31">
      <c r="A450" s="151">
        <v>147787</v>
      </c>
      <c r="B450" s="151"/>
      <c r="C450" s="151"/>
      <c r="D450" s="151"/>
      <c r="E450" s="151"/>
      <c r="F450" s="151"/>
      <c r="G450" s="151"/>
      <c r="H450" s="151"/>
      <c r="I450" s="151"/>
      <c r="J450" s="152">
        <v>42639.752476851849</v>
      </c>
      <c r="K450" s="151"/>
      <c r="L450" s="151" t="s">
        <v>677</v>
      </c>
      <c r="M450" s="152">
        <v>42636.741238425922</v>
      </c>
      <c r="N450" s="151" t="s">
        <v>2428</v>
      </c>
      <c r="O450" s="151"/>
      <c r="P450" s="151"/>
      <c r="Q450" s="7" t="str">
        <f>IF(ISBLANK(patch[[#This Row],[OwnerEmail]]),Q449,patch[[#This Row],[OwnerEmail]])</f>
        <v>lipingx.xu@intel.com</v>
      </c>
      <c r="R450" s="7" t="str">
        <f>_xlfn.IFNA(VLOOKUP(patch[[#This Row],[tmp-owner.email]],OrgTree!$A:$K, 11, 0), "not ICG SWFW")</f>
        <v>BJ And dev</v>
      </c>
      <c r="S450" s="7" t="str">
        <f>IF(patch[[#This Row],[reviewer]]=patch[[#This Row],[tmp-owner.email]], "author", _xlfn.IFNA(VLOOKUP(patch[[#This Row],[reviewer]],OrgTree!$A:$K, 11, 0), "not ICG SWFW"))</f>
        <v>author</v>
      </c>
      <c r="T450" s="7" t="str">
        <f>IF(ISBLANK(patch[[#This Row],[mergeDate]]), "", MID(YEAR(patch[[#This Row],[mergeDate]]), 3,2)&amp;"'ww"&amp;WEEKNUM(patch[[#This Row],[mergeDate]]))</f>
        <v>16'ww40</v>
      </c>
      <c r="U450" s="7" t="str">
        <f>IF(ISBLANK(patch[[#This Row],[mergeDate]]), U449, MID(YEAR(patch[[#This Row],[mergeDate]]), 3,2)&amp;"'m"&amp;MONTH(patch[[#This Row],[mergeDate]]))</f>
        <v>16'm9</v>
      </c>
      <c r="V450" s="7" t="str">
        <f>IF(ISBLANK(patch[[#This Row],[project]]), "",SUM(patch[[#This Row],[BJ -1 num]:[SH -1 num]]))</f>
        <v/>
      </c>
      <c r="W450" s="7" t="str">
        <f>IF(ISBLANK(patch[[#This Row],[project]]), "",COUNTIFS($A:$A,patch[[#This Row],[number]],$S:$S, "BJ And dev",$AC:$AC, "Review-1"))</f>
        <v/>
      </c>
      <c r="X450" s="7" t="str">
        <f>IF(ISBLANK(patch[[#This Row],[project]]), "",COUNTIFS($A:$A,patch[[#This Row],[number]],$S:$S, "FL And dev",$AC:$AC, "Review-1"))</f>
        <v/>
      </c>
      <c r="Y450" s="7" t="str">
        <f>IF(ISBLANK(patch[[#This Row],[project]]), "",COUNTIFS($A:$A,patch[[#This Row],[number]],$S:$S, "SH And dev",$AC:$AC, "Review-1"))</f>
        <v/>
      </c>
      <c r="Z450" s="7" t="str">
        <f>IF(ISBLANK(patch[[#This Row],[project]]), "",COUNTIFS($A:$A,patch[[#This Row],[number]],$S:$S, "BJ And dev",$AD:$AD, "&lt;&gt;IntegratorValidationComment"))</f>
        <v/>
      </c>
      <c r="AA450" s="7" t="str">
        <f>IF(ISBLANK(patch[[#This Row],[project]]), "",COUNTIFS($A:$A,patch[[#This Row],[number]],$S:$S, "FL And dev",$AD:$AD, "&lt;&gt;IntegratorValidationComment"))</f>
        <v/>
      </c>
      <c r="AB450" s="7" t="str">
        <f>IF(ISBLANK(patch[[#This Row],[project]]), "",COUNTIFS($A:$A,patch[[#This Row],[number]],$S:$S, "SH And dev",$AD:$AD, "&lt;&gt;IntegratorValidationComment"))</f>
        <v/>
      </c>
      <c r="AC450" s="7" t="str">
        <f>IF(OR(ISNUMBER(FIND("Review-1", patch[[#This Row],[comments]])), ISNUMBER(FIND("Approver-1", patch[[#This Row],[comments]]))), "Review-1", "")</f>
        <v/>
      </c>
      <c r="AD4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50" s="7">
        <f>IF(ISBLANK(patch[[#This Row],[number]]),AE449,patch[[#This Row],[ifCommon]])</f>
        <v>0</v>
      </c>
    </row>
    <row r="451" spans="1:31">
      <c r="A451" s="151">
        <v>147787</v>
      </c>
      <c r="B451" s="151"/>
      <c r="C451" s="151"/>
      <c r="D451" s="151"/>
      <c r="E451" s="151"/>
      <c r="F451" s="151"/>
      <c r="G451" s="151"/>
      <c r="H451" s="151"/>
      <c r="I451" s="151"/>
      <c r="J451" s="152">
        <v>42639.752476851849</v>
      </c>
      <c r="K451" s="151"/>
      <c r="L451" s="151" t="s">
        <v>677</v>
      </c>
      <c r="M451" s="152">
        <v>42636.741539351853</v>
      </c>
      <c r="N451" s="151" t="s">
        <v>40</v>
      </c>
      <c r="O451" s="151"/>
      <c r="P451" s="151"/>
      <c r="Q451" s="7" t="str">
        <f>IF(ISBLANK(patch[[#This Row],[OwnerEmail]]),Q450,patch[[#This Row],[OwnerEmail]])</f>
        <v>lipingx.xu@intel.com</v>
      </c>
      <c r="R451" s="7" t="str">
        <f>_xlfn.IFNA(VLOOKUP(patch[[#This Row],[tmp-owner.email]],OrgTree!$A:$K, 11, 0), "not ICG SWFW")</f>
        <v>BJ And dev</v>
      </c>
      <c r="S451" s="7" t="str">
        <f>IF(patch[[#This Row],[reviewer]]=patch[[#This Row],[tmp-owner.email]], "author", _xlfn.IFNA(VLOOKUP(patch[[#This Row],[reviewer]],OrgTree!$A:$K, 11, 0), "not ICG SWFW"))</f>
        <v>author</v>
      </c>
      <c r="T451" s="7" t="str">
        <f>IF(ISBLANK(patch[[#This Row],[mergeDate]]), "", MID(YEAR(patch[[#This Row],[mergeDate]]), 3,2)&amp;"'ww"&amp;WEEKNUM(patch[[#This Row],[mergeDate]]))</f>
        <v>16'ww40</v>
      </c>
      <c r="U451" s="7" t="str">
        <f>IF(ISBLANK(patch[[#This Row],[mergeDate]]), U450, MID(YEAR(patch[[#This Row],[mergeDate]]), 3,2)&amp;"'m"&amp;MONTH(patch[[#This Row],[mergeDate]]))</f>
        <v>16'm9</v>
      </c>
      <c r="V451" s="7" t="str">
        <f>IF(ISBLANK(patch[[#This Row],[project]]), "",SUM(patch[[#This Row],[BJ -1 num]:[SH -1 num]]))</f>
        <v/>
      </c>
      <c r="W451" s="7" t="str">
        <f>IF(ISBLANK(patch[[#This Row],[project]]), "",COUNTIFS($A:$A,patch[[#This Row],[number]],$S:$S, "BJ And dev",$AC:$AC, "Review-1"))</f>
        <v/>
      </c>
      <c r="X451" s="7" t="str">
        <f>IF(ISBLANK(patch[[#This Row],[project]]), "",COUNTIFS($A:$A,patch[[#This Row],[number]],$S:$S, "FL And dev",$AC:$AC, "Review-1"))</f>
        <v/>
      </c>
      <c r="Y451" s="7" t="str">
        <f>IF(ISBLANK(patch[[#This Row],[project]]), "",COUNTIFS($A:$A,patch[[#This Row],[number]],$S:$S, "SH And dev",$AC:$AC, "Review-1"))</f>
        <v/>
      </c>
      <c r="Z451" s="7" t="str">
        <f>IF(ISBLANK(patch[[#This Row],[project]]), "",COUNTIFS($A:$A,patch[[#This Row],[number]],$S:$S, "BJ And dev",$AD:$AD, "&lt;&gt;IntegratorValidationComment"))</f>
        <v/>
      </c>
      <c r="AA451" s="7" t="str">
        <f>IF(ISBLANK(patch[[#This Row],[project]]), "",COUNTIFS($A:$A,patch[[#This Row],[number]],$S:$S, "FL And dev",$AD:$AD, "&lt;&gt;IntegratorValidationComment"))</f>
        <v/>
      </c>
      <c r="AB451" s="7" t="str">
        <f>IF(ISBLANK(patch[[#This Row],[project]]), "",COUNTIFS($A:$A,patch[[#This Row],[number]],$S:$S, "SH And dev",$AD:$AD, "&lt;&gt;IntegratorValidationComment"))</f>
        <v/>
      </c>
      <c r="AC451" s="7" t="str">
        <f>IF(OR(ISNUMBER(FIND("Review-1", patch[[#This Row],[comments]])), ISNUMBER(FIND("Approver-1", patch[[#This Row],[comments]]))), "Review-1", "")</f>
        <v/>
      </c>
      <c r="AD4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51" s="7">
        <f>IF(ISBLANK(patch[[#This Row],[number]]),AE450,patch[[#This Row],[ifCommon]])</f>
        <v>0</v>
      </c>
    </row>
    <row r="452" spans="1:31">
      <c r="A452" s="151">
        <v>147787</v>
      </c>
      <c r="B452" s="151"/>
      <c r="C452" s="151"/>
      <c r="D452" s="151"/>
      <c r="E452" s="151"/>
      <c r="F452" s="151"/>
      <c r="G452" s="151"/>
      <c r="H452" s="151"/>
      <c r="I452" s="151"/>
      <c r="J452" s="152">
        <v>42639.752476851849</v>
      </c>
      <c r="K452" s="151"/>
      <c r="L452" s="151" t="s">
        <v>59</v>
      </c>
      <c r="M452" s="152">
        <v>42636.745879629627</v>
      </c>
      <c r="N452" s="151" t="s">
        <v>2831</v>
      </c>
      <c r="O452" s="151"/>
      <c r="P452" s="151"/>
      <c r="Q452" s="7" t="str">
        <f>IF(ISBLANK(patch[[#This Row],[OwnerEmail]]),Q451,patch[[#This Row],[OwnerEmail]])</f>
        <v>lipingx.xu@intel.com</v>
      </c>
      <c r="R452" s="7" t="str">
        <f>_xlfn.IFNA(VLOOKUP(patch[[#This Row],[tmp-owner.email]],OrgTree!$A:$K, 11, 0), "not ICG SWFW")</f>
        <v>BJ And dev</v>
      </c>
      <c r="S452" s="7" t="str">
        <f>IF(patch[[#This Row],[reviewer]]=patch[[#This Row],[tmp-owner.email]], "author", _xlfn.IFNA(VLOOKUP(patch[[#This Row],[reviewer]],OrgTree!$A:$K, 11, 0), "not ICG SWFW"))</f>
        <v>BJ And dev</v>
      </c>
      <c r="T452" s="7" t="str">
        <f>IF(ISBLANK(patch[[#This Row],[mergeDate]]), "", MID(YEAR(patch[[#This Row],[mergeDate]]), 3,2)&amp;"'ww"&amp;WEEKNUM(patch[[#This Row],[mergeDate]]))</f>
        <v>16'ww40</v>
      </c>
      <c r="U452" s="7" t="str">
        <f>IF(ISBLANK(patch[[#This Row],[mergeDate]]), U451, MID(YEAR(patch[[#This Row],[mergeDate]]), 3,2)&amp;"'m"&amp;MONTH(patch[[#This Row],[mergeDate]]))</f>
        <v>16'm9</v>
      </c>
      <c r="V452" s="7" t="str">
        <f>IF(ISBLANK(patch[[#This Row],[project]]), "",SUM(patch[[#This Row],[BJ -1 num]:[SH -1 num]]))</f>
        <v/>
      </c>
      <c r="W452" s="7" t="str">
        <f>IF(ISBLANK(patch[[#This Row],[project]]), "",COUNTIFS($A:$A,patch[[#This Row],[number]],$S:$S, "BJ And dev",$AC:$AC, "Review-1"))</f>
        <v/>
      </c>
      <c r="X452" s="7" t="str">
        <f>IF(ISBLANK(patch[[#This Row],[project]]), "",COUNTIFS($A:$A,patch[[#This Row],[number]],$S:$S, "FL And dev",$AC:$AC, "Review-1"))</f>
        <v/>
      </c>
      <c r="Y452" s="7" t="str">
        <f>IF(ISBLANK(patch[[#This Row],[project]]), "",COUNTIFS($A:$A,patch[[#This Row],[number]],$S:$S, "SH And dev",$AC:$AC, "Review-1"))</f>
        <v/>
      </c>
      <c r="Z452" s="7" t="str">
        <f>IF(ISBLANK(patch[[#This Row],[project]]), "",COUNTIFS($A:$A,patch[[#This Row],[number]],$S:$S, "BJ And dev",$AD:$AD, "&lt;&gt;IntegratorValidationComment"))</f>
        <v/>
      </c>
      <c r="AA452" s="7" t="str">
        <f>IF(ISBLANK(patch[[#This Row],[project]]), "",COUNTIFS($A:$A,patch[[#This Row],[number]],$S:$S, "FL And dev",$AD:$AD, "&lt;&gt;IntegratorValidationComment"))</f>
        <v/>
      </c>
      <c r="AB452" s="7" t="str">
        <f>IF(ISBLANK(patch[[#This Row],[project]]), "",COUNTIFS($A:$A,patch[[#This Row],[number]],$S:$S, "SH And dev",$AD:$AD, "&lt;&gt;IntegratorValidationComment"))</f>
        <v/>
      </c>
      <c r="AC452" s="7" t="str">
        <f>IF(OR(ISNUMBER(FIND("Review-1", patch[[#This Row],[comments]])), ISNUMBER(FIND("Approver-1", patch[[#This Row],[comments]]))), "Review-1", "")</f>
        <v/>
      </c>
      <c r="AD4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52" s="7">
        <f>IF(ISBLANK(patch[[#This Row],[number]]),AE451,patch[[#This Row],[ifCommon]])</f>
        <v>0</v>
      </c>
    </row>
    <row r="453" spans="1:31">
      <c r="A453" s="151">
        <v>147787</v>
      </c>
      <c r="B453" s="151"/>
      <c r="C453" s="151"/>
      <c r="D453" s="151"/>
      <c r="E453" s="151"/>
      <c r="F453" s="151"/>
      <c r="G453" s="151"/>
      <c r="H453" s="151"/>
      <c r="I453" s="151"/>
      <c r="J453" s="152">
        <v>42639.752476851849</v>
      </c>
      <c r="K453" s="151"/>
      <c r="L453" s="151" t="s">
        <v>59</v>
      </c>
      <c r="M453" s="152">
        <v>42636.749247685177</v>
      </c>
      <c r="N453" s="151" t="s">
        <v>1880</v>
      </c>
      <c r="O453" s="151"/>
      <c r="P453" s="151"/>
      <c r="Q453" s="7" t="str">
        <f>IF(ISBLANK(patch[[#This Row],[OwnerEmail]]),Q452,patch[[#This Row],[OwnerEmail]])</f>
        <v>lipingx.xu@intel.com</v>
      </c>
      <c r="R453" s="7" t="str">
        <f>_xlfn.IFNA(VLOOKUP(patch[[#This Row],[tmp-owner.email]],OrgTree!$A:$K, 11, 0), "not ICG SWFW")</f>
        <v>BJ And dev</v>
      </c>
      <c r="S453" s="7" t="str">
        <f>IF(patch[[#This Row],[reviewer]]=patch[[#This Row],[tmp-owner.email]], "author", _xlfn.IFNA(VLOOKUP(patch[[#This Row],[reviewer]],OrgTree!$A:$K, 11, 0), "not ICG SWFW"))</f>
        <v>BJ And dev</v>
      </c>
      <c r="T453" s="7" t="str">
        <f>IF(ISBLANK(patch[[#This Row],[mergeDate]]), "", MID(YEAR(patch[[#This Row],[mergeDate]]), 3,2)&amp;"'ww"&amp;WEEKNUM(patch[[#This Row],[mergeDate]]))</f>
        <v>16'ww40</v>
      </c>
      <c r="U453" s="7" t="str">
        <f>IF(ISBLANK(patch[[#This Row],[mergeDate]]), U452, MID(YEAR(patch[[#This Row],[mergeDate]]), 3,2)&amp;"'m"&amp;MONTH(patch[[#This Row],[mergeDate]]))</f>
        <v>16'm9</v>
      </c>
      <c r="V453" s="7" t="str">
        <f>IF(ISBLANK(patch[[#This Row],[project]]), "",SUM(patch[[#This Row],[BJ -1 num]:[SH -1 num]]))</f>
        <v/>
      </c>
      <c r="W453" s="7" t="str">
        <f>IF(ISBLANK(patch[[#This Row],[project]]), "",COUNTIFS($A:$A,patch[[#This Row],[number]],$S:$S, "BJ And dev",$AC:$AC, "Review-1"))</f>
        <v/>
      </c>
      <c r="X453" s="7" t="str">
        <f>IF(ISBLANK(patch[[#This Row],[project]]), "",COUNTIFS($A:$A,patch[[#This Row],[number]],$S:$S, "FL And dev",$AC:$AC, "Review-1"))</f>
        <v/>
      </c>
      <c r="Y453" s="7" t="str">
        <f>IF(ISBLANK(patch[[#This Row],[project]]), "",COUNTIFS($A:$A,patch[[#This Row],[number]],$S:$S, "SH And dev",$AC:$AC, "Review-1"))</f>
        <v/>
      </c>
      <c r="Z453" s="7" t="str">
        <f>IF(ISBLANK(patch[[#This Row],[project]]), "",COUNTIFS($A:$A,patch[[#This Row],[number]],$S:$S, "BJ And dev",$AD:$AD, "&lt;&gt;IntegratorValidationComment"))</f>
        <v/>
      </c>
      <c r="AA453" s="7" t="str">
        <f>IF(ISBLANK(patch[[#This Row],[project]]), "",COUNTIFS($A:$A,patch[[#This Row],[number]],$S:$S, "FL And dev",$AD:$AD, "&lt;&gt;IntegratorValidationComment"))</f>
        <v/>
      </c>
      <c r="AB453" s="7" t="str">
        <f>IF(ISBLANK(patch[[#This Row],[project]]), "",COUNTIFS($A:$A,patch[[#This Row],[number]],$S:$S, "SH And dev",$AD:$AD, "&lt;&gt;IntegratorValidationComment"))</f>
        <v/>
      </c>
      <c r="AC453" s="7" t="str">
        <f>IF(OR(ISNUMBER(FIND("Review-1", patch[[#This Row],[comments]])), ISNUMBER(FIND("Approver-1", patch[[#This Row],[comments]]))), "Review-1", "")</f>
        <v/>
      </c>
      <c r="AD4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53" s="7">
        <f>IF(ISBLANK(patch[[#This Row],[number]]),AE452,patch[[#This Row],[ifCommon]])</f>
        <v>0</v>
      </c>
    </row>
    <row r="454" spans="1:31">
      <c r="A454" s="151">
        <v>147787</v>
      </c>
      <c r="B454" s="151"/>
      <c r="C454" s="151"/>
      <c r="D454" s="151"/>
      <c r="E454" s="151"/>
      <c r="F454" s="151"/>
      <c r="G454" s="151"/>
      <c r="H454" s="151"/>
      <c r="I454" s="151"/>
      <c r="J454" s="152">
        <v>42639.752476851849</v>
      </c>
      <c r="K454" s="151"/>
      <c r="L454" s="151" t="s">
        <v>59</v>
      </c>
      <c r="M454" s="152">
        <v>42636.757824074077</v>
      </c>
      <c r="N454" s="151" t="s">
        <v>2832</v>
      </c>
      <c r="O454" s="151"/>
      <c r="P454" s="151"/>
      <c r="Q454" s="7" t="str">
        <f>IF(ISBLANK(patch[[#This Row],[OwnerEmail]]),Q453,patch[[#This Row],[OwnerEmail]])</f>
        <v>lipingx.xu@intel.com</v>
      </c>
      <c r="R454" s="7" t="str">
        <f>_xlfn.IFNA(VLOOKUP(patch[[#This Row],[tmp-owner.email]],OrgTree!$A:$K, 11, 0), "not ICG SWFW")</f>
        <v>BJ And dev</v>
      </c>
      <c r="S454" s="7" t="str">
        <f>IF(patch[[#This Row],[reviewer]]=patch[[#This Row],[tmp-owner.email]], "author", _xlfn.IFNA(VLOOKUP(patch[[#This Row],[reviewer]],OrgTree!$A:$K, 11, 0), "not ICG SWFW"))</f>
        <v>BJ And dev</v>
      </c>
      <c r="T454" s="7" t="str">
        <f>IF(ISBLANK(patch[[#This Row],[mergeDate]]), "", MID(YEAR(patch[[#This Row],[mergeDate]]), 3,2)&amp;"'ww"&amp;WEEKNUM(patch[[#This Row],[mergeDate]]))</f>
        <v>16'ww40</v>
      </c>
      <c r="U454" s="7" t="str">
        <f>IF(ISBLANK(patch[[#This Row],[mergeDate]]), U453, MID(YEAR(patch[[#This Row],[mergeDate]]), 3,2)&amp;"'m"&amp;MONTH(patch[[#This Row],[mergeDate]]))</f>
        <v>16'm9</v>
      </c>
      <c r="V454" s="7" t="str">
        <f>IF(ISBLANK(patch[[#This Row],[project]]), "",SUM(patch[[#This Row],[BJ -1 num]:[SH -1 num]]))</f>
        <v/>
      </c>
      <c r="W454" s="7" t="str">
        <f>IF(ISBLANK(patch[[#This Row],[project]]), "",COUNTIFS($A:$A,patch[[#This Row],[number]],$S:$S, "BJ And dev",$AC:$AC, "Review-1"))</f>
        <v/>
      </c>
      <c r="X454" s="7" t="str">
        <f>IF(ISBLANK(patch[[#This Row],[project]]), "",COUNTIFS($A:$A,patch[[#This Row],[number]],$S:$S, "FL And dev",$AC:$AC, "Review-1"))</f>
        <v/>
      </c>
      <c r="Y454" s="7" t="str">
        <f>IF(ISBLANK(patch[[#This Row],[project]]), "",COUNTIFS($A:$A,patch[[#This Row],[number]],$S:$S, "SH And dev",$AC:$AC, "Review-1"))</f>
        <v/>
      </c>
      <c r="Z454" s="7" t="str">
        <f>IF(ISBLANK(patch[[#This Row],[project]]), "",COUNTIFS($A:$A,patch[[#This Row],[number]],$S:$S, "BJ And dev",$AD:$AD, "&lt;&gt;IntegratorValidationComment"))</f>
        <v/>
      </c>
      <c r="AA454" s="7" t="str">
        <f>IF(ISBLANK(patch[[#This Row],[project]]), "",COUNTIFS($A:$A,patch[[#This Row],[number]],$S:$S, "FL And dev",$AD:$AD, "&lt;&gt;IntegratorValidationComment"))</f>
        <v/>
      </c>
      <c r="AB454" s="7" t="str">
        <f>IF(ISBLANK(patch[[#This Row],[project]]), "",COUNTIFS($A:$A,patch[[#This Row],[number]],$S:$S, "SH And dev",$AD:$AD, "&lt;&gt;IntegratorValidationComment"))</f>
        <v/>
      </c>
      <c r="AC454" s="7" t="str">
        <f>IF(OR(ISNUMBER(FIND("Review-1", patch[[#This Row],[comments]])), ISNUMBER(FIND("Approver-1", patch[[#This Row],[comments]]))), "Review-1", "")</f>
        <v/>
      </c>
      <c r="AD4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54" s="7">
        <f>IF(ISBLANK(patch[[#This Row],[number]]),AE453,patch[[#This Row],[ifCommon]])</f>
        <v>0</v>
      </c>
    </row>
    <row r="455" spans="1:31">
      <c r="A455" s="151">
        <v>147787</v>
      </c>
      <c r="B455" s="151"/>
      <c r="C455" s="151"/>
      <c r="D455" s="151"/>
      <c r="E455" s="151"/>
      <c r="F455" s="151"/>
      <c r="G455" s="151"/>
      <c r="H455" s="151"/>
      <c r="I455" s="151"/>
      <c r="J455" s="152">
        <v>42639.752476851849</v>
      </c>
      <c r="K455" s="151"/>
      <c r="L455" s="151" t="s">
        <v>677</v>
      </c>
      <c r="M455" s="152">
        <v>42639.464236111111</v>
      </c>
      <c r="N455" s="151" t="s">
        <v>2429</v>
      </c>
      <c r="O455" s="151"/>
      <c r="P455" s="151"/>
      <c r="Q455" s="7" t="str">
        <f>IF(ISBLANK(patch[[#This Row],[OwnerEmail]]),Q454,patch[[#This Row],[OwnerEmail]])</f>
        <v>lipingx.xu@intel.com</v>
      </c>
      <c r="R455" s="7" t="str">
        <f>_xlfn.IFNA(VLOOKUP(patch[[#This Row],[tmp-owner.email]],OrgTree!$A:$K, 11, 0), "not ICG SWFW")</f>
        <v>BJ And dev</v>
      </c>
      <c r="S455" s="7" t="str">
        <f>IF(patch[[#This Row],[reviewer]]=patch[[#This Row],[tmp-owner.email]], "author", _xlfn.IFNA(VLOOKUP(patch[[#This Row],[reviewer]],OrgTree!$A:$K, 11, 0), "not ICG SWFW"))</f>
        <v>author</v>
      </c>
      <c r="T455" s="7" t="str">
        <f>IF(ISBLANK(patch[[#This Row],[mergeDate]]), "", MID(YEAR(patch[[#This Row],[mergeDate]]), 3,2)&amp;"'ww"&amp;WEEKNUM(patch[[#This Row],[mergeDate]]))</f>
        <v>16'ww40</v>
      </c>
      <c r="U455" s="7" t="str">
        <f>IF(ISBLANK(patch[[#This Row],[mergeDate]]), U454, MID(YEAR(patch[[#This Row],[mergeDate]]), 3,2)&amp;"'m"&amp;MONTH(patch[[#This Row],[mergeDate]]))</f>
        <v>16'm9</v>
      </c>
      <c r="V455" s="7" t="str">
        <f>IF(ISBLANK(patch[[#This Row],[project]]), "",SUM(patch[[#This Row],[BJ -1 num]:[SH -1 num]]))</f>
        <v/>
      </c>
      <c r="W455" s="7" t="str">
        <f>IF(ISBLANK(patch[[#This Row],[project]]), "",COUNTIFS($A:$A,patch[[#This Row],[number]],$S:$S, "BJ And dev",$AC:$AC, "Review-1"))</f>
        <v/>
      </c>
      <c r="X455" s="7" t="str">
        <f>IF(ISBLANK(patch[[#This Row],[project]]), "",COUNTIFS($A:$A,patch[[#This Row],[number]],$S:$S, "FL And dev",$AC:$AC, "Review-1"))</f>
        <v/>
      </c>
      <c r="Y455" s="7" t="str">
        <f>IF(ISBLANK(patch[[#This Row],[project]]), "",COUNTIFS($A:$A,patch[[#This Row],[number]],$S:$S, "SH And dev",$AC:$AC, "Review-1"))</f>
        <v/>
      </c>
      <c r="Z455" s="7" t="str">
        <f>IF(ISBLANK(patch[[#This Row],[project]]), "",COUNTIFS($A:$A,patch[[#This Row],[number]],$S:$S, "BJ And dev",$AD:$AD, "&lt;&gt;IntegratorValidationComment"))</f>
        <v/>
      </c>
      <c r="AA455" s="7" t="str">
        <f>IF(ISBLANK(patch[[#This Row],[project]]), "",COUNTIFS($A:$A,patch[[#This Row],[number]],$S:$S, "FL And dev",$AD:$AD, "&lt;&gt;IntegratorValidationComment"))</f>
        <v/>
      </c>
      <c r="AB455" s="7" t="str">
        <f>IF(ISBLANK(patch[[#This Row],[project]]), "",COUNTIFS($A:$A,patch[[#This Row],[number]],$S:$S, "SH And dev",$AD:$AD, "&lt;&gt;IntegratorValidationComment"))</f>
        <v/>
      </c>
      <c r="AC455" s="7" t="str">
        <f>IF(OR(ISNUMBER(FIND("Review-1", patch[[#This Row],[comments]])), ISNUMBER(FIND("Approver-1", patch[[#This Row],[comments]]))), "Review-1", "")</f>
        <v/>
      </c>
      <c r="AD4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55" s="7">
        <f>IF(ISBLANK(patch[[#This Row],[number]]),AE454,patch[[#This Row],[ifCommon]])</f>
        <v>0</v>
      </c>
    </row>
    <row r="456" spans="1:31">
      <c r="A456" s="151">
        <v>147787</v>
      </c>
      <c r="B456" s="151"/>
      <c r="C456" s="151"/>
      <c r="D456" s="151"/>
      <c r="E456" s="151"/>
      <c r="F456" s="151"/>
      <c r="G456" s="151"/>
      <c r="H456" s="151"/>
      <c r="I456" s="151"/>
      <c r="J456" s="152">
        <v>42639.752476851849</v>
      </c>
      <c r="K456" s="151"/>
      <c r="L456" s="151" t="s">
        <v>677</v>
      </c>
      <c r="M456" s="152">
        <v>42639.464236111111</v>
      </c>
      <c r="N456" s="151" t="s">
        <v>2460</v>
      </c>
      <c r="O456" s="151"/>
      <c r="P456" s="151"/>
      <c r="Q456" s="7" t="str">
        <f>IF(ISBLANK(patch[[#This Row],[OwnerEmail]]),Q455,patch[[#This Row],[OwnerEmail]])</f>
        <v>lipingx.xu@intel.com</v>
      </c>
      <c r="R456" s="7" t="str">
        <f>_xlfn.IFNA(VLOOKUP(patch[[#This Row],[tmp-owner.email]],OrgTree!$A:$K, 11, 0), "not ICG SWFW")</f>
        <v>BJ And dev</v>
      </c>
      <c r="S456" s="7" t="str">
        <f>IF(patch[[#This Row],[reviewer]]=patch[[#This Row],[tmp-owner.email]], "author", _xlfn.IFNA(VLOOKUP(patch[[#This Row],[reviewer]],OrgTree!$A:$K, 11, 0), "not ICG SWFW"))</f>
        <v>author</v>
      </c>
      <c r="T456" s="7" t="str">
        <f>IF(ISBLANK(patch[[#This Row],[mergeDate]]), "", MID(YEAR(patch[[#This Row],[mergeDate]]), 3,2)&amp;"'ww"&amp;WEEKNUM(patch[[#This Row],[mergeDate]]))</f>
        <v>16'ww40</v>
      </c>
      <c r="U456" s="7" t="str">
        <f>IF(ISBLANK(patch[[#This Row],[mergeDate]]), U455, MID(YEAR(patch[[#This Row],[mergeDate]]), 3,2)&amp;"'m"&amp;MONTH(patch[[#This Row],[mergeDate]]))</f>
        <v>16'm9</v>
      </c>
      <c r="V456" s="7" t="str">
        <f>IF(ISBLANK(patch[[#This Row],[project]]), "",SUM(patch[[#This Row],[BJ -1 num]:[SH -1 num]]))</f>
        <v/>
      </c>
      <c r="W456" s="7" t="str">
        <f>IF(ISBLANK(patch[[#This Row],[project]]), "",COUNTIFS($A:$A,patch[[#This Row],[number]],$S:$S, "BJ And dev",$AC:$AC, "Review-1"))</f>
        <v/>
      </c>
      <c r="X456" s="7" t="str">
        <f>IF(ISBLANK(patch[[#This Row],[project]]), "",COUNTIFS($A:$A,patch[[#This Row],[number]],$S:$S, "FL And dev",$AC:$AC, "Review-1"))</f>
        <v/>
      </c>
      <c r="Y456" s="7" t="str">
        <f>IF(ISBLANK(patch[[#This Row],[project]]), "",COUNTIFS($A:$A,patch[[#This Row],[number]],$S:$S, "SH And dev",$AC:$AC, "Review-1"))</f>
        <v/>
      </c>
      <c r="Z456" s="7" t="str">
        <f>IF(ISBLANK(patch[[#This Row],[project]]), "",COUNTIFS($A:$A,patch[[#This Row],[number]],$S:$S, "BJ And dev",$AD:$AD, "&lt;&gt;IntegratorValidationComment"))</f>
        <v/>
      </c>
      <c r="AA456" s="7" t="str">
        <f>IF(ISBLANK(patch[[#This Row],[project]]), "",COUNTIFS($A:$A,patch[[#This Row],[number]],$S:$S, "FL And dev",$AD:$AD, "&lt;&gt;IntegratorValidationComment"))</f>
        <v/>
      </c>
      <c r="AB456" s="7" t="str">
        <f>IF(ISBLANK(patch[[#This Row],[project]]), "",COUNTIFS($A:$A,patch[[#This Row],[number]],$S:$S, "SH And dev",$AD:$AD, "&lt;&gt;IntegratorValidationComment"))</f>
        <v/>
      </c>
      <c r="AC456" s="7" t="str">
        <f>IF(OR(ISNUMBER(FIND("Review-1", patch[[#This Row],[comments]])), ISNUMBER(FIND("Approver-1", patch[[#This Row],[comments]]))), "Review-1", "")</f>
        <v/>
      </c>
      <c r="AD4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56" s="7">
        <f>IF(ISBLANK(patch[[#This Row],[number]]),AE455,patch[[#This Row],[ifCommon]])</f>
        <v>0</v>
      </c>
    </row>
    <row r="457" spans="1:31">
      <c r="A457" s="151">
        <v>147787</v>
      </c>
      <c r="B457" s="151"/>
      <c r="C457" s="151"/>
      <c r="D457" s="151"/>
      <c r="E457" s="151"/>
      <c r="F457" s="151"/>
      <c r="G457" s="151"/>
      <c r="H457" s="151"/>
      <c r="I457" s="151"/>
      <c r="J457" s="152">
        <v>42639.752476851849</v>
      </c>
      <c r="K457" s="151"/>
      <c r="L457" s="151" t="s">
        <v>59</v>
      </c>
      <c r="M457" s="152">
        <v>42639.468090277784</v>
      </c>
      <c r="N457" s="151" t="s">
        <v>2833</v>
      </c>
      <c r="O457" s="151"/>
      <c r="P457" s="151"/>
      <c r="Q457" s="7" t="str">
        <f>IF(ISBLANK(patch[[#This Row],[OwnerEmail]]),Q456,patch[[#This Row],[OwnerEmail]])</f>
        <v>lipingx.xu@intel.com</v>
      </c>
      <c r="R457" s="7" t="str">
        <f>_xlfn.IFNA(VLOOKUP(patch[[#This Row],[tmp-owner.email]],OrgTree!$A:$K, 11, 0), "not ICG SWFW")</f>
        <v>BJ And dev</v>
      </c>
      <c r="S457" s="7" t="str">
        <f>IF(patch[[#This Row],[reviewer]]=patch[[#This Row],[tmp-owner.email]], "author", _xlfn.IFNA(VLOOKUP(patch[[#This Row],[reviewer]],OrgTree!$A:$K, 11, 0), "not ICG SWFW"))</f>
        <v>BJ And dev</v>
      </c>
      <c r="T457" s="7" t="str">
        <f>IF(ISBLANK(patch[[#This Row],[mergeDate]]), "", MID(YEAR(patch[[#This Row],[mergeDate]]), 3,2)&amp;"'ww"&amp;WEEKNUM(patch[[#This Row],[mergeDate]]))</f>
        <v>16'ww40</v>
      </c>
      <c r="U457" s="7" t="str">
        <f>IF(ISBLANK(patch[[#This Row],[mergeDate]]), U456, MID(YEAR(patch[[#This Row],[mergeDate]]), 3,2)&amp;"'m"&amp;MONTH(patch[[#This Row],[mergeDate]]))</f>
        <v>16'm9</v>
      </c>
      <c r="V457" s="7" t="str">
        <f>IF(ISBLANK(patch[[#This Row],[project]]), "",SUM(patch[[#This Row],[BJ -1 num]:[SH -1 num]]))</f>
        <v/>
      </c>
      <c r="W457" s="7" t="str">
        <f>IF(ISBLANK(patch[[#This Row],[project]]), "",COUNTIFS($A:$A,patch[[#This Row],[number]],$S:$S, "BJ And dev",$AC:$AC, "Review-1"))</f>
        <v/>
      </c>
      <c r="X457" s="7" t="str">
        <f>IF(ISBLANK(patch[[#This Row],[project]]), "",COUNTIFS($A:$A,patch[[#This Row],[number]],$S:$S, "FL And dev",$AC:$AC, "Review-1"))</f>
        <v/>
      </c>
      <c r="Y457" s="7" t="str">
        <f>IF(ISBLANK(patch[[#This Row],[project]]), "",COUNTIFS($A:$A,patch[[#This Row],[number]],$S:$S, "SH And dev",$AC:$AC, "Review-1"))</f>
        <v/>
      </c>
      <c r="Z457" s="7" t="str">
        <f>IF(ISBLANK(patch[[#This Row],[project]]), "",COUNTIFS($A:$A,patch[[#This Row],[number]],$S:$S, "BJ And dev",$AD:$AD, "&lt;&gt;IntegratorValidationComment"))</f>
        <v/>
      </c>
      <c r="AA457" s="7" t="str">
        <f>IF(ISBLANK(patch[[#This Row],[project]]), "",COUNTIFS($A:$A,patch[[#This Row],[number]],$S:$S, "FL And dev",$AD:$AD, "&lt;&gt;IntegratorValidationComment"))</f>
        <v/>
      </c>
      <c r="AB457" s="7" t="str">
        <f>IF(ISBLANK(patch[[#This Row],[project]]), "",COUNTIFS($A:$A,patch[[#This Row],[number]],$S:$S, "SH And dev",$AD:$AD, "&lt;&gt;IntegratorValidationComment"))</f>
        <v/>
      </c>
      <c r="AC457" s="7" t="str">
        <f>IF(OR(ISNUMBER(FIND("Review-1", patch[[#This Row],[comments]])), ISNUMBER(FIND("Approver-1", patch[[#This Row],[comments]]))), "Review-1", "")</f>
        <v/>
      </c>
      <c r="AD4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57" s="7">
        <f>IF(ISBLANK(patch[[#This Row],[number]]),AE456,patch[[#This Row],[ifCommon]])</f>
        <v>0</v>
      </c>
    </row>
    <row r="458" spans="1:31">
      <c r="A458" s="151">
        <v>147787</v>
      </c>
      <c r="B458" s="151"/>
      <c r="C458" s="151"/>
      <c r="D458" s="151"/>
      <c r="E458" s="151"/>
      <c r="F458" s="151"/>
      <c r="G458" s="151"/>
      <c r="H458" s="151"/>
      <c r="I458" s="151"/>
      <c r="J458" s="152">
        <v>42639.752476851849</v>
      </c>
      <c r="K458" s="151"/>
      <c r="L458" s="151" t="s">
        <v>115</v>
      </c>
      <c r="M458" s="152">
        <v>42639.48033564815</v>
      </c>
      <c r="N458" s="151" t="s">
        <v>2495</v>
      </c>
      <c r="O458" s="151"/>
      <c r="P458" s="151"/>
      <c r="Q458" s="7" t="str">
        <f>IF(ISBLANK(patch[[#This Row],[OwnerEmail]]),Q457,patch[[#This Row],[OwnerEmail]])</f>
        <v>lipingx.xu@intel.com</v>
      </c>
      <c r="R458" s="7" t="str">
        <f>_xlfn.IFNA(VLOOKUP(patch[[#This Row],[tmp-owner.email]],OrgTree!$A:$K, 11, 0), "not ICG SWFW")</f>
        <v>BJ And dev</v>
      </c>
      <c r="S458" s="7" t="str">
        <f>IF(patch[[#This Row],[reviewer]]=patch[[#This Row],[tmp-owner.email]], "author", _xlfn.IFNA(VLOOKUP(patch[[#This Row],[reviewer]],OrgTree!$A:$K, 11, 0), "not ICG SWFW"))</f>
        <v>Val</v>
      </c>
      <c r="T458" s="7" t="str">
        <f>IF(ISBLANK(patch[[#This Row],[mergeDate]]), "", MID(YEAR(patch[[#This Row],[mergeDate]]), 3,2)&amp;"'ww"&amp;WEEKNUM(patch[[#This Row],[mergeDate]]))</f>
        <v>16'ww40</v>
      </c>
      <c r="U458" s="7" t="str">
        <f>IF(ISBLANK(patch[[#This Row],[mergeDate]]), U457, MID(YEAR(patch[[#This Row],[mergeDate]]), 3,2)&amp;"'m"&amp;MONTH(patch[[#This Row],[mergeDate]]))</f>
        <v>16'm9</v>
      </c>
      <c r="V458" s="7" t="str">
        <f>IF(ISBLANK(patch[[#This Row],[project]]), "",SUM(patch[[#This Row],[BJ -1 num]:[SH -1 num]]))</f>
        <v/>
      </c>
      <c r="W458" s="7" t="str">
        <f>IF(ISBLANK(patch[[#This Row],[project]]), "",COUNTIFS($A:$A,patch[[#This Row],[number]],$S:$S, "BJ And dev",$AC:$AC, "Review-1"))</f>
        <v/>
      </c>
      <c r="X458" s="7" t="str">
        <f>IF(ISBLANK(patch[[#This Row],[project]]), "",COUNTIFS($A:$A,patch[[#This Row],[number]],$S:$S, "FL And dev",$AC:$AC, "Review-1"))</f>
        <v/>
      </c>
      <c r="Y458" s="7" t="str">
        <f>IF(ISBLANK(patch[[#This Row],[project]]), "",COUNTIFS($A:$A,patch[[#This Row],[number]],$S:$S, "SH And dev",$AC:$AC, "Review-1"))</f>
        <v/>
      </c>
      <c r="Z458" s="7" t="str">
        <f>IF(ISBLANK(patch[[#This Row],[project]]), "",COUNTIFS($A:$A,patch[[#This Row],[number]],$S:$S, "BJ And dev",$AD:$AD, "&lt;&gt;IntegratorValidationComment"))</f>
        <v/>
      </c>
      <c r="AA458" s="7" t="str">
        <f>IF(ISBLANK(patch[[#This Row],[project]]), "",COUNTIFS($A:$A,patch[[#This Row],[number]],$S:$S, "FL And dev",$AD:$AD, "&lt;&gt;IntegratorValidationComment"))</f>
        <v/>
      </c>
      <c r="AB458" s="7" t="str">
        <f>IF(ISBLANK(patch[[#This Row],[project]]), "",COUNTIFS($A:$A,patch[[#This Row],[number]],$S:$S, "SH And dev",$AD:$AD, "&lt;&gt;IntegratorValidationComment"))</f>
        <v/>
      </c>
      <c r="AC458" s="7" t="str">
        <f>IF(OR(ISNUMBER(FIND("Review-1", patch[[#This Row],[comments]])), ISNUMBER(FIND("Approver-1", patch[[#This Row],[comments]]))), "Review-1", "")</f>
        <v/>
      </c>
      <c r="AD4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458" s="7">
        <f>IF(ISBLANK(patch[[#This Row],[number]]),AE457,patch[[#This Row],[ifCommon]])</f>
        <v>0</v>
      </c>
    </row>
    <row r="459" spans="1:31">
      <c r="A459" s="151">
        <v>147787</v>
      </c>
      <c r="B459" s="151"/>
      <c r="C459" s="151"/>
      <c r="D459" s="151"/>
      <c r="E459" s="151"/>
      <c r="F459" s="151"/>
      <c r="G459" s="151"/>
      <c r="H459" s="151"/>
      <c r="I459" s="151"/>
      <c r="J459" s="152">
        <v>42639.752476851849</v>
      </c>
      <c r="K459" s="151"/>
      <c r="L459" s="151" t="s">
        <v>59</v>
      </c>
      <c r="M459" s="152">
        <v>42639.482372685183</v>
      </c>
      <c r="N459" s="151" t="s">
        <v>2834</v>
      </c>
      <c r="O459" s="151"/>
      <c r="P459" s="151"/>
      <c r="Q459" s="7" t="str">
        <f>IF(ISBLANK(patch[[#This Row],[OwnerEmail]]),Q458,patch[[#This Row],[OwnerEmail]])</f>
        <v>lipingx.xu@intel.com</v>
      </c>
      <c r="R459" s="7" t="str">
        <f>_xlfn.IFNA(VLOOKUP(patch[[#This Row],[tmp-owner.email]],OrgTree!$A:$K, 11, 0), "not ICG SWFW")</f>
        <v>BJ And dev</v>
      </c>
      <c r="S459" s="7" t="str">
        <f>IF(patch[[#This Row],[reviewer]]=patch[[#This Row],[tmp-owner.email]], "author", _xlfn.IFNA(VLOOKUP(patch[[#This Row],[reviewer]],OrgTree!$A:$K, 11, 0), "not ICG SWFW"))</f>
        <v>BJ And dev</v>
      </c>
      <c r="T459" s="7" t="str">
        <f>IF(ISBLANK(patch[[#This Row],[mergeDate]]), "", MID(YEAR(patch[[#This Row],[mergeDate]]), 3,2)&amp;"'ww"&amp;WEEKNUM(patch[[#This Row],[mergeDate]]))</f>
        <v>16'ww40</v>
      </c>
      <c r="U459" s="7" t="str">
        <f>IF(ISBLANK(patch[[#This Row],[mergeDate]]), U458, MID(YEAR(patch[[#This Row],[mergeDate]]), 3,2)&amp;"'m"&amp;MONTH(patch[[#This Row],[mergeDate]]))</f>
        <v>16'm9</v>
      </c>
      <c r="V459" s="7" t="str">
        <f>IF(ISBLANK(patch[[#This Row],[project]]), "",SUM(patch[[#This Row],[BJ -1 num]:[SH -1 num]]))</f>
        <v/>
      </c>
      <c r="W459" s="7" t="str">
        <f>IF(ISBLANK(patch[[#This Row],[project]]), "",COUNTIFS($A:$A,patch[[#This Row],[number]],$S:$S, "BJ And dev",$AC:$AC, "Review-1"))</f>
        <v/>
      </c>
      <c r="X459" s="7" t="str">
        <f>IF(ISBLANK(patch[[#This Row],[project]]), "",COUNTIFS($A:$A,patch[[#This Row],[number]],$S:$S, "FL And dev",$AC:$AC, "Review-1"))</f>
        <v/>
      </c>
      <c r="Y459" s="7" t="str">
        <f>IF(ISBLANK(patch[[#This Row],[project]]), "",COUNTIFS($A:$A,patch[[#This Row],[number]],$S:$S, "SH And dev",$AC:$AC, "Review-1"))</f>
        <v/>
      </c>
      <c r="Z459" s="7" t="str">
        <f>IF(ISBLANK(patch[[#This Row],[project]]), "",COUNTIFS($A:$A,patch[[#This Row],[number]],$S:$S, "BJ And dev",$AD:$AD, "&lt;&gt;IntegratorValidationComment"))</f>
        <v/>
      </c>
      <c r="AA459" s="7" t="str">
        <f>IF(ISBLANK(patch[[#This Row],[project]]), "",COUNTIFS($A:$A,patch[[#This Row],[number]],$S:$S, "FL And dev",$AD:$AD, "&lt;&gt;IntegratorValidationComment"))</f>
        <v/>
      </c>
      <c r="AB459" s="7" t="str">
        <f>IF(ISBLANK(patch[[#This Row],[project]]), "",COUNTIFS($A:$A,patch[[#This Row],[number]],$S:$S, "SH And dev",$AD:$AD, "&lt;&gt;IntegratorValidationComment"))</f>
        <v/>
      </c>
      <c r="AC459" s="7" t="str">
        <f>IF(OR(ISNUMBER(FIND("Review-1", patch[[#This Row],[comments]])), ISNUMBER(FIND("Approver-1", patch[[#This Row],[comments]]))), "Review-1", "")</f>
        <v/>
      </c>
      <c r="AD4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59" s="7">
        <f>IF(ISBLANK(patch[[#This Row],[number]]),AE458,patch[[#This Row],[ifCommon]])</f>
        <v>0</v>
      </c>
    </row>
    <row r="460" spans="1:31">
      <c r="A460" s="151">
        <v>148090</v>
      </c>
      <c r="B460" s="151" t="s">
        <v>2490</v>
      </c>
      <c r="C460" s="151" t="s">
        <v>2795</v>
      </c>
      <c r="D460" s="151" t="s">
        <v>2835</v>
      </c>
      <c r="E460" s="151" t="s">
        <v>677</v>
      </c>
      <c r="F460" s="151" t="s">
        <v>23</v>
      </c>
      <c r="G460" s="151" t="s">
        <v>2836</v>
      </c>
      <c r="H460" s="151" t="s">
        <v>2837</v>
      </c>
      <c r="I460" s="152">
        <v>42639.463495370372</v>
      </c>
      <c r="J460" s="152">
        <v>42639.752476851849</v>
      </c>
      <c r="K460" s="151" t="s">
        <v>2445</v>
      </c>
      <c r="L460" s="151" t="s">
        <v>677</v>
      </c>
      <c r="M460" s="152">
        <v>42639.463495370372</v>
      </c>
      <c r="N460" s="151" t="s">
        <v>25</v>
      </c>
      <c r="O460" s="151"/>
      <c r="P460" s="151" t="s">
        <v>59</v>
      </c>
      <c r="Q460" s="7" t="str">
        <f>IF(ISBLANK(patch[[#This Row],[OwnerEmail]]),Q459,patch[[#This Row],[OwnerEmail]])</f>
        <v>lipingx.xu@intel.com</v>
      </c>
      <c r="R460" s="7" t="str">
        <f>_xlfn.IFNA(VLOOKUP(patch[[#This Row],[tmp-owner.email]],OrgTree!$A:$K, 11, 0), "not ICG SWFW")</f>
        <v>BJ And dev</v>
      </c>
      <c r="S460" s="7" t="str">
        <f>IF(patch[[#This Row],[reviewer]]=patch[[#This Row],[tmp-owner.email]], "author", _xlfn.IFNA(VLOOKUP(patch[[#This Row],[reviewer]],OrgTree!$A:$K, 11, 0), "not ICG SWFW"))</f>
        <v>author</v>
      </c>
      <c r="T460" s="7" t="str">
        <f>IF(ISBLANK(patch[[#This Row],[mergeDate]]), "", MID(YEAR(patch[[#This Row],[mergeDate]]), 3,2)&amp;"'ww"&amp;WEEKNUM(patch[[#This Row],[mergeDate]]))</f>
        <v>16'ww40</v>
      </c>
      <c r="U460" s="7" t="str">
        <f>IF(ISBLANK(patch[[#This Row],[mergeDate]]), U459, MID(YEAR(patch[[#This Row],[mergeDate]]), 3,2)&amp;"'m"&amp;MONTH(patch[[#This Row],[mergeDate]]))</f>
        <v>16'm9</v>
      </c>
      <c r="V460" s="7">
        <f>IF(ISBLANK(patch[[#This Row],[project]]), "",SUM(patch[[#This Row],[BJ -1 num]:[SH -1 num]]))</f>
        <v>0</v>
      </c>
      <c r="W460" s="7">
        <f>IF(ISBLANK(patch[[#This Row],[project]]), "",COUNTIFS($A:$A,patch[[#This Row],[number]],$S:$S, "BJ And dev",$AC:$AC, "Review-1"))</f>
        <v>0</v>
      </c>
      <c r="X460" s="7">
        <f>IF(ISBLANK(patch[[#This Row],[project]]), "",COUNTIFS($A:$A,patch[[#This Row],[number]],$S:$S, "FL And dev",$AC:$AC, "Review-1"))</f>
        <v>0</v>
      </c>
      <c r="Y460" s="7">
        <f>IF(ISBLANK(patch[[#This Row],[project]]), "",COUNTIFS($A:$A,patch[[#This Row],[number]],$S:$S, "SH And dev",$AC:$AC, "Review-1"))</f>
        <v>0</v>
      </c>
      <c r="Z460" s="7">
        <f>IF(ISBLANK(patch[[#This Row],[project]]), "",COUNTIFS($A:$A,patch[[#This Row],[number]],$S:$S, "BJ And dev",$AD:$AD, "&lt;&gt;IntegratorValidationComment"))</f>
        <v>4</v>
      </c>
      <c r="AA460" s="7">
        <f>IF(ISBLANK(patch[[#This Row],[project]]), "",COUNTIFS($A:$A,patch[[#This Row],[number]],$S:$S, "FL And dev",$AD:$AD, "&lt;&gt;IntegratorValidationComment"))</f>
        <v>0</v>
      </c>
      <c r="AB460" s="7">
        <f>IF(ISBLANK(patch[[#This Row],[project]]), "",COUNTIFS($A:$A,patch[[#This Row],[number]],$S:$S, "SH And dev",$AD:$AD, "&lt;&gt;IntegratorValidationComment"))</f>
        <v>0</v>
      </c>
      <c r="AC460" s="7" t="str">
        <f>IF(OR(ISNUMBER(FIND("Review-1", patch[[#This Row],[comments]])), ISNUMBER(FIND("Approver-1", patch[[#This Row],[comments]]))), "Review-1", "")</f>
        <v/>
      </c>
      <c r="AD4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60" s="7" t="str">
        <f>IF(ISBLANK(patch[[#This Row],[number]]),AE459,patch[[#This Row],[ifCommon]])</f>
        <v>not AndrHAL</v>
      </c>
    </row>
    <row r="461" spans="1:31">
      <c r="A461" s="151">
        <v>148090</v>
      </c>
      <c r="B461" s="151"/>
      <c r="C461" s="151"/>
      <c r="D461" s="151"/>
      <c r="E461" s="151"/>
      <c r="F461" s="151"/>
      <c r="G461" s="151"/>
      <c r="H461" s="151"/>
      <c r="I461" s="151"/>
      <c r="J461" s="152">
        <v>42639.752476851849</v>
      </c>
      <c r="K461" s="151"/>
      <c r="L461" s="151" t="s">
        <v>677</v>
      </c>
      <c r="M461" s="152">
        <v>42639.463495370372</v>
      </c>
      <c r="N461" s="151" t="s">
        <v>2428</v>
      </c>
      <c r="O461" s="151"/>
      <c r="P461" s="151"/>
      <c r="Q461" s="7" t="str">
        <f>IF(ISBLANK(patch[[#This Row],[OwnerEmail]]),Q460,patch[[#This Row],[OwnerEmail]])</f>
        <v>lipingx.xu@intel.com</v>
      </c>
      <c r="R461" s="7" t="str">
        <f>_xlfn.IFNA(VLOOKUP(patch[[#This Row],[tmp-owner.email]],OrgTree!$A:$K, 11, 0), "not ICG SWFW")</f>
        <v>BJ And dev</v>
      </c>
      <c r="S461" s="7" t="str">
        <f>IF(patch[[#This Row],[reviewer]]=patch[[#This Row],[tmp-owner.email]], "author", _xlfn.IFNA(VLOOKUP(patch[[#This Row],[reviewer]],OrgTree!$A:$K, 11, 0), "not ICG SWFW"))</f>
        <v>author</v>
      </c>
      <c r="T461" s="7" t="str">
        <f>IF(ISBLANK(patch[[#This Row],[mergeDate]]), "", MID(YEAR(patch[[#This Row],[mergeDate]]), 3,2)&amp;"'ww"&amp;WEEKNUM(patch[[#This Row],[mergeDate]]))</f>
        <v>16'ww40</v>
      </c>
      <c r="U461" s="7" t="str">
        <f>IF(ISBLANK(patch[[#This Row],[mergeDate]]), U460, MID(YEAR(patch[[#This Row],[mergeDate]]), 3,2)&amp;"'m"&amp;MONTH(patch[[#This Row],[mergeDate]]))</f>
        <v>16'm9</v>
      </c>
      <c r="V461" s="7" t="str">
        <f>IF(ISBLANK(patch[[#This Row],[project]]), "",SUM(patch[[#This Row],[BJ -1 num]:[SH -1 num]]))</f>
        <v/>
      </c>
      <c r="W461" s="7" t="str">
        <f>IF(ISBLANK(patch[[#This Row],[project]]), "",COUNTIFS($A:$A,patch[[#This Row],[number]],$S:$S, "BJ And dev",$AC:$AC, "Review-1"))</f>
        <v/>
      </c>
      <c r="X461" s="7" t="str">
        <f>IF(ISBLANK(patch[[#This Row],[project]]), "",COUNTIFS($A:$A,patch[[#This Row],[number]],$S:$S, "FL And dev",$AC:$AC, "Review-1"))</f>
        <v/>
      </c>
      <c r="Y461" s="7" t="str">
        <f>IF(ISBLANK(patch[[#This Row],[project]]), "",COUNTIFS($A:$A,patch[[#This Row],[number]],$S:$S, "SH And dev",$AC:$AC, "Review-1"))</f>
        <v/>
      </c>
      <c r="Z461" s="7" t="str">
        <f>IF(ISBLANK(patch[[#This Row],[project]]), "",COUNTIFS($A:$A,patch[[#This Row],[number]],$S:$S, "BJ And dev",$AD:$AD, "&lt;&gt;IntegratorValidationComment"))</f>
        <v/>
      </c>
      <c r="AA461" s="7" t="str">
        <f>IF(ISBLANK(patch[[#This Row],[project]]), "",COUNTIFS($A:$A,patch[[#This Row],[number]],$S:$S, "FL And dev",$AD:$AD, "&lt;&gt;IntegratorValidationComment"))</f>
        <v/>
      </c>
      <c r="AB461" s="7" t="str">
        <f>IF(ISBLANK(patch[[#This Row],[project]]), "",COUNTIFS($A:$A,patch[[#This Row],[number]],$S:$S, "SH And dev",$AD:$AD, "&lt;&gt;IntegratorValidationComment"))</f>
        <v/>
      </c>
      <c r="AC461" s="7" t="str">
        <f>IF(OR(ISNUMBER(FIND("Review-1", patch[[#This Row],[comments]])), ISNUMBER(FIND("Approver-1", patch[[#This Row],[comments]]))), "Review-1", "")</f>
        <v/>
      </c>
      <c r="AD4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61" s="7">
        <f>IF(ISBLANK(patch[[#This Row],[number]]),AE460,patch[[#This Row],[ifCommon]])</f>
        <v>0</v>
      </c>
    </row>
    <row r="462" spans="1:31">
      <c r="A462" s="151">
        <v>148090</v>
      </c>
      <c r="B462" s="151"/>
      <c r="C462" s="151"/>
      <c r="D462" s="151"/>
      <c r="E462" s="151"/>
      <c r="F462" s="151"/>
      <c r="G462" s="151"/>
      <c r="H462" s="151"/>
      <c r="I462" s="151"/>
      <c r="J462" s="152">
        <v>42639.752476851849</v>
      </c>
      <c r="K462" s="151"/>
      <c r="L462" s="151" t="s">
        <v>677</v>
      </c>
      <c r="M462" s="152">
        <v>42639.46497685185</v>
      </c>
      <c r="N462" s="151" t="s">
        <v>40</v>
      </c>
      <c r="O462" s="151"/>
      <c r="P462" s="151"/>
      <c r="Q462" s="7" t="str">
        <f>IF(ISBLANK(patch[[#This Row],[OwnerEmail]]),Q461,patch[[#This Row],[OwnerEmail]])</f>
        <v>lipingx.xu@intel.com</v>
      </c>
      <c r="R462" s="7" t="str">
        <f>_xlfn.IFNA(VLOOKUP(patch[[#This Row],[tmp-owner.email]],OrgTree!$A:$K, 11, 0), "not ICG SWFW")</f>
        <v>BJ And dev</v>
      </c>
      <c r="S462" s="7" t="str">
        <f>IF(patch[[#This Row],[reviewer]]=patch[[#This Row],[tmp-owner.email]], "author", _xlfn.IFNA(VLOOKUP(patch[[#This Row],[reviewer]],OrgTree!$A:$K, 11, 0), "not ICG SWFW"))</f>
        <v>author</v>
      </c>
      <c r="T462" s="7" t="str">
        <f>IF(ISBLANK(patch[[#This Row],[mergeDate]]), "", MID(YEAR(patch[[#This Row],[mergeDate]]), 3,2)&amp;"'ww"&amp;WEEKNUM(patch[[#This Row],[mergeDate]]))</f>
        <v>16'ww40</v>
      </c>
      <c r="U462" s="7" t="str">
        <f>IF(ISBLANK(patch[[#This Row],[mergeDate]]), U461, MID(YEAR(patch[[#This Row],[mergeDate]]), 3,2)&amp;"'m"&amp;MONTH(patch[[#This Row],[mergeDate]]))</f>
        <v>16'm9</v>
      </c>
      <c r="V462" s="7" t="str">
        <f>IF(ISBLANK(patch[[#This Row],[project]]), "",SUM(patch[[#This Row],[BJ -1 num]:[SH -1 num]]))</f>
        <v/>
      </c>
      <c r="W462" s="7" t="str">
        <f>IF(ISBLANK(patch[[#This Row],[project]]), "",COUNTIFS($A:$A,patch[[#This Row],[number]],$S:$S, "BJ And dev",$AC:$AC, "Review-1"))</f>
        <v/>
      </c>
      <c r="X462" s="7" t="str">
        <f>IF(ISBLANK(patch[[#This Row],[project]]), "",COUNTIFS($A:$A,patch[[#This Row],[number]],$S:$S, "FL And dev",$AC:$AC, "Review-1"))</f>
        <v/>
      </c>
      <c r="Y462" s="7" t="str">
        <f>IF(ISBLANK(patch[[#This Row],[project]]), "",COUNTIFS($A:$A,patch[[#This Row],[number]],$S:$S, "SH And dev",$AC:$AC, "Review-1"))</f>
        <v/>
      </c>
      <c r="Z462" s="7" t="str">
        <f>IF(ISBLANK(patch[[#This Row],[project]]), "",COUNTIFS($A:$A,patch[[#This Row],[number]],$S:$S, "BJ And dev",$AD:$AD, "&lt;&gt;IntegratorValidationComment"))</f>
        <v/>
      </c>
      <c r="AA462" s="7" t="str">
        <f>IF(ISBLANK(patch[[#This Row],[project]]), "",COUNTIFS($A:$A,patch[[#This Row],[number]],$S:$S, "FL And dev",$AD:$AD, "&lt;&gt;IntegratorValidationComment"))</f>
        <v/>
      </c>
      <c r="AB462" s="7" t="str">
        <f>IF(ISBLANK(patch[[#This Row],[project]]), "",COUNTIFS($A:$A,patch[[#This Row],[number]],$S:$S, "SH And dev",$AD:$AD, "&lt;&gt;IntegratorValidationComment"))</f>
        <v/>
      </c>
      <c r="AC462" s="7" t="str">
        <f>IF(OR(ISNUMBER(FIND("Review-1", patch[[#This Row],[comments]])), ISNUMBER(FIND("Approver-1", patch[[#This Row],[comments]]))), "Review-1", "")</f>
        <v/>
      </c>
      <c r="AD4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62" s="7">
        <f>IF(ISBLANK(patch[[#This Row],[number]]),AE461,patch[[#This Row],[ifCommon]])</f>
        <v>0</v>
      </c>
    </row>
    <row r="463" spans="1:31">
      <c r="A463" s="151">
        <v>148090</v>
      </c>
      <c r="B463" s="151"/>
      <c r="C463" s="151"/>
      <c r="D463" s="151"/>
      <c r="E463" s="151"/>
      <c r="F463" s="151"/>
      <c r="G463" s="151"/>
      <c r="H463" s="151"/>
      <c r="I463" s="151"/>
      <c r="J463" s="152">
        <v>42639.752476851849</v>
      </c>
      <c r="K463" s="151"/>
      <c r="L463" s="151" t="s">
        <v>59</v>
      </c>
      <c r="M463" s="152">
        <v>42639.465532407397</v>
      </c>
      <c r="N463" s="151" t="s">
        <v>2757</v>
      </c>
      <c r="O463" s="151"/>
      <c r="P463" s="151"/>
      <c r="Q463" s="7" t="str">
        <f>IF(ISBLANK(patch[[#This Row],[OwnerEmail]]),Q462,patch[[#This Row],[OwnerEmail]])</f>
        <v>lipingx.xu@intel.com</v>
      </c>
      <c r="R463" s="7" t="str">
        <f>_xlfn.IFNA(VLOOKUP(patch[[#This Row],[tmp-owner.email]],OrgTree!$A:$K, 11, 0), "not ICG SWFW")</f>
        <v>BJ And dev</v>
      </c>
      <c r="S463" s="7" t="str">
        <f>IF(patch[[#This Row],[reviewer]]=patch[[#This Row],[tmp-owner.email]], "author", _xlfn.IFNA(VLOOKUP(patch[[#This Row],[reviewer]],OrgTree!$A:$K, 11, 0), "not ICG SWFW"))</f>
        <v>BJ And dev</v>
      </c>
      <c r="T463" s="7" t="str">
        <f>IF(ISBLANK(patch[[#This Row],[mergeDate]]), "", MID(YEAR(patch[[#This Row],[mergeDate]]), 3,2)&amp;"'ww"&amp;WEEKNUM(patch[[#This Row],[mergeDate]]))</f>
        <v>16'ww40</v>
      </c>
      <c r="U463" s="7" t="str">
        <f>IF(ISBLANK(patch[[#This Row],[mergeDate]]), U462, MID(YEAR(patch[[#This Row],[mergeDate]]), 3,2)&amp;"'m"&amp;MONTH(patch[[#This Row],[mergeDate]]))</f>
        <v>16'm9</v>
      </c>
      <c r="V463" s="7" t="str">
        <f>IF(ISBLANK(patch[[#This Row],[project]]), "",SUM(patch[[#This Row],[BJ -1 num]:[SH -1 num]]))</f>
        <v/>
      </c>
      <c r="W463" s="7" t="str">
        <f>IF(ISBLANK(patch[[#This Row],[project]]), "",COUNTIFS($A:$A,patch[[#This Row],[number]],$S:$S, "BJ And dev",$AC:$AC, "Review-1"))</f>
        <v/>
      </c>
      <c r="X463" s="7" t="str">
        <f>IF(ISBLANK(patch[[#This Row],[project]]), "",COUNTIFS($A:$A,patch[[#This Row],[number]],$S:$S, "FL And dev",$AC:$AC, "Review-1"))</f>
        <v/>
      </c>
      <c r="Y463" s="7" t="str">
        <f>IF(ISBLANK(patch[[#This Row],[project]]), "",COUNTIFS($A:$A,patch[[#This Row],[number]],$S:$S, "SH And dev",$AC:$AC, "Review-1"))</f>
        <v/>
      </c>
      <c r="Z463" s="7" t="str">
        <f>IF(ISBLANK(patch[[#This Row],[project]]), "",COUNTIFS($A:$A,patch[[#This Row],[number]],$S:$S, "BJ And dev",$AD:$AD, "&lt;&gt;IntegratorValidationComment"))</f>
        <v/>
      </c>
      <c r="AA463" s="7" t="str">
        <f>IF(ISBLANK(patch[[#This Row],[project]]), "",COUNTIFS($A:$A,patch[[#This Row],[number]],$S:$S, "FL And dev",$AD:$AD, "&lt;&gt;IntegratorValidationComment"))</f>
        <v/>
      </c>
      <c r="AB463" s="7" t="str">
        <f>IF(ISBLANK(patch[[#This Row],[project]]), "",COUNTIFS($A:$A,patch[[#This Row],[number]],$S:$S, "SH And dev",$AD:$AD, "&lt;&gt;IntegratorValidationComment"))</f>
        <v/>
      </c>
      <c r="AC463" s="7" t="str">
        <f>IF(OR(ISNUMBER(FIND("Review-1", patch[[#This Row],[comments]])), ISNUMBER(FIND("Approver-1", patch[[#This Row],[comments]]))), "Review-1", "")</f>
        <v/>
      </c>
      <c r="AD4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63" s="7">
        <f>IF(ISBLANK(patch[[#This Row],[number]]),AE462,patch[[#This Row],[ifCommon]])</f>
        <v>0</v>
      </c>
    </row>
    <row r="464" spans="1:31">
      <c r="A464" s="151">
        <v>148090</v>
      </c>
      <c r="B464" s="151"/>
      <c r="C464" s="151"/>
      <c r="D464" s="151"/>
      <c r="E464" s="151"/>
      <c r="F464" s="151"/>
      <c r="G464" s="151"/>
      <c r="H464" s="151"/>
      <c r="I464" s="151"/>
      <c r="J464" s="152">
        <v>42639.752476851849</v>
      </c>
      <c r="K464" s="151"/>
      <c r="L464" s="151" t="s">
        <v>59</v>
      </c>
      <c r="M464" s="152">
        <v>42639.468090277784</v>
      </c>
      <c r="N464" s="151" t="s">
        <v>2838</v>
      </c>
      <c r="O464" s="151"/>
      <c r="P464" s="151"/>
      <c r="Q464" s="7" t="str">
        <f>IF(ISBLANK(patch[[#This Row],[OwnerEmail]]),Q463,patch[[#This Row],[OwnerEmail]])</f>
        <v>lipingx.xu@intel.com</v>
      </c>
      <c r="R464" s="7" t="str">
        <f>_xlfn.IFNA(VLOOKUP(patch[[#This Row],[tmp-owner.email]],OrgTree!$A:$K, 11, 0), "not ICG SWFW")</f>
        <v>BJ And dev</v>
      </c>
      <c r="S464" s="7" t="str">
        <f>IF(patch[[#This Row],[reviewer]]=patch[[#This Row],[tmp-owner.email]], "author", _xlfn.IFNA(VLOOKUP(patch[[#This Row],[reviewer]],OrgTree!$A:$K, 11, 0), "not ICG SWFW"))</f>
        <v>BJ And dev</v>
      </c>
      <c r="T464" s="7" t="str">
        <f>IF(ISBLANK(patch[[#This Row],[mergeDate]]), "", MID(YEAR(patch[[#This Row],[mergeDate]]), 3,2)&amp;"'ww"&amp;WEEKNUM(patch[[#This Row],[mergeDate]]))</f>
        <v>16'ww40</v>
      </c>
      <c r="U464" s="7" t="str">
        <f>IF(ISBLANK(patch[[#This Row],[mergeDate]]), U463, MID(YEAR(patch[[#This Row],[mergeDate]]), 3,2)&amp;"'m"&amp;MONTH(patch[[#This Row],[mergeDate]]))</f>
        <v>16'm9</v>
      </c>
      <c r="V464" s="7" t="str">
        <f>IF(ISBLANK(patch[[#This Row],[project]]), "",SUM(patch[[#This Row],[BJ -1 num]:[SH -1 num]]))</f>
        <v/>
      </c>
      <c r="W464" s="7" t="str">
        <f>IF(ISBLANK(patch[[#This Row],[project]]), "",COUNTIFS($A:$A,patch[[#This Row],[number]],$S:$S, "BJ And dev",$AC:$AC, "Review-1"))</f>
        <v/>
      </c>
      <c r="X464" s="7" t="str">
        <f>IF(ISBLANK(patch[[#This Row],[project]]), "",COUNTIFS($A:$A,patch[[#This Row],[number]],$S:$S, "FL And dev",$AC:$AC, "Review-1"))</f>
        <v/>
      </c>
      <c r="Y464" s="7" t="str">
        <f>IF(ISBLANK(patch[[#This Row],[project]]), "",COUNTIFS($A:$A,patch[[#This Row],[number]],$S:$S, "SH And dev",$AC:$AC, "Review-1"))</f>
        <v/>
      </c>
      <c r="Z464" s="7" t="str">
        <f>IF(ISBLANK(patch[[#This Row],[project]]), "",COUNTIFS($A:$A,patch[[#This Row],[number]],$S:$S, "BJ And dev",$AD:$AD, "&lt;&gt;IntegratorValidationComment"))</f>
        <v/>
      </c>
      <c r="AA464" s="7" t="str">
        <f>IF(ISBLANK(patch[[#This Row],[project]]), "",COUNTIFS($A:$A,patch[[#This Row],[number]],$S:$S, "FL And dev",$AD:$AD, "&lt;&gt;IntegratorValidationComment"))</f>
        <v/>
      </c>
      <c r="AB464" s="7" t="str">
        <f>IF(ISBLANK(patch[[#This Row],[project]]), "",COUNTIFS($A:$A,patch[[#This Row],[number]],$S:$S, "SH And dev",$AD:$AD, "&lt;&gt;IntegratorValidationComment"))</f>
        <v/>
      </c>
      <c r="AC464" s="7" t="str">
        <f>IF(OR(ISNUMBER(FIND("Review-1", patch[[#This Row],[comments]])), ISNUMBER(FIND("Approver-1", patch[[#This Row],[comments]]))), "Review-1", "")</f>
        <v/>
      </c>
      <c r="AD4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64" s="7">
        <f>IF(ISBLANK(patch[[#This Row],[number]]),AE463,patch[[#This Row],[ifCommon]])</f>
        <v>0</v>
      </c>
    </row>
    <row r="465" spans="1:31">
      <c r="A465" s="151">
        <v>148090</v>
      </c>
      <c r="B465" s="151"/>
      <c r="C465" s="151"/>
      <c r="D465" s="151"/>
      <c r="E465" s="151"/>
      <c r="F465" s="151"/>
      <c r="G465" s="151"/>
      <c r="H465" s="151"/>
      <c r="I465" s="151"/>
      <c r="J465" s="152">
        <v>42639.752476851849</v>
      </c>
      <c r="K465" s="151"/>
      <c r="L465" s="151" t="s">
        <v>59</v>
      </c>
      <c r="M465" s="152">
        <v>42639.473923611113</v>
      </c>
      <c r="N465" s="151" t="s">
        <v>2839</v>
      </c>
      <c r="O465" s="151"/>
      <c r="P465" s="151"/>
      <c r="Q465" s="7" t="str">
        <f>IF(ISBLANK(patch[[#This Row],[OwnerEmail]]),Q464,patch[[#This Row],[OwnerEmail]])</f>
        <v>lipingx.xu@intel.com</v>
      </c>
      <c r="R465" s="7" t="str">
        <f>_xlfn.IFNA(VLOOKUP(patch[[#This Row],[tmp-owner.email]],OrgTree!$A:$K, 11, 0), "not ICG SWFW")</f>
        <v>BJ And dev</v>
      </c>
      <c r="S465" s="7" t="str">
        <f>IF(patch[[#This Row],[reviewer]]=patch[[#This Row],[tmp-owner.email]], "author", _xlfn.IFNA(VLOOKUP(patch[[#This Row],[reviewer]],OrgTree!$A:$K, 11, 0), "not ICG SWFW"))</f>
        <v>BJ And dev</v>
      </c>
      <c r="T465" s="7" t="str">
        <f>IF(ISBLANK(patch[[#This Row],[mergeDate]]), "", MID(YEAR(patch[[#This Row],[mergeDate]]), 3,2)&amp;"'ww"&amp;WEEKNUM(patch[[#This Row],[mergeDate]]))</f>
        <v>16'ww40</v>
      </c>
      <c r="U465" s="7" t="str">
        <f>IF(ISBLANK(patch[[#This Row],[mergeDate]]), U464, MID(YEAR(patch[[#This Row],[mergeDate]]), 3,2)&amp;"'m"&amp;MONTH(patch[[#This Row],[mergeDate]]))</f>
        <v>16'm9</v>
      </c>
      <c r="V465" s="7" t="str">
        <f>IF(ISBLANK(patch[[#This Row],[project]]), "",SUM(patch[[#This Row],[BJ -1 num]:[SH -1 num]]))</f>
        <v/>
      </c>
      <c r="W465" s="7" t="str">
        <f>IF(ISBLANK(patch[[#This Row],[project]]), "",COUNTIFS($A:$A,patch[[#This Row],[number]],$S:$S, "BJ And dev",$AC:$AC, "Review-1"))</f>
        <v/>
      </c>
      <c r="X465" s="7" t="str">
        <f>IF(ISBLANK(patch[[#This Row],[project]]), "",COUNTIFS($A:$A,patch[[#This Row],[number]],$S:$S, "FL And dev",$AC:$AC, "Review-1"))</f>
        <v/>
      </c>
      <c r="Y465" s="7" t="str">
        <f>IF(ISBLANK(patch[[#This Row],[project]]), "",COUNTIFS($A:$A,patch[[#This Row],[number]],$S:$S, "SH And dev",$AC:$AC, "Review-1"))</f>
        <v/>
      </c>
      <c r="Z465" s="7" t="str">
        <f>IF(ISBLANK(patch[[#This Row],[project]]), "",COUNTIFS($A:$A,patch[[#This Row],[number]],$S:$S, "BJ And dev",$AD:$AD, "&lt;&gt;IntegratorValidationComment"))</f>
        <v/>
      </c>
      <c r="AA465" s="7" t="str">
        <f>IF(ISBLANK(patch[[#This Row],[project]]), "",COUNTIFS($A:$A,patch[[#This Row],[number]],$S:$S, "FL And dev",$AD:$AD, "&lt;&gt;IntegratorValidationComment"))</f>
        <v/>
      </c>
      <c r="AB465" s="7" t="str">
        <f>IF(ISBLANK(patch[[#This Row],[project]]), "",COUNTIFS($A:$A,patch[[#This Row],[number]],$S:$S, "SH And dev",$AD:$AD, "&lt;&gt;IntegratorValidationComment"))</f>
        <v/>
      </c>
      <c r="AC465" s="7" t="str">
        <f>IF(OR(ISNUMBER(FIND("Review-1", patch[[#This Row],[comments]])), ISNUMBER(FIND("Approver-1", patch[[#This Row],[comments]]))), "Review-1", "")</f>
        <v/>
      </c>
      <c r="AD4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65" s="7">
        <f>IF(ISBLANK(patch[[#This Row],[number]]),AE464,patch[[#This Row],[ifCommon]])</f>
        <v>0</v>
      </c>
    </row>
    <row r="466" spans="1:31">
      <c r="A466" s="151">
        <v>148090</v>
      </c>
      <c r="B466" s="151"/>
      <c r="C466" s="151"/>
      <c r="D466" s="151"/>
      <c r="E466" s="151"/>
      <c r="F466" s="151"/>
      <c r="G466" s="151"/>
      <c r="H466" s="151"/>
      <c r="I466" s="151"/>
      <c r="J466" s="152">
        <v>42639.752476851849</v>
      </c>
      <c r="K466" s="151"/>
      <c r="L466" s="151" t="s">
        <v>59</v>
      </c>
      <c r="M466" s="152">
        <v>42639.474699074082</v>
      </c>
      <c r="N466" s="151" t="s">
        <v>1880</v>
      </c>
      <c r="O466" s="151"/>
      <c r="P466" s="151"/>
      <c r="Q466" s="7" t="str">
        <f>IF(ISBLANK(patch[[#This Row],[OwnerEmail]]),Q465,patch[[#This Row],[OwnerEmail]])</f>
        <v>lipingx.xu@intel.com</v>
      </c>
      <c r="R466" s="7" t="str">
        <f>_xlfn.IFNA(VLOOKUP(patch[[#This Row],[tmp-owner.email]],OrgTree!$A:$K, 11, 0), "not ICG SWFW")</f>
        <v>BJ And dev</v>
      </c>
      <c r="S466" s="7" t="str">
        <f>IF(patch[[#This Row],[reviewer]]=patch[[#This Row],[tmp-owner.email]], "author", _xlfn.IFNA(VLOOKUP(patch[[#This Row],[reviewer]],OrgTree!$A:$K, 11, 0), "not ICG SWFW"))</f>
        <v>BJ And dev</v>
      </c>
      <c r="T466" s="7" t="str">
        <f>IF(ISBLANK(patch[[#This Row],[mergeDate]]), "", MID(YEAR(patch[[#This Row],[mergeDate]]), 3,2)&amp;"'ww"&amp;WEEKNUM(patch[[#This Row],[mergeDate]]))</f>
        <v>16'ww40</v>
      </c>
      <c r="U466" s="7" t="str">
        <f>IF(ISBLANK(patch[[#This Row],[mergeDate]]), U465, MID(YEAR(patch[[#This Row],[mergeDate]]), 3,2)&amp;"'m"&amp;MONTH(patch[[#This Row],[mergeDate]]))</f>
        <v>16'm9</v>
      </c>
      <c r="V466" s="7" t="str">
        <f>IF(ISBLANK(patch[[#This Row],[project]]), "",SUM(patch[[#This Row],[BJ -1 num]:[SH -1 num]]))</f>
        <v/>
      </c>
      <c r="W466" s="7" t="str">
        <f>IF(ISBLANK(patch[[#This Row],[project]]), "",COUNTIFS($A:$A,patch[[#This Row],[number]],$S:$S, "BJ And dev",$AC:$AC, "Review-1"))</f>
        <v/>
      </c>
      <c r="X466" s="7" t="str">
        <f>IF(ISBLANK(patch[[#This Row],[project]]), "",COUNTIFS($A:$A,patch[[#This Row],[number]],$S:$S, "FL And dev",$AC:$AC, "Review-1"))</f>
        <v/>
      </c>
      <c r="Y466" s="7" t="str">
        <f>IF(ISBLANK(patch[[#This Row],[project]]), "",COUNTIFS($A:$A,patch[[#This Row],[number]],$S:$S, "SH And dev",$AC:$AC, "Review-1"))</f>
        <v/>
      </c>
      <c r="Z466" s="7" t="str">
        <f>IF(ISBLANK(patch[[#This Row],[project]]), "",COUNTIFS($A:$A,patch[[#This Row],[number]],$S:$S, "BJ And dev",$AD:$AD, "&lt;&gt;IntegratorValidationComment"))</f>
        <v/>
      </c>
      <c r="AA466" s="7" t="str">
        <f>IF(ISBLANK(patch[[#This Row],[project]]), "",COUNTIFS($A:$A,patch[[#This Row],[number]],$S:$S, "FL And dev",$AD:$AD, "&lt;&gt;IntegratorValidationComment"))</f>
        <v/>
      </c>
      <c r="AB466" s="7" t="str">
        <f>IF(ISBLANK(patch[[#This Row],[project]]), "",COUNTIFS($A:$A,patch[[#This Row],[number]],$S:$S, "SH And dev",$AD:$AD, "&lt;&gt;IntegratorValidationComment"))</f>
        <v/>
      </c>
      <c r="AC466" s="7" t="str">
        <f>IF(OR(ISNUMBER(FIND("Review-1", patch[[#This Row],[comments]])), ISNUMBER(FIND("Approver-1", patch[[#This Row],[comments]]))), "Review-1", "")</f>
        <v/>
      </c>
      <c r="AD4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66" s="7">
        <f>IF(ISBLANK(patch[[#This Row],[number]]),AE465,patch[[#This Row],[ifCommon]])</f>
        <v>0</v>
      </c>
    </row>
    <row r="467" spans="1:31">
      <c r="A467" s="151">
        <v>148090</v>
      </c>
      <c r="B467" s="151"/>
      <c r="C467" s="151"/>
      <c r="D467" s="151"/>
      <c r="E467" s="151"/>
      <c r="F467" s="151"/>
      <c r="G467" s="151"/>
      <c r="H467" s="151"/>
      <c r="I467" s="152"/>
      <c r="J467" s="152">
        <v>42639.752476851849</v>
      </c>
      <c r="K467" s="151"/>
      <c r="L467" s="151" t="s">
        <v>115</v>
      </c>
      <c r="M467" s="152">
        <v>42639.480057870373</v>
      </c>
      <c r="N467" s="151" t="s">
        <v>2494</v>
      </c>
      <c r="O467" s="151"/>
      <c r="P467" s="151"/>
      <c r="Q467" s="7" t="str">
        <f>IF(ISBLANK(patch[[#This Row],[OwnerEmail]]),Q466,patch[[#This Row],[OwnerEmail]])</f>
        <v>lipingx.xu@intel.com</v>
      </c>
      <c r="R467" s="7" t="str">
        <f>_xlfn.IFNA(VLOOKUP(patch[[#This Row],[tmp-owner.email]],OrgTree!$A:$K, 11, 0), "not ICG SWFW")</f>
        <v>BJ And dev</v>
      </c>
      <c r="S467" s="7" t="str">
        <f>IF(patch[[#This Row],[reviewer]]=patch[[#This Row],[tmp-owner.email]], "author", _xlfn.IFNA(VLOOKUP(patch[[#This Row],[reviewer]],OrgTree!$A:$K, 11, 0), "not ICG SWFW"))</f>
        <v>Val</v>
      </c>
      <c r="T467" s="7" t="str">
        <f>IF(ISBLANK(patch[[#This Row],[mergeDate]]), "", MID(YEAR(patch[[#This Row],[mergeDate]]), 3,2)&amp;"'ww"&amp;WEEKNUM(patch[[#This Row],[mergeDate]]))</f>
        <v>16'ww40</v>
      </c>
      <c r="U467" s="7" t="str">
        <f>IF(ISBLANK(patch[[#This Row],[mergeDate]]), U466, MID(YEAR(patch[[#This Row],[mergeDate]]), 3,2)&amp;"'m"&amp;MONTH(patch[[#This Row],[mergeDate]]))</f>
        <v>16'm9</v>
      </c>
      <c r="V467" s="7" t="str">
        <f>IF(ISBLANK(patch[[#This Row],[project]]), "",SUM(patch[[#This Row],[BJ -1 num]:[SH -1 num]]))</f>
        <v/>
      </c>
      <c r="W467" s="7" t="str">
        <f>IF(ISBLANK(patch[[#This Row],[project]]), "",COUNTIFS($A:$A,patch[[#This Row],[number]],$S:$S, "BJ And dev",$AC:$AC, "Review-1"))</f>
        <v/>
      </c>
      <c r="X467" s="7" t="str">
        <f>IF(ISBLANK(patch[[#This Row],[project]]), "",COUNTIFS($A:$A,patch[[#This Row],[number]],$S:$S, "FL And dev",$AC:$AC, "Review-1"))</f>
        <v/>
      </c>
      <c r="Y467" s="7" t="str">
        <f>IF(ISBLANK(patch[[#This Row],[project]]), "",COUNTIFS($A:$A,patch[[#This Row],[number]],$S:$S, "SH And dev",$AC:$AC, "Review-1"))</f>
        <v/>
      </c>
      <c r="Z467" s="7" t="str">
        <f>IF(ISBLANK(patch[[#This Row],[project]]), "",COUNTIFS($A:$A,patch[[#This Row],[number]],$S:$S, "BJ And dev",$AD:$AD, "&lt;&gt;IntegratorValidationComment"))</f>
        <v/>
      </c>
      <c r="AA467" s="7" t="str">
        <f>IF(ISBLANK(patch[[#This Row],[project]]), "",COUNTIFS($A:$A,patch[[#This Row],[number]],$S:$S, "FL And dev",$AD:$AD, "&lt;&gt;IntegratorValidationComment"))</f>
        <v/>
      </c>
      <c r="AB467" s="7" t="str">
        <f>IF(ISBLANK(patch[[#This Row],[project]]), "",COUNTIFS($A:$A,patch[[#This Row],[number]],$S:$S, "SH And dev",$AD:$AD, "&lt;&gt;IntegratorValidationComment"))</f>
        <v/>
      </c>
      <c r="AC467" s="7" t="str">
        <f>IF(OR(ISNUMBER(FIND("Review-1", patch[[#This Row],[comments]])), ISNUMBER(FIND("Approver-1", patch[[#This Row],[comments]]))), "Review-1", "")</f>
        <v/>
      </c>
      <c r="AD4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467" s="7">
        <f>IF(ISBLANK(patch[[#This Row],[number]]),AE466,patch[[#This Row],[ifCommon]])</f>
        <v>0</v>
      </c>
    </row>
    <row r="468" spans="1:31">
      <c r="A468" s="151">
        <v>148089</v>
      </c>
      <c r="B468" s="151" t="s">
        <v>2490</v>
      </c>
      <c r="C468" s="151" t="s">
        <v>2795</v>
      </c>
      <c r="D468" s="151" t="s">
        <v>2781</v>
      </c>
      <c r="E468" s="151" t="s">
        <v>677</v>
      </c>
      <c r="F468" s="151" t="s">
        <v>23</v>
      </c>
      <c r="G468" s="151" t="s">
        <v>2782</v>
      </c>
      <c r="H468" s="151" t="s">
        <v>2783</v>
      </c>
      <c r="I468" s="152">
        <v>42639.462650462963</v>
      </c>
      <c r="J468" s="152">
        <v>42639.752442129633</v>
      </c>
      <c r="K468" s="151" t="s">
        <v>2445</v>
      </c>
      <c r="L468" s="151" t="s">
        <v>677</v>
      </c>
      <c r="M468" s="152">
        <v>42639.462650462963</v>
      </c>
      <c r="N468" s="151" t="s">
        <v>2428</v>
      </c>
      <c r="O468" s="151"/>
      <c r="P468" s="151" t="s">
        <v>59</v>
      </c>
      <c r="Q468" s="7" t="str">
        <f>IF(ISBLANK(patch[[#This Row],[OwnerEmail]]),Q467,patch[[#This Row],[OwnerEmail]])</f>
        <v>lipingx.xu@intel.com</v>
      </c>
      <c r="R468" s="7" t="str">
        <f>_xlfn.IFNA(VLOOKUP(patch[[#This Row],[tmp-owner.email]],OrgTree!$A:$K, 11, 0), "not ICG SWFW")</f>
        <v>BJ And dev</v>
      </c>
      <c r="S468" s="7" t="str">
        <f>IF(patch[[#This Row],[reviewer]]=patch[[#This Row],[tmp-owner.email]], "author", _xlfn.IFNA(VLOOKUP(patch[[#This Row],[reviewer]],OrgTree!$A:$K, 11, 0), "not ICG SWFW"))</f>
        <v>author</v>
      </c>
      <c r="T468" s="7" t="str">
        <f>IF(ISBLANK(patch[[#This Row],[mergeDate]]), "", MID(YEAR(patch[[#This Row],[mergeDate]]), 3,2)&amp;"'ww"&amp;WEEKNUM(patch[[#This Row],[mergeDate]]))</f>
        <v>16'ww40</v>
      </c>
      <c r="U468" s="7" t="str">
        <f>IF(ISBLANK(patch[[#This Row],[mergeDate]]), U467, MID(YEAR(patch[[#This Row],[mergeDate]]), 3,2)&amp;"'m"&amp;MONTH(patch[[#This Row],[mergeDate]]))</f>
        <v>16'm9</v>
      </c>
      <c r="V468" s="7">
        <f>IF(ISBLANK(patch[[#This Row],[project]]), "",SUM(patch[[#This Row],[BJ -1 num]:[SH -1 num]]))</f>
        <v>0</v>
      </c>
      <c r="W468" s="7">
        <f>IF(ISBLANK(patch[[#This Row],[project]]), "",COUNTIFS($A:$A,patch[[#This Row],[number]],$S:$S, "BJ And dev",$AC:$AC, "Review-1"))</f>
        <v>0</v>
      </c>
      <c r="X468" s="7">
        <f>IF(ISBLANK(patch[[#This Row],[project]]), "",COUNTIFS($A:$A,patch[[#This Row],[number]],$S:$S, "FL And dev",$AC:$AC, "Review-1"))</f>
        <v>0</v>
      </c>
      <c r="Y468" s="7">
        <f>IF(ISBLANK(patch[[#This Row],[project]]), "",COUNTIFS($A:$A,patch[[#This Row],[number]],$S:$S, "SH And dev",$AC:$AC, "Review-1"))</f>
        <v>0</v>
      </c>
      <c r="Z468" s="7">
        <f>IF(ISBLANK(patch[[#This Row],[project]]), "",COUNTIFS($A:$A,patch[[#This Row],[number]],$S:$S, "BJ And dev",$AD:$AD, "&lt;&gt;IntegratorValidationComment"))</f>
        <v>3</v>
      </c>
      <c r="AA468" s="7">
        <f>IF(ISBLANK(patch[[#This Row],[project]]), "",COUNTIFS($A:$A,patch[[#This Row],[number]],$S:$S, "FL And dev",$AD:$AD, "&lt;&gt;IntegratorValidationComment"))</f>
        <v>0</v>
      </c>
      <c r="AB468" s="7">
        <f>IF(ISBLANK(patch[[#This Row],[project]]), "",COUNTIFS($A:$A,patch[[#This Row],[number]],$S:$S, "SH And dev",$AD:$AD, "&lt;&gt;IntegratorValidationComment"))</f>
        <v>0</v>
      </c>
      <c r="AC468" s="7" t="str">
        <f>IF(OR(ISNUMBER(FIND("Review-1", patch[[#This Row],[comments]])), ISNUMBER(FIND("Approver-1", patch[[#This Row],[comments]]))), "Review-1", "")</f>
        <v/>
      </c>
      <c r="AD4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68" s="7" t="str">
        <f>IF(ISBLANK(patch[[#This Row],[number]]),AE467,patch[[#This Row],[ifCommon]])</f>
        <v>not AndrHAL</v>
      </c>
    </row>
    <row r="469" spans="1:31">
      <c r="A469" s="151">
        <v>148089</v>
      </c>
      <c r="B469" s="151"/>
      <c r="C469" s="151"/>
      <c r="D469" s="151"/>
      <c r="E469" s="151"/>
      <c r="F469" s="151"/>
      <c r="G469" s="151"/>
      <c r="H469" s="151"/>
      <c r="I469" s="151"/>
      <c r="J469" s="152">
        <v>42639.752442129633</v>
      </c>
      <c r="K469" s="151"/>
      <c r="L469" s="151" t="s">
        <v>677</v>
      </c>
      <c r="M469" s="152">
        <v>42639.462650462963</v>
      </c>
      <c r="N469" s="151" t="s">
        <v>25</v>
      </c>
      <c r="O469" s="151"/>
      <c r="P469" s="151"/>
      <c r="Q469" s="7" t="str">
        <f>IF(ISBLANK(patch[[#This Row],[OwnerEmail]]),Q468,patch[[#This Row],[OwnerEmail]])</f>
        <v>lipingx.xu@intel.com</v>
      </c>
      <c r="R469" s="7" t="str">
        <f>_xlfn.IFNA(VLOOKUP(patch[[#This Row],[tmp-owner.email]],OrgTree!$A:$K, 11, 0), "not ICG SWFW")</f>
        <v>BJ And dev</v>
      </c>
      <c r="S469" s="7" t="str">
        <f>IF(patch[[#This Row],[reviewer]]=patch[[#This Row],[tmp-owner.email]], "author", _xlfn.IFNA(VLOOKUP(patch[[#This Row],[reviewer]],OrgTree!$A:$K, 11, 0), "not ICG SWFW"))</f>
        <v>author</v>
      </c>
      <c r="T469" s="7" t="str">
        <f>IF(ISBLANK(patch[[#This Row],[mergeDate]]), "", MID(YEAR(patch[[#This Row],[mergeDate]]), 3,2)&amp;"'ww"&amp;WEEKNUM(patch[[#This Row],[mergeDate]]))</f>
        <v>16'ww40</v>
      </c>
      <c r="U469" s="7" t="str">
        <f>IF(ISBLANK(patch[[#This Row],[mergeDate]]), U468, MID(YEAR(patch[[#This Row],[mergeDate]]), 3,2)&amp;"'m"&amp;MONTH(patch[[#This Row],[mergeDate]]))</f>
        <v>16'm9</v>
      </c>
      <c r="V469" s="7" t="str">
        <f>IF(ISBLANK(patch[[#This Row],[project]]), "",SUM(patch[[#This Row],[BJ -1 num]:[SH -1 num]]))</f>
        <v/>
      </c>
      <c r="W469" s="7" t="str">
        <f>IF(ISBLANK(patch[[#This Row],[project]]), "",COUNTIFS($A:$A,patch[[#This Row],[number]],$S:$S, "BJ And dev",$AC:$AC, "Review-1"))</f>
        <v/>
      </c>
      <c r="X469" s="7" t="str">
        <f>IF(ISBLANK(patch[[#This Row],[project]]), "",COUNTIFS($A:$A,patch[[#This Row],[number]],$S:$S, "FL And dev",$AC:$AC, "Review-1"))</f>
        <v/>
      </c>
      <c r="Y469" s="7" t="str">
        <f>IF(ISBLANK(patch[[#This Row],[project]]), "",COUNTIFS($A:$A,patch[[#This Row],[number]],$S:$S, "SH And dev",$AC:$AC, "Review-1"))</f>
        <v/>
      </c>
      <c r="Z469" s="7" t="str">
        <f>IF(ISBLANK(patch[[#This Row],[project]]), "",COUNTIFS($A:$A,patch[[#This Row],[number]],$S:$S, "BJ And dev",$AD:$AD, "&lt;&gt;IntegratorValidationComment"))</f>
        <v/>
      </c>
      <c r="AA469" s="7" t="str">
        <f>IF(ISBLANK(patch[[#This Row],[project]]), "",COUNTIFS($A:$A,patch[[#This Row],[number]],$S:$S, "FL And dev",$AD:$AD, "&lt;&gt;IntegratorValidationComment"))</f>
        <v/>
      </c>
      <c r="AB469" s="7" t="str">
        <f>IF(ISBLANK(patch[[#This Row],[project]]), "",COUNTIFS($A:$A,patch[[#This Row],[number]],$S:$S, "SH And dev",$AD:$AD, "&lt;&gt;IntegratorValidationComment"))</f>
        <v/>
      </c>
      <c r="AC469" s="7" t="str">
        <f>IF(OR(ISNUMBER(FIND("Review-1", patch[[#This Row],[comments]])), ISNUMBER(FIND("Approver-1", patch[[#This Row],[comments]]))), "Review-1", "")</f>
        <v/>
      </c>
      <c r="AD4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69" s="7">
        <f>IF(ISBLANK(patch[[#This Row],[number]]),AE468,patch[[#This Row],[ifCommon]])</f>
        <v>0</v>
      </c>
    </row>
    <row r="470" spans="1:31">
      <c r="A470" s="151">
        <v>148089</v>
      </c>
      <c r="B470" s="151"/>
      <c r="C470" s="151"/>
      <c r="D470" s="151"/>
      <c r="E470" s="151"/>
      <c r="F470" s="151"/>
      <c r="G470" s="151"/>
      <c r="H470" s="151"/>
      <c r="I470" s="151"/>
      <c r="J470" s="152">
        <v>42639.752442129633</v>
      </c>
      <c r="K470" s="151"/>
      <c r="L470" s="151" t="s">
        <v>677</v>
      </c>
      <c r="M470" s="152">
        <v>42639.464884259258</v>
      </c>
      <c r="N470" s="151" t="s">
        <v>40</v>
      </c>
      <c r="O470" s="151"/>
      <c r="P470" s="151"/>
      <c r="Q470" s="7" t="str">
        <f>IF(ISBLANK(patch[[#This Row],[OwnerEmail]]),Q469,patch[[#This Row],[OwnerEmail]])</f>
        <v>lipingx.xu@intel.com</v>
      </c>
      <c r="R470" s="7" t="str">
        <f>_xlfn.IFNA(VLOOKUP(patch[[#This Row],[tmp-owner.email]],OrgTree!$A:$K, 11, 0), "not ICG SWFW")</f>
        <v>BJ And dev</v>
      </c>
      <c r="S470" s="7" t="str">
        <f>IF(patch[[#This Row],[reviewer]]=patch[[#This Row],[tmp-owner.email]], "author", _xlfn.IFNA(VLOOKUP(patch[[#This Row],[reviewer]],OrgTree!$A:$K, 11, 0), "not ICG SWFW"))</f>
        <v>author</v>
      </c>
      <c r="T470" s="7" t="str">
        <f>IF(ISBLANK(patch[[#This Row],[mergeDate]]), "", MID(YEAR(patch[[#This Row],[mergeDate]]), 3,2)&amp;"'ww"&amp;WEEKNUM(patch[[#This Row],[mergeDate]]))</f>
        <v>16'ww40</v>
      </c>
      <c r="U470" s="7" t="str">
        <f>IF(ISBLANK(patch[[#This Row],[mergeDate]]), U469, MID(YEAR(patch[[#This Row],[mergeDate]]), 3,2)&amp;"'m"&amp;MONTH(patch[[#This Row],[mergeDate]]))</f>
        <v>16'm9</v>
      </c>
      <c r="V470" s="7" t="str">
        <f>IF(ISBLANK(patch[[#This Row],[project]]), "",SUM(patch[[#This Row],[BJ -1 num]:[SH -1 num]]))</f>
        <v/>
      </c>
      <c r="W470" s="7" t="str">
        <f>IF(ISBLANK(patch[[#This Row],[project]]), "",COUNTIFS($A:$A,patch[[#This Row],[number]],$S:$S, "BJ And dev",$AC:$AC, "Review-1"))</f>
        <v/>
      </c>
      <c r="X470" s="7" t="str">
        <f>IF(ISBLANK(patch[[#This Row],[project]]), "",COUNTIFS($A:$A,patch[[#This Row],[number]],$S:$S, "FL And dev",$AC:$AC, "Review-1"))</f>
        <v/>
      </c>
      <c r="Y470" s="7" t="str">
        <f>IF(ISBLANK(patch[[#This Row],[project]]), "",COUNTIFS($A:$A,patch[[#This Row],[number]],$S:$S, "SH And dev",$AC:$AC, "Review-1"))</f>
        <v/>
      </c>
      <c r="Z470" s="7" t="str">
        <f>IF(ISBLANK(patch[[#This Row],[project]]), "",COUNTIFS($A:$A,patch[[#This Row],[number]],$S:$S, "BJ And dev",$AD:$AD, "&lt;&gt;IntegratorValidationComment"))</f>
        <v/>
      </c>
      <c r="AA470" s="7" t="str">
        <f>IF(ISBLANK(patch[[#This Row],[project]]), "",COUNTIFS($A:$A,patch[[#This Row],[number]],$S:$S, "FL And dev",$AD:$AD, "&lt;&gt;IntegratorValidationComment"))</f>
        <v/>
      </c>
      <c r="AB470" s="7" t="str">
        <f>IF(ISBLANK(patch[[#This Row],[project]]), "",COUNTIFS($A:$A,patch[[#This Row],[number]],$S:$S, "SH And dev",$AD:$AD, "&lt;&gt;IntegratorValidationComment"))</f>
        <v/>
      </c>
      <c r="AC470" s="7" t="str">
        <f>IF(OR(ISNUMBER(FIND("Review-1", patch[[#This Row],[comments]])), ISNUMBER(FIND("Approver-1", patch[[#This Row],[comments]]))), "Review-1", "")</f>
        <v/>
      </c>
      <c r="AD4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70" s="7">
        <f>IF(ISBLANK(patch[[#This Row],[number]]),AE469,patch[[#This Row],[ifCommon]])</f>
        <v>0</v>
      </c>
    </row>
    <row r="471" spans="1:31">
      <c r="A471" s="151">
        <v>148089</v>
      </c>
      <c r="B471" s="151"/>
      <c r="C471" s="151"/>
      <c r="D471" s="151"/>
      <c r="E471" s="151"/>
      <c r="F471" s="151"/>
      <c r="G471" s="151"/>
      <c r="H471" s="151"/>
      <c r="I471" s="151"/>
      <c r="J471" s="152">
        <v>42639.752442129633</v>
      </c>
      <c r="K471" s="151"/>
      <c r="L471" s="151" t="s">
        <v>59</v>
      </c>
      <c r="M471" s="152">
        <v>42639.467870370368</v>
      </c>
      <c r="N471" s="151" t="s">
        <v>2840</v>
      </c>
      <c r="O471" s="151"/>
      <c r="P471" s="151"/>
      <c r="Q471" s="7" t="str">
        <f>IF(ISBLANK(patch[[#This Row],[OwnerEmail]]),Q470,patch[[#This Row],[OwnerEmail]])</f>
        <v>lipingx.xu@intel.com</v>
      </c>
      <c r="R471" s="7" t="str">
        <f>_xlfn.IFNA(VLOOKUP(patch[[#This Row],[tmp-owner.email]],OrgTree!$A:$K, 11, 0), "not ICG SWFW")</f>
        <v>BJ And dev</v>
      </c>
      <c r="S471" s="7" t="str">
        <f>IF(patch[[#This Row],[reviewer]]=patch[[#This Row],[tmp-owner.email]], "author", _xlfn.IFNA(VLOOKUP(patch[[#This Row],[reviewer]],OrgTree!$A:$K, 11, 0), "not ICG SWFW"))</f>
        <v>BJ And dev</v>
      </c>
      <c r="T471" s="7" t="str">
        <f>IF(ISBLANK(patch[[#This Row],[mergeDate]]), "", MID(YEAR(patch[[#This Row],[mergeDate]]), 3,2)&amp;"'ww"&amp;WEEKNUM(patch[[#This Row],[mergeDate]]))</f>
        <v>16'ww40</v>
      </c>
      <c r="U471" s="7" t="str">
        <f>IF(ISBLANK(patch[[#This Row],[mergeDate]]), U470, MID(YEAR(patch[[#This Row],[mergeDate]]), 3,2)&amp;"'m"&amp;MONTH(patch[[#This Row],[mergeDate]]))</f>
        <v>16'm9</v>
      </c>
      <c r="V471" s="7" t="str">
        <f>IF(ISBLANK(patch[[#This Row],[project]]), "",SUM(patch[[#This Row],[BJ -1 num]:[SH -1 num]]))</f>
        <v/>
      </c>
      <c r="W471" s="7" t="str">
        <f>IF(ISBLANK(patch[[#This Row],[project]]), "",COUNTIFS($A:$A,patch[[#This Row],[number]],$S:$S, "BJ And dev",$AC:$AC, "Review-1"))</f>
        <v/>
      </c>
      <c r="X471" s="7" t="str">
        <f>IF(ISBLANK(patch[[#This Row],[project]]), "",COUNTIFS($A:$A,patch[[#This Row],[number]],$S:$S, "FL And dev",$AC:$AC, "Review-1"))</f>
        <v/>
      </c>
      <c r="Y471" s="7" t="str">
        <f>IF(ISBLANK(patch[[#This Row],[project]]), "",COUNTIFS($A:$A,patch[[#This Row],[number]],$S:$S, "SH And dev",$AC:$AC, "Review-1"))</f>
        <v/>
      </c>
      <c r="Z471" s="7" t="str">
        <f>IF(ISBLANK(patch[[#This Row],[project]]), "",COUNTIFS($A:$A,patch[[#This Row],[number]],$S:$S, "BJ And dev",$AD:$AD, "&lt;&gt;IntegratorValidationComment"))</f>
        <v/>
      </c>
      <c r="AA471" s="7" t="str">
        <f>IF(ISBLANK(patch[[#This Row],[project]]), "",COUNTIFS($A:$A,patch[[#This Row],[number]],$S:$S, "FL And dev",$AD:$AD, "&lt;&gt;IntegratorValidationComment"))</f>
        <v/>
      </c>
      <c r="AB471" s="7" t="str">
        <f>IF(ISBLANK(patch[[#This Row],[project]]), "",COUNTIFS($A:$A,patch[[#This Row],[number]],$S:$S, "SH And dev",$AD:$AD, "&lt;&gt;IntegratorValidationComment"))</f>
        <v/>
      </c>
      <c r="AC471" s="7" t="str">
        <f>IF(OR(ISNUMBER(FIND("Review-1", patch[[#This Row],[comments]])), ISNUMBER(FIND("Approver-1", patch[[#This Row],[comments]]))), "Review-1", "")</f>
        <v/>
      </c>
      <c r="AD4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71" s="7">
        <f>IF(ISBLANK(patch[[#This Row],[number]]),AE470,patch[[#This Row],[ifCommon]])</f>
        <v>0</v>
      </c>
    </row>
    <row r="472" spans="1:31">
      <c r="A472" s="151">
        <v>148089</v>
      </c>
      <c r="B472" s="151"/>
      <c r="C472" s="151"/>
      <c r="D472" s="151"/>
      <c r="E472" s="151"/>
      <c r="F472" s="151"/>
      <c r="G472" s="151"/>
      <c r="H472" s="151"/>
      <c r="I472" s="151"/>
      <c r="J472" s="152">
        <v>42639.752442129633</v>
      </c>
      <c r="K472" s="151"/>
      <c r="L472" s="151" t="s">
        <v>59</v>
      </c>
      <c r="M472" s="152">
        <v>42639.47451388889</v>
      </c>
      <c r="N472" s="151" t="s">
        <v>1880</v>
      </c>
      <c r="O472" s="151"/>
      <c r="P472" s="151"/>
      <c r="Q472" s="7" t="str">
        <f>IF(ISBLANK(patch[[#This Row],[OwnerEmail]]),Q471,patch[[#This Row],[OwnerEmail]])</f>
        <v>lipingx.xu@intel.com</v>
      </c>
      <c r="R472" s="7" t="str">
        <f>_xlfn.IFNA(VLOOKUP(patch[[#This Row],[tmp-owner.email]],OrgTree!$A:$K, 11, 0), "not ICG SWFW")</f>
        <v>BJ And dev</v>
      </c>
      <c r="S472" s="7" t="str">
        <f>IF(patch[[#This Row],[reviewer]]=patch[[#This Row],[tmp-owner.email]], "author", _xlfn.IFNA(VLOOKUP(patch[[#This Row],[reviewer]],OrgTree!$A:$K, 11, 0), "not ICG SWFW"))</f>
        <v>BJ And dev</v>
      </c>
      <c r="T472" s="7" t="str">
        <f>IF(ISBLANK(patch[[#This Row],[mergeDate]]), "", MID(YEAR(patch[[#This Row],[mergeDate]]), 3,2)&amp;"'ww"&amp;WEEKNUM(patch[[#This Row],[mergeDate]]))</f>
        <v>16'ww40</v>
      </c>
      <c r="U472" s="7" t="str">
        <f>IF(ISBLANK(patch[[#This Row],[mergeDate]]), U471, MID(YEAR(patch[[#This Row],[mergeDate]]), 3,2)&amp;"'m"&amp;MONTH(patch[[#This Row],[mergeDate]]))</f>
        <v>16'm9</v>
      </c>
      <c r="V472" s="7" t="str">
        <f>IF(ISBLANK(patch[[#This Row],[project]]), "",SUM(patch[[#This Row],[BJ -1 num]:[SH -1 num]]))</f>
        <v/>
      </c>
      <c r="W472" s="7" t="str">
        <f>IF(ISBLANK(patch[[#This Row],[project]]), "",COUNTIFS($A:$A,patch[[#This Row],[number]],$S:$S, "BJ And dev",$AC:$AC, "Review-1"))</f>
        <v/>
      </c>
      <c r="X472" s="7" t="str">
        <f>IF(ISBLANK(patch[[#This Row],[project]]), "",COUNTIFS($A:$A,patch[[#This Row],[number]],$S:$S, "FL And dev",$AC:$AC, "Review-1"))</f>
        <v/>
      </c>
      <c r="Y472" s="7" t="str">
        <f>IF(ISBLANK(patch[[#This Row],[project]]), "",COUNTIFS($A:$A,patch[[#This Row],[number]],$S:$S, "SH And dev",$AC:$AC, "Review-1"))</f>
        <v/>
      </c>
      <c r="Z472" s="7" t="str">
        <f>IF(ISBLANK(patch[[#This Row],[project]]), "",COUNTIFS($A:$A,patch[[#This Row],[number]],$S:$S, "BJ And dev",$AD:$AD, "&lt;&gt;IntegratorValidationComment"))</f>
        <v/>
      </c>
      <c r="AA472" s="7" t="str">
        <f>IF(ISBLANK(patch[[#This Row],[project]]), "",COUNTIFS($A:$A,patch[[#This Row],[number]],$S:$S, "FL And dev",$AD:$AD, "&lt;&gt;IntegratorValidationComment"))</f>
        <v/>
      </c>
      <c r="AB472" s="7" t="str">
        <f>IF(ISBLANK(patch[[#This Row],[project]]), "",COUNTIFS($A:$A,patch[[#This Row],[number]],$S:$S, "SH And dev",$AD:$AD, "&lt;&gt;IntegratorValidationComment"))</f>
        <v/>
      </c>
      <c r="AC472" s="7" t="str">
        <f>IF(OR(ISNUMBER(FIND("Review-1", patch[[#This Row],[comments]])), ISNUMBER(FIND("Approver-1", patch[[#This Row],[comments]]))), "Review-1", "")</f>
        <v/>
      </c>
      <c r="AD4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72" s="7">
        <f>IF(ISBLANK(patch[[#This Row],[number]]),AE471,patch[[#This Row],[ifCommon]])</f>
        <v>0</v>
      </c>
    </row>
    <row r="473" spans="1:31">
      <c r="A473" s="151">
        <v>148089</v>
      </c>
      <c r="B473" s="151"/>
      <c r="C473" s="151"/>
      <c r="D473" s="151"/>
      <c r="E473" s="151"/>
      <c r="F473" s="151"/>
      <c r="G473" s="151"/>
      <c r="H473" s="151"/>
      <c r="I473" s="151"/>
      <c r="J473" s="152">
        <v>42639.752442129633</v>
      </c>
      <c r="K473" s="151"/>
      <c r="L473" s="151" t="s">
        <v>59</v>
      </c>
      <c r="M473" s="152">
        <v>42639.479571759257</v>
      </c>
      <c r="N473" s="151" t="s">
        <v>2841</v>
      </c>
      <c r="O473" s="151"/>
      <c r="P473" s="151"/>
      <c r="Q473" s="7" t="str">
        <f>IF(ISBLANK(patch[[#This Row],[OwnerEmail]]),Q472,patch[[#This Row],[OwnerEmail]])</f>
        <v>lipingx.xu@intel.com</v>
      </c>
      <c r="R473" s="7" t="str">
        <f>_xlfn.IFNA(VLOOKUP(patch[[#This Row],[tmp-owner.email]],OrgTree!$A:$K, 11, 0), "not ICG SWFW")</f>
        <v>BJ And dev</v>
      </c>
      <c r="S473" s="7" t="str">
        <f>IF(patch[[#This Row],[reviewer]]=patch[[#This Row],[tmp-owner.email]], "author", _xlfn.IFNA(VLOOKUP(patch[[#This Row],[reviewer]],OrgTree!$A:$K, 11, 0), "not ICG SWFW"))</f>
        <v>BJ And dev</v>
      </c>
      <c r="T473" s="7" t="str">
        <f>IF(ISBLANK(patch[[#This Row],[mergeDate]]), "", MID(YEAR(patch[[#This Row],[mergeDate]]), 3,2)&amp;"'ww"&amp;WEEKNUM(patch[[#This Row],[mergeDate]]))</f>
        <v>16'ww40</v>
      </c>
      <c r="U473" s="7" t="str">
        <f>IF(ISBLANK(patch[[#This Row],[mergeDate]]), U472, MID(YEAR(patch[[#This Row],[mergeDate]]), 3,2)&amp;"'m"&amp;MONTH(patch[[#This Row],[mergeDate]]))</f>
        <v>16'm9</v>
      </c>
      <c r="V473" s="7" t="str">
        <f>IF(ISBLANK(patch[[#This Row],[project]]), "",SUM(patch[[#This Row],[BJ -1 num]:[SH -1 num]]))</f>
        <v/>
      </c>
      <c r="W473" s="7" t="str">
        <f>IF(ISBLANK(patch[[#This Row],[project]]), "",COUNTIFS($A:$A,patch[[#This Row],[number]],$S:$S, "BJ And dev",$AC:$AC, "Review-1"))</f>
        <v/>
      </c>
      <c r="X473" s="7" t="str">
        <f>IF(ISBLANK(patch[[#This Row],[project]]), "",COUNTIFS($A:$A,patch[[#This Row],[number]],$S:$S, "FL And dev",$AC:$AC, "Review-1"))</f>
        <v/>
      </c>
      <c r="Y473" s="7" t="str">
        <f>IF(ISBLANK(patch[[#This Row],[project]]), "",COUNTIFS($A:$A,patch[[#This Row],[number]],$S:$S, "SH And dev",$AC:$AC, "Review-1"))</f>
        <v/>
      </c>
      <c r="Z473" s="7" t="str">
        <f>IF(ISBLANK(patch[[#This Row],[project]]), "",COUNTIFS($A:$A,patch[[#This Row],[number]],$S:$S, "BJ And dev",$AD:$AD, "&lt;&gt;IntegratorValidationComment"))</f>
        <v/>
      </c>
      <c r="AA473" s="7" t="str">
        <f>IF(ISBLANK(patch[[#This Row],[project]]), "",COUNTIFS($A:$A,patch[[#This Row],[number]],$S:$S, "FL And dev",$AD:$AD, "&lt;&gt;IntegratorValidationComment"))</f>
        <v/>
      </c>
      <c r="AB473" s="7" t="str">
        <f>IF(ISBLANK(patch[[#This Row],[project]]), "",COUNTIFS($A:$A,patch[[#This Row],[number]],$S:$S, "SH And dev",$AD:$AD, "&lt;&gt;IntegratorValidationComment"))</f>
        <v/>
      </c>
      <c r="AC473" s="7" t="str">
        <f>IF(OR(ISNUMBER(FIND("Review-1", patch[[#This Row],[comments]])), ISNUMBER(FIND("Approver-1", patch[[#This Row],[comments]]))), "Review-1", "")</f>
        <v/>
      </c>
      <c r="AD4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73" s="7">
        <f>IF(ISBLANK(patch[[#This Row],[number]]),AE472,patch[[#This Row],[ifCommon]])</f>
        <v>0</v>
      </c>
    </row>
    <row r="474" spans="1:31">
      <c r="A474" s="151">
        <v>148089</v>
      </c>
      <c r="B474" s="151"/>
      <c r="C474" s="151"/>
      <c r="D474" s="151"/>
      <c r="E474" s="151"/>
      <c r="F474" s="151"/>
      <c r="G474" s="151"/>
      <c r="H474" s="151"/>
      <c r="I474" s="151"/>
      <c r="J474" s="152">
        <v>42639.752442129633</v>
      </c>
      <c r="K474" s="151"/>
      <c r="L474" s="151" t="s">
        <v>115</v>
      </c>
      <c r="M474" s="152">
        <v>42639.480127314811</v>
      </c>
      <c r="N474" s="151" t="s">
        <v>2494</v>
      </c>
      <c r="O474" s="151"/>
      <c r="P474" s="151"/>
      <c r="Q474" s="7" t="str">
        <f>IF(ISBLANK(patch[[#This Row],[OwnerEmail]]),Q473,patch[[#This Row],[OwnerEmail]])</f>
        <v>lipingx.xu@intel.com</v>
      </c>
      <c r="R474" s="7" t="str">
        <f>_xlfn.IFNA(VLOOKUP(patch[[#This Row],[tmp-owner.email]],OrgTree!$A:$K, 11, 0), "not ICG SWFW")</f>
        <v>BJ And dev</v>
      </c>
      <c r="S474" s="7" t="str">
        <f>IF(patch[[#This Row],[reviewer]]=patch[[#This Row],[tmp-owner.email]], "author", _xlfn.IFNA(VLOOKUP(patch[[#This Row],[reviewer]],OrgTree!$A:$K, 11, 0), "not ICG SWFW"))</f>
        <v>Val</v>
      </c>
      <c r="T474" s="7" t="str">
        <f>IF(ISBLANK(patch[[#This Row],[mergeDate]]), "", MID(YEAR(patch[[#This Row],[mergeDate]]), 3,2)&amp;"'ww"&amp;WEEKNUM(patch[[#This Row],[mergeDate]]))</f>
        <v>16'ww40</v>
      </c>
      <c r="U474" s="7" t="str">
        <f>IF(ISBLANK(patch[[#This Row],[mergeDate]]), U473, MID(YEAR(patch[[#This Row],[mergeDate]]), 3,2)&amp;"'m"&amp;MONTH(patch[[#This Row],[mergeDate]]))</f>
        <v>16'm9</v>
      </c>
      <c r="V474" s="7" t="str">
        <f>IF(ISBLANK(patch[[#This Row],[project]]), "",SUM(patch[[#This Row],[BJ -1 num]:[SH -1 num]]))</f>
        <v/>
      </c>
      <c r="W474" s="7" t="str">
        <f>IF(ISBLANK(patch[[#This Row],[project]]), "",COUNTIFS($A:$A,patch[[#This Row],[number]],$S:$S, "BJ And dev",$AC:$AC, "Review-1"))</f>
        <v/>
      </c>
      <c r="X474" s="7" t="str">
        <f>IF(ISBLANK(patch[[#This Row],[project]]), "",COUNTIFS($A:$A,patch[[#This Row],[number]],$S:$S, "FL And dev",$AC:$AC, "Review-1"))</f>
        <v/>
      </c>
      <c r="Y474" s="7" t="str">
        <f>IF(ISBLANK(patch[[#This Row],[project]]), "",COUNTIFS($A:$A,patch[[#This Row],[number]],$S:$S, "SH And dev",$AC:$AC, "Review-1"))</f>
        <v/>
      </c>
      <c r="Z474" s="7" t="str">
        <f>IF(ISBLANK(patch[[#This Row],[project]]), "",COUNTIFS($A:$A,patch[[#This Row],[number]],$S:$S, "BJ And dev",$AD:$AD, "&lt;&gt;IntegratorValidationComment"))</f>
        <v/>
      </c>
      <c r="AA474" s="7" t="str">
        <f>IF(ISBLANK(patch[[#This Row],[project]]), "",COUNTIFS($A:$A,patch[[#This Row],[number]],$S:$S, "FL And dev",$AD:$AD, "&lt;&gt;IntegratorValidationComment"))</f>
        <v/>
      </c>
      <c r="AB474" s="7" t="str">
        <f>IF(ISBLANK(patch[[#This Row],[project]]), "",COUNTIFS($A:$A,patch[[#This Row],[number]],$S:$S, "SH And dev",$AD:$AD, "&lt;&gt;IntegratorValidationComment"))</f>
        <v/>
      </c>
      <c r="AC474" s="7" t="str">
        <f>IF(OR(ISNUMBER(FIND("Review-1", patch[[#This Row],[comments]])), ISNUMBER(FIND("Approver-1", patch[[#This Row],[comments]]))), "Review-1", "")</f>
        <v/>
      </c>
      <c r="AD4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474" s="7">
        <f>IF(ISBLANK(patch[[#This Row],[number]]),AE473,patch[[#This Row],[ifCommon]])</f>
        <v>0</v>
      </c>
    </row>
    <row r="475" spans="1:31">
      <c r="A475" s="151">
        <v>146996</v>
      </c>
      <c r="B475" s="151" t="s">
        <v>2490</v>
      </c>
      <c r="C475" s="151" t="s">
        <v>2491</v>
      </c>
      <c r="D475" s="151" t="s">
        <v>2835</v>
      </c>
      <c r="E475" s="151" t="s">
        <v>24</v>
      </c>
      <c r="F475" s="151" t="s">
        <v>23</v>
      </c>
      <c r="G475" s="151" t="s">
        <v>2836</v>
      </c>
      <c r="H475" s="151" t="s">
        <v>2837</v>
      </c>
      <c r="I475" s="152">
        <v>42634.616493055553</v>
      </c>
      <c r="J475" s="152">
        <v>42639.751793981479</v>
      </c>
      <c r="K475" s="151" t="s">
        <v>2445</v>
      </c>
      <c r="L475" s="151" t="s">
        <v>24</v>
      </c>
      <c r="M475" s="152">
        <v>42634.61650462963</v>
      </c>
      <c r="N475" s="151" t="s">
        <v>2428</v>
      </c>
      <c r="O475" s="151"/>
      <c r="P475" s="151" t="s">
        <v>2842</v>
      </c>
      <c r="Q475" s="7" t="str">
        <f>IF(ISBLANK(patch[[#This Row],[OwnerEmail]]),Q474,patch[[#This Row],[OwnerEmail]])</f>
        <v>qingwu.zhang@intel.com</v>
      </c>
      <c r="R475" s="7" t="str">
        <f>_xlfn.IFNA(VLOOKUP(patch[[#This Row],[tmp-owner.email]],OrgTree!$A:$K, 11, 0), "not ICG SWFW")</f>
        <v>BJ And dev</v>
      </c>
      <c r="S475" s="7" t="str">
        <f>IF(patch[[#This Row],[reviewer]]=patch[[#This Row],[tmp-owner.email]], "author", _xlfn.IFNA(VLOOKUP(patch[[#This Row],[reviewer]],OrgTree!$A:$K, 11, 0), "not ICG SWFW"))</f>
        <v>author</v>
      </c>
      <c r="T475" s="7" t="str">
        <f>IF(ISBLANK(patch[[#This Row],[mergeDate]]), "", MID(YEAR(patch[[#This Row],[mergeDate]]), 3,2)&amp;"'ww"&amp;WEEKNUM(patch[[#This Row],[mergeDate]]))</f>
        <v>16'ww40</v>
      </c>
      <c r="U475" s="7" t="str">
        <f>IF(ISBLANK(patch[[#This Row],[mergeDate]]), U474, MID(YEAR(patch[[#This Row],[mergeDate]]), 3,2)&amp;"'m"&amp;MONTH(patch[[#This Row],[mergeDate]]))</f>
        <v>16'm9</v>
      </c>
      <c r="V475" s="7">
        <f>IF(ISBLANK(patch[[#This Row],[project]]), "",SUM(patch[[#This Row],[BJ -1 num]:[SH -1 num]]))</f>
        <v>0</v>
      </c>
      <c r="W475" s="7">
        <f>IF(ISBLANK(patch[[#This Row],[project]]), "",COUNTIFS($A:$A,patch[[#This Row],[number]],$S:$S, "BJ And dev",$AC:$AC, "Review-1"))</f>
        <v>0</v>
      </c>
      <c r="X475" s="7">
        <f>IF(ISBLANK(patch[[#This Row],[project]]), "",COUNTIFS($A:$A,patch[[#This Row],[number]],$S:$S, "FL And dev",$AC:$AC, "Review-1"))</f>
        <v>0</v>
      </c>
      <c r="Y475" s="7">
        <f>IF(ISBLANK(patch[[#This Row],[project]]), "",COUNTIFS($A:$A,patch[[#This Row],[number]],$S:$S, "SH And dev",$AC:$AC, "Review-1"))</f>
        <v>0</v>
      </c>
      <c r="Z475" s="7">
        <f>IF(ISBLANK(patch[[#This Row],[project]]), "",COUNTIFS($A:$A,patch[[#This Row],[number]],$S:$S, "BJ And dev",$AD:$AD, "&lt;&gt;IntegratorValidationComment"))</f>
        <v>9</v>
      </c>
      <c r="AA475" s="7">
        <f>IF(ISBLANK(patch[[#This Row],[project]]), "",COUNTIFS($A:$A,patch[[#This Row],[number]],$S:$S, "FL And dev",$AD:$AD, "&lt;&gt;IntegratorValidationComment"))</f>
        <v>0</v>
      </c>
      <c r="AB475" s="7">
        <f>IF(ISBLANK(patch[[#This Row],[project]]), "",COUNTIFS($A:$A,patch[[#This Row],[number]],$S:$S, "SH And dev",$AD:$AD, "&lt;&gt;IntegratorValidationComment"))</f>
        <v>0</v>
      </c>
      <c r="AC475" s="7" t="str">
        <f>IF(OR(ISNUMBER(FIND("Review-1", patch[[#This Row],[comments]])), ISNUMBER(FIND("Approver-1", patch[[#This Row],[comments]]))), "Review-1", "")</f>
        <v/>
      </c>
      <c r="AD4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75" s="7" t="str">
        <f>IF(ISBLANK(patch[[#This Row],[number]]),AE474,patch[[#This Row],[ifCommon]])</f>
        <v>not AndrHAL</v>
      </c>
    </row>
    <row r="476" spans="1:31">
      <c r="A476" s="151">
        <v>146996</v>
      </c>
      <c r="B476" s="151"/>
      <c r="C476" s="151"/>
      <c r="D476" s="151"/>
      <c r="E476" s="151"/>
      <c r="F476" s="151"/>
      <c r="G476" s="151"/>
      <c r="H476" s="151"/>
      <c r="I476" s="151"/>
      <c r="J476" s="152">
        <v>42639.751793981479</v>
      </c>
      <c r="K476" s="151"/>
      <c r="L476" s="151" t="s">
        <v>59</v>
      </c>
      <c r="M476" s="152">
        <v>42634.61824074074</v>
      </c>
      <c r="N476" s="151" t="s">
        <v>2757</v>
      </c>
      <c r="O476" s="151"/>
      <c r="P476" s="151"/>
      <c r="Q476" s="7" t="str">
        <f>IF(ISBLANK(patch[[#This Row],[OwnerEmail]]),Q475,patch[[#This Row],[OwnerEmail]])</f>
        <v>qingwu.zhang@intel.com</v>
      </c>
      <c r="R476" s="7" t="str">
        <f>_xlfn.IFNA(VLOOKUP(patch[[#This Row],[tmp-owner.email]],OrgTree!$A:$K, 11, 0), "not ICG SWFW")</f>
        <v>BJ And dev</v>
      </c>
      <c r="S476" s="7" t="str">
        <f>IF(patch[[#This Row],[reviewer]]=patch[[#This Row],[tmp-owner.email]], "author", _xlfn.IFNA(VLOOKUP(patch[[#This Row],[reviewer]],OrgTree!$A:$K, 11, 0), "not ICG SWFW"))</f>
        <v>BJ And dev</v>
      </c>
      <c r="T476" s="7" t="str">
        <f>IF(ISBLANK(patch[[#This Row],[mergeDate]]), "", MID(YEAR(patch[[#This Row],[mergeDate]]), 3,2)&amp;"'ww"&amp;WEEKNUM(patch[[#This Row],[mergeDate]]))</f>
        <v>16'ww40</v>
      </c>
      <c r="U476" s="7" t="str">
        <f>IF(ISBLANK(patch[[#This Row],[mergeDate]]), U475, MID(YEAR(patch[[#This Row],[mergeDate]]), 3,2)&amp;"'m"&amp;MONTH(patch[[#This Row],[mergeDate]]))</f>
        <v>16'm9</v>
      </c>
      <c r="V476" s="7" t="str">
        <f>IF(ISBLANK(patch[[#This Row],[project]]), "",SUM(patch[[#This Row],[BJ -1 num]:[SH -1 num]]))</f>
        <v/>
      </c>
      <c r="W476" s="7" t="str">
        <f>IF(ISBLANK(patch[[#This Row],[project]]), "",COUNTIFS($A:$A,patch[[#This Row],[number]],$S:$S, "BJ And dev",$AC:$AC, "Review-1"))</f>
        <v/>
      </c>
      <c r="X476" s="7" t="str">
        <f>IF(ISBLANK(patch[[#This Row],[project]]), "",COUNTIFS($A:$A,patch[[#This Row],[number]],$S:$S, "FL And dev",$AC:$AC, "Review-1"))</f>
        <v/>
      </c>
      <c r="Y476" s="7" t="str">
        <f>IF(ISBLANK(patch[[#This Row],[project]]), "",COUNTIFS($A:$A,patch[[#This Row],[number]],$S:$S, "SH And dev",$AC:$AC, "Review-1"))</f>
        <v/>
      </c>
      <c r="Z476" s="7" t="str">
        <f>IF(ISBLANK(patch[[#This Row],[project]]), "",COUNTIFS($A:$A,patch[[#This Row],[number]],$S:$S, "BJ And dev",$AD:$AD, "&lt;&gt;IntegratorValidationComment"))</f>
        <v/>
      </c>
      <c r="AA476" s="7" t="str">
        <f>IF(ISBLANK(patch[[#This Row],[project]]), "",COUNTIFS($A:$A,patch[[#This Row],[number]],$S:$S, "FL And dev",$AD:$AD, "&lt;&gt;IntegratorValidationComment"))</f>
        <v/>
      </c>
      <c r="AB476" s="7" t="str">
        <f>IF(ISBLANK(patch[[#This Row],[project]]), "",COUNTIFS($A:$A,patch[[#This Row],[number]],$S:$S, "SH And dev",$AD:$AD, "&lt;&gt;IntegratorValidationComment"))</f>
        <v/>
      </c>
      <c r="AC476" s="7" t="str">
        <f>IF(OR(ISNUMBER(FIND("Review-1", patch[[#This Row],[comments]])), ISNUMBER(FIND("Approver-1", patch[[#This Row],[comments]]))), "Review-1", "")</f>
        <v/>
      </c>
      <c r="AD4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76" s="7">
        <f>IF(ISBLANK(patch[[#This Row],[number]]),AE475,patch[[#This Row],[ifCommon]])</f>
        <v>0</v>
      </c>
    </row>
    <row r="477" spans="1:31">
      <c r="A477" s="151">
        <v>146996</v>
      </c>
      <c r="B477" s="151"/>
      <c r="C477" s="151"/>
      <c r="D477" s="151"/>
      <c r="E477" s="151"/>
      <c r="F477" s="151"/>
      <c r="G477" s="151"/>
      <c r="H477" s="151"/>
      <c r="I477" s="151"/>
      <c r="J477" s="152">
        <v>42639.751793981479</v>
      </c>
      <c r="K477" s="151"/>
      <c r="L477" s="151" t="s">
        <v>59</v>
      </c>
      <c r="M477" s="152">
        <v>42634.618854166663</v>
      </c>
      <c r="N477" s="151" t="s">
        <v>2843</v>
      </c>
      <c r="O477" s="151"/>
      <c r="P477" s="151"/>
      <c r="Q477" s="7" t="str">
        <f>IF(ISBLANK(patch[[#This Row],[OwnerEmail]]),Q476,patch[[#This Row],[OwnerEmail]])</f>
        <v>qingwu.zhang@intel.com</v>
      </c>
      <c r="R477" s="7" t="str">
        <f>_xlfn.IFNA(VLOOKUP(patch[[#This Row],[tmp-owner.email]],OrgTree!$A:$K, 11, 0), "not ICG SWFW")</f>
        <v>BJ And dev</v>
      </c>
      <c r="S477" s="7" t="str">
        <f>IF(patch[[#This Row],[reviewer]]=patch[[#This Row],[tmp-owner.email]], "author", _xlfn.IFNA(VLOOKUP(patch[[#This Row],[reviewer]],OrgTree!$A:$K, 11, 0), "not ICG SWFW"))</f>
        <v>BJ And dev</v>
      </c>
      <c r="T477" s="7" t="str">
        <f>IF(ISBLANK(patch[[#This Row],[mergeDate]]), "", MID(YEAR(patch[[#This Row],[mergeDate]]), 3,2)&amp;"'ww"&amp;WEEKNUM(patch[[#This Row],[mergeDate]]))</f>
        <v>16'ww40</v>
      </c>
      <c r="U477" s="7" t="str">
        <f>IF(ISBLANK(patch[[#This Row],[mergeDate]]), U476, MID(YEAR(patch[[#This Row],[mergeDate]]), 3,2)&amp;"'m"&amp;MONTH(patch[[#This Row],[mergeDate]]))</f>
        <v>16'm9</v>
      </c>
      <c r="V477" s="7" t="str">
        <f>IF(ISBLANK(patch[[#This Row],[project]]), "",SUM(patch[[#This Row],[BJ -1 num]:[SH -1 num]]))</f>
        <v/>
      </c>
      <c r="W477" s="7" t="str">
        <f>IF(ISBLANK(patch[[#This Row],[project]]), "",COUNTIFS($A:$A,patch[[#This Row],[number]],$S:$S, "BJ And dev",$AC:$AC, "Review-1"))</f>
        <v/>
      </c>
      <c r="X477" s="7" t="str">
        <f>IF(ISBLANK(patch[[#This Row],[project]]), "",COUNTIFS($A:$A,patch[[#This Row],[number]],$S:$S, "FL And dev",$AC:$AC, "Review-1"))</f>
        <v/>
      </c>
      <c r="Y477" s="7" t="str">
        <f>IF(ISBLANK(patch[[#This Row],[project]]), "",COUNTIFS($A:$A,patch[[#This Row],[number]],$S:$S, "SH And dev",$AC:$AC, "Review-1"))</f>
        <v/>
      </c>
      <c r="Z477" s="7" t="str">
        <f>IF(ISBLANK(patch[[#This Row],[project]]), "",COUNTIFS($A:$A,patch[[#This Row],[number]],$S:$S, "BJ And dev",$AD:$AD, "&lt;&gt;IntegratorValidationComment"))</f>
        <v/>
      </c>
      <c r="AA477" s="7" t="str">
        <f>IF(ISBLANK(patch[[#This Row],[project]]), "",COUNTIFS($A:$A,patch[[#This Row],[number]],$S:$S, "FL And dev",$AD:$AD, "&lt;&gt;IntegratorValidationComment"))</f>
        <v/>
      </c>
      <c r="AB477" s="7" t="str">
        <f>IF(ISBLANK(patch[[#This Row],[project]]), "",COUNTIFS($A:$A,patch[[#This Row],[number]],$S:$S, "SH And dev",$AD:$AD, "&lt;&gt;IntegratorValidationComment"))</f>
        <v/>
      </c>
      <c r="AC477" s="7" t="str">
        <f>IF(OR(ISNUMBER(FIND("Review-1", patch[[#This Row],[comments]])), ISNUMBER(FIND("Approver-1", patch[[#This Row],[comments]]))), "Review-1", "")</f>
        <v/>
      </c>
      <c r="AD4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77" s="7">
        <f>IF(ISBLANK(patch[[#This Row],[number]]),AE476,patch[[#This Row],[ifCommon]])</f>
        <v>0</v>
      </c>
    </row>
    <row r="478" spans="1:31">
      <c r="A478" s="151">
        <v>146996</v>
      </c>
      <c r="B478" s="151"/>
      <c r="C478" s="151"/>
      <c r="D478" s="151"/>
      <c r="E478" s="151"/>
      <c r="F478" s="151"/>
      <c r="G478" s="151"/>
      <c r="H478" s="151"/>
      <c r="I478" s="151"/>
      <c r="J478" s="152">
        <v>42639.751793981479</v>
      </c>
      <c r="K478" s="151"/>
      <c r="L478" s="151" t="s">
        <v>59</v>
      </c>
      <c r="M478" s="152">
        <v>42634.61954861111</v>
      </c>
      <c r="N478" s="151" t="s">
        <v>2844</v>
      </c>
      <c r="O478" s="151"/>
      <c r="P478" s="151"/>
      <c r="Q478" s="7" t="str">
        <f>IF(ISBLANK(patch[[#This Row],[OwnerEmail]]),Q477,patch[[#This Row],[OwnerEmail]])</f>
        <v>qingwu.zhang@intel.com</v>
      </c>
      <c r="R478" s="7" t="str">
        <f>_xlfn.IFNA(VLOOKUP(patch[[#This Row],[tmp-owner.email]],OrgTree!$A:$K, 11, 0), "not ICG SWFW")</f>
        <v>BJ And dev</v>
      </c>
      <c r="S478" s="7" t="str">
        <f>IF(patch[[#This Row],[reviewer]]=patch[[#This Row],[tmp-owner.email]], "author", _xlfn.IFNA(VLOOKUP(patch[[#This Row],[reviewer]],OrgTree!$A:$K, 11, 0), "not ICG SWFW"))</f>
        <v>BJ And dev</v>
      </c>
      <c r="T478" s="7" t="str">
        <f>IF(ISBLANK(patch[[#This Row],[mergeDate]]), "", MID(YEAR(patch[[#This Row],[mergeDate]]), 3,2)&amp;"'ww"&amp;WEEKNUM(patch[[#This Row],[mergeDate]]))</f>
        <v>16'ww40</v>
      </c>
      <c r="U478" s="7" t="str">
        <f>IF(ISBLANK(patch[[#This Row],[mergeDate]]), U477, MID(YEAR(patch[[#This Row],[mergeDate]]), 3,2)&amp;"'m"&amp;MONTH(patch[[#This Row],[mergeDate]]))</f>
        <v>16'm9</v>
      </c>
      <c r="V478" s="7" t="str">
        <f>IF(ISBLANK(patch[[#This Row],[project]]), "",SUM(patch[[#This Row],[BJ -1 num]:[SH -1 num]]))</f>
        <v/>
      </c>
      <c r="W478" s="7" t="str">
        <f>IF(ISBLANK(patch[[#This Row],[project]]), "",COUNTIFS($A:$A,patch[[#This Row],[number]],$S:$S, "BJ And dev",$AC:$AC, "Review-1"))</f>
        <v/>
      </c>
      <c r="X478" s="7" t="str">
        <f>IF(ISBLANK(patch[[#This Row],[project]]), "",COUNTIFS($A:$A,patch[[#This Row],[number]],$S:$S, "FL And dev",$AC:$AC, "Review-1"))</f>
        <v/>
      </c>
      <c r="Y478" s="7" t="str">
        <f>IF(ISBLANK(patch[[#This Row],[project]]), "",COUNTIFS($A:$A,patch[[#This Row],[number]],$S:$S, "SH And dev",$AC:$AC, "Review-1"))</f>
        <v/>
      </c>
      <c r="Z478" s="7" t="str">
        <f>IF(ISBLANK(patch[[#This Row],[project]]), "",COUNTIFS($A:$A,patch[[#This Row],[number]],$S:$S, "BJ And dev",$AD:$AD, "&lt;&gt;IntegratorValidationComment"))</f>
        <v/>
      </c>
      <c r="AA478" s="7" t="str">
        <f>IF(ISBLANK(patch[[#This Row],[project]]), "",COUNTIFS($A:$A,patch[[#This Row],[number]],$S:$S, "FL And dev",$AD:$AD, "&lt;&gt;IntegratorValidationComment"))</f>
        <v/>
      </c>
      <c r="AB478" s="7" t="str">
        <f>IF(ISBLANK(patch[[#This Row],[project]]), "",COUNTIFS($A:$A,patch[[#This Row],[number]],$S:$S, "SH And dev",$AD:$AD, "&lt;&gt;IntegratorValidationComment"))</f>
        <v/>
      </c>
      <c r="AC478" s="7" t="str">
        <f>IF(OR(ISNUMBER(FIND("Review-1", patch[[#This Row],[comments]])), ISNUMBER(FIND("Approver-1", patch[[#This Row],[comments]]))), "Review-1", "")</f>
        <v/>
      </c>
      <c r="AD4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78" s="7">
        <f>IF(ISBLANK(patch[[#This Row],[number]]),AE477,patch[[#This Row],[ifCommon]])</f>
        <v>0</v>
      </c>
    </row>
    <row r="479" spans="1:31">
      <c r="A479" s="151">
        <v>146996</v>
      </c>
      <c r="B479" s="151"/>
      <c r="C479" s="151"/>
      <c r="D479" s="151"/>
      <c r="E479" s="151"/>
      <c r="F479" s="151"/>
      <c r="G479" s="151"/>
      <c r="H479" s="151"/>
      <c r="I479" s="151"/>
      <c r="J479" s="152">
        <v>42639.751793981479</v>
      </c>
      <c r="K479" s="151"/>
      <c r="L479" s="151" t="s">
        <v>59</v>
      </c>
      <c r="M479" s="152">
        <v>42634.620694444442</v>
      </c>
      <c r="N479" s="151" t="s">
        <v>2845</v>
      </c>
      <c r="O479" s="151"/>
      <c r="P479" s="151"/>
      <c r="Q479" s="7" t="str">
        <f>IF(ISBLANK(patch[[#This Row],[OwnerEmail]]),Q478,patch[[#This Row],[OwnerEmail]])</f>
        <v>qingwu.zhang@intel.com</v>
      </c>
      <c r="R479" s="7" t="str">
        <f>_xlfn.IFNA(VLOOKUP(patch[[#This Row],[tmp-owner.email]],OrgTree!$A:$K, 11, 0), "not ICG SWFW")</f>
        <v>BJ And dev</v>
      </c>
      <c r="S479" s="7" t="str">
        <f>IF(patch[[#This Row],[reviewer]]=patch[[#This Row],[tmp-owner.email]], "author", _xlfn.IFNA(VLOOKUP(patch[[#This Row],[reviewer]],OrgTree!$A:$K, 11, 0), "not ICG SWFW"))</f>
        <v>BJ And dev</v>
      </c>
      <c r="T479" s="7" t="str">
        <f>IF(ISBLANK(patch[[#This Row],[mergeDate]]), "", MID(YEAR(patch[[#This Row],[mergeDate]]), 3,2)&amp;"'ww"&amp;WEEKNUM(patch[[#This Row],[mergeDate]]))</f>
        <v>16'ww40</v>
      </c>
      <c r="U479" s="7" t="str">
        <f>IF(ISBLANK(patch[[#This Row],[mergeDate]]), U478, MID(YEAR(patch[[#This Row],[mergeDate]]), 3,2)&amp;"'m"&amp;MONTH(patch[[#This Row],[mergeDate]]))</f>
        <v>16'm9</v>
      </c>
      <c r="V479" s="7" t="str">
        <f>IF(ISBLANK(patch[[#This Row],[project]]), "",SUM(patch[[#This Row],[BJ -1 num]:[SH -1 num]]))</f>
        <v/>
      </c>
      <c r="W479" s="7" t="str">
        <f>IF(ISBLANK(patch[[#This Row],[project]]), "",COUNTIFS($A:$A,patch[[#This Row],[number]],$S:$S, "BJ And dev",$AC:$AC, "Review-1"))</f>
        <v/>
      </c>
      <c r="X479" s="7" t="str">
        <f>IF(ISBLANK(patch[[#This Row],[project]]), "",COUNTIFS($A:$A,patch[[#This Row],[number]],$S:$S, "FL And dev",$AC:$AC, "Review-1"))</f>
        <v/>
      </c>
      <c r="Y479" s="7" t="str">
        <f>IF(ISBLANK(patch[[#This Row],[project]]), "",COUNTIFS($A:$A,patch[[#This Row],[number]],$S:$S, "SH And dev",$AC:$AC, "Review-1"))</f>
        <v/>
      </c>
      <c r="Z479" s="7" t="str">
        <f>IF(ISBLANK(patch[[#This Row],[project]]), "",COUNTIFS($A:$A,patch[[#This Row],[number]],$S:$S, "BJ And dev",$AD:$AD, "&lt;&gt;IntegratorValidationComment"))</f>
        <v/>
      </c>
      <c r="AA479" s="7" t="str">
        <f>IF(ISBLANK(patch[[#This Row],[project]]), "",COUNTIFS($A:$A,patch[[#This Row],[number]],$S:$S, "FL And dev",$AD:$AD, "&lt;&gt;IntegratorValidationComment"))</f>
        <v/>
      </c>
      <c r="AB479" s="7" t="str">
        <f>IF(ISBLANK(patch[[#This Row],[project]]), "",COUNTIFS($A:$A,patch[[#This Row],[number]],$S:$S, "SH And dev",$AD:$AD, "&lt;&gt;IntegratorValidationComment"))</f>
        <v/>
      </c>
      <c r="AC479" s="7" t="str">
        <f>IF(OR(ISNUMBER(FIND("Review-1", patch[[#This Row],[comments]])), ISNUMBER(FIND("Approver-1", patch[[#This Row],[comments]]))), "Review-1", "")</f>
        <v/>
      </c>
      <c r="AD4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79" s="7">
        <f>IF(ISBLANK(patch[[#This Row],[number]]),AE478,patch[[#This Row],[ifCommon]])</f>
        <v>0</v>
      </c>
    </row>
    <row r="480" spans="1:31">
      <c r="A480" s="151">
        <v>146996</v>
      </c>
      <c r="B480" s="151"/>
      <c r="C480" s="151"/>
      <c r="D480" s="151"/>
      <c r="E480" s="151"/>
      <c r="F480" s="151"/>
      <c r="G480" s="151"/>
      <c r="H480" s="151"/>
      <c r="I480" s="151"/>
      <c r="J480" s="152">
        <v>42639.751793981479</v>
      </c>
      <c r="K480" s="151"/>
      <c r="L480" s="151" t="s">
        <v>24</v>
      </c>
      <c r="M480" s="152">
        <v>42634.62332175926</v>
      </c>
      <c r="N480" s="151" t="s">
        <v>2429</v>
      </c>
      <c r="O480" s="151"/>
      <c r="P480" s="151"/>
      <c r="Q480" s="7" t="str">
        <f>IF(ISBLANK(patch[[#This Row],[OwnerEmail]]),Q479,patch[[#This Row],[OwnerEmail]])</f>
        <v>qingwu.zhang@intel.com</v>
      </c>
      <c r="R480" s="7" t="str">
        <f>_xlfn.IFNA(VLOOKUP(patch[[#This Row],[tmp-owner.email]],OrgTree!$A:$K, 11, 0), "not ICG SWFW")</f>
        <v>BJ And dev</v>
      </c>
      <c r="S480" s="7" t="str">
        <f>IF(patch[[#This Row],[reviewer]]=patch[[#This Row],[tmp-owner.email]], "author", _xlfn.IFNA(VLOOKUP(patch[[#This Row],[reviewer]],OrgTree!$A:$K, 11, 0), "not ICG SWFW"))</f>
        <v>author</v>
      </c>
      <c r="T480" s="7" t="str">
        <f>IF(ISBLANK(patch[[#This Row],[mergeDate]]), "", MID(YEAR(patch[[#This Row],[mergeDate]]), 3,2)&amp;"'ww"&amp;WEEKNUM(patch[[#This Row],[mergeDate]]))</f>
        <v>16'ww40</v>
      </c>
      <c r="U480" s="7" t="str">
        <f>IF(ISBLANK(patch[[#This Row],[mergeDate]]), U479, MID(YEAR(patch[[#This Row],[mergeDate]]), 3,2)&amp;"'m"&amp;MONTH(patch[[#This Row],[mergeDate]]))</f>
        <v>16'm9</v>
      </c>
      <c r="V480" s="7" t="str">
        <f>IF(ISBLANK(patch[[#This Row],[project]]), "",SUM(patch[[#This Row],[BJ -1 num]:[SH -1 num]]))</f>
        <v/>
      </c>
      <c r="W480" s="7" t="str">
        <f>IF(ISBLANK(patch[[#This Row],[project]]), "",COUNTIFS($A:$A,patch[[#This Row],[number]],$S:$S, "BJ And dev",$AC:$AC, "Review-1"))</f>
        <v/>
      </c>
      <c r="X480" s="7" t="str">
        <f>IF(ISBLANK(patch[[#This Row],[project]]), "",COUNTIFS($A:$A,patch[[#This Row],[number]],$S:$S, "FL And dev",$AC:$AC, "Review-1"))</f>
        <v/>
      </c>
      <c r="Y480" s="7" t="str">
        <f>IF(ISBLANK(patch[[#This Row],[project]]), "",COUNTIFS($A:$A,patch[[#This Row],[number]],$S:$S, "SH And dev",$AC:$AC, "Review-1"))</f>
        <v/>
      </c>
      <c r="Z480" s="7" t="str">
        <f>IF(ISBLANK(patch[[#This Row],[project]]), "",COUNTIFS($A:$A,patch[[#This Row],[number]],$S:$S, "BJ And dev",$AD:$AD, "&lt;&gt;IntegratorValidationComment"))</f>
        <v/>
      </c>
      <c r="AA480" s="7" t="str">
        <f>IF(ISBLANK(patch[[#This Row],[project]]), "",COUNTIFS($A:$A,patch[[#This Row],[number]],$S:$S, "FL And dev",$AD:$AD, "&lt;&gt;IntegratorValidationComment"))</f>
        <v/>
      </c>
      <c r="AB480" s="7" t="str">
        <f>IF(ISBLANK(patch[[#This Row],[project]]), "",COUNTIFS($A:$A,patch[[#This Row],[number]],$S:$S, "SH And dev",$AD:$AD, "&lt;&gt;IntegratorValidationComment"))</f>
        <v/>
      </c>
      <c r="AC480" s="7" t="str">
        <f>IF(OR(ISNUMBER(FIND("Review-1", patch[[#This Row],[comments]])), ISNUMBER(FIND("Approver-1", patch[[#This Row],[comments]]))), "Review-1", "")</f>
        <v/>
      </c>
      <c r="AD4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80" s="7">
        <f>IF(ISBLANK(patch[[#This Row],[number]]),AE479,patch[[#This Row],[ifCommon]])</f>
        <v>0</v>
      </c>
    </row>
    <row r="481" spans="1:31">
      <c r="A481" s="151">
        <v>146996</v>
      </c>
      <c r="B481" s="151"/>
      <c r="C481" s="151"/>
      <c r="D481" s="151"/>
      <c r="E481" s="151"/>
      <c r="F481" s="151"/>
      <c r="G481" s="151"/>
      <c r="H481" s="151"/>
      <c r="I481" s="151"/>
      <c r="J481" s="152">
        <v>42639.751793981479</v>
      </c>
      <c r="K481" s="151"/>
      <c r="L481" s="151" t="s">
        <v>24</v>
      </c>
      <c r="M481" s="152">
        <v>42634.62332175926</v>
      </c>
      <c r="N481" s="151" t="s">
        <v>2505</v>
      </c>
      <c r="O481" s="151"/>
      <c r="P481" s="151"/>
      <c r="Q481" s="7" t="str">
        <f>IF(ISBLANK(patch[[#This Row],[OwnerEmail]]),Q480,patch[[#This Row],[OwnerEmail]])</f>
        <v>qingwu.zhang@intel.com</v>
      </c>
      <c r="R481" s="7" t="str">
        <f>_xlfn.IFNA(VLOOKUP(patch[[#This Row],[tmp-owner.email]],OrgTree!$A:$K, 11, 0), "not ICG SWFW")</f>
        <v>BJ And dev</v>
      </c>
      <c r="S481" s="7" t="str">
        <f>IF(patch[[#This Row],[reviewer]]=patch[[#This Row],[tmp-owner.email]], "author", _xlfn.IFNA(VLOOKUP(patch[[#This Row],[reviewer]],OrgTree!$A:$K, 11, 0), "not ICG SWFW"))</f>
        <v>author</v>
      </c>
      <c r="T481" s="7" t="str">
        <f>IF(ISBLANK(patch[[#This Row],[mergeDate]]), "", MID(YEAR(patch[[#This Row],[mergeDate]]), 3,2)&amp;"'ww"&amp;WEEKNUM(patch[[#This Row],[mergeDate]]))</f>
        <v>16'ww40</v>
      </c>
      <c r="U481" s="7" t="str">
        <f>IF(ISBLANK(patch[[#This Row],[mergeDate]]), U480, MID(YEAR(patch[[#This Row],[mergeDate]]), 3,2)&amp;"'m"&amp;MONTH(patch[[#This Row],[mergeDate]]))</f>
        <v>16'm9</v>
      </c>
      <c r="V481" s="7" t="str">
        <f>IF(ISBLANK(patch[[#This Row],[project]]), "",SUM(patch[[#This Row],[BJ -1 num]:[SH -1 num]]))</f>
        <v/>
      </c>
      <c r="W481" s="7" t="str">
        <f>IF(ISBLANK(patch[[#This Row],[project]]), "",COUNTIFS($A:$A,patch[[#This Row],[number]],$S:$S, "BJ And dev",$AC:$AC, "Review-1"))</f>
        <v/>
      </c>
      <c r="X481" s="7" t="str">
        <f>IF(ISBLANK(patch[[#This Row],[project]]), "",COUNTIFS($A:$A,patch[[#This Row],[number]],$S:$S, "FL And dev",$AC:$AC, "Review-1"))</f>
        <v/>
      </c>
      <c r="Y481" s="7" t="str">
        <f>IF(ISBLANK(patch[[#This Row],[project]]), "",COUNTIFS($A:$A,patch[[#This Row],[number]],$S:$S, "SH And dev",$AC:$AC, "Review-1"))</f>
        <v/>
      </c>
      <c r="Z481" s="7" t="str">
        <f>IF(ISBLANK(patch[[#This Row],[project]]), "",COUNTIFS($A:$A,patch[[#This Row],[number]],$S:$S, "BJ And dev",$AD:$AD, "&lt;&gt;IntegratorValidationComment"))</f>
        <v/>
      </c>
      <c r="AA481" s="7" t="str">
        <f>IF(ISBLANK(patch[[#This Row],[project]]), "",COUNTIFS($A:$A,patch[[#This Row],[number]],$S:$S, "FL And dev",$AD:$AD, "&lt;&gt;IntegratorValidationComment"))</f>
        <v/>
      </c>
      <c r="AB481" s="7" t="str">
        <f>IF(ISBLANK(patch[[#This Row],[project]]), "",COUNTIFS($A:$A,patch[[#This Row],[number]],$S:$S, "SH And dev",$AD:$AD, "&lt;&gt;IntegratorValidationComment"))</f>
        <v/>
      </c>
      <c r="AC481" s="7" t="str">
        <f>IF(OR(ISNUMBER(FIND("Review-1", patch[[#This Row],[comments]])), ISNUMBER(FIND("Approver-1", patch[[#This Row],[comments]]))), "Review-1", "")</f>
        <v/>
      </c>
      <c r="AD4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81" s="7">
        <f>IF(ISBLANK(patch[[#This Row],[number]]),AE480,patch[[#This Row],[ifCommon]])</f>
        <v>0</v>
      </c>
    </row>
    <row r="482" spans="1:31">
      <c r="A482" s="151">
        <v>146996</v>
      </c>
      <c r="B482" s="151"/>
      <c r="C482" s="151"/>
      <c r="D482" s="151"/>
      <c r="E482" s="151"/>
      <c r="F482" s="151"/>
      <c r="G482" s="151"/>
      <c r="H482" s="151"/>
      <c r="I482" s="151"/>
      <c r="J482" s="152">
        <v>42639.751793981479</v>
      </c>
      <c r="K482" s="151"/>
      <c r="L482" s="151" t="s">
        <v>59</v>
      </c>
      <c r="M482" s="152">
        <v>42634.625173611108</v>
      </c>
      <c r="N482" s="151" t="s">
        <v>2846</v>
      </c>
      <c r="O482" s="151"/>
      <c r="P482" s="151"/>
      <c r="Q482" s="7" t="str">
        <f>IF(ISBLANK(patch[[#This Row],[OwnerEmail]]),Q481,patch[[#This Row],[OwnerEmail]])</f>
        <v>qingwu.zhang@intel.com</v>
      </c>
      <c r="R482" s="7" t="str">
        <f>_xlfn.IFNA(VLOOKUP(patch[[#This Row],[tmp-owner.email]],OrgTree!$A:$K, 11, 0), "not ICG SWFW")</f>
        <v>BJ And dev</v>
      </c>
      <c r="S482" s="7" t="str">
        <f>IF(patch[[#This Row],[reviewer]]=patch[[#This Row],[tmp-owner.email]], "author", _xlfn.IFNA(VLOOKUP(patch[[#This Row],[reviewer]],OrgTree!$A:$K, 11, 0), "not ICG SWFW"))</f>
        <v>BJ And dev</v>
      </c>
      <c r="T482" s="7" t="str">
        <f>IF(ISBLANK(patch[[#This Row],[mergeDate]]), "", MID(YEAR(patch[[#This Row],[mergeDate]]), 3,2)&amp;"'ww"&amp;WEEKNUM(patch[[#This Row],[mergeDate]]))</f>
        <v>16'ww40</v>
      </c>
      <c r="U482" s="7" t="str">
        <f>IF(ISBLANK(patch[[#This Row],[mergeDate]]), U481, MID(YEAR(patch[[#This Row],[mergeDate]]), 3,2)&amp;"'m"&amp;MONTH(patch[[#This Row],[mergeDate]]))</f>
        <v>16'm9</v>
      </c>
      <c r="V482" s="7" t="str">
        <f>IF(ISBLANK(patch[[#This Row],[project]]), "",SUM(patch[[#This Row],[BJ -1 num]:[SH -1 num]]))</f>
        <v/>
      </c>
      <c r="W482" s="7" t="str">
        <f>IF(ISBLANK(patch[[#This Row],[project]]), "",COUNTIFS($A:$A,patch[[#This Row],[number]],$S:$S, "BJ And dev",$AC:$AC, "Review-1"))</f>
        <v/>
      </c>
      <c r="X482" s="7" t="str">
        <f>IF(ISBLANK(patch[[#This Row],[project]]), "",COUNTIFS($A:$A,patch[[#This Row],[number]],$S:$S, "FL And dev",$AC:$AC, "Review-1"))</f>
        <v/>
      </c>
      <c r="Y482" s="7" t="str">
        <f>IF(ISBLANK(patch[[#This Row],[project]]), "",COUNTIFS($A:$A,patch[[#This Row],[number]],$S:$S, "SH And dev",$AC:$AC, "Review-1"))</f>
        <v/>
      </c>
      <c r="Z482" s="7" t="str">
        <f>IF(ISBLANK(patch[[#This Row],[project]]), "",COUNTIFS($A:$A,patch[[#This Row],[number]],$S:$S, "BJ And dev",$AD:$AD, "&lt;&gt;IntegratorValidationComment"))</f>
        <v/>
      </c>
      <c r="AA482" s="7" t="str">
        <f>IF(ISBLANK(patch[[#This Row],[project]]), "",COUNTIFS($A:$A,patch[[#This Row],[number]],$S:$S, "FL And dev",$AD:$AD, "&lt;&gt;IntegratorValidationComment"))</f>
        <v/>
      </c>
      <c r="AB482" s="7" t="str">
        <f>IF(ISBLANK(patch[[#This Row],[project]]), "",COUNTIFS($A:$A,patch[[#This Row],[number]],$S:$S, "SH And dev",$AD:$AD, "&lt;&gt;IntegratorValidationComment"))</f>
        <v/>
      </c>
      <c r="AC482" s="7" t="str">
        <f>IF(OR(ISNUMBER(FIND("Review-1", patch[[#This Row],[comments]])), ISNUMBER(FIND("Approver-1", patch[[#This Row],[comments]]))), "Review-1", "")</f>
        <v/>
      </c>
      <c r="AD4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82" s="7">
        <f>IF(ISBLANK(patch[[#This Row],[number]]),AE481,patch[[#This Row],[ifCommon]])</f>
        <v>0</v>
      </c>
    </row>
    <row r="483" spans="1:31">
      <c r="A483" s="151">
        <v>146996</v>
      </c>
      <c r="B483" s="151"/>
      <c r="C483" s="151"/>
      <c r="D483" s="151"/>
      <c r="E483" s="151"/>
      <c r="F483" s="151"/>
      <c r="G483" s="151"/>
      <c r="H483" s="151"/>
      <c r="I483" s="151"/>
      <c r="J483" s="152">
        <v>42639.751793981479</v>
      </c>
      <c r="K483" s="151"/>
      <c r="L483" s="151" t="s">
        <v>59</v>
      </c>
      <c r="M483" s="152">
        <v>42634.626400462963</v>
      </c>
      <c r="N483" s="151" t="s">
        <v>2847</v>
      </c>
      <c r="O483" s="151"/>
      <c r="P483" s="151"/>
      <c r="Q483" s="7" t="str">
        <f>IF(ISBLANK(patch[[#This Row],[OwnerEmail]]),Q482,patch[[#This Row],[OwnerEmail]])</f>
        <v>qingwu.zhang@intel.com</v>
      </c>
      <c r="R483" s="7" t="str">
        <f>_xlfn.IFNA(VLOOKUP(patch[[#This Row],[tmp-owner.email]],OrgTree!$A:$K, 11, 0), "not ICG SWFW")</f>
        <v>BJ And dev</v>
      </c>
      <c r="S483" s="7" t="str">
        <f>IF(patch[[#This Row],[reviewer]]=patch[[#This Row],[tmp-owner.email]], "author", _xlfn.IFNA(VLOOKUP(patch[[#This Row],[reviewer]],OrgTree!$A:$K, 11, 0), "not ICG SWFW"))</f>
        <v>BJ And dev</v>
      </c>
      <c r="T483" s="7" t="str">
        <f>IF(ISBLANK(patch[[#This Row],[mergeDate]]), "", MID(YEAR(patch[[#This Row],[mergeDate]]), 3,2)&amp;"'ww"&amp;WEEKNUM(patch[[#This Row],[mergeDate]]))</f>
        <v>16'ww40</v>
      </c>
      <c r="U483" s="7" t="str">
        <f>IF(ISBLANK(patch[[#This Row],[mergeDate]]), U482, MID(YEAR(patch[[#This Row],[mergeDate]]), 3,2)&amp;"'m"&amp;MONTH(patch[[#This Row],[mergeDate]]))</f>
        <v>16'm9</v>
      </c>
      <c r="V483" s="7" t="str">
        <f>IF(ISBLANK(patch[[#This Row],[project]]), "",SUM(patch[[#This Row],[BJ -1 num]:[SH -1 num]]))</f>
        <v/>
      </c>
      <c r="W483" s="7" t="str">
        <f>IF(ISBLANK(patch[[#This Row],[project]]), "",COUNTIFS($A:$A,patch[[#This Row],[number]],$S:$S, "BJ And dev",$AC:$AC, "Review-1"))</f>
        <v/>
      </c>
      <c r="X483" s="7" t="str">
        <f>IF(ISBLANK(patch[[#This Row],[project]]), "",COUNTIFS($A:$A,patch[[#This Row],[number]],$S:$S, "FL And dev",$AC:$AC, "Review-1"))</f>
        <v/>
      </c>
      <c r="Y483" s="7" t="str">
        <f>IF(ISBLANK(patch[[#This Row],[project]]), "",COUNTIFS($A:$A,patch[[#This Row],[number]],$S:$S, "SH And dev",$AC:$AC, "Review-1"))</f>
        <v/>
      </c>
      <c r="Z483" s="7" t="str">
        <f>IF(ISBLANK(patch[[#This Row],[project]]), "",COUNTIFS($A:$A,patch[[#This Row],[number]],$S:$S, "BJ And dev",$AD:$AD, "&lt;&gt;IntegratorValidationComment"))</f>
        <v/>
      </c>
      <c r="AA483" s="7" t="str">
        <f>IF(ISBLANK(patch[[#This Row],[project]]), "",COUNTIFS($A:$A,patch[[#This Row],[number]],$S:$S, "FL And dev",$AD:$AD, "&lt;&gt;IntegratorValidationComment"))</f>
        <v/>
      </c>
      <c r="AB483" s="7" t="str">
        <f>IF(ISBLANK(patch[[#This Row],[project]]), "",COUNTIFS($A:$A,patch[[#This Row],[number]],$S:$S, "SH And dev",$AD:$AD, "&lt;&gt;IntegratorValidationComment"))</f>
        <v/>
      </c>
      <c r="AC483" s="7" t="str">
        <f>IF(OR(ISNUMBER(FIND("Review-1", patch[[#This Row],[comments]])), ISNUMBER(FIND("Approver-1", patch[[#This Row],[comments]]))), "Review-1", "")</f>
        <v/>
      </c>
      <c r="AD4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83" s="7">
        <f>IF(ISBLANK(patch[[#This Row],[number]]),AE482,patch[[#This Row],[ifCommon]])</f>
        <v>0</v>
      </c>
    </row>
    <row r="484" spans="1:31">
      <c r="A484" s="151">
        <v>146996</v>
      </c>
      <c r="B484" s="151"/>
      <c r="C484" s="151"/>
      <c r="D484" s="151"/>
      <c r="E484" s="151"/>
      <c r="F484" s="151"/>
      <c r="G484" s="151"/>
      <c r="H484" s="151"/>
      <c r="I484" s="151"/>
      <c r="J484" s="152">
        <v>42639.751793981479</v>
      </c>
      <c r="K484" s="151"/>
      <c r="L484" s="151" t="s">
        <v>59</v>
      </c>
      <c r="M484" s="152">
        <v>42634.629224537042</v>
      </c>
      <c r="N484" s="151" t="s">
        <v>2848</v>
      </c>
      <c r="O484" s="151"/>
      <c r="P484" s="151"/>
      <c r="Q484" s="7" t="str">
        <f>IF(ISBLANK(patch[[#This Row],[OwnerEmail]]),Q483,patch[[#This Row],[OwnerEmail]])</f>
        <v>qingwu.zhang@intel.com</v>
      </c>
      <c r="R484" s="7" t="str">
        <f>_xlfn.IFNA(VLOOKUP(patch[[#This Row],[tmp-owner.email]],OrgTree!$A:$K, 11, 0), "not ICG SWFW")</f>
        <v>BJ And dev</v>
      </c>
      <c r="S484" s="7" t="str">
        <f>IF(patch[[#This Row],[reviewer]]=patch[[#This Row],[tmp-owner.email]], "author", _xlfn.IFNA(VLOOKUP(patch[[#This Row],[reviewer]],OrgTree!$A:$K, 11, 0), "not ICG SWFW"))</f>
        <v>BJ And dev</v>
      </c>
      <c r="T484" s="7" t="str">
        <f>IF(ISBLANK(patch[[#This Row],[mergeDate]]), "", MID(YEAR(patch[[#This Row],[mergeDate]]), 3,2)&amp;"'ww"&amp;WEEKNUM(patch[[#This Row],[mergeDate]]))</f>
        <v>16'ww40</v>
      </c>
      <c r="U484" s="7" t="str">
        <f>IF(ISBLANK(patch[[#This Row],[mergeDate]]), U483, MID(YEAR(patch[[#This Row],[mergeDate]]), 3,2)&amp;"'m"&amp;MONTH(patch[[#This Row],[mergeDate]]))</f>
        <v>16'm9</v>
      </c>
      <c r="V484" s="7" t="str">
        <f>IF(ISBLANK(patch[[#This Row],[project]]), "",SUM(patch[[#This Row],[BJ -1 num]:[SH -1 num]]))</f>
        <v/>
      </c>
      <c r="W484" s="7" t="str">
        <f>IF(ISBLANK(patch[[#This Row],[project]]), "",COUNTIFS($A:$A,patch[[#This Row],[number]],$S:$S, "BJ And dev",$AC:$AC, "Review-1"))</f>
        <v/>
      </c>
      <c r="X484" s="7" t="str">
        <f>IF(ISBLANK(patch[[#This Row],[project]]), "",COUNTIFS($A:$A,patch[[#This Row],[number]],$S:$S, "FL And dev",$AC:$AC, "Review-1"))</f>
        <v/>
      </c>
      <c r="Y484" s="7" t="str">
        <f>IF(ISBLANK(patch[[#This Row],[project]]), "",COUNTIFS($A:$A,patch[[#This Row],[number]],$S:$S, "SH And dev",$AC:$AC, "Review-1"))</f>
        <v/>
      </c>
      <c r="Z484" s="7" t="str">
        <f>IF(ISBLANK(patch[[#This Row],[project]]), "",COUNTIFS($A:$A,patch[[#This Row],[number]],$S:$S, "BJ And dev",$AD:$AD, "&lt;&gt;IntegratorValidationComment"))</f>
        <v/>
      </c>
      <c r="AA484" s="7" t="str">
        <f>IF(ISBLANK(patch[[#This Row],[project]]), "",COUNTIFS($A:$A,patch[[#This Row],[number]],$S:$S, "FL And dev",$AD:$AD, "&lt;&gt;IntegratorValidationComment"))</f>
        <v/>
      </c>
      <c r="AB484" s="7" t="str">
        <f>IF(ISBLANK(patch[[#This Row],[project]]), "",COUNTIFS($A:$A,patch[[#This Row],[number]],$S:$S, "SH And dev",$AD:$AD, "&lt;&gt;IntegratorValidationComment"))</f>
        <v/>
      </c>
      <c r="AC484" s="7" t="str">
        <f>IF(OR(ISNUMBER(FIND("Review-1", patch[[#This Row],[comments]])), ISNUMBER(FIND("Approver-1", patch[[#This Row],[comments]]))), "Review-1", "")</f>
        <v/>
      </c>
      <c r="AD4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84" s="7">
        <f>IF(ISBLANK(patch[[#This Row],[number]]),AE483,patch[[#This Row],[ifCommon]])</f>
        <v>0</v>
      </c>
    </row>
    <row r="485" spans="1:31">
      <c r="A485" s="151">
        <v>146996</v>
      </c>
      <c r="B485" s="151"/>
      <c r="C485" s="151"/>
      <c r="D485" s="151"/>
      <c r="E485" s="151"/>
      <c r="F485" s="151"/>
      <c r="G485" s="151"/>
      <c r="H485" s="151"/>
      <c r="I485" s="151"/>
      <c r="J485" s="152">
        <v>42639.751793981479</v>
      </c>
      <c r="K485" s="151"/>
      <c r="L485" s="151" t="s">
        <v>59</v>
      </c>
      <c r="M485" s="152">
        <v>42634.631620370368</v>
      </c>
      <c r="N485" s="151" t="s">
        <v>2849</v>
      </c>
      <c r="O485" s="151"/>
      <c r="P485" s="151"/>
      <c r="Q485" s="7" t="str">
        <f>IF(ISBLANK(patch[[#This Row],[OwnerEmail]]),Q484,patch[[#This Row],[OwnerEmail]])</f>
        <v>qingwu.zhang@intel.com</v>
      </c>
      <c r="R485" s="7" t="str">
        <f>_xlfn.IFNA(VLOOKUP(patch[[#This Row],[tmp-owner.email]],OrgTree!$A:$K, 11, 0), "not ICG SWFW")</f>
        <v>BJ And dev</v>
      </c>
      <c r="S485" s="7" t="str">
        <f>IF(patch[[#This Row],[reviewer]]=patch[[#This Row],[tmp-owner.email]], "author", _xlfn.IFNA(VLOOKUP(patch[[#This Row],[reviewer]],OrgTree!$A:$K, 11, 0), "not ICG SWFW"))</f>
        <v>BJ And dev</v>
      </c>
      <c r="T485" s="7" t="str">
        <f>IF(ISBLANK(patch[[#This Row],[mergeDate]]), "", MID(YEAR(patch[[#This Row],[mergeDate]]), 3,2)&amp;"'ww"&amp;WEEKNUM(patch[[#This Row],[mergeDate]]))</f>
        <v>16'ww40</v>
      </c>
      <c r="U485" s="7" t="str">
        <f>IF(ISBLANK(patch[[#This Row],[mergeDate]]), U484, MID(YEAR(patch[[#This Row],[mergeDate]]), 3,2)&amp;"'m"&amp;MONTH(patch[[#This Row],[mergeDate]]))</f>
        <v>16'm9</v>
      </c>
      <c r="V485" s="7" t="str">
        <f>IF(ISBLANK(patch[[#This Row],[project]]), "",SUM(patch[[#This Row],[BJ -1 num]:[SH -1 num]]))</f>
        <v/>
      </c>
      <c r="W485" s="7" t="str">
        <f>IF(ISBLANK(patch[[#This Row],[project]]), "",COUNTIFS($A:$A,patch[[#This Row],[number]],$S:$S, "BJ And dev",$AC:$AC, "Review-1"))</f>
        <v/>
      </c>
      <c r="X485" s="7" t="str">
        <f>IF(ISBLANK(patch[[#This Row],[project]]), "",COUNTIFS($A:$A,patch[[#This Row],[number]],$S:$S, "FL And dev",$AC:$AC, "Review-1"))</f>
        <v/>
      </c>
      <c r="Y485" s="7" t="str">
        <f>IF(ISBLANK(patch[[#This Row],[project]]), "",COUNTIFS($A:$A,patch[[#This Row],[number]],$S:$S, "SH And dev",$AC:$AC, "Review-1"))</f>
        <v/>
      </c>
      <c r="Z485" s="7" t="str">
        <f>IF(ISBLANK(patch[[#This Row],[project]]), "",COUNTIFS($A:$A,patch[[#This Row],[number]],$S:$S, "BJ And dev",$AD:$AD, "&lt;&gt;IntegratorValidationComment"))</f>
        <v/>
      </c>
      <c r="AA485" s="7" t="str">
        <f>IF(ISBLANK(patch[[#This Row],[project]]), "",COUNTIFS($A:$A,patch[[#This Row],[number]],$S:$S, "FL And dev",$AD:$AD, "&lt;&gt;IntegratorValidationComment"))</f>
        <v/>
      </c>
      <c r="AB485" s="7" t="str">
        <f>IF(ISBLANK(patch[[#This Row],[project]]), "",COUNTIFS($A:$A,patch[[#This Row],[number]],$S:$S, "SH And dev",$AD:$AD, "&lt;&gt;IntegratorValidationComment"))</f>
        <v/>
      </c>
      <c r="AC485" s="7" t="str">
        <f>IF(OR(ISNUMBER(FIND("Review-1", patch[[#This Row],[comments]])), ISNUMBER(FIND("Approver-1", patch[[#This Row],[comments]]))), "Review-1", "")</f>
        <v/>
      </c>
      <c r="AD4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85" s="7">
        <f>IF(ISBLANK(patch[[#This Row],[number]]),AE484,patch[[#This Row],[ifCommon]])</f>
        <v>0</v>
      </c>
    </row>
    <row r="486" spans="1:31">
      <c r="A486" s="151">
        <v>146996</v>
      </c>
      <c r="B486" s="151"/>
      <c r="C486" s="151"/>
      <c r="D486" s="151"/>
      <c r="E486" s="151"/>
      <c r="F486" s="151"/>
      <c r="G486" s="151"/>
      <c r="H486" s="151"/>
      <c r="I486" s="151"/>
      <c r="J486" s="152">
        <v>42639.751793981479</v>
      </c>
      <c r="K486" s="151"/>
      <c r="L486" s="151" t="s">
        <v>72</v>
      </c>
      <c r="M486" s="152">
        <v>42636.624652777777</v>
      </c>
      <c r="N486" s="151" t="s">
        <v>1873</v>
      </c>
      <c r="O486" s="151"/>
      <c r="P486" s="151"/>
      <c r="Q486" s="7" t="str">
        <f>IF(ISBLANK(patch[[#This Row],[OwnerEmail]]),Q485,patch[[#This Row],[OwnerEmail]])</f>
        <v>qingwu.zhang@intel.com</v>
      </c>
      <c r="R486" s="7" t="str">
        <f>_xlfn.IFNA(VLOOKUP(patch[[#This Row],[tmp-owner.email]],OrgTree!$A:$K, 11, 0), "not ICG SWFW")</f>
        <v>BJ And dev</v>
      </c>
      <c r="S486" s="7" t="str">
        <f>IF(patch[[#This Row],[reviewer]]=patch[[#This Row],[tmp-owner.email]], "author", _xlfn.IFNA(VLOOKUP(patch[[#This Row],[reviewer]],OrgTree!$A:$K, 11, 0), "not ICG SWFW"))</f>
        <v>BJ And dev</v>
      </c>
      <c r="T486" s="7" t="str">
        <f>IF(ISBLANK(patch[[#This Row],[mergeDate]]), "", MID(YEAR(patch[[#This Row],[mergeDate]]), 3,2)&amp;"'ww"&amp;WEEKNUM(patch[[#This Row],[mergeDate]]))</f>
        <v>16'ww40</v>
      </c>
      <c r="U486" s="7" t="str">
        <f>IF(ISBLANK(patch[[#This Row],[mergeDate]]), U485, MID(YEAR(patch[[#This Row],[mergeDate]]), 3,2)&amp;"'m"&amp;MONTH(patch[[#This Row],[mergeDate]]))</f>
        <v>16'm9</v>
      </c>
      <c r="V486" s="7" t="str">
        <f>IF(ISBLANK(patch[[#This Row],[project]]), "",SUM(patch[[#This Row],[BJ -1 num]:[SH -1 num]]))</f>
        <v/>
      </c>
      <c r="W486" s="7" t="str">
        <f>IF(ISBLANK(patch[[#This Row],[project]]), "",COUNTIFS($A:$A,patch[[#This Row],[number]],$S:$S, "BJ And dev",$AC:$AC, "Review-1"))</f>
        <v/>
      </c>
      <c r="X486" s="7" t="str">
        <f>IF(ISBLANK(patch[[#This Row],[project]]), "",COUNTIFS($A:$A,patch[[#This Row],[number]],$S:$S, "FL And dev",$AC:$AC, "Review-1"))</f>
        <v/>
      </c>
      <c r="Y486" s="7" t="str">
        <f>IF(ISBLANK(patch[[#This Row],[project]]), "",COUNTIFS($A:$A,patch[[#This Row],[number]],$S:$S, "SH And dev",$AC:$AC, "Review-1"))</f>
        <v/>
      </c>
      <c r="Z486" s="7" t="str">
        <f>IF(ISBLANK(patch[[#This Row],[project]]), "",COUNTIFS($A:$A,patch[[#This Row],[number]],$S:$S, "BJ And dev",$AD:$AD, "&lt;&gt;IntegratorValidationComment"))</f>
        <v/>
      </c>
      <c r="AA486" s="7" t="str">
        <f>IF(ISBLANK(patch[[#This Row],[project]]), "",COUNTIFS($A:$A,patch[[#This Row],[number]],$S:$S, "FL And dev",$AD:$AD, "&lt;&gt;IntegratorValidationComment"))</f>
        <v/>
      </c>
      <c r="AB486" s="7" t="str">
        <f>IF(ISBLANK(patch[[#This Row],[project]]), "",COUNTIFS($A:$A,patch[[#This Row],[number]],$S:$S, "SH And dev",$AD:$AD, "&lt;&gt;IntegratorValidationComment"))</f>
        <v/>
      </c>
      <c r="AC486" s="7" t="str">
        <f>IF(OR(ISNUMBER(FIND("Review-1", patch[[#This Row],[comments]])), ISNUMBER(FIND("Approver-1", patch[[#This Row],[comments]]))), "Review-1", "")</f>
        <v/>
      </c>
      <c r="AD4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86" s="7">
        <f>IF(ISBLANK(patch[[#This Row],[number]]),AE485,patch[[#This Row],[ifCommon]])</f>
        <v>0</v>
      </c>
    </row>
    <row r="487" spans="1:31">
      <c r="A487" s="151">
        <v>146996</v>
      </c>
      <c r="B487" s="151"/>
      <c r="C487" s="151"/>
      <c r="D487" s="151"/>
      <c r="E487" s="151"/>
      <c r="F487" s="151"/>
      <c r="G487" s="151"/>
      <c r="H487" s="151"/>
      <c r="I487" s="151"/>
      <c r="J487" s="152">
        <v>42639.751793981479</v>
      </c>
      <c r="K487" s="151"/>
      <c r="L487" s="151" t="s">
        <v>24</v>
      </c>
      <c r="M487" s="152">
        <v>42636.633750000001</v>
      </c>
      <c r="N487" s="151" t="s">
        <v>27</v>
      </c>
      <c r="O487" s="151"/>
      <c r="P487" s="151"/>
      <c r="Q487" s="7" t="str">
        <f>IF(ISBLANK(patch[[#This Row],[OwnerEmail]]),Q486,patch[[#This Row],[OwnerEmail]])</f>
        <v>qingwu.zhang@intel.com</v>
      </c>
      <c r="R487" s="7" t="str">
        <f>_xlfn.IFNA(VLOOKUP(patch[[#This Row],[tmp-owner.email]],OrgTree!$A:$K, 11, 0), "not ICG SWFW")</f>
        <v>BJ And dev</v>
      </c>
      <c r="S487" s="7" t="str">
        <f>IF(patch[[#This Row],[reviewer]]=patch[[#This Row],[tmp-owner.email]], "author", _xlfn.IFNA(VLOOKUP(patch[[#This Row],[reviewer]],OrgTree!$A:$K, 11, 0), "not ICG SWFW"))</f>
        <v>author</v>
      </c>
      <c r="T487" s="7" t="str">
        <f>IF(ISBLANK(patch[[#This Row],[mergeDate]]), "", MID(YEAR(patch[[#This Row],[mergeDate]]), 3,2)&amp;"'ww"&amp;WEEKNUM(patch[[#This Row],[mergeDate]]))</f>
        <v>16'ww40</v>
      </c>
      <c r="U487" s="7" t="str">
        <f>IF(ISBLANK(patch[[#This Row],[mergeDate]]), U486, MID(YEAR(patch[[#This Row],[mergeDate]]), 3,2)&amp;"'m"&amp;MONTH(patch[[#This Row],[mergeDate]]))</f>
        <v>16'm9</v>
      </c>
      <c r="V487" s="7" t="str">
        <f>IF(ISBLANK(patch[[#This Row],[project]]), "",SUM(patch[[#This Row],[BJ -1 num]:[SH -1 num]]))</f>
        <v/>
      </c>
      <c r="W487" s="7" t="str">
        <f>IF(ISBLANK(patch[[#This Row],[project]]), "",COUNTIFS($A:$A,patch[[#This Row],[number]],$S:$S, "BJ And dev",$AC:$AC, "Review-1"))</f>
        <v/>
      </c>
      <c r="X487" s="7" t="str">
        <f>IF(ISBLANK(patch[[#This Row],[project]]), "",COUNTIFS($A:$A,patch[[#This Row],[number]],$S:$S, "FL And dev",$AC:$AC, "Review-1"))</f>
        <v/>
      </c>
      <c r="Y487" s="7" t="str">
        <f>IF(ISBLANK(patch[[#This Row],[project]]), "",COUNTIFS($A:$A,patch[[#This Row],[number]],$S:$S, "SH And dev",$AC:$AC, "Review-1"))</f>
        <v/>
      </c>
      <c r="Z487" s="7" t="str">
        <f>IF(ISBLANK(patch[[#This Row],[project]]), "",COUNTIFS($A:$A,patch[[#This Row],[number]],$S:$S, "BJ And dev",$AD:$AD, "&lt;&gt;IntegratorValidationComment"))</f>
        <v/>
      </c>
      <c r="AA487" s="7" t="str">
        <f>IF(ISBLANK(patch[[#This Row],[project]]), "",COUNTIFS($A:$A,patch[[#This Row],[number]],$S:$S, "FL And dev",$AD:$AD, "&lt;&gt;IntegratorValidationComment"))</f>
        <v/>
      </c>
      <c r="AB487" s="7" t="str">
        <f>IF(ISBLANK(patch[[#This Row],[project]]), "",COUNTIFS($A:$A,patch[[#This Row],[number]],$S:$S, "SH And dev",$AD:$AD, "&lt;&gt;IntegratorValidationComment"))</f>
        <v/>
      </c>
      <c r="AC487" s="7" t="str">
        <f>IF(OR(ISNUMBER(FIND("Review-1", patch[[#This Row],[comments]])), ISNUMBER(FIND("Approver-1", patch[[#This Row],[comments]]))), "Review-1", "")</f>
        <v/>
      </c>
      <c r="AD4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87" s="7">
        <f>IF(ISBLANK(patch[[#This Row],[number]]),AE486,patch[[#This Row],[ifCommon]])</f>
        <v>0</v>
      </c>
    </row>
    <row r="488" spans="1:31">
      <c r="A488" s="151">
        <v>146996</v>
      </c>
      <c r="B488" s="151"/>
      <c r="C488" s="151"/>
      <c r="D488" s="151"/>
      <c r="E488" s="151"/>
      <c r="F488" s="151"/>
      <c r="G488" s="151"/>
      <c r="H488" s="151"/>
      <c r="I488" s="151"/>
      <c r="J488" s="152">
        <v>42639.751793981479</v>
      </c>
      <c r="K488" s="151"/>
      <c r="L488" s="151" t="s">
        <v>115</v>
      </c>
      <c r="M488" s="152">
        <v>42639.429652777777</v>
      </c>
      <c r="N488" s="151" t="s">
        <v>2495</v>
      </c>
      <c r="O488" s="151"/>
      <c r="P488" s="151"/>
      <c r="Q488" s="7" t="str">
        <f>IF(ISBLANK(patch[[#This Row],[OwnerEmail]]),Q487,patch[[#This Row],[OwnerEmail]])</f>
        <v>qingwu.zhang@intel.com</v>
      </c>
      <c r="R488" s="7" t="str">
        <f>_xlfn.IFNA(VLOOKUP(patch[[#This Row],[tmp-owner.email]],OrgTree!$A:$K, 11, 0), "not ICG SWFW")</f>
        <v>BJ And dev</v>
      </c>
      <c r="S488" s="7" t="str">
        <f>IF(patch[[#This Row],[reviewer]]=patch[[#This Row],[tmp-owner.email]], "author", _xlfn.IFNA(VLOOKUP(patch[[#This Row],[reviewer]],OrgTree!$A:$K, 11, 0), "not ICG SWFW"))</f>
        <v>Val</v>
      </c>
      <c r="T488" s="7" t="str">
        <f>IF(ISBLANK(patch[[#This Row],[mergeDate]]), "", MID(YEAR(patch[[#This Row],[mergeDate]]), 3,2)&amp;"'ww"&amp;WEEKNUM(patch[[#This Row],[mergeDate]]))</f>
        <v>16'ww40</v>
      </c>
      <c r="U488" s="7" t="str">
        <f>IF(ISBLANK(patch[[#This Row],[mergeDate]]), U487, MID(YEAR(patch[[#This Row],[mergeDate]]), 3,2)&amp;"'m"&amp;MONTH(patch[[#This Row],[mergeDate]]))</f>
        <v>16'm9</v>
      </c>
      <c r="V488" s="7" t="str">
        <f>IF(ISBLANK(patch[[#This Row],[project]]), "",SUM(patch[[#This Row],[BJ -1 num]:[SH -1 num]]))</f>
        <v/>
      </c>
      <c r="W488" s="7" t="str">
        <f>IF(ISBLANK(patch[[#This Row],[project]]), "",COUNTIFS($A:$A,patch[[#This Row],[number]],$S:$S, "BJ And dev",$AC:$AC, "Review-1"))</f>
        <v/>
      </c>
      <c r="X488" s="7" t="str">
        <f>IF(ISBLANK(patch[[#This Row],[project]]), "",COUNTIFS($A:$A,patch[[#This Row],[number]],$S:$S, "FL And dev",$AC:$AC, "Review-1"))</f>
        <v/>
      </c>
      <c r="Y488" s="7" t="str">
        <f>IF(ISBLANK(patch[[#This Row],[project]]), "",COUNTIFS($A:$A,patch[[#This Row],[number]],$S:$S, "SH And dev",$AC:$AC, "Review-1"))</f>
        <v/>
      </c>
      <c r="Z488" s="7" t="str">
        <f>IF(ISBLANK(patch[[#This Row],[project]]), "",COUNTIFS($A:$A,patch[[#This Row],[number]],$S:$S, "BJ And dev",$AD:$AD, "&lt;&gt;IntegratorValidationComment"))</f>
        <v/>
      </c>
      <c r="AA488" s="7" t="str">
        <f>IF(ISBLANK(patch[[#This Row],[project]]), "",COUNTIFS($A:$A,patch[[#This Row],[number]],$S:$S, "FL And dev",$AD:$AD, "&lt;&gt;IntegratorValidationComment"))</f>
        <v/>
      </c>
      <c r="AB488" s="7" t="str">
        <f>IF(ISBLANK(patch[[#This Row],[project]]), "",COUNTIFS($A:$A,patch[[#This Row],[number]],$S:$S, "SH And dev",$AD:$AD, "&lt;&gt;IntegratorValidationComment"))</f>
        <v/>
      </c>
      <c r="AC488" s="7" t="str">
        <f>IF(OR(ISNUMBER(FIND("Review-1", patch[[#This Row],[comments]])), ISNUMBER(FIND("Approver-1", patch[[#This Row],[comments]]))), "Review-1", "")</f>
        <v/>
      </c>
      <c r="AD4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488" s="7">
        <f>IF(ISBLANK(patch[[#This Row],[number]]),AE487,patch[[#This Row],[ifCommon]])</f>
        <v>0</v>
      </c>
    </row>
    <row r="489" spans="1:31">
      <c r="A489" s="151">
        <v>147356</v>
      </c>
      <c r="B489" s="151" t="s">
        <v>2490</v>
      </c>
      <c r="C489" s="151" t="s">
        <v>2491</v>
      </c>
      <c r="D489" s="151" t="s">
        <v>2828</v>
      </c>
      <c r="E489" s="151" t="s">
        <v>24</v>
      </c>
      <c r="F489" s="151" t="s">
        <v>23</v>
      </c>
      <c r="G489" s="151" t="s">
        <v>2829</v>
      </c>
      <c r="H489" s="151" t="s">
        <v>2830</v>
      </c>
      <c r="I489" s="152">
        <v>42635.658310185187</v>
      </c>
      <c r="J489" s="152">
        <v>42636.849490740737</v>
      </c>
      <c r="K489" s="151" t="s">
        <v>2445</v>
      </c>
      <c r="L489" s="151" t="s">
        <v>24</v>
      </c>
      <c r="M489" s="152">
        <v>42635.658310185187</v>
      </c>
      <c r="N489" s="151" t="s">
        <v>2428</v>
      </c>
      <c r="O489" s="151"/>
      <c r="P489" s="151" t="s">
        <v>2850</v>
      </c>
      <c r="Q489" s="7" t="str">
        <f>IF(ISBLANK(patch[[#This Row],[OwnerEmail]]),Q488,patch[[#This Row],[OwnerEmail]])</f>
        <v>qingwu.zhang@intel.com</v>
      </c>
      <c r="R489" s="7" t="str">
        <f>_xlfn.IFNA(VLOOKUP(patch[[#This Row],[tmp-owner.email]],OrgTree!$A:$K, 11, 0), "not ICG SWFW")</f>
        <v>BJ And dev</v>
      </c>
      <c r="S489" s="7" t="str">
        <f>IF(patch[[#This Row],[reviewer]]=patch[[#This Row],[tmp-owner.email]], "author", _xlfn.IFNA(VLOOKUP(patch[[#This Row],[reviewer]],OrgTree!$A:$K, 11, 0), "not ICG SWFW"))</f>
        <v>author</v>
      </c>
      <c r="T489" s="7" t="str">
        <f>IF(ISBLANK(patch[[#This Row],[mergeDate]]), "", MID(YEAR(patch[[#This Row],[mergeDate]]), 3,2)&amp;"'ww"&amp;WEEKNUM(patch[[#This Row],[mergeDate]]))</f>
        <v>16'ww39</v>
      </c>
      <c r="U489" s="7" t="str">
        <f>IF(ISBLANK(patch[[#This Row],[mergeDate]]), U488, MID(YEAR(patch[[#This Row],[mergeDate]]), 3,2)&amp;"'m"&amp;MONTH(patch[[#This Row],[mergeDate]]))</f>
        <v>16'm9</v>
      </c>
      <c r="V489" s="7">
        <f>IF(ISBLANK(patch[[#This Row],[project]]), "",SUM(patch[[#This Row],[BJ -1 num]:[SH -1 num]]))</f>
        <v>0</v>
      </c>
      <c r="W489" s="7">
        <f>IF(ISBLANK(patch[[#This Row],[project]]), "",COUNTIFS($A:$A,patch[[#This Row],[number]],$S:$S, "BJ And dev",$AC:$AC, "Review-1"))</f>
        <v>0</v>
      </c>
      <c r="X489" s="7">
        <f>IF(ISBLANK(patch[[#This Row],[project]]), "",COUNTIFS($A:$A,patch[[#This Row],[number]],$S:$S, "FL And dev",$AC:$AC, "Review-1"))</f>
        <v>0</v>
      </c>
      <c r="Y489" s="7">
        <f>IF(ISBLANK(patch[[#This Row],[project]]), "",COUNTIFS($A:$A,patch[[#This Row],[number]],$S:$S, "SH And dev",$AC:$AC, "Review-1"))</f>
        <v>0</v>
      </c>
      <c r="Z489" s="7">
        <f>IF(ISBLANK(patch[[#This Row],[project]]), "",COUNTIFS($A:$A,patch[[#This Row],[number]],$S:$S, "BJ And dev",$AD:$AD, "&lt;&gt;IntegratorValidationComment"))</f>
        <v>16</v>
      </c>
      <c r="AA489" s="7">
        <f>IF(ISBLANK(patch[[#This Row],[project]]), "",COUNTIFS($A:$A,patch[[#This Row],[number]],$S:$S, "FL And dev",$AD:$AD, "&lt;&gt;IntegratorValidationComment"))</f>
        <v>0</v>
      </c>
      <c r="AB489" s="7">
        <f>IF(ISBLANK(patch[[#This Row],[project]]), "",COUNTIFS($A:$A,patch[[#This Row],[number]],$S:$S, "SH And dev",$AD:$AD, "&lt;&gt;IntegratorValidationComment"))</f>
        <v>0</v>
      </c>
      <c r="AC489" s="7" t="str">
        <f>IF(OR(ISNUMBER(FIND("Review-1", patch[[#This Row],[comments]])), ISNUMBER(FIND("Approver-1", patch[[#This Row],[comments]]))), "Review-1", "")</f>
        <v/>
      </c>
      <c r="AD4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89" s="7" t="str">
        <f>IF(ISBLANK(patch[[#This Row],[number]]),AE488,patch[[#This Row],[ifCommon]])</f>
        <v>not AndrHAL</v>
      </c>
    </row>
    <row r="490" spans="1:31">
      <c r="A490" s="151">
        <v>147356</v>
      </c>
      <c r="B490" s="151"/>
      <c r="C490" s="151"/>
      <c r="D490" s="151"/>
      <c r="E490" s="151"/>
      <c r="F490" s="151"/>
      <c r="G490" s="151"/>
      <c r="H490" s="151"/>
      <c r="I490" s="151"/>
      <c r="J490" s="152">
        <v>42636.849490740737</v>
      </c>
      <c r="K490" s="151"/>
      <c r="L490" s="151" t="s">
        <v>24</v>
      </c>
      <c r="M490" s="152">
        <v>42635.658310185187</v>
      </c>
      <c r="N490" s="151" t="s">
        <v>25</v>
      </c>
      <c r="O490" s="151"/>
      <c r="P490" s="151"/>
      <c r="Q490" s="7" t="str">
        <f>IF(ISBLANK(patch[[#This Row],[OwnerEmail]]),Q489,patch[[#This Row],[OwnerEmail]])</f>
        <v>qingwu.zhang@intel.com</v>
      </c>
      <c r="R490" s="7" t="str">
        <f>_xlfn.IFNA(VLOOKUP(patch[[#This Row],[tmp-owner.email]],OrgTree!$A:$K, 11, 0), "not ICG SWFW")</f>
        <v>BJ And dev</v>
      </c>
      <c r="S490" s="7" t="str">
        <f>IF(patch[[#This Row],[reviewer]]=patch[[#This Row],[tmp-owner.email]], "author", _xlfn.IFNA(VLOOKUP(patch[[#This Row],[reviewer]],OrgTree!$A:$K, 11, 0), "not ICG SWFW"))</f>
        <v>author</v>
      </c>
      <c r="T490" s="7" t="str">
        <f>IF(ISBLANK(patch[[#This Row],[mergeDate]]), "", MID(YEAR(patch[[#This Row],[mergeDate]]), 3,2)&amp;"'ww"&amp;WEEKNUM(patch[[#This Row],[mergeDate]]))</f>
        <v>16'ww39</v>
      </c>
      <c r="U490" s="7" t="str">
        <f>IF(ISBLANK(patch[[#This Row],[mergeDate]]), U489, MID(YEAR(patch[[#This Row],[mergeDate]]), 3,2)&amp;"'m"&amp;MONTH(patch[[#This Row],[mergeDate]]))</f>
        <v>16'm9</v>
      </c>
      <c r="V490" s="7" t="str">
        <f>IF(ISBLANK(patch[[#This Row],[project]]), "",SUM(patch[[#This Row],[BJ -1 num]:[SH -1 num]]))</f>
        <v/>
      </c>
      <c r="W490" s="7" t="str">
        <f>IF(ISBLANK(patch[[#This Row],[project]]), "",COUNTIFS($A:$A,patch[[#This Row],[number]],$S:$S, "BJ And dev",$AC:$AC, "Review-1"))</f>
        <v/>
      </c>
      <c r="X490" s="7" t="str">
        <f>IF(ISBLANK(patch[[#This Row],[project]]), "",COUNTIFS($A:$A,patch[[#This Row],[number]],$S:$S, "FL And dev",$AC:$AC, "Review-1"))</f>
        <v/>
      </c>
      <c r="Y490" s="7" t="str">
        <f>IF(ISBLANK(patch[[#This Row],[project]]), "",COUNTIFS($A:$A,patch[[#This Row],[number]],$S:$S, "SH And dev",$AC:$AC, "Review-1"))</f>
        <v/>
      </c>
      <c r="Z490" s="7" t="str">
        <f>IF(ISBLANK(patch[[#This Row],[project]]), "",COUNTIFS($A:$A,patch[[#This Row],[number]],$S:$S, "BJ And dev",$AD:$AD, "&lt;&gt;IntegratorValidationComment"))</f>
        <v/>
      </c>
      <c r="AA490" s="7" t="str">
        <f>IF(ISBLANK(patch[[#This Row],[project]]), "",COUNTIFS($A:$A,patch[[#This Row],[number]],$S:$S, "FL And dev",$AD:$AD, "&lt;&gt;IntegratorValidationComment"))</f>
        <v/>
      </c>
      <c r="AB490" s="7" t="str">
        <f>IF(ISBLANK(patch[[#This Row],[project]]), "",COUNTIFS($A:$A,patch[[#This Row],[number]],$S:$S, "SH And dev",$AD:$AD, "&lt;&gt;IntegratorValidationComment"))</f>
        <v/>
      </c>
      <c r="AC490" s="7" t="str">
        <f>IF(OR(ISNUMBER(FIND("Review-1", patch[[#This Row],[comments]])), ISNUMBER(FIND("Approver-1", patch[[#This Row],[comments]]))), "Review-1", "")</f>
        <v/>
      </c>
      <c r="AD4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90" s="7">
        <f>IF(ISBLANK(patch[[#This Row],[number]]),AE489,patch[[#This Row],[ifCommon]])</f>
        <v>0</v>
      </c>
    </row>
    <row r="491" spans="1:31">
      <c r="A491" s="151">
        <v>147356</v>
      </c>
      <c r="B491" s="151"/>
      <c r="C491" s="151"/>
      <c r="D491" s="151"/>
      <c r="E491" s="151"/>
      <c r="F491" s="151"/>
      <c r="G491" s="151"/>
      <c r="H491" s="151"/>
      <c r="I491" s="151"/>
      <c r="J491" s="152">
        <v>42636.849490740737</v>
      </c>
      <c r="K491" s="151"/>
      <c r="L491" s="151" t="s">
        <v>59</v>
      </c>
      <c r="M491" s="152">
        <v>42635.661238425928</v>
      </c>
      <c r="N491" s="151" t="s">
        <v>2851</v>
      </c>
      <c r="O491" s="151"/>
      <c r="P491" s="151"/>
      <c r="Q491" s="7" t="str">
        <f>IF(ISBLANK(patch[[#This Row],[OwnerEmail]]),Q490,patch[[#This Row],[OwnerEmail]])</f>
        <v>qingwu.zhang@intel.com</v>
      </c>
      <c r="R491" s="7" t="str">
        <f>_xlfn.IFNA(VLOOKUP(patch[[#This Row],[tmp-owner.email]],OrgTree!$A:$K, 11, 0), "not ICG SWFW")</f>
        <v>BJ And dev</v>
      </c>
      <c r="S491" s="7" t="str">
        <f>IF(patch[[#This Row],[reviewer]]=patch[[#This Row],[tmp-owner.email]], "author", _xlfn.IFNA(VLOOKUP(patch[[#This Row],[reviewer]],OrgTree!$A:$K, 11, 0), "not ICG SWFW"))</f>
        <v>BJ And dev</v>
      </c>
      <c r="T491" s="7" t="str">
        <f>IF(ISBLANK(patch[[#This Row],[mergeDate]]), "", MID(YEAR(patch[[#This Row],[mergeDate]]), 3,2)&amp;"'ww"&amp;WEEKNUM(patch[[#This Row],[mergeDate]]))</f>
        <v>16'ww39</v>
      </c>
      <c r="U491" s="7" t="str">
        <f>IF(ISBLANK(patch[[#This Row],[mergeDate]]), U490, MID(YEAR(patch[[#This Row],[mergeDate]]), 3,2)&amp;"'m"&amp;MONTH(patch[[#This Row],[mergeDate]]))</f>
        <v>16'm9</v>
      </c>
      <c r="V491" s="7" t="str">
        <f>IF(ISBLANK(patch[[#This Row],[project]]), "",SUM(patch[[#This Row],[BJ -1 num]:[SH -1 num]]))</f>
        <v/>
      </c>
      <c r="W491" s="7" t="str">
        <f>IF(ISBLANK(patch[[#This Row],[project]]), "",COUNTIFS($A:$A,patch[[#This Row],[number]],$S:$S, "BJ And dev",$AC:$AC, "Review-1"))</f>
        <v/>
      </c>
      <c r="X491" s="7" t="str">
        <f>IF(ISBLANK(patch[[#This Row],[project]]), "",COUNTIFS($A:$A,patch[[#This Row],[number]],$S:$S, "FL And dev",$AC:$AC, "Review-1"))</f>
        <v/>
      </c>
      <c r="Y491" s="7" t="str">
        <f>IF(ISBLANK(patch[[#This Row],[project]]), "",COUNTIFS($A:$A,patch[[#This Row],[number]],$S:$S, "SH And dev",$AC:$AC, "Review-1"))</f>
        <v/>
      </c>
      <c r="Z491" s="7" t="str">
        <f>IF(ISBLANK(patch[[#This Row],[project]]), "",COUNTIFS($A:$A,patch[[#This Row],[number]],$S:$S, "BJ And dev",$AD:$AD, "&lt;&gt;IntegratorValidationComment"))</f>
        <v/>
      </c>
      <c r="AA491" s="7" t="str">
        <f>IF(ISBLANK(patch[[#This Row],[project]]), "",COUNTIFS($A:$A,patch[[#This Row],[number]],$S:$S, "FL And dev",$AD:$AD, "&lt;&gt;IntegratorValidationComment"))</f>
        <v/>
      </c>
      <c r="AB491" s="7" t="str">
        <f>IF(ISBLANK(patch[[#This Row],[project]]), "",COUNTIFS($A:$A,patch[[#This Row],[number]],$S:$S, "SH And dev",$AD:$AD, "&lt;&gt;IntegratorValidationComment"))</f>
        <v/>
      </c>
      <c r="AC491" s="7" t="str">
        <f>IF(OR(ISNUMBER(FIND("Review-1", patch[[#This Row],[comments]])), ISNUMBER(FIND("Approver-1", patch[[#This Row],[comments]]))), "Review-1", "")</f>
        <v/>
      </c>
      <c r="AD4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91" s="7">
        <f>IF(ISBLANK(patch[[#This Row],[number]]),AE490,patch[[#This Row],[ifCommon]])</f>
        <v>0</v>
      </c>
    </row>
    <row r="492" spans="1:31">
      <c r="A492" s="151">
        <v>147356</v>
      </c>
      <c r="B492" s="151"/>
      <c r="C492" s="151"/>
      <c r="D492" s="151"/>
      <c r="E492" s="151"/>
      <c r="F492" s="151"/>
      <c r="G492" s="151"/>
      <c r="H492" s="151"/>
      <c r="I492" s="151"/>
      <c r="J492" s="152">
        <v>42636.849490740737</v>
      </c>
      <c r="K492" s="151"/>
      <c r="L492" s="151" t="s">
        <v>24</v>
      </c>
      <c r="M492" s="152">
        <v>42635.662048611113</v>
      </c>
      <c r="N492" s="151" t="s">
        <v>2429</v>
      </c>
      <c r="O492" s="151"/>
      <c r="P492" s="151"/>
      <c r="Q492" s="7" t="str">
        <f>IF(ISBLANK(patch[[#This Row],[OwnerEmail]]),Q491,patch[[#This Row],[OwnerEmail]])</f>
        <v>qingwu.zhang@intel.com</v>
      </c>
      <c r="R492" s="7" t="str">
        <f>_xlfn.IFNA(VLOOKUP(patch[[#This Row],[tmp-owner.email]],OrgTree!$A:$K, 11, 0), "not ICG SWFW")</f>
        <v>BJ And dev</v>
      </c>
      <c r="S492" s="7" t="str">
        <f>IF(patch[[#This Row],[reviewer]]=patch[[#This Row],[tmp-owner.email]], "author", _xlfn.IFNA(VLOOKUP(patch[[#This Row],[reviewer]],OrgTree!$A:$K, 11, 0), "not ICG SWFW"))</f>
        <v>author</v>
      </c>
      <c r="T492" s="7" t="str">
        <f>IF(ISBLANK(patch[[#This Row],[mergeDate]]), "", MID(YEAR(patch[[#This Row],[mergeDate]]), 3,2)&amp;"'ww"&amp;WEEKNUM(patch[[#This Row],[mergeDate]]))</f>
        <v>16'ww39</v>
      </c>
      <c r="U492" s="7" t="str">
        <f>IF(ISBLANK(patch[[#This Row],[mergeDate]]), U491, MID(YEAR(patch[[#This Row],[mergeDate]]), 3,2)&amp;"'m"&amp;MONTH(patch[[#This Row],[mergeDate]]))</f>
        <v>16'm9</v>
      </c>
      <c r="V492" s="7" t="str">
        <f>IF(ISBLANK(patch[[#This Row],[project]]), "",SUM(patch[[#This Row],[BJ -1 num]:[SH -1 num]]))</f>
        <v/>
      </c>
      <c r="W492" s="7" t="str">
        <f>IF(ISBLANK(patch[[#This Row],[project]]), "",COUNTIFS($A:$A,patch[[#This Row],[number]],$S:$S, "BJ And dev",$AC:$AC, "Review-1"))</f>
        <v/>
      </c>
      <c r="X492" s="7" t="str">
        <f>IF(ISBLANK(patch[[#This Row],[project]]), "",COUNTIFS($A:$A,patch[[#This Row],[number]],$S:$S, "FL And dev",$AC:$AC, "Review-1"))</f>
        <v/>
      </c>
      <c r="Y492" s="7" t="str">
        <f>IF(ISBLANK(patch[[#This Row],[project]]), "",COUNTIFS($A:$A,patch[[#This Row],[number]],$S:$S, "SH And dev",$AC:$AC, "Review-1"))</f>
        <v/>
      </c>
      <c r="Z492" s="7" t="str">
        <f>IF(ISBLANK(patch[[#This Row],[project]]), "",COUNTIFS($A:$A,patch[[#This Row],[number]],$S:$S, "BJ And dev",$AD:$AD, "&lt;&gt;IntegratorValidationComment"))</f>
        <v/>
      </c>
      <c r="AA492" s="7" t="str">
        <f>IF(ISBLANK(patch[[#This Row],[project]]), "",COUNTIFS($A:$A,patch[[#This Row],[number]],$S:$S, "FL And dev",$AD:$AD, "&lt;&gt;IntegratorValidationComment"))</f>
        <v/>
      </c>
      <c r="AB492" s="7" t="str">
        <f>IF(ISBLANK(patch[[#This Row],[project]]), "",COUNTIFS($A:$A,patch[[#This Row],[number]],$S:$S, "SH And dev",$AD:$AD, "&lt;&gt;IntegratorValidationComment"))</f>
        <v/>
      </c>
      <c r="AC492" s="7" t="str">
        <f>IF(OR(ISNUMBER(FIND("Review-1", patch[[#This Row],[comments]])), ISNUMBER(FIND("Approver-1", patch[[#This Row],[comments]]))), "Review-1", "")</f>
        <v/>
      </c>
      <c r="AD4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92" s="7">
        <f>IF(ISBLANK(patch[[#This Row],[number]]),AE491,patch[[#This Row],[ifCommon]])</f>
        <v>0</v>
      </c>
    </row>
    <row r="493" spans="1:31">
      <c r="A493" s="151">
        <v>147356</v>
      </c>
      <c r="B493" s="151"/>
      <c r="C493" s="151"/>
      <c r="D493" s="151"/>
      <c r="E493" s="151"/>
      <c r="F493" s="151"/>
      <c r="G493" s="151"/>
      <c r="H493" s="151"/>
      <c r="I493" s="151"/>
      <c r="J493" s="152">
        <v>42636.849490740737</v>
      </c>
      <c r="K493" s="151"/>
      <c r="L493" s="151" t="s">
        <v>24</v>
      </c>
      <c r="M493" s="152">
        <v>42635.662048611113</v>
      </c>
      <c r="N493" s="151" t="s">
        <v>29</v>
      </c>
      <c r="O493" s="151"/>
      <c r="P493" s="151"/>
      <c r="Q493" s="7" t="str">
        <f>IF(ISBLANK(patch[[#This Row],[OwnerEmail]]),Q492,patch[[#This Row],[OwnerEmail]])</f>
        <v>qingwu.zhang@intel.com</v>
      </c>
      <c r="R493" s="7" t="str">
        <f>_xlfn.IFNA(VLOOKUP(patch[[#This Row],[tmp-owner.email]],OrgTree!$A:$K, 11, 0), "not ICG SWFW")</f>
        <v>BJ And dev</v>
      </c>
      <c r="S493" s="7" t="str">
        <f>IF(patch[[#This Row],[reviewer]]=patch[[#This Row],[tmp-owner.email]], "author", _xlfn.IFNA(VLOOKUP(patch[[#This Row],[reviewer]],OrgTree!$A:$K, 11, 0), "not ICG SWFW"))</f>
        <v>author</v>
      </c>
      <c r="T493" s="7" t="str">
        <f>IF(ISBLANK(patch[[#This Row],[mergeDate]]), "", MID(YEAR(patch[[#This Row],[mergeDate]]), 3,2)&amp;"'ww"&amp;WEEKNUM(patch[[#This Row],[mergeDate]]))</f>
        <v>16'ww39</v>
      </c>
      <c r="U493" s="7" t="str">
        <f>IF(ISBLANK(patch[[#This Row],[mergeDate]]), U492, MID(YEAR(patch[[#This Row],[mergeDate]]), 3,2)&amp;"'m"&amp;MONTH(patch[[#This Row],[mergeDate]]))</f>
        <v>16'm9</v>
      </c>
      <c r="V493" s="7" t="str">
        <f>IF(ISBLANK(patch[[#This Row],[project]]), "",SUM(patch[[#This Row],[BJ -1 num]:[SH -1 num]]))</f>
        <v/>
      </c>
      <c r="W493" s="7" t="str">
        <f>IF(ISBLANK(patch[[#This Row],[project]]), "",COUNTIFS($A:$A,patch[[#This Row],[number]],$S:$S, "BJ And dev",$AC:$AC, "Review-1"))</f>
        <v/>
      </c>
      <c r="X493" s="7" t="str">
        <f>IF(ISBLANK(patch[[#This Row],[project]]), "",COUNTIFS($A:$A,patch[[#This Row],[number]],$S:$S, "FL And dev",$AC:$AC, "Review-1"))</f>
        <v/>
      </c>
      <c r="Y493" s="7" t="str">
        <f>IF(ISBLANK(patch[[#This Row],[project]]), "",COUNTIFS($A:$A,patch[[#This Row],[number]],$S:$S, "SH And dev",$AC:$AC, "Review-1"))</f>
        <v/>
      </c>
      <c r="Z493" s="7" t="str">
        <f>IF(ISBLANK(patch[[#This Row],[project]]), "",COUNTIFS($A:$A,patch[[#This Row],[number]],$S:$S, "BJ And dev",$AD:$AD, "&lt;&gt;IntegratorValidationComment"))</f>
        <v/>
      </c>
      <c r="AA493" s="7" t="str">
        <f>IF(ISBLANK(patch[[#This Row],[project]]), "",COUNTIFS($A:$A,patch[[#This Row],[number]],$S:$S, "FL And dev",$AD:$AD, "&lt;&gt;IntegratorValidationComment"))</f>
        <v/>
      </c>
      <c r="AB493" s="7" t="str">
        <f>IF(ISBLANK(patch[[#This Row],[project]]), "",COUNTIFS($A:$A,patch[[#This Row],[number]],$S:$S, "SH And dev",$AD:$AD, "&lt;&gt;IntegratorValidationComment"))</f>
        <v/>
      </c>
      <c r="AC493" s="7" t="str">
        <f>IF(OR(ISNUMBER(FIND("Review-1", patch[[#This Row],[comments]])), ISNUMBER(FIND("Approver-1", patch[[#This Row],[comments]]))), "Review-1", "")</f>
        <v/>
      </c>
      <c r="AD4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93" s="7">
        <f>IF(ISBLANK(patch[[#This Row],[number]]),AE492,patch[[#This Row],[ifCommon]])</f>
        <v>0</v>
      </c>
    </row>
    <row r="494" spans="1:31">
      <c r="A494" s="151">
        <v>147356</v>
      </c>
      <c r="B494" s="151"/>
      <c r="C494" s="151"/>
      <c r="D494" s="151"/>
      <c r="E494" s="151"/>
      <c r="F494" s="151"/>
      <c r="G494" s="151"/>
      <c r="H494" s="151"/>
      <c r="I494" s="151"/>
      <c r="J494" s="152">
        <v>42636.849490740737</v>
      </c>
      <c r="K494" s="151"/>
      <c r="L494" s="151" t="s">
        <v>24</v>
      </c>
      <c r="M494" s="152">
        <v>42635.663553240738</v>
      </c>
      <c r="N494" s="151" t="s">
        <v>27</v>
      </c>
      <c r="O494" s="151"/>
      <c r="P494" s="151"/>
      <c r="Q494" s="7" t="str">
        <f>IF(ISBLANK(patch[[#This Row],[OwnerEmail]]),Q493,patch[[#This Row],[OwnerEmail]])</f>
        <v>qingwu.zhang@intel.com</v>
      </c>
      <c r="R494" s="7" t="str">
        <f>_xlfn.IFNA(VLOOKUP(patch[[#This Row],[tmp-owner.email]],OrgTree!$A:$K, 11, 0), "not ICG SWFW")</f>
        <v>BJ And dev</v>
      </c>
      <c r="S494" s="7" t="str">
        <f>IF(patch[[#This Row],[reviewer]]=patch[[#This Row],[tmp-owner.email]], "author", _xlfn.IFNA(VLOOKUP(patch[[#This Row],[reviewer]],OrgTree!$A:$K, 11, 0), "not ICG SWFW"))</f>
        <v>author</v>
      </c>
      <c r="T494" s="7" t="str">
        <f>IF(ISBLANK(patch[[#This Row],[mergeDate]]), "", MID(YEAR(patch[[#This Row],[mergeDate]]), 3,2)&amp;"'ww"&amp;WEEKNUM(patch[[#This Row],[mergeDate]]))</f>
        <v>16'ww39</v>
      </c>
      <c r="U494" s="7" t="str">
        <f>IF(ISBLANK(patch[[#This Row],[mergeDate]]), U493, MID(YEAR(patch[[#This Row],[mergeDate]]), 3,2)&amp;"'m"&amp;MONTH(patch[[#This Row],[mergeDate]]))</f>
        <v>16'm9</v>
      </c>
      <c r="V494" s="7" t="str">
        <f>IF(ISBLANK(patch[[#This Row],[project]]), "",SUM(patch[[#This Row],[BJ -1 num]:[SH -1 num]]))</f>
        <v/>
      </c>
      <c r="W494" s="7" t="str">
        <f>IF(ISBLANK(patch[[#This Row],[project]]), "",COUNTIFS($A:$A,patch[[#This Row],[number]],$S:$S, "BJ And dev",$AC:$AC, "Review-1"))</f>
        <v/>
      </c>
      <c r="X494" s="7" t="str">
        <f>IF(ISBLANK(patch[[#This Row],[project]]), "",COUNTIFS($A:$A,patch[[#This Row],[number]],$S:$S, "FL And dev",$AC:$AC, "Review-1"))</f>
        <v/>
      </c>
      <c r="Y494" s="7" t="str">
        <f>IF(ISBLANK(patch[[#This Row],[project]]), "",COUNTIFS($A:$A,patch[[#This Row],[number]],$S:$S, "SH And dev",$AC:$AC, "Review-1"))</f>
        <v/>
      </c>
      <c r="Z494" s="7" t="str">
        <f>IF(ISBLANK(patch[[#This Row],[project]]), "",COUNTIFS($A:$A,patch[[#This Row],[number]],$S:$S, "BJ And dev",$AD:$AD, "&lt;&gt;IntegratorValidationComment"))</f>
        <v/>
      </c>
      <c r="AA494" s="7" t="str">
        <f>IF(ISBLANK(patch[[#This Row],[project]]), "",COUNTIFS($A:$A,patch[[#This Row],[number]],$S:$S, "FL And dev",$AD:$AD, "&lt;&gt;IntegratorValidationComment"))</f>
        <v/>
      </c>
      <c r="AB494" s="7" t="str">
        <f>IF(ISBLANK(patch[[#This Row],[project]]), "",COUNTIFS($A:$A,patch[[#This Row],[number]],$S:$S, "SH And dev",$AD:$AD, "&lt;&gt;IntegratorValidationComment"))</f>
        <v/>
      </c>
      <c r="AC494" s="7" t="str">
        <f>IF(OR(ISNUMBER(FIND("Review-1", patch[[#This Row],[comments]])), ISNUMBER(FIND("Approver-1", patch[[#This Row],[comments]]))), "Review-1", "")</f>
        <v/>
      </c>
      <c r="AD4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94" s="7">
        <f>IF(ISBLANK(patch[[#This Row],[number]]),AE493,patch[[#This Row],[ifCommon]])</f>
        <v>0</v>
      </c>
    </row>
    <row r="495" spans="1:31">
      <c r="A495" s="151">
        <v>147356</v>
      </c>
      <c r="B495" s="151"/>
      <c r="C495" s="151"/>
      <c r="D495" s="151"/>
      <c r="E495" s="151"/>
      <c r="F495" s="151"/>
      <c r="G495" s="151"/>
      <c r="H495" s="151"/>
      <c r="I495" s="151"/>
      <c r="J495" s="152">
        <v>42636.849490740737</v>
      </c>
      <c r="K495" s="151"/>
      <c r="L495" s="151" t="s">
        <v>59</v>
      </c>
      <c r="M495" s="152">
        <v>42635.664236111108</v>
      </c>
      <c r="N495" s="151" t="s">
        <v>2852</v>
      </c>
      <c r="O495" s="151"/>
      <c r="P495" s="151"/>
      <c r="Q495" s="7" t="str">
        <f>IF(ISBLANK(patch[[#This Row],[OwnerEmail]]),Q494,patch[[#This Row],[OwnerEmail]])</f>
        <v>qingwu.zhang@intel.com</v>
      </c>
      <c r="R495" s="7" t="str">
        <f>_xlfn.IFNA(VLOOKUP(patch[[#This Row],[tmp-owner.email]],OrgTree!$A:$K, 11, 0), "not ICG SWFW")</f>
        <v>BJ And dev</v>
      </c>
      <c r="S495" s="7" t="str">
        <f>IF(patch[[#This Row],[reviewer]]=patch[[#This Row],[tmp-owner.email]], "author", _xlfn.IFNA(VLOOKUP(patch[[#This Row],[reviewer]],OrgTree!$A:$K, 11, 0), "not ICG SWFW"))</f>
        <v>BJ And dev</v>
      </c>
      <c r="T495" s="7" t="str">
        <f>IF(ISBLANK(patch[[#This Row],[mergeDate]]), "", MID(YEAR(patch[[#This Row],[mergeDate]]), 3,2)&amp;"'ww"&amp;WEEKNUM(patch[[#This Row],[mergeDate]]))</f>
        <v>16'ww39</v>
      </c>
      <c r="U495" s="7" t="str">
        <f>IF(ISBLANK(patch[[#This Row],[mergeDate]]), U494, MID(YEAR(patch[[#This Row],[mergeDate]]), 3,2)&amp;"'m"&amp;MONTH(patch[[#This Row],[mergeDate]]))</f>
        <v>16'm9</v>
      </c>
      <c r="V495" s="7" t="str">
        <f>IF(ISBLANK(patch[[#This Row],[project]]), "",SUM(patch[[#This Row],[BJ -1 num]:[SH -1 num]]))</f>
        <v/>
      </c>
      <c r="W495" s="7" t="str">
        <f>IF(ISBLANK(patch[[#This Row],[project]]), "",COUNTIFS($A:$A,patch[[#This Row],[number]],$S:$S, "BJ And dev",$AC:$AC, "Review-1"))</f>
        <v/>
      </c>
      <c r="X495" s="7" t="str">
        <f>IF(ISBLANK(patch[[#This Row],[project]]), "",COUNTIFS($A:$A,patch[[#This Row],[number]],$S:$S, "FL And dev",$AC:$AC, "Review-1"))</f>
        <v/>
      </c>
      <c r="Y495" s="7" t="str">
        <f>IF(ISBLANK(patch[[#This Row],[project]]), "",COUNTIFS($A:$A,patch[[#This Row],[number]],$S:$S, "SH And dev",$AC:$AC, "Review-1"))</f>
        <v/>
      </c>
      <c r="Z495" s="7" t="str">
        <f>IF(ISBLANK(patch[[#This Row],[project]]), "",COUNTIFS($A:$A,patch[[#This Row],[number]],$S:$S, "BJ And dev",$AD:$AD, "&lt;&gt;IntegratorValidationComment"))</f>
        <v/>
      </c>
      <c r="AA495" s="7" t="str">
        <f>IF(ISBLANK(patch[[#This Row],[project]]), "",COUNTIFS($A:$A,patch[[#This Row],[number]],$S:$S, "FL And dev",$AD:$AD, "&lt;&gt;IntegratorValidationComment"))</f>
        <v/>
      </c>
      <c r="AB495" s="7" t="str">
        <f>IF(ISBLANK(patch[[#This Row],[project]]), "",COUNTIFS($A:$A,patch[[#This Row],[number]],$S:$S, "SH And dev",$AD:$AD, "&lt;&gt;IntegratorValidationComment"))</f>
        <v/>
      </c>
      <c r="AC495" s="7" t="str">
        <f>IF(OR(ISNUMBER(FIND("Review-1", patch[[#This Row],[comments]])), ISNUMBER(FIND("Approver-1", patch[[#This Row],[comments]]))), "Review-1", "")</f>
        <v/>
      </c>
      <c r="AD4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95" s="7">
        <f>IF(ISBLANK(patch[[#This Row],[number]]),AE494,patch[[#This Row],[ifCommon]])</f>
        <v>0</v>
      </c>
    </row>
    <row r="496" spans="1:31">
      <c r="A496" s="151">
        <v>147356</v>
      </c>
      <c r="B496" s="151"/>
      <c r="C496" s="151"/>
      <c r="D496" s="151"/>
      <c r="E496" s="151"/>
      <c r="F496" s="151"/>
      <c r="G496" s="151"/>
      <c r="H496" s="151"/>
      <c r="I496" s="151"/>
      <c r="J496" s="152">
        <v>42636.849490740737</v>
      </c>
      <c r="K496" s="151"/>
      <c r="L496" s="151" t="s">
        <v>59</v>
      </c>
      <c r="M496" s="152">
        <v>42635.668055555558</v>
      </c>
      <c r="N496" s="151" t="s">
        <v>2853</v>
      </c>
      <c r="O496" s="151"/>
      <c r="P496" s="151"/>
      <c r="Q496" s="7" t="str">
        <f>IF(ISBLANK(patch[[#This Row],[OwnerEmail]]),Q495,patch[[#This Row],[OwnerEmail]])</f>
        <v>qingwu.zhang@intel.com</v>
      </c>
      <c r="R496" s="7" t="str">
        <f>_xlfn.IFNA(VLOOKUP(patch[[#This Row],[tmp-owner.email]],OrgTree!$A:$K, 11, 0), "not ICG SWFW")</f>
        <v>BJ And dev</v>
      </c>
      <c r="S496" s="7" t="str">
        <f>IF(patch[[#This Row],[reviewer]]=patch[[#This Row],[tmp-owner.email]], "author", _xlfn.IFNA(VLOOKUP(patch[[#This Row],[reviewer]],OrgTree!$A:$K, 11, 0), "not ICG SWFW"))</f>
        <v>BJ And dev</v>
      </c>
      <c r="T496" s="7" t="str">
        <f>IF(ISBLANK(patch[[#This Row],[mergeDate]]), "", MID(YEAR(patch[[#This Row],[mergeDate]]), 3,2)&amp;"'ww"&amp;WEEKNUM(patch[[#This Row],[mergeDate]]))</f>
        <v>16'ww39</v>
      </c>
      <c r="U496" s="7" t="str">
        <f>IF(ISBLANK(patch[[#This Row],[mergeDate]]), U495, MID(YEAR(patch[[#This Row],[mergeDate]]), 3,2)&amp;"'m"&amp;MONTH(patch[[#This Row],[mergeDate]]))</f>
        <v>16'm9</v>
      </c>
      <c r="V496" s="7" t="str">
        <f>IF(ISBLANK(patch[[#This Row],[project]]), "",SUM(patch[[#This Row],[BJ -1 num]:[SH -1 num]]))</f>
        <v/>
      </c>
      <c r="W496" s="7" t="str">
        <f>IF(ISBLANK(patch[[#This Row],[project]]), "",COUNTIFS($A:$A,patch[[#This Row],[number]],$S:$S, "BJ And dev",$AC:$AC, "Review-1"))</f>
        <v/>
      </c>
      <c r="X496" s="7" t="str">
        <f>IF(ISBLANK(patch[[#This Row],[project]]), "",COUNTIFS($A:$A,patch[[#This Row],[number]],$S:$S, "FL And dev",$AC:$AC, "Review-1"))</f>
        <v/>
      </c>
      <c r="Y496" s="7" t="str">
        <f>IF(ISBLANK(patch[[#This Row],[project]]), "",COUNTIFS($A:$A,patch[[#This Row],[number]],$S:$S, "SH And dev",$AC:$AC, "Review-1"))</f>
        <v/>
      </c>
      <c r="Z496" s="7" t="str">
        <f>IF(ISBLANK(patch[[#This Row],[project]]), "",COUNTIFS($A:$A,patch[[#This Row],[number]],$S:$S, "BJ And dev",$AD:$AD, "&lt;&gt;IntegratorValidationComment"))</f>
        <v/>
      </c>
      <c r="AA496" s="7" t="str">
        <f>IF(ISBLANK(patch[[#This Row],[project]]), "",COUNTIFS($A:$A,patch[[#This Row],[number]],$S:$S, "FL And dev",$AD:$AD, "&lt;&gt;IntegratorValidationComment"))</f>
        <v/>
      </c>
      <c r="AB496" s="7" t="str">
        <f>IF(ISBLANK(patch[[#This Row],[project]]), "",COUNTIFS($A:$A,patch[[#This Row],[number]],$S:$S, "SH And dev",$AD:$AD, "&lt;&gt;IntegratorValidationComment"))</f>
        <v/>
      </c>
      <c r="AC496" s="7" t="str">
        <f>IF(OR(ISNUMBER(FIND("Review-1", patch[[#This Row],[comments]])), ISNUMBER(FIND("Approver-1", patch[[#This Row],[comments]]))), "Review-1", "")</f>
        <v/>
      </c>
      <c r="AD4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96" s="7">
        <f>IF(ISBLANK(patch[[#This Row],[number]]),AE495,patch[[#This Row],[ifCommon]])</f>
        <v>0</v>
      </c>
    </row>
    <row r="497" spans="1:31">
      <c r="A497" s="151">
        <v>147356</v>
      </c>
      <c r="B497" s="151"/>
      <c r="C497" s="151"/>
      <c r="D497" s="151"/>
      <c r="E497" s="151"/>
      <c r="F497" s="151"/>
      <c r="G497" s="151"/>
      <c r="H497" s="151"/>
      <c r="I497" s="151"/>
      <c r="J497" s="152">
        <v>42636.849490740737</v>
      </c>
      <c r="K497" s="151"/>
      <c r="L497" s="151" t="s">
        <v>59</v>
      </c>
      <c r="M497" s="152">
        <v>42635.670057870368</v>
      </c>
      <c r="N497" s="151" t="s">
        <v>2854</v>
      </c>
      <c r="O497" s="151"/>
      <c r="P497" s="151"/>
      <c r="Q497" s="7" t="str">
        <f>IF(ISBLANK(patch[[#This Row],[OwnerEmail]]),Q496,patch[[#This Row],[OwnerEmail]])</f>
        <v>qingwu.zhang@intel.com</v>
      </c>
      <c r="R497" s="7" t="str">
        <f>_xlfn.IFNA(VLOOKUP(patch[[#This Row],[tmp-owner.email]],OrgTree!$A:$K, 11, 0), "not ICG SWFW")</f>
        <v>BJ And dev</v>
      </c>
      <c r="S497" s="7" t="str">
        <f>IF(patch[[#This Row],[reviewer]]=patch[[#This Row],[tmp-owner.email]], "author", _xlfn.IFNA(VLOOKUP(patch[[#This Row],[reviewer]],OrgTree!$A:$K, 11, 0), "not ICG SWFW"))</f>
        <v>BJ And dev</v>
      </c>
      <c r="T497" s="7" t="str">
        <f>IF(ISBLANK(patch[[#This Row],[mergeDate]]), "", MID(YEAR(patch[[#This Row],[mergeDate]]), 3,2)&amp;"'ww"&amp;WEEKNUM(patch[[#This Row],[mergeDate]]))</f>
        <v>16'ww39</v>
      </c>
      <c r="U497" s="7" t="str">
        <f>IF(ISBLANK(patch[[#This Row],[mergeDate]]), U496, MID(YEAR(patch[[#This Row],[mergeDate]]), 3,2)&amp;"'m"&amp;MONTH(patch[[#This Row],[mergeDate]]))</f>
        <v>16'm9</v>
      </c>
      <c r="V497" s="7" t="str">
        <f>IF(ISBLANK(patch[[#This Row],[project]]), "",SUM(patch[[#This Row],[BJ -1 num]:[SH -1 num]]))</f>
        <v/>
      </c>
      <c r="W497" s="7" t="str">
        <f>IF(ISBLANK(patch[[#This Row],[project]]), "",COUNTIFS($A:$A,patch[[#This Row],[number]],$S:$S, "BJ And dev",$AC:$AC, "Review-1"))</f>
        <v/>
      </c>
      <c r="X497" s="7" t="str">
        <f>IF(ISBLANK(patch[[#This Row],[project]]), "",COUNTIFS($A:$A,patch[[#This Row],[number]],$S:$S, "FL And dev",$AC:$AC, "Review-1"))</f>
        <v/>
      </c>
      <c r="Y497" s="7" t="str">
        <f>IF(ISBLANK(patch[[#This Row],[project]]), "",COUNTIFS($A:$A,patch[[#This Row],[number]],$S:$S, "SH And dev",$AC:$AC, "Review-1"))</f>
        <v/>
      </c>
      <c r="Z497" s="7" t="str">
        <f>IF(ISBLANK(patch[[#This Row],[project]]), "",COUNTIFS($A:$A,patch[[#This Row],[number]],$S:$S, "BJ And dev",$AD:$AD, "&lt;&gt;IntegratorValidationComment"))</f>
        <v/>
      </c>
      <c r="AA497" s="7" t="str">
        <f>IF(ISBLANK(patch[[#This Row],[project]]), "",COUNTIFS($A:$A,patch[[#This Row],[number]],$S:$S, "FL And dev",$AD:$AD, "&lt;&gt;IntegratorValidationComment"))</f>
        <v/>
      </c>
      <c r="AB497" s="7" t="str">
        <f>IF(ISBLANK(patch[[#This Row],[project]]), "",COUNTIFS($A:$A,patch[[#This Row],[number]],$S:$S, "SH And dev",$AD:$AD, "&lt;&gt;IntegratorValidationComment"))</f>
        <v/>
      </c>
      <c r="AC497" s="7" t="str">
        <f>IF(OR(ISNUMBER(FIND("Review-1", patch[[#This Row],[comments]])), ISNUMBER(FIND("Approver-1", patch[[#This Row],[comments]]))), "Review-1", "")</f>
        <v/>
      </c>
      <c r="AD4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97" s="7">
        <f>IF(ISBLANK(patch[[#This Row],[number]]),AE496,patch[[#This Row],[ifCommon]])</f>
        <v>0</v>
      </c>
    </row>
    <row r="498" spans="1:31">
      <c r="A498" s="151">
        <v>147356</v>
      </c>
      <c r="B498" s="151"/>
      <c r="C498" s="151"/>
      <c r="D498" s="151"/>
      <c r="E498" s="151"/>
      <c r="F498" s="151"/>
      <c r="G498" s="151"/>
      <c r="H498" s="151"/>
      <c r="I498" s="152"/>
      <c r="J498" s="152">
        <v>42636.849490740737</v>
      </c>
      <c r="K498" s="151"/>
      <c r="L498" s="151" t="s">
        <v>24</v>
      </c>
      <c r="M498" s="152">
        <v>42635.67082175926</v>
      </c>
      <c r="N498" s="151" t="s">
        <v>2450</v>
      </c>
      <c r="O498" s="151"/>
      <c r="P498" s="151"/>
      <c r="Q498" s="7" t="str">
        <f>IF(ISBLANK(patch[[#This Row],[OwnerEmail]]),Q497,patch[[#This Row],[OwnerEmail]])</f>
        <v>qingwu.zhang@intel.com</v>
      </c>
      <c r="R498" s="7" t="str">
        <f>_xlfn.IFNA(VLOOKUP(patch[[#This Row],[tmp-owner.email]],OrgTree!$A:$K, 11, 0), "not ICG SWFW")</f>
        <v>BJ And dev</v>
      </c>
      <c r="S498" s="7" t="str">
        <f>IF(patch[[#This Row],[reviewer]]=patch[[#This Row],[tmp-owner.email]], "author", _xlfn.IFNA(VLOOKUP(patch[[#This Row],[reviewer]],OrgTree!$A:$K, 11, 0), "not ICG SWFW"))</f>
        <v>author</v>
      </c>
      <c r="T498" s="7" t="str">
        <f>IF(ISBLANK(patch[[#This Row],[mergeDate]]), "", MID(YEAR(patch[[#This Row],[mergeDate]]), 3,2)&amp;"'ww"&amp;WEEKNUM(patch[[#This Row],[mergeDate]]))</f>
        <v>16'ww39</v>
      </c>
      <c r="U498" s="7" t="str">
        <f>IF(ISBLANK(patch[[#This Row],[mergeDate]]), U497, MID(YEAR(patch[[#This Row],[mergeDate]]), 3,2)&amp;"'m"&amp;MONTH(patch[[#This Row],[mergeDate]]))</f>
        <v>16'm9</v>
      </c>
      <c r="V498" s="7" t="str">
        <f>IF(ISBLANK(patch[[#This Row],[project]]), "",SUM(patch[[#This Row],[BJ -1 num]:[SH -1 num]]))</f>
        <v/>
      </c>
      <c r="W498" s="7" t="str">
        <f>IF(ISBLANK(patch[[#This Row],[project]]), "",COUNTIFS($A:$A,patch[[#This Row],[number]],$S:$S, "BJ And dev",$AC:$AC, "Review-1"))</f>
        <v/>
      </c>
      <c r="X498" s="7" t="str">
        <f>IF(ISBLANK(patch[[#This Row],[project]]), "",COUNTIFS($A:$A,patch[[#This Row],[number]],$S:$S, "FL And dev",$AC:$AC, "Review-1"))</f>
        <v/>
      </c>
      <c r="Y498" s="7" t="str">
        <f>IF(ISBLANK(patch[[#This Row],[project]]), "",COUNTIFS($A:$A,patch[[#This Row],[number]],$S:$S, "SH And dev",$AC:$AC, "Review-1"))</f>
        <v/>
      </c>
      <c r="Z498" s="7" t="str">
        <f>IF(ISBLANK(patch[[#This Row],[project]]), "",COUNTIFS($A:$A,patch[[#This Row],[number]],$S:$S, "BJ And dev",$AD:$AD, "&lt;&gt;IntegratorValidationComment"))</f>
        <v/>
      </c>
      <c r="AA498" s="7" t="str">
        <f>IF(ISBLANK(patch[[#This Row],[project]]), "",COUNTIFS($A:$A,patch[[#This Row],[number]],$S:$S, "FL And dev",$AD:$AD, "&lt;&gt;IntegratorValidationComment"))</f>
        <v/>
      </c>
      <c r="AB498" s="7" t="str">
        <f>IF(ISBLANK(patch[[#This Row],[project]]), "",COUNTIFS($A:$A,patch[[#This Row],[number]],$S:$S, "SH And dev",$AD:$AD, "&lt;&gt;IntegratorValidationComment"))</f>
        <v/>
      </c>
      <c r="AC498" s="7" t="str">
        <f>IF(OR(ISNUMBER(FIND("Review-1", patch[[#This Row],[comments]])), ISNUMBER(FIND("Approver-1", patch[[#This Row],[comments]]))), "Review-1", "")</f>
        <v/>
      </c>
      <c r="AD4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98" s="7">
        <f>IF(ISBLANK(patch[[#This Row],[number]]),AE497,patch[[#This Row],[ifCommon]])</f>
        <v>0</v>
      </c>
    </row>
    <row r="499" spans="1:31">
      <c r="A499" s="151">
        <v>147356</v>
      </c>
      <c r="B499" s="151"/>
      <c r="C499" s="151"/>
      <c r="D499" s="151"/>
      <c r="E499" s="151"/>
      <c r="F499" s="151"/>
      <c r="G499" s="151"/>
      <c r="H499" s="151"/>
      <c r="I499" s="151"/>
      <c r="J499" s="152">
        <v>42636.849490740737</v>
      </c>
      <c r="K499" s="151"/>
      <c r="L499" s="151" t="s">
        <v>24</v>
      </c>
      <c r="M499" s="152">
        <v>42635.67082175926</v>
      </c>
      <c r="N499" s="151" t="s">
        <v>1829</v>
      </c>
      <c r="O499" s="151"/>
      <c r="P499" s="151"/>
      <c r="Q499" s="7" t="str">
        <f>IF(ISBLANK(patch[[#This Row],[OwnerEmail]]),Q498,patch[[#This Row],[OwnerEmail]])</f>
        <v>qingwu.zhang@intel.com</v>
      </c>
      <c r="R499" s="7" t="str">
        <f>_xlfn.IFNA(VLOOKUP(patch[[#This Row],[tmp-owner.email]],OrgTree!$A:$K, 11, 0), "not ICG SWFW")</f>
        <v>BJ And dev</v>
      </c>
      <c r="S499" s="7" t="str">
        <f>IF(patch[[#This Row],[reviewer]]=patch[[#This Row],[tmp-owner.email]], "author", _xlfn.IFNA(VLOOKUP(patch[[#This Row],[reviewer]],OrgTree!$A:$K, 11, 0), "not ICG SWFW"))</f>
        <v>author</v>
      </c>
      <c r="T499" s="7" t="str">
        <f>IF(ISBLANK(patch[[#This Row],[mergeDate]]), "", MID(YEAR(patch[[#This Row],[mergeDate]]), 3,2)&amp;"'ww"&amp;WEEKNUM(patch[[#This Row],[mergeDate]]))</f>
        <v>16'ww39</v>
      </c>
      <c r="U499" s="7" t="str">
        <f>IF(ISBLANK(patch[[#This Row],[mergeDate]]), U498, MID(YEAR(patch[[#This Row],[mergeDate]]), 3,2)&amp;"'m"&amp;MONTH(patch[[#This Row],[mergeDate]]))</f>
        <v>16'm9</v>
      </c>
      <c r="V499" s="7" t="str">
        <f>IF(ISBLANK(patch[[#This Row],[project]]), "",SUM(patch[[#This Row],[BJ -1 num]:[SH -1 num]]))</f>
        <v/>
      </c>
      <c r="W499" s="7" t="str">
        <f>IF(ISBLANK(patch[[#This Row],[project]]), "",COUNTIFS($A:$A,patch[[#This Row],[number]],$S:$S, "BJ And dev",$AC:$AC, "Review-1"))</f>
        <v/>
      </c>
      <c r="X499" s="7" t="str">
        <f>IF(ISBLANK(patch[[#This Row],[project]]), "",COUNTIFS($A:$A,patch[[#This Row],[number]],$S:$S, "FL And dev",$AC:$AC, "Review-1"))</f>
        <v/>
      </c>
      <c r="Y499" s="7" t="str">
        <f>IF(ISBLANK(patch[[#This Row],[project]]), "",COUNTIFS($A:$A,patch[[#This Row],[number]],$S:$S, "SH And dev",$AC:$AC, "Review-1"))</f>
        <v/>
      </c>
      <c r="Z499" s="7" t="str">
        <f>IF(ISBLANK(patch[[#This Row],[project]]), "",COUNTIFS($A:$A,patch[[#This Row],[number]],$S:$S, "BJ And dev",$AD:$AD, "&lt;&gt;IntegratorValidationComment"))</f>
        <v/>
      </c>
      <c r="AA499" s="7" t="str">
        <f>IF(ISBLANK(patch[[#This Row],[project]]), "",COUNTIFS($A:$A,patch[[#This Row],[number]],$S:$S, "FL And dev",$AD:$AD, "&lt;&gt;IntegratorValidationComment"))</f>
        <v/>
      </c>
      <c r="AB499" s="7" t="str">
        <f>IF(ISBLANK(patch[[#This Row],[project]]), "",COUNTIFS($A:$A,patch[[#This Row],[number]],$S:$S, "SH And dev",$AD:$AD, "&lt;&gt;IntegratorValidationComment"))</f>
        <v/>
      </c>
      <c r="AC499" s="7" t="str">
        <f>IF(OR(ISNUMBER(FIND("Review-1", patch[[#This Row],[comments]])), ISNUMBER(FIND("Approver-1", patch[[#This Row],[comments]]))), "Review-1", "")</f>
        <v/>
      </c>
      <c r="AD4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499" s="7">
        <f>IF(ISBLANK(patch[[#This Row],[number]]),AE498,patch[[#This Row],[ifCommon]])</f>
        <v>0</v>
      </c>
    </row>
    <row r="500" spans="1:31">
      <c r="A500" s="151">
        <v>147356</v>
      </c>
      <c r="B500" s="151"/>
      <c r="C500" s="151"/>
      <c r="D500" s="151"/>
      <c r="E500" s="151"/>
      <c r="F500" s="151"/>
      <c r="G500" s="151"/>
      <c r="H500" s="151"/>
      <c r="I500" s="151"/>
      <c r="J500" s="152">
        <v>42636.849490740737</v>
      </c>
      <c r="K500" s="151"/>
      <c r="L500" s="151" t="s">
        <v>24</v>
      </c>
      <c r="M500" s="152">
        <v>42635.671516203707</v>
      </c>
      <c r="N500" s="151" t="s">
        <v>48</v>
      </c>
      <c r="O500" s="151"/>
      <c r="P500" s="151"/>
      <c r="Q500" s="7" t="str">
        <f>IF(ISBLANK(patch[[#This Row],[OwnerEmail]]),Q499,patch[[#This Row],[OwnerEmail]])</f>
        <v>qingwu.zhang@intel.com</v>
      </c>
      <c r="R500" s="7" t="str">
        <f>_xlfn.IFNA(VLOOKUP(patch[[#This Row],[tmp-owner.email]],OrgTree!$A:$K, 11, 0), "not ICG SWFW")</f>
        <v>BJ And dev</v>
      </c>
      <c r="S500" s="7" t="str">
        <f>IF(patch[[#This Row],[reviewer]]=patch[[#This Row],[tmp-owner.email]], "author", _xlfn.IFNA(VLOOKUP(patch[[#This Row],[reviewer]],OrgTree!$A:$K, 11, 0), "not ICG SWFW"))</f>
        <v>author</v>
      </c>
      <c r="T500" s="7" t="str">
        <f>IF(ISBLANK(patch[[#This Row],[mergeDate]]), "", MID(YEAR(patch[[#This Row],[mergeDate]]), 3,2)&amp;"'ww"&amp;WEEKNUM(patch[[#This Row],[mergeDate]]))</f>
        <v>16'ww39</v>
      </c>
      <c r="U500" s="7" t="str">
        <f>IF(ISBLANK(patch[[#This Row],[mergeDate]]), U499, MID(YEAR(patch[[#This Row],[mergeDate]]), 3,2)&amp;"'m"&amp;MONTH(patch[[#This Row],[mergeDate]]))</f>
        <v>16'm9</v>
      </c>
      <c r="V500" s="7" t="str">
        <f>IF(ISBLANK(patch[[#This Row],[project]]), "",SUM(patch[[#This Row],[BJ -1 num]:[SH -1 num]]))</f>
        <v/>
      </c>
      <c r="W500" s="7" t="str">
        <f>IF(ISBLANK(patch[[#This Row],[project]]), "",COUNTIFS($A:$A,patch[[#This Row],[number]],$S:$S, "BJ And dev",$AC:$AC, "Review-1"))</f>
        <v/>
      </c>
      <c r="X500" s="7" t="str">
        <f>IF(ISBLANK(patch[[#This Row],[project]]), "",COUNTIFS($A:$A,patch[[#This Row],[number]],$S:$S, "FL And dev",$AC:$AC, "Review-1"))</f>
        <v/>
      </c>
      <c r="Y500" s="7" t="str">
        <f>IF(ISBLANK(patch[[#This Row],[project]]), "",COUNTIFS($A:$A,patch[[#This Row],[number]],$S:$S, "SH And dev",$AC:$AC, "Review-1"))</f>
        <v/>
      </c>
      <c r="Z500" s="7" t="str">
        <f>IF(ISBLANK(patch[[#This Row],[project]]), "",COUNTIFS($A:$A,patch[[#This Row],[number]],$S:$S, "BJ And dev",$AD:$AD, "&lt;&gt;IntegratorValidationComment"))</f>
        <v/>
      </c>
      <c r="AA500" s="7" t="str">
        <f>IF(ISBLANK(patch[[#This Row],[project]]), "",COUNTIFS($A:$A,patch[[#This Row],[number]],$S:$S, "FL And dev",$AD:$AD, "&lt;&gt;IntegratorValidationComment"))</f>
        <v/>
      </c>
      <c r="AB500" s="7" t="str">
        <f>IF(ISBLANK(patch[[#This Row],[project]]), "",COUNTIFS($A:$A,patch[[#This Row],[number]],$S:$S, "SH And dev",$AD:$AD, "&lt;&gt;IntegratorValidationComment"))</f>
        <v/>
      </c>
      <c r="AC500" s="7" t="str">
        <f>IF(OR(ISNUMBER(FIND("Review-1", patch[[#This Row],[comments]])), ISNUMBER(FIND("Approver-1", patch[[#This Row],[comments]]))), "Review-1", "")</f>
        <v/>
      </c>
      <c r="AD5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00" s="7">
        <f>IF(ISBLANK(patch[[#This Row],[number]]),AE499,patch[[#This Row],[ifCommon]])</f>
        <v>0</v>
      </c>
    </row>
    <row r="501" spans="1:31">
      <c r="A501" s="151">
        <v>147356</v>
      </c>
      <c r="B501" s="151"/>
      <c r="C501" s="151"/>
      <c r="D501" s="151"/>
      <c r="E501" s="151"/>
      <c r="F501" s="151"/>
      <c r="G501" s="151"/>
      <c r="H501" s="151"/>
      <c r="I501" s="151"/>
      <c r="J501" s="152">
        <v>42636.849490740737</v>
      </c>
      <c r="K501" s="151"/>
      <c r="L501" s="151" t="s">
        <v>59</v>
      </c>
      <c r="M501" s="152">
        <v>42635.674687500003</v>
      </c>
      <c r="N501" s="151" t="s">
        <v>2855</v>
      </c>
      <c r="O501" s="151"/>
      <c r="P501" s="151"/>
      <c r="Q501" s="7" t="str">
        <f>IF(ISBLANK(patch[[#This Row],[OwnerEmail]]),Q500,patch[[#This Row],[OwnerEmail]])</f>
        <v>qingwu.zhang@intel.com</v>
      </c>
      <c r="R501" s="7" t="str">
        <f>_xlfn.IFNA(VLOOKUP(patch[[#This Row],[tmp-owner.email]],OrgTree!$A:$K, 11, 0), "not ICG SWFW")</f>
        <v>BJ And dev</v>
      </c>
      <c r="S501" s="7" t="str">
        <f>IF(patch[[#This Row],[reviewer]]=patch[[#This Row],[tmp-owner.email]], "author", _xlfn.IFNA(VLOOKUP(patch[[#This Row],[reviewer]],OrgTree!$A:$K, 11, 0), "not ICG SWFW"))</f>
        <v>BJ And dev</v>
      </c>
      <c r="T501" s="7" t="str">
        <f>IF(ISBLANK(patch[[#This Row],[mergeDate]]), "", MID(YEAR(patch[[#This Row],[mergeDate]]), 3,2)&amp;"'ww"&amp;WEEKNUM(patch[[#This Row],[mergeDate]]))</f>
        <v>16'ww39</v>
      </c>
      <c r="U501" s="7" t="str">
        <f>IF(ISBLANK(patch[[#This Row],[mergeDate]]), U500, MID(YEAR(patch[[#This Row],[mergeDate]]), 3,2)&amp;"'m"&amp;MONTH(patch[[#This Row],[mergeDate]]))</f>
        <v>16'm9</v>
      </c>
      <c r="V501" s="7" t="str">
        <f>IF(ISBLANK(patch[[#This Row],[project]]), "",SUM(patch[[#This Row],[BJ -1 num]:[SH -1 num]]))</f>
        <v/>
      </c>
      <c r="W501" s="7" t="str">
        <f>IF(ISBLANK(patch[[#This Row],[project]]), "",COUNTIFS($A:$A,patch[[#This Row],[number]],$S:$S, "BJ And dev",$AC:$AC, "Review-1"))</f>
        <v/>
      </c>
      <c r="X501" s="7" t="str">
        <f>IF(ISBLANK(patch[[#This Row],[project]]), "",COUNTIFS($A:$A,patch[[#This Row],[number]],$S:$S, "FL And dev",$AC:$AC, "Review-1"))</f>
        <v/>
      </c>
      <c r="Y501" s="7" t="str">
        <f>IF(ISBLANK(patch[[#This Row],[project]]), "",COUNTIFS($A:$A,patch[[#This Row],[number]],$S:$S, "SH And dev",$AC:$AC, "Review-1"))</f>
        <v/>
      </c>
      <c r="Z501" s="7" t="str">
        <f>IF(ISBLANK(patch[[#This Row],[project]]), "",COUNTIFS($A:$A,patch[[#This Row],[number]],$S:$S, "BJ And dev",$AD:$AD, "&lt;&gt;IntegratorValidationComment"))</f>
        <v/>
      </c>
      <c r="AA501" s="7" t="str">
        <f>IF(ISBLANK(patch[[#This Row],[project]]), "",COUNTIFS($A:$A,patch[[#This Row],[number]],$S:$S, "FL And dev",$AD:$AD, "&lt;&gt;IntegratorValidationComment"))</f>
        <v/>
      </c>
      <c r="AB501" s="7" t="str">
        <f>IF(ISBLANK(patch[[#This Row],[project]]), "",COUNTIFS($A:$A,patch[[#This Row],[number]],$S:$S, "SH And dev",$AD:$AD, "&lt;&gt;IntegratorValidationComment"))</f>
        <v/>
      </c>
      <c r="AC501" s="7" t="str">
        <f>IF(OR(ISNUMBER(FIND("Review-1", patch[[#This Row],[comments]])), ISNUMBER(FIND("Approver-1", patch[[#This Row],[comments]]))), "Review-1", "")</f>
        <v/>
      </c>
      <c r="AD5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01" s="7">
        <f>IF(ISBLANK(patch[[#This Row],[number]]),AE500,patch[[#This Row],[ifCommon]])</f>
        <v>0</v>
      </c>
    </row>
    <row r="502" spans="1:31">
      <c r="A502" s="151">
        <v>147356</v>
      </c>
      <c r="B502" s="151"/>
      <c r="C502" s="151"/>
      <c r="D502" s="151"/>
      <c r="E502" s="151"/>
      <c r="F502" s="151"/>
      <c r="G502" s="151"/>
      <c r="H502" s="151"/>
      <c r="I502" s="151"/>
      <c r="J502" s="152">
        <v>42636.849490740737</v>
      </c>
      <c r="K502" s="151"/>
      <c r="L502" s="151" t="s">
        <v>59</v>
      </c>
      <c r="M502" s="152">
        <v>42635.675196759257</v>
      </c>
      <c r="N502" s="151" t="s">
        <v>2856</v>
      </c>
      <c r="O502" s="151"/>
      <c r="P502" s="151"/>
      <c r="Q502" s="7" t="str">
        <f>IF(ISBLANK(patch[[#This Row],[OwnerEmail]]),Q501,patch[[#This Row],[OwnerEmail]])</f>
        <v>qingwu.zhang@intel.com</v>
      </c>
      <c r="R502" s="7" t="str">
        <f>_xlfn.IFNA(VLOOKUP(patch[[#This Row],[tmp-owner.email]],OrgTree!$A:$K, 11, 0), "not ICG SWFW")</f>
        <v>BJ And dev</v>
      </c>
      <c r="S502" s="7" t="str">
        <f>IF(patch[[#This Row],[reviewer]]=patch[[#This Row],[tmp-owner.email]], "author", _xlfn.IFNA(VLOOKUP(patch[[#This Row],[reviewer]],OrgTree!$A:$K, 11, 0), "not ICG SWFW"))</f>
        <v>BJ And dev</v>
      </c>
      <c r="T502" s="7" t="str">
        <f>IF(ISBLANK(patch[[#This Row],[mergeDate]]), "", MID(YEAR(patch[[#This Row],[mergeDate]]), 3,2)&amp;"'ww"&amp;WEEKNUM(patch[[#This Row],[mergeDate]]))</f>
        <v>16'ww39</v>
      </c>
      <c r="U502" s="7" t="str">
        <f>IF(ISBLANK(patch[[#This Row],[mergeDate]]), U501, MID(YEAR(patch[[#This Row],[mergeDate]]), 3,2)&amp;"'m"&amp;MONTH(patch[[#This Row],[mergeDate]]))</f>
        <v>16'm9</v>
      </c>
      <c r="V502" s="7" t="str">
        <f>IF(ISBLANK(patch[[#This Row],[project]]), "",SUM(patch[[#This Row],[BJ -1 num]:[SH -1 num]]))</f>
        <v/>
      </c>
      <c r="W502" s="7" t="str">
        <f>IF(ISBLANK(patch[[#This Row],[project]]), "",COUNTIFS($A:$A,patch[[#This Row],[number]],$S:$S, "BJ And dev",$AC:$AC, "Review-1"))</f>
        <v/>
      </c>
      <c r="X502" s="7" t="str">
        <f>IF(ISBLANK(patch[[#This Row],[project]]), "",COUNTIFS($A:$A,patch[[#This Row],[number]],$S:$S, "FL And dev",$AC:$AC, "Review-1"))</f>
        <v/>
      </c>
      <c r="Y502" s="7" t="str">
        <f>IF(ISBLANK(patch[[#This Row],[project]]), "",COUNTIFS($A:$A,patch[[#This Row],[number]],$S:$S, "SH And dev",$AC:$AC, "Review-1"))</f>
        <v/>
      </c>
      <c r="Z502" s="7" t="str">
        <f>IF(ISBLANK(patch[[#This Row],[project]]), "",COUNTIFS($A:$A,patch[[#This Row],[number]],$S:$S, "BJ And dev",$AD:$AD, "&lt;&gt;IntegratorValidationComment"))</f>
        <v/>
      </c>
      <c r="AA502" s="7" t="str">
        <f>IF(ISBLANK(patch[[#This Row],[project]]), "",COUNTIFS($A:$A,patch[[#This Row],[number]],$S:$S, "FL And dev",$AD:$AD, "&lt;&gt;IntegratorValidationComment"))</f>
        <v/>
      </c>
      <c r="AB502" s="7" t="str">
        <f>IF(ISBLANK(patch[[#This Row],[project]]), "",COUNTIFS($A:$A,patch[[#This Row],[number]],$S:$S, "SH And dev",$AD:$AD, "&lt;&gt;IntegratorValidationComment"))</f>
        <v/>
      </c>
      <c r="AC502" s="7" t="str">
        <f>IF(OR(ISNUMBER(FIND("Review-1", patch[[#This Row],[comments]])), ISNUMBER(FIND("Approver-1", patch[[#This Row],[comments]]))), "Review-1", "")</f>
        <v/>
      </c>
      <c r="AD5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02" s="7">
        <f>IF(ISBLANK(patch[[#This Row],[number]]),AE501,patch[[#This Row],[ifCommon]])</f>
        <v>0</v>
      </c>
    </row>
    <row r="503" spans="1:31">
      <c r="A503" s="151">
        <v>147356</v>
      </c>
      <c r="B503" s="151"/>
      <c r="C503" s="151"/>
      <c r="D503" s="151"/>
      <c r="E503" s="151"/>
      <c r="F503" s="151"/>
      <c r="G503" s="151"/>
      <c r="H503" s="151"/>
      <c r="I503" s="151"/>
      <c r="J503" s="152">
        <v>42636.849490740737</v>
      </c>
      <c r="K503" s="151"/>
      <c r="L503" s="151" t="s">
        <v>59</v>
      </c>
      <c r="M503" s="152">
        <v>42635.677245370367</v>
      </c>
      <c r="N503" s="151" t="s">
        <v>2857</v>
      </c>
      <c r="O503" s="151"/>
      <c r="P503" s="151"/>
      <c r="Q503" s="7" t="str">
        <f>IF(ISBLANK(patch[[#This Row],[OwnerEmail]]),Q502,patch[[#This Row],[OwnerEmail]])</f>
        <v>qingwu.zhang@intel.com</v>
      </c>
      <c r="R503" s="7" t="str">
        <f>_xlfn.IFNA(VLOOKUP(patch[[#This Row],[tmp-owner.email]],OrgTree!$A:$K, 11, 0), "not ICG SWFW")</f>
        <v>BJ And dev</v>
      </c>
      <c r="S503" s="7" t="str">
        <f>IF(patch[[#This Row],[reviewer]]=patch[[#This Row],[tmp-owner.email]], "author", _xlfn.IFNA(VLOOKUP(patch[[#This Row],[reviewer]],OrgTree!$A:$K, 11, 0), "not ICG SWFW"))</f>
        <v>BJ And dev</v>
      </c>
      <c r="T503" s="7" t="str">
        <f>IF(ISBLANK(patch[[#This Row],[mergeDate]]), "", MID(YEAR(patch[[#This Row],[mergeDate]]), 3,2)&amp;"'ww"&amp;WEEKNUM(patch[[#This Row],[mergeDate]]))</f>
        <v>16'ww39</v>
      </c>
      <c r="U503" s="7" t="str">
        <f>IF(ISBLANK(patch[[#This Row],[mergeDate]]), U502, MID(YEAR(patch[[#This Row],[mergeDate]]), 3,2)&amp;"'m"&amp;MONTH(patch[[#This Row],[mergeDate]]))</f>
        <v>16'm9</v>
      </c>
      <c r="V503" s="7" t="str">
        <f>IF(ISBLANK(patch[[#This Row],[project]]), "",SUM(patch[[#This Row],[BJ -1 num]:[SH -1 num]]))</f>
        <v/>
      </c>
      <c r="W503" s="7" t="str">
        <f>IF(ISBLANK(patch[[#This Row],[project]]), "",COUNTIFS($A:$A,patch[[#This Row],[number]],$S:$S, "BJ And dev",$AC:$AC, "Review-1"))</f>
        <v/>
      </c>
      <c r="X503" s="7" t="str">
        <f>IF(ISBLANK(patch[[#This Row],[project]]), "",COUNTIFS($A:$A,patch[[#This Row],[number]],$S:$S, "FL And dev",$AC:$AC, "Review-1"))</f>
        <v/>
      </c>
      <c r="Y503" s="7" t="str">
        <f>IF(ISBLANK(patch[[#This Row],[project]]), "",COUNTIFS($A:$A,patch[[#This Row],[number]],$S:$S, "SH And dev",$AC:$AC, "Review-1"))</f>
        <v/>
      </c>
      <c r="Z503" s="7" t="str">
        <f>IF(ISBLANK(patch[[#This Row],[project]]), "",COUNTIFS($A:$A,patch[[#This Row],[number]],$S:$S, "BJ And dev",$AD:$AD, "&lt;&gt;IntegratorValidationComment"))</f>
        <v/>
      </c>
      <c r="AA503" s="7" t="str">
        <f>IF(ISBLANK(patch[[#This Row],[project]]), "",COUNTIFS($A:$A,patch[[#This Row],[number]],$S:$S, "FL And dev",$AD:$AD, "&lt;&gt;IntegratorValidationComment"))</f>
        <v/>
      </c>
      <c r="AB503" s="7" t="str">
        <f>IF(ISBLANK(patch[[#This Row],[project]]), "",COUNTIFS($A:$A,patch[[#This Row],[number]],$S:$S, "SH And dev",$AD:$AD, "&lt;&gt;IntegratorValidationComment"))</f>
        <v/>
      </c>
      <c r="AC503" s="7" t="str">
        <f>IF(OR(ISNUMBER(FIND("Review-1", patch[[#This Row],[comments]])), ISNUMBER(FIND("Approver-1", patch[[#This Row],[comments]]))), "Review-1", "")</f>
        <v/>
      </c>
      <c r="AD5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03" s="7">
        <f>IF(ISBLANK(patch[[#This Row],[number]]),AE502,patch[[#This Row],[ifCommon]])</f>
        <v>0</v>
      </c>
    </row>
    <row r="504" spans="1:31">
      <c r="A504" s="151">
        <v>147356</v>
      </c>
      <c r="B504" s="151"/>
      <c r="C504" s="151"/>
      <c r="D504" s="151"/>
      <c r="E504" s="151"/>
      <c r="F504" s="151"/>
      <c r="G504" s="151"/>
      <c r="H504" s="151"/>
      <c r="I504" s="151"/>
      <c r="J504" s="152">
        <v>42636.849490740737</v>
      </c>
      <c r="K504" s="151"/>
      <c r="L504" s="151" t="s">
        <v>24</v>
      </c>
      <c r="M504" s="152">
        <v>42635.731157407397</v>
      </c>
      <c r="N504" s="151" t="s">
        <v>2451</v>
      </c>
      <c r="O504" s="151"/>
      <c r="P504" s="151"/>
      <c r="Q504" s="7" t="str">
        <f>IF(ISBLANK(patch[[#This Row],[OwnerEmail]]),Q503,patch[[#This Row],[OwnerEmail]])</f>
        <v>qingwu.zhang@intel.com</v>
      </c>
      <c r="R504" s="7" t="str">
        <f>_xlfn.IFNA(VLOOKUP(patch[[#This Row],[tmp-owner.email]],OrgTree!$A:$K, 11, 0), "not ICG SWFW")</f>
        <v>BJ And dev</v>
      </c>
      <c r="S504" s="7" t="str">
        <f>IF(patch[[#This Row],[reviewer]]=patch[[#This Row],[tmp-owner.email]], "author", _xlfn.IFNA(VLOOKUP(patch[[#This Row],[reviewer]],OrgTree!$A:$K, 11, 0), "not ICG SWFW"))</f>
        <v>author</v>
      </c>
      <c r="T504" s="7" t="str">
        <f>IF(ISBLANK(patch[[#This Row],[mergeDate]]), "", MID(YEAR(patch[[#This Row],[mergeDate]]), 3,2)&amp;"'ww"&amp;WEEKNUM(patch[[#This Row],[mergeDate]]))</f>
        <v>16'ww39</v>
      </c>
      <c r="U504" s="7" t="str">
        <f>IF(ISBLANK(patch[[#This Row],[mergeDate]]), U503, MID(YEAR(patch[[#This Row],[mergeDate]]), 3,2)&amp;"'m"&amp;MONTH(patch[[#This Row],[mergeDate]]))</f>
        <v>16'm9</v>
      </c>
      <c r="V504" s="7" t="str">
        <f>IF(ISBLANK(patch[[#This Row],[project]]), "",SUM(patch[[#This Row],[BJ -1 num]:[SH -1 num]]))</f>
        <v/>
      </c>
      <c r="W504" s="7" t="str">
        <f>IF(ISBLANK(patch[[#This Row],[project]]), "",COUNTIFS($A:$A,patch[[#This Row],[number]],$S:$S, "BJ And dev",$AC:$AC, "Review-1"))</f>
        <v/>
      </c>
      <c r="X504" s="7" t="str">
        <f>IF(ISBLANK(patch[[#This Row],[project]]), "",COUNTIFS($A:$A,patch[[#This Row],[number]],$S:$S, "FL And dev",$AC:$AC, "Review-1"))</f>
        <v/>
      </c>
      <c r="Y504" s="7" t="str">
        <f>IF(ISBLANK(patch[[#This Row],[project]]), "",COUNTIFS($A:$A,patch[[#This Row],[number]],$S:$S, "SH And dev",$AC:$AC, "Review-1"))</f>
        <v/>
      </c>
      <c r="Z504" s="7" t="str">
        <f>IF(ISBLANK(patch[[#This Row],[project]]), "",COUNTIFS($A:$A,patch[[#This Row],[number]],$S:$S, "BJ And dev",$AD:$AD, "&lt;&gt;IntegratorValidationComment"))</f>
        <v/>
      </c>
      <c r="AA504" s="7" t="str">
        <f>IF(ISBLANK(patch[[#This Row],[project]]), "",COUNTIFS($A:$A,patch[[#This Row],[number]],$S:$S, "FL And dev",$AD:$AD, "&lt;&gt;IntegratorValidationComment"))</f>
        <v/>
      </c>
      <c r="AB504" s="7" t="str">
        <f>IF(ISBLANK(patch[[#This Row],[project]]), "",COUNTIFS($A:$A,patch[[#This Row],[number]],$S:$S, "SH And dev",$AD:$AD, "&lt;&gt;IntegratorValidationComment"))</f>
        <v/>
      </c>
      <c r="AC504" s="7" t="str">
        <f>IF(OR(ISNUMBER(FIND("Review-1", patch[[#This Row],[comments]])), ISNUMBER(FIND("Approver-1", patch[[#This Row],[comments]]))), "Review-1", "")</f>
        <v/>
      </c>
      <c r="AD5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04" s="7">
        <f>IF(ISBLANK(patch[[#This Row],[number]]),AE503,patch[[#This Row],[ifCommon]])</f>
        <v>0</v>
      </c>
    </row>
    <row r="505" spans="1:31">
      <c r="A505" s="151">
        <v>147356</v>
      </c>
      <c r="B505" s="151"/>
      <c r="C505" s="151"/>
      <c r="D505" s="151"/>
      <c r="E505" s="151"/>
      <c r="F505" s="151"/>
      <c r="G505" s="151"/>
      <c r="H505" s="151"/>
      <c r="I505" s="151"/>
      <c r="J505" s="152">
        <v>42636.849490740737</v>
      </c>
      <c r="K505" s="151"/>
      <c r="L505" s="151" t="s">
        <v>24</v>
      </c>
      <c r="M505" s="152">
        <v>42635.731157407397</v>
      </c>
      <c r="N505" s="151" t="s">
        <v>2536</v>
      </c>
      <c r="O505" s="151"/>
      <c r="P505" s="151"/>
      <c r="Q505" s="7" t="str">
        <f>IF(ISBLANK(patch[[#This Row],[OwnerEmail]]),Q504,patch[[#This Row],[OwnerEmail]])</f>
        <v>qingwu.zhang@intel.com</v>
      </c>
      <c r="R505" s="7" t="str">
        <f>_xlfn.IFNA(VLOOKUP(patch[[#This Row],[tmp-owner.email]],OrgTree!$A:$K, 11, 0), "not ICG SWFW")</f>
        <v>BJ And dev</v>
      </c>
      <c r="S505" s="7" t="str">
        <f>IF(patch[[#This Row],[reviewer]]=patch[[#This Row],[tmp-owner.email]], "author", _xlfn.IFNA(VLOOKUP(patch[[#This Row],[reviewer]],OrgTree!$A:$K, 11, 0), "not ICG SWFW"))</f>
        <v>author</v>
      </c>
      <c r="T505" s="7" t="str">
        <f>IF(ISBLANK(patch[[#This Row],[mergeDate]]), "", MID(YEAR(patch[[#This Row],[mergeDate]]), 3,2)&amp;"'ww"&amp;WEEKNUM(patch[[#This Row],[mergeDate]]))</f>
        <v>16'ww39</v>
      </c>
      <c r="U505" s="7" t="str">
        <f>IF(ISBLANK(patch[[#This Row],[mergeDate]]), U504, MID(YEAR(patch[[#This Row],[mergeDate]]), 3,2)&amp;"'m"&amp;MONTH(patch[[#This Row],[mergeDate]]))</f>
        <v>16'm9</v>
      </c>
      <c r="V505" s="7" t="str">
        <f>IF(ISBLANK(patch[[#This Row],[project]]), "",SUM(patch[[#This Row],[BJ -1 num]:[SH -1 num]]))</f>
        <v/>
      </c>
      <c r="W505" s="7" t="str">
        <f>IF(ISBLANK(patch[[#This Row],[project]]), "",COUNTIFS($A:$A,patch[[#This Row],[number]],$S:$S, "BJ And dev",$AC:$AC, "Review-1"))</f>
        <v/>
      </c>
      <c r="X505" s="7" t="str">
        <f>IF(ISBLANK(patch[[#This Row],[project]]), "",COUNTIFS($A:$A,patch[[#This Row],[number]],$S:$S, "FL And dev",$AC:$AC, "Review-1"))</f>
        <v/>
      </c>
      <c r="Y505" s="7" t="str">
        <f>IF(ISBLANK(patch[[#This Row],[project]]), "",COUNTIFS($A:$A,patch[[#This Row],[number]],$S:$S, "SH And dev",$AC:$AC, "Review-1"))</f>
        <v/>
      </c>
      <c r="Z505" s="7" t="str">
        <f>IF(ISBLANK(patch[[#This Row],[project]]), "",COUNTIFS($A:$A,patch[[#This Row],[number]],$S:$S, "BJ And dev",$AD:$AD, "&lt;&gt;IntegratorValidationComment"))</f>
        <v/>
      </c>
      <c r="AA505" s="7" t="str">
        <f>IF(ISBLANK(patch[[#This Row],[project]]), "",COUNTIFS($A:$A,patch[[#This Row],[number]],$S:$S, "FL And dev",$AD:$AD, "&lt;&gt;IntegratorValidationComment"))</f>
        <v/>
      </c>
      <c r="AB505" s="7" t="str">
        <f>IF(ISBLANK(patch[[#This Row],[project]]), "",COUNTIFS($A:$A,patch[[#This Row],[number]],$S:$S, "SH And dev",$AD:$AD, "&lt;&gt;IntegratorValidationComment"))</f>
        <v/>
      </c>
      <c r="AC505" s="7" t="str">
        <f>IF(OR(ISNUMBER(FIND("Review-1", patch[[#This Row],[comments]])), ISNUMBER(FIND("Approver-1", patch[[#This Row],[comments]]))), "Review-1", "")</f>
        <v/>
      </c>
      <c r="AD5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05" s="7">
        <f>IF(ISBLANK(patch[[#This Row],[number]]),AE504,patch[[#This Row],[ifCommon]])</f>
        <v>0</v>
      </c>
    </row>
    <row r="506" spans="1:31">
      <c r="A506" s="151">
        <v>147356</v>
      </c>
      <c r="B506" s="151"/>
      <c r="C506" s="151"/>
      <c r="D506" s="151"/>
      <c r="E506" s="151"/>
      <c r="F506" s="151"/>
      <c r="G506" s="151"/>
      <c r="H506" s="151"/>
      <c r="I506" s="151"/>
      <c r="J506" s="152">
        <v>42636.849490740737</v>
      </c>
      <c r="K506" s="151"/>
      <c r="L506" s="151" t="s">
        <v>59</v>
      </c>
      <c r="M506" s="152">
        <v>42635.734479166669</v>
      </c>
      <c r="N506" s="151" t="s">
        <v>2858</v>
      </c>
      <c r="O506" s="151"/>
      <c r="P506" s="151"/>
      <c r="Q506" s="7" t="str">
        <f>IF(ISBLANK(patch[[#This Row],[OwnerEmail]]),Q505,patch[[#This Row],[OwnerEmail]])</f>
        <v>qingwu.zhang@intel.com</v>
      </c>
      <c r="R506" s="7" t="str">
        <f>_xlfn.IFNA(VLOOKUP(patch[[#This Row],[tmp-owner.email]],OrgTree!$A:$K, 11, 0), "not ICG SWFW")</f>
        <v>BJ And dev</v>
      </c>
      <c r="S506" s="7" t="str">
        <f>IF(patch[[#This Row],[reviewer]]=patch[[#This Row],[tmp-owner.email]], "author", _xlfn.IFNA(VLOOKUP(patch[[#This Row],[reviewer]],OrgTree!$A:$K, 11, 0), "not ICG SWFW"))</f>
        <v>BJ And dev</v>
      </c>
      <c r="T506" s="7" t="str">
        <f>IF(ISBLANK(patch[[#This Row],[mergeDate]]), "", MID(YEAR(patch[[#This Row],[mergeDate]]), 3,2)&amp;"'ww"&amp;WEEKNUM(patch[[#This Row],[mergeDate]]))</f>
        <v>16'ww39</v>
      </c>
      <c r="U506" s="7" t="str">
        <f>IF(ISBLANK(patch[[#This Row],[mergeDate]]), U505, MID(YEAR(patch[[#This Row],[mergeDate]]), 3,2)&amp;"'m"&amp;MONTH(patch[[#This Row],[mergeDate]]))</f>
        <v>16'm9</v>
      </c>
      <c r="V506" s="7" t="str">
        <f>IF(ISBLANK(patch[[#This Row],[project]]), "",SUM(patch[[#This Row],[BJ -1 num]:[SH -1 num]]))</f>
        <v/>
      </c>
      <c r="W506" s="7" t="str">
        <f>IF(ISBLANK(patch[[#This Row],[project]]), "",COUNTIFS($A:$A,patch[[#This Row],[number]],$S:$S, "BJ And dev",$AC:$AC, "Review-1"))</f>
        <v/>
      </c>
      <c r="X506" s="7" t="str">
        <f>IF(ISBLANK(patch[[#This Row],[project]]), "",COUNTIFS($A:$A,patch[[#This Row],[number]],$S:$S, "FL And dev",$AC:$AC, "Review-1"))</f>
        <v/>
      </c>
      <c r="Y506" s="7" t="str">
        <f>IF(ISBLANK(patch[[#This Row],[project]]), "",COUNTIFS($A:$A,patch[[#This Row],[number]],$S:$S, "SH And dev",$AC:$AC, "Review-1"))</f>
        <v/>
      </c>
      <c r="Z506" s="7" t="str">
        <f>IF(ISBLANK(patch[[#This Row],[project]]), "",COUNTIFS($A:$A,patch[[#This Row],[number]],$S:$S, "BJ And dev",$AD:$AD, "&lt;&gt;IntegratorValidationComment"))</f>
        <v/>
      </c>
      <c r="AA506" s="7" t="str">
        <f>IF(ISBLANK(patch[[#This Row],[project]]), "",COUNTIFS($A:$A,patch[[#This Row],[number]],$S:$S, "FL And dev",$AD:$AD, "&lt;&gt;IntegratorValidationComment"))</f>
        <v/>
      </c>
      <c r="AB506" s="7" t="str">
        <f>IF(ISBLANK(patch[[#This Row],[project]]), "",COUNTIFS($A:$A,patch[[#This Row],[number]],$S:$S, "SH And dev",$AD:$AD, "&lt;&gt;IntegratorValidationComment"))</f>
        <v/>
      </c>
      <c r="AC506" s="7" t="str">
        <f>IF(OR(ISNUMBER(FIND("Review-1", patch[[#This Row],[comments]])), ISNUMBER(FIND("Approver-1", patch[[#This Row],[comments]]))), "Review-1", "")</f>
        <v/>
      </c>
      <c r="AD5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06" s="7">
        <f>IF(ISBLANK(patch[[#This Row],[number]]),AE505,patch[[#This Row],[ifCommon]])</f>
        <v>0</v>
      </c>
    </row>
    <row r="507" spans="1:31">
      <c r="A507" s="151">
        <v>147356</v>
      </c>
      <c r="B507" s="151"/>
      <c r="C507" s="151"/>
      <c r="D507" s="151"/>
      <c r="E507" s="151"/>
      <c r="F507" s="151"/>
      <c r="G507" s="151"/>
      <c r="H507" s="151"/>
      <c r="I507" s="151"/>
      <c r="J507" s="152">
        <v>42636.849490740737</v>
      </c>
      <c r="K507" s="151"/>
      <c r="L507" s="151" t="s">
        <v>24</v>
      </c>
      <c r="M507" s="152">
        <v>42635.740011574067</v>
      </c>
      <c r="N507" s="151" t="s">
        <v>2453</v>
      </c>
      <c r="O507" s="151"/>
      <c r="P507" s="151"/>
      <c r="Q507" s="7" t="str">
        <f>IF(ISBLANK(patch[[#This Row],[OwnerEmail]]),Q506,patch[[#This Row],[OwnerEmail]])</f>
        <v>qingwu.zhang@intel.com</v>
      </c>
      <c r="R507" s="7" t="str">
        <f>_xlfn.IFNA(VLOOKUP(patch[[#This Row],[tmp-owner.email]],OrgTree!$A:$K, 11, 0), "not ICG SWFW")</f>
        <v>BJ And dev</v>
      </c>
      <c r="S507" s="7" t="str">
        <f>IF(patch[[#This Row],[reviewer]]=patch[[#This Row],[tmp-owner.email]], "author", _xlfn.IFNA(VLOOKUP(patch[[#This Row],[reviewer]],OrgTree!$A:$K, 11, 0), "not ICG SWFW"))</f>
        <v>author</v>
      </c>
      <c r="T507" s="7" t="str">
        <f>IF(ISBLANK(patch[[#This Row],[mergeDate]]), "", MID(YEAR(patch[[#This Row],[mergeDate]]), 3,2)&amp;"'ww"&amp;WEEKNUM(patch[[#This Row],[mergeDate]]))</f>
        <v>16'ww39</v>
      </c>
      <c r="U507" s="7" t="str">
        <f>IF(ISBLANK(patch[[#This Row],[mergeDate]]), U506, MID(YEAR(patch[[#This Row],[mergeDate]]), 3,2)&amp;"'m"&amp;MONTH(patch[[#This Row],[mergeDate]]))</f>
        <v>16'm9</v>
      </c>
      <c r="V507" s="7" t="str">
        <f>IF(ISBLANK(patch[[#This Row],[project]]), "",SUM(patch[[#This Row],[BJ -1 num]:[SH -1 num]]))</f>
        <v/>
      </c>
      <c r="W507" s="7" t="str">
        <f>IF(ISBLANK(patch[[#This Row],[project]]), "",COUNTIFS($A:$A,patch[[#This Row],[number]],$S:$S, "BJ And dev",$AC:$AC, "Review-1"))</f>
        <v/>
      </c>
      <c r="X507" s="7" t="str">
        <f>IF(ISBLANK(patch[[#This Row],[project]]), "",COUNTIFS($A:$A,patch[[#This Row],[number]],$S:$S, "FL And dev",$AC:$AC, "Review-1"))</f>
        <v/>
      </c>
      <c r="Y507" s="7" t="str">
        <f>IF(ISBLANK(patch[[#This Row],[project]]), "",COUNTIFS($A:$A,patch[[#This Row],[number]],$S:$S, "SH And dev",$AC:$AC, "Review-1"))</f>
        <v/>
      </c>
      <c r="Z507" s="7" t="str">
        <f>IF(ISBLANK(patch[[#This Row],[project]]), "",COUNTIFS($A:$A,patch[[#This Row],[number]],$S:$S, "BJ And dev",$AD:$AD, "&lt;&gt;IntegratorValidationComment"))</f>
        <v/>
      </c>
      <c r="AA507" s="7" t="str">
        <f>IF(ISBLANK(patch[[#This Row],[project]]), "",COUNTIFS($A:$A,patch[[#This Row],[number]],$S:$S, "FL And dev",$AD:$AD, "&lt;&gt;IntegratorValidationComment"))</f>
        <v/>
      </c>
      <c r="AB507" s="7" t="str">
        <f>IF(ISBLANK(patch[[#This Row],[project]]), "",COUNTIFS($A:$A,patch[[#This Row],[number]],$S:$S, "SH And dev",$AD:$AD, "&lt;&gt;IntegratorValidationComment"))</f>
        <v/>
      </c>
      <c r="AC507" s="7" t="str">
        <f>IF(OR(ISNUMBER(FIND("Review-1", patch[[#This Row],[comments]])), ISNUMBER(FIND("Approver-1", patch[[#This Row],[comments]]))), "Review-1", "")</f>
        <v/>
      </c>
      <c r="AD5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07" s="7">
        <f>IF(ISBLANK(patch[[#This Row],[number]]),AE506,patch[[#This Row],[ifCommon]])</f>
        <v>0</v>
      </c>
    </row>
    <row r="508" spans="1:31">
      <c r="A508" s="151">
        <v>147356</v>
      </c>
      <c r="B508" s="151"/>
      <c r="C508" s="151"/>
      <c r="D508" s="151"/>
      <c r="E508" s="151"/>
      <c r="F508" s="151"/>
      <c r="G508" s="151"/>
      <c r="H508" s="151"/>
      <c r="I508" s="151"/>
      <c r="J508" s="152">
        <v>42636.849490740737</v>
      </c>
      <c r="K508" s="151"/>
      <c r="L508" s="151" t="s">
        <v>24</v>
      </c>
      <c r="M508" s="152">
        <v>42635.740011574067</v>
      </c>
      <c r="N508" s="151" t="s">
        <v>1855</v>
      </c>
      <c r="O508" s="151"/>
      <c r="P508" s="151"/>
      <c r="Q508" s="7" t="str">
        <f>IF(ISBLANK(patch[[#This Row],[OwnerEmail]]),Q507,patch[[#This Row],[OwnerEmail]])</f>
        <v>qingwu.zhang@intel.com</v>
      </c>
      <c r="R508" s="7" t="str">
        <f>_xlfn.IFNA(VLOOKUP(patch[[#This Row],[tmp-owner.email]],OrgTree!$A:$K, 11, 0), "not ICG SWFW")</f>
        <v>BJ And dev</v>
      </c>
      <c r="S508" s="7" t="str">
        <f>IF(patch[[#This Row],[reviewer]]=patch[[#This Row],[tmp-owner.email]], "author", _xlfn.IFNA(VLOOKUP(patch[[#This Row],[reviewer]],OrgTree!$A:$K, 11, 0), "not ICG SWFW"))</f>
        <v>author</v>
      </c>
      <c r="T508" s="7" t="str">
        <f>IF(ISBLANK(patch[[#This Row],[mergeDate]]), "", MID(YEAR(patch[[#This Row],[mergeDate]]), 3,2)&amp;"'ww"&amp;WEEKNUM(patch[[#This Row],[mergeDate]]))</f>
        <v>16'ww39</v>
      </c>
      <c r="U508" s="7" t="str">
        <f>IF(ISBLANK(patch[[#This Row],[mergeDate]]), U507, MID(YEAR(patch[[#This Row],[mergeDate]]), 3,2)&amp;"'m"&amp;MONTH(patch[[#This Row],[mergeDate]]))</f>
        <v>16'm9</v>
      </c>
      <c r="V508" s="7" t="str">
        <f>IF(ISBLANK(patch[[#This Row],[project]]), "",SUM(patch[[#This Row],[BJ -1 num]:[SH -1 num]]))</f>
        <v/>
      </c>
      <c r="W508" s="7" t="str">
        <f>IF(ISBLANK(patch[[#This Row],[project]]), "",COUNTIFS($A:$A,patch[[#This Row],[number]],$S:$S, "BJ And dev",$AC:$AC, "Review-1"))</f>
        <v/>
      </c>
      <c r="X508" s="7" t="str">
        <f>IF(ISBLANK(patch[[#This Row],[project]]), "",COUNTIFS($A:$A,patch[[#This Row],[number]],$S:$S, "FL And dev",$AC:$AC, "Review-1"))</f>
        <v/>
      </c>
      <c r="Y508" s="7" t="str">
        <f>IF(ISBLANK(patch[[#This Row],[project]]), "",COUNTIFS($A:$A,patch[[#This Row],[number]],$S:$S, "SH And dev",$AC:$AC, "Review-1"))</f>
        <v/>
      </c>
      <c r="Z508" s="7" t="str">
        <f>IF(ISBLANK(patch[[#This Row],[project]]), "",COUNTIFS($A:$A,patch[[#This Row],[number]],$S:$S, "BJ And dev",$AD:$AD, "&lt;&gt;IntegratorValidationComment"))</f>
        <v/>
      </c>
      <c r="AA508" s="7" t="str">
        <f>IF(ISBLANK(patch[[#This Row],[project]]), "",COUNTIFS($A:$A,patch[[#This Row],[number]],$S:$S, "FL And dev",$AD:$AD, "&lt;&gt;IntegratorValidationComment"))</f>
        <v/>
      </c>
      <c r="AB508" s="7" t="str">
        <f>IF(ISBLANK(patch[[#This Row],[project]]), "",COUNTIFS($A:$A,patch[[#This Row],[number]],$S:$S, "SH And dev",$AD:$AD, "&lt;&gt;IntegratorValidationComment"))</f>
        <v/>
      </c>
      <c r="AC508" s="7" t="str">
        <f>IF(OR(ISNUMBER(FIND("Review-1", patch[[#This Row],[comments]])), ISNUMBER(FIND("Approver-1", patch[[#This Row],[comments]]))), "Review-1", "")</f>
        <v/>
      </c>
      <c r="AD5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08" s="7">
        <f>IF(ISBLANK(patch[[#This Row],[number]]),AE507,patch[[#This Row],[ifCommon]])</f>
        <v>0</v>
      </c>
    </row>
    <row r="509" spans="1:31">
      <c r="A509" s="151">
        <v>147356</v>
      </c>
      <c r="B509" s="151"/>
      <c r="C509" s="151"/>
      <c r="D509" s="151"/>
      <c r="E509" s="151"/>
      <c r="F509" s="151"/>
      <c r="G509" s="151"/>
      <c r="H509" s="151"/>
      <c r="I509" s="152"/>
      <c r="J509" s="152">
        <v>42636.849490740737</v>
      </c>
      <c r="K509" s="151"/>
      <c r="L509" s="151" t="s">
        <v>24</v>
      </c>
      <c r="M509" s="152">
        <v>42635.740428240737</v>
      </c>
      <c r="N509" s="151" t="s">
        <v>1853</v>
      </c>
      <c r="O509" s="151"/>
      <c r="P509" s="151"/>
      <c r="Q509" s="7" t="str">
        <f>IF(ISBLANK(patch[[#This Row],[OwnerEmail]]),Q508,patch[[#This Row],[OwnerEmail]])</f>
        <v>qingwu.zhang@intel.com</v>
      </c>
      <c r="R509" s="7" t="str">
        <f>_xlfn.IFNA(VLOOKUP(patch[[#This Row],[tmp-owner.email]],OrgTree!$A:$K, 11, 0), "not ICG SWFW")</f>
        <v>BJ And dev</v>
      </c>
      <c r="S509" s="7" t="str">
        <f>IF(patch[[#This Row],[reviewer]]=patch[[#This Row],[tmp-owner.email]], "author", _xlfn.IFNA(VLOOKUP(patch[[#This Row],[reviewer]],OrgTree!$A:$K, 11, 0), "not ICG SWFW"))</f>
        <v>author</v>
      </c>
      <c r="T509" s="7" t="str">
        <f>IF(ISBLANK(patch[[#This Row],[mergeDate]]), "", MID(YEAR(patch[[#This Row],[mergeDate]]), 3,2)&amp;"'ww"&amp;WEEKNUM(patch[[#This Row],[mergeDate]]))</f>
        <v>16'ww39</v>
      </c>
      <c r="U509" s="7" t="str">
        <f>IF(ISBLANK(patch[[#This Row],[mergeDate]]), U508, MID(YEAR(patch[[#This Row],[mergeDate]]), 3,2)&amp;"'m"&amp;MONTH(patch[[#This Row],[mergeDate]]))</f>
        <v>16'm9</v>
      </c>
      <c r="V509" s="7" t="str">
        <f>IF(ISBLANK(patch[[#This Row],[project]]), "",SUM(patch[[#This Row],[BJ -1 num]:[SH -1 num]]))</f>
        <v/>
      </c>
      <c r="W509" s="7" t="str">
        <f>IF(ISBLANK(patch[[#This Row],[project]]), "",COUNTIFS($A:$A,patch[[#This Row],[number]],$S:$S, "BJ And dev",$AC:$AC, "Review-1"))</f>
        <v/>
      </c>
      <c r="X509" s="7" t="str">
        <f>IF(ISBLANK(patch[[#This Row],[project]]), "",COUNTIFS($A:$A,patch[[#This Row],[number]],$S:$S, "FL And dev",$AC:$AC, "Review-1"))</f>
        <v/>
      </c>
      <c r="Y509" s="7" t="str">
        <f>IF(ISBLANK(patch[[#This Row],[project]]), "",COUNTIFS($A:$A,patch[[#This Row],[number]],$S:$S, "SH And dev",$AC:$AC, "Review-1"))</f>
        <v/>
      </c>
      <c r="Z509" s="7" t="str">
        <f>IF(ISBLANK(patch[[#This Row],[project]]), "",COUNTIFS($A:$A,patch[[#This Row],[number]],$S:$S, "BJ And dev",$AD:$AD, "&lt;&gt;IntegratorValidationComment"))</f>
        <v/>
      </c>
      <c r="AA509" s="7" t="str">
        <f>IF(ISBLANK(patch[[#This Row],[project]]), "",COUNTIFS($A:$A,patch[[#This Row],[number]],$S:$S, "FL And dev",$AD:$AD, "&lt;&gt;IntegratorValidationComment"))</f>
        <v/>
      </c>
      <c r="AB509" s="7" t="str">
        <f>IF(ISBLANK(patch[[#This Row],[project]]), "",COUNTIFS($A:$A,patch[[#This Row],[number]],$S:$S, "SH And dev",$AD:$AD, "&lt;&gt;IntegratorValidationComment"))</f>
        <v/>
      </c>
      <c r="AC509" s="7" t="str">
        <f>IF(OR(ISNUMBER(FIND("Review-1", patch[[#This Row],[comments]])), ISNUMBER(FIND("Approver-1", patch[[#This Row],[comments]]))), "Review-1", "")</f>
        <v/>
      </c>
      <c r="AD5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09" s="7">
        <f>IF(ISBLANK(patch[[#This Row],[number]]),AE508,patch[[#This Row],[ifCommon]])</f>
        <v>0</v>
      </c>
    </row>
    <row r="510" spans="1:31">
      <c r="A510" s="151">
        <v>147356</v>
      </c>
      <c r="B510" s="151"/>
      <c r="C510" s="151"/>
      <c r="D510" s="151"/>
      <c r="E510" s="151"/>
      <c r="F510" s="151"/>
      <c r="G510" s="151"/>
      <c r="H510" s="151"/>
      <c r="I510" s="151"/>
      <c r="J510" s="152">
        <v>42636.849490740737</v>
      </c>
      <c r="K510" s="151"/>
      <c r="L510" s="151" t="s">
        <v>59</v>
      </c>
      <c r="M510" s="152">
        <v>42635.744606481479</v>
      </c>
      <c r="N510" s="151" t="s">
        <v>2859</v>
      </c>
      <c r="O510" s="151"/>
      <c r="P510" s="151"/>
      <c r="Q510" s="7" t="str">
        <f>IF(ISBLANK(patch[[#This Row],[OwnerEmail]]),Q509,patch[[#This Row],[OwnerEmail]])</f>
        <v>qingwu.zhang@intel.com</v>
      </c>
      <c r="R510" s="7" t="str">
        <f>_xlfn.IFNA(VLOOKUP(patch[[#This Row],[tmp-owner.email]],OrgTree!$A:$K, 11, 0), "not ICG SWFW")</f>
        <v>BJ And dev</v>
      </c>
      <c r="S510" s="7" t="str">
        <f>IF(patch[[#This Row],[reviewer]]=patch[[#This Row],[tmp-owner.email]], "author", _xlfn.IFNA(VLOOKUP(patch[[#This Row],[reviewer]],OrgTree!$A:$K, 11, 0), "not ICG SWFW"))</f>
        <v>BJ And dev</v>
      </c>
      <c r="T510" s="7" t="str">
        <f>IF(ISBLANK(patch[[#This Row],[mergeDate]]), "", MID(YEAR(patch[[#This Row],[mergeDate]]), 3,2)&amp;"'ww"&amp;WEEKNUM(patch[[#This Row],[mergeDate]]))</f>
        <v>16'ww39</v>
      </c>
      <c r="U510" s="7" t="str">
        <f>IF(ISBLANK(patch[[#This Row],[mergeDate]]), U509, MID(YEAR(patch[[#This Row],[mergeDate]]), 3,2)&amp;"'m"&amp;MONTH(patch[[#This Row],[mergeDate]]))</f>
        <v>16'm9</v>
      </c>
      <c r="V510" s="7" t="str">
        <f>IF(ISBLANK(patch[[#This Row],[project]]), "",SUM(patch[[#This Row],[BJ -1 num]:[SH -1 num]]))</f>
        <v/>
      </c>
      <c r="W510" s="7" t="str">
        <f>IF(ISBLANK(patch[[#This Row],[project]]), "",COUNTIFS($A:$A,patch[[#This Row],[number]],$S:$S, "BJ And dev",$AC:$AC, "Review-1"))</f>
        <v/>
      </c>
      <c r="X510" s="7" t="str">
        <f>IF(ISBLANK(patch[[#This Row],[project]]), "",COUNTIFS($A:$A,patch[[#This Row],[number]],$S:$S, "FL And dev",$AC:$AC, "Review-1"))</f>
        <v/>
      </c>
      <c r="Y510" s="7" t="str">
        <f>IF(ISBLANK(patch[[#This Row],[project]]), "",COUNTIFS($A:$A,patch[[#This Row],[number]],$S:$S, "SH And dev",$AC:$AC, "Review-1"))</f>
        <v/>
      </c>
      <c r="Z510" s="7" t="str">
        <f>IF(ISBLANK(patch[[#This Row],[project]]), "",COUNTIFS($A:$A,patch[[#This Row],[number]],$S:$S, "BJ And dev",$AD:$AD, "&lt;&gt;IntegratorValidationComment"))</f>
        <v/>
      </c>
      <c r="AA510" s="7" t="str">
        <f>IF(ISBLANK(patch[[#This Row],[project]]), "",COUNTIFS($A:$A,patch[[#This Row],[number]],$S:$S, "FL And dev",$AD:$AD, "&lt;&gt;IntegratorValidationComment"))</f>
        <v/>
      </c>
      <c r="AB510" s="7" t="str">
        <f>IF(ISBLANK(patch[[#This Row],[project]]), "",COUNTIFS($A:$A,patch[[#This Row],[number]],$S:$S, "SH And dev",$AD:$AD, "&lt;&gt;IntegratorValidationComment"))</f>
        <v/>
      </c>
      <c r="AC510" s="7" t="str">
        <f>IF(OR(ISNUMBER(FIND("Review-1", patch[[#This Row],[comments]])), ISNUMBER(FIND("Approver-1", patch[[#This Row],[comments]]))), "Review-1", "")</f>
        <v/>
      </c>
      <c r="AD5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10" s="7">
        <f>IF(ISBLANK(patch[[#This Row],[number]]),AE509,patch[[#This Row],[ifCommon]])</f>
        <v>0</v>
      </c>
    </row>
    <row r="511" spans="1:31">
      <c r="A511" s="151">
        <v>147356</v>
      </c>
      <c r="B511" s="151"/>
      <c r="C511" s="151"/>
      <c r="D511" s="151"/>
      <c r="E511" s="151"/>
      <c r="F511" s="151"/>
      <c r="G511" s="151"/>
      <c r="H511" s="151"/>
      <c r="I511" s="151"/>
      <c r="J511" s="152">
        <v>42636.849490740737</v>
      </c>
      <c r="K511" s="151"/>
      <c r="L511" s="151" t="s">
        <v>32</v>
      </c>
      <c r="M511" s="152">
        <v>42635.761481481481</v>
      </c>
      <c r="N511" s="151" t="s">
        <v>1853</v>
      </c>
      <c r="O511" s="151"/>
      <c r="P511" s="151"/>
      <c r="Q511" s="7" t="str">
        <f>IF(ISBLANK(patch[[#This Row],[OwnerEmail]]),Q510,patch[[#This Row],[OwnerEmail]])</f>
        <v>qingwu.zhang@intel.com</v>
      </c>
      <c r="R511" s="7" t="str">
        <f>_xlfn.IFNA(VLOOKUP(patch[[#This Row],[tmp-owner.email]],OrgTree!$A:$K, 11, 0), "not ICG SWFW")</f>
        <v>BJ And dev</v>
      </c>
      <c r="S511" s="7" t="str">
        <f>IF(patch[[#This Row],[reviewer]]=patch[[#This Row],[tmp-owner.email]], "author", _xlfn.IFNA(VLOOKUP(patch[[#This Row],[reviewer]],OrgTree!$A:$K, 11, 0), "not ICG SWFW"))</f>
        <v>BJ And dev</v>
      </c>
      <c r="T511" s="7" t="str">
        <f>IF(ISBLANK(patch[[#This Row],[mergeDate]]), "", MID(YEAR(patch[[#This Row],[mergeDate]]), 3,2)&amp;"'ww"&amp;WEEKNUM(patch[[#This Row],[mergeDate]]))</f>
        <v>16'ww39</v>
      </c>
      <c r="U511" s="7" t="str">
        <f>IF(ISBLANK(patch[[#This Row],[mergeDate]]), U510, MID(YEAR(patch[[#This Row],[mergeDate]]), 3,2)&amp;"'m"&amp;MONTH(patch[[#This Row],[mergeDate]]))</f>
        <v>16'm9</v>
      </c>
      <c r="V511" s="7" t="str">
        <f>IF(ISBLANK(patch[[#This Row],[project]]), "",SUM(patch[[#This Row],[BJ -1 num]:[SH -1 num]]))</f>
        <v/>
      </c>
      <c r="W511" s="7" t="str">
        <f>IF(ISBLANK(patch[[#This Row],[project]]), "",COUNTIFS($A:$A,patch[[#This Row],[number]],$S:$S, "BJ And dev",$AC:$AC, "Review-1"))</f>
        <v/>
      </c>
      <c r="X511" s="7" t="str">
        <f>IF(ISBLANK(patch[[#This Row],[project]]), "",COUNTIFS($A:$A,patch[[#This Row],[number]],$S:$S, "FL And dev",$AC:$AC, "Review-1"))</f>
        <v/>
      </c>
      <c r="Y511" s="7" t="str">
        <f>IF(ISBLANK(patch[[#This Row],[project]]), "",COUNTIFS($A:$A,patch[[#This Row],[number]],$S:$S, "SH And dev",$AC:$AC, "Review-1"))</f>
        <v/>
      </c>
      <c r="Z511" s="7" t="str">
        <f>IF(ISBLANK(patch[[#This Row],[project]]), "",COUNTIFS($A:$A,patch[[#This Row],[number]],$S:$S, "BJ And dev",$AD:$AD, "&lt;&gt;IntegratorValidationComment"))</f>
        <v/>
      </c>
      <c r="AA511" s="7" t="str">
        <f>IF(ISBLANK(patch[[#This Row],[project]]), "",COUNTIFS($A:$A,patch[[#This Row],[number]],$S:$S, "FL And dev",$AD:$AD, "&lt;&gt;IntegratorValidationComment"))</f>
        <v/>
      </c>
      <c r="AB511" s="7" t="str">
        <f>IF(ISBLANK(patch[[#This Row],[project]]), "",COUNTIFS($A:$A,patch[[#This Row],[number]],$S:$S, "SH And dev",$AD:$AD, "&lt;&gt;IntegratorValidationComment"))</f>
        <v/>
      </c>
      <c r="AC511" s="7" t="str">
        <f>IF(OR(ISNUMBER(FIND("Review-1", patch[[#This Row],[comments]])), ISNUMBER(FIND("Approver-1", patch[[#This Row],[comments]]))), "Review-1", "")</f>
        <v/>
      </c>
      <c r="AD5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11" s="7">
        <f>IF(ISBLANK(patch[[#This Row],[number]]),AE510,patch[[#This Row],[ifCommon]])</f>
        <v>0</v>
      </c>
    </row>
    <row r="512" spans="1:31">
      <c r="A512" s="151">
        <v>147356</v>
      </c>
      <c r="B512" s="151"/>
      <c r="C512" s="151"/>
      <c r="D512" s="151"/>
      <c r="E512" s="151"/>
      <c r="F512" s="151"/>
      <c r="G512" s="151"/>
      <c r="H512" s="151"/>
      <c r="I512" s="151"/>
      <c r="J512" s="152">
        <v>42636.849490740737</v>
      </c>
      <c r="K512" s="151"/>
      <c r="L512" s="151" t="s">
        <v>59</v>
      </c>
      <c r="M512" s="152">
        <v>42635.764907407407</v>
      </c>
      <c r="N512" s="151" t="s">
        <v>1853</v>
      </c>
      <c r="O512" s="151"/>
      <c r="P512" s="151"/>
      <c r="Q512" s="7" t="str">
        <f>IF(ISBLANK(patch[[#This Row],[OwnerEmail]]),Q511,patch[[#This Row],[OwnerEmail]])</f>
        <v>qingwu.zhang@intel.com</v>
      </c>
      <c r="R512" s="7" t="str">
        <f>_xlfn.IFNA(VLOOKUP(patch[[#This Row],[tmp-owner.email]],OrgTree!$A:$K, 11, 0), "not ICG SWFW")</f>
        <v>BJ And dev</v>
      </c>
      <c r="S512" s="7" t="str">
        <f>IF(patch[[#This Row],[reviewer]]=patch[[#This Row],[tmp-owner.email]], "author", _xlfn.IFNA(VLOOKUP(patch[[#This Row],[reviewer]],OrgTree!$A:$K, 11, 0), "not ICG SWFW"))</f>
        <v>BJ And dev</v>
      </c>
      <c r="T512" s="7" t="str">
        <f>IF(ISBLANK(patch[[#This Row],[mergeDate]]), "", MID(YEAR(patch[[#This Row],[mergeDate]]), 3,2)&amp;"'ww"&amp;WEEKNUM(patch[[#This Row],[mergeDate]]))</f>
        <v>16'ww39</v>
      </c>
      <c r="U512" s="7" t="str">
        <f>IF(ISBLANK(patch[[#This Row],[mergeDate]]), U511, MID(YEAR(patch[[#This Row],[mergeDate]]), 3,2)&amp;"'m"&amp;MONTH(patch[[#This Row],[mergeDate]]))</f>
        <v>16'm9</v>
      </c>
      <c r="V512" s="7" t="str">
        <f>IF(ISBLANK(patch[[#This Row],[project]]), "",SUM(patch[[#This Row],[BJ -1 num]:[SH -1 num]]))</f>
        <v/>
      </c>
      <c r="W512" s="7" t="str">
        <f>IF(ISBLANK(patch[[#This Row],[project]]), "",COUNTIFS($A:$A,patch[[#This Row],[number]],$S:$S, "BJ And dev",$AC:$AC, "Review-1"))</f>
        <v/>
      </c>
      <c r="X512" s="7" t="str">
        <f>IF(ISBLANK(patch[[#This Row],[project]]), "",COUNTIFS($A:$A,patch[[#This Row],[number]],$S:$S, "FL And dev",$AC:$AC, "Review-1"))</f>
        <v/>
      </c>
      <c r="Y512" s="7" t="str">
        <f>IF(ISBLANK(patch[[#This Row],[project]]), "",COUNTIFS($A:$A,patch[[#This Row],[number]],$S:$S, "SH And dev",$AC:$AC, "Review-1"))</f>
        <v/>
      </c>
      <c r="Z512" s="7" t="str">
        <f>IF(ISBLANK(patch[[#This Row],[project]]), "",COUNTIFS($A:$A,patch[[#This Row],[number]],$S:$S, "BJ And dev",$AD:$AD, "&lt;&gt;IntegratorValidationComment"))</f>
        <v/>
      </c>
      <c r="AA512" s="7" t="str">
        <f>IF(ISBLANK(patch[[#This Row],[project]]), "",COUNTIFS($A:$A,patch[[#This Row],[number]],$S:$S, "FL And dev",$AD:$AD, "&lt;&gt;IntegratorValidationComment"))</f>
        <v/>
      </c>
      <c r="AB512" s="7" t="str">
        <f>IF(ISBLANK(patch[[#This Row],[project]]), "",COUNTIFS($A:$A,patch[[#This Row],[number]],$S:$S, "SH And dev",$AD:$AD, "&lt;&gt;IntegratorValidationComment"))</f>
        <v/>
      </c>
      <c r="AC512" s="7" t="str">
        <f>IF(OR(ISNUMBER(FIND("Review-1", patch[[#This Row],[comments]])), ISNUMBER(FIND("Approver-1", patch[[#This Row],[comments]]))), "Review-1", "")</f>
        <v/>
      </c>
      <c r="AD5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12" s="7">
        <f>IF(ISBLANK(patch[[#This Row],[number]]),AE511,patch[[#This Row],[ifCommon]])</f>
        <v>0</v>
      </c>
    </row>
    <row r="513" spans="1:31">
      <c r="A513" s="151">
        <v>147356</v>
      </c>
      <c r="B513" s="151"/>
      <c r="C513" s="151"/>
      <c r="D513" s="151"/>
      <c r="E513" s="151"/>
      <c r="F513" s="151"/>
      <c r="G513" s="151"/>
      <c r="H513" s="151"/>
      <c r="I513" s="151"/>
      <c r="J513" s="152">
        <v>42636.849490740737</v>
      </c>
      <c r="K513" s="151"/>
      <c r="L513" s="151" t="s">
        <v>59</v>
      </c>
      <c r="M513" s="152">
        <v>42635.76829861111</v>
      </c>
      <c r="N513" s="151" t="s">
        <v>2454</v>
      </c>
      <c r="O513" s="151"/>
      <c r="P513" s="151"/>
      <c r="Q513" s="7" t="str">
        <f>IF(ISBLANK(patch[[#This Row],[OwnerEmail]]),Q512,patch[[#This Row],[OwnerEmail]])</f>
        <v>qingwu.zhang@intel.com</v>
      </c>
      <c r="R513" s="7" t="str">
        <f>_xlfn.IFNA(VLOOKUP(patch[[#This Row],[tmp-owner.email]],OrgTree!$A:$K, 11, 0), "not ICG SWFW")</f>
        <v>BJ And dev</v>
      </c>
      <c r="S513" s="7" t="str">
        <f>IF(patch[[#This Row],[reviewer]]=patch[[#This Row],[tmp-owner.email]], "author", _xlfn.IFNA(VLOOKUP(patch[[#This Row],[reviewer]],OrgTree!$A:$K, 11, 0), "not ICG SWFW"))</f>
        <v>BJ And dev</v>
      </c>
      <c r="T513" s="7" t="str">
        <f>IF(ISBLANK(patch[[#This Row],[mergeDate]]), "", MID(YEAR(patch[[#This Row],[mergeDate]]), 3,2)&amp;"'ww"&amp;WEEKNUM(patch[[#This Row],[mergeDate]]))</f>
        <v>16'ww39</v>
      </c>
      <c r="U513" s="7" t="str">
        <f>IF(ISBLANK(patch[[#This Row],[mergeDate]]), U512, MID(YEAR(patch[[#This Row],[mergeDate]]), 3,2)&amp;"'m"&amp;MONTH(patch[[#This Row],[mergeDate]]))</f>
        <v>16'm9</v>
      </c>
      <c r="V513" s="7" t="str">
        <f>IF(ISBLANK(patch[[#This Row],[project]]), "",SUM(patch[[#This Row],[BJ -1 num]:[SH -1 num]]))</f>
        <v/>
      </c>
      <c r="W513" s="7" t="str">
        <f>IF(ISBLANK(patch[[#This Row],[project]]), "",COUNTIFS($A:$A,patch[[#This Row],[number]],$S:$S, "BJ And dev",$AC:$AC, "Review-1"))</f>
        <v/>
      </c>
      <c r="X513" s="7" t="str">
        <f>IF(ISBLANK(patch[[#This Row],[project]]), "",COUNTIFS($A:$A,patch[[#This Row],[number]],$S:$S, "FL And dev",$AC:$AC, "Review-1"))</f>
        <v/>
      </c>
      <c r="Y513" s="7" t="str">
        <f>IF(ISBLANK(patch[[#This Row],[project]]), "",COUNTIFS($A:$A,patch[[#This Row],[number]],$S:$S, "SH And dev",$AC:$AC, "Review-1"))</f>
        <v/>
      </c>
      <c r="Z513" s="7" t="str">
        <f>IF(ISBLANK(patch[[#This Row],[project]]), "",COUNTIFS($A:$A,patch[[#This Row],[number]],$S:$S, "BJ And dev",$AD:$AD, "&lt;&gt;IntegratorValidationComment"))</f>
        <v/>
      </c>
      <c r="AA513" s="7" t="str">
        <f>IF(ISBLANK(patch[[#This Row],[project]]), "",COUNTIFS($A:$A,patch[[#This Row],[number]],$S:$S, "FL And dev",$AD:$AD, "&lt;&gt;IntegratorValidationComment"))</f>
        <v/>
      </c>
      <c r="AB513" s="7" t="str">
        <f>IF(ISBLANK(patch[[#This Row],[project]]), "",COUNTIFS($A:$A,patch[[#This Row],[number]],$S:$S, "SH And dev",$AD:$AD, "&lt;&gt;IntegratorValidationComment"))</f>
        <v/>
      </c>
      <c r="AC513" s="7" t="str">
        <f>IF(OR(ISNUMBER(FIND("Review-1", patch[[#This Row],[comments]])), ISNUMBER(FIND("Approver-1", patch[[#This Row],[comments]]))), "Review-1", "")</f>
        <v/>
      </c>
      <c r="AD5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13" s="7">
        <f>IF(ISBLANK(patch[[#This Row],[number]]),AE512,patch[[#This Row],[ifCommon]])</f>
        <v>0</v>
      </c>
    </row>
    <row r="514" spans="1:31">
      <c r="A514" s="151">
        <v>147356</v>
      </c>
      <c r="B514" s="151"/>
      <c r="C514" s="151"/>
      <c r="D514" s="151"/>
      <c r="E514" s="151"/>
      <c r="F514" s="151"/>
      <c r="G514" s="151"/>
      <c r="H514" s="151"/>
      <c r="I514" s="151"/>
      <c r="J514" s="152">
        <v>42636.849490740737</v>
      </c>
      <c r="K514" s="151"/>
      <c r="L514" s="151" t="s">
        <v>59</v>
      </c>
      <c r="M514" s="152">
        <v>42635.797337962962</v>
      </c>
      <c r="N514" s="151" t="s">
        <v>2860</v>
      </c>
      <c r="O514" s="151"/>
      <c r="P514" s="151"/>
      <c r="Q514" s="7" t="str">
        <f>IF(ISBLANK(patch[[#This Row],[OwnerEmail]]),Q513,patch[[#This Row],[OwnerEmail]])</f>
        <v>qingwu.zhang@intel.com</v>
      </c>
      <c r="R514" s="7" t="str">
        <f>_xlfn.IFNA(VLOOKUP(patch[[#This Row],[tmp-owner.email]],OrgTree!$A:$K, 11, 0), "not ICG SWFW")</f>
        <v>BJ And dev</v>
      </c>
      <c r="S514" s="7" t="str">
        <f>IF(patch[[#This Row],[reviewer]]=patch[[#This Row],[tmp-owner.email]], "author", _xlfn.IFNA(VLOOKUP(patch[[#This Row],[reviewer]],OrgTree!$A:$K, 11, 0), "not ICG SWFW"))</f>
        <v>BJ And dev</v>
      </c>
      <c r="T514" s="7" t="str">
        <f>IF(ISBLANK(patch[[#This Row],[mergeDate]]), "", MID(YEAR(patch[[#This Row],[mergeDate]]), 3,2)&amp;"'ww"&amp;WEEKNUM(patch[[#This Row],[mergeDate]]))</f>
        <v>16'ww39</v>
      </c>
      <c r="U514" s="7" t="str">
        <f>IF(ISBLANK(patch[[#This Row],[mergeDate]]), U513, MID(YEAR(patch[[#This Row],[mergeDate]]), 3,2)&amp;"'m"&amp;MONTH(patch[[#This Row],[mergeDate]]))</f>
        <v>16'm9</v>
      </c>
      <c r="V514" s="7" t="str">
        <f>IF(ISBLANK(patch[[#This Row],[project]]), "",SUM(patch[[#This Row],[BJ -1 num]:[SH -1 num]]))</f>
        <v/>
      </c>
      <c r="W514" s="7" t="str">
        <f>IF(ISBLANK(patch[[#This Row],[project]]), "",COUNTIFS($A:$A,patch[[#This Row],[number]],$S:$S, "BJ And dev",$AC:$AC, "Review-1"))</f>
        <v/>
      </c>
      <c r="X514" s="7" t="str">
        <f>IF(ISBLANK(patch[[#This Row],[project]]), "",COUNTIFS($A:$A,patch[[#This Row],[number]],$S:$S, "FL And dev",$AC:$AC, "Review-1"))</f>
        <v/>
      </c>
      <c r="Y514" s="7" t="str">
        <f>IF(ISBLANK(patch[[#This Row],[project]]), "",COUNTIFS($A:$A,patch[[#This Row],[number]],$S:$S, "SH And dev",$AC:$AC, "Review-1"))</f>
        <v/>
      </c>
      <c r="Z514" s="7" t="str">
        <f>IF(ISBLANK(patch[[#This Row],[project]]), "",COUNTIFS($A:$A,patch[[#This Row],[number]],$S:$S, "BJ And dev",$AD:$AD, "&lt;&gt;IntegratorValidationComment"))</f>
        <v/>
      </c>
      <c r="AA514" s="7" t="str">
        <f>IF(ISBLANK(patch[[#This Row],[project]]), "",COUNTIFS($A:$A,patch[[#This Row],[number]],$S:$S, "FL And dev",$AD:$AD, "&lt;&gt;IntegratorValidationComment"))</f>
        <v/>
      </c>
      <c r="AB514" s="7" t="str">
        <f>IF(ISBLANK(patch[[#This Row],[project]]), "",COUNTIFS($A:$A,patch[[#This Row],[number]],$S:$S, "SH And dev",$AD:$AD, "&lt;&gt;IntegratorValidationComment"))</f>
        <v/>
      </c>
      <c r="AC514" s="7" t="str">
        <f>IF(OR(ISNUMBER(FIND("Review-1", patch[[#This Row],[comments]])), ISNUMBER(FIND("Approver-1", patch[[#This Row],[comments]]))), "Review-1", "")</f>
        <v/>
      </c>
      <c r="AD5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14" s="7">
        <f>IF(ISBLANK(patch[[#This Row],[number]]),AE513,patch[[#This Row],[ifCommon]])</f>
        <v>0</v>
      </c>
    </row>
    <row r="515" spans="1:31">
      <c r="A515" s="151">
        <v>147356</v>
      </c>
      <c r="B515" s="151"/>
      <c r="C515" s="151"/>
      <c r="D515" s="151"/>
      <c r="E515" s="151"/>
      <c r="F515" s="151"/>
      <c r="G515" s="151"/>
      <c r="H515" s="151"/>
      <c r="I515" s="151"/>
      <c r="J515" s="152">
        <v>42636.849490740737</v>
      </c>
      <c r="K515" s="151"/>
      <c r="L515" s="151" t="s">
        <v>72</v>
      </c>
      <c r="M515" s="152">
        <v>42636.234363425923</v>
      </c>
      <c r="N515" s="151" t="s">
        <v>1853</v>
      </c>
      <c r="O515" s="151"/>
      <c r="P515" s="151"/>
      <c r="Q515" s="7" t="str">
        <f>IF(ISBLANK(patch[[#This Row],[OwnerEmail]]),Q514,patch[[#This Row],[OwnerEmail]])</f>
        <v>qingwu.zhang@intel.com</v>
      </c>
      <c r="R515" s="7" t="str">
        <f>_xlfn.IFNA(VLOOKUP(patch[[#This Row],[tmp-owner.email]],OrgTree!$A:$K, 11, 0), "not ICG SWFW")</f>
        <v>BJ And dev</v>
      </c>
      <c r="S515" s="7" t="str">
        <f>IF(patch[[#This Row],[reviewer]]=patch[[#This Row],[tmp-owner.email]], "author", _xlfn.IFNA(VLOOKUP(patch[[#This Row],[reviewer]],OrgTree!$A:$K, 11, 0), "not ICG SWFW"))</f>
        <v>BJ And dev</v>
      </c>
      <c r="T515" s="7" t="str">
        <f>IF(ISBLANK(patch[[#This Row],[mergeDate]]), "", MID(YEAR(patch[[#This Row],[mergeDate]]), 3,2)&amp;"'ww"&amp;WEEKNUM(patch[[#This Row],[mergeDate]]))</f>
        <v>16'ww39</v>
      </c>
      <c r="U515" s="7" t="str">
        <f>IF(ISBLANK(patch[[#This Row],[mergeDate]]), U514, MID(YEAR(patch[[#This Row],[mergeDate]]), 3,2)&amp;"'m"&amp;MONTH(patch[[#This Row],[mergeDate]]))</f>
        <v>16'm9</v>
      </c>
      <c r="V515" s="7" t="str">
        <f>IF(ISBLANK(patch[[#This Row],[project]]), "",SUM(patch[[#This Row],[BJ -1 num]:[SH -1 num]]))</f>
        <v/>
      </c>
      <c r="W515" s="7" t="str">
        <f>IF(ISBLANK(patch[[#This Row],[project]]), "",COUNTIFS($A:$A,patch[[#This Row],[number]],$S:$S, "BJ And dev",$AC:$AC, "Review-1"))</f>
        <v/>
      </c>
      <c r="X515" s="7" t="str">
        <f>IF(ISBLANK(patch[[#This Row],[project]]), "",COUNTIFS($A:$A,patch[[#This Row],[number]],$S:$S, "FL And dev",$AC:$AC, "Review-1"))</f>
        <v/>
      </c>
      <c r="Y515" s="7" t="str">
        <f>IF(ISBLANK(patch[[#This Row],[project]]), "",COUNTIFS($A:$A,patch[[#This Row],[number]],$S:$S, "SH And dev",$AC:$AC, "Review-1"))</f>
        <v/>
      </c>
      <c r="Z515" s="7" t="str">
        <f>IF(ISBLANK(patch[[#This Row],[project]]), "",COUNTIFS($A:$A,patch[[#This Row],[number]],$S:$S, "BJ And dev",$AD:$AD, "&lt;&gt;IntegratorValidationComment"))</f>
        <v/>
      </c>
      <c r="AA515" s="7" t="str">
        <f>IF(ISBLANK(patch[[#This Row],[project]]), "",COUNTIFS($A:$A,patch[[#This Row],[number]],$S:$S, "FL And dev",$AD:$AD, "&lt;&gt;IntegratorValidationComment"))</f>
        <v/>
      </c>
      <c r="AB515" s="7" t="str">
        <f>IF(ISBLANK(patch[[#This Row],[project]]), "",COUNTIFS($A:$A,patch[[#This Row],[number]],$S:$S, "SH And dev",$AD:$AD, "&lt;&gt;IntegratorValidationComment"))</f>
        <v/>
      </c>
      <c r="AC515" s="7" t="str">
        <f>IF(OR(ISNUMBER(FIND("Review-1", patch[[#This Row],[comments]])), ISNUMBER(FIND("Approver-1", patch[[#This Row],[comments]]))), "Review-1", "")</f>
        <v/>
      </c>
      <c r="AD5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15" s="7">
        <f>IF(ISBLANK(patch[[#This Row],[number]]),AE514,patch[[#This Row],[ifCommon]])</f>
        <v>0</v>
      </c>
    </row>
    <row r="516" spans="1:31">
      <c r="A516" s="151">
        <v>147356</v>
      </c>
      <c r="B516" s="151"/>
      <c r="C516" s="151"/>
      <c r="D516" s="151"/>
      <c r="E516" s="151"/>
      <c r="F516" s="151"/>
      <c r="G516" s="151"/>
      <c r="H516" s="151"/>
      <c r="I516" s="151"/>
      <c r="J516" s="152">
        <v>42636.849490740737</v>
      </c>
      <c r="K516" s="151"/>
      <c r="L516" s="151" t="s">
        <v>115</v>
      </c>
      <c r="M516" s="152">
        <v>42636.421527777777</v>
      </c>
      <c r="N516" s="151" t="s">
        <v>2492</v>
      </c>
      <c r="O516" s="151"/>
      <c r="P516" s="151"/>
      <c r="Q516" s="7" t="str">
        <f>IF(ISBLANK(patch[[#This Row],[OwnerEmail]]),Q515,patch[[#This Row],[OwnerEmail]])</f>
        <v>qingwu.zhang@intel.com</v>
      </c>
      <c r="R516" s="7" t="str">
        <f>_xlfn.IFNA(VLOOKUP(patch[[#This Row],[tmp-owner.email]],OrgTree!$A:$K, 11, 0), "not ICG SWFW")</f>
        <v>BJ And dev</v>
      </c>
      <c r="S516" s="7" t="str">
        <f>IF(patch[[#This Row],[reviewer]]=patch[[#This Row],[tmp-owner.email]], "author", _xlfn.IFNA(VLOOKUP(patch[[#This Row],[reviewer]],OrgTree!$A:$K, 11, 0), "not ICG SWFW"))</f>
        <v>Val</v>
      </c>
      <c r="T516" s="7" t="str">
        <f>IF(ISBLANK(patch[[#This Row],[mergeDate]]), "", MID(YEAR(patch[[#This Row],[mergeDate]]), 3,2)&amp;"'ww"&amp;WEEKNUM(patch[[#This Row],[mergeDate]]))</f>
        <v>16'ww39</v>
      </c>
      <c r="U516" s="7" t="str">
        <f>IF(ISBLANK(patch[[#This Row],[mergeDate]]), U515, MID(YEAR(patch[[#This Row],[mergeDate]]), 3,2)&amp;"'m"&amp;MONTH(patch[[#This Row],[mergeDate]]))</f>
        <v>16'm9</v>
      </c>
      <c r="V516" s="7" t="str">
        <f>IF(ISBLANK(patch[[#This Row],[project]]), "",SUM(patch[[#This Row],[BJ -1 num]:[SH -1 num]]))</f>
        <v/>
      </c>
      <c r="W516" s="7" t="str">
        <f>IF(ISBLANK(patch[[#This Row],[project]]), "",COUNTIFS($A:$A,patch[[#This Row],[number]],$S:$S, "BJ And dev",$AC:$AC, "Review-1"))</f>
        <v/>
      </c>
      <c r="X516" s="7" t="str">
        <f>IF(ISBLANK(patch[[#This Row],[project]]), "",COUNTIFS($A:$A,patch[[#This Row],[number]],$S:$S, "FL And dev",$AC:$AC, "Review-1"))</f>
        <v/>
      </c>
      <c r="Y516" s="7" t="str">
        <f>IF(ISBLANK(patch[[#This Row],[project]]), "",COUNTIFS($A:$A,patch[[#This Row],[number]],$S:$S, "SH And dev",$AC:$AC, "Review-1"))</f>
        <v/>
      </c>
      <c r="Z516" s="7" t="str">
        <f>IF(ISBLANK(patch[[#This Row],[project]]), "",COUNTIFS($A:$A,patch[[#This Row],[number]],$S:$S, "BJ And dev",$AD:$AD, "&lt;&gt;IntegratorValidationComment"))</f>
        <v/>
      </c>
      <c r="AA516" s="7" t="str">
        <f>IF(ISBLANK(patch[[#This Row],[project]]), "",COUNTIFS($A:$A,patch[[#This Row],[number]],$S:$S, "FL And dev",$AD:$AD, "&lt;&gt;IntegratorValidationComment"))</f>
        <v/>
      </c>
      <c r="AB516" s="7" t="str">
        <f>IF(ISBLANK(patch[[#This Row],[project]]), "",COUNTIFS($A:$A,patch[[#This Row],[number]],$S:$S, "SH And dev",$AD:$AD, "&lt;&gt;IntegratorValidationComment"))</f>
        <v/>
      </c>
      <c r="AC516" s="7" t="str">
        <f>IF(OR(ISNUMBER(FIND("Review-1", patch[[#This Row],[comments]])), ISNUMBER(FIND("Approver-1", patch[[#This Row],[comments]]))), "Review-1", "")</f>
        <v/>
      </c>
      <c r="AD5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516" s="7">
        <f>IF(ISBLANK(patch[[#This Row],[number]]),AE515,patch[[#This Row],[ifCommon]])</f>
        <v>0</v>
      </c>
    </row>
    <row r="517" spans="1:31">
      <c r="A517" s="151">
        <v>147356</v>
      </c>
      <c r="B517" s="151"/>
      <c r="C517" s="151"/>
      <c r="D517" s="151"/>
      <c r="E517" s="151"/>
      <c r="F517" s="151"/>
      <c r="G517" s="151"/>
      <c r="H517" s="151"/>
      <c r="I517" s="151"/>
      <c r="J517" s="152">
        <v>42636.849490740737</v>
      </c>
      <c r="K517" s="151"/>
      <c r="L517" s="151" t="s">
        <v>115</v>
      </c>
      <c r="M517" s="152">
        <v>42636.489085648151</v>
      </c>
      <c r="N517" s="151" t="s">
        <v>2512</v>
      </c>
      <c r="O517" s="151"/>
      <c r="P517" s="151"/>
      <c r="Q517" s="7" t="str">
        <f>IF(ISBLANK(patch[[#This Row],[OwnerEmail]]),Q516,patch[[#This Row],[OwnerEmail]])</f>
        <v>qingwu.zhang@intel.com</v>
      </c>
      <c r="R517" s="7" t="str">
        <f>_xlfn.IFNA(VLOOKUP(patch[[#This Row],[tmp-owner.email]],OrgTree!$A:$K, 11, 0), "not ICG SWFW")</f>
        <v>BJ And dev</v>
      </c>
      <c r="S517" s="7" t="str">
        <f>IF(patch[[#This Row],[reviewer]]=patch[[#This Row],[tmp-owner.email]], "author", _xlfn.IFNA(VLOOKUP(patch[[#This Row],[reviewer]],OrgTree!$A:$K, 11, 0), "not ICG SWFW"))</f>
        <v>Val</v>
      </c>
      <c r="T517" s="7" t="str">
        <f>IF(ISBLANK(patch[[#This Row],[mergeDate]]), "", MID(YEAR(patch[[#This Row],[mergeDate]]), 3,2)&amp;"'ww"&amp;WEEKNUM(patch[[#This Row],[mergeDate]]))</f>
        <v>16'ww39</v>
      </c>
      <c r="U517" s="7" t="str">
        <f>IF(ISBLANK(patch[[#This Row],[mergeDate]]), U516, MID(YEAR(patch[[#This Row],[mergeDate]]), 3,2)&amp;"'m"&amp;MONTH(patch[[#This Row],[mergeDate]]))</f>
        <v>16'm9</v>
      </c>
      <c r="V517" s="7" t="str">
        <f>IF(ISBLANK(patch[[#This Row],[project]]), "",SUM(patch[[#This Row],[BJ -1 num]:[SH -1 num]]))</f>
        <v/>
      </c>
      <c r="W517" s="7" t="str">
        <f>IF(ISBLANK(patch[[#This Row],[project]]), "",COUNTIFS($A:$A,patch[[#This Row],[number]],$S:$S, "BJ And dev",$AC:$AC, "Review-1"))</f>
        <v/>
      </c>
      <c r="X517" s="7" t="str">
        <f>IF(ISBLANK(patch[[#This Row],[project]]), "",COUNTIFS($A:$A,patch[[#This Row],[number]],$S:$S, "FL And dev",$AC:$AC, "Review-1"))</f>
        <v/>
      </c>
      <c r="Y517" s="7" t="str">
        <f>IF(ISBLANK(patch[[#This Row],[project]]), "",COUNTIFS($A:$A,patch[[#This Row],[number]],$S:$S, "SH And dev",$AC:$AC, "Review-1"))</f>
        <v/>
      </c>
      <c r="Z517" s="7" t="str">
        <f>IF(ISBLANK(patch[[#This Row],[project]]), "",COUNTIFS($A:$A,patch[[#This Row],[number]],$S:$S, "BJ And dev",$AD:$AD, "&lt;&gt;IntegratorValidationComment"))</f>
        <v/>
      </c>
      <c r="AA517" s="7" t="str">
        <f>IF(ISBLANK(patch[[#This Row],[project]]), "",COUNTIFS($A:$A,patch[[#This Row],[number]],$S:$S, "FL And dev",$AD:$AD, "&lt;&gt;IntegratorValidationComment"))</f>
        <v/>
      </c>
      <c r="AB517" s="7" t="str">
        <f>IF(ISBLANK(patch[[#This Row],[project]]), "",COUNTIFS($A:$A,patch[[#This Row],[number]],$S:$S, "SH And dev",$AD:$AD, "&lt;&gt;IntegratorValidationComment"))</f>
        <v/>
      </c>
      <c r="AC517" s="7" t="str">
        <f>IF(OR(ISNUMBER(FIND("Review-1", patch[[#This Row],[comments]])), ISNUMBER(FIND("Approver-1", patch[[#This Row],[comments]]))), "Review-1", "")</f>
        <v/>
      </c>
      <c r="AD5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17" s="7">
        <f>IF(ISBLANK(patch[[#This Row],[number]]),AE516,patch[[#This Row],[ifCommon]])</f>
        <v>0</v>
      </c>
    </row>
    <row r="518" spans="1:31">
      <c r="A518" s="151">
        <v>147356</v>
      </c>
      <c r="B518" s="151"/>
      <c r="C518" s="151"/>
      <c r="D518" s="151"/>
      <c r="E518" s="151"/>
      <c r="F518" s="151"/>
      <c r="G518" s="151"/>
      <c r="H518" s="151"/>
      <c r="I518" s="151"/>
      <c r="J518" s="152">
        <v>42636.849490740737</v>
      </c>
      <c r="K518" s="151"/>
      <c r="L518" s="151" t="s">
        <v>115</v>
      </c>
      <c r="M518" s="152">
        <v>42636.48909722222</v>
      </c>
      <c r="N518" s="151" t="s">
        <v>2465</v>
      </c>
      <c r="O518" s="151"/>
      <c r="P518" s="151"/>
      <c r="Q518" s="7" t="str">
        <f>IF(ISBLANK(patch[[#This Row],[OwnerEmail]]),Q517,patch[[#This Row],[OwnerEmail]])</f>
        <v>qingwu.zhang@intel.com</v>
      </c>
      <c r="R518" s="7" t="str">
        <f>_xlfn.IFNA(VLOOKUP(patch[[#This Row],[tmp-owner.email]],OrgTree!$A:$K, 11, 0), "not ICG SWFW")</f>
        <v>BJ And dev</v>
      </c>
      <c r="S518" s="7" t="str">
        <f>IF(patch[[#This Row],[reviewer]]=patch[[#This Row],[tmp-owner.email]], "author", _xlfn.IFNA(VLOOKUP(patch[[#This Row],[reviewer]],OrgTree!$A:$K, 11, 0), "not ICG SWFW"))</f>
        <v>Val</v>
      </c>
      <c r="T518" s="7" t="str">
        <f>IF(ISBLANK(patch[[#This Row],[mergeDate]]), "", MID(YEAR(patch[[#This Row],[mergeDate]]), 3,2)&amp;"'ww"&amp;WEEKNUM(patch[[#This Row],[mergeDate]]))</f>
        <v>16'ww39</v>
      </c>
      <c r="U518" s="7" t="str">
        <f>IF(ISBLANK(patch[[#This Row],[mergeDate]]), U517, MID(YEAR(patch[[#This Row],[mergeDate]]), 3,2)&amp;"'m"&amp;MONTH(patch[[#This Row],[mergeDate]]))</f>
        <v>16'm9</v>
      </c>
      <c r="V518" s="7" t="str">
        <f>IF(ISBLANK(patch[[#This Row],[project]]), "",SUM(patch[[#This Row],[BJ -1 num]:[SH -1 num]]))</f>
        <v/>
      </c>
      <c r="W518" s="7" t="str">
        <f>IF(ISBLANK(patch[[#This Row],[project]]), "",COUNTIFS($A:$A,patch[[#This Row],[number]],$S:$S, "BJ And dev",$AC:$AC, "Review-1"))</f>
        <v/>
      </c>
      <c r="X518" s="7" t="str">
        <f>IF(ISBLANK(patch[[#This Row],[project]]), "",COUNTIFS($A:$A,patch[[#This Row],[number]],$S:$S, "FL And dev",$AC:$AC, "Review-1"))</f>
        <v/>
      </c>
      <c r="Y518" s="7" t="str">
        <f>IF(ISBLANK(patch[[#This Row],[project]]), "",COUNTIFS($A:$A,patch[[#This Row],[number]],$S:$S, "SH And dev",$AC:$AC, "Review-1"))</f>
        <v/>
      </c>
      <c r="Z518" s="7" t="str">
        <f>IF(ISBLANK(patch[[#This Row],[project]]), "",COUNTIFS($A:$A,patch[[#This Row],[number]],$S:$S, "BJ And dev",$AD:$AD, "&lt;&gt;IntegratorValidationComment"))</f>
        <v/>
      </c>
      <c r="AA518" s="7" t="str">
        <f>IF(ISBLANK(patch[[#This Row],[project]]), "",COUNTIFS($A:$A,patch[[#This Row],[number]],$S:$S, "FL And dev",$AD:$AD, "&lt;&gt;IntegratorValidationComment"))</f>
        <v/>
      </c>
      <c r="AB518" s="7" t="str">
        <f>IF(ISBLANK(patch[[#This Row],[project]]), "",COUNTIFS($A:$A,patch[[#This Row],[number]],$S:$S, "SH And dev",$AD:$AD, "&lt;&gt;IntegratorValidationComment"))</f>
        <v/>
      </c>
      <c r="AC518" s="7" t="str">
        <f>IF(OR(ISNUMBER(FIND("Review-1", patch[[#This Row],[comments]])), ISNUMBER(FIND("Approver-1", patch[[#This Row],[comments]]))), "Review-1", "")</f>
        <v/>
      </c>
      <c r="AD5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18" s="7">
        <f>IF(ISBLANK(patch[[#This Row],[number]]),AE517,patch[[#This Row],[ifCommon]])</f>
        <v>0</v>
      </c>
    </row>
    <row r="519" spans="1:31">
      <c r="A519" s="151">
        <v>147356</v>
      </c>
      <c r="B519" s="151"/>
      <c r="C519" s="151"/>
      <c r="D519" s="151"/>
      <c r="E519" s="151"/>
      <c r="F519" s="151"/>
      <c r="G519" s="151"/>
      <c r="H519" s="151"/>
      <c r="I519" s="151"/>
      <c r="J519" s="152">
        <v>42636.849490740737</v>
      </c>
      <c r="K519" s="151"/>
      <c r="L519" s="151" t="s">
        <v>59</v>
      </c>
      <c r="M519" s="152">
        <v>42636.496655092589</v>
      </c>
      <c r="N519" s="151" t="s">
        <v>2861</v>
      </c>
      <c r="O519" s="151"/>
      <c r="P519" s="151"/>
      <c r="Q519" s="7" t="str">
        <f>IF(ISBLANK(patch[[#This Row],[OwnerEmail]]),Q518,patch[[#This Row],[OwnerEmail]])</f>
        <v>qingwu.zhang@intel.com</v>
      </c>
      <c r="R519" s="7" t="str">
        <f>_xlfn.IFNA(VLOOKUP(patch[[#This Row],[tmp-owner.email]],OrgTree!$A:$K, 11, 0), "not ICG SWFW")</f>
        <v>BJ And dev</v>
      </c>
      <c r="S519" s="7" t="str">
        <f>IF(patch[[#This Row],[reviewer]]=patch[[#This Row],[tmp-owner.email]], "author", _xlfn.IFNA(VLOOKUP(patch[[#This Row],[reviewer]],OrgTree!$A:$K, 11, 0), "not ICG SWFW"))</f>
        <v>BJ And dev</v>
      </c>
      <c r="T519" s="7" t="str">
        <f>IF(ISBLANK(patch[[#This Row],[mergeDate]]), "", MID(YEAR(patch[[#This Row],[mergeDate]]), 3,2)&amp;"'ww"&amp;WEEKNUM(patch[[#This Row],[mergeDate]]))</f>
        <v>16'ww39</v>
      </c>
      <c r="U519" s="7" t="str">
        <f>IF(ISBLANK(patch[[#This Row],[mergeDate]]), U518, MID(YEAR(patch[[#This Row],[mergeDate]]), 3,2)&amp;"'m"&amp;MONTH(patch[[#This Row],[mergeDate]]))</f>
        <v>16'm9</v>
      </c>
      <c r="V519" s="7" t="str">
        <f>IF(ISBLANK(patch[[#This Row],[project]]), "",SUM(patch[[#This Row],[BJ -1 num]:[SH -1 num]]))</f>
        <v/>
      </c>
      <c r="W519" s="7" t="str">
        <f>IF(ISBLANK(patch[[#This Row],[project]]), "",COUNTIFS($A:$A,patch[[#This Row],[number]],$S:$S, "BJ And dev",$AC:$AC, "Review-1"))</f>
        <v/>
      </c>
      <c r="X519" s="7" t="str">
        <f>IF(ISBLANK(patch[[#This Row],[project]]), "",COUNTIFS($A:$A,patch[[#This Row],[number]],$S:$S, "FL And dev",$AC:$AC, "Review-1"))</f>
        <v/>
      </c>
      <c r="Y519" s="7" t="str">
        <f>IF(ISBLANK(patch[[#This Row],[project]]), "",COUNTIFS($A:$A,patch[[#This Row],[number]],$S:$S, "SH And dev",$AC:$AC, "Review-1"))</f>
        <v/>
      </c>
      <c r="Z519" s="7" t="str">
        <f>IF(ISBLANK(patch[[#This Row],[project]]), "",COUNTIFS($A:$A,patch[[#This Row],[number]],$S:$S, "BJ And dev",$AD:$AD, "&lt;&gt;IntegratorValidationComment"))</f>
        <v/>
      </c>
      <c r="AA519" s="7" t="str">
        <f>IF(ISBLANK(patch[[#This Row],[project]]), "",COUNTIFS($A:$A,patch[[#This Row],[number]],$S:$S, "FL And dev",$AD:$AD, "&lt;&gt;IntegratorValidationComment"))</f>
        <v/>
      </c>
      <c r="AB519" s="7" t="str">
        <f>IF(ISBLANK(patch[[#This Row],[project]]), "",COUNTIFS($A:$A,patch[[#This Row],[number]],$S:$S, "SH And dev",$AD:$AD, "&lt;&gt;IntegratorValidationComment"))</f>
        <v/>
      </c>
      <c r="AC519" s="7" t="str">
        <f>IF(OR(ISNUMBER(FIND("Review-1", patch[[#This Row],[comments]])), ISNUMBER(FIND("Approver-1", patch[[#This Row],[comments]]))), "Review-1", "")</f>
        <v/>
      </c>
      <c r="AD5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19" s="7">
        <f>IF(ISBLANK(patch[[#This Row],[number]]),AE518,patch[[#This Row],[ifCommon]])</f>
        <v>0</v>
      </c>
    </row>
    <row r="520" spans="1:31">
      <c r="A520" s="151">
        <v>147356</v>
      </c>
      <c r="B520" s="151"/>
      <c r="C520" s="151"/>
      <c r="D520" s="151"/>
      <c r="E520" s="151"/>
      <c r="F520" s="151"/>
      <c r="G520" s="151"/>
      <c r="H520" s="151"/>
      <c r="I520" s="151"/>
      <c r="J520" s="152">
        <v>42636.849490740737</v>
      </c>
      <c r="K520" s="151"/>
      <c r="L520" s="151" t="s">
        <v>59</v>
      </c>
      <c r="M520" s="152">
        <v>42636.504849537043</v>
      </c>
      <c r="N520" s="151" t="s">
        <v>2862</v>
      </c>
      <c r="O520" s="151"/>
      <c r="P520" s="151"/>
      <c r="Q520" s="7" t="str">
        <f>IF(ISBLANK(patch[[#This Row],[OwnerEmail]]),Q519,patch[[#This Row],[OwnerEmail]])</f>
        <v>qingwu.zhang@intel.com</v>
      </c>
      <c r="R520" s="7" t="str">
        <f>_xlfn.IFNA(VLOOKUP(patch[[#This Row],[tmp-owner.email]],OrgTree!$A:$K, 11, 0), "not ICG SWFW")</f>
        <v>BJ And dev</v>
      </c>
      <c r="S520" s="7" t="str">
        <f>IF(patch[[#This Row],[reviewer]]=patch[[#This Row],[tmp-owner.email]], "author", _xlfn.IFNA(VLOOKUP(patch[[#This Row],[reviewer]],OrgTree!$A:$K, 11, 0), "not ICG SWFW"))</f>
        <v>BJ And dev</v>
      </c>
      <c r="T520" s="7" t="str">
        <f>IF(ISBLANK(patch[[#This Row],[mergeDate]]), "", MID(YEAR(patch[[#This Row],[mergeDate]]), 3,2)&amp;"'ww"&amp;WEEKNUM(patch[[#This Row],[mergeDate]]))</f>
        <v>16'ww39</v>
      </c>
      <c r="U520" s="7" t="str">
        <f>IF(ISBLANK(patch[[#This Row],[mergeDate]]), U519, MID(YEAR(patch[[#This Row],[mergeDate]]), 3,2)&amp;"'m"&amp;MONTH(patch[[#This Row],[mergeDate]]))</f>
        <v>16'm9</v>
      </c>
      <c r="V520" s="7" t="str">
        <f>IF(ISBLANK(patch[[#This Row],[project]]), "",SUM(patch[[#This Row],[BJ -1 num]:[SH -1 num]]))</f>
        <v/>
      </c>
      <c r="W520" s="7" t="str">
        <f>IF(ISBLANK(patch[[#This Row],[project]]), "",COUNTIFS($A:$A,patch[[#This Row],[number]],$S:$S, "BJ And dev",$AC:$AC, "Review-1"))</f>
        <v/>
      </c>
      <c r="X520" s="7" t="str">
        <f>IF(ISBLANK(patch[[#This Row],[project]]), "",COUNTIFS($A:$A,patch[[#This Row],[number]],$S:$S, "FL And dev",$AC:$AC, "Review-1"))</f>
        <v/>
      </c>
      <c r="Y520" s="7" t="str">
        <f>IF(ISBLANK(patch[[#This Row],[project]]), "",COUNTIFS($A:$A,patch[[#This Row],[number]],$S:$S, "SH And dev",$AC:$AC, "Review-1"))</f>
        <v/>
      </c>
      <c r="Z520" s="7" t="str">
        <f>IF(ISBLANK(patch[[#This Row],[project]]), "",COUNTIFS($A:$A,patch[[#This Row],[number]],$S:$S, "BJ And dev",$AD:$AD, "&lt;&gt;IntegratorValidationComment"))</f>
        <v/>
      </c>
      <c r="AA520" s="7" t="str">
        <f>IF(ISBLANK(patch[[#This Row],[project]]), "",COUNTIFS($A:$A,patch[[#This Row],[number]],$S:$S, "FL And dev",$AD:$AD, "&lt;&gt;IntegratorValidationComment"))</f>
        <v/>
      </c>
      <c r="AB520" s="7" t="str">
        <f>IF(ISBLANK(patch[[#This Row],[project]]), "",COUNTIFS($A:$A,patch[[#This Row],[number]],$S:$S, "SH And dev",$AD:$AD, "&lt;&gt;IntegratorValidationComment"))</f>
        <v/>
      </c>
      <c r="AC520" s="7" t="str">
        <f>IF(OR(ISNUMBER(FIND("Review-1", patch[[#This Row],[comments]])), ISNUMBER(FIND("Approver-1", patch[[#This Row],[comments]]))), "Review-1", "")</f>
        <v/>
      </c>
      <c r="AD5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20" s="7">
        <f>IF(ISBLANK(patch[[#This Row],[number]]),AE519,patch[[#This Row],[ifCommon]])</f>
        <v>0</v>
      </c>
    </row>
    <row r="521" spans="1:31">
      <c r="A521" s="151">
        <v>147352</v>
      </c>
      <c r="B521" s="151" t="s">
        <v>2490</v>
      </c>
      <c r="C521" s="151" t="s">
        <v>2491</v>
      </c>
      <c r="D521" s="151" t="s">
        <v>2821</v>
      </c>
      <c r="E521" s="151" t="s">
        <v>24</v>
      </c>
      <c r="F521" s="151" t="s">
        <v>23</v>
      </c>
      <c r="G521" s="151" t="s">
        <v>2822</v>
      </c>
      <c r="H521" s="151" t="s">
        <v>2823</v>
      </c>
      <c r="I521" s="152">
        <v>42635.638078703712</v>
      </c>
      <c r="J521" s="152">
        <v>42636.849456018521</v>
      </c>
      <c r="K521" s="151" t="s">
        <v>2445</v>
      </c>
      <c r="L521" s="151" t="s">
        <v>24</v>
      </c>
      <c r="M521" s="152">
        <v>42635.638078703712</v>
      </c>
      <c r="N521" s="151" t="s">
        <v>2428</v>
      </c>
      <c r="O521" s="151"/>
      <c r="P521" s="151" t="s">
        <v>2863</v>
      </c>
      <c r="Q521" s="7" t="str">
        <f>IF(ISBLANK(patch[[#This Row],[OwnerEmail]]),Q520,patch[[#This Row],[OwnerEmail]])</f>
        <v>qingwu.zhang@intel.com</v>
      </c>
      <c r="R521" s="7" t="str">
        <f>_xlfn.IFNA(VLOOKUP(patch[[#This Row],[tmp-owner.email]],OrgTree!$A:$K, 11, 0), "not ICG SWFW")</f>
        <v>BJ And dev</v>
      </c>
      <c r="S521" s="7" t="str">
        <f>IF(patch[[#This Row],[reviewer]]=patch[[#This Row],[tmp-owner.email]], "author", _xlfn.IFNA(VLOOKUP(patch[[#This Row],[reviewer]],OrgTree!$A:$K, 11, 0), "not ICG SWFW"))</f>
        <v>author</v>
      </c>
      <c r="T521" s="7" t="str">
        <f>IF(ISBLANK(patch[[#This Row],[mergeDate]]), "", MID(YEAR(patch[[#This Row],[mergeDate]]), 3,2)&amp;"'ww"&amp;WEEKNUM(patch[[#This Row],[mergeDate]]))</f>
        <v>16'ww39</v>
      </c>
      <c r="U521" s="7" t="str">
        <f>IF(ISBLANK(patch[[#This Row],[mergeDate]]), U520, MID(YEAR(patch[[#This Row],[mergeDate]]), 3,2)&amp;"'m"&amp;MONTH(patch[[#This Row],[mergeDate]]))</f>
        <v>16'm9</v>
      </c>
      <c r="V521" s="7">
        <f>IF(ISBLANK(patch[[#This Row],[project]]), "",SUM(patch[[#This Row],[BJ -1 num]:[SH -1 num]]))</f>
        <v>0</v>
      </c>
      <c r="W521" s="7">
        <f>IF(ISBLANK(patch[[#This Row],[project]]), "",COUNTIFS($A:$A,patch[[#This Row],[number]],$S:$S, "BJ And dev",$AC:$AC, "Review-1"))</f>
        <v>0</v>
      </c>
      <c r="X521" s="7">
        <f>IF(ISBLANK(patch[[#This Row],[project]]), "",COUNTIFS($A:$A,patch[[#This Row],[number]],$S:$S, "FL And dev",$AC:$AC, "Review-1"))</f>
        <v>0</v>
      </c>
      <c r="Y521" s="7">
        <f>IF(ISBLANK(patch[[#This Row],[project]]), "",COUNTIFS($A:$A,patch[[#This Row],[number]],$S:$S, "SH And dev",$AC:$AC, "Review-1"))</f>
        <v>0</v>
      </c>
      <c r="Z521" s="7">
        <f>IF(ISBLANK(patch[[#This Row],[project]]), "",COUNTIFS($A:$A,patch[[#This Row],[number]],$S:$S, "BJ And dev",$AD:$AD, "&lt;&gt;IntegratorValidationComment"))</f>
        <v>9</v>
      </c>
      <c r="AA521" s="7">
        <f>IF(ISBLANK(patch[[#This Row],[project]]), "",COUNTIFS($A:$A,patch[[#This Row],[number]],$S:$S, "FL And dev",$AD:$AD, "&lt;&gt;IntegratorValidationComment"))</f>
        <v>0</v>
      </c>
      <c r="AB521" s="7">
        <f>IF(ISBLANK(patch[[#This Row],[project]]), "",COUNTIFS($A:$A,patch[[#This Row],[number]],$S:$S, "SH And dev",$AD:$AD, "&lt;&gt;IntegratorValidationComment"))</f>
        <v>0</v>
      </c>
      <c r="AC521" s="7" t="str">
        <f>IF(OR(ISNUMBER(FIND("Review-1", patch[[#This Row],[comments]])), ISNUMBER(FIND("Approver-1", patch[[#This Row],[comments]]))), "Review-1", "")</f>
        <v/>
      </c>
      <c r="AD5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21" s="7" t="str">
        <f>IF(ISBLANK(patch[[#This Row],[number]]),AE520,patch[[#This Row],[ifCommon]])</f>
        <v>not AndrHAL</v>
      </c>
    </row>
    <row r="522" spans="1:31">
      <c r="A522" s="151">
        <v>147352</v>
      </c>
      <c r="B522" s="151"/>
      <c r="C522" s="151"/>
      <c r="D522" s="151"/>
      <c r="E522" s="151"/>
      <c r="F522" s="151"/>
      <c r="G522" s="151"/>
      <c r="H522" s="151"/>
      <c r="I522" s="151"/>
      <c r="J522" s="152">
        <v>42636.849456018521</v>
      </c>
      <c r="K522" s="151"/>
      <c r="L522" s="151" t="s">
        <v>24</v>
      </c>
      <c r="M522" s="152">
        <v>42635.638078703712</v>
      </c>
      <c r="N522" s="151" t="s">
        <v>25</v>
      </c>
      <c r="O522" s="151"/>
      <c r="P522" s="151"/>
      <c r="Q522" s="7" t="str">
        <f>IF(ISBLANK(patch[[#This Row],[OwnerEmail]]),Q521,patch[[#This Row],[OwnerEmail]])</f>
        <v>qingwu.zhang@intel.com</v>
      </c>
      <c r="R522" s="7" t="str">
        <f>_xlfn.IFNA(VLOOKUP(patch[[#This Row],[tmp-owner.email]],OrgTree!$A:$K, 11, 0), "not ICG SWFW")</f>
        <v>BJ And dev</v>
      </c>
      <c r="S522" s="7" t="str">
        <f>IF(patch[[#This Row],[reviewer]]=patch[[#This Row],[tmp-owner.email]], "author", _xlfn.IFNA(VLOOKUP(patch[[#This Row],[reviewer]],OrgTree!$A:$K, 11, 0), "not ICG SWFW"))</f>
        <v>author</v>
      </c>
      <c r="T522" s="7" t="str">
        <f>IF(ISBLANK(patch[[#This Row],[mergeDate]]), "", MID(YEAR(patch[[#This Row],[mergeDate]]), 3,2)&amp;"'ww"&amp;WEEKNUM(patch[[#This Row],[mergeDate]]))</f>
        <v>16'ww39</v>
      </c>
      <c r="U522" s="7" t="str">
        <f>IF(ISBLANK(patch[[#This Row],[mergeDate]]), U521, MID(YEAR(patch[[#This Row],[mergeDate]]), 3,2)&amp;"'m"&amp;MONTH(patch[[#This Row],[mergeDate]]))</f>
        <v>16'm9</v>
      </c>
      <c r="V522" s="7" t="str">
        <f>IF(ISBLANK(patch[[#This Row],[project]]), "",SUM(patch[[#This Row],[BJ -1 num]:[SH -1 num]]))</f>
        <v/>
      </c>
      <c r="W522" s="7" t="str">
        <f>IF(ISBLANK(patch[[#This Row],[project]]), "",COUNTIFS($A:$A,patch[[#This Row],[number]],$S:$S, "BJ And dev",$AC:$AC, "Review-1"))</f>
        <v/>
      </c>
      <c r="X522" s="7" t="str">
        <f>IF(ISBLANK(patch[[#This Row],[project]]), "",COUNTIFS($A:$A,patch[[#This Row],[number]],$S:$S, "FL And dev",$AC:$AC, "Review-1"))</f>
        <v/>
      </c>
      <c r="Y522" s="7" t="str">
        <f>IF(ISBLANK(patch[[#This Row],[project]]), "",COUNTIFS($A:$A,patch[[#This Row],[number]],$S:$S, "SH And dev",$AC:$AC, "Review-1"))</f>
        <v/>
      </c>
      <c r="Z522" s="7" t="str">
        <f>IF(ISBLANK(patch[[#This Row],[project]]), "",COUNTIFS($A:$A,patch[[#This Row],[number]],$S:$S, "BJ And dev",$AD:$AD, "&lt;&gt;IntegratorValidationComment"))</f>
        <v/>
      </c>
      <c r="AA522" s="7" t="str">
        <f>IF(ISBLANK(patch[[#This Row],[project]]), "",COUNTIFS($A:$A,patch[[#This Row],[number]],$S:$S, "FL And dev",$AD:$AD, "&lt;&gt;IntegratorValidationComment"))</f>
        <v/>
      </c>
      <c r="AB522" s="7" t="str">
        <f>IF(ISBLANK(patch[[#This Row],[project]]), "",COUNTIFS($A:$A,patch[[#This Row],[number]],$S:$S, "SH And dev",$AD:$AD, "&lt;&gt;IntegratorValidationComment"))</f>
        <v/>
      </c>
      <c r="AC522" s="7" t="str">
        <f>IF(OR(ISNUMBER(FIND("Review-1", patch[[#This Row],[comments]])), ISNUMBER(FIND("Approver-1", patch[[#This Row],[comments]]))), "Review-1", "")</f>
        <v/>
      </c>
      <c r="AD5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22" s="7">
        <f>IF(ISBLANK(patch[[#This Row],[number]]),AE521,patch[[#This Row],[ifCommon]])</f>
        <v>0</v>
      </c>
    </row>
    <row r="523" spans="1:31">
      <c r="A523" s="151">
        <v>147352</v>
      </c>
      <c r="B523" s="151"/>
      <c r="C523" s="151"/>
      <c r="D523" s="151"/>
      <c r="E523" s="151"/>
      <c r="F523" s="151"/>
      <c r="G523" s="151"/>
      <c r="H523" s="151"/>
      <c r="I523" s="151"/>
      <c r="J523" s="152">
        <v>42636.849456018521</v>
      </c>
      <c r="K523" s="151"/>
      <c r="L523" s="151" t="s">
        <v>24</v>
      </c>
      <c r="M523" s="152">
        <v>42635.651666666658</v>
      </c>
      <c r="N523" s="151" t="s">
        <v>2460</v>
      </c>
      <c r="O523" s="151"/>
      <c r="P523" s="151"/>
      <c r="Q523" s="7" t="str">
        <f>IF(ISBLANK(patch[[#This Row],[OwnerEmail]]),Q522,patch[[#This Row],[OwnerEmail]])</f>
        <v>qingwu.zhang@intel.com</v>
      </c>
      <c r="R523" s="7" t="str">
        <f>_xlfn.IFNA(VLOOKUP(patch[[#This Row],[tmp-owner.email]],OrgTree!$A:$K, 11, 0), "not ICG SWFW")</f>
        <v>BJ And dev</v>
      </c>
      <c r="S523" s="7" t="str">
        <f>IF(patch[[#This Row],[reviewer]]=patch[[#This Row],[tmp-owner.email]], "author", _xlfn.IFNA(VLOOKUP(patch[[#This Row],[reviewer]],OrgTree!$A:$K, 11, 0), "not ICG SWFW"))</f>
        <v>author</v>
      </c>
      <c r="T523" s="7" t="str">
        <f>IF(ISBLANK(patch[[#This Row],[mergeDate]]), "", MID(YEAR(patch[[#This Row],[mergeDate]]), 3,2)&amp;"'ww"&amp;WEEKNUM(patch[[#This Row],[mergeDate]]))</f>
        <v>16'ww39</v>
      </c>
      <c r="U523" s="7" t="str">
        <f>IF(ISBLANK(patch[[#This Row],[mergeDate]]), U522, MID(YEAR(patch[[#This Row],[mergeDate]]), 3,2)&amp;"'m"&amp;MONTH(patch[[#This Row],[mergeDate]]))</f>
        <v>16'm9</v>
      </c>
      <c r="V523" s="7" t="str">
        <f>IF(ISBLANK(patch[[#This Row],[project]]), "",SUM(patch[[#This Row],[BJ -1 num]:[SH -1 num]]))</f>
        <v/>
      </c>
      <c r="W523" s="7" t="str">
        <f>IF(ISBLANK(patch[[#This Row],[project]]), "",COUNTIFS($A:$A,patch[[#This Row],[number]],$S:$S, "BJ And dev",$AC:$AC, "Review-1"))</f>
        <v/>
      </c>
      <c r="X523" s="7" t="str">
        <f>IF(ISBLANK(patch[[#This Row],[project]]), "",COUNTIFS($A:$A,patch[[#This Row],[number]],$S:$S, "FL And dev",$AC:$AC, "Review-1"))</f>
        <v/>
      </c>
      <c r="Y523" s="7" t="str">
        <f>IF(ISBLANK(patch[[#This Row],[project]]), "",COUNTIFS($A:$A,patch[[#This Row],[number]],$S:$S, "SH And dev",$AC:$AC, "Review-1"))</f>
        <v/>
      </c>
      <c r="Z523" s="7" t="str">
        <f>IF(ISBLANK(patch[[#This Row],[project]]), "",COUNTIFS($A:$A,patch[[#This Row],[number]],$S:$S, "BJ And dev",$AD:$AD, "&lt;&gt;IntegratorValidationComment"))</f>
        <v/>
      </c>
      <c r="AA523" s="7" t="str">
        <f>IF(ISBLANK(patch[[#This Row],[project]]), "",COUNTIFS($A:$A,patch[[#This Row],[number]],$S:$S, "FL And dev",$AD:$AD, "&lt;&gt;IntegratorValidationComment"))</f>
        <v/>
      </c>
      <c r="AB523" s="7" t="str">
        <f>IF(ISBLANK(patch[[#This Row],[project]]), "",COUNTIFS($A:$A,patch[[#This Row],[number]],$S:$S, "SH And dev",$AD:$AD, "&lt;&gt;IntegratorValidationComment"))</f>
        <v/>
      </c>
      <c r="AC523" s="7" t="str">
        <f>IF(OR(ISNUMBER(FIND("Review-1", patch[[#This Row],[comments]])), ISNUMBER(FIND("Approver-1", patch[[#This Row],[comments]]))), "Review-1", "")</f>
        <v/>
      </c>
      <c r="AD5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23" s="7">
        <f>IF(ISBLANK(patch[[#This Row],[number]]),AE522,patch[[#This Row],[ifCommon]])</f>
        <v>0</v>
      </c>
    </row>
    <row r="524" spans="1:31">
      <c r="A524" s="151">
        <v>147352</v>
      </c>
      <c r="B524" s="151"/>
      <c r="C524" s="151"/>
      <c r="D524" s="151"/>
      <c r="E524" s="151"/>
      <c r="F524" s="151"/>
      <c r="G524" s="151"/>
      <c r="H524" s="151"/>
      <c r="I524" s="151"/>
      <c r="J524" s="152">
        <v>42636.849456018521</v>
      </c>
      <c r="K524" s="151"/>
      <c r="L524" s="151" t="s">
        <v>24</v>
      </c>
      <c r="M524" s="152">
        <v>42635.651666666658</v>
      </c>
      <c r="N524" s="151" t="s">
        <v>2429</v>
      </c>
      <c r="O524" s="151"/>
      <c r="P524" s="151"/>
      <c r="Q524" s="7" t="str">
        <f>IF(ISBLANK(patch[[#This Row],[OwnerEmail]]),Q523,patch[[#This Row],[OwnerEmail]])</f>
        <v>qingwu.zhang@intel.com</v>
      </c>
      <c r="R524" s="7" t="str">
        <f>_xlfn.IFNA(VLOOKUP(patch[[#This Row],[tmp-owner.email]],OrgTree!$A:$K, 11, 0), "not ICG SWFW")</f>
        <v>BJ And dev</v>
      </c>
      <c r="S524" s="7" t="str">
        <f>IF(patch[[#This Row],[reviewer]]=patch[[#This Row],[tmp-owner.email]], "author", _xlfn.IFNA(VLOOKUP(patch[[#This Row],[reviewer]],OrgTree!$A:$K, 11, 0), "not ICG SWFW"))</f>
        <v>author</v>
      </c>
      <c r="T524" s="7" t="str">
        <f>IF(ISBLANK(patch[[#This Row],[mergeDate]]), "", MID(YEAR(patch[[#This Row],[mergeDate]]), 3,2)&amp;"'ww"&amp;WEEKNUM(patch[[#This Row],[mergeDate]]))</f>
        <v>16'ww39</v>
      </c>
      <c r="U524" s="7" t="str">
        <f>IF(ISBLANK(patch[[#This Row],[mergeDate]]), U523, MID(YEAR(patch[[#This Row],[mergeDate]]), 3,2)&amp;"'m"&amp;MONTH(patch[[#This Row],[mergeDate]]))</f>
        <v>16'm9</v>
      </c>
      <c r="V524" s="7" t="str">
        <f>IF(ISBLANK(patch[[#This Row],[project]]), "",SUM(patch[[#This Row],[BJ -1 num]:[SH -1 num]]))</f>
        <v/>
      </c>
      <c r="W524" s="7" t="str">
        <f>IF(ISBLANK(patch[[#This Row],[project]]), "",COUNTIFS($A:$A,patch[[#This Row],[number]],$S:$S, "BJ And dev",$AC:$AC, "Review-1"))</f>
        <v/>
      </c>
      <c r="X524" s="7" t="str">
        <f>IF(ISBLANK(patch[[#This Row],[project]]), "",COUNTIFS($A:$A,patch[[#This Row],[number]],$S:$S, "FL And dev",$AC:$AC, "Review-1"))</f>
        <v/>
      </c>
      <c r="Y524" s="7" t="str">
        <f>IF(ISBLANK(patch[[#This Row],[project]]), "",COUNTIFS($A:$A,patch[[#This Row],[number]],$S:$S, "SH And dev",$AC:$AC, "Review-1"))</f>
        <v/>
      </c>
      <c r="Z524" s="7" t="str">
        <f>IF(ISBLANK(patch[[#This Row],[project]]), "",COUNTIFS($A:$A,patch[[#This Row],[number]],$S:$S, "BJ And dev",$AD:$AD, "&lt;&gt;IntegratorValidationComment"))</f>
        <v/>
      </c>
      <c r="AA524" s="7" t="str">
        <f>IF(ISBLANK(patch[[#This Row],[project]]), "",COUNTIFS($A:$A,patch[[#This Row],[number]],$S:$S, "FL And dev",$AD:$AD, "&lt;&gt;IntegratorValidationComment"))</f>
        <v/>
      </c>
      <c r="AB524" s="7" t="str">
        <f>IF(ISBLANK(patch[[#This Row],[project]]), "",COUNTIFS($A:$A,patch[[#This Row],[number]],$S:$S, "SH And dev",$AD:$AD, "&lt;&gt;IntegratorValidationComment"))</f>
        <v/>
      </c>
      <c r="AC524" s="7" t="str">
        <f>IF(OR(ISNUMBER(FIND("Review-1", patch[[#This Row],[comments]])), ISNUMBER(FIND("Approver-1", patch[[#This Row],[comments]]))), "Review-1", "")</f>
        <v/>
      </c>
      <c r="AD5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24" s="7">
        <f>IF(ISBLANK(patch[[#This Row],[number]]),AE523,patch[[#This Row],[ifCommon]])</f>
        <v>0</v>
      </c>
    </row>
    <row r="525" spans="1:31">
      <c r="A525" s="151">
        <v>147352</v>
      </c>
      <c r="B525" s="151"/>
      <c r="C525" s="151"/>
      <c r="D525" s="151"/>
      <c r="E525" s="151"/>
      <c r="F525" s="151"/>
      <c r="G525" s="151"/>
      <c r="H525" s="151"/>
      <c r="I525" s="151"/>
      <c r="J525" s="152">
        <v>42636.849456018521</v>
      </c>
      <c r="K525" s="151"/>
      <c r="L525" s="151" t="s">
        <v>24</v>
      </c>
      <c r="M525" s="152">
        <v>42635.652002314811</v>
      </c>
      <c r="N525" s="151" t="s">
        <v>27</v>
      </c>
      <c r="O525" s="151"/>
      <c r="P525" s="151"/>
      <c r="Q525" s="7" t="str">
        <f>IF(ISBLANK(patch[[#This Row],[OwnerEmail]]),Q524,patch[[#This Row],[OwnerEmail]])</f>
        <v>qingwu.zhang@intel.com</v>
      </c>
      <c r="R525" s="7" t="str">
        <f>_xlfn.IFNA(VLOOKUP(patch[[#This Row],[tmp-owner.email]],OrgTree!$A:$K, 11, 0), "not ICG SWFW")</f>
        <v>BJ And dev</v>
      </c>
      <c r="S525" s="7" t="str">
        <f>IF(patch[[#This Row],[reviewer]]=patch[[#This Row],[tmp-owner.email]], "author", _xlfn.IFNA(VLOOKUP(patch[[#This Row],[reviewer]],OrgTree!$A:$K, 11, 0), "not ICG SWFW"))</f>
        <v>author</v>
      </c>
      <c r="T525" s="7" t="str">
        <f>IF(ISBLANK(patch[[#This Row],[mergeDate]]), "", MID(YEAR(patch[[#This Row],[mergeDate]]), 3,2)&amp;"'ww"&amp;WEEKNUM(patch[[#This Row],[mergeDate]]))</f>
        <v>16'ww39</v>
      </c>
      <c r="U525" s="7" t="str">
        <f>IF(ISBLANK(patch[[#This Row],[mergeDate]]), U524, MID(YEAR(patch[[#This Row],[mergeDate]]), 3,2)&amp;"'m"&amp;MONTH(patch[[#This Row],[mergeDate]]))</f>
        <v>16'm9</v>
      </c>
      <c r="V525" s="7" t="str">
        <f>IF(ISBLANK(patch[[#This Row],[project]]), "",SUM(patch[[#This Row],[BJ -1 num]:[SH -1 num]]))</f>
        <v/>
      </c>
      <c r="W525" s="7" t="str">
        <f>IF(ISBLANK(patch[[#This Row],[project]]), "",COUNTIFS($A:$A,patch[[#This Row],[number]],$S:$S, "BJ And dev",$AC:$AC, "Review-1"))</f>
        <v/>
      </c>
      <c r="X525" s="7" t="str">
        <f>IF(ISBLANK(patch[[#This Row],[project]]), "",COUNTIFS($A:$A,patch[[#This Row],[number]],$S:$S, "FL And dev",$AC:$AC, "Review-1"))</f>
        <v/>
      </c>
      <c r="Y525" s="7" t="str">
        <f>IF(ISBLANK(patch[[#This Row],[project]]), "",COUNTIFS($A:$A,patch[[#This Row],[number]],$S:$S, "SH And dev",$AC:$AC, "Review-1"))</f>
        <v/>
      </c>
      <c r="Z525" s="7" t="str">
        <f>IF(ISBLANK(patch[[#This Row],[project]]), "",COUNTIFS($A:$A,patch[[#This Row],[number]],$S:$S, "BJ And dev",$AD:$AD, "&lt;&gt;IntegratorValidationComment"))</f>
        <v/>
      </c>
      <c r="AA525" s="7" t="str">
        <f>IF(ISBLANK(patch[[#This Row],[project]]), "",COUNTIFS($A:$A,patch[[#This Row],[number]],$S:$S, "FL And dev",$AD:$AD, "&lt;&gt;IntegratorValidationComment"))</f>
        <v/>
      </c>
      <c r="AB525" s="7" t="str">
        <f>IF(ISBLANK(patch[[#This Row],[project]]), "",COUNTIFS($A:$A,patch[[#This Row],[number]],$S:$S, "SH And dev",$AD:$AD, "&lt;&gt;IntegratorValidationComment"))</f>
        <v/>
      </c>
      <c r="AC525" s="7" t="str">
        <f>IF(OR(ISNUMBER(FIND("Review-1", patch[[#This Row],[comments]])), ISNUMBER(FIND("Approver-1", patch[[#This Row],[comments]]))), "Review-1", "")</f>
        <v/>
      </c>
      <c r="AD5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25" s="7">
        <f>IF(ISBLANK(patch[[#This Row],[number]]),AE524,patch[[#This Row],[ifCommon]])</f>
        <v>0</v>
      </c>
    </row>
    <row r="526" spans="1:31">
      <c r="A526" s="151">
        <v>147352</v>
      </c>
      <c r="B526" s="151"/>
      <c r="C526" s="151"/>
      <c r="D526" s="151"/>
      <c r="E526" s="151"/>
      <c r="F526" s="151"/>
      <c r="G526" s="151"/>
      <c r="H526" s="151"/>
      <c r="I526" s="151"/>
      <c r="J526" s="152">
        <v>42636.849456018521</v>
      </c>
      <c r="K526" s="151"/>
      <c r="L526" s="151" t="s">
        <v>59</v>
      </c>
      <c r="M526" s="152">
        <v>42635.654965277783</v>
      </c>
      <c r="N526" s="151" t="s">
        <v>2864</v>
      </c>
      <c r="O526" s="151"/>
      <c r="P526" s="151"/>
      <c r="Q526" s="7" t="str">
        <f>IF(ISBLANK(patch[[#This Row],[OwnerEmail]]),Q525,patch[[#This Row],[OwnerEmail]])</f>
        <v>qingwu.zhang@intel.com</v>
      </c>
      <c r="R526" s="7" t="str">
        <f>_xlfn.IFNA(VLOOKUP(patch[[#This Row],[tmp-owner.email]],OrgTree!$A:$K, 11, 0), "not ICG SWFW")</f>
        <v>BJ And dev</v>
      </c>
      <c r="S526" s="7" t="str">
        <f>IF(patch[[#This Row],[reviewer]]=patch[[#This Row],[tmp-owner.email]], "author", _xlfn.IFNA(VLOOKUP(patch[[#This Row],[reviewer]],OrgTree!$A:$K, 11, 0), "not ICG SWFW"))</f>
        <v>BJ And dev</v>
      </c>
      <c r="T526" s="7" t="str">
        <f>IF(ISBLANK(patch[[#This Row],[mergeDate]]), "", MID(YEAR(patch[[#This Row],[mergeDate]]), 3,2)&amp;"'ww"&amp;WEEKNUM(patch[[#This Row],[mergeDate]]))</f>
        <v>16'ww39</v>
      </c>
      <c r="U526" s="7" t="str">
        <f>IF(ISBLANK(patch[[#This Row],[mergeDate]]), U525, MID(YEAR(patch[[#This Row],[mergeDate]]), 3,2)&amp;"'m"&amp;MONTH(patch[[#This Row],[mergeDate]]))</f>
        <v>16'm9</v>
      </c>
      <c r="V526" s="7" t="str">
        <f>IF(ISBLANK(patch[[#This Row],[project]]), "",SUM(patch[[#This Row],[BJ -1 num]:[SH -1 num]]))</f>
        <v/>
      </c>
      <c r="W526" s="7" t="str">
        <f>IF(ISBLANK(patch[[#This Row],[project]]), "",COUNTIFS($A:$A,patch[[#This Row],[number]],$S:$S, "BJ And dev",$AC:$AC, "Review-1"))</f>
        <v/>
      </c>
      <c r="X526" s="7" t="str">
        <f>IF(ISBLANK(patch[[#This Row],[project]]), "",COUNTIFS($A:$A,patch[[#This Row],[number]],$S:$S, "FL And dev",$AC:$AC, "Review-1"))</f>
        <v/>
      </c>
      <c r="Y526" s="7" t="str">
        <f>IF(ISBLANK(patch[[#This Row],[project]]), "",COUNTIFS($A:$A,patch[[#This Row],[number]],$S:$S, "SH And dev",$AC:$AC, "Review-1"))</f>
        <v/>
      </c>
      <c r="Z526" s="7" t="str">
        <f>IF(ISBLANK(patch[[#This Row],[project]]), "",COUNTIFS($A:$A,patch[[#This Row],[number]],$S:$S, "BJ And dev",$AD:$AD, "&lt;&gt;IntegratorValidationComment"))</f>
        <v/>
      </c>
      <c r="AA526" s="7" t="str">
        <f>IF(ISBLANK(patch[[#This Row],[project]]), "",COUNTIFS($A:$A,patch[[#This Row],[number]],$S:$S, "FL And dev",$AD:$AD, "&lt;&gt;IntegratorValidationComment"))</f>
        <v/>
      </c>
      <c r="AB526" s="7" t="str">
        <f>IF(ISBLANK(patch[[#This Row],[project]]), "",COUNTIFS($A:$A,patch[[#This Row],[number]],$S:$S, "SH And dev",$AD:$AD, "&lt;&gt;IntegratorValidationComment"))</f>
        <v/>
      </c>
      <c r="AC526" s="7" t="str">
        <f>IF(OR(ISNUMBER(FIND("Review-1", patch[[#This Row],[comments]])), ISNUMBER(FIND("Approver-1", patch[[#This Row],[comments]]))), "Review-1", "")</f>
        <v/>
      </c>
      <c r="AD5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26" s="7">
        <f>IF(ISBLANK(patch[[#This Row],[number]]),AE525,patch[[#This Row],[ifCommon]])</f>
        <v>0</v>
      </c>
    </row>
    <row r="527" spans="1:31">
      <c r="A527" s="151">
        <v>147352</v>
      </c>
      <c r="B527" s="151"/>
      <c r="C527" s="151"/>
      <c r="D527" s="151"/>
      <c r="E527" s="151"/>
      <c r="F527" s="151"/>
      <c r="G527" s="151"/>
      <c r="H527" s="151"/>
      <c r="I527" s="151"/>
      <c r="J527" s="152">
        <v>42636.849456018521</v>
      </c>
      <c r="K527" s="151"/>
      <c r="L527" s="151" t="s">
        <v>59</v>
      </c>
      <c r="M527" s="152">
        <v>42635.65792824074</v>
      </c>
      <c r="N527" s="151" t="s">
        <v>2865</v>
      </c>
      <c r="O527" s="151"/>
      <c r="P527" s="151"/>
      <c r="Q527" s="7" t="str">
        <f>IF(ISBLANK(patch[[#This Row],[OwnerEmail]]),Q526,patch[[#This Row],[OwnerEmail]])</f>
        <v>qingwu.zhang@intel.com</v>
      </c>
      <c r="R527" s="7" t="str">
        <f>_xlfn.IFNA(VLOOKUP(patch[[#This Row],[tmp-owner.email]],OrgTree!$A:$K, 11, 0), "not ICG SWFW")</f>
        <v>BJ And dev</v>
      </c>
      <c r="S527" s="7" t="str">
        <f>IF(patch[[#This Row],[reviewer]]=patch[[#This Row],[tmp-owner.email]], "author", _xlfn.IFNA(VLOOKUP(patch[[#This Row],[reviewer]],OrgTree!$A:$K, 11, 0), "not ICG SWFW"))</f>
        <v>BJ And dev</v>
      </c>
      <c r="T527" s="7" t="str">
        <f>IF(ISBLANK(patch[[#This Row],[mergeDate]]), "", MID(YEAR(patch[[#This Row],[mergeDate]]), 3,2)&amp;"'ww"&amp;WEEKNUM(patch[[#This Row],[mergeDate]]))</f>
        <v>16'ww39</v>
      </c>
      <c r="U527" s="7" t="str">
        <f>IF(ISBLANK(patch[[#This Row],[mergeDate]]), U526, MID(YEAR(patch[[#This Row],[mergeDate]]), 3,2)&amp;"'m"&amp;MONTH(patch[[#This Row],[mergeDate]]))</f>
        <v>16'm9</v>
      </c>
      <c r="V527" s="7" t="str">
        <f>IF(ISBLANK(patch[[#This Row],[project]]), "",SUM(patch[[#This Row],[BJ -1 num]:[SH -1 num]]))</f>
        <v/>
      </c>
      <c r="W527" s="7" t="str">
        <f>IF(ISBLANK(patch[[#This Row],[project]]), "",COUNTIFS($A:$A,patch[[#This Row],[number]],$S:$S, "BJ And dev",$AC:$AC, "Review-1"))</f>
        <v/>
      </c>
      <c r="X527" s="7" t="str">
        <f>IF(ISBLANK(patch[[#This Row],[project]]), "",COUNTIFS($A:$A,patch[[#This Row],[number]],$S:$S, "FL And dev",$AC:$AC, "Review-1"))</f>
        <v/>
      </c>
      <c r="Y527" s="7" t="str">
        <f>IF(ISBLANK(patch[[#This Row],[project]]), "",COUNTIFS($A:$A,patch[[#This Row],[number]],$S:$S, "SH And dev",$AC:$AC, "Review-1"))</f>
        <v/>
      </c>
      <c r="Z527" s="7" t="str">
        <f>IF(ISBLANK(patch[[#This Row],[project]]), "",COUNTIFS($A:$A,patch[[#This Row],[number]],$S:$S, "BJ And dev",$AD:$AD, "&lt;&gt;IntegratorValidationComment"))</f>
        <v/>
      </c>
      <c r="AA527" s="7" t="str">
        <f>IF(ISBLANK(patch[[#This Row],[project]]), "",COUNTIFS($A:$A,patch[[#This Row],[number]],$S:$S, "FL And dev",$AD:$AD, "&lt;&gt;IntegratorValidationComment"))</f>
        <v/>
      </c>
      <c r="AB527" s="7" t="str">
        <f>IF(ISBLANK(patch[[#This Row],[project]]), "",COUNTIFS($A:$A,patch[[#This Row],[number]],$S:$S, "SH And dev",$AD:$AD, "&lt;&gt;IntegratorValidationComment"))</f>
        <v/>
      </c>
      <c r="AC527" s="7" t="str">
        <f>IF(OR(ISNUMBER(FIND("Review-1", patch[[#This Row],[comments]])), ISNUMBER(FIND("Approver-1", patch[[#This Row],[comments]]))), "Review-1", "")</f>
        <v/>
      </c>
      <c r="AD5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27" s="7">
        <f>IF(ISBLANK(patch[[#This Row],[number]]),AE526,patch[[#This Row],[ifCommon]])</f>
        <v>0</v>
      </c>
    </row>
    <row r="528" spans="1:31">
      <c r="A528" s="151">
        <v>147352</v>
      </c>
      <c r="B528" s="151"/>
      <c r="C528" s="151"/>
      <c r="D528" s="151"/>
      <c r="E528" s="151"/>
      <c r="F528" s="151"/>
      <c r="G528" s="151"/>
      <c r="H528" s="151"/>
      <c r="I528" s="151"/>
      <c r="J528" s="152">
        <v>42636.849456018521</v>
      </c>
      <c r="K528" s="151"/>
      <c r="L528" s="151" t="s">
        <v>1237</v>
      </c>
      <c r="M528" s="152">
        <v>42635.673680555563</v>
      </c>
      <c r="N528" s="151" t="s">
        <v>27</v>
      </c>
      <c r="O528" s="151"/>
      <c r="P528" s="151"/>
      <c r="Q528" s="7" t="str">
        <f>IF(ISBLANK(patch[[#This Row],[OwnerEmail]]),Q527,patch[[#This Row],[OwnerEmail]])</f>
        <v>qingwu.zhang@intel.com</v>
      </c>
      <c r="R528" s="7" t="str">
        <f>_xlfn.IFNA(VLOOKUP(patch[[#This Row],[tmp-owner.email]],OrgTree!$A:$K, 11, 0), "not ICG SWFW")</f>
        <v>BJ And dev</v>
      </c>
      <c r="S528" s="7" t="str">
        <f>IF(patch[[#This Row],[reviewer]]=patch[[#This Row],[tmp-owner.email]], "author", _xlfn.IFNA(VLOOKUP(patch[[#This Row],[reviewer]],OrgTree!$A:$K, 11, 0), "not ICG SWFW"))</f>
        <v>BJ And dev</v>
      </c>
      <c r="T528" s="7" t="str">
        <f>IF(ISBLANK(patch[[#This Row],[mergeDate]]), "", MID(YEAR(patch[[#This Row],[mergeDate]]), 3,2)&amp;"'ww"&amp;WEEKNUM(patch[[#This Row],[mergeDate]]))</f>
        <v>16'ww39</v>
      </c>
      <c r="U528" s="7" t="str">
        <f>IF(ISBLANK(patch[[#This Row],[mergeDate]]), U527, MID(YEAR(patch[[#This Row],[mergeDate]]), 3,2)&amp;"'m"&amp;MONTH(patch[[#This Row],[mergeDate]]))</f>
        <v>16'm9</v>
      </c>
      <c r="V528" s="7" t="str">
        <f>IF(ISBLANK(patch[[#This Row],[project]]), "",SUM(patch[[#This Row],[BJ -1 num]:[SH -1 num]]))</f>
        <v/>
      </c>
      <c r="W528" s="7" t="str">
        <f>IF(ISBLANK(patch[[#This Row],[project]]), "",COUNTIFS($A:$A,patch[[#This Row],[number]],$S:$S, "BJ And dev",$AC:$AC, "Review-1"))</f>
        <v/>
      </c>
      <c r="X528" s="7" t="str">
        <f>IF(ISBLANK(patch[[#This Row],[project]]), "",COUNTIFS($A:$A,patch[[#This Row],[number]],$S:$S, "FL And dev",$AC:$AC, "Review-1"))</f>
        <v/>
      </c>
      <c r="Y528" s="7" t="str">
        <f>IF(ISBLANK(patch[[#This Row],[project]]), "",COUNTIFS($A:$A,patch[[#This Row],[number]],$S:$S, "SH And dev",$AC:$AC, "Review-1"))</f>
        <v/>
      </c>
      <c r="Z528" s="7" t="str">
        <f>IF(ISBLANK(patch[[#This Row],[project]]), "",COUNTIFS($A:$A,patch[[#This Row],[number]],$S:$S, "BJ And dev",$AD:$AD, "&lt;&gt;IntegratorValidationComment"))</f>
        <v/>
      </c>
      <c r="AA528" s="7" t="str">
        <f>IF(ISBLANK(patch[[#This Row],[project]]), "",COUNTIFS($A:$A,patch[[#This Row],[number]],$S:$S, "FL And dev",$AD:$AD, "&lt;&gt;IntegratorValidationComment"))</f>
        <v/>
      </c>
      <c r="AB528" s="7" t="str">
        <f>IF(ISBLANK(patch[[#This Row],[project]]), "",COUNTIFS($A:$A,patch[[#This Row],[number]],$S:$S, "SH And dev",$AD:$AD, "&lt;&gt;IntegratorValidationComment"))</f>
        <v/>
      </c>
      <c r="AC528" s="7" t="str">
        <f>IF(OR(ISNUMBER(FIND("Review-1", patch[[#This Row],[comments]])), ISNUMBER(FIND("Approver-1", patch[[#This Row],[comments]]))), "Review-1", "")</f>
        <v/>
      </c>
      <c r="AD5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28" s="7">
        <f>IF(ISBLANK(patch[[#This Row],[number]]),AE527,patch[[#This Row],[ifCommon]])</f>
        <v>0</v>
      </c>
    </row>
    <row r="529" spans="1:31">
      <c r="A529" s="151">
        <v>147352</v>
      </c>
      <c r="B529" s="151"/>
      <c r="C529" s="151"/>
      <c r="D529" s="151"/>
      <c r="E529" s="151"/>
      <c r="F529" s="151"/>
      <c r="G529" s="151"/>
      <c r="H529" s="151"/>
      <c r="I529" s="151"/>
      <c r="J529" s="152">
        <v>42636.849456018521</v>
      </c>
      <c r="K529" s="151"/>
      <c r="L529" s="151" t="s">
        <v>32</v>
      </c>
      <c r="M529" s="152">
        <v>42635.71261574074</v>
      </c>
      <c r="N529" s="151" t="s">
        <v>1873</v>
      </c>
      <c r="O529" s="151"/>
      <c r="P529" s="151"/>
      <c r="Q529" s="7" t="str">
        <f>IF(ISBLANK(patch[[#This Row],[OwnerEmail]]),Q528,patch[[#This Row],[OwnerEmail]])</f>
        <v>qingwu.zhang@intel.com</v>
      </c>
      <c r="R529" s="7" t="str">
        <f>_xlfn.IFNA(VLOOKUP(patch[[#This Row],[tmp-owner.email]],OrgTree!$A:$K, 11, 0), "not ICG SWFW")</f>
        <v>BJ And dev</v>
      </c>
      <c r="S529" s="7" t="str">
        <f>IF(patch[[#This Row],[reviewer]]=patch[[#This Row],[tmp-owner.email]], "author", _xlfn.IFNA(VLOOKUP(patch[[#This Row],[reviewer]],OrgTree!$A:$K, 11, 0), "not ICG SWFW"))</f>
        <v>BJ And dev</v>
      </c>
      <c r="T529" s="7" t="str">
        <f>IF(ISBLANK(patch[[#This Row],[mergeDate]]), "", MID(YEAR(patch[[#This Row],[mergeDate]]), 3,2)&amp;"'ww"&amp;WEEKNUM(patch[[#This Row],[mergeDate]]))</f>
        <v>16'ww39</v>
      </c>
      <c r="U529" s="7" t="str">
        <f>IF(ISBLANK(patch[[#This Row],[mergeDate]]), U528, MID(YEAR(patch[[#This Row],[mergeDate]]), 3,2)&amp;"'m"&amp;MONTH(patch[[#This Row],[mergeDate]]))</f>
        <v>16'm9</v>
      </c>
      <c r="V529" s="7" t="str">
        <f>IF(ISBLANK(patch[[#This Row],[project]]), "",SUM(patch[[#This Row],[BJ -1 num]:[SH -1 num]]))</f>
        <v/>
      </c>
      <c r="W529" s="7" t="str">
        <f>IF(ISBLANK(patch[[#This Row],[project]]), "",COUNTIFS($A:$A,patch[[#This Row],[number]],$S:$S, "BJ And dev",$AC:$AC, "Review-1"))</f>
        <v/>
      </c>
      <c r="X529" s="7" t="str">
        <f>IF(ISBLANK(patch[[#This Row],[project]]), "",COUNTIFS($A:$A,patch[[#This Row],[number]],$S:$S, "FL And dev",$AC:$AC, "Review-1"))</f>
        <v/>
      </c>
      <c r="Y529" s="7" t="str">
        <f>IF(ISBLANK(patch[[#This Row],[project]]), "",COUNTIFS($A:$A,patch[[#This Row],[number]],$S:$S, "SH And dev",$AC:$AC, "Review-1"))</f>
        <v/>
      </c>
      <c r="Z529" s="7" t="str">
        <f>IF(ISBLANK(patch[[#This Row],[project]]), "",COUNTIFS($A:$A,patch[[#This Row],[number]],$S:$S, "BJ And dev",$AD:$AD, "&lt;&gt;IntegratorValidationComment"))</f>
        <v/>
      </c>
      <c r="AA529" s="7" t="str">
        <f>IF(ISBLANK(patch[[#This Row],[project]]), "",COUNTIFS($A:$A,patch[[#This Row],[number]],$S:$S, "FL And dev",$AD:$AD, "&lt;&gt;IntegratorValidationComment"))</f>
        <v/>
      </c>
      <c r="AB529" s="7" t="str">
        <f>IF(ISBLANK(patch[[#This Row],[project]]), "",COUNTIFS($A:$A,patch[[#This Row],[number]],$S:$S, "SH And dev",$AD:$AD, "&lt;&gt;IntegratorValidationComment"))</f>
        <v/>
      </c>
      <c r="AC529" s="7" t="str">
        <f>IF(OR(ISNUMBER(FIND("Review-1", patch[[#This Row],[comments]])), ISNUMBER(FIND("Approver-1", patch[[#This Row],[comments]]))), "Review-1", "")</f>
        <v/>
      </c>
      <c r="AD5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29" s="7">
        <f>IF(ISBLANK(patch[[#This Row],[number]]),AE528,patch[[#This Row],[ifCommon]])</f>
        <v>0</v>
      </c>
    </row>
    <row r="530" spans="1:31">
      <c r="A530" s="151">
        <v>147352</v>
      </c>
      <c r="B530" s="151"/>
      <c r="C530" s="151"/>
      <c r="D530" s="151"/>
      <c r="E530" s="151"/>
      <c r="F530" s="151"/>
      <c r="G530" s="151"/>
      <c r="H530" s="151"/>
      <c r="I530" s="151"/>
      <c r="J530" s="152">
        <v>42636.849456018521</v>
      </c>
      <c r="K530" s="151"/>
      <c r="L530" s="151" t="s">
        <v>24</v>
      </c>
      <c r="M530" s="152">
        <v>42635.730393518519</v>
      </c>
      <c r="N530" s="151" t="s">
        <v>2704</v>
      </c>
      <c r="O530" s="151"/>
      <c r="P530" s="151"/>
      <c r="Q530" s="7" t="str">
        <f>IF(ISBLANK(patch[[#This Row],[OwnerEmail]]),Q529,patch[[#This Row],[OwnerEmail]])</f>
        <v>qingwu.zhang@intel.com</v>
      </c>
      <c r="R530" s="7" t="str">
        <f>_xlfn.IFNA(VLOOKUP(patch[[#This Row],[tmp-owner.email]],OrgTree!$A:$K, 11, 0), "not ICG SWFW")</f>
        <v>BJ And dev</v>
      </c>
      <c r="S530" s="7" t="str">
        <f>IF(patch[[#This Row],[reviewer]]=patch[[#This Row],[tmp-owner.email]], "author", _xlfn.IFNA(VLOOKUP(patch[[#This Row],[reviewer]],OrgTree!$A:$K, 11, 0), "not ICG SWFW"))</f>
        <v>author</v>
      </c>
      <c r="T530" s="7" t="str">
        <f>IF(ISBLANK(patch[[#This Row],[mergeDate]]), "", MID(YEAR(patch[[#This Row],[mergeDate]]), 3,2)&amp;"'ww"&amp;WEEKNUM(patch[[#This Row],[mergeDate]]))</f>
        <v>16'ww39</v>
      </c>
      <c r="U530" s="7" t="str">
        <f>IF(ISBLANK(patch[[#This Row],[mergeDate]]), U529, MID(YEAR(patch[[#This Row],[mergeDate]]), 3,2)&amp;"'m"&amp;MONTH(patch[[#This Row],[mergeDate]]))</f>
        <v>16'm9</v>
      </c>
      <c r="V530" s="7" t="str">
        <f>IF(ISBLANK(patch[[#This Row],[project]]), "",SUM(patch[[#This Row],[BJ -1 num]:[SH -1 num]]))</f>
        <v/>
      </c>
      <c r="W530" s="7" t="str">
        <f>IF(ISBLANK(patch[[#This Row],[project]]), "",COUNTIFS($A:$A,patch[[#This Row],[number]],$S:$S, "BJ And dev",$AC:$AC, "Review-1"))</f>
        <v/>
      </c>
      <c r="X530" s="7" t="str">
        <f>IF(ISBLANK(patch[[#This Row],[project]]), "",COUNTIFS($A:$A,patch[[#This Row],[number]],$S:$S, "FL And dev",$AC:$AC, "Review-1"))</f>
        <v/>
      </c>
      <c r="Y530" s="7" t="str">
        <f>IF(ISBLANK(patch[[#This Row],[project]]), "",COUNTIFS($A:$A,patch[[#This Row],[number]],$S:$S, "SH And dev",$AC:$AC, "Review-1"))</f>
        <v/>
      </c>
      <c r="Z530" s="7" t="str">
        <f>IF(ISBLANK(patch[[#This Row],[project]]), "",COUNTIFS($A:$A,patch[[#This Row],[number]],$S:$S, "BJ And dev",$AD:$AD, "&lt;&gt;IntegratorValidationComment"))</f>
        <v/>
      </c>
      <c r="AA530" s="7" t="str">
        <f>IF(ISBLANK(patch[[#This Row],[project]]), "",COUNTIFS($A:$A,patch[[#This Row],[number]],$S:$S, "FL And dev",$AD:$AD, "&lt;&gt;IntegratorValidationComment"))</f>
        <v/>
      </c>
      <c r="AB530" s="7" t="str">
        <f>IF(ISBLANK(patch[[#This Row],[project]]), "",COUNTIFS($A:$A,patch[[#This Row],[number]],$S:$S, "SH And dev",$AD:$AD, "&lt;&gt;IntegratorValidationComment"))</f>
        <v/>
      </c>
      <c r="AC530" s="7" t="str">
        <f>IF(OR(ISNUMBER(FIND("Review-1", patch[[#This Row],[comments]])), ISNUMBER(FIND("Approver-1", patch[[#This Row],[comments]]))), "Review-1", "")</f>
        <v/>
      </c>
      <c r="AD5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30" s="7">
        <f>IF(ISBLANK(patch[[#This Row],[number]]),AE529,patch[[#This Row],[ifCommon]])</f>
        <v>0</v>
      </c>
    </row>
    <row r="531" spans="1:31">
      <c r="A531" s="151">
        <v>147352</v>
      </c>
      <c r="B531" s="151"/>
      <c r="C531" s="151"/>
      <c r="D531" s="151"/>
      <c r="E531" s="151"/>
      <c r="F531" s="151"/>
      <c r="G531" s="151"/>
      <c r="H531" s="151"/>
      <c r="I531" s="151"/>
      <c r="J531" s="152">
        <v>42636.849456018521</v>
      </c>
      <c r="K531" s="151"/>
      <c r="L531" s="151" t="s">
        <v>24</v>
      </c>
      <c r="M531" s="152">
        <v>42635.730393518519</v>
      </c>
      <c r="N531" s="151" t="s">
        <v>2450</v>
      </c>
      <c r="O531" s="151"/>
      <c r="P531" s="151"/>
      <c r="Q531" s="7" t="str">
        <f>IF(ISBLANK(patch[[#This Row],[OwnerEmail]]),Q530,patch[[#This Row],[OwnerEmail]])</f>
        <v>qingwu.zhang@intel.com</v>
      </c>
      <c r="R531" s="7" t="str">
        <f>_xlfn.IFNA(VLOOKUP(patch[[#This Row],[tmp-owner.email]],OrgTree!$A:$K, 11, 0), "not ICG SWFW")</f>
        <v>BJ And dev</v>
      </c>
      <c r="S531" s="7" t="str">
        <f>IF(patch[[#This Row],[reviewer]]=patch[[#This Row],[tmp-owner.email]], "author", _xlfn.IFNA(VLOOKUP(patch[[#This Row],[reviewer]],OrgTree!$A:$K, 11, 0), "not ICG SWFW"))</f>
        <v>author</v>
      </c>
      <c r="T531" s="7" t="str">
        <f>IF(ISBLANK(patch[[#This Row],[mergeDate]]), "", MID(YEAR(patch[[#This Row],[mergeDate]]), 3,2)&amp;"'ww"&amp;WEEKNUM(patch[[#This Row],[mergeDate]]))</f>
        <v>16'ww39</v>
      </c>
      <c r="U531" s="7" t="str">
        <f>IF(ISBLANK(patch[[#This Row],[mergeDate]]), U530, MID(YEAR(patch[[#This Row],[mergeDate]]), 3,2)&amp;"'m"&amp;MONTH(patch[[#This Row],[mergeDate]]))</f>
        <v>16'm9</v>
      </c>
      <c r="V531" s="7" t="str">
        <f>IF(ISBLANK(patch[[#This Row],[project]]), "",SUM(patch[[#This Row],[BJ -1 num]:[SH -1 num]]))</f>
        <v/>
      </c>
      <c r="W531" s="7" t="str">
        <f>IF(ISBLANK(patch[[#This Row],[project]]), "",COUNTIFS($A:$A,patch[[#This Row],[number]],$S:$S, "BJ And dev",$AC:$AC, "Review-1"))</f>
        <v/>
      </c>
      <c r="X531" s="7" t="str">
        <f>IF(ISBLANK(patch[[#This Row],[project]]), "",COUNTIFS($A:$A,patch[[#This Row],[number]],$S:$S, "FL And dev",$AC:$AC, "Review-1"))</f>
        <v/>
      </c>
      <c r="Y531" s="7" t="str">
        <f>IF(ISBLANK(patch[[#This Row],[project]]), "",COUNTIFS($A:$A,patch[[#This Row],[number]],$S:$S, "SH And dev",$AC:$AC, "Review-1"))</f>
        <v/>
      </c>
      <c r="Z531" s="7" t="str">
        <f>IF(ISBLANK(patch[[#This Row],[project]]), "",COUNTIFS($A:$A,patch[[#This Row],[number]],$S:$S, "BJ And dev",$AD:$AD, "&lt;&gt;IntegratorValidationComment"))</f>
        <v/>
      </c>
      <c r="AA531" s="7" t="str">
        <f>IF(ISBLANK(patch[[#This Row],[project]]), "",COUNTIFS($A:$A,patch[[#This Row],[number]],$S:$S, "FL And dev",$AD:$AD, "&lt;&gt;IntegratorValidationComment"))</f>
        <v/>
      </c>
      <c r="AB531" s="7" t="str">
        <f>IF(ISBLANK(patch[[#This Row],[project]]), "",COUNTIFS($A:$A,patch[[#This Row],[number]],$S:$S, "SH And dev",$AD:$AD, "&lt;&gt;IntegratorValidationComment"))</f>
        <v/>
      </c>
      <c r="AC531" s="7" t="str">
        <f>IF(OR(ISNUMBER(FIND("Review-1", patch[[#This Row],[comments]])), ISNUMBER(FIND("Approver-1", patch[[#This Row],[comments]]))), "Review-1", "")</f>
        <v/>
      </c>
      <c r="AD5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31" s="7">
        <f>IF(ISBLANK(patch[[#This Row],[number]]),AE530,patch[[#This Row],[ifCommon]])</f>
        <v>0</v>
      </c>
    </row>
    <row r="532" spans="1:31">
      <c r="A532" s="151">
        <v>147352</v>
      </c>
      <c r="B532" s="151"/>
      <c r="C532" s="151"/>
      <c r="D532" s="151"/>
      <c r="E532" s="151"/>
      <c r="F532" s="151"/>
      <c r="G532" s="151"/>
      <c r="H532" s="151"/>
      <c r="I532" s="151"/>
      <c r="J532" s="152">
        <v>42636.849456018521</v>
      </c>
      <c r="K532" s="151"/>
      <c r="L532" s="151" t="s">
        <v>59</v>
      </c>
      <c r="M532" s="152">
        <v>42635.734259259261</v>
      </c>
      <c r="N532" s="151" t="s">
        <v>2866</v>
      </c>
      <c r="O532" s="151"/>
      <c r="P532" s="151"/>
      <c r="Q532" s="7" t="str">
        <f>IF(ISBLANK(patch[[#This Row],[OwnerEmail]]),Q531,patch[[#This Row],[OwnerEmail]])</f>
        <v>qingwu.zhang@intel.com</v>
      </c>
      <c r="R532" s="7" t="str">
        <f>_xlfn.IFNA(VLOOKUP(patch[[#This Row],[tmp-owner.email]],OrgTree!$A:$K, 11, 0), "not ICG SWFW")</f>
        <v>BJ And dev</v>
      </c>
      <c r="S532" s="7" t="str">
        <f>IF(patch[[#This Row],[reviewer]]=patch[[#This Row],[tmp-owner.email]], "author", _xlfn.IFNA(VLOOKUP(patch[[#This Row],[reviewer]],OrgTree!$A:$K, 11, 0), "not ICG SWFW"))</f>
        <v>BJ And dev</v>
      </c>
      <c r="T532" s="7" t="str">
        <f>IF(ISBLANK(patch[[#This Row],[mergeDate]]), "", MID(YEAR(patch[[#This Row],[mergeDate]]), 3,2)&amp;"'ww"&amp;WEEKNUM(patch[[#This Row],[mergeDate]]))</f>
        <v>16'ww39</v>
      </c>
      <c r="U532" s="7" t="str">
        <f>IF(ISBLANK(patch[[#This Row],[mergeDate]]), U531, MID(YEAR(patch[[#This Row],[mergeDate]]), 3,2)&amp;"'m"&amp;MONTH(patch[[#This Row],[mergeDate]]))</f>
        <v>16'm9</v>
      </c>
      <c r="V532" s="7" t="str">
        <f>IF(ISBLANK(patch[[#This Row],[project]]), "",SUM(patch[[#This Row],[BJ -1 num]:[SH -1 num]]))</f>
        <v/>
      </c>
      <c r="W532" s="7" t="str">
        <f>IF(ISBLANK(patch[[#This Row],[project]]), "",COUNTIFS($A:$A,patch[[#This Row],[number]],$S:$S, "BJ And dev",$AC:$AC, "Review-1"))</f>
        <v/>
      </c>
      <c r="X532" s="7" t="str">
        <f>IF(ISBLANK(patch[[#This Row],[project]]), "",COUNTIFS($A:$A,patch[[#This Row],[number]],$S:$S, "FL And dev",$AC:$AC, "Review-1"))</f>
        <v/>
      </c>
      <c r="Y532" s="7" t="str">
        <f>IF(ISBLANK(patch[[#This Row],[project]]), "",COUNTIFS($A:$A,patch[[#This Row],[number]],$S:$S, "SH And dev",$AC:$AC, "Review-1"))</f>
        <v/>
      </c>
      <c r="Z532" s="7" t="str">
        <f>IF(ISBLANK(patch[[#This Row],[project]]), "",COUNTIFS($A:$A,patch[[#This Row],[number]],$S:$S, "BJ And dev",$AD:$AD, "&lt;&gt;IntegratorValidationComment"))</f>
        <v/>
      </c>
      <c r="AA532" s="7" t="str">
        <f>IF(ISBLANK(patch[[#This Row],[project]]), "",COUNTIFS($A:$A,patch[[#This Row],[number]],$S:$S, "FL And dev",$AD:$AD, "&lt;&gt;IntegratorValidationComment"))</f>
        <v/>
      </c>
      <c r="AB532" s="7" t="str">
        <f>IF(ISBLANK(patch[[#This Row],[project]]), "",COUNTIFS($A:$A,patch[[#This Row],[number]],$S:$S, "SH And dev",$AD:$AD, "&lt;&gt;IntegratorValidationComment"))</f>
        <v/>
      </c>
      <c r="AC532" s="7" t="str">
        <f>IF(OR(ISNUMBER(FIND("Review-1", patch[[#This Row],[comments]])), ISNUMBER(FIND("Approver-1", patch[[#This Row],[comments]]))), "Review-1", "")</f>
        <v/>
      </c>
      <c r="AD5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32" s="7">
        <f>IF(ISBLANK(patch[[#This Row],[number]]),AE531,patch[[#This Row],[ifCommon]])</f>
        <v>0</v>
      </c>
    </row>
    <row r="533" spans="1:31">
      <c r="A533" s="151">
        <v>147352</v>
      </c>
      <c r="B533" s="151"/>
      <c r="C533" s="151"/>
      <c r="D533" s="151"/>
      <c r="E533" s="151"/>
      <c r="F533" s="151"/>
      <c r="G533" s="151"/>
      <c r="H533" s="151"/>
      <c r="I533" s="151"/>
      <c r="J533" s="152">
        <v>42636.849456018521</v>
      </c>
      <c r="K533" s="151"/>
      <c r="L533" s="151" t="s">
        <v>59</v>
      </c>
      <c r="M533" s="152">
        <v>42635.749027777783</v>
      </c>
      <c r="N533" s="151" t="s">
        <v>2867</v>
      </c>
      <c r="O533" s="151"/>
      <c r="P533" s="151"/>
      <c r="Q533" s="7" t="str">
        <f>IF(ISBLANK(patch[[#This Row],[OwnerEmail]]),Q532,patch[[#This Row],[OwnerEmail]])</f>
        <v>qingwu.zhang@intel.com</v>
      </c>
      <c r="R533" s="7" t="str">
        <f>_xlfn.IFNA(VLOOKUP(patch[[#This Row],[tmp-owner.email]],OrgTree!$A:$K, 11, 0), "not ICG SWFW")</f>
        <v>BJ And dev</v>
      </c>
      <c r="S533" s="7" t="str">
        <f>IF(patch[[#This Row],[reviewer]]=patch[[#This Row],[tmp-owner.email]], "author", _xlfn.IFNA(VLOOKUP(patch[[#This Row],[reviewer]],OrgTree!$A:$K, 11, 0), "not ICG SWFW"))</f>
        <v>BJ And dev</v>
      </c>
      <c r="T533" s="7" t="str">
        <f>IF(ISBLANK(patch[[#This Row],[mergeDate]]), "", MID(YEAR(patch[[#This Row],[mergeDate]]), 3,2)&amp;"'ww"&amp;WEEKNUM(patch[[#This Row],[mergeDate]]))</f>
        <v>16'ww39</v>
      </c>
      <c r="U533" s="7" t="str">
        <f>IF(ISBLANK(patch[[#This Row],[mergeDate]]), U532, MID(YEAR(patch[[#This Row],[mergeDate]]), 3,2)&amp;"'m"&amp;MONTH(patch[[#This Row],[mergeDate]]))</f>
        <v>16'm9</v>
      </c>
      <c r="V533" s="7" t="str">
        <f>IF(ISBLANK(patch[[#This Row],[project]]), "",SUM(patch[[#This Row],[BJ -1 num]:[SH -1 num]]))</f>
        <v/>
      </c>
      <c r="W533" s="7" t="str">
        <f>IF(ISBLANK(patch[[#This Row],[project]]), "",COUNTIFS($A:$A,patch[[#This Row],[number]],$S:$S, "BJ And dev",$AC:$AC, "Review-1"))</f>
        <v/>
      </c>
      <c r="X533" s="7" t="str">
        <f>IF(ISBLANK(patch[[#This Row],[project]]), "",COUNTIFS($A:$A,patch[[#This Row],[number]],$S:$S, "FL And dev",$AC:$AC, "Review-1"))</f>
        <v/>
      </c>
      <c r="Y533" s="7" t="str">
        <f>IF(ISBLANK(patch[[#This Row],[project]]), "",COUNTIFS($A:$A,patch[[#This Row],[number]],$S:$S, "SH And dev",$AC:$AC, "Review-1"))</f>
        <v/>
      </c>
      <c r="Z533" s="7" t="str">
        <f>IF(ISBLANK(patch[[#This Row],[project]]), "",COUNTIFS($A:$A,patch[[#This Row],[number]],$S:$S, "BJ And dev",$AD:$AD, "&lt;&gt;IntegratorValidationComment"))</f>
        <v/>
      </c>
      <c r="AA533" s="7" t="str">
        <f>IF(ISBLANK(patch[[#This Row],[project]]), "",COUNTIFS($A:$A,patch[[#This Row],[number]],$S:$S, "FL And dev",$AD:$AD, "&lt;&gt;IntegratorValidationComment"))</f>
        <v/>
      </c>
      <c r="AB533" s="7" t="str">
        <f>IF(ISBLANK(patch[[#This Row],[project]]), "",COUNTIFS($A:$A,patch[[#This Row],[number]],$S:$S, "SH And dev",$AD:$AD, "&lt;&gt;IntegratorValidationComment"))</f>
        <v/>
      </c>
      <c r="AC533" s="7" t="str">
        <f>IF(OR(ISNUMBER(FIND("Review-1", patch[[#This Row],[comments]])), ISNUMBER(FIND("Approver-1", patch[[#This Row],[comments]]))), "Review-1", "")</f>
        <v/>
      </c>
      <c r="AD5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33" s="7">
        <f>IF(ISBLANK(patch[[#This Row],[number]]),AE532,patch[[#This Row],[ifCommon]])</f>
        <v>0</v>
      </c>
    </row>
    <row r="534" spans="1:31">
      <c r="A534" s="151">
        <v>147352</v>
      </c>
      <c r="B534" s="151"/>
      <c r="C534" s="151"/>
      <c r="D534" s="151"/>
      <c r="E534" s="151"/>
      <c r="F534" s="151"/>
      <c r="G534" s="151"/>
      <c r="H534" s="151"/>
      <c r="I534" s="151"/>
      <c r="J534" s="152">
        <v>42636.849456018521</v>
      </c>
      <c r="K534" s="151"/>
      <c r="L534" s="151" t="s">
        <v>72</v>
      </c>
      <c r="M534" s="152">
        <v>42636.22855324074</v>
      </c>
      <c r="N534" s="151" t="s">
        <v>48</v>
      </c>
      <c r="O534" s="151"/>
      <c r="P534" s="151"/>
      <c r="Q534" s="7" t="str">
        <f>IF(ISBLANK(patch[[#This Row],[OwnerEmail]]),Q533,patch[[#This Row],[OwnerEmail]])</f>
        <v>qingwu.zhang@intel.com</v>
      </c>
      <c r="R534" s="7" t="str">
        <f>_xlfn.IFNA(VLOOKUP(patch[[#This Row],[tmp-owner.email]],OrgTree!$A:$K, 11, 0), "not ICG SWFW")</f>
        <v>BJ And dev</v>
      </c>
      <c r="S534" s="7" t="str">
        <f>IF(patch[[#This Row],[reviewer]]=patch[[#This Row],[tmp-owner.email]], "author", _xlfn.IFNA(VLOOKUP(patch[[#This Row],[reviewer]],OrgTree!$A:$K, 11, 0), "not ICG SWFW"))</f>
        <v>BJ And dev</v>
      </c>
      <c r="T534" s="7" t="str">
        <f>IF(ISBLANK(patch[[#This Row],[mergeDate]]), "", MID(YEAR(patch[[#This Row],[mergeDate]]), 3,2)&amp;"'ww"&amp;WEEKNUM(patch[[#This Row],[mergeDate]]))</f>
        <v>16'ww39</v>
      </c>
      <c r="U534" s="7" t="str">
        <f>IF(ISBLANK(patch[[#This Row],[mergeDate]]), U533, MID(YEAR(patch[[#This Row],[mergeDate]]), 3,2)&amp;"'m"&amp;MONTH(patch[[#This Row],[mergeDate]]))</f>
        <v>16'm9</v>
      </c>
      <c r="V534" s="7" t="str">
        <f>IF(ISBLANK(patch[[#This Row],[project]]), "",SUM(patch[[#This Row],[BJ -1 num]:[SH -1 num]]))</f>
        <v/>
      </c>
      <c r="W534" s="7" t="str">
        <f>IF(ISBLANK(patch[[#This Row],[project]]), "",COUNTIFS($A:$A,patch[[#This Row],[number]],$S:$S, "BJ And dev",$AC:$AC, "Review-1"))</f>
        <v/>
      </c>
      <c r="X534" s="7" t="str">
        <f>IF(ISBLANK(patch[[#This Row],[project]]), "",COUNTIFS($A:$A,patch[[#This Row],[number]],$S:$S, "FL And dev",$AC:$AC, "Review-1"))</f>
        <v/>
      </c>
      <c r="Y534" s="7" t="str">
        <f>IF(ISBLANK(patch[[#This Row],[project]]), "",COUNTIFS($A:$A,patch[[#This Row],[number]],$S:$S, "SH And dev",$AC:$AC, "Review-1"))</f>
        <v/>
      </c>
      <c r="Z534" s="7" t="str">
        <f>IF(ISBLANK(patch[[#This Row],[project]]), "",COUNTIFS($A:$A,patch[[#This Row],[number]],$S:$S, "BJ And dev",$AD:$AD, "&lt;&gt;IntegratorValidationComment"))</f>
        <v/>
      </c>
      <c r="AA534" s="7" t="str">
        <f>IF(ISBLANK(patch[[#This Row],[project]]), "",COUNTIFS($A:$A,patch[[#This Row],[number]],$S:$S, "FL And dev",$AD:$AD, "&lt;&gt;IntegratorValidationComment"))</f>
        <v/>
      </c>
      <c r="AB534" s="7" t="str">
        <f>IF(ISBLANK(patch[[#This Row],[project]]), "",COUNTIFS($A:$A,patch[[#This Row],[number]],$S:$S, "SH And dev",$AD:$AD, "&lt;&gt;IntegratorValidationComment"))</f>
        <v/>
      </c>
      <c r="AC534" s="7" t="str">
        <f>IF(OR(ISNUMBER(FIND("Review-1", patch[[#This Row],[comments]])), ISNUMBER(FIND("Approver-1", patch[[#This Row],[comments]]))), "Review-1", "")</f>
        <v/>
      </c>
      <c r="AD5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34" s="7">
        <f>IF(ISBLANK(patch[[#This Row],[number]]),AE533,patch[[#This Row],[ifCommon]])</f>
        <v>0</v>
      </c>
    </row>
    <row r="535" spans="1:31">
      <c r="A535" s="151">
        <v>147352</v>
      </c>
      <c r="B535" s="151"/>
      <c r="C535" s="151"/>
      <c r="D535" s="151"/>
      <c r="E535" s="151"/>
      <c r="F535" s="151"/>
      <c r="G535" s="151"/>
      <c r="H535" s="151"/>
      <c r="I535" s="151"/>
      <c r="J535" s="152">
        <v>42636.849456018521</v>
      </c>
      <c r="K535" s="151"/>
      <c r="L535" s="151" t="s">
        <v>115</v>
      </c>
      <c r="M535" s="152">
        <v>42636.421585648153</v>
      </c>
      <c r="N535" s="151" t="s">
        <v>2497</v>
      </c>
      <c r="O535" s="151"/>
      <c r="P535" s="151"/>
      <c r="Q535" s="7" t="str">
        <f>IF(ISBLANK(patch[[#This Row],[OwnerEmail]]),Q534,patch[[#This Row],[OwnerEmail]])</f>
        <v>qingwu.zhang@intel.com</v>
      </c>
      <c r="R535" s="7" t="str">
        <f>_xlfn.IFNA(VLOOKUP(patch[[#This Row],[tmp-owner.email]],OrgTree!$A:$K, 11, 0), "not ICG SWFW")</f>
        <v>BJ And dev</v>
      </c>
      <c r="S535" s="7" t="str">
        <f>IF(patch[[#This Row],[reviewer]]=patch[[#This Row],[tmp-owner.email]], "author", _xlfn.IFNA(VLOOKUP(patch[[#This Row],[reviewer]],OrgTree!$A:$K, 11, 0), "not ICG SWFW"))</f>
        <v>Val</v>
      </c>
      <c r="T535" s="7" t="str">
        <f>IF(ISBLANK(patch[[#This Row],[mergeDate]]), "", MID(YEAR(patch[[#This Row],[mergeDate]]), 3,2)&amp;"'ww"&amp;WEEKNUM(patch[[#This Row],[mergeDate]]))</f>
        <v>16'ww39</v>
      </c>
      <c r="U535" s="7" t="str">
        <f>IF(ISBLANK(patch[[#This Row],[mergeDate]]), U534, MID(YEAR(patch[[#This Row],[mergeDate]]), 3,2)&amp;"'m"&amp;MONTH(patch[[#This Row],[mergeDate]]))</f>
        <v>16'm9</v>
      </c>
      <c r="V535" s="7" t="str">
        <f>IF(ISBLANK(patch[[#This Row],[project]]), "",SUM(patch[[#This Row],[BJ -1 num]:[SH -1 num]]))</f>
        <v/>
      </c>
      <c r="W535" s="7" t="str">
        <f>IF(ISBLANK(patch[[#This Row],[project]]), "",COUNTIFS($A:$A,patch[[#This Row],[number]],$S:$S, "BJ And dev",$AC:$AC, "Review-1"))</f>
        <v/>
      </c>
      <c r="X535" s="7" t="str">
        <f>IF(ISBLANK(patch[[#This Row],[project]]), "",COUNTIFS($A:$A,patch[[#This Row],[number]],$S:$S, "FL And dev",$AC:$AC, "Review-1"))</f>
        <v/>
      </c>
      <c r="Y535" s="7" t="str">
        <f>IF(ISBLANK(patch[[#This Row],[project]]), "",COUNTIFS($A:$A,patch[[#This Row],[number]],$S:$S, "SH And dev",$AC:$AC, "Review-1"))</f>
        <v/>
      </c>
      <c r="Z535" s="7" t="str">
        <f>IF(ISBLANK(patch[[#This Row],[project]]), "",COUNTIFS($A:$A,patch[[#This Row],[number]],$S:$S, "BJ And dev",$AD:$AD, "&lt;&gt;IntegratorValidationComment"))</f>
        <v/>
      </c>
      <c r="AA535" s="7" t="str">
        <f>IF(ISBLANK(patch[[#This Row],[project]]), "",COUNTIFS($A:$A,patch[[#This Row],[number]],$S:$S, "FL And dev",$AD:$AD, "&lt;&gt;IntegratorValidationComment"))</f>
        <v/>
      </c>
      <c r="AB535" s="7" t="str">
        <f>IF(ISBLANK(patch[[#This Row],[project]]), "",COUNTIFS($A:$A,patch[[#This Row],[number]],$S:$S, "SH And dev",$AD:$AD, "&lt;&gt;IntegratorValidationComment"))</f>
        <v/>
      </c>
      <c r="AC535" s="7" t="str">
        <f>IF(OR(ISNUMBER(FIND("Review-1", patch[[#This Row],[comments]])), ISNUMBER(FIND("Approver-1", patch[[#This Row],[comments]]))), "Review-1", "")</f>
        <v/>
      </c>
      <c r="AD5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535" s="7">
        <f>IF(ISBLANK(patch[[#This Row],[number]]),AE534,patch[[#This Row],[ifCommon]])</f>
        <v>0</v>
      </c>
    </row>
    <row r="536" spans="1:31">
      <c r="A536" s="151">
        <v>147352</v>
      </c>
      <c r="B536" s="151"/>
      <c r="C536" s="151"/>
      <c r="D536" s="151"/>
      <c r="E536" s="151"/>
      <c r="F536" s="151"/>
      <c r="G536" s="151"/>
      <c r="H536" s="151"/>
      <c r="I536" s="151"/>
      <c r="J536" s="152">
        <v>42636.849456018521</v>
      </c>
      <c r="K536" s="151"/>
      <c r="L536" s="151" t="s">
        <v>115</v>
      </c>
      <c r="M536" s="152">
        <v>42636.488819444443</v>
      </c>
      <c r="N536" s="151" t="s">
        <v>2536</v>
      </c>
      <c r="O536" s="151"/>
      <c r="P536" s="151"/>
      <c r="Q536" s="7" t="str">
        <f>IF(ISBLANK(patch[[#This Row],[OwnerEmail]]),Q535,patch[[#This Row],[OwnerEmail]])</f>
        <v>qingwu.zhang@intel.com</v>
      </c>
      <c r="R536" s="7" t="str">
        <f>_xlfn.IFNA(VLOOKUP(patch[[#This Row],[tmp-owner.email]],OrgTree!$A:$K, 11, 0), "not ICG SWFW")</f>
        <v>BJ And dev</v>
      </c>
      <c r="S536" s="7" t="str">
        <f>IF(patch[[#This Row],[reviewer]]=patch[[#This Row],[tmp-owner.email]], "author", _xlfn.IFNA(VLOOKUP(patch[[#This Row],[reviewer]],OrgTree!$A:$K, 11, 0), "not ICG SWFW"))</f>
        <v>Val</v>
      </c>
      <c r="T536" s="7" t="str">
        <f>IF(ISBLANK(patch[[#This Row],[mergeDate]]), "", MID(YEAR(patch[[#This Row],[mergeDate]]), 3,2)&amp;"'ww"&amp;WEEKNUM(patch[[#This Row],[mergeDate]]))</f>
        <v>16'ww39</v>
      </c>
      <c r="U536" s="7" t="str">
        <f>IF(ISBLANK(patch[[#This Row],[mergeDate]]), U535, MID(YEAR(patch[[#This Row],[mergeDate]]), 3,2)&amp;"'m"&amp;MONTH(patch[[#This Row],[mergeDate]]))</f>
        <v>16'm9</v>
      </c>
      <c r="V536" s="7" t="str">
        <f>IF(ISBLANK(patch[[#This Row],[project]]), "",SUM(patch[[#This Row],[BJ -1 num]:[SH -1 num]]))</f>
        <v/>
      </c>
      <c r="W536" s="7" t="str">
        <f>IF(ISBLANK(patch[[#This Row],[project]]), "",COUNTIFS($A:$A,patch[[#This Row],[number]],$S:$S, "BJ And dev",$AC:$AC, "Review-1"))</f>
        <v/>
      </c>
      <c r="X536" s="7" t="str">
        <f>IF(ISBLANK(patch[[#This Row],[project]]), "",COUNTIFS($A:$A,patch[[#This Row],[number]],$S:$S, "FL And dev",$AC:$AC, "Review-1"))</f>
        <v/>
      </c>
      <c r="Y536" s="7" t="str">
        <f>IF(ISBLANK(patch[[#This Row],[project]]), "",COUNTIFS($A:$A,patch[[#This Row],[number]],$S:$S, "SH And dev",$AC:$AC, "Review-1"))</f>
        <v/>
      </c>
      <c r="Z536" s="7" t="str">
        <f>IF(ISBLANK(patch[[#This Row],[project]]), "",COUNTIFS($A:$A,patch[[#This Row],[number]],$S:$S, "BJ And dev",$AD:$AD, "&lt;&gt;IntegratorValidationComment"))</f>
        <v/>
      </c>
      <c r="AA536" s="7" t="str">
        <f>IF(ISBLANK(patch[[#This Row],[project]]), "",COUNTIFS($A:$A,patch[[#This Row],[number]],$S:$S, "FL And dev",$AD:$AD, "&lt;&gt;IntegratorValidationComment"))</f>
        <v/>
      </c>
      <c r="AB536" s="7" t="str">
        <f>IF(ISBLANK(patch[[#This Row],[project]]), "",COUNTIFS($A:$A,patch[[#This Row],[number]],$S:$S, "SH And dev",$AD:$AD, "&lt;&gt;IntegratorValidationComment"))</f>
        <v/>
      </c>
      <c r="AC536" s="7" t="str">
        <f>IF(OR(ISNUMBER(FIND("Review-1", patch[[#This Row],[comments]])), ISNUMBER(FIND("Approver-1", patch[[#This Row],[comments]]))), "Review-1", "")</f>
        <v/>
      </c>
      <c r="AD5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36" s="7">
        <f>IF(ISBLANK(patch[[#This Row],[number]]),AE535,patch[[#This Row],[ifCommon]])</f>
        <v>0</v>
      </c>
    </row>
    <row r="537" spans="1:31">
      <c r="A537" s="151">
        <v>147352</v>
      </c>
      <c r="B537" s="151"/>
      <c r="C537" s="151"/>
      <c r="D537" s="151"/>
      <c r="E537" s="151"/>
      <c r="F537" s="151"/>
      <c r="G537" s="151"/>
      <c r="H537" s="151"/>
      <c r="I537" s="151"/>
      <c r="J537" s="152">
        <v>42636.849456018521</v>
      </c>
      <c r="K537" s="151"/>
      <c r="L537" s="151" t="s">
        <v>115</v>
      </c>
      <c r="M537" s="152">
        <v>42636.488819444443</v>
      </c>
      <c r="N537" s="151" t="s">
        <v>2451</v>
      </c>
      <c r="O537" s="151"/>
      <c r="P537" s="151"/>
      <c r="Q537" s="7" t="str">
        <f>IF(ISBLANK(patch[[#This Row],[OwnerEmail]]),Q536,patch[[#This Row],[OwnerEmail]])</f>
        <v>qingwu.zhang@intel.com</v>
      </c>
      <c r="R537" s="7" t="str">
        <f>_xlfn.IFNA(VLOOKUP(patch[[#This Row],[tmp-owner.email]],OrgTree!$A:$K, 11, 0), "not ICG SWFW")</f>
        <v>BJ And dev</v>
      </c>
      <c r="S537" s="7" t="str">
        <f>IF(patch[[#This Row],[reviewer]]=patch[[#This Row],[tmp-owner.email]], "author", _xlfn.IFNA(VLOOKUP(patch[[#This Row],[reviewer]],OrgTree!$A:$K, 11, 0), "not ICG SWFW"))</f>
        <v>Val</v>
      </c>
      <c r="T537" s="7" t="str">
        <f>IF(ISBLANK(patch[[#This Row],[mergeDate]]), "", MID(YEAR(patch[[#This Row],[mergeDate]]), 3,2)&amp;"'ww"&amp;WEEKNUM(patch[[#This Row],[mergeDate]]))</f>
        <v>16'ww39</v>
      </c>
      <c r="U537" s="7" t="str">
        <f>IF(ISBLANK(patch[[#This Row],[mergeDate]]), U536, MID(YEAR(patch[[#This Row],[mergeDate]]), 3,2)&amp;"'m"&amp;MONTH(patch[[#This Row],[mergeDate]]))</f>
        <v>16'm9</v>
      </c>
      <c r="V537" s="7" t="str">
        <f>IF(ISBLANK(patch[[#This Row],[project]]), "",SUM(patch[[#This Row],[BJ -1 num]:[SH -1 num]]))</f>
        <v/>
      </c>
      <c r="W537" s="7" t="str">
        <f>IF(ISBLANK(patch[[#This Row],[project]]), "",COUNTIFS($A:$A,patch[[#This Row],[number]],$S:$S, "BJ And dev",$AC:$AC, "Review-1"))</f>
        <v/>
      </c>
      <c r="X537" s="7" t="str">
        <f>IF(ISBLANK(patch[[#This Row],[project]]), "",COUNTIFS($A:$A,patch[[#This Row],[number]],$S:$S, "FL And dev",$AC:$AC, "Review-1"))</f>
        <v/>
      </c>
      <c r="Y537" s="7" t="str">
        <f>IF(ISBLANK(patch[[#This Row],[project]]), "",COUNTIFS($A:$A,patch[[#This Row],[number]],$S:$S, "SH And dev",$AC:$AC, "Review-1"))</f>
        <v/>
      </c>
      <c r="Z537" s="7" t="str">
        <f>IF(ISBLANK(patch[[#This Row],[project]]), "",COUNTIFS($A:$A,patch[[#This Row],[number]],$S:$S, "BJ And dev",$AD:$AD, "&lt;&gt;IntegratorValidationComment"))</f>
        <v/>
      </c>
      <c r="AA537" s="7" t="str">
        <f>IF(ISBLANK(patch[[#This Row],[project]]), "",COUNTIFS($A:$A,patch[[#This Row],[number]],$S:$S, "FL And dev",$AD:$AD, "&lt;&gt;IntegratorValidationComment"))</f>
        <v/>
      </c>
      <c r="AB537" s="7" t="str">
        <f>IF(ISBLANK(patch[[#This Row],[project]]), "",COUNTIFS($A:$A,patch[[#This Row],[number]],$S:$S, "SH And dev",$AD:$AD, "&lt;&gt;IntegratorValidationComment"))</f>
        <v/>
      </c>
      <c r="AC537" s="7" t="str">
        <f>IF(OR(ISNUMBER(FIND("Review-1", patch[[#This Row],[comments]])), ISNUMBER(FIND("Approver-1", patch[[#This Row],[comments]]))), "Review-1", "")</f>
        <v/>
      </c>
      <c r="AD5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37" s="7">
        <f>IF(ISBLANK(patch[[#This Row],[number]]),AE536,patch[[#This Row],[ifCommon]])</f>
        <v>0</v>
      </c>
    </row>
    <row r="538" spans="1:31">
      <c r="A538" s="151">
        <v>147352</v>
      </c>
      <c r="B538" s="151"/>
      <c r="C538" s="151"/>
      <c r="D538" s="151"/>
      <c r="E538" s="151"/>
      <c r="F538" s="151"/>
      <c r="G538" s="151"/>
      <c r="H538" s="151"/>
      <c r="I538" s="151"/>
      <c r="J538" s="152">
        <v>42636.849456018521</v>
      </c>
      <c r="K538" s="151"/>
      <c r="L538" s="151" t="s">
        <v>59</v>
      </c>
      <c r="M538" s="152">
        <v>42636.49664351852</v>
      </c>
      <c r="N538" s="151" t="s">
        <v>2868</v>
      </c>
      <c r="O538" s="151"/>
      <c r="P538" s="151"/>
      <c r="Q538" s="7" t="str">
        <f>IF(ISBLANK(patch[[#This Row],[OwnerEmail]]),Q537,patch[[#This Row],[OwnerEmail]])</f>
        <v>qingwu.zhang@intel.com</v>
      </c>
      <c r="R538" s="7" t="str">
        <f>_xlfn.IFNA(VLOOKUP(patch[[#This Row],[tmp-owner.email]],OrgTree!$A:$K, 11, 0), "not ICG SWFW")</f>
        <v>BJ And dev</v>
      </c>
      <c r="S538" s="7" t="str">
        <f>IF(patch[[#This Row],[reviewer]]=patch[[#This Row],[tmp-owner.email]], "author", _xlfn.IFNA(VLOOKUP(patch[[#This Row],[reviewer]],OrgTree!$A:$K, 11, 0), "not ICG SWFW"))</f>
        <v>BJ And dev</v>
      </c>
      <c r="T538" s="7" t="str">
        <f>IF(ISBLANK(patch[[#This Row],[mergeDate]]), "", MID(YEAR(patch[[#This Row],[mergeDate]]), 3,2)&amp;"'ww"&amp;WEEKNUM(patch[[#This Row],[mergeDate]]))</f>
        <v>16'ww39</v>
      </c>
      <c r="U538" s="7" t="str">
        <f>IF(ISBLANK(patch[[#This Row],[mergeDate]]), U537, MID(YEAR(patch[[#This Row],[mergeDate]]), 3,2)&amp;"'m"&amp;MONTH(patch[[#This Row],[mergeDate]]))</f>
        <v>16'm9</v>
      </c>
      <c r="V538" s="7" t="str">
        <f>IF(ISBLANK(patch[[#This Row],[project]]), "",SUM(patch[[#This Row],[BJ -1 num]:[SH -1 num]]))</f>
        <v/>
      </c>
      <c r="W538" s="7" t="str">
        <f>IF(ISBLANK(patch[[#This Row],[project]]), "",COUNTIFS($A:$A,patch[[#This Row],[number]],$S:$S, "BJ And dev",$AC:$AC, "Review-1"))</f>
        <v/>
      </c>
      <c r="X538" s="7" t="str">
        <f>IF(ISBLANK(patch[[#This Row],[project]]), "",COUNTIFS($A:$A,patch[[#This Row],[number]],$S:$S, "FL And dev",$AC:$AC, "Review-1"))</f>
        <v/>
      </c>
      <c r="Y538" s="7" t="str">
        <f>IF(ISBLANK(patch[[#This Row],[project]]), "",COUNTIFS($A:$A,patch[[#This Row],[number]],$S:$S, "SH And dev",$AC:$AC, "Review-1"))</f>
        <v/>
      </c>
      <c r="Z538" s="7" t="str">
        <f>IF(ISBLANK(patch[[#This Row],[project]]), "",COUNTIFS($A:$A,patch[[#This Row],[number]],$S:$S, "BJ And dev",$AD:$AD, "&lt;&gt;IntegratorValidationComment"))</f>
        <v/>
      </c>
      <c r="AA538" s="7" t="str">
        <f>IF(ISBLANK(patch[[#This Row],[project]]), "",COUNTIFS($A:$A,patch[[#This Row],[number]],$S:$S, "FL And dev",$AD:$AD, "&lt;&gt;IntegratorValidationComment"))</f>
        <v/>
      </c>
      <c r="AB538" s="7" t="str">
        <f>IF(ISBLANK(patch[[#This Row],[project]]), "",COUNTIFS($A:$A,patch[[#This Row],[number]],$S:$S, "SH And dev",$AD:$AD, "&lt;&gt;IntegratorValidationComment"))</f>
        <v/>
      </c>
      <c r="AC538" s="7" t="str">
        <f>IF(OR(ISNUMBER(FIND("Review-1", patch[[#This Row],[comments]])), ISNUMBER(FIND("Approver-1", patch[[#This Row],[comments]]))), "Review-1", "")</f>
        <v/>
      </c>
      <c r="AD5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38" s="7">
        <f>IF(ISBLANK(patch[[#This Row],[number]]),AE537,patch[[#This Row],[ifCommon]])</f>
        <v>0</v>
      </c>
    </row>
    <row r="539" spans="1:31">
      <c r="A539" s="151">
        <v>147352</v>
      </c>
      <c r="B539" s="151"/>
      <c r="C539" s="151"/>
      <c r="D539" s="151"/>
      <c r="E539" s="151"/>
      <c r="F539" s="151"/>
      <c r="G539" s="151"/>
      <c r="H539" s="151"/>
      <c r="I539" s="151"/>
      <c r="J539" s="152">
        <v>42636.849456018521</v>
      </c>
      <c r="K539" s="151"/>
      <c r="L539" s="151" t="s">
        <v>59</v>
      </c>
      <c r="M539" s="152">
        <v>42636.501388888893</v>
      </c>
      <c r="N539" s="151" t="s">
        <v>2869</v>
      </c>
      <c r="O539" s="151"/>
      <c r="P539" s="151"/>
      <c r="Q539" s="7" t="str">
        <f>IF(ISBLANK(patch[[#This Row],[OwnerEmail]]),Q538,patch[[#This Row],[OwnerEmail]])</f>
        <v>qingwu.zhang@intel.com</v>
      </c>
      <c r="R539" s="7" t="str">
        <f>_xlfn.IFNA(VLOOKUP(patch[[#This Row],[tmp-owner.email]],OrgTree!$A:$K, 11, 0), "not ICG SWFW")</f>
        <v>BJ And dev</v>
      </c>
      <c r="S539" s="7" t="str">
        <f>IF(patch[[#This Row],[reviewer]]=patch[[#This Row],[tmp-owner.email]], "author", _xlfn.IFNA(VLOOKUP(patch[[#This Row],[reviewer]],OrgTree!$A:$K, 11, 0), "not ICG SWFW"))</f>
        <v>BJ And dev</v>
      </c>
      <c r="T539" s="7" t="str">
        <f>IF(ISBLANK(patch[[#This Row],[mergeDate]]), "", MID(YEAR(patch[[#This Row],[mergeDate]]), 3,2)&amp;"'ww"&amp;WEEKNUM(patch[[#This Row],[mergeDate]]))</f>
        <v>16'ww39</v>
      </c>
      <c r="U539" s="7" t="str">
        <f>IF(ISBLANK(patch[[#This Row],[mergeDate]]), U538, MID(YEAR(patch[[#This Row],[mergeDate]]), 3,2)&amp;"'m"&amp;MONTH(patch[[#This Row],[mergeDate]]))</f>
        <v>16'm9</v>
      </c>
      <c r="V539" s="7" t="str">
        <f>IF(ISBLANK(patch[[#This Row],[project]]), "",SUM(patch[[#This Row],[BJ -1 num]:[SH -1 num]]))</f>
        <v/>
      </c>
      <c r="W539" s="7" t="str">
        <f>IF(ISBLANK(patch[[#This Row],[project]]), "",COUNTIFS($A:$A,patch[[#This Row],[number]],$S:$S, "BJ And dev",$AC:$AC, "Review-1"))</f>
        <v/>
      </c>
      <c r="X539" s="7" t="str">
        <f>IF(ISBLANK(patch[[#This Row],[project]]), "",COUNTIFS($A:$A,patch[[#This Row],[number]],$S:$S, "FL And dev",$AC:$AC, "Review-1"))</f>
        <v/>
      </c>
      <c r="Y539" s="7" t="str">
        <f>IF(ISBLANK(patch[[#This Row],[project]]), "",COUNTIFS($A:$A,patch[[#This Row],[number]],$S:$S, "SH And dev",$AC:$AC, "Review-1"))</f>
        <v/>
      </c>
      <c r="Z539" s="7" t="str">
        <f>IF(ISBLANK(patch[[#This Row],[project]]), "",COUNTIFS($A:$A,patch[[#This Row],[number]],$S:$S, "BJ And dev",$AD:$AD, "&lt;&gt;IntegratorValidationComment"))</f>
        <v/>
      </c>
      <c r="AA539" s="7" t="str">
        <f>IF(ISBLANK(patch[[#This Row],[project]]), "",COUNTIFS($A:$A,patch[[#This Row],[number]],$S:$S, "FL And dev",$AD:$AD, "&lt;&gt;IntegratorValidationComment"))</f>
        <v/>
      </c>
      <c r="AB539" s="7" t="str">
        <f>IF(ISBLANK(patch[[#This Row],[project]]), "",COUNTIFS($A:$A,patch[[#This Row],[number]],$S:$S, "SH And dev",$AD:$AD, "&lt;&gt;IntegratorValidationComment"))</f>
        <v/>
      </c>
      <c r="AC539" s="7" t="str">
        <f>IF(OR(ISNUMBER(FIND("Review-1", patch[[#This Row],[comments]])), ISNUMBER(FIND("Approver-1", patch[[#This Row],[comments]]))), "Review-1", "")</f>
        <v/>
      </c>
      <c r="AD5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39" s="7">
        <f>IF(ISBLANK(patch[[#This Row],[number]]),AE538,patch[[#This Row],[ifCommon]])</f>
        <v>0</v>
      </c>
    </row>
    <row r="540" spans="1:31">
      <c r="A540" s="151">
        <v>147349</v>
      </c>
      <c r="B540" s="151" t="s">
        <v>2490</v>
      </c>
      <c r="C540" s="151" t="s">
        <v>2491</v>
      </c>
      <c r="D540" s="151" t="s">
        <v>2814</v>
      </c>
      <c r="E540" s="151" t="s">
        <v>24</v>
      </c>
      <c r="F540" s="151" t="s">
        <v>23</v>
      </c>
      <c r="G540" s="151" t="s">
        <v>2815</v>
      </c>
      <c r="H540" s="151" t="s">
        <v>2816</v>
      </c>
      <c r="I540" s="152">
        <v>42635.635335648149</v>
      </c>
      <c r="J540" s="152">
        <v>42636.849421296298</v>
      </c>
      <c r="K540" s="151" t="s">
        <v>2445</v>
      </c>
      <c r="L540" s="151" t="s">
        <v>24</v>
      </c>
      <c r="M540" s="152">
        <v>42635.635335648149</v>
      </c>
      <c r="N540" s="151" t="s">
        <v>25</v>
      </c>
      <c r="O540" s="151"/>
      <c r="P540" s="151" t="s">
        <v>2870</v>
      </c>
      <c r="Q540" s="7" t="str">
        <f>IF(ISBLANK(patch[[#This Row],[OwnerEmail]]),Q539,patch[[#This Row],[OwnerEmail]])</f>
        <v>qingwu.zhang@intel.com</v>
      </c>
      <c r="R540" s="7" t="str">
        <f>_xlfn.IFNA(VLOOKUP(patch[[#This Row],[tmp-owner.email]],OrgTree!$A:$K, 11, 0), "not ICG SWFW")</f>
        <v>BJ And dev</v>
      </c>
      <c r="S540" s="7" t="str">
        <f>IF(patch[[#This Row],[reviewer]]=patch[[#This Row],[tmp-owner.email]], "author", _xlfn.IFNA(VLOOKUP(patch[[#This Row],[reviewer]],OrgTree!$A:$K, 11, 0), "not ICG SWFW"))</f>
        <v>author</v>
      </c>
      <c r="T540" s="7" t="str">
        <f>IF(ISBLANK(patch[[#This Row],[mergeDate]]), "", MID(YEAR(patch[[#This Row],[mergeDate]]), 3,2)&amp;"'ww"&amp;WEEKNUM(patch[[#This Row],[mergeDate]]))</f>
        <v>16'ww39</v>
      </c>
      <c r="U540" s="7" t="str">
        <f>IF(ISBLANK(patch[[#This Row],[mergeDate]]), U539, MID(YEAR(patch[[#This Row],[mergeDate]]), 3,2)&amp;"'m"&amp;MONTH(patch[[#This Row],[mergeDate]]))</f>
        <v>16'm9</v>
      </c>
      <c r="V540" s="7">
        <f>IF(ISBLANK(patch[[#This Row],[project]]), "",SUM(patch[[#This Row],[BJ -1 num]:[SH -1 num]]))</f>
        <v>1</v>
      </c>
      <c r="W540" s="7">
        <f>IF(ISBLANK(patch[[#This Row],[project]]), "",COUNTIFS($A:$A,patch[[#This Row],[number]],$S:$S, "BJ And dev",$AC:$AC, "Review-1"))</f>
        <v>1</v>
      </c>
      <c r="X540" s="7">
        <f>IF(ISBLANK(patch[[#This Row],[project]]), "",COUNTIFS($A:$A,patch[[#This Row],[number]],$S:$S, "FL And dev",$AC:$AC, "Review-1"))</f>
        <v>0</v>
      </c>
      <c r="Y540" s="7">
        <f>IF(ISBLANK(patch[[#This Row],[project]]), "",COUNTIFS($A:$A,patch[[#This Row],[number]],$S:$S, "SH And dev",$AC:$AC, "Review-1"))</f>
        <v>0</v>
      </c>
      <c r="Z540" s="7">
        <f>IF(ISBLANK(patch[[#This Row],[project]]), "",COUNTIFS($A:$A,patch[[#This Row],[number]],$S:$S, "BJ And dev",$AD:$AD, "&lt;&gt;IntegratorValidationComment"))</f>
        <v>12</v>
      </c>
      <c r="AA540" s="7">
        <f>IF(ISBLANK(patch[[#This Row],[project]]), "",COUNTIFS($A:$A,patch[[#This Row],[number]],$S:$S, "FL And dev",$AD:$AD, "&lt;&gt;IntegratorValidationComment"))</f>
        <v>0</v>
      </c>
      <c r="AB540" s="7">
        <f>IF(ISBLANK(patch[[#This Row],[project]]), "",COUNTIFS($A:$A,patch[[#This Row],[number]],$S:$S, "SH And dev",$AD:$AD, "&lt;&gt;IntegratorValidationComment"))</f>
        <v>0</v>
      </c>
      <c r="AC540" s="7" t="str">
        <f>IF(OR(ISNUMBER(FIND("Review-1", patch[[#This Row],[comments]])), ISNUMBER(FIND("Approver-1", patch[[#This Row],[comments]]))), "Review-1", "")</f>
        <v/>
      </c>
      <c r="AD5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40" s="7" t="str">
        <f>IF(ISBLANK(patch[[#This Row],[number]]),AE539,patch[[#This Row],[ifCommon]])</f>
        <v>not AndrHAL</v>
      </c>
    </row>
    <row r="541" spans="1:31">
      <c r="A541" s="151">
        <v>147349</v>
      </c>
      <c r="B541" s="151"/>
      <c r="C541" s="151"/>
      <c r="D541" s="151"/>
      <c r="E541" s="151"/>
      <c r="F541" s="151"/>
      <c r="G541" s="151"/>
      <c r="H541" s="151"/>
      <c r="I541" s="151"/>
      <c r="J541" s="152">
        <v>42636.849421296298</v>
      </c>
      <c r="K541" s="151"/>
      <c r="L541" s="151" t="s">
        <v>24</v>
      </c>
      <c r="M541" s="152">
        <v>42635.635347222233</v>
      </c>
      <c r="N541" s="151" t="s">
        <v>2428</v>
      </c>
      <c r="O541" s="151"/>
      <c r="P541" s="151"/>
      <c r="Q541" s="7" t="str">
        <f>IF(ISBLANK(patch[[#This Row],[OwnerEmail]]),Q540,patch[[#This Row],[OwnerEmail]])</f>
        <v>qingwu.zhang@intel.com</v>
      </c>
      <c r="R541" s="7" t="str">
        <f>_xlfn.IFNA(VLOOKUP(patch[[#This Row],[tmp-owner.email]],OrgTree!$A:$K, 11, 0), "not ICG SWFW")</f>
        <v>BJ And dev</v>
      </c>
      <c r="S541" s="7" t="str">
        <f>IF(patch[[#This Row],[reviewer]]=patch[[#This Row],[tmp-owner.email]], "author", _xlfn.IFNA(VLOOKUP(patch[[#This Row],[reviewer]],OrgTree!$A:$K, 11, 0), "not ICG SWFW"))</f>
        <v>author</v>
      </c>
      <c r="T541" s="7" t="str">
        <f>IF(ISBLANK(patch[[#This Row],[mergeDate]]), "", MID(YEAR(patch[[#This Row],[mergeDate]]), 3,2)&amp;"'ww"&amp;WEEKNUM(patch[[#This Row],[mergeDate]]))</f>
        <v>16'ww39</v>
      </c>
      <c r="U541" s="7" t="str">
        <f>IF(ISBLANK(patch[[#This Row],[mergeDate]]), U540, MID(YEAR(patch[[#This Row],[mergeDate]]), 3,2)&amp;"'m"&amp;MONTH(patch[[#This Row],[mergeDate]]))</f>
        <v>16'm9</v>
      </c>
      <c r="V541" s="7" t="str">
        <f>IF(ISBLANK(patch[[#This Row],[project]]), "",SUM(patch[[#This Row],[BJ -1 num]:[SH -1 num]]))</f>
        <v/>
      </c>
      <c r="W541" s="7" t="str">
        <f>IF(ISBLANK(patch[[#This Row],[project]]), "",COUNTIFS($A:$A,patch[[#This Row],[number]],$S:$S, "BJ And dev",$AC:$AC, "Review-1"))</f>
        <v/>
      </c>
      <c r="X541" s="7" t="str">
        <f>IF(ISBLANK(patch[[#This Row],[project]]), "",COUNTIFS($A:$A,patch[[#This Row],[number]],$S:$S, "FL And dev",$AC:$AC, "Review-1"))</f>
        <v/>
      </c>
      <c r="Y541" s="7" t="str">
        <f>IF(ISBLANK(patch[[#This Row],[project]]), "",COUNTIFS($A:$A,patch[[#This Row],[number]],$S:$S, "SH And dev",$AC:$AC, "Review-1"))</f>
        <v/>
      </c>
      <c r="Z541" s="7" t="str">
        <f>IF(ISBLANK(patch[[#This Row],[project]]), "",COUNTIFS($A:$A,patch[[#This Row],[number]],$S:$S, "BJ And dev",$AD:$AD, "&lt;&gt;IntegratorValidationComment"))</f>
        <v/>
      </c>
      <c r="AA541" s="7" t="str">
        <f>IF(ISBLANK(patch[[#This Row],[project]]), "",COUNTIFS($A:$A,patch[[#This Row],[number]],$S:$S, "FL And dev",$AD:$AD, "&lt;&gt;IntegratorValidationComment"))</f>
        <v/>
      </c>
      <c r="AB541" s="7" t="str">
        <f>IF(ISBLANK(patch[[#This Row],[project]]), "",COUNTIFS($A:$A,patch[[#This Row],[number]],$S:$S, "SH And dev",$AD:$AD, "&lt;&gt;IntegratorValidationComment"))</f>
        <v/>
      </c>
      <c r="AC541" s="7" t="str">
        <f>IF(OR(ISNUMBER(FIND("Review-1", patch[[#This Row],[comments]])), ISNUMBER(FIND("Approver-1", patch[[#This Row],[comments]]))), "Review-1", "")</f>
        <v/>
      </c>
      <c r="AD5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41" s="7">
        <f>IF(ISBLANK(patch[[#This Row],[number]]),AE540,patch[[#This Row],[ifCommon]])</f>
        <v>0</v>
      </c>
    </row>
    <row r="542" spans="1:31">
      <c r="A542" s="151">
        <v>147349</v>
      </c>
      <c r="B542" s="151"/>
      <c r="C542" s="151"/>
      <c r="D542" s="151"/>
      <c r="E542" s="151"/>
      <c r="F542" s="151"/>
      <c r="G542" s="151"/>
      <c r="H542" s="151"/>
      <c r="I542" s="151"/>
      <c r="J542" s="152">
        <v>42636.849421296298</v>
      </c>
      <c r="K542" s="151"/>
      <c r="L542" s="151" t="s">
        <v>24</v>
      </c>
      <c r="M542" s="152">
        <v>42635.650451388887</v>
      </c>
      <c r="N542" s="151" t="s">
        <v>29</v>
      </c>
      <c r="O542" s="151"/>
      <c r="P542" s="151"/>
      <c r="Q542" s="7" t="str">
        <f>IF(ISBLANK(patch[[#This Row],[OwnerEmail]]),Q541,patch[[#This Row],[OwnerEmail]])</f>
        <v>qingwu.zhang@intel.com</v>
      </c>
      <c r="R542" s="7" t="str">
        <f>_xlfn.IFNA(VLOOKUP(patch[[#This Row],[tmp-owner.email]],OrgTree!$A:$K, 11, 0), "not ICG SWFW")</f>
        <v>BJ And dev</v>
      </c>
      <c r="S542" s="7" t="str">
        <f>IF(patch[[#This Row],[reviewer]]=patch[[#This Row],[tmp-owner.email]], "author", _xlfn.IFNA(VLOOKUP(patch[[#This Row],[reviewer]],OrgTree!$A:$K, 11, 0), "not ICG SWFW"))</f>
        <v>author</v>
      </c>
      <c r="T542" s="7" t="str">
        <f>IF(ISBLANK(patch[[#This Row],[mergeDate]]), "", MID(YEAR(patch[[#This Row],[mergeDate]]), 3,2)&amp;"'ww"&amp;WEEKNUM(patch[[#This Row],[mergeDate]]))</f>
        <v>16'ww39</v>
      </c>
      <c r="U542" s="7" t="str">
        <f>IF(ISBLANK(patch[[#This Row],[mergeDate]]), U541, MID(YEAR(patch[[#This Row],[mergeDate]]), 3,2)&amp;"'m"&amp;MONTH(patch[[#This Row],[mergeDate]]))</f>
        <v>16'm9</v>
      </c>
      <c r="V542" s="7" t="str">
        <f>IF(ISBLANK(patch[[#This Row],[project]]), "",SUM(patch[[#This Row],[BJ -1 num]:[SH -1 num]]))</f>
        <v/>
      </c>
      <c r="W542" s="7" t="str">
        <f>IF(ISBLANK(patch[[#This Row],[project]]), "",COUNTIFS($A:$A,patch[[#This Row],[number]],$S:$S, "BJ And dev",$AC:$AC, "Review-1"))</f>
        <v/>
      </c>
      <c r="X542" s="7" t="str">
        <f>IF(ISBLANK(patch[[#This Row],[project]]), "",COUNTIFS($A:$A,patch[[#This Row],[number]],$S:$S, "FL And dev",$AC:$AC, "Review-1"))</f>
        <v/>
      </c>
      <c r="Y542" s="7" t="str">
        <f>IF(ISBLANK(patch[[#This Row],[project]]), "",COUNTIFS($A:$A,patch[[#This Row],[number]],$S:$S, "SH And dev",$AC:$AC, "Review-1"))</f>
        <v/>
      </c>
      <c r="Z542" s="7" t="str">
        <f>IF(ISBLANK(patch[[#This Row],[project]]), "",COUNTIFS($A:$A,patch[[#This Row],[number]],$S:$S, "BJ And dev",$AD:$AD, "&lt;&gt;IntegratorValidationComment"))</f>
        <v/>
      </c>
      <c r="AA542" s="7" t="str">
        <f>IF(ISBLANK(patch[[#This Row],[project]]), "",COUNTIFS($A:$A,patch[[#This Row],[number]],$S:$S, "FL And dev",$AD:$AD, "&lt;&gt;IntegratorValidationComment"))</f>
        <v/>
      </c>
      <c r="AB542" s="7" t="str">
        <f>IF(ISBLANK(patch[[#This Row],[project]]), "",COUNTIFS($A:$A,patch[[#This Row],[number]],$S:$S, "SH And dev",$AD:$AD, "&lt;&gt;IntegratorValidationComment"))</f>
        <v/>
      </c>
      <c r="AC542" s="7" t="str">
        <f>IF(OR(ISNUMBER(FIND("Review-1", patch[[#This Row],[comments]])), ISNUMBER(FIND("Approver-1", patch[[#This Row],[comments]]))), "Review-1", "")</f>
        <v/>
      </c>
      <c r="AD5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42" s="7">
        <f>IF(ISBLANK(patch[[#This Row],[number]]),AE541,patch[[#This Row],[ifCommon]])</f>
        <v>0</v>
      </c>
    </row>
    <row r="543" spans="1:31">
      <c r="A543" s="151">
        <v>147349</v>
      </c>
      <c r="B543" s="151"/>
      <c r="C543" s="151"/>
      <c r="D543" s="151"/>
      <c r="E543" s="151"/>
      <c r="F543" s="151"/>
      <c r="G543" s="151"/>
      <c r="H543" s="151"/>
      <c r="I543" s="152"/>
      <c r="J543" s="152">
        <v>42636.849421296298</v>
      </c>
      <c r="K543" s="151"/>
      <c r="L543" s="151" t="s">
        <v>24</v>
      </c>
      <c r="M543" s="152">
        <v>42635.650451388887</v>
      </c>
      <c r="N543" s="151" t="s">
        <v>2429</v>
      </c>
      <c r="O543" s="151"/>
      <c r="P543" s="151"/>
      <c r="Q543" s="7" t="str">
        <f>IF(ISBLANK(patch[[#This Row],[OwnerEmail]]),Q542,patch[[#This Row],[OwnerEmail]])</f>
        <v>qingwu.zhang@intel.com</v>
      </c>
      <c r="R543" s="7" t="str">
        <f>_xlfn.IFNA(VLOOKUP(patch[[#This Row],[tmp-owner.email]],OrgTree!$A:$K, 11, 0), "not ICG SWFW")</f>
        <v>BJ And dev</v>
      </c>
      <c r="S543" s="7" t="str">
        <f>IF(patch[[#This Row],[reviewer]]=patch[[#This Row],[tmp-owner.email]], "author", _xlfn.IFNA(VLOOKUP(patch[[#This Row],[reviewer]],OrgTree!$A:$K, 11, 0), "not ICG SWFW"))</f>
        <v>author</v>
      </c>
      <c r="T543" s="7" t="str">
        <f>IF(ISBLANK(patch[[#This Row],[mergeDate]]), "", MID(YEAR(patch[[#This Row],[mergeDate]]), 3,2)&amp;"'ww"&amp;WEEKNUM(patch[[#This Row],[mergeDate]]))</f>
        <v>16'ww39</v>
      </c>
      <c r="U543" s="7" t="str">
        <f>IF(ISBLANK(patch[[#This Row],[mergeDate]]), U542, MID(YEAR(patch[[#This Row],[mergeDate]]), 3,2)&amp;"'m"&amp;MONTH(patch[[#This Row],[mergeDate]]))</f>
        <v>16'm9</v>
      </c>
      <c r="V543" s="7" t="str">
        <f>IF(ISBLANK(patch[[#This Row],[project]]), "",SUM(patch[[#This Row],[BJ -1 num]:[SH -1 num]]))</f>
        <v/>
      </c>
      <c r="W543" s="7" t="str">
        <f>IF(ISBLANK(patch[[#This Row],[project]]), "",COUNTIFS($A:$A,patch[[#This Row],[number]],$S:$S, "BJ And dev",$AC:$AC, "Review-1"))</f>
        <v/>
      </c>
      <c r="X543" s="7" t="str">
        <f>IF(ISBLANK(patch[[#This Row],[project]]), "",COUNTIFS($A:$A,patch[[#This Row],[number]],$S:$S, "FL And dev",$AC:$AC, "Review-1"))</f>
        <v/>
      </c>
      <c r="Y543" s="7" t="str">
        <f>IF(ISBLANK(patch[[#This Row],[project]]), "",COUNTIFS($A:$A,patch[[#This Row],[number]],$S:$S, "SH And dev",$AC:$AC, "Review-1"))</f>
        <v/>
      </c>
      <c r="Z543" s="7" t="str">
        <f>IF(ISBLANK(patch[[#This Row],[project]]), "",COUNTIFS($A:$A,patch[[#This Row],[number]],$S:$S, "BJ And dev",$AD:$AD, "&lt;&gt;IntegratorValidationComment"))</f>
        <v/>
      </c>
      <c r="AA543" s="7" t="str">
        <f>IF(ISBLANK(patch[[#This Row],[project]]), "",COUNTIFS($A:$A,patch[[#This Row],[number]],$S:$S, "FL And dev",$AD:$AD, "&lt;&gt;IntegratorValidationComment"))</f>
        <v/>
      </c>
      <c r="AB543" s="7" t="str">
        <f>IF(ISBLANK(patch[[#This Row],[project]]), "",COUNTIFS($A:$A,patch[[#This Row],[number]],$S:$S, "SH And dev",$AD:$AD, "&lt;&gt;IntegratorValidationComment"))</f>
        <v/>
      </c>
      <c r="AC543" s="7" t="str">
        <f>IF(OR(ISNUMBER(FIND("Review-1", patch[[#This Row],[comments]])), ISNUMBER(FIND("Approver-1", patch[[#This Row],[comments]]))), "Review-1", "")</f>
        <v/>
      </c>
      <c r="AD5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43" s="7">
        <f>IF(ISBLANK(patch[[#This Row],[number]]),AE542,patch[[#This Row],[ifCommon]])</f>
        <v>0</v>
      </c>
    </row>
    <row r="544" spans="1:31">
      <c r="A544" s="151">
        <v>147349</v>
      </c>
      <c r="B544" s="151"/>
      <c r="C544" s="151"/>
      <c r="D544" s="151"/>
      <c r="E544" s="151"/>
      <c r="F544" s="151"/>
      <c r="G544" s="151"/>
      <c r="H544" s="151"/>
      <c r="I544" s="151"/>
      <c r="J544" s="152">
        <v>42636.849421296298</v>
      </c>
      <c r="K544" s="151"/>
      <c r="L544" s="151" t="s">
        <v>24</v>
      </c>
      <c r="M544" s="152">
        <v>42635.650810185187</v>
      </c>
      <c r="N544" s="151" t="s">
        <v>27</v>
      </c>
      <c r="O544" s="151"/>
      <c r="P544" s="151"/>
      <c r="Q544" s="7" t="str">
        <f>IF(ISBLANK(patch[[#This Row],[OwnerEmail]]),Q543,patch[[#This Row],[OwnerEmail]])</f>
        <v>qingwu.zhang@intel.com</v>
      </c>
      <c r="R544" s="7" t="str">
        <f>_xlfn.IFNA(VLOOKUP(patch[[#This Row],[tmp-owner.email]],OrgTree!$A:$K, 11, 0), "not ICG SWFW")</f>
        <v>BJ And dev</v>
      </c>
      <c r="S544" s="7" t="str">
        <f>IF(patch[[#This Row],[reviewer]]=patch[[#This Row],[tmp-owner.email]], "author", _xlfn.IFNA(VLOOKUP(patch[[#This Row],[reviewer]],OrgTree!$A:$K, 11, 0), "not ICG SWFW"))</f>
        <v>author</v>
      </c>
      <c r="T544" s="7" t="str">
        <f>IF(ISBLANK(patch[[#This Row],[mergeDate]]), "", MID(YEAR(patch[[#This Row],[mergeDate]]), 3,2)&amp;"'ww"&amp;WEEKNUM(patch[[#This Row],[mergeDate]]))</f>
        <v>16'ww39</v>
      </c>
      <c r="U544" s="7" t="str">
        <f>IF(ISBLANK(patch[[#This Row],[mergeDate]]), U543, MID(YEAR(patch[[#This Row],[mergeDate]]), 3,2)&amp;"'m"&amp;MONTH(patch[[#This Row],[mergeDate]]))</f>
        <v>16'm9</v>
      </c>
      <c r="V544" s="7" t="str">
        <f>IF(ISBLANK(patch[[#This Row],[project]]), "",SUM(patch[[#This Row],[BJ -1 num]:[SH -1 num]]))</f>
        <v/>
      </c>
      <c r="W544" s="7" t="str">
        <f>IF(ISBLANK(patch[[#This Row],[project]]), "",COUNTIFS($A:$A,patch[[#This Row],[number]],$S:$S, "BJ And dev",$AC:$AC, "Review-1"))</f>
        <v/>
      </c>
      <c r="X544" s="7" t="str">
        <f>IF(ISBLANK(patch[[#This Row],[project]]), "",COUNTIFS($A:$A,patch[[#This Row],[number]],$S:$S, "FL And dev",$AC:$AC, "Review-1"))</f>
        <v/>
      </c>
      <c r="Y544" s="7" t="str">
        <f>IF(ISBLANK(patch[[#This Row],[project]]), "",COUNTIFS($A:$A,patch[[#This Row],[number]],$S:$S, "SH And dev",$AC:$AC, "Review-1"))</f>
        <v/>
      </c>
      <c r="Z544" s="7" t="str">
        <f>IF(ISBLANK(patch[[#This Row],[project]]), "",COUNTIFS($A:$A,patch[[#This Row],[number]],$S:$S, "BJ And dev",$AD:$AD, "&lt;&gt;IntegratorValidationComment"))</f>
        <v/>
      </c>
      <c r="AA544" s="7" t="str">
        <f>IF(ISBLANK(patch[[#This Row],[project]]), "",COUNTIFS($A:$A,patch[[#This Row],[number]],$S:$S, "FL And dev",$AD:$AD, "&lt;&gt;IntegratorValidationComment"))</f>
        <v/>
      </c>
      <c r="AB544" s="7" t="str">
        <f>IF(ISBLANK(patch[[#This Row],[project]]), "",COUNTIFS($A:$A,patch[[#This Row],[number]],$S:$S, "SH And dev",$AD:$AD, "&lt;&gt;IntegratorValidationComment"))</f>
        <v/>
      </c>
      <c r="AC544" s="7" t="str">
        <f>IF(OR(ISNUMBER(FIND("Review-1", patch[[#This Row],[comments]])), ISNUMBER(FIND("Approver-1", patch[[#This Row],[comments]]))), "Review-1", "")</f>
        <v/>
      </c>
      <c r="AD5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44" s="7">
        <f>IF(ISBLANK(patch[[#This Row],[number]]),AE543,patch[[#This Row],[ifCommon]])</f>
        <v>0</v>
      </c>
    </row>
    <row r="545" spans="1:31">
      <c r="A545" s="151">
        <v>147349</v>
      </c>
      <c r="B545" s="151"/>
      <c r="C545" s="151"/>
      <c r="D545" s="151"/>
      <c r="E545" s="151"/>
      <c r="F545" s="151"/>
      <c r="G545" s="151"/>
      <c r="H545" s="151"/>
      <c r="I545" s="151"/>
      <c r="J545" s="152">
        <v>42636.849421296298</v>
      </c>
      <c r="K545" s="151"/>
      <c r="L545" s="151" t="s">
        <v>59</v>
      </c>
      <c r="M545" s="152">
        <v>42635.654953703714</v>
      </c>
      <c r="N545" s="151" t="s">
        <v>2871</v>
      </c>
      <c r="O545" s="151"/>
      <c r="P545" s="151"/>
      <c r="Q545" s="7" t="str">
        <f>IF(ISBLANK(patch[[#This Row],[OwnerEmail]]),Q544,patch[[#This Row],[OwnerEmail]])</f>
        <v>qingwu.zhang@intel.com</v>
      </c>
      <c r="R545" s="7" t="str">
        <f>_xlfn.IFNA(VLOOKUP(patch[[#This Row],[tmp-owner.email]],OrgTree!$A:$K, 11, 0), "not ICG SWFW")</f>
        <v>BJ And dev</v>
      </c>
      <c r="S545" s="7" t="str">
        <f>IF(patch[[#This Row],[reviewer]]=patch[[#This Row],[tmp-owner.email]], "author", _xlfn.IFNA(VLOOKUP(patch[[#This Row],[reviewer]],OrgTree!$A:$K, 11, 0), "not ICG SWFW"))</f>
        <v>BJ And dev</v>
      </c>
      <c r="T545" s="7" t="str">
        <f>IF(ISBLANK(patch[[#This Row],[mergeDate]]), "", MID(YEAR(patch[[#This Row],[mergeDate]]), 3,2)&amp;"'ww"&amp;WEEKNUM(patch[[#This Row],[mergeDate]]))</f>
        <v>16'ww39</v>
      </c>
      <c r="U545" s="7" t="str">
        <f>IF(ISBLANK(patch[[#This Row],[mergeDate]]), U544, MID(YEAR(patch[[#This Row],[mergeDate]]), 3,2)&amp;"'m"&amp;MONTH(patch[[#This Row],[mergeDate]]))</f>
        <v>16'm9</v>
      </c>
      <c r="V545" s="7" t="str">
        <f>IF(ISBLANK(patch[[#This Row],[project]]), "",SUM(patch[[#This Row],[BJ -1 num]:[SH -1 num]]))</f>
        <v/>
      </c>
      <c r="W545" s="7" t="str">
        <f>IF(ISBLANK(patch[[#This Row],[project]]), "",COUNTIFS($A:$A,patch[[#This Row],[number]],$S:$S, "BJ And dev",$AC:$AC, "Review-1"))</f>
        <v/>
      </c>
      <c r="X545" s="7" t="str">
        <f>IF(ISBLANK(patch[[#This Row],[project]]), "",COUNTIFS($A:$A,patch[[#This Row],[number]],$S:$S, "FL And dev",$AC:$AC, "Review-1"))</f>
        <v/>
      </c>
      <c r="Y545" s="7" t="str">
        <f>IF(ISBLANK(patch[[#This Row],[project]]), "",COUNTIFS($A:$A,patch[[#This Row],[number]],$S:$S, "SH And dev",$AC:$AC, "Review-1"))</f>
        <v/>
      </c>
      <c r="Z545" s="7" t="str">
        <f>IF(ISBLANK(patch[[#This Row],[project]]), "",COUNTIFS($A:$A,patch[[#This Row],[number]],$S:$S, "BJ And dev",$AD:$AD, "&lt;&gt;IntegratorValidationComment"))</f>
        <v/>
      </c>
      <c r="AA545" s="7" t="str">
        <f>IF(ISBLANK(patch[[#This Row],[project]]), "",COUNTIFS($A:$A,patch[[#This Row],[number]],$S:$S, "FL And dev",$AD:$AD, "&lt;&gt;IntegratorValidationComment"))</f>
        <v/>
      </c>
      <c r="AB545" s="7" t="str">
        <f>IF(ISBLANK(patch[[#This Row],[project]]), "",COUNTIFS($A:$A,patch[[#This Row],[number]],$S:$S, "SH And dev",$AD:$AD, "&lt;&gt;IntegratorValidationComment"))</f>
        <v/>
      </c>
      <c r="AC545" s="7" t="str">
        <f>IF(OR(ISNUMBER(FIND("Review-1", patch[[#This Row],[comments]])), ISNUMBER(FIND("Approver-1", patch[[#This Row],[comments]]))), "Review-1", "")</f>
        <v/>
      </c>
      <c r="AD5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45" s="7">
        <f>IF(ISBLANK(patch[[#This Row],[number]]),AE544,patch[[#This Row],[ifCommon]])</f>
        <v>0</v>
      </c>
    </row>
    <row r="546" spans="1:31">
      <c r="A546" s="151">
        <v>147349</v>
      </c>
      <c r="B546" s="151"/>
      <c r="C546" s="151"/>
      <c r="D546" s="151"/>
      <c r="E546" s="151"/>
      <c r="F546" s="151"/>
      <c r="G546" s="151"/>
      <c r="H546" s="151"/>
      <c r="I546" s="151"/>
      <c r="J546" s="152">
        <v>42636.849421296298</v>
      </c>
      <c r="K546" s="151"/>
      <c r="L546" s="151" t="s">
        <v>59</v>
      </c>
      <c r="M546" s="152">
        <v>42635.660231481481</v>
      </c>
      <c r="N546" s="151" t="s">
        <v>2872</v>
      </c>
      <c r="O546" s="151"/>
      <c r="P546" s="151"/>
      <c r="Q546" s="7" t="str">
        <f>IF(ISBLANK(patch[[#This Row],[OwnerEmail]]),Q545,patch[[#This Row],[OwnerEmail]])</f>
        <v>qingwu.zhang@intel.com</v>
      </c>
      <c r="R546" s="7" t="str">
        <f>_xlfn.IFNA(VLOOKUP(patch[[#This Row],[tmp-owner.email]],OrgTree!$A:$K, 11, 0), "not ICG SWFW")</f>
        <v>BJ And dev</v>
      </c>
      <c r="S546" s="7" t="str">
        <f>IF(patch[[#This Row],[reviewer]]=patch[[#This Row],[tmp-owner.email]], "author", _xlfn.IFNA(VLOOKUP(patch[[#This Row],[reviewer]],OrgTree!$A:$K, 11, 0), "not ICG SWFW"))</f>
        <v>BJ And dev</v>
      </c>
      <c r="T546" s="7" t="str">
        <f>IF(ISBLANK(patch[[#This Row],[mergeDate]]), "", MID(YEAR(patch[[#This Row],[mergeDate]]), 3,2)&amp;"'ww"&amp;WEEKNUM(patch[[#This Row],[mergeDate]]))</f>
        <v>16'ww39</v>
      </c>
      <c r="U546" s="7" t="str">
        <f>IF(ISBLANK(patch[[#This Row],[mergeDate]]), U545, MID(YEAR(patch[[#This Row],[mergeDate]]), 3,2)&amp;"'m"&amp;MONTH(patch[[#This Row],[mergeDate]]))</f>
        <v>16'm9</v>
      </c>
      <c r="V546" s="7" t="str">
        <f>IF(ISBLANK(patch[[#This Row],[project]]), "",SUM(patch[[#This Row],[BJ -1 num]:[SH -1 num]]))</f>
        <v/>
      </c>
      <c r="W546" s="7" t="str">
        <f>IF(ISBLANK(patch[[#This Row],[project]]), "",COUNTIFS($A:$A,patch[[#This Row],[number]],$S:$S, "BJ And dev",$AC:$AC, "Review-1"))</f>
        <v/>
      </c>
      <c r="X546" s="7" t="str">
        <f>IF(ISBLANK(patch[[#This Row],[project]]), "",COUNTIFS($A:$A,patch[[#This Row],[number]],$S:$S, "FL And dev",$AC:$AC, "Review-1"))</f>
        <v/>
      </c>
      <c r="Y546" s="7" t="str">
        <f>IF(ISBLANK(patch[[#This Row],[project]]), "",COUNTIFS($A:$A,patch[[#This Row],[number]],$S:$S, "SH And dev",$AC:$AC, "Review-1"))</f>
        <v/>
      </c>
      <c r="Z546" s="7" t="str">
        <f>IF(ISBLANK(patch[[#This Row],[project]]), "",COUNTIFS($A:$A,patch[[#This Row],[number]],$S:$S, "BJ And dev",$AD:$AD, "&lt;&gt;IntegratorValidationComment"))</f>
        <v/>
      </c>
      <c r="AA546" s="7" t="str">
        <f>IF(ISBLANK(patch[[#This Row],[project]]), "",COUNTIFS($A:$A,patch[[#This Row],[number]],$S:$S, "FL And dev",$AD:$AD, "&lt;&gt;IntegratorValidationComment"))</f>
        <v/>
      </c>
      <c r="AB546" s="7" t="str">
        <f>IF(ISBLANK(patch[[#This Row],[project]]), "",COUNTIFS($A:$A,patch[[#This Row],[number]],$S:$S, "SH And dev",$AD:$AD, "&lt;&gt;IntegratorValidationComment"))</f>
        <v/>
      </c>
      <c r="AC546" s="7" t="str">
        <f>IF(OR(ISNUMBER(FIND("Review-1", patch[[#This Row],[comments]])), ISNUMBER(FIND("Approver-1", patch[[#This Row],[comments]]))), "Review-1", "")</f>
        <v/>
      </c>
      <c r="AD5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46" s="7">
        <f>IF(ISBLANK(patch[[#This Row],[number]]),AE545,patch[[#This Row],[ifCommon]])</f>
        <v>0</v>
      </c>
    </row>
    <row r="547" spans="1:31">
      <c r="A547" s="151">
        <v>147349</v>
      </c>
      <c r="B547" s="151"/>
      <c r="C547" s="151"/>
      <c r="D547" s="151"/>
      <c r="E547" s="151"/>
      <c r="F547" s="151"/>
      <c r="G547" s="151"/>
      <c r="H547" s="151"/>
      <c r="I547" s="151"/>
      <c r="J547" s="152">
        <v>42636.849421296298</v>
      </c>
      <c r="K547" s="151"/>
      <c r="L547" s="151" t="s">
        <v>68</v>
      </c>
      <c r="M547" s="152">
        <v>42635.67087962963</v>
      </c>
      <c r="N547" s="151" t="s">
        <v>2455</v>
      </c>
      <c r="O547" s="151" t="s">
        <v>2873</v>
      </c>
      <c r="P547" s="151"/>
      <c r="Q547" s="7" t="str">
        <f>IF(ISBLANK(patch[[#This Row],[OwnerEmail]]),Q546,patch[[#This Row],[OwnerEmail]])</f>
        <v>qingwu.zhang@intel.com</v>
      </c>
      <c r="R547" s="7" t="str">
        <f>_xlfn.IFNA(VLOOKUP(patch[[#This Row],[tmp-owner.email]],OrgTree!$A:$K, 11, 0), "not ICG SWFW")</f>
        <v>BJ And dev</v>
      </c>
      <c r="S547" s="7" t="str">
        <f>IF(patch[[#This Row],[reviewer]]=patch[[#This Row],[tmp-owner.email]], "author", _xlfn.IFNA(VLOOKUP(patch[[#This Row],[reviewer]],OrgTree!$A:$K, 11, 0), "not ICG SWFW"))</f>
        <v>BJ And dev</v>
      </c>
      <c r="T547" s="7" t="str">
        <f>IF(ISBLANK(patch[[#This Row],[mergeDate]]), "", MID(YEAR(patch[[#This Row],[mergeDate]]), 3,2)&amp;"'ww"&amp;WEEKNUM(patch[[#This Row],[mergeDate]]))</f>
        <v>16'ww39</v>
      </c>
      <c r="U547" s="7" t="str">
        <f>IF(ISBLANK(patch[[#This Row],[mergeDate]]), U546, MID(YEAR(patch[[#This Row],[mergeDate]]), 3,2)&amp;"'m"&amp;MONTH(patch[[#This Row],[mergeDate]]))</f>
        <v>16'm9</v>
      </c>
      <c r="V547" s="7" t="str">
        <f>IF(ISBLANK(patch[[#This Row],[project]]), "",SUM(patch[[#This Row],[BJ -1 num]:[SH -1 num]]))</f>
        <v/>
      </c>
      <c r="W547" s="7" t="str">
        <f>IF(ISBLANK(patch[[#This Row],[project]]), "",COUNTIFS($A:$A,patch[[#This Row],[number]],$S:$S, "BJ And dev",$AC:$AC, "Review-1"))</f>
        <v/>
      </c>
      <c r="X547" s="7" t="str">
        <f>IF(ISBLANK(patch[[#This Row],[project]]), "",COUNTIFS($A:$A,patch[[#This Row],[number]],$S:$S, "FL And dev",$AC:$AC, "Review-1"))</f>
        <v/>
      </c>
      <c r="Y547" s="7" t="str">
        <f>IF(ISBLANK(patch[[#This Row],[project]]), "",COUNTIFS($A:$A,patch[[#This Row],[number]],$S:$S, "SH And dev",$AC:$AC, "Review-1"))</f>
        <v/>
      </c>
      <c r="Z547" s="7" t="str">
        <f>IF(ISBLANK(patch[[#This Row],[project]]), "",COUNTIFS($A:$A,patch[[#This Row],[number]],$S:$S, "BJ And dev",$AD:$AD, "&lt;&gt;IntegratorValidationComment"))</f>
        <v/>
      </c>
      <c r="AA547" s="7" t="str">
        <f>IF(ISBLANK(patch[[#This Row],[project]]), "",COUNTIFS($A:$A,patch[[#This Row],[number]],$S:$S, "FL And dev",$AD:$AD, "&lt;&gt;IntegratorValidationComment"))</f>
        <v/>
      </c>
      <c r="AB547" s="7" t="str">
        <f>IF(ISBLANK(patch[[#This Row],[project]]), "",COUNTIFS($A:$A,patch[[#This Row],[number]],$S:$S, "SH And dev",$AD:$AD, "&lt;&gt;IntegratorValidationComment"))</f>
        <v/>
      </c>
      <c r="AC547" s="7" t="str">
        <f>IF(OR(ISNUMBER(FIND("Review-1", patch[[#This Row],[comments]])), ISNUMBER(FIND("Approver-1", patch[[#This Row],[comments]]))), "Review-1", "")</f>
        <v/>
      </c>
      <c r="AD5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47" s="7">
        <f>IF(ISBLANK(patch[[#This Row],[number]]),AE546,patch[[#This Row],[ifCommon]])</f>
        <v>0</v>
      </c>
    </row>
    <row r="548" spans="1:31">
      <c r="A548" s="151">
        <v>147349</v>
      </c>
      <c r="B548" s="151"/>
      <c r="C548" s="151"/>
      <c r="D548" s="151"/>
      <c r="E548" s="151"/>
      <c r="F548" s="151"/>
      <c r="G548" s="151"/>
      <c r="H548" s="151"/>
      <c r="I548" s="151"/>
      <c r="J548" s="152">
        <v>42636.849421296298</v>
      </c>
      <c r="K548" s="151"/>
      <c r="L548" s="151" t="s">
        <v>1237</v>
      </c>
      <c r="M548" s="152">
        <v>42635.69866898148</v>
      </c>
      <c r="N548" s="151" t="s">
        <v>27</v>
      </c>
      <c r="O548" s="151"/>
      <c r="P548" s="151"/>
      <c r="Q548" s="7" t="str">
        <f>IF(ISBLANK(patch[[#This Row],[OwnerEmail]]),Q547,patch[[#This Row],[OwnerEmail]])</f>
        <v>qingwu.zhang@intel.com</v>
      </c>
      <c r="R548" s="7" t="str">
        <f>_xlfn.IFNA(VLOOKUP(patch[[#This Row],[tmp-owner.email]],OrgTree!$A:$K, 11, 0), "not ICG SWFW")</f>
        <v>BJ And dev</v>
      </c>
      <c r="S548" s="7" t="str">
        <f>IF(patch[[#This Row],[reviewer]]=patch[[#This Row],[tmp-owner.email]], "author", _xlfn.IFNA(VLOOKUP(patch[[#This Row],[reviewer]],OrgTree!$A:$K, 11, 0), "not ICG SWFW"))</f>
        <v>BJ And dev</v>
      </c>
      <c r="T548" s="7" t="str">
        <f>IF(ISBLANK(patch[[#This Row],[mergeDate]]), "", MID(YEAR(patch[[#This Row],[mergeDate]]), 3,2)&amp;"'ww"&amp;WEEKNUM(patch[[#This Row],[mergeDate]]))</f>
        <v>16'ww39</v>
      </c>
      <c r="U548" s="7" t="str">
        <f>IF(ISBLANK(patch[[#This Row],[mergeDate]]), U547, MID(YEAR(patch[[#This Row],[mergeDate]]), 3,2)&amp;"'m"&amp;MONTH(patch[[#This Row],[mergeDate]]))</f>
        <v>16'm9</v>
      </c>
      <c r="V548" s="7" t="str">
        <f>IF(ISBLANK(patch[[#This Row],[project]]), "",SUM(patch[[#This Row],[BJ -1 num]:[SH -1 num]]))</f>
        <v/>
      </c>
      <c r="W548" s="7" t="str">
        <f>IF(ISBLANK(patch[[#This Row],[project]]), "",COUNTIFS($A:$A,patch[[#This Row],[number]],$S:$S, "BJ And dev",$AC:$AC, "Review-1"))</f>
        <v/>
      </c>
      <c r="X548" s="7" t="str">
        <f>IF(ISBLANK(patch[[#This Row],[project]]), "",COUNTIFS($A:$A,patch[[#This Row],[number]],$S:$S, "FL And dev",$AC:$AC, "Review-1"))</f>
        <v/>
      </c>
      <c r="Y548" s="7" t="str">
        <f>IF(ISBLANK(patch[[#This Row],[project]]), "",COUNTIFS($A:$A,patch[[#This Row],[number]],$S:$S, "SH And dev",$AC:$AC, "Review-1"))</f>
        <v/>
      </c>
      <c r="Z548" s="7" t="str">
        <f>IF(ISBLANK(patch[[#This Row],[project]]), "",COUNTIFS($A:$A,patch[[#This Row],[number]],$S:$S, "BJ And dev",$AD:$AD, "&lt;&gt;IntegratorValidationComment"))</f>
        <v/>
      </c>
      <c r="AA548" s="7" t="str">
        <f>IF(ISBLANK(patch[[#This Row],[project]]), "",COUNTIFS($A:$A,patch[[#This Row],[number]],$S:$S, "FL And dev",$AD:$AD, "&lt;&gt;IntegratorValidationComment"))</f>
        <v/>
      </c>
      <c r="AB548" s="7" t="str">
        <f>IF(ISBLANK(patch[[#This Row],[project]]), "",COUNTIFS($A:$A,patch[[#This Row],[number]],$S:$S, "SH And dev",$AD:$AD, "&lt;&gt;IntegratorValidationComment"))</f>
        <v/>
      </c>
      <c r="AC548" s="7" t="str">
        <f>IF(OR(ISNUMBER(FIND("Review-1", patch[[#This Row],[comments]])), ISNUMBER(FIND("Approver-1", patch[[#This Row],[comments]]))), "Review-1", "")</f>
        <v/>
      </c>
      <c r="AD5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48" s="7">
        <f>IF(ISBLANK(patch[[#This Row],[number]]),AE547,patch[[#This Row],[ifCommon]])</f>
        <v>0</v>
      </c>
    </row>
    <row r="549" spans="1:31">
      <c r="A549" s="151">
        <v>147349</v>
      </c>
      <c r="B549" s="151"/>
      <c r="C549" s="151"/>
      <c r="D549" s="151"/>
      <c r="E549" s="151"/>
      <c r="F549" s="151"/>
      <c r="G549" s="151"/>
      <c r="H549" s="151"/>
      <c r="I549" s="151"/>
      <c r="J549" s="152">
        <v>42636.849421296298</v>
      </c>
      <c r="K549" s="151"/>
      <c r="L549" s="151" t="s">
        <v>32</v>
      </c>
      <c r="M549" s="152">
        <v>42635.712083333332</v>
      </c>
      <c r="N549" s="151" t="s">
        <v>2500</v>
      </c>
      <c r="O549" s="151" t="s">
        <v>2874</v>
      </c>
      <c r="P549" s="151"/>
      <c r="Q549" s="7" t="str">
        <f>IF(ISBLANK(patch[[#This Row],[OwnerEmail]]),Q548,patch[[#This Row],[OwnerEmail]])</f>
        <v>qingwu.zhang@intel.com</v>
      </c>
      <c r="R549" s="7" t="str">
        <f>_xlfn.IFNA(VLOOKUP(patch[[#This Row],[tmp-owner.email]],OrgTree!$A:$K, 11, 0), "not ICG SWFW")</f>
        <v>BJ And dev</v>
      </c>
      <c r="S549" s="7" t="str">
        <f>IF(patch[[#This Row],[reviewer]]=patch[[#This Row],[tmp-owner.email]], "author", _xlfn.IFNA(VLOOKUP(patch[[#This Row],[reviewer]],OrgTree!$A:$K, 11, 0), "not ICG SWFW"))</f>
        <v>BJ And dev</v>
      </c>
      <c r="T549" s="7" t="str">
        <f>IF(ISBLANK(patch[[#This Row],[mergeDate]]), "", MID(YEAR(patch[[#This Row],[mergeDate]]), 3,2)&amp;"'ww"&amp;WEEKNUM(patch[[#This Row],[mergeDate]]))</f>
        <v>16'ww39</v>
      </c>
      <c r="U549" s="7" t="str">
        <f>IF(ISBLANK(patch[[#This Row],[mergeDate]]), U548, MID(YEAR(patch[[#This Row],[mergeDate]]), 3,2)&amp;"'m"&amp;MONTH(patch[[#This Row],[mergeDate]]))</f>
        <v>16'm9</v>
      </c>
      <c r="V549" s="7" t="str">
        <f>IF(ISBLANK(patch[[#This Row],[project]]), "",SUM(patch[[#This Row],[BJ -1 num]:[SH -1 num]]))</f>
        <v/>
      </c>
      <c r="W549" s="7" t="str">
        <f>IF(ISBLANK(patch[[#This Row],[project]]), "",COUNTIFS($A:$A,patch[[#This Row],[number]],$S:$S, "BJ And dev",$AC:$AC, "Review-1"))</f>
        <v/>
      </c>
      <c r="X549" s="7" t="str">
        <f>IF(ISBLANK(patch[[#This Row],[project]]), "",COUNTIFS($A:$A,patch[[#This Row],[number]],$S:$S, "FL And dev",$AC:$AC, "Review-1"))</f>
        <v/>
      </c>
      <c r="Y549" s="7" t="str">
        <f>IF(ISBLANK(patch[[#This Row],[project]]), "",COUNTIFS($A:$A,patch[[#This Row],[number]],$S:$S, "SH And dev",$AC:$AC, "Review-1"))</f>
        <v/>
      </c>
      <c r="Z549" s="7" t="str">
        <f>IF(ISBLANK(patch[[#This Row],[project]]), "",COUNTIFS($A:$A,patch[[#This Row],[number]],$S:$S, "BJ And dev",$AD:$AD, "&lt;&gt;IntegratorValidationComment"))</f>
        <v/>
      </c>
      <c r="AA549" s="7" t="str">
        <f>IF(ISBLANK(patch[[#This Row],[project]]), "",COUNTIFS($A:$A,patch[[#This Row],[number]],$S:$S, "FL And dev",$AD:$AD, "&lt;&gt;IntegratorValidationComment"))</f>
        <v/>
      </c>
      <c r="AB549" s="7" t="str">
        <f>IF(ISBLANK(patch[[#This Row],[project]]), "",COUNTIFS($A:$A,patch[[#This Row],[number]],$S:$S, "SH And dev",$AD:$AD, "&lt;&gt;IntegratorValidationComment"))</f>
        <v/>
      </c>
      <c r="AC549" s="7" t="str">
        <f>IF(OR(ISNUMBER(FIND("Review-1", patch[[#This Row],[comments]])), ISNUMBER(FIND("Approver-1", patch[[#This Row],[comments]]))), "Review-1", "")</f>
        <v>Review-1</v>
      </c>
      <c r="AD5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49" s="7">
        <f>IF(ISBLANK(patch[[#This Row],[number]]),AE548,patch[[#This Row],[ifCommon]])</f>
        <v>0</v>
      </c>
    </row>
    <row r="550" spans="1:31">
      <c r="A550" s="151">
        <v>147349</v>
      </c>
      <c r="B550" s="151"/>
      <c r="C550" s="151"/>
      <c r="D550" s="151"/>
      <c r="E550" s="151"/>
      <c r="F550" s="151"/>
      <c r="G550" s="151"/>
      <c r="H550" s="151"/>
      <c r="I550" s="151"/>
      <c r="J550" s="152">
        <v>42636.849421296298</v>
      </c>
      <c r="K550" s="151"/>
      <c r="L550" s="151" t="s">
        <v>24</v>
      </c>
      <c r="M550" s="152">
        <v>42635.72997685185</v>
      </c>
      <c r="N550" s="151" t="s">
        <v>2450</v>
      </c>
      <c r="O550" s="151"/>
      <c r="P550" s="151"/>
      <c r="Q550" s="7" t="str">
        <f>IF(ISBLANK(patch[[#This Row],[OwnerEmail]]),Q549,patch[[#This Row],[OwnerEmail]])</f>
        <v>qingwu.zhang@intel.com</v>
      </c>
      <c r="R550" s="7" t="str">
        <f>_xlfn.IFNA(VLOOKUP(patch[[#This Row],[tmp-owner.email]],OrgTree!$A:$K, 11, 0), "not ICG SWFW")</f>
        <v>BJ And dev</v>
      </c>
      <c r="S550" s="7" t="str">
        <f>IF(patch[[#This Row],[reviewer]]=patch[[#This Row],[tmp-owner.email]], "author", _xlfn.IFNA(VLOOKUP(patch[[#This Row],[reviewer]],OrgTree!$A:$K, 11, 0), "not ICG SWFW"))</f>
        <v>author</v>
      </c>
      <c r="T550" s="7" t="str">
        <f>IF(ISBLANK(patch[[#This Row],[mergeDate]]), "", MID(YEAR(patch[[#This Row],[mergeDate]]), 3,2)&amp;"'ww"&amp;WEEKNUM(patch[[#This Row],[mergeDate]]))</f>
        <v>16'ww39</v>
      </c>
      <c r="U550" s="7" t="str">
        <f>IF(ISBLANK(patch[[#This Row],[mergeDate]]), U549, MID(YEAR(patch[[#This Row],[mergeDate]]), 3,2)&amp;"'m"&amp;MONTH(patch[[#This Row],[mergeDate]]))</f>
        <v>16'm9</v>
      </c>
      <c r="V550" s="7" t="str">
        <f>IF(ISBLANK(patch[[#This Row],[project]]), "",SUM(patch[[#This Row],[BJ -1 num]:[SH -1 num]]))</f>
        <v/>
      </c>
      <c r="W550" s="7" t="str">
        <f>IF(ISBLANK(patch[[#This Row],[project]]), "",COUNTIFS($A:$A,patch[[#This Row],[number]],$S:$S, "BJ And dev",$AC:$AC, "Review-1"))</f>
        <v/>
      </c>
      <c r="X550" s="7" t="str">
        <f>IF(ISBLANK(patch[[#This Row],[project]]), "",COUNTIFS($A:$A,patch[[#This Row],[number]],$S:$S, "FL And dev",$AC:$AC, "Review-1"))</f>
        <v/>
      </c>
      <c r="Y550" s="7" t="str">
        <f>IF(ISBLANK(patch[[#This Row],[project]]), "",COUNTIFS($A:$A,patch[[#This Row],[number]],$S:$S, "SH And dev",$AC:$AC, "Review-1"))</f>
        <v/>
      </c>
      <c r="Z550" s="7" t="str">
        <f>IF(ISBLANK(patch[[#This Row],[project]]), "",COUNTIFS($A:$A,patch[[#This Row],[number]],$S:$S, "BJ And dev",$AD:$AD, "&lt;&gt;IntegratorValidationComment"))</f>
        <v/>
      </c>
      <c r="AA550" s="7" t="str">
        <f>IF(ISBLANK(patch[[#This Row],[project]]), "",COUNTIFS($A:$A,patch[[#This Row],[number]],$S:$S, "FL And dev",$AD:$AD, "&lt;&gt;IntegratorValidationComment"))</f>
        <v/>
      </c>
      <c r="AB550" s="7" t="str">
        <f>IF(ISBLANK(patch[[#This Row],[project]]), "",COUNTIFS($A:$A,patch[[#This Row],[number]],$S:$S, "SH And dev",$AD:$AD, "&lt;&gt;IntegratorValidationComment"))</f>
        <v/>
      </c>
      <c r="AC550" s="7" t="str">
        <f>IF(OR(ISNUMBER(FIND("Review-1", patch[[#This Row],[comments]])), ISNUMBER(FIND("Approver-1", patch[[#This Row],[comments]]))), "Review-1", "")</f>
        <v/>
      </c>
      <c r="AD5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50" s="7">
        <f>IF(ISBLANK(patch[[#This Row],[number]]),AE549,patch[[#This Row],[ifCommon]])</f>
        <v>0</v>
      </c>
    </row>
    <row r="551" spans="1:31">
      <c r="A551" s="151">
        <v>147349</v>
      </c>
      <c r="B551" s="151"/>
      <c r="C551" s="151"/>
      <c r="D551" s="151"/>
      <c r="E551" s="151"/>
      <c r="F551" s="151"/>
      <c r="G551" s="151"/>
      <c r="H551" s="151"/>
      <c r="I551" s="151"/>
      <c r="J551" s="152">
        <v>42636.849421296298</v>
      </c>
      <c r="K551" s="151"/>
      <c r="L551" s="151" t="s">
        <v>24</v>
      </c>
      <c r="M551" s="152">
        <v>42635.72997685185</v>
      </c>
      <c r="N551" s="151" t="s">
        <v>1829</v>
      </c>
      <c r="O551" s="151"/>
      <c r="P551" s="151"/>
      <c r="Q551" s="7" t="str">
        <f>IF(ISBLANK(patch[[#This Row],[OwnerEmail]]),Q550,patch[[#This Row],[OwnerEmail]])</f>
        <v>qingwu.zhang@intel.com</v>
      </c>
      <c r="R551" s="7" t="str">
        <f>_xlfn.IFNA(VLOOKUP(patch[[#This Row],[tmp-owner.email]],OrgTree!$A:$K, 11, 0), "not ICG SWFW")</f>
        <v>BJ And dev</v>
      </c>
      <c r="S551" s="7" t="str">
        <f>IF(patch[[#This Row],[reviewer]]=patch[[#This Row],[tmp-owner.email]], "author", _xlfn.IFNA(VLOOKUP(patch[[#This Row],[reviewer]],OrgTree!$A:$K, 11, 0), "not ICG SWFW"))</f>
        <v>author</v>
      </c>
      <c r="T551" s="7" t="str">
        <f>IF(ISBLANK(patch[[#This Row],[mergeDate]]), "", MID(YEAR(patch[[#This Row],[mergeDate]]), 3,2)&amp;"'ww"&amp;WEEKNUM(patch[[#This Row],[mergeDate]]))</f>
        <v>16'ww39</v>
      </c>
      <c r="U551" s="7" t="str">
        <f>IF(ISBLANK(patch[[#This Row],[mergeDate]]), U550, MID(YEAR(patch[[#This Row],[mergeDate]]), 3,2)&amp;"'m"&amp;MONTH(patch[[#This Row],[mergeDate]]))</f>
        <v>16'm9</v>
      </c>
      <c r="V551" s="7" t="str">
        <f>IF(ISBLANK(patch[[#This Row],[project]]), "",SUM(patch[[#This Row],[BJ -1 num]:[SH -1 num]]))</f>
        <v/>
      </c>
      <c r="W551" s="7" t="str">
        <f>IF(ISBLANK(patch[[#This Row],[project]]), "",COUNTIFS($A:$A,patch[[#This Row],[number]],$S:$S, "BJ And dev",$AC:$AC, "Review-1"))</f>
        <v/>
      </c>
      <c r="X551" s="7" t="str">
        <f>IF(ISBLANK(patch[[#This Row],[project]]), "",COUNTIFS($A:$A,patch[[#This Row],[number]],$S:$S, "FL And dev",$AC:$AC, "Review-1"))</f>
        <v/>
      </c>
      <c r="Y551" s="7" t="str">
        <f>IF(ISBLANK(patch[[#This Row],[project]]), "",COUNTIFS($A:$A,patch[[#This Row],[number]],$S:$S, "SH And dev",$AC:$AC, "Review-1"))</f>
        <v/>
      </c>
      <c r="Z551" s="7" t="str">
        <f>IF(ISBLANK(patch[[#This Row],[project]]), "",COUNTIFS($A:$A,patch[[#This Row],[number]],$S:$S, "BJ And dev",$AD:$AD, "&lt;&gt;IntegratorValidationComment"))</f>
        <v/>
      </c>
      <c r="AA551" s="7" t="str">
        <f>IF(ISBLANK(patch[[#This Row],[project]]), "",COUNTIFS($A:$A,patch[[#This Row],[number]],$S:$S, "FL And dev",$AD:$AD, "&lt;&gt;IntegratorValidationComment"))</f>
        <v/>
      </c>
      <c r="AB551" s="7" t="str">
        <f>IF(ISBLANK(patch[[#This Row],[project]]), "",COUNTIFS($A:$A,patch[[#This Row],[number]],$S:$S, "SH And dev",$AD:$AD, "&lt;&gt;IntegratorValidationComment"))</f>
        <v/>
      </c>
      <c r="AC551" s="7" t="str">
        <f>IF(OR(ISNUMBER(FIND("Review-1", patch[[#This Row],[comments]])), ISNUMBER(FIND("Approver-1", patch[[#This Row],[comments]]))), "Review-1", "")</f>
        <v/>
      </c>
      <c r="AD5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51" s="7">
        <f>IF(ISBLANK(patch[[#This Row],[number]]),AE550,patch[[#This Row],[ifCommon]])</f>
        <v>0</v>
      </c>
    </row>
    <row r="552" spans="1:31">
      <c r="A552" s="151">
        <v>147349</v>
      </c>
      <c r="B552" s="151"/>
      <c r="C552" s="151"/>
      <c r="D552" s="151"/>
      <c r="E552" s="151"/>
      <c r="F552" s="151"/>
      <c r="G552" s="151"/>
      <c r="H552" s="151"/>
      <c r="I552" s="151"/>
      <c r="J552" s="152">
        <v>42636.849421296298</v>
      </c>
      <c r="K552" s="151"/>
      <c r="L552" s="151" t="s">
        <v>24</v>
      </c>
      <c r="M552" s="152">
        <v>42635.730891203697</v>
      </c>
      <c r="N552" s="151" t="s">
        <v>2875</v>
      </c>
      <c r="O552" s="151"/>
      <c r="P552" s="151"/>
      <c r="Q552" s="7" t="str">
        <f>IF(ISBLANK(patch[[#This Row],[OwnerEmail]]),Q551,patch[[#This Row],[OwnerEmail]])</f>
        <v>qingwu.zhang@intel.com</v>
      </c>
      <c r="R552" s="7" t="str">
        <f>_xlfn.IFNA(VLOOKUP(patch[[#This Row],[tmp-owner.email]],OrgTree!$A:$K, 11, 0), "not ICG SWFW")</f>
        <v>BJ And dev</v>
      </c>
      <c r="S552" s="7" t="str">
        <f>IF(patch[[#This Row],[reviewer]]=patch[[#This Row],[tmp-owner.email]], "author", _xlfn.IFNA(VLOOKUP(patch[[#This Row],[reviewer]],OrgTree!$A:$K, 11, 0), "not ICG SWFW"))</f>
        <v>author</v>
      </c>
      <c r="T552" s="7" t="str">
        <f>IF(ISBLANK(patch[[#This Row],[mergeDate]]), "", MID(YEAR(patch[[#This Row],[mergeDate]]), 3,2)&amp;"'ww"&amp;WEEKNUM(patch[[#This Row],[mergeDate]]))</f>
        <v>16'ww39</v>
      </c>
      <c r="U552" s="7" t="str">
        <f>IF(ISBLANK(patch[[#This Row],[mergeDate]]), U551, MID(YEAR(patch[[#This Row],[mergeDate]]), 3,2)&amp;"'m"&amp;MONTH(patch[[#This Row],[mergeDate]]))</f>
        <v>16'm9</v>
      </c>
      <c r="V552" s="7" t="str">
        <f>IF(ISBLANK(patch[[#This Row],[project]]), "",SUM(patch[[#This Row],[BJ -1 num]:[SH -1 num]]))</f>
        <v/>
      </c>
      <c r="W552" s="7" t="str">
        <f>IF(ISBLANK(patch[[#This Row],[project]]), "",COUNTIFS($A:$A,patch[[#This Row],[number]],$S:$S, "BJ And dev",$AC:$AC, "Review-1"))</f>
        <v/>
      </c>
      <c r="X552" s="7" t="str">
        <f>IF(ISBLANK(patch[[#This Row],[project]]), "",COUNTIFS($A:$A,patch[[#This Row],[number]],$S:$S, "FL And dev",$AC:$AC, "Review-1"))</f>
        <v/>
      </c>
      <c r="Y552" s="7" t="str">
        <f>IF(ISBLANK(patch[[#This Row],[project]]), "",COUNTIFS($A:$A,patch[[#This Row],[number]],$S:$S, "SH And dev",$AC:$AC, "Review-1"))</f>
        <v/>
      </c>
      <c r="Z552" s="7" t="str">
        <f>IF(ISBLANK(patch[[#This Row],[project]]), "",COUNTIFS($A:$A,patch[[#This Row],[number]],$S:$S, "BJ And dev",$AD:$AD, "&lt;&gt;IntegratorValidationComment"))</f>
        <v/>
      </c>
      <c r="AA552" s="7" t="str">
        <f>IF(ISBLANK(patch[[#This Row],[project]]), "",COUNTIFS($A:$A,patch[[#This Row],[number]],$S:$S, "FL And dev",$AD:$AD, "&lt;&gt;IntegratorValidationComment"))</f>
        <v/>
      </c>
      <c r="AB552" s="7" t="str">
        <f>IF(ISBLANK(patch[[#This Row],[project]]), "",COUNTIFS($A:$A,patch[[#This Row],[number]],$S:$S, "SH And dev",$AD:$AD, "&lt;&gt;IntegratorValidationComment"))</f>
        <v/>
      </c>
      <c r="AC552" s="7" t="str">
        <f>IF(OR(ISNUMBER(FIND("Review-1", patch[[#This Row],[comments]])), ISNUMBER(FIND("Approver-1", patch[[#This Row],[comments]]))), "Review-1", "")</f>
        <v/>
      </c>
      <c r="AD5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52" s="7">
        <f>IF(ISBLANK(patch[[#This Row],[number]]),AE551,patch[[#This Row],[ifCommon]])</f>
        <v>0</v>
      </c>
    </row>
    <row r="553" spans="1:31">
      <c r="A553" s="151">
        <v>147349</v>
      </c>
      <c r="B553" s="151"/>
      <c r="C553" s="151"/>
      <c r="D553" s="151"/>
      <c r="E553" s="151"/>
      <c r="F553" s="151"/>
      <c r="G553" s="151"/>
      <c r="H553" s="151"/>
      <c r="I553" s="151"/>
      <c r="J553" s="152">
        <v>42636.849421296298</v>
      </c>
      <c r="K553" s="151"/>
      <c r="L553" s="151" t="s">
        <v>59</v>
      </c>
      <c r="M553" s="152">
        <v>42635.734918981478</v>
      </c>
      <c r="N553" s="151" t="s">
        <v>2876</v>
      </c>
      <c r="O553" s="151"/>
      <c r="P553" s="151"/>
      <c r="Q553" s="7" t="str">
        <f>IF(ISBLANK(patch[[#This Row],[OwnerEmail]]),Q552,patch[[#This Row],[OwnerEmail]])</f>
        <v>qingwu.zhang@intel.com</v>
      </c>
      <c r="R553" s="7" t="str">
        <f>_xlfn.IFNA(VLOOKUP(patch[[#This Row],[tmp-owner.email]],OrgTree!$A:$K, 11, 0), "not ICG SWFW")</f>
        <v>BJ And dev</v>
      </c>
      <c r="S553" s="7" t="str">
        <f>IF(patch[[#This Row],[reviewer]]=patch[[#This Row],[tmp-owner.email]], "author", _xlfn.IFNA(VLOOKUP(patch[[#This Row],[reviewer]],OrgTree!$A:$K, 11, 0), "not ICG SWFW"))</f>
        <v>BJ And dev</v>
      </c>
      <c r="T553" s="7" t="str">
        <f>IF(ISBLANK(patch[[#This Row],[mergeDate]]), "", MID(YEAR(patch[[#This Row],[mergeDate]]), 3,2)&amp;"'ww"&amp;WEEKNUM(patch[[#This Row],[mergeDate]]))</f>
        <v>16'ww39</v>
      </c>
      <c r="U553" s="7" t="str">
        <f>IF(ISBLANK(patch[[#This Row],[mergeDate]]), U552, MID(YEAR(patch[[#This Row],[mergeDate]]), 3,2)&amp;"'m"&amp;MONTH(patch[[#This Row],[mergeDate]]))</f>
        <v>16'm9</v>
      </c>
      <c r="V553" s="7" t="str">
        <f>IF(ISBLANK(patch[[#This Row],[project]]), "",SUM(patch[[#This Row],[BJ -1 num]:[SH -1 num]]))</f>
        <v/>
      </c>
      <c r="W553" s="7" t="str">
        <f>IF(ISBLANK(patch[[#This Row],[project]]), "",COUNTIFS($A:$A,patch[[#This Row],[number]],$S:$S, "BJ And dev",$AC:$AC, "Review-1"))</f>
        <v/>
      </c>
      <c r="X553" s="7" t="str">
        <f>IF(ISBLANK(patch[[#This Row],[project]]), "",COUNTIFS($A:$A,patch[[#This Row],[number]],$S:$S, "FL And dev",$AC:$AC, "Review-1"))</f>
        <v/>
      </c>
      <c r="Y553" s="7" t="str">
        <f>IF(ISBLANK(patch[[#This Row],[project]]), "",COUNTIFS($A:$A,patch[[#This Row],[number]],$S:$S, "SH And dev",$AC:$AC, "Review-1"))</f>
        <v/>
      </c>
      <c r="Z553" s="7" t="str">
        <f>IF(ISBLANK(patch[[#This Row],[project]]), "",COUNTIFS($A:$A,patch[[#This Row],[number]],$S:$S, "BJ And dev",$AD:$AD, "&lt;&gt;IntegratorValidationComment"))</f>
        <v/>
      </c>
      <c r="AA553" s="7" t="str">
        <f>IF(ISBLANK(patch[[#This Row],[project]]), "",COUNTIFS($A:$A,patch[[#This Row],[number]],$S:$S, "FL And dev",$AD:$AD, "&lt;&gt;IntegratorValidationComment"))</f>
        <v/>
      </c>
      <c r="AB553" s="7" t="str">
        <f>IF(ISBLANK(patch[[#This Row],[project]]), "",COUNTIFS($A:$A,patch[[#This Row],[number]],$S:$S, "SH And dev",$AD:$AD, "&lt;&gt;IntegratorValidationComment"))</f>
        <v/>
      </c>
      <c r="AC553" s="7" t="str">
        <f>IF(OR(ISNUMBER(FIND("Review-1", patch[[#This Row],[comments]])), ISNUMBER(FIND("Approver-1", patch[[#This Row],[comments]]))), "Review-1", "")</f>
        <v/>
      </c>
      <c r="AD5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53" s="7">
        <f>IF(ISBLANK(patch[[#This Row],[number]]),AE552,patch[[#This Row],[ifCommon]])</f>
        <v>0</v>
      </c>
    </row>
    <row r="554" spans="1:31">
      <c r="A554" s="151">
        <v>147349</v>
      </c>
      <c r="B554" s="151"/>
      <c r="C554" s="151"/>
      <c r="D554" s="151"/>
      <c r="E554" s="151"/>
      <c r="F554" s="151"/>
      <c r="G554" s="151"/>
      <c r="H554" s="151"/>
      <c r="I554" s="151"/>
      <c r="J554" s="152">
        <v>42636.849421296298</v>
      </c>
      <c r="K554" s="151"/>
      <c r="L554" s="151" t="s">
        <v>32</v>
      </c>
      <c r="M554" s="152">
        <v>42635.737905092603</v>
      </c>
      <c r="N554" s="151" t="s">
        <v>48</v>
      </c>
      <c r="O554" s="151"/>
      <c r="P554" s="151"/>
      <c r="Q554" s="7" t="str">
        <f>IF(ISBLANK(patch[[#This Row],[OwnerEmail]]),Q553,patch[[#This Row],[OwnerEmail]])</f>
        <v>qingwu.zhang@intel.com</v>
      </c>
      <c r="R554" s="7" t="str">
        <f>_xlfn.IFNA(VLOOKUP(patch[[#This Row],[tmp-owner.email]],OrgTree!$A:$K, 11, 0), "not ICG SWFW")</f>
        <v>BJ And dev</v>
      </c>
      <c r="S554" s="7" t="str">
        <f>IF(patch[[#This Row],[reviewer]]=patch[[#This Row],[tmp-owner.email]], "author", _xlfn.IFNA(VLOOKUP(patch[[#This Row],[reviewer]],OrgTree!$A:$K, 11, 0), "not ICG SWFW"))</f>
        <v>BJ And dev</v>
      </c>
      <c r="T554" s="7" t="str">
        <f>IF(ISBLANK(patch[[#This Row],[mergeDate]]), "", MID(YEAR(patch[[#This Row],[mergeDate]]), 3,2)&amp;"'ww"&amp;WEEKNUM(patch[[#This Row],[mergeDate]]))</f>
        <v>16'ww39</v>
      </c>
      <c r="U554" s="7" t="str">
        <f>IF(ISBLANK(patch[[#This Row],[mergeDate]]), U553, MID(YEAR(patch[[#This Row],[mergeDate]]), 3,2)&amp;"'m"&amp;MONTH(patch[[#This Row],[mergeDate]]))</f>
        <v>16'm9</v>
      </c>
      <c r="V554" s="7" t="str">
        <f>IF(ISBLANK(patch[[#This Row],[project]]), "",SUM(patch[[#This Row],[BJ -1 num]:[SH -1 num]]))</f>
        <v/>
      </c>
      <c r="W554" s="7" t="str">
        <f>IF(ISBLANK(patch[[#This Row],[project]]), "",COUNTIFS($A:$A,patch[[#This Row],[number]],$S:$S, "BJ And dev",$AC:$AC, "Review-1"))</f>
        <v/>
      </c>
      <c r="X554" s="7" t="str">
        <f>IF(ISBLANK(patch[[#This Row],[project]]), "",COUNTIFS($A:$A,patch[[#This Row],[number]],$S:$S, "FL And dev",$AC:$AC, "Review-1"))</f>
        <v/>
      </c>
      <c r="Y554" s="7" t="str">
        <f>IF(ISBLANK(patch[[#This Row],[project]]), "",COUNTIFS($A:$A,patch[[#This Row],[number]],$S:$S, "SH And dev",$AC:$AC, "Review-1"))</f>
        <v/>
      </c>
      <c r="Z554" s="7" t="str">
        <f>IF(ISBLANK(patch[[#This Row],[project]]), "",COUNTIFS($A:$A,patch[[#This Row],[number]],$S:$S, "BJ And dev",$AD:$AD, "&lt;&gt;IntegratorValidationComment"))</f>
        <v/>
      </c>
      <c r="AA554" s="7" t="str">
        <f>IF(ISBLANK(patch[[#This Row],[project]]), "",COUNTIFS($A:$A,patch[[#This Row],[number]],$S:$S, "FL And dev",$AD:$AD, "&lt;&gt;IntegratorValidationComment"))</f>
        <v/>
      </c>
      <c r="AB554" s="7" t="str">
        <f>IF(ISBLANK(patch[[#This Row],[project]]), "",COUNTIFS($A:$A,patch[[#This Row],[number]],$S:$S, "SH And dev",$AD:$AD, "&lt;&gt;IntegratorValidationComment"))</f>
        <v/>
      </c>
      <c r="AC554" s="7" t="str">
        <f>IF(OR(ISNUMBER(FIND("Review-1", patch[[#This Row],[comments]])), ISNUMBER(FIND("Approver-1", patch[[#This Row],[comments]]))), "Review-1", "")</f>
        <v/>
      </c>
      <c r="AD5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54" s="7">
        <f>IF(ISBLANK(patch[[#This Row],[number]]),AE553,patch[[#This Row],[ifCommon]])</f>
        <v>0</v>
      </c>
    </row>
    <row r="555" spans="1:31">
      <c r="A555" s="151">
        <v>147349</v>
      </c>
      <c r="B555" s="151"/>
      <c r="C555" s="151"/>
      <c r="D555" s="151"/>
      <c r="E555" s="151"/>
      <c r="F555" s="151"/>
      <c r="G555" s="151"/>
      <c r="H555" s="151"/>
      <c r="I555" s="151"/>
      <c r="J555" s="152">
        <v>42636.849421296298</v>
      </c>
      <c r="K555" s="151"/>
      <c r="L555" s="151" t="s">
        <v>1237</v>
      </c>
      <c r="M555" s="152">
        <v>42635.739386574067</v>
      </c>
      <c r="N555" s="151" t="s">
        <v>48</v>
      </c>
      <c r="O555" s="151"/>
      <c r="P555" s="151"/>
      <c r="Q555" s="7" t="str">
        <f>IF(ISBLANK(patch[[#This Row],[OwnerEmail]]),Q554,patch[[#This Row],[OwnerEmail]])</f>
        <v>qingwu.zhang@intel.com</v>
      </c>
      <c r="R555" s="7" t="str">
        <f>_xlfn.IFNA(VLOOKUP(patch[[#This Row],[tmp-owner.email]],OrgTree!$A:$K, 11, 0), "not ICG SWFW")</f>
        <v>BJ And dev</v>
      </c>
      <c r="S555" s="7" t="str">
        <f>IF(patch[[#This Row],[reviewer]]=patch[[#This Row],[tmp-owner.email]], "author", _xlfn.IFNA(VLOOKUP(patch[[#This Row],[reviewer]],OrgTree!$A:$K, 11, 0), "not ICG SWFW"))</f>
        <v>BJ And dev</v>
      </c>
      <c r="T555" s="7" t="str">
        <f>IF(ISBLANK(patch[[#This Row],[mergeDate]]), "", MID(YEAR(patch[[#This Row],[mergeDate]]), 3,2)&amp;"'ww"&amp;WEEKNUM(patch[[#This Row],[mergeDate]]))</f>
        <v>16'ww39</v>
      </c>
      <c r="U555" s="7" t="str">
        <f>IF(ISBLANK(patch[[#This Row],[mergeDate]]), U554, MID(YEAR(patch[[#This Row],[mergeDate]]), 3,2)&amp;"'m"&amp;MONTH(patch[[#This Row],[mergeDate]]))</f>
        <v>16'm9</v>
      </c>
      <c r="V555" s="7" t="str">
        <f>IF(ISBLANK(patch[[#This Row],[project]]), "",SUM(patch[[#This Row],[BJ -1 num]:[SH -1 num]]))</f>
        <v/>
      </c>
      <c r="W555" s="7" t="str">
        <f>IF(ISBLANK(patch[[#This Row],[project]]), "",COUNTIFS($A:$A,patch[[#This Row],[number]],$S:$S, "BJ And dev",$AC:$AC, "Review-1"))</f>
        <v/>
      </c>
      <c r="X555" s="7" t="str">
        <f>IF(ISBLANK(patch[[#This Row],[project]]), "",COUNTIFS($A:$A,patch[[#This Row],[number]],$S:$S, "FL And dev",$AC:$AC, "Review-1"))</f>
        <v/>
      </c>
      <c r="Y555" s="7" t="str">
        <f>IF(ISBLANK(patch[[#This Row],[project]]), "",COUNTIFS($A:$A,patch[[#This Row],[number]],$S:$S, "SH And dev",$AC:$AC, "Review-1"))</f>
        <v/>
      </c>
      <c r="Z555" s="7" t="str">
        <f>IF(ISBLANK(patch[[#This Row],[project]]), "",COUNTIFS($A:$A,patch[[#This Row],[number]],$S:$S, "BJ And dev",$AD:$AD, "&lt;&gt;IntegratorValidationComment"))</f>
        <v/>
      </c>
      <c r="AA555" s="7" t="str">
        <f>IF(ISBLANK(patch[[#This Row],[project]]), "",COUNTIFS($A:$A,patch[[#This Row],[number]],$S:$S, "FL And dev",$AD:$AD, "&lt;&gt;IntegratorValidationComment"))</f>
        <v/>
      </c>
      <c r="AB555" s="7" t="str">
        <f>IF(ISBLANK(patch[[#This Row],[project]]), "",COUNTIFS($A:$A,patch[[#This Row],[number]],$S:$S, "SH And dev",$AD:$AD, "&lt;&gt;IntegratorValidationComment"))</f>
        <v/>
      </c>
      <c r="AC555" s="7" t="str">
        <f>IF(OR(ISNUMBER(FIND("Review-1", patch[[#This Row],[comments]])), ISNUMBER(FIND("Approver-1", patch[[#This Row],[comments]]))), "Review-1", "")</f>
        <v/>
      </c>
      <c r="AD5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55" s="7">
        <f>IF(ISBLANK(patch[[#This Row],[number]]),AE554,patch[[#This Row],[ifCommon]])</f>
        <v>0</v>
      </c>
    </row>
    <row r="556" spans="1:31">
      <c r="A556" s="151">
        <v>147349</v>
      </c>
      <c r="B556" s="151"/>
      <c r="C556" s="151"/>
      <c r="D556" s="151"/>
      <c r="E556" s="151"/>
      <c r="F556" s="151"/>
      <c r="G556" s="151"/>
      <c r="H556" s="151"/>
      <c r="I556" s="151"/>
      <c r="J556" s="152">
        <v>42636.849421296298</v>
      </c>
      <c r="K556" s="151"/>
      <c r="L556" s="151" t="s">
        <v>32</v>
      </c>
      <c r="M556" s="152">
        <v>42635.759293981479</v>
      </c>
      <c r="N556" s="151" t="s">
        <v>2484</v>
      </c>
      <c r="O556" s="151"/>
      <c r="P556" s="151"/>
      <c r="Q556" s="7" t="str">
        <f>IF(ISBLANK(patch[[#This Row],[OwnerEmail]]),Q555,patch[[#This Row],[OwnerEmail]])</f>
        <v>qingwu.zhang@intel.com</v>
      </c>
      <c r="R556" s="7" t="str">
        <f>_xlfn.IFNA(VLOOKUP(patch[[#This Row],[tmp-owner.email]],OrgTree!$A:$K, 11, 0), "not ICG SWFW")</f>
        <v>BJ And dev</v>
      </c>
      <c r="S556" s="7" t="str">
        <f>IF(patch[[#This Row],[reviewer]]=patch[[#This Row],[tmp-owner.email]], "author", _xlfn.IFNA(VLOOKUP(patch[[#This Row],[reviewer]],OrgTree!$A:$K, 11, 0), "not ICG SWFW"))</f>
        <v>BJ And dev</v>
      </c>
      <c r="T556" s="7" t="str">
        <f>IF(ISBLANK(patch[[#This Row],[mergeDate]]), "", MID(YEAR(patch[[#This Row],[mergeDate]]), 3,2)&amp;"'ww"&amp;WEEKNUM(patch[[#This Row],[mergeDate]]))</f>
        <v>16'ww39</v>
      </c>
      <c r="U556" s="7" t="str">
        <f>IF(ISBLANK(patch[[#This Row],[mergeDate]]), U555, MID(YEAR(patch[[#This Row],[mergeDate]]), 3,2)&amp;"'m"&amp;MONTH(patch[[#This Row],[mergeDate]]))</f>
        <v>16'm9</v>
      </c>
      <c r="V556" s="7" t="str">
        <f>IF(ISBLANK(patch[[#This Row],[project]]), "",SUM(patch[[#This Row],[BJ -1 num]:[SH -1 num]]))</f>
        <v/>
      </c>
      <c r="W556" s="7" t="str">
        <f>IF(ISBLANK(patch[[#This Row],[project]]), "",COUNTIFS($A:$A,patch[[#This Row],[number]],$S:$S, "BJ And dev",$AC:$AC, "Review-1"))</f>
        <v/>
      </c>
      <c r="X556" s="7" t="str">
        <f>IF(ISBLANK(patch[[#This Row],[project]]), "",COUNTIFS($A:$A,patch[[#This Row],[number]],$S:$S, "FL And dev",$AC:$AC, "Review-1"))</f>
        <v/>
      </c>
      <c r="Y556" s="7" t="str">
        <f>IF(ISBLANK(patch[[#This Row],[project]]), "",COUNTIFS($A:$A,patch[[#This Row],[number]],$S:$S, "SH And dev",$AC:$AC, "Review-1"))</f>
        <v/>
      </c>
      <c r="Z556" s="7" t="str">
        <f>IF(ISBLANK(patch[[#This Row],[project]]), "",COUNTIFS($A:$A,patch[[#This Row],[number]],$S:$S, "BJ And dev",$AD:$AD, "&lt;&gt;IntegratorValidationComment"))</f>
        <v/>
      </c>
      <c r="AA556" s="7" t="str">
        <f>IF(ISBLANK(patch[[#This Row],[project]]), "",COUNTIFS($A:$A,patch[[#This Row],[number]],$S:$S, "FL And dev",$AD:$AD, "&lt;&gt;IntegratorValidationComment"))</f>
        <v/>
      </c>
      <c r="AB556" s="7" t="str">
        <f>IF(ISBLANK(patch[[#This Row],[project]]), "",COUNTIFS($A:$A,patch[[#This Row],[number]],$S:$S, "SH And dev",$AD:$AD, "&lt;&gt;IntegratorValidationComment"))</f>
        <v/>
      </c>
      <c r="AC556" s="7" t="str">
        <f>IF(OR(ISNUMBER(FIND("Review-1", patch[[#This Row],[comments]])), ISNUMBER(FIND("Approver-1", patch[[#This Row],[comments]]))), "Review-1", "")</f>
        <v/>
      </c>
      <c r="AD5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56" s="7">
        <f>IF(ISBLANK(patch[[#This Row],[number]]),AE555,patch[[#This Row],[ifCommon]])</f>
        <v>0</v>
      </c>
    </row>
    <row r="557" spans="1:31">
      <c r="A557" s="151">
        <v>147349</v>
      </c>
      <c r="B557" s="151"/>
      <c r="C557" s="151"/>
      <c r="D557" s="151"/>
      <c r="E557" s="151"/>
      <c r="F557" s="151"/>
      <c r="G557" s="151"/>
      <c r="H557" s="151"/>
      <c r="I557" s="151"/>
      <c r="J557" s="152">
        <v>42636.849421296298</v>
      </c>
      <c r="K557" s="151"/>
      <c r="L557" s="151" t="s">
        <v>72</v>
      </c>
      <c r="M557" s="152">
        <v>42636.226805555547</v>
      </c>
      <c r="N557" s="151" t="s">
        <v>48</v>
      </c>
      <c r="O557" s="151"/>
      <c r="P557" s="151"/>
      <c r="Q557" s="7" t="str">
        <f>IF(ISBLANK(patch[[#This Row],[OwnerEmail]]),Q556,patch[[#This Row],[OwnerEmail]])</f>
        <v>qingwu.zhang@intel.com</v>
      </c>
      <c r="R557" s="7" t="str">
        <f>_xlfn.IFNA(VLOOKUP(patch[[#This Row],[tmp-owner.email]],OrgTree!$A:$K, 11, 0), "not ICG SWFW")</f>
        <v>BJ And dev</v>
      </c>
      <c r="S557" s="7" t="str">
        <f>IF(patch[[#This Row],[reviewer]]=patch[[#This Row],[tmp-owner.email]], "author", _xlfn.IFNA(VLOOKUP(patch[[#This Row],[reviewer]],OrgTree!$A:$K, 11, 0), "not ICG SWFW"))</f>
        <v>BJ And dev</v>
      </c>
      <c r="T557" s="7" t="str">
        <f>IF(ISBLANK(patch[[#This Row],[mergeDate]]), "", MID(YEAR(patch[[#This Row],[mergeDate]]), 3,2)&amp;"'ww"&amp;WEEKNUM(patch[[#This Row],[mergeDate]]))</f>
        <v>16'ww39</v>
      </c>
      <c r="U557" s="7" t="str">
        <f>IF(ISBLANK(patch[[#This Row],[mergeDate]]), U556, MID(YEAR(patch[[#This Row],[mergeDate]]), 3,2)&amp;"'m"&amp;MONTH(patch[[#This Row],[mergeDate]]))</f>
        <v>16'm9</v>
      </c>
      <c r="V557" s="7" t="str">
        <f>IF(ISBLANK(patch[[#This Row],[project]]), "",SUM(patch[[#This Row],[BJ -1 num]:[SH -1 num]]))</f>
        <v/>
      </c>
      <c r="W557" s="7" t="str">
        <f>IF(ISBLANK(patch[[#This Row],[project]]), "",COUNTIFS($A:$A,patch[[#This Row],[number]],$S:$S, "BJ And dev",$AC:$AC, "Review-1"))</f>
        <v/>
      </c>
      <c r="X557" s="7" t="str">
        <f>IF(ISBLANK(patch[[#This Row],[project]]), "",COUNTIFS($A:$A,patch[[#This Row],[number]],$S:$S, "FL And dev",$AC:$AC, "Review-1"))</f>
        <v/>
      </c>
      <c r="Y557" s="7" t="str">
        <f>IF(ISBLANK(patch[[#This Row],[project]]), "",COUNTIFS($A:$A,patch[[#This Row],[number]],$S:$S, "SH And dev",$AC:$AC, "Review-1"))</f>
        <v/>
      </c>
      <c r="Z557" s="7" t="str">
        <f>IF(ISBLANK(patch[[#This Row],[project]]), "",COUNTIFS($A:$A,patch[[#This Row],[number]],$S:$S, "BJ And dev",$AD:$AD, "&lt;&gt;IntegratorValidationComment"))</f>
        <v/>
      </c>
      <c r="AA557" s="7" t="str">
        <f>IF(ISBLANK(patch[[#This Row],[project]]), "",COUNTIFS($A:$A,patch[[#This Row],[number]],$S:$S, "FL And dev",$AD:$AD, "&lt;&gt;IntegratorValidationComment"))</f>
        <v/>
      </c>
      <c r="AB557" s="7" t="str">
        <f>IF(ISBLANK(patch[[#This Row],[project]]), "",COUNTIFS($A:$A,patch[[#This Row],[number]],$S:$S, "SH And dev",$AD:$AD, "&lt;&gt;IntegratorValidationComment"))</f>
        <v/>
      </c>
      <c r="AC557" s="7" t="str">
        <f>IF(OR(ISNUMBER(FIND("Review-1", patch[[#This Row],[comments]])), ISNUMBER(FIND("Approver-1", patch[[#This Row],[comments]]))), "Review-1", "")</f>
        <v/>
      </c>
      <c r="AD5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57" s="7">
        <f>IF(ISBLANK(patch[[#This Row],[number]]),AE556,patch[[#This Row],[ifCommon]])</f>
        <v>0</v>
      </c>
    </row>
    <row r="558" spans="1:31">
      <c r="A558" s="151">
        <v>147349</v>
      </c>
      <c r="B558" s="151"/>
      <c r="C558" s="151"/>
      <c r="D558" s="151"/>
      <c r="E558" s="151"/>
      <c r="F558" s="151"/>
      <c r="G558" s="151"/>
      <c r="H558" s="151"/>
      <c r="I558" s="151"/>
      <c r="J558" s="152">
        <v>42636.849421296298</v>
      </c>
      <c r="K558" s="151"/>
      <c r="L558" s="151" t="s">
        <v>115</v>
      </c>
      <c r="M558" s="152">
        <v>42636.421655092592</v>
      </c>
      <c r="N558" s="151" t="s">
        <v>2497</v>
      </c>
      <c r="O558" s="151"/>
      <c r="P558" s="151"/>
      <c r="Q558" s="7" t="str">
        <f>IF(ISBLANK(patch[[#This Row],[OwnerEmail]]),Q557,patch[[#This Row],[OwnerEmail]])</f>
        <v>qingwu.zhang@intel.com</v>
      </c>
      <c r="R558" s="7" t="str">
        <f>_xlfn.IFNA(VLOOKUP(patch[[#This Row],[tmp-owner.email]],OrgTree!$A:$K, 11, 0), "not ICG SWFW")</f>
        <v>BJ And dev</v>
      </c>
      <c r="S558" s="7" t="str">
        <f>IF(patch[[#This Row],[reviewer]]=patch[[#This Row],[tmp-owner.email]], "author", _xlfn.IFNA(VLOOKUP(patch[[#This Row],[reviewer]],OrgTree!$A:$K, 11, 0), "not ICG SWFW"))</f>
        <v>Val</v>
      </c>
      <c r="T558" s="7" t="str">
        <f>IF(ISBLANK(patch[[#This Row],[mergeDate]]), "", MID(YEAR(patch[[#This Row],[mergeDate]]), 3,2)&amp;"'ww"&amp;WEEKNUM(patch[[#This Row],[mergeDate]]))</f>
        <v>16'ww39</v>
      </c>
      <c r="U558" s="7" t="str">
        <f>IF(ISBLANK(patch[[#This Row],[mergeDate]]), U557, MID(YEAR(patch[[#This Row],[mergeDate]]), 3,2)&amp;"'m"&amp;MONTH(patch[[#This Row],[mergeDate]]))</f>
        <v>16'm9</v>
      </c>
      <c r="V558" s="7" t="str">
        <f>IF(ISBLANK(patch[[#This Row],[project]]), "",SUM(patch[[#This Row],[BJ -1 num]:[SH -1 num]]))</f>
        <v/>
      </c>
      <c r="W558" s="7" t="str">
        <f>IF(ISBLANK(patch[[#This Row],[project]]), "",COUNTIFS($A:$A,patch[[#This Row],[number]],$S:$S, "BJ And dev",$AC:$AC, "Review-1"))</f>
        <v/>
      </c>
      <c r="X558" s="7" t="str">
        <f>IF(ISBLANK(patch[[#This Row],[project]]), "",COUNTIFS($A:$A,patch[[#This Row],[number]],$S:$S, "FL And dev",$AC:$AC, "Review-1"))</f>
        <v/>
      </c>
      <c r="Y558" s="7" t="str">
        <f>IF(ISBLANK(patch[[#This Row],[project]]), "",COUNTIFS($A:$A,patch[[#This Row],[number]],$S:$S, "SH And dev",$AC:$AC, "Review-1"))</f>
        <v/>
      </c>
      <c r="Z558" s="7" t="str">
        <f>IF(ISBLANK(patch[[#This Row],[project]]), "",COUNTIFS($A:$A,patch[[#This Row],[number]],$S:$S, "BJ And dev",$AD:$AD, "&lt;&gt;IntegratorValidationComment"))</f>
        <v/>
      </c>
      <c r="AA558" s="7" t="str">
        <f>IF(ISBLANK(patch[[#This Row],[project]]), "",COUNTIFS($A:$A,patch[[#This Row],[number]],$S:$S, "FL And dev",$AD:$AD, "&lt;&gt;IntegratorValidationComment"))</f>
        <v/>
      </c>
      <c r="AB558" s="7" t="str">
        <f>IF(ISBLANK(patch[[#This Row],[project]]), "",COUNTIFS($A:$A,patch[[#This Row],[number]],$S:$S, "SH And dev",$AD:$AD, "&lt;&gt;IntegratorValidationComment"))</f>
        <v/>
      </c>
      <c r="AC558" s="7" t="str">
        <f>IF(OR(ISNUMBER(FIND("Review-1", patch[[#This Row],[comments]])), ISNUMBER(FIND("Approver-1", patch[[#This Row],[comments]]))), "Review-1", "")</f>
        <v/>
      </c>
      <c r="AD5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558" s="7">
        <f>IF(ISBLANK(patch[[#This Row],[number]]),AE557,patch[[#This Row],[ifCommon]])</f>
        <v>0</v>
      </c>
    </row>
    <row r="559" spans="1:31">
      <c r="A559" s="151">
        <v>147349</v>
      </c>
      <c r="B559" s="151"/>
      <c r="C559" s="151"/>
      <c r="D559" s="151"/>
      <c r="E559" s="151"/>
      <c r="F559" s="151"/>
      <c r="G559" s="151"/>
      <c r="H559" s="151"/>
      <c r="I559" s="151"/>
      <c r="J559" s="152">
        <v>42636.849421296298</v>
      </c>
      <c r="K559" s="151"/>
      <c r="L559" s="151" t="s">
        <v>115</v>
      </c>
      <c r="M559" s="152">
        <v>42636.488425925927</v>
      </c>
      <c r="N559" s="151" t="s">
        <v>2536</v>
      </c>
      <c r="O559" s="151"/>
      <c r="P559" s="151"/>
      <c r="Q559" s="7" t="str">
        <f>IF(ISBLANK(patch[[#This Row],[OwnerEmail]]),Q558,patch[[#This Row],[OwnerEmail]])</f>
        <v>qingwu.zhang@intel.com</v>
      </c>
      <c r="R559" s="7" t="str">
        <f>_xlfn.IFNA(VLOOKUP(patch[[#This Row],[tmp-owner.email]],OrgTree!$A:$K, 11, 0), "not ICG SWFW")</f>
        <v>BJ And dev</v>
      </c>
      <c r="S559" s="7" t="str">
        <f>IF(patch[[#This Row],[reviewer]]=patch[[#This Row],[tmp-owner.email]], "author", _xlfn.IFNA(VLOOKUP(patch[[#This Row],[reviewer]],OrgTree!$A:$K, 11, 0), "not ICG SWFW"))</f>
        <v>Val</v>
      </c>
      <c r="T559" s="7" t="str">
        <f>IF(ISBLANK(patch[[#This Row],[mergeDate]]), "", MID(YEAR(patch[[#This Row],[mergeDate]]), 3,2)&amp;"'ww"&amp;WEEKNUM(patch[[#This Row],[mergeDate]]))</f>
        <v>16'ww39</v>
      </c>
      <c r="U559" s="7" t="str">
        <f>IF(ISBLANK(patch[[#This Row],[mergeDate]]), U558, MID(YEAR(patch[[#This Row],[mergeDate]]), 3,2)&amp;"'m"&amp;MONTH(patch[[#This Row],[mergeDate]]))</f>
        <v>16'm9</v>
      </c>
      <c r="V559" s="7" t="str">
        <f>IF(ISBLANK(patch[[#This Row],[project]]), "",SUM(patch[[#This Row],[BJ -1 num]:[SH -1 num]]))</f>
        <v/>
      </c>
      <c r="W559" s="7" t="str">
        <f>IF(ISBLANK(patch[[#This Row],[project]]), "",COUNTIFS($A:$A,patch[[#This Row],[number]],$S:$S, "BJ And dev",$AC:$AC, "Review-1"))</f>
        <v/>
      </c>
      <c r="X559" s="7" t="str">
        <f>IF(ISBLANK(patch[[#This Row],[project]]), "",COUNTIFS($A:$A,patch[[#This Row],[number]],$S:$S, "FL And dev",$AC:$AC, "Review-1"))</f>
        <v/>
      </c>
      <c r="Y559" s="7" t="str">
        <f>IF(ISBLANK(patch[[#This Row],[project]]), "",COUNTIFS($A:$A,patch[[#This Row],[number]],$S:$S, "SH And dev",$AC:$AC, "Review-1"))</f>
        <v/>
      </c>
      <c r="Z559" s="7" t="str">
        <f>IF(ISBLANK(patch[[#This Row],[project]]), "",COUNTIFS($A:$A,patch[[#This Row],[number]],$S:$S, "BJ And dev",$AD:$AD, "&lt;&gt;IntegratorValidationComment"))</f>
        <v/>
      </c>
      <c r="AA559" s="7" t="str">
        <f>IF(ISBLANK(patch[[#This Row],[project]]), "",COUNTIFS($A:$A,patch[[#This Row],[number]],$S:$S, "FL And dev",$AD:$AD, "&lt;&gt;IntegratorValidationComment"))</f>
        <v/>
      </c>
      <c r="AB559" s="7" t="str">
        <f>IF(ISBLANK(patch[[#This Row],[project]]), "",COUNTIFS($A:$A,patch[[#This Row],[number]],$S:$S, "SH And dev",$AD:$AD, "&lt;&gt;IntegratorValidationComment"))</f>
        <v/>
      </c>
      <c r="AC559" s="7" t="str">
        <f>IF(OR(ISNUMBER(FIND("Review-1", patch[[#This Row],[comments]])), ISNUMBER(FIND("Approver-1", patch[[#This Row],[comments]]))), "Review-1", "")</f>
        <v/>
      </c>
      <c r="AD5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59" s="7">
        <f>IF(ISBLANK(patch[[#This Row],[number]]),AE558,patch[[#This Row],[ifCommon]])</f>
        <v>0</v>
      </c>
    </row>
    <row r="560" spans="1:31">
      <c r="A560" s="151">
        <v>147349</v>
      </c>
      <c r="B560" s="151"/>
      <c r="C560" s="151"/>
      <c r="D560" s="151"/>
      <c r="E560" s="151"/>
      <c r="F560" s="151"/>
      <c r="G560" s="151"/>
      <c r="H560" s="151"/>
      <c r="I560" s="151"/>
      <c r="J560" s="152">
        <v>42636.849421296298</v>
      </c>
      <c r="K560" s="151"/>
      <c r="L560" s="151" t="s">
        <v>115</v>
      </c>
      <c r="M560" s="152">
        <v>42636.488425925927</v>
      </c>
      <c r="N560" s="151" t="s">
        <v>2451</v>
      </c>
      <c r="O560" s="151"/>
      <c r="P560" s="151"/>
      <c r="Q560" s="7" t="str">
        <f>IF(ISBLANK(patch[[#This Row],[OwnerEmail]]),Q559,patch[[#This Row],[OwnerEmail]])</f>
        <v>qingwu.zhang@intel.com</v>
      </c>
      <c r="R560" s="7" t="str">
        <f>_xlfn.IFNA(VLOOKUP(patch[[#This Row],[tmp-owner.email]],OrgTree!$A:$K, 11, 0), "not ICG SWFW")</f>
        <v>BJ And dev</v>
      </c>
      <c r="S560" s="7" t="str">
        <f>IF(patch[[#This Row],[reviewer]]=patch[[#This Row],[tmp-owner.email]], "author", _xlfn.IFNA(VLOOKUP(patch[[#This Row],[reviewer]],OrgTree!$A:$K, 11, 0), "not ICG SWFW"))</f>
        <v>Val</v>
      </c>
      <c r="T560" s="7" t="str">
        <f>IF(ISBLANK(patch[[#This Row],[mergeDate]]), "", MID(YEAR(patch[[#This Row],[mergeDate]]), 3,2)&amp;"'ww"&amp;WEEKNUM(patch[[#This Row],[mergeDate]]))</f>
        <v>16'ww39</v>
      </c>
      <c r="U560" s="7" t="str">
        <f>IF(ISBLANK(patch[[#This Row],[mergeDate]]), U559, MID(YEAR(patch[[#This Row],[mergeDate]]), 3,2)&amp;"'m"&amp;MONTH(patch[[#This Row],[mergeDate]]))</f>
        <v>16'm9</v>
      </c>
      <c r="V560" s="7" t="str">
        <f>IF(ISBLANK(patch[[#This Row],[project]]), "",SUM(patch[[#This Row],[BJ -1 num]:[SH -1 num]]))</f>
        <v/>
      </c>
      <c r="W560" s="7" t="str">
        <f>IF(ISBLANK(patch[[#This Row],[project]]), "",COUNTIFS($A:$A,patch[[#This Row],[number]],$S:$S, "BJ And dev",$AC:$AC, "Review-1"))</f>
        <v/>
      </c>
      <c r="X560" s="7" t="str">
        <f>IF(ISBLANK(patch[[#This Row],[project]]), "",COUNTIFS($A:$A,patch[[#This Row],[number]],$S:$S, "FL And dev",$AC:$AC, "Review-1"))</f>
        <v/>
      </c>
      <c r="Y560" s="7" t="str">
        <f>IF(ISBLANK(patch[[#This Row],[project]]), "",COUNTIFS($A:$A,patch[[#This Row],[number]],$S:$S, "SH And dev",$AC:$AC, "Review-1"))</f>
        <v/>
      </c>
      <c r="Z560" s="7" t="str">
        <f>IF(ISBLANK(patch[[#This Row],[project]]), "",COUNTIFS($A:$A,patch[[#This Row],[number]],$S:$S, "BJ And dev",$AD:$AD, "&lt;&gt;IntegratorValidationComment"))</f>
        <v/>
      </c>
      <c r="AA560" s="7" t="str">
        <f>IF(ISBLANK(patch[[#This Row],[project]]), "",COUNTIFS($A:$A,patch[[#This Row],[number]],$S:$S, "FL And dev",$AD:$AD, "&lt;&gt;IntegratorValidationComment"))</f>
        <v/>
      </c>
      <c r="AB560" s="7" t="str">
        <f>IF(ISBLANK(patch[[#This Row],[project]]), "",COUNTIFS($A:$A,patch[[#This Row],[number]],$S:$S, "SH And dev",$AD:$AD, "&lt;&gt;IntegratorValidationComment"))</f>
        <v/>
      </c>
      <c r="AC560" s="7" t="str">
        <f>IF(OR(ISNUMBER(FIND("Review-1", patch[[#This Row],[comments]])), ISNUMBER(FIND("Approver-1", patch[[#This Row],[comments]]))), "Review-1", "")</f>
        <v/>
      </c>
      <c r="AD5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60" s="7">
        <f>IF(ISBLANK(patch[[#This Row],[number]]),AE559,patch[[#This Row],[ifCommon]])</f>
        <v>0</v>
      </c>
    </row>
    <row r="561" spans="1:31">
      <c r="A561" s="151">
        <v>147349</v>
      </c>
      <c r="B561" s="151"/>
      <c r="C561" s="151"/>
      <c r="D561" s="151"/>
      <c r="E561" s="151"/>
      <c r="F561" s="151"/>
      <c r="G561" s="151"/>
      <c r="H561" s="151"/>
      <c r="I561" s="151"/>
      <c r="J561" s="152">
        <v>42636.849421296298</v>
      </c>
      <c r="K561" s="151"/>
      <c r="L561" s="151" t="s">
        <v>59</v>
      </c>
      <c r="M561" s="152">
        <v>42636.49664351852</v>
      </c>
      <c r="N561" s="151" t="s">
        <v>2877</v>
      </c>
      <c r="O561" s="151"/>
      <c r="P561" s="151"/>
      <c r="Q561" s="7" t="str">
        <f>IF(ISBLANK(patch[[#This Row],[OwnerEmail]]),Q560,patch[[#This Row],[OwnerEmail]])</f>
        <v>qingwu.zhang@intel.com</v>
      </c>
      <c r="R561" s="7" t="str">
        <f>_xlfn.IFNA(VLOOKUP(patch[[#This Row],[tmp-owner.email]],OrgTree!$A:$K, 11, 0), "not ICG SWFW")</f>
        <v>BJ And dev</v>
      </c>
      <c r="S561" s="7" t="str">
        <f>IF(patch[[#This Row],[reviewer]]=patch[[#This Row],[tmp-owner.email]], "author", _xlfn.IFNA(VLOOKUP(patch[[#This Row],[reviewer]],OrgTree!$A:$K, 11, 0), "not ICG SWFW"))</f>
        <v>BJ And dev</v>
      </c>
      <c r="T561" s="7" t="str">
        <f>IF(ISBLANK(patch[[#This Row],[mergeDate]]), "", MID(YEAR(patch[[#This Row],[mergeDate]]), 3,2)&amp;"'ww"&amp;WEEKNUM(patch[[#This Row],[mergeDate]]))</f>
        <v>16'ww39</v>
      </c>
      <c r="U561" s="7" t="str">
        <f>IF(ISBLANK(patch[[#This Row],[mergeDate]]), U560, MID(YEAR(patch[[#This Row],[mergeDate]]), 3,2)&amp;"'m"&amp;MONTH(patch[[#This Row],[mergeDate]]))</f>
        <v>16'm9</v>
      </c>
      <c r="V561" s="7" t="str">
        <f>IF(ISBLANK(patch[[#This Row],[project]]), "",SUM(patch[[#This Row],[BJ -1 num]:[SH -1 num]]))</f>
        <v/>
      </c>
      <c r="W561" s="7" t="str">
        <f>IF(ISBLANK(patch[[#This Row],[project]]), "",COUNTIFS($A:$A,patch[[#This Row],[number]],$S:$S, "BJ And dev",$AC:$AC, "Review-1"))</f>
        <v/>
      </c>
      <c r="X561" s="7" t="str">
        <f>IF(ISBLANK(patch[[#This Row],[project]]), "",COUNTIFS($A:$A,patch[[#This Row],[number]],$S:$S, "FL And dev",$AC:$AC, "Review-1"))</f>
        <v/>
      </c>
      <c r="Y561" s="7" t="str">
        <f>IF(ISBLANK(patch[[#This Row],[project]]), "",COUNTIFS($A:$A,patch[[#This Row],[number]],$S:$S, "SH And dev",$AC:$AC, "Review-1"))</f>
        <v/>
      </c>
      <c r="Z561" s="7" t="str">
        <f>IF(ISBLANK(patch[[#This Row],[project]]), "",COUNTIFS($A:$A,patch[[#This Row],[number]],$S:$S, "BJ And dev",$AD:$AD, "&lt;&gt;IntegratorValidationComment"))</f>
        <v/>
      </c>
      <c r="AA561" s="7" t="str">
        <f>IF(ISBLANK(patch[[#This Row],[project]]), "",COUNTIFS($A:$A,patch[[#This Row],[number]],$S:$S, "FL And dev",$AD:$AD, "&lt;&gt;IntegratorValidationComment"))</f>
        <v/>
      </c>
      <c r="AB561" s="7" t="str">
        <f>IF(ISBLANK(patch[[#This Row],[project]]), "",COUNTIFS($A:$A,patch[[#This Row],[number]],$S:$S, "SH And dev",$AD:$AD, "&lt;&gt;IntegratorValidationComment"))</f>
        <v/>
      </c>
      <c r="AC561" s="7" t="str">
        <f>IF(OR(ISNUMBER(FIND("Review-1", patch[[#This Row],[comments]])), ISNUMBER(FIND("Approver-1", patch[[#This Row],[comments]]))), "Review-1", "")</f>
        <v/>
      </c>
      <c r="AD5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61" s="7">
        <f>IF(ISBLANK(patch[[#This Row],[number]]),AE560,patch[[#This Row],[ifCommon]])</f>
        <v>0</v>
      </c>
    </row>
    <row r="562" spans="1:31">
      <c r="A562" s="151">
        <v>147349</v>
      </c>
      <c r="B562" s="151"/>
      <c r="C562" s="151"/>
      <c r="D562" s="151"/>
      <c r="E562" s="151"/>
      <c r="F562" s="151"/>
      <c r="G562" s="151"/>
      <c r="H562" s="151"/>
      <c r="I562" s="152"/>
      <c r="J562" s="152">
        <v>42636.849421296298</v>
      </c>
      <c r="K562" s="151"/>
      <c r="L562" s="151" t="s">
        <v>59</v>
      </c>
      <c r="M562" s="152">
        <v>42636.507141203707</v>
      </c>
      <c r="N562" s="151" t="s">
        <v>2878</v>
      </c>
      <c r="O562" s="151"/>
      <c r="P562" s="151"/>
      <c r="Q562" s="7" t="str">
        <f>IF(ISBLANK(patch[[#This Row],[OwnerEmail]]),Q561,patch[[#This Row],[OwnerEmail]])</f>
        <v>qingwu.zhang@intel.com</v>
      </c>
      <c r="R562" s="7" t="str">
        <f>_xlfn.IFNA(VLOOKUP(patch[[#This Row],[tmp-owner.email]],OrgTree!$A:$K, 11, 0), "not ICG SWFW")</f>
        <v>BJ And dev</v>
      </c>
      <c r="S562" s="7" t="str">
        <f>IF(patch[[#This Row],[reviewer]]=patch[[#This Row],[tmp-owner.email]], "author", _xlfn.IFNA(VLOOKUP(patch[[#This Row],[reviewer]],OrgTree!$A:$K, 11, 0), "not ICG SWFW"))</f>
        <v>BJ And dev</v>
      </c>
      <c r="T562" s="7" t="str">
        <f>IF(ISBLANK(patch[[#This Row],[mergeDate]]), "", MID(YEAR(patch[[#This Row],[mergeDate]]), 3,2)&amp;"'ww"&amp;WEEKNUM(patch[[#This Row],[mergeDate]]))</f>
        <v>16'ww39</v>
      </c>
      <c r="U562" s="7" t="str">
        <f>IF(ISBLANK(patch[[#This Row],[mergeDate]]), U561, MID(YEAR(patch[[#This Row],[mergeDate]]), 3,2)&amp;"'m"&amp;MONTH(patch[[#This Row],[mergeDate]]))</f>
        <v>16'm9</v>
      </c>
      <c r="V562" s="7" t="str">
        <f>IF(ISBLANK(patch[[#This Row],[project]]), "",SUM(patch[[#This Row],[BJ -1 num]:[SH -1 num]]))</f>
        <v/>
      </c>
      <c r="W562" s="7" t="str">
        <f>IF(ISBLANK(patch[[#This Row],[project]]), "",COUNTIFS($A:$A,patch[[#This Row],[number]],$S:$S, "BJ And dev",$AC:$AC, "Review-1"))</f>
        <v/>
      </c>
      <c r="X562" s="7" t="str">
        <f>IF(ISBLANK(patch[[#This Row],[project]]), "",COUNTIFS($A:$A,patch[[#This Row],[number]],$S:$S, "FL And dev",$AC:$AC, "Review-1"))</f>
        <v/>
      </c>
      <c r="Y562" s="7" t="str">
        <f>IF(ISBLANK(patch[[#This Row],[project]]), "",COUNTIFS($A:$A,patch[[#This Row],[number]],$S:$S, "SH And dev",$AC:$AC, "Review-1"))</f>
        <v/>
      </c>
      <c r="Z562" s="7" t="str">
        <f>IF(ISBLANK(patch[[#This Row],[project]]), "",COUNTIFS($A:$A,patch[[#This Row],[number]],$S:$S, "BJ And dev",$AD:$AD, "&lt;&gt;IntegratorValidationComment"))</f>
        <v/>
      </c>
      <c r="AA562" s="7" t="str">
        <f>IF(ISBLANK(patch[[#This Row],[project]]), "",COUNTIFS($A:$A,patch[[#This Row],[number]],$S:$S, "FL And dev",$AD:$AD, "&lt;&gt;IntegratorValidationComment"))</f>
        <v/>
      </c>
      <c r="AB562" s="7" t="str">
        <f>IF(ISBLANK(patch[[#This Row],[project]]), "",COUNTIFS($A:$A,patch[[#This Row],[number]],$S:$S, "SH And dev",$AD:$AD, "&lt;&gt;IntegratorValidationComment"))</f>
        <v/>
      </c>
      <c r="AC562" s="7" t="str">
        <f>IF(OR(ISNUMBER(FIND("Review-1", patch[[#This Row],[comments]])), ISNUMBER(FIND("Approver-1", patch[[#This Row],[comments]]))), "Review-1", "")</f>
        <v/>
      </c>
      <c r="AD5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62" s="7">
        <f>IF(ISBLANK(patch[[#This Row],[number]]),AE561,patch[[#This Row],[ifCommon]])</f>
        <v>0</v>
      </c>
    </row>
    <row r="563" spans="1:31">
      <c r="A563" s="151">
        <v>147377</v>
      </c>
      <c r="B563" s="151" t="s">
        <v>2490</v>
      </c>
      <c r="C563" s="151" t="s">
        <v>2795</v>
      </c>
      <c r="D563" s="151" t="s">
        <v>2879</v>
      </c>
      <c r="E563" s="151" t="s">
        <v>677</v>
      </c>
      <c r="F563" s="151" t="s">
        <v>23</v>
      </c>
      <c r="G563" s="151" t="s">
        <v>2880</v>
      </c>
      <c r="H563" s="151" t="s">
        <v>2881</v>
      </c>
      <c r="I563" s="152">
        <v>42635.721296296288</v>
      </c>
      <c r="J563" s="152">
        <v>42636.731145833342</v>
      </c>
      <c r="K563" s="151" t="s">
        <v>2445</v>
      </c>
      <c r="L563" s="151" t="s">
        <v>677</v>
      </c>
      <c r="M563" s="152">
        <v>42635.721296296288</v>
      </c>
      <c r="N563" s="151" t="s">
        <v>25</v>
      </c>
      <c r="O563" s="151"/>
      <c r="P563" s="151" t="s">
        <v>2498</v>
      </c>
      <c r="Q563" s="7" t="str">
        <f>IF(ISBLANK(patch[[#This Row],[OwnerEmail]]),Q562,patch[[#This Row],[OwnerEmail]])</f>
        <v>lipingx.xu@intel.com</v>
      </c>
      <c r="R563" s="7" t="str">
        <f>_xlfn.IFNA(VLOOKUP(patch[[#This Row],[tmp-owner.email]],OrgTree!$A:$K, 11, 0), "not ICG SWFW")</f>
        <v>BJ And dev</v>
      </c>
      <c r="S563" s="7" t="str">
        <f>IF(patch[[#This Row],[reviewer]]=patch[[#This Row],[tmp-owner.email]], "author", _xlfn.IFNA(VLOOKUP(patch[[#This Row],[reviewer]],OrgTree!$A:$K, 11, 0), "not ICG SWFW"))</f>
        <v>author</v>
      </c>
      <c r="T563" s="7" t="str">
        <f>IF(ISBLANK(patch[[#This Row],[mergeDate]]), "", MID(YEAR(patch[[#This Row],[mergeDate]]), 3,2)&amp;"'ww"&amp;WEEKNUM(patch[[#This Row],[mergeDate]]))</f>
        <v>16'ww39</v>
      </c>
      <c r="U563" s="7" t="str">
        <f>IF(ISBLANK(patch[[#This Row],[mergeDate]]), U562, MID(YEAR(patch[[#This Row],[mergeDate]]), 3,2)&amp;"'m"&amp;MONTH(patch[[#This Row],[mergeDate]]))</f>
        <v>16'm9</v>
      </c>
      <c r="V563" s="7">
        <f>IF(ISBLANK(patch[[#This Row],[project]]), "",SUM(patch[[#This Row],[BJ -1 num]:[SH -1 num]]))</f>
        <v>0</v>
      </c>
      <c r="W563" s="7">
        <f>IF(ISBLANK(patch[[#This Row],[project]]), "",COUNTIFS($A:$A,patch[[#This Row],[number]],$S:$S, "BJ And dev",$AC:$AC, "Review-1"))</f>
        <v>0</v>
      </c>
      <c r="X563" s="7">
        <f>IF(ISBLANK(patch[[#This Row],[project]]), "",COUNTIFS($A:$A,patch[[#This Row],[number]],$S:$S, "FL And dev",$AC:$AC, "Review-1"))</f>
        <v>0</v>
      </c>
      <c r="Y563" s="7">
        <f>IF(ISBLANK(patch[[#This Row],[project]]), "",COUNTIFS($A:$A,patch[[#This Row],[number]],$S:$S, "SH And dev",$AC:$AC, "Review-1"))</f>
        <v>0</v>
      </c>
      <c r="Z563" s="7">
        <f>IF(ISBLANK(patch[[#This Row],[project]]), "",COUNTIFS($A:$A,patch[[#This Row],[number]],$S:$S, "BJ And dev",$AD:$AD, "&lt;&gt;IntegratorValidationComment"))</f>
        <v>4</v>
      </c>
      <c r="AA563" s="7">
        <f>IF(ISBLANK(patch[[#This Row],[project]]), "",COUNTIFS($A:$A,patch[[#This Row],[number]],$S:$S, "FL And dev",$AD:$AD, "&lt;&gt;IntegratorValidationComment"))</f>
        <v>0</v>
      </c>
      <c r="AB563" s="7">
        <f>IF(ISBLANK(patch[[#This Row],[project]]), "",COUNTIFS($A:$A,patch[[#This Row],[number]],$S:$S, "SH And dev",$AD:$AD, "&lt;&gt;IntegratorValidationComment"))</f>
        <v>0</v>
      </c>
      <c r="AC563" s="7" t="str">
        <f>IF(OR(ISNUMBER(FIND("Review-1", patch[[#This Row],[comments]])), ISNUMBER(FIND("Approver-1", patch[[#This Row],[comments]]))), "Review-1", "")</f>
        <v/>
      </c>
      <c r="AD5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63" s="7" t="str">
        <f>IF(ISBLANK(patch[[#This Row],[number]]),AE562,patch[[#This Row],[ifCommon]])</f>
        <v>not AndrHAL</v>
      </c>
    </row>
    <row r="564" spans="1:31">
      <c r="A564" s="151">
        <v>147377</v>
      </c>
      <c r="B564" s="151"/>
      <c r="C564" s="151"/>
      <c r="D564" s="151"/>
      <c r="E564" s="151"/>
      <c r="F564" s="151"/>
      <c r="G564" s="151"/>
      <c r="H564" s="151"/>
      <c r="I564" s="151"/>
      <c r="J564" s="152">
        <v>42636.731145833342</v>
      </c>
      <c r="K564" s="151"/>
      <c r="L564" s="151" t="s">
        <v>677</v>
      </c>
      <c r="M564" s="152">
        <v>42635.721319444441</v>
      </c>
      <c r="N564" s="151" t="s">
        <v>2428</v>
      </c>
      <c r="O564" s="151"/>
      <c r="P564" s="151"/>
      <c r="Q564" s="7" t="str">
        <f>IF(ISBLANK(patch[[#This Row],[OwnerEmail]]),Q563,patch[[#This Row],[OwnerEmail]])</f>
        <v>lipingx.xu@intel.com</v>
      </c>
      <c r="R564" s="7" t="str">
        <f>_xlfn.IFNA(VLOOKUP(patch[[#This Row],[tmp-owner.email]],OrgTree!$A:$K, 11, 0), "not ICG SWFW")</f>
        <v>BJ And dev</v>
      </c>
      <c r="S564" s="7" t="str">
        <f>IF(patch[[#This Row],[reviewer]]=patch[[#This Row],[tmp-owner.email]], "author", _xlfn.IFNA(VLOOKUP(patch[[#This Row],[reviewer]],OrgTree!$A:$K, 11, 0), "not ICG SWFW"))</f>
        <v>author</v>
      </c>
      <c r="T564" s="7" t="str">
        <f>IF(ISBLANK(patch[[#This Row],[mergeDate]]), "", MID(YEAR(patch[[#This Row],[mergeDate]]), 3,2)&amp;"'ww"&amp;WEEKNUM(patch[[#This Row],[mergeDate]]))</f>
        <v>16'ww39</v>
      </c>
      <c r="U564" s="7" t="str">
        <f>IF(ISBLANK(patch[[#This Row],[mergeDate]]), U563, MID(YEAR(patch[[#This Row],[mergeDate]]), 3,2)&amp;"'m"&amp;MONTH(patch[[#This Row],[mergeDate]]))</f>
        <v>16'm9</v>
      </c>
      <c r="V564" s="7" t="str">
        <f>IF(ISBLANK(patch[[#This Row],[project]]), "",SUM(patch[[#This Row],[BJ -1 num]:[SH -1 num]]))</f>
        <v/>
      </c>
      <c r="W564" s="7" t="str">
        <f>IF(ISBLANK(patch[[#This Row],[project]]), "",COUNTIFS($A:$A,patch[[#This Row],[number]],$S:$S, "BJ And dev",$AC:$AC, "Review-1"))</f>
        <v/>
      </c>
      <c r="X564" s="7" t="str">
        <f>IF(ISBLANK(patch[[#This Row],[project]]), "",COUNTIFS($A:$A,patch[[#This Row],[number]],$S:$S, "FL And dev",$AC:$AC, "Review-1"))</f>
        <v/>
      </c>
      <c r="Y564" s="7" t="str">
        <f>IF(ISBLANK(patch[[#This Row],[project]]), "",COUNTIFS($A:$A,patch[[#This Row],[number]],$S:$S, "SH And dev",$AC:$AC, "Review-1"))</f>
        <v/>
      </c>
      <c r="Z564" s="7" t="str">
        <f>IF(ISBLANK(patch[[#This Row],[project]]), "",COUNTIFS($A:$A,patch[[#This Row],[number]],$S:$S, "BJ And dev",$AD:$AD, "&lt;&gt;IntegratorValidationComment"))</f>
        <v/>
      </c>
      <c r="AA564" s="7" t="str">
        <f>IF(ISBLANK(patch[[#This Row],[project]]), "",COUNTIFS($A:$A,patch[[#This Row],[number]],$S:$S, "FL And dev",$AD:$AD, "&lt;&gt;IntegratorValidationComment"))</f>
        <v/>
      </c>
      <c r="AB564" s="7" t="str">
        <f>IF(ISBLANK(patch[[#This Row],[project]]), "",COUNTIFS($A:$A,patch[[#This Row],[number]],$S:$S, "SH And dev",$AD:$AD, "&lt;&gt;IntegratorValidationComment"))</f>
        <v/>
      </c>
      <c r="AC564" s="7" t="str">
        <f>IF(OR(ISNUMBER(FIND("Review-1", patch[[#This Row],[comments]])), ISNUMBER(FIND("Approver-1", patch[[#This Row],[comments]]))), "Review-1", "")</f>
        <v/>
      </c>
      <c r="AD5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64" s="7">
        <f>IF(ISBLANK(patch[[#This Row],[number]]),AE563,patch[[#This Row],[ifCommon]])</f>
        <v>0</v>
      </c>
    </row>
    <row r="565" spans="1:31">
      <c r="A565" s="151">
        <v>147377</v>
      </c>
      <c r="B565" s="151"/>
      <c r="C565" s="151"/>
      <c r="D565" s="151"/>
      <c r="E565" s="151"/>
      <c r="F565" s="151"/>
      <c r="G565" s="151"/>
      <c r="H565" s="151"/>
      <c r="I565" s="151"/>
      <c r="J565" s="152">
        <v>42636.731145833342</v>
      </c>
      <c r="K565" s="151"/>
      <c r="L565" s="151" t="s">
        <v>677</v>
      </c>
      <c r="M565" s="152">
        <v>42635.725057870368</v>
      </c>
      <c r="N565" s="151" t="s">
        <v>40</v>
      </c>
      <c r="O565" s="151"/>
      <c r="P565" s="151"/>
      <c r="Q565" s="7" t="str">
        <f>IF(ISBLANK(patch[[#This Row],[OwnerEmail]]),Q564,patch[[#This Row],[OwnerEmail]])</f>
        <v>lipingx.xu@intel.com</v>
      </c>
      <c r="R565" s="7" t="str">
        <f>_xlfn.IFNA(VLOOKUP(patch[[#This Row],[tmp-owner.email]],OrgTree!$A:$K, 11, 0), "not ICG SWFW")</f>
        <v>BJ And dev</v>
      </c>
      <c r="S565" s="7" t="str">
        <f>IF(patch[[#This Row],[reviewer]]=patch[[#This Row],[tmp-owner.email]], "author", _xlfn.IFNA(VLOOKUP(patch[[#This Row],[reviewer]],OrgTree!$A:$K, 11, 0), "not ICG SWFW"))</f>
        <v>author</v>
      </c>
      <c r="T565" s="7" t="str">
        <f>IF(ISBLANK(patch[[#This Row],[mergeDate]]), "", MID(YEAR(patch[[#This Row],[mergeDate]]), 3,2)&amp;"'ww"&amp;WEEKNUM(patch[[#This Row],[mergeDate]]))</f>
        <v>16'ww39</v>
      </c>
      <c r="U565" s="7" t="str">
        <f>IF(ISBLANK(patch[[#This Row],[mergeDate]]), U564, MID(YEAR(patch[[#This Row],[mergeDate]]), 3,2)&amp;"'m"&amp;MONTH(patch[[#This Row],[mergeDate]]))</f>
        <v>16'm9</v>
      </c>
      <c r="V565" s="7" t="str">
        <f>IF(ISBLANK(patch[[#This Row],[project]]), "",SUM(patch[[#This Row],[BJ -1 num]:[SH -1 num]]))</f>
        <v/>
      </c>
      <c r="W565" s="7" t="str">
        <f>IF(ISBLANK(patch[[#This Row],[project]]), "",COUNTIFS($A:$A,patch[[#This Row],[number]],$S:$S, "BJ And dev",$AC:$AC, "Review-1"))</f>
        <v/>
      </c>
      <c r="X565" s="7" t="str">
        <f>IF(ISBLANK(patch[[#This Row],[project]]), "",COUNTIFS($A:$A,patch[[#This Row],[number]],$S:$S, "FL And dev",$AC:$AC, "Review-1"))</f>
        <v/>
      </c>
      <c r="Y565" s="7" t="str">
        <f>IF(ISBLANK(patch[[#This Row],[project]]), "",COUNTIFS($A:$A,patch[[#This Row],[number]],$S:$S, "SH And dev",$AC:$AC, "Review-1"))</f>
        <v/>
      </c>
      <c r="Z565" s="7" t="str">
        <f>IF(ISBLANK(patch[[#This Row],[project]]), "",COUNTIFS($A:$A,patch[[#This Row],[number]],$S:$S, "BJ And dev",$AD:$AD, "&lt;&gt;IntegratorValidationComment"))</f>
        <v/>
      </c>
      <c r="AA565" s="7" t="str">
        <f>IF(ISBLANK(patch[[#This Row],[project]]), "",COUNTIFS($A:$A,patch[[#This Row],[number]],$S:$S, "FL And dev",$AD:$AD, "&lt;&gt;IntegratorValidationComment"))</f>
        <v/>
      </c>
      <c r="AB565" s="7" t="str">
        <f>IF(ISBLANK(patch[[#This Row],[project]]), "",COUNTIFS($A:$A,patch[[#This Row],[number]],$S:$S, "SH And dev",$AD:$AD, "&lt;&gt;IntegratorValidationComment"))</f>
        <v/>
      </c>
      <c r="AC565" s="7" t="str">
        <f>IF(OR(ISNUMBER(FIND("Review-1", patch[[#This Row],[comments]])), ISNUMBER(FIND("Approver-1", patch[[#This Row],[comments]]))), "Review-1", "")</f>
        <v/>
      </c>
      <c r="AD5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65" s="7">
        <f>IF(ISBLANK(patch[[#This Row],[number]]),AE564,patch[[#This Row],[ifCommon]])</f>
        <v>0</v>
      </c>
    </row>
    <row r="566" spans="1:31">
      <c r="A566" s="151">
        <v>147377</v>
      </c>
      <c r="B566" s="151"/>
      <c r="C566" s="151"/>
      <c r="D566" s="151"/>
      <c r="E566" s="151"/>
      <c r="F566" s="151"/>
      <c r="G566" s="151"/>
      <c r="H566" s="151"/>
      <c r="I566" s="151"/>
      <c r="J566" s="152">
        <v>42636.731145833342</v>
      </c>
      <c r="K566" s="151"/>
      <c r="L566" s="151" t="s">
        <v>59</v>
      </c>
      <c r="M566" s="152">
        <v>42635.725173611107</v>
      </c>
      <c r="N566" s="151" t="s">
        <v>2882</v>
      </c>
      <c r="O566" s="151"/>
      <c r="P566" s="151"/>
      <c r="Q566" s="7" t="str">
        <f>IF(ISBLANK(patch[[#This Row],[OwnerEmail]]),Q565,patch[[#This Row],[OwnerEmail]])</f>
        <v>lipingx.xu@intel.com</v>
      </c>
      <c r="R566" s="7" t="str">
        <f>_xlfn.IFNA(VLOOKUP(patch[[#This Row],[tmp-owner.email]],OrgTree!$A:$K, 11, 0), "not ICG SWFW")</f>
        <v>BJ And dev</v>
      </c>
      <c r="S566" s="7" t="str">
        <f>IF(patch[[#This Row],[reviewer]]=patch[[#This Row],[tmp-owner.email]], "author", _xlfn.IFNA(VLOOKUP(patch[[#This Row],[reviewer]],OrgTree!$A:$K, 11, 0), "not ICG SWFW"))</f>
        <v>BJ And dev</v>
      </c>
      <c r="T566" s="7" t="str">
        <f>IF(ISBLANK(patch[[#This Row],[mergeDate]]), "", MID(YEAR(patch[[#This Row],[mergeDate]]), 3,2)&amp;"'ww"&amp;WEEKNUM(patch[[#This Row],[mergeDate]]))</f>
        <v>16'ww39</v>
      </c>
      <c r="U566" s="7" t="str">
        <f>IF(ISBLANK(patch[[#This Row],[mergeDate]]), U565, MID(YEAR(patch[[#This Row],[mergeDate]]), 3,2)&amp;"'m"&amp;MONTH(patch[[#This Row],[mergeDate]]))</f>
        <v>16'm9</v>
      </c>
      <c r="V566" s="7" t="str">
        <f>IF(ISBLANK(patch[[#This Row],[project]]), "",SUM(patch[[#This Row],[BJ -1 num]:[SH -1 num]]))</f>
        <v/>
      </c>
      <c r="W566" s="7" t="str">
        <f>IF(ISBLANK(patch[[#This Row],[project]]), "",COUNTIFS($A:$A,patch[[#This Row],[number]],$S:$S, "BJ And dev",$AC:$AC, "Review-1"))</f>
        <v/>
      </c>
      <c r="X566" s="7" t="str">
        <f>IF(ISBLANK(patch[[#This Row],[project]]), "",COUNTIFS($A:$A,patch[[#This Row],[number]],$S:$S, "FL And dev",$AC:$AC, "Review-1"))</f>
        <v/>
      </c>
      <c r="Y566" s="7" t="str">
        <f>IF(ISBLANK(patch[[#This Row],[project]]), "",COUNTIFS($A:$A,patch[[#This Row],[number]],$S:$S, "SH And dev",$AC:$AC, "Review-1"))</f>
        <v/>
      </c>
      <c r="Z566" s="7" t="str">
        <f>IF(ISBLANK(patch[[#This Row],[project]]), "",COUNTIFS($A:$A,patch[[#This Row],[number]],$S:$S, "BJ And dev",$AD:$AD, "&lt;&gt;IntegratorValidationComment"))</f>
        <v/>
      </c>
      <c r="AA566" s="7" t="str">
        <f>IF(ISBLANK(patch[[#This Row],[project]]), "",COUNTIFS($A:$A,patch[[#This Row],[number]],$S:$S, "FL And dev",$AD:$AD, "&lt;&gt;IntegratorValidationComment"))</f>
        <v/>
      </c>
      <c r="AB566" s="7" t="str">
        <f>IF(ISBLANK(patch[[#This Row],[project]]), "",COUNTIFS($A:$A,patch[[#This Row],[number]],$S:$S, "SH And dev",$AD:$AD, "&lt;&gt;IntegratorValidationComment"))</f>
        <v/>
      </c>
      <c r="AC566" s="7" t="str">
        <f>IF(OR(ISNUMBER(FIND("Review-1", patch[[#This Row],[comments]])), ISNUMBER(FIND("Approver-1", patch[[#This Row],[comments]]))), "Review-1", "")</f>
        <v/>
      </c>
      <c r="AD5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66" s="7">
        <f>IF(ISBLANK(patch[[#This Row],[number]]),AE565,patch[[#This Row],[ifCommon]])</f>
        <v>0</v>
      </c>
    </row>
    <row r="567" spans="1:31">
      <c r="A567" s="151">
        <v>147377</v>
      </c>
      <c r="B567" s="151"/>
      <c r="C567" s="151"/>
      <c r="D567" s="151"/>
      <c r="E567" s="151"/>
      <c r="F567" s="151"/>
      <c r="G567" s="151"/>
      <c r="H567" s="151"/>
      <c r="I567" s="151"/>
      <c r="J567" s="152">
        <v>42636.731145833342</v>
      </c>
      <c r="K567" s="151"/>
      <c r="L567" s="151" t="s">
        <v>59</v>
      </c>
      <c r="M567" s="152">
        <v>42635.725324074083</v>
      </c>
      <c r="N567" s="151" t="s">
        <v>40</v>
      </c>
      <c r="O567" s="151"/>
      <c r="P567" s="151"/>
      <c r="Q567" s="7" t="str">
        <f>IF(ISBLANK(patch[[#This Row],[OwnerEmail]]),Q566,patch[[#This Row],[OwnerEmail]])</f>
        <v>lipingx.xu@intel.com</v>
      </c>
      <c r="R567" s="7" t="str">
        <f>_xlfn.IFNA(VLOOKUP(patch[[#This Row],[tmp-owner.email]],OrgTree!$A:$K, 11, 0), "not ICG SWFW")</f>
        <v>BJ And dev</v>
      </c>
      <c r="S567" s="7" t="str">
        <f>IF(patch[[#This Row],[reviewer]]=patch[[#This Row],[tmp-owner.email]], "author", _xlfn.IFNA(VLOOKUP(patch[[#This Row],[reviewer]],OrgTree!$A:$K, 11, 0), "not ICG SWFW"))</f>
        <v>BJ And dev</v>
      </c>
      <c r="T567" s="7" t="str">
        <f>IF(ISBLANK(patch[[#This Row],[mergeDate]]), "", MID(YEAR(patch[[#This Row],[mergeDate]]), 3,2)&amp;"'ww"&amp;WEEKNUM(patch[[#This Row],[mergeDate]]))</f>
        <v>16'ww39</v>
      </c>
      <c r="U567" s="7" t="str">
        <f>IF(ISBLANK(patch[[#This Row],[mergeDate]]), U566, MID(YEAR(patch[[#This Row],[mergeDate]]), 3,2)&amp;"'m"&amp;MONTH(patch[[#This Row],[mergeDate]]))</f>
        <v>16'm9</v>
      </c>
      <c r="V567" s="7" t="str">
        <f>IF(ISBLANK(patch[[#This Row],[project]]), "",SUM(patch[[#This Row],[BJ -1 num]:[SH -1 num]]))</f>
        <v/>
      </c>
      <c r="W567" s="7" t="str">
        <f>IF(ISBLANK(patch[[#This Row],[project]]), "",COUNTIFS($A:$A,patch[[#This Row],[number]],$S:$S, "BJ And dev",$AC:$AC, "Review-1"))</f>
        <v/>
      </c>
      <c r="X567" s="7" t="str">
        <f>IF(ISBLANK(patch[[#This Row],[project]]), "",COUNTIFS($A:$A,patch[[#This Row],[number]],$S:$S, "FL And dev",$AC:$AC, "Review-1"))</f>
        <v/>
      </c>
      <c r="Y567" s="7" t="str">
        <f>IF(ISBLANK(patch[[#This Row],[project]]), "",COUNTIFS($A:$A,patch[[#This Row],[number]],$S:$S, "SH And dev",$AC:$AC, "Review-1"))</f>
        <v/>
      </c>
      <c r="Z567" s="7" t="str">
        <f>IF(ISBLANK(patch[[#This Row],[project]]), "",COUNTIFS($A:$A,patch[[#This Row],[number]],$S:$S, "BJ And dev",$AD:$AD, "&lt;&gt;IntegratorValidationComment"))</f>
        <v/>
      </c>
      <c r="AA567" s="7" t="str">
        <f>IF(ISBLANK(patch[[#This Row],[project]]), "",COUNTIFS($A:$A,patch[[#This Row],[number]],$S:$S, "FL And dev",$AD:$AD, "&lt;&gt;IntegratorValidationComment"))</f>
        <v/>
      </c>
      <c r="AB567" s="7" t="str">
        <f>IF(ISBLANK(patch[[#This Row],[project]]), "",COUNTIFS($A:$A,patch[[#This Row],[number]],$S:$S, "SH And dev",$AD:$AD, "&lt;&gt;IntegratorValidationComment"))</f>
        <v/>
      </c>
      <c r="AC567" s="7" t="str">
        <f>IF(OR(ISNUMBER(FIND("Review-1", patch[[#This Row],[comments]])), ISNUMBER(FIND("Approver-1", patch[[#This Row],[comments]]))), "Review-1", "")</f>
        <v/>
      </c>
      <c r="AD5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67" s="7">
        <f>IF(ISBLANK(patch[[#This Row],[number]]),AE566,patch[[#This Row],[ifCommon]])</f>
        <v>0</v>
      </c>
    </row>
    <row r="568" spans="1:31">
      <c r="A568" s="151">
        <v>147377</v>
      </c>
      <c r="B568" s="151"/>
      <c r="C568" s="151"/>
      <c r="D568" s="151"/>
      <c r="E568" s="151"/>
      <c r="F568" s="151"/>
      <c r="G568" s="151"/>
      <c r="H568" s="151"/>
      <c r="I568" s="152"/>
      <c r="J568" s="152">
        <v>42636.731145833342</v>
      </c>
      <c r="K568" s="151"/>
      <c r="L568" s="151" t="s">
        <v>59</v>
      </c>
      <c r="M568" s="152">
        <v>42635.737233796302</v>
      </c>
      <c r="N568" s="151" t="s">
        <v>2883</v>
      </c>
      <c r="O568" s="151"/>
      <c r="P568" s="151"/>
      <c r="Q568" s="7" t="str">
        <f>IF(ISBLANK(patch[[#This Row],[OwnerEmail]]),Q567,patch[[#This Row],[OwnerEmail]])</f>
        <v>lipingx.xu@intel.com</v>
      </c>
      <c r="R568" s="7" t="str">
        <f>_xlfn.IFNA(VLOOKUP(patch[[#This Row],[tmp-owner.email]],OrgTree!$A:$K, 11, 0), "not ICG SWFW")</f>
        <v>BJ And dev</v>
      </c>
      <c r="S568" s="7" t="str">
        <f>IF(patch[[#This Row],[reviewer]]=patch[[#This Row],[tmp-owner.email]], "author", _xlfn.IFNA(VLOOKUP(patch[[#This Row],[reviewer]],OrgTree!$A:$K, 11, 0), "not ICG SWFW"))</f>
        <v>BJ And dev</v>
      </c>
      <c r="T568" s="7" t="str">
        <f>IF(ISBLANK(patch[[#This Row],[mergeDate]]), "", MID(YEAR(patch[[#This Row],[mergeDate]]), 3,2)&amp;"'ww"&amp;WEEKNUM(patch[[#This Row],[mergeDate]]))</f>
        <v>16'ww39</v>
      </c>
      <c r="U568" s="7" t="str">
        <f>IF(ISBLANK(patch[[#This Row],[mergeDate]]), U567, MID(YEAR(patch[[#This Row],[mergeDate]]), 3,2)&amp;"'m"&amp;MONTH(patch[[#This Row],[mergeDate]]))</f>
        <v>16'm9</v>
      </c>
      <c r="V568" s="7" t="str">
        <f>IF(ISBLANK(patch[[#This Row],[project]]), "",SUM(patch[[#This Row],[BJ -1 num]:[SH -1 num]]))</f>
        <v/>
      </c>
      <c r="W568" s="7" t="str">
        <f>IF(ISBLANK(patch[[#This Row],[project]]), "",COUNTIFS($A:$A,patch[[#This Row],[number]],$S:$S, "BJ And dev",$AC:$AC, "Review-1"))</f>
        <v/>
      </c>
      <c r="X568" s="7" t="str">
        <f>IF(ISBLANK(patch[[#This Row],[project]]), "",COUNTIFS($A:$A,patch[[#This Row],[number]],$S:$S, "FL And dev",$AC:$AC, "Review-1"))</f>
        <v/>
      </c>
      <c r="Y568" s="7" t="str">
        <f>IF(ISBLANK(patch[[#This Row],[project]]), "",COUNTIFS($A:$A,patch[[#This Row],[number]],$S:$S, "SH And dev",$AC:$AC, "Review-1"))</f>
        <v/>
      </c>
      <c r="Z568" s="7" t="str">
        <f>IF(ISBLANK(patch[[#This Row],[project]]), "",COUNTIFS($A:$A,patch[[#This Row],[number]],$S:$S, "BJ And dev",$AD:$AD, "&lt;&gt;IntegratorValidationComment"))</f>
        <v/>
      </c>
      <c r="AA568" s="7" t="str">
        <f>IF(ISBLANK(patch[[#This Row],[project]]), "",COUNTIFS($A:$A,patch[[#This Row],[number]],$S:$S, "FL And dev",$AD:$AD, "&lt;&gt;IntegratorValidationComment"))</f>
        <v/>
      </c>
      <c r="AB568" s="7" t="str">
        <f>IF(ISBLANK(patch[[#This Row],[project]]), "",COUNTIFS($A:$A,patch[[#This Row],[number]],$S:$S, "SH And dev",$AD:$AD, "&lt;&gt;IntegratorValidationComment"))</f>
        <v/>
      </c>
      <c r="AC568" s="7" t="str">
        <f>IF(OR(ISNUMBER(FIND("Review-1", patch[[#This Row],[comments]])), ISNUMBER(FIND("Approver-1", patch[[#This Row],[comments]]))), "Review-1", "")</f>
        <v/>
      </c>
      <c r="AD5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68" s="7">
        <f>IF(ISBLANK(patch[[#This Row],[number]]),AE567,patch[[#This Row],[ifCommon]])</f>
        <v>0</v>
      </c>
    </row>
    <row r="569" spans="1:31">
      <c r="A569" s="151">
        <v>147377</v>
      </c>
      <c r="B569" s="151"/>
      <c r="C569" s="151"/>
      <c r="D569" s="151"/>
      <c r="E569" s="151"/>
      <c r="F569" s="151"/>
      <c r="G569" s="151"/>
      <c r="H569" s="151"/>
      <c r="I569" s="151"/>
      <c r="J569" s="152">
        <v>42636.731145833342</v>
      </c>
      <c r="K569" s="151"/>
      <c r="L569" s="151" t="s">
        <v>24</v>
      </c>
      <c r="M569" s="152">
        <v>42635.781828703701</v>
      </c>
      <c r="N569" s="151" t="s">
        <v>1880</v>
      </c>
      <c r="O569" s="151"/>
      <c r="P569" s="151"/>
      <c r="Q569" s="7" t="str">
        <f>IF(ISBLANK(patch[[#This Row],[OwnerEmail]]),Q568,patch[[#This Row],[OwnerEmail]])</f>
        <v>lipingx.xu@intel.com</v>
      </c>
      <c r="R569" s="7" t="str">
        <f>_xlfn.IFNA(VLOOKUP(patch[[#This Row],[tmp-owner.email]],OrgTree!$A:$K, 11, 0), "not ICG SWFW")</f>
        <v>BJ And dev</v>
      </c>
      <c r="S569" s="7" t="str">
        <f>IF(patch[[#This Row],[reviewer]]=patch[[#This Row],[tmp-owner.email]], "author", _xlfn.IFNA(VLOOKUP(patch[[#This Row],[reviewer]],OrgTree!$A:$K, 11, 0), "not ICG SWFW"))</f>
        <v>BJ And dev</v>
      </c>
      <c r="T569" s="7" t="str">
        <f>IF(ISBLANK(patch[[#This Row],[mergeDate]]), "", MID(YEAR(patch[[#This Row],[mergeDate]]), 3,2)&amp;"'ww"&amp;WEEKNUM(patch[[#This Row],[mergeDate]]))</f>
        <v>16'ww39</v>
      </c>
      <c r="U569" s="7" t="str">
        <f>IF(ISBLANK(patch[[#This Row],[mergeDate]]), U568, MID(YEAR(patch[[#This Row],[mergeDate]]), 3,2)&amp;"'m"&amp;MONTH(patch[[#This Row],[mergeDate]]))</f>
        <v>16'm9</v>
      </c>
      <c r="V569" s="7" t="str">
        <f>IF(ISBLANK(patch[[#This Row],[project]]), "",SUM(patch[[#This Row],[BJ -1 num]:[SH -1 num]]))</f>
        <v/>
      </c>
      <c r="W569" s="7" t="str">
        <f>IF(ISBLANK(patch[[#This Row],[project]]), "",COUNTIFS($A:$A,patch[[#This Row],[number]],$S:$S, "BJ And dev",$AC:$AC, "Review-1"))</f>
        <v/>
      </c>
      <c r="X569" s="7" t="str">
        <f>IF(ISBLANK(patch[[#This Row],[project]]), "",COUNTIFS($A:$A,patch[[#This Row],[number]],$S:$S, "FL And dev",$AC:$AC, "Review-1"))</f>
        <v/>
      </c>
      <c r="Y569" s="7" t="str">
        <f>IF(ISBLANK(patch[[#This Row],[project]]), "",COUNTIFS($A:$A,patch[[#This Row],[number]],$S:$S, "SH And dev",$AC:$AC, "Review-1"))</f>
        <v/>
      </c>
      <c r="Z569" s="7" t="str">
        <f>IF(ISBLANK(patch[[#This Row],[project]]), "",COUNTIFS($A:$A,patch[[#This Row],[number]],$S:$S, "BJ And dev",$AD:$AD, "&lt;&gt;IntegratorValidationComment"))</f>
        <v/>
      </c>
      <c r="AA569" s="7" t="str">
        <f>IF(ISBLANK(patch[[#This Row],[project]]), "",COUNTIFS($A:$A,patch[[#This Row],[number]],$S:$S, "FL And dev",$AD:$AD, "&lt;&gt;IntegratorValidationComment"))</f>
        <v/>
      </c>
      <c r="AB569" s="7" t="str">
        <f>IF(ISBLANK(patch[[#This Row],[project]]), "",COUNTIFS($A:$A,patch[[#This Row],[number]],$S:$S, "SH And dev",$AD:$AD, "&lt;&gt;IntegratorValidationComment"))</f>
        <v/>
      </c>
      <c r="AC569" s="7" t="str">
        <f>IF(OR(ISNUMBER(FIND("Review-1", patch[[#This Row],[comments]])), ISNUMBER(FIND("Approver-1", patch[[#This Row],[comments]]))), "Review-1", "")</f>
        <v/>
      </c>
      <c r="AD5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69" s="7">
        <f>IF(ISBLANK(patch[[#This Row],[number]]),AE568,patch[[#This Row],[ifCommon]])</f>
        <v>0</v>
      </c>
    </row>
    <row r="570" spans="1:31">
      <c r="A570" s="151">
        <v>147377</v>
      </c>
      <c r="B570" s="151"/>
      <c r="C570" s="151"/>
      <c r="D570" s="151"/>
      <c r="E570" s="151"/>
      <c r="F570" s="151"/>
      <c r="G570" s="151"/>
      <c r="H570" s="151"/>
      <c r="I570" s="151"/>
      <c r="J570" s="152">
        <v>42636.731145833342</v>
      </c>
      <c r="K570" s="151"/>
      <c r="L570" s="151" t="s">
        <v>115</v>
      </c>
      <c r="M570" s="152">
        <v>42636.498483796298</v>
      </c>
      <c r="N570" s="151" t="s">
        <v>2494</v>
      </c>
      <c r="O570" s="151"/>
      <c r="P570" s="151"/>
      <c r="Q570" s="7" t="str">
        <f>IF(ISBLANK(patch[[#This Row],[OwnerEmail]]),Q569,patch[[#This Row],[OwnerEmail]])</f>
        <v>lipingx.xu@intel.com</v>
      </c>
      <c r="R570" s="7" t="str">
        <f>_xlfn.IFNA(VLOOKUP(patch[[#This Row],[tmp-owner.email]],OrgTree!$A:$K, 11, 0), "not ICG SWFW")</f>
        <v>BJ And dev</v>
      </c>
      <c r="S570" s="7" t="str">
        <f>IF(patch[[#This Row],[reviewer]]=patch[[#This Row],[tmp-owner.email]], "author", _xlfn.IFNA(VLOOKUP(patch[[#This Row],[reviewer]],OrgTree!$A:$K, 11, 0), "not ICG SWFW"))</f>
        <v>Val</v>
      </c>
      <c r="T570" s="7" t="str">
        <f>IF(ISBLANK(patch[[#This Row],[mergeDate]]), "", MID(YEAR(patch[[#This Row],[mergeDate]]), 3,2)&amp;"'ww"&amp;WEEKNUM(patch[[#This Row],[mergeDate]]))</f>
        <v>16'ww39</v>
      </c>
      <c r="U570" s="7" t="str">
        <f>IF(ISBLANK(patch[[#This Row],[mergeDate]]), U569, MID(YEAR(patch[[#This Row],[mergeDate]]), 3,2)&amp;"'m"&amp;MONTH(patch[[#This Row],[mergeDate]]))</f>
        <v>16'm9</v>
      </c>
      <c r="V570" s="7" t="str">
        <f>IF(ISBLANK(patch[[#This Row],[project]]), "",SUM(patch[[#This Row],[BJ -1 num]:[SH -1 num]]))</f>
        <v/>
      </c>
      <c r="W570" s="7" t="str">
        <f>IF(ISBLANK(patch[[#This Row],[project]]), "",COUNTIFS($A:$A,patch[[#This Row],[number]],$S:$S, "BJ And dev",$AC:$AC, "Review-1"))</f>
        <v/>
      </c>
      <c r="X570" s="7" t="str">
        <f>IF(ISBLANK(patch[[#This Row],[project]]), "",COUNTIFS($A:$A,patch[[#This Row],[number]],$S:$S, "FL And dev",$AC:$AC, "Review-1"))</f>
        <v/>
      </c>
      <c r="Y570" s="7" t="str">
        <f>IF(ISBLANK(patch[[#This Row],[project]]), "",COUNTIFS($A:$A,patch[[#This Row],[number]],$S:$S, "SH And dev",$AC:$AC, "Review-1"))</f>
        <v/>
      </c>
      <c r="Z570" s="7" t="str">
        <f>IF(ISBLANK(patch[[#This Row],[project]]), "",COUNTIFS($A:$A,patch[[#This Row],[number]],$S:$S, "BJ And dev",$AD:$AD, "&lt;&gt;IntegratorValidationComment"))</f>
        <v/>
      </c>
      <c r="AA570" s="7" t="str">
        <f>IF(ISBLANK(patch[[#This Row],[project]]), "",COUNTIFS($A:$A,patch[[#This Row],[number]],$S:$S, "FL And dev",$AD:$AD, "&lt;&gt;IntegratorValidationComment"))</f>
        <v/>
      </c>
      <c r="AB570" s="7" t="str">
        <f>IF(ISBLANK(patch[[#This Row],[project]]), "",COUNTIFS($A:$A,patch[[#This Row],[number]],$S:$S, "SH And dev",$AD:$AD, "&lt;&gt;IntegratorValidationComment"))</f>
        <v/>
      </c>
      <c r="AC570" s="7" t="str">
        <f>IF(OR(ISNUMBER(FIND("Review-1", patch[[#This Row],[comments]])), ISNUMBER(FIND("Approver-1", patch[[#This Row],[comments]]))), "Review-1", "")</f>
        <v/>
      </c>
      <c r="AD5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570" s="7">
        <f>IF(ISBLANK(patch[[#This Row],[number]]),AE569,patch[[#This Row],[ifCommon]])</f>
        <v>0</v>
      </c>
    </row>
    <row r="571" spans="1:31">
      <c r="A571" s="151">
        <v>147376</v>
      </c>
      <c r="B571" s="151" t="s">
        <v>2490</v>
      </c>
      <c r="C571" s="151" t="s">
        <v>2795</v>
      </c>
      <c r="D571" s="151" t="s">
        <v>2884</v>
      </c>
      <c r="E571" s="151" t="s">
        <v>677</v>
      </c>
      <c r="F571" s="151" t="s">
        <v>23</v>
      </c>
      <c r="G571" s="151" t="s">
        <v>2885</v>
      </c>
      <c r="H571" s="151" t="s">
        <v>2886</v>
      </c>
      <c r="I571" s="152">
        <v>42635.721296296288</v>
      </c>
      <c r="J571" s="152">
        <v>42636.731145833342</v>
      </c>
      <c r="K571" s="151" t="s">
        <v>2445</v>
      </c>
      <c r="L571" s="151" t="s">
        <v>677</v>
      </c>
      <c r="M571" s="152">
        <v>42635.721296296288</v>
      </c>
      <c r="N571" s="151" t="s">
        <v>25</v>
      </c>
      <c r="O571" s="151"/>
      <c r="P571" s="151" t="s">
        <v>59</v>
      </c>
      <c r="Q571" s="7" t="str">
        <f>IF(ISBLANK(patch[[#This Row],[OwnerEmail]]),Q570,patch[[#This Row],[OwnerEmail]])</f>
        <v>lipingx.xu@intel.com</v>
      </c>
      <c r="R571" s="7" t="str">
        <f>_xlfn.IFNA(VLOOKUP(patch[[#This Row],[tmp-owner.email]],OrgTree!$A:$K, 11, 0), "not ICG SWFW")</f>
        <v>BJ And dev</v>
      </c>
      <c r="S571" s="7" t="str">
        <f>IF(patch[[#This Row],[reviewer]]=patch[[#This Row],[tmp-owner.email]], "author", _xlfn.IFNA(VLOOKUP(patch[[#This Row],[reviewer]],OrgTree!$A:$K, 11, 0), "not ICG SWFW"))</f>
        <v>author</v>
      </c>
      <c r="T571" s="7" t="str">
        <f>IF(ISBLANK(patch[[#This Row],[mergeDate]]), "", MID(YEAR(patch[[#This Row],[mergeDate]]), 3,2)&amp;"'ww"&amp;WEEKNUM(patch[[#This Row],[mergeDate]]))</f>
        <v>16'ww39</v>
      </c>
      <c r="U571" s="7" t="str">
        <f>IF(ISBLANK(patch[[#This Row],[mergeDate]]), U570, MID(YEAR(patch[[#This Row],[mergeDate]]), 3,2)&amp;"'m"&amp;MONTH(patch[[#This Row],[mergeDate]]))</f>
        <v>16'm9</v>
      </c>
      <c r="V571" s="7">
        <f>IF(ISBLANK(patch[[#This Row],[project]]), "",SUM(patch[[#This Row],[BJ -1 num]:[SH -1 num]]))</f>
        <v>0</v>
      </c>
      <c r="W571" s="7">
        <f>IF(ISBLANK(patch[[#This Row],[project]]), "",COUNTIFS($A:$A,patch[[#This Row],[number]],$S:$S, "BJ And dev",$AC:$AC, "Review-1"))</f>
        <v>0</v>
      </c>
      <c r="X571" s="7">
        <f>IF(ISBLANK(patch[[#This Row],[project]]), "",COUNTIFS($A:$A,patch[[#This Row],[number]],$S:$S, "FL And dev",$AC:$AC, "Review-1"))</f>
        <v>0</v>
      </c>
      <c r="Y571" s="7">
        <f>IF(ISBLANK(patch[[#This Row],[project]]), "",COUNTIFS($A:$A,patch[[#This Row],[number]],$S:$S, "SH And dev",$AC:$AC, "Review-1"))</f>
        <v>0</v>
      </c>
      <c r="Z571" s="7">
        <f>IF(ISBLANK(patch[[#This Row],[project]]), "",COUNTIFS($A:$A,patch[[#This Row],[number]],$S:$S, "BJ And dev",$AD:$AD, "&lt;&gt;IntegratorValidationComment"))</f>
        <v>3</v>
      </c>
      <c r="AA571" s="7">
        <f>IF(ISBLANK(patch[[#This Row],[project]]), "",COUNTIFS($A:$A,patch[[#This Row],[number]],$S:$S, "FL And dev",$AD:$AD, "&lt;&gt;IntegratorValidationComment"))</f>
        <v>0</v>
      </c>
      <c r="AB571" s="7">
        <f>IF(ISBLANK(patch[[#This Row],[project]]), "",COUNTIFS($A:$A,patch[[#This Row],[number]],$S:$S, "SH And dev",$AD:$AD, "&lt;&gt;IntegratorValidationComment"))</f>
        <v>0</v>
      </c>
      <c r="AC571" s="7" t="str">
        <f>IF(OR(ISNUMBER(FIND("Review-1", patch[[#This Row],[comments]])), ISNUMBER(FIND("Approver-1", patch[[#This Row],[comments]]))), "Review-1", "")</f>
        <v/>
      </c>
      <c r="AD5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71" s="7" t="str">
        <f>IF(ISBLANK(patch[[#This Row],[number]]),AE570,patch[[#This Row],[ifCommon]])</f>
        <v>not AndrHAL</v>
      </c>
    </row>
    <row r="572" spans="1:31">
      <c r="A572" s="151">
        <v>147376</v>
      </c>
      <c r="B572" s="151"/>
      <c r="C572" s="151"/>
      <c r="D572" s="151"/>
      <c r="E572" s="151"/>
      <c r="F572" s="151"/>
      <c r="G572" s="151"/>
      <c r="H572" s="151"/>
      <c r="I572" s="151"/>
      <c r="J572" s="152">
        <v>42636.731145833342</v>
      </c>
      <c r="K572" s="151"/>
      <c r="L572" s="151" t="s">
        <v>677</v>
      </c>
      <c r="M572" s="152">
        <v>42635.721307870372</v>
      </c>
      <c r="N572" s="151" t="s">
        <v>2428</v>
      </c>
      <c r="O572" s="151"/>
      <c r="P572" s="151"/>
      <c r="Q572" s="7" t="str">
        <f>IF(ISBLANK(patch[[#This Row],[OwnerEmail]]),Q571,patch[[#This Row],[OwnerEmail]])</f>
        <v>lipingx.xu@intel.com</v>
      </c>
      <c r="R572" s="7" t="str">
        <f>_xlfn.IFNA(VLOOKUP(patch[[#This Row],[tmp-owner.email]],OrgTree!$A:$K, 11, 0), "not ICG SWFW")</f>
        <v>BJ And dev</v>
      </c>
      <c r="S572" s="7" t="str">
        <f>IF(patch[[#This Row],[reviewer]]=patch[[#This Row],[tmp-owner.email]], "author", _xlfn.IFNA(VLOOKUP(patch[[#This Row],[reviewer]],OrgTree!$A:$K, 11, 0), "not ICG SWFW"))</f>
        <v>author</v>
      </c>
      <c r="T572" s="7" t="str">
        <f>IF(ISBLANK(patch[[#This Row],[mergeDate]]), "", MID(YEAR(patch[[#This Row],[mergeDate]]), 3,2)&amp;"'ww"&amp;WEEKNUM(patch[[#This Row],[mergeDate]]))</f>
        <v>16'ww39</v>
      </c>
      <c r="U572" s="7" t="str">
        <f>IF(ISBLANK(patch[[#This Row],[mergeDate]]), U571, MID(YEAR(patch[[#This Row],[mergeDate]]), 3,2)&amp;"'m"&amp;MONTH(patch[[#This Row],[mergeDate]]))</f>
        <v>16'm9</v>
      </c>
      <c r="V572" s="7" t="str">
        <f>IF(ISBLANK(patch[[#This Row],[project]]), "",SUM(patch[[#This Row],[BJ -1 num]:[SH -1 num]]))</f>
        <v/>
      </c>
      <c r="W572" s="7" t="str">
        <f>IF(ISBLANK(patch[[#This Row],[project]]), "",COUNTIFS($A:$A,patch[[#This Row],[number]],$S:$S, "BJ And dev",$AC:$AC, "Review-1"))</f>
        <v/>
      </c>
      <c r="X572" s="7" t="str">
        <f>IF(ISBLANK(patch[[#This Row],[project]]), "",COUNTIFS($A:$A,patch[[#This Row],[number]],$S:$S, "FL And dev",$AC:$AC, "Review-1"))</f>
        <v/>
      </c>
      <c r="Y572" s="7" t="str">
        <f>IF(ISBLANK(patch[[#This Row],[project]]), "",COUNTIFS($A:$A,patch[[#This Row],[number]],$S:$S, "SH And dev",$AC:$AC, "Review-1"))</f>
        <v/>
      </c>
      <c r="Z572" s="7" t="str">
        <f>IF(ISBLANK(patch[[#This Row],[project]]), "",COUNTIFS($A:$A,patch[[#This Row],[number]],$S:$S, "BJ And dev",$AD:$AD, "&lt;&gt;IntegratorValidationComment"))</f>
        <v/>
      </c>
      <c r="AA572" s="7" t="str">
        <f>IF(ISBLANK(patch[[#This Row],[project]]), "",COUNTIFS($A:$A,patch[[#This Row],[number]],$S:$S, "FL And dev",$AD:$AD, "&lt;&gt;IntegratorValidationComment"))</f>
        <v/>
      </c>
      <c r="AB572" s="7" t="str">
        <f>IF(ISBLANK(patch[[#This Row],[project]]), "",COUNTIFS($A:$A,patch[[#This Row],[number]],$S:$S, "SH And dev",$AD:$AD, "&lt;&gt;IntegratorValidationComment"))</f>
        <v/>
      </c>
      <c r="AC572" s="7" t="str">
        <f>IF(OR(ISNUMBER(FIND("Review-1", patch[[#This Row],[comments]])), ISNUMBER(FIND("Approver-1", patch[[#This Row],[comments]]))), "Review-1", "")</f>
        <v/>
      </c>
      <c r="AD5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72" s="7">
        <f>IF(ISBLANK(patch[[#This Row],[number]]),AE571,patch[[#This Row],[ifCommon]])</f>
        <v>0</v>
      </c>
    </row>
    <row r="573" spans="1:31">
      <c r="A573" s="151">
        <v>147376</v>
      </c>
      <c r="B573" s="151"/>
      <c r="C573" s="151"/>
      <c r="D573" s="151"/>
      <c r="E573" s="151"/>
      <c r="F573" s="151"/>
      <c r="G573" s="151"/>
      <c r="H573" s="151"/>
      <c r="I573" s="151"/>
      <c r="J573" s="152">
        <v>42636.731145833342</v>
      </c>
      <c r="K573" s="151"/>
      <c r="L573" s="151" t="s">
        <v>677</v>
      </c>
      <c r="M573" s="152">
        <v>42635.724965277783</v>
      </c>
      <c r="N573" s="151" t="s">
        <v>40</v>
      </c>
      <c r="O573" s="151"/>
      <c r="P573" s="151"/>
      <c r="Q573" s="7" t="str">
        <f>IF(ISBLANK(patch[[#This Row],[OwnerEmail]]),Q572,patch[[#This Row],[OwnerEmail]])</f>
        <v>lipingx.xu@intel.com</v>
      </c>
      <c r="R573" s="7" t="str">
        <f>_xlfn.IFNA(VLOOKUP(patch[[#This Row],[tmp-owner.email]],OrgTree!$A:$K, 11, 0), "not ICG SWFW")</f>
        <v>BJ And dev</v>
      </c>
      <c r="S573" s="7" t="str">
        <f>IF(patch[[#This Row],[reviewer]]=patch[[#This Row],[tmp-owner.email]], "author", _xlfn.IFNA(VLOOKUP(patch[[#This Row],[reviewer]],OrgTree!$A:$K, 11, 0), "not ICG SWFW"))</f>
        <v>author</v>
      </c>
      <c r="T573" s="7" t="str">
        <f>IF(ISBLANK(patch[[#This Row],[mergeDate]]), "", MID(YEAR(patch[[#This Row],[mergeDate]]), 3,2)&amp;"'ww"&amp;WEEKNUM(patch[[#This Row],[mergeDate]]))</f>
        <v>16'ww39</v>
      </c>
      <c r="U573" s="7" t="str">
        <f>IF(ISBLANK(patch[[#This Row],[mergeDate]]), U572, MID(YEAR(patch[[#This Row],[mergeDate]]), 3,2)&amp;"'m"&amp;MONTH(patch[[#This Row],[mergeDate]]))</f>
        <v>16'm9</v>
      </c>
      <c r="V573" s="7" t="str">
        <f>IF(ISBLANK(patch[[#This Row],[project]]), "",SUM(patch[[#This Row],[BJ -1 num]:[SH -1 num]]))</f>
        <v/>
      </c>
      <c r="W573" s="7" t="str">
        <f>IF(ISBLANK(patch[[#This Row],[project]]), "",COUNTIFS($A:$A,patch[[#This Row],[number]],$S:$S, "BJ And dev",$AC:$AC, "Review-1"))</f>
        <v/>
      </c>
      <c r="X573" s="7" t="str">
        <f>IF(ISBLANK(patch[[#This Row],[project]]), "",COUNTIFS($A:$A,patch[[#This Row],[number]],$S:$S, "FL And dev",$AC:$AC, "Review-1"))</f>
        <v/>
      </c>
      <c r="Y573" s="7" t="str">
        <f>IF(ISBLANK(patch[[#This Row],[project]]), "",COUNTIFS($A:$A,patch[[#This Row],[number]],$S:$S, "SH And dev",$AC:$AC, "Review-1"))</f>
        <v/>
      </c>
      <c r="Z573" s="7" t="str">
        <f>IF(ISBLANK(patch[[#This Row],[project]]), "",COUNTIFS($A:$A,patch[[#This Row],[number]],$S:$S, "BJ And dev",$AD:$AD, "&lt;&gt;IntegratorValidationComment"))</f>
        <v/>
      </c>
      <c r="AA573" s="7" t="str">
        <f>IF(ISBLANK(patch[[#This Row],[project]]), "",COUNTIFS($A:$A,patch[[#This Row],[number]],$S:$S, "FL And dev",$AD:$AD, "&lt;&gt;IntegratorValidationComment"))</f>
        <v/>
      </c>
      <c r="AB573" s="7" t="str">
        <f>IF(ISBLANK(patch[[#This Row],[project]]), "",COUNTIFS($A:$A,patch[[#This Row],[number]],$S:$S, "SH And dev",$AD:$AD, "&lt;&gt;IntegratorValidationComment"))</f>
        <v/>
      </c>
      <c r="AC573" s="7" t="str">
        <f>IF(OR(ISNUMBER(FIND("Review-1", patch[[#This Row],[comments]])), ISNUMBER(FIND("Approver-1", patch[[#This Row],[comments]]))), "Review-1", "")</f>
        <v/>
      </c>
      <c r="AD5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73" s="7">
        <f>IF(ISBLANK(patch[[#This Row],[number]]),AE572,patch[[#This Row],[ifCommon]])</f>
        <v>0</v>
      </c>
    </row>
    <row r="574" spans="1:31">
      <c r="A574" s="151">
        <v>147376</v>
      </c>
      <c r="B574" s="151"/>
      <c r="C574" s="151"/>
      <c r="D574" s="151"/>
      <c r="E574" s="151"/>
      <c r="F574" s="151"/>
      <c r="G574" s="151"/>
      <c r="H574" s="151"/>
      <c r="I574" s="151"/>
      <c r="J574" s="152">
        <v>42636.731145833342</v>
      </c>
      <c r="K574" s="151"/>
      <c r="L574" s="151" t="s">
        <v>59</v>
      </c>
      <c r="M574" s="152">
        <v>42635.725173611107</v>
      </c>
      <c r="N574" s="151" t="s">
        <v>2887</v>
      </c>
      <c r="O574" s="151"/>
      <c r="P574" s="151"/>
      <c r="Q574" s="7" t="str">
        <f>IF(ISBLANK(patch[[#This Row],[OwnerEmail]]),Q573,patch[[#This Row],[OwnerEmail]])</f>
        <v>lipingx.xu@intel.com</v>
      </c>
      <c r="R574" s="7" t="str">
        <f>_xlfn.IFNA(VLOOKUP(patch[[#This Row],[tmp-owner.email]],OrgTree!$A:$K, 11, 0), "not ICG SWFW")</f>
        <v>BJ And dev</v>
      </c>
      <c r="S574" s="7" t="str">
        <f>IF(patch[[#This Row],[reviewer]]=patch[[#This Row],[tmp-owner.email]], "author", _xlfn.IFNA(VLOOKUP(patch[[#This Row],[reviewer]],OrgTree!$A:$K, 11, 0), "not ICG SWFW"))</f>
        <v>BJ And dev</v>
      </c>
      <c r="T574" s="7" t="str">
        <f>IF(ISBLANK(patch[[#This Row],[mergeDate]]), "", MID(YEAR(patch[[#This Row],[mergeDate]]), 3,2)&amp;"'ww"&amp;WEEKNUM(patch[[#This Row],[mergeDate]]))</f>
        <v>16'ww39</v>
      </c>
      <c r="U574" s="7" t="str">
        <f>IF(ISBLANK(patch[[#This Row],[mergeDate]]), U573, MID(YEAR(patch[[#This Row],[mergeDate]]), 3,2)&amp;"'m"&amp;MONTH(patch[[#This Row],[mergeDate]]))</f>
        <v>16'm9</v>
      </c>
      <c r="V574" s="7" t="str">
        <f>IF(ISBLANK(patch[[#This Row],[project]]), "",SUM(patch[[#This Row],[BJ -1 num]:[SH -1 num]]))</f>
        <v/>
      </c>
      <c r="W574" s="7" t="str">
        <f>IF(ISBLANK(patch[[#This Row],[project]]), "",COUNTIFS($A:$A,patch[[#This Row],[number]],$S:$S, "BJ And dev",$AC:$AC, "Review-1"))</f>
        <v/>
      </c>
      <c r="X574" s="7" t="str">
        <f>IF(ISBLANK(patch[[#This Row],[project]]), "",COUNTIFS($A:$A,patch[[#This Row],[number]],$S:$S, "FL And dev",$AC:$AC, "Review-1"))</f>
        <v/>
      </c>
      <c r="Y574" s="7" t="str">
        <f>IF(ISBLANK(patch[[#This Row],[project]]), "",COUNTIFS($A:$A,patch[[#This Row],[number]],$S:$S, "SH And dev",$AC:$AC, "Review-1"))</f>
        <v/>
      </c>
      <c r="Z574" s="7" t="str">
        <f>IF(ISBLANK(patch[[#This Row],[project]]), "",COUNTIFS($A:$A,patch[[#This Row],[number]],$S:$S, "BJ And dev",$AD:$AD, "&lt;&gt;IntegratorValidationComment"))</f>
        <v/>
      </c>
      <c r="AA574" s="7" t="str">
        <f>IF(ISBLANK(patch[[#This Row],[project]]), "",COUNTIFS($A:$A,patch[[#This Row],[number]],$S:$S, "FL And dev",$AD:$AD, "&lt;&gt;IntegratorValidationComment"))</f>
        <v/>
      </c>
      <c r="AB574" s="7" t="str">
        <f>IF(ISBLANK(patch[[#This Row],[project]]), "",COUNTIFS($A:$A,patch[[#This Row],[number]],$S:$S, "SH And dev",$AD:$AD, "&lt;&gt;IntegratorValidationComment"))</f>
        <v/>
      </c>
      <c r="AC574" s="7" t="str">
        <f>IF(OR(ISNUMBER(FIND("Review-1", patch[[#This Row],[comments]])), ISNUMBER(FIND("Approver-1", patch[[#This Row],[comments]]))), "Review-1", "")</f>
        <v/>
      </c>
      <c r="AD5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74" s="7">
        <f>IF(ISBLANK(patch[[#This Row],[number]]),AE573,patch[[#This Row],[ifCommon]])</f>
        <v>0</v>
      </c>
    </row>
    <row r="575" spans="1:31">
      <c r="A575" s="151">
        <v>147376</v>
      </c>
      <c r="B575" s="151"/>
      <c r="C575" s="151"/>
      <c r="D575" s="151"/>
      <c r="E575" s="151"/>
      <c r="F575" s="151"/>
      <c r="G575" s="151"/>
      <c r="H575" s="151"/>
      <c r="I575" s="151"/>
      <c r="J575" s="152">
        <v>42636.731145833342</v>
      </c>
      <c r="K575" s="151"/>
      <c r="L575" s="151" t="s">
        <v>59</v>
      </c>
      <c r="M575" s="152">
        <v>42635.725717592592</v>
      </c>
      <c r="N575" s="151" t="s">
        <v>1880</v>
      </c>
      <c r="O575" s="151"/>
      <c r="P575" s="151"/>
      <c r="Q575" s="7" t="str">
        <f>IF(ISBLANK(patch[[#This Row],[OwnerEmail]]),Q574,patch[[#This Row],[OwnerEmail]])</f>
        <v>lipingx.xu@intel.com</v>
      </c>
      <c r="R575" s="7" t="str">
        <f>_xlfn.IFNA(VLOOKUP(patch[[#This Row],[tmp-owner.email]],OrgTree!$A:$K, 11, 0), "not ICG SWFW")</f>
        <v>BJ And dev</v>
      </c>
      <c r="S575" s="7" t="str">
        <f>IF(patch[[#This Row],[reviewer]]=patch[[#This Row],[tmp-owner.email]], "author", _xlfn.IFNA(VLOOKUP(patch[[#This Row],[reviewer]],OrgTree!$A:$K, 11, 0), "not ICG SWFW"))</f>
        <v>BJ And dev</v>
      </c>
      <c r="T575" s="7" t="str">
        <f>IF(ISBLANK(patch[[#This Row],[mergeDate]]), "", MID(YEAR(patch[[#This Row],[mergeDate]]), 3,2)&amp;"'ww"&amp;WEEKNUM(patch[[#This Row],[mergeDate]]))</f>
        <v>16'ww39</v>
      </c>
      <c r="U575" s="7" t="str">
        <f>IF(ISBLANK(patch[[#This Row],[mergeDate]]), U574, MID(YEAR(patch[[#This Row],[mergeDate]]), 3,2)&amp;"'m"&amp;MONTH(patch[[#This Row],[mergeDate]]))</f>
        <v>16'm9</v>
      </c>
      <c r="V575" s="7" t="str">
        <f>IF(ISBLANK(patch[[#This Row],[project]]), "",SUM(patch[[#This Row],[BJ -1 num]:[SH -1 num]]))</f>
        <v/>
      </c>
      <c r="W575" s="7" t="str">
        <f>IF(ISBLANK(patch[[#This Row],[project]]), "",COUNTIFS($A:$A,patch[[#This Row],[number]],$S:$S, "BJ And dev",$AC:$AC, "Review-1"))</f>
        <v/>
      </c>
      <c r="X575" s="7" t="str">
        <f>IF(ISBLANK(patch[[#This Row],[project]]), "",COUNTIFS($A:$A,patch[[#This Row],[number]],$S:$S, "FL And dev",$AC:$AC, "Review-1"))</f>
        <v/>
      </c>
      <c r="Y575" s="7" t="str">
        <f>IF(ISBLANK(patch[[#This Row],[project]]), "",COUNTIFS($A:$A,patch[[#This Row],[number]],$S:$S, "SH And dev",$AC:$AC, "Review-1"))</f>
        <v/>
      </c>
      <c r="Z575" s="7" t="str">
        <f>IF(ISBLANK(patch[[#This Row],[project]]), "",COUNTIFS($A:$A,patch[[#This Row],[number]],$S:$S, "BJ And dev",$AD:$AD, "&lt;&gt;IntegratorValidationComment"))</f>
        <v/>
      </c>
      <c r="AA575" s="7" t="str">
        <f>IF(ISBLANK(patch[[#This Row],[project]]), "",COUNTIFS($A:$A,patch[[#This Row],[number]],$S:$S, "FL And dev",$AD:$AD, "&lt;&gt;IntegratorValidationComment"))</f>
        <v/>
      </c>
      <c r="AB575" s="7" t="str">
        <f>IF(ISBLANK(patch[[#This Row],[project]]), "",COUNTIFS($A:$A,patch[[#This Row],[number]],$S:$S, "SH And dev",$AD:$AD, "&lt;&gt;IntegratorValidationComment"))</f>
        <v/>
      </c>
      <c r="AC575" s="7" t="str">
        <f>IF(OR(ISNUMBER(FIND("Review-1", patch[[#This Row],[comments]])), ISNUMBER(FIND("Approver-1", patch[[#This Row],[comments]]))), "Review-1", "")</f>
        <v/>
      </c>
      <c r="AD5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75" s="7">
        <f>IF(ISBLANK(patch[[#This Row],[number]]),AE574,patch[[#This Row],[ifCommon]])</f>
        <v>0</v>
      </c>
    </row>
    <row r="576" spans="1:31">
      <c r="A576" s="151">
        <v>147376</v>
      </c>
      <c r="B576" s="151"/>
      <c r="C576" s="151"/>
      <c r="D576" s="151"/>
      <c r="E576" s="151"/>
      <c r="F576" s="151"/>
      <c r="G576" s="151"/>
      <c r="H576" s="151"/>
      <c r="I576" s="152"/>
      <c r="J576" s="152">
        <v>42636.731145833342</v>
      </c>
      <c r="K576" s="151"/>
      <c r="L576" s="151" t="s">
        <v>59</v>
      </c>
      <c r="M576" s="152">
        <v>42635.735243055547</v>
      </c>
      <c r="N576" s="151" t="s">
        <v>2888</v>
      </c>
      <c r="O576" s="151"/>
      <c r="P576" s="151"/>
      <c r="Q576" s="7" t="str">
        <f>IF(ISBLANK(patch[[#This Row],[OwnerEmail]]),Q575,patch[[#This Row],[OwnerEmail]])</f>
        <v>lipingx.xu@intel.com</v>
      </c>
      <c r="R576" s="7" t="str">
        <f>_xlfn.IFNA(VLOOKUP(patch[[#This Row],[tmp-owner.email]],OrgTree!$A:$K, 11, 0), "not ICG SWFW")</f>
        <v>BJ And dev</v>
      </c>
      <c r="S576" s="7" t="str">
        <f>IF(patch[[#This Row],[reviewer]]=patch[[#This Row],[tmp-owner.email]], "author", _xlfn.IFNA(VLOOKUP(patch[[#This Row],[reviewer]],OrgTree!$A:$K, 11, 0), "not ICG SWFW"))</f>
        <v>BJ And dev</v>
      </c>
      <c r="T576" s="7" t="str">
        <f>IF(ISBLANK(patch[[#This Row],[mergeDate]]), "", MID(YEAR(patch[[#This Row],[mergeDate]]), 3,2)&amp;"'ww"&amp;WEEKNUM(patch[[#This Row],[mergeDate]]))</f>
        <v>16'ww39</v>
      </c>
      <c r="U576" s="7" t="str">
        <f>IF(ISBLANK(patch[[#This Row],[mergeDate]]), U575, MID(YEAR(patch[[#This Row],[mergeDate]]), 3,2)&amp;"'m"&amp;MONTH(patch[[#This Row],[mergeDate]]))</f>
        <v>16'm9</v>
      </c>
      <c r="V576" s="7" t="str">
        <f>IF(ISBLANK(patch[[#This Row],[project]]), "",SUM(patch[[#This Row],[BJ -1 num]:[SH -1 num]]))</f>
        <v/>
      </c>
      <c r="W576" s="7" t="str">
        <f>IF(ISBLANK(patch[[#This Row],[project]]), "",COUNTIFS($A:$A,patch[[#This Row],[number]],$S:$S, "BJ And dev",$AC:$AC, "Review-1"))</f>
        <v/>
      </c>
      <c r="X576" s="7" t="str">
        <f>IF(ISBLANK(patch[[#This Row],[project]]), "",COUNTIFS($A:$A,patch[[#This Row],[number]],$S:$S, "FL And dev",$AC:$AC, "Review-1"))</f>
        <v/>
      </c>
      <c r="Y576" s="7" t="str">
        <f>IF(ISBLANK(patch[[#This Row],[project]]), "",COUNTIFS($A:$A,patch[[#This Row],[number]],$S:$S, "SH And dev",$AC:$AC, "Review-1"))</f>
        <v/>
      </c>
      <c r="Z576" s="7" t="str">
        <f>IF(ISBLANK(patch[[#This Row],[project]]), "",COUNTIFS($A:$A,patch[[#This Row],[number]],$S:$S, "BJ And dev",$AD:$AD, "&lt;&gt;IntegratorValidationComment"))</f>
        <v/>
      </c>
      <c r="AA576" s="7" t="str">
        <f>IF(ISBLANK(patch[[#This Row],[project]]), "",COUNTIFS($A:$A,patch[[#This Row],[number]],$S:$S, "FL And dev",$AD:$AD, "&lt;&gt;IntegratorValidationComment"))</f>
        <v/>
      </c>
      <c r="AB576" s="7" t="str">
        <f>IF(ISBLANK(patch[[#This Row],[project]]), "",COUNTIFS($A:$A,patch[[#This Row],[number]],$S:$S, "SH And dev",$AD:$AD, "&lt;&gt;IntegratorValidationComment"))</f>
        <v/>
      </c>
      <c r="AC576" s="7" t="str">
        <f>IF(OR(ISNUMBER(FIND("Review-1", patch[[#This Row],[comments]])), ISNUMBER(FIND("Approver-1", patch[[#This Row],[comments]]))), "Review-1", "")</f>
        <v/>
      </c>
      <c r="AD5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76" s="7">
        <f>IF(ISBLANK(patch[[#This Row],[number]]),AE575,patch[[#This Row],[ifCommon]])</f>
        <v>0</v>
      </c>
    </row>
    <row r="577" spans="1:31">
      <c r="A577" s="151">
        <v>147376</v>
      </c>
      <c r="B577" s="151"/>
      <c r="C577" s="151"/>
      <c r="D577" s="151"/>
      <c r="E577" s="151"/>
      <c r="F577" s="151"/>
      <c r="G577" s="151"/>
      <c r="H577" s="151"/>
      <c r="I577" s="151"/>
      <c r="J577" s="152">
        <v>42636.731145833342</v>
      </c>
      <c r="K577" s="151"/>
      <c r="L577" s="151" t="s">
        <v>115</v>
      </c>
      <c r="M577" s="152">
        <v>42636.498819444438</v>
      </c>
      <c r="N577" s="151" t="s">
        <v>2494</v>
      </c>
      <c r="O577" s="151"/>
      <c r="P577" s="151"/>
      <c r="Q577" s="7" t="str">
        <f>IF(ISBLANK(patch[[#This Row],[OwnerEmail]]),Q576,patch[[#This Row],[OwnerEmail]])</f>
        <v>lipingx.xu@intel.com</v>
      </c>
      <c r="R577" s="7" t="str">
        <f>_xlfn.IFNA(VLOOKUP(patch[[#This Row],[tmp-owner.email]],OrgTree!$A:$K, 11, 0), "not ICG SWFW")</f>
        <v>BJ And dev</v>
      </c>
      <c r="S577" s="7" t="str">
        <f>IF(patch[[#This Row],[reviewer]]=patch[[#This Row],[tmp-owner.email]], "author", _xlfn.IFNA(VLOOKUP(patch[[#This Row],[reviewer]],OrgTree!$A:$K, 11, 0), "not ICG SWFW"))</f>
        <v>Val</v>
      </c>
      <c r="T577" s="7" t="str">
        <f>IF(ISBLANK(patch[[#This Row],[mergeDate]]), "", MID(YEAR(patch[[#This Row],[mergeDate]]), 3,2)&amp;"'ww"&amp;WEEKNUM(patch[[#This Row],[mergeDate]]))</f>
        <v>16'ww39</v>
      </c>
      <c r="U577" s="7" t="str">
        <f>IF(ISBLANK(patch[[#This Row],[mergeDate]]), U576, MID(YEAR(patch[[#This Row],[mergeDate]]), 3,2)&amp;"'m"&amp;MONTH(patch[[#This Row],[mergeDate]]))</f>
        <v>16'm9</v>
      </c>
      <c r="V577" s="7" t="str">
        <f>IF(ISBLANK(patch[[#This Row],[project]]), "",SUM(patch[[#This Row],[BJ -1 num]:[SH -1 num]]))</f>
        <v/>
      </c>
      <c r="W577" s="7" t="str">
        <f>IF(ISBLANK(patch[[#This Row],[project]]), "",COUNTIFS($A:$A,patch[[#This Row],[number]],$S:$S, "BJ And dev",$AC:$AC, "Review-1"))</f>
        <v/>
      </c>
      <c r="X577" s="7" t="str">
        <f>IF(ISBLANK(patch[[#This Row],[project]]), "",COUNTIFS($A:$A,patch[[#This Row],[number]],$S:$S, "FL And dev",$AC:$AC, "Review-1"))</f>
        <v/>
      </c>
      <c r="Y577" s="7" t="str">
        <f>IF(ISBLANK(patch[[#This Row],[project]]), "",COUNTIFS($A:$A,patch[[#This Row],[number]],$S:$S, "SH And dev",$AC:$AC, "Review-1"))</f>
        <v/>
      </c>
      <c r="Z577" s="7" t="str">
        <f>IF(ISBLANK(patch[[#This Row],[project]]), "",COUNTIFS($A:$A,patch[[#This Row],[number]],$S:$S, "BJ And dev",$AD:$AD, "&lt;&gt;IntegratorValidationComment"))</f>
        <v/>
      </c>
      <c r="AA577" s="7" t="str">
        <f>IF(ISBLANK(patch[[#This Row],[project]]), "",COUNTIFS($A:$A,patch[[#This Row],[number]],$S:$S, "FL And dev",$AD:$AD, "&lt;&gt;IntegratorValidationComment"))</f>
        <v/>
      </c>
      <c r="AB577" s="7" t="str">
        <f>IF(ISBLANK(patch[[#This Row],[project]]), "",COUNTIFS($A:$A,patch[[#This Row],[number]],$S:$S, "SH And dev",$AD:$AD, "&lt;&gt;IntegratorValidationComment"))</f>
        <v/>
      </c>
      <c r="AC577" s="7" t="str">
        <f>IF(OR(ISNUMBER(FIND("Review-1", patch[[#This Row],[comments]])), ISNUMBER(FIND("Approver-1", patch[[#This Row],[comments]]))), "Review-1", "")</f>
        <v/>
      </c>
      <c r="AD5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577" s="7">
        <f>IF(ISBLANK(patch[[#This Row],[number]]),AE576,patch[[#This Row],[ifCommon]])</f>
        <v>0</v>
      </c>
    </row>
    <row r="578" spans="1:31">
      <c r="A578" s="151">
        <v>147378</v>
      </c>
      <c r="B578" s="151" t="s">
        <v>2490</v>
      </c>
      <c r="C578" s="151" t="s">
        <v>2795</v>
      </c>
      <c r="D578" s="151" t="s">
        <v>2889</v>
      </c>
      <c r="E578" s="151" t="s">
        <v>677</v>
      </c>
      <c r="F578" s="151" t="s">
        <v>23</v>
      </c>
      <c r="G578" s="151" t="s">
        <v>2890</v>
      </c>
      <c r="H578" s="151" t="s">
        <v>2891</v>
      </c>
      <c r="I578" s="152">
        <v>42635.721296296288</v>
      </c>
      <c r="J578" s="152">
        <v>42636.731087962973</v>
      </c>
      <c r="K578" s="151" t="s">
        <v>2445</v>
      </c>
      <c r="L578" s="151" t="s">
        <v>677</v>
      </c>
      <c r="M578" s="152">
        <v>42635.721296296288</v>
      </c>
      <c r="N578" s="151" t="s">
        <v>25</v>
      </c>
      <c r="O578" s="151"/>
      <c r="P578" s="151" t="s">
        <v>59</v>
      </c>
      <c r="Q578" s="7" t="str">
        <f>IF(ISBLANK(patch[[#This Row],[OwnerEmail]]),Q577,patch[[#This Row],[OwnerEmail]])</f>
        <v>lipingx.xu@intel.com</v>
      </c>
      <c r="R578" s="7" t="str">
        <f>_xlfn.IFNA(VLOOKUP(patch[[#This Row],[tmp-owner.email]],OrgTree!$A:$K, 11, 0), "not ICG SWFW")</f>
        <v>BJ And dev</v>
      </c>
      <c r="S578" s="7" t="str">
        <f>IF(patch[[#This Row],[reviewer]]=patch[[#This Row],[tmp-owner.email]], "author", _xlfn.IFNA(VLOOKUP(patch[[#This Row],[reviewer]],OrgTree!$A:$K, 11, 0), "not ICG SWFW"))</f>
        <v>author</v>
      </c>
      <c r="T578" s="7" t="str">
        <f>IF(ISBLANK(patch[[#This Row],[mergeDate]]), "", MID(YEAR(patch[[#This Row],[mergeDate]]), 3,2)&amp;"'ww"&amp;WEEKNUM(patch[[#This Row],[mergeDate]]))</f>
        <v>16'ww39</v>
      </c>
      <c r="U578" s="7" t="str">
        <f>IF(ISBLANK(patch[[#This Row],[mergeDate]]), U577, MID(YEAR(patch[[#This Row],[mergeDate]]), 3,2)&amp;"'m"&amp;MONTH(patch[[#This Row],[mergeDate]]))</f>
        <v>16'm9</v>
      </c>
      <c r="V578" s="7">
        <f>IF(ISBLANK(patch[[#This Row],[project]]), "",SUM(patch[[#This Row],[BJ -1 num]:[SH -1 num]]))</f>
        <v>0</v>
      </c>
      <c r="W578" s="7">
        <f>IF(ISBLANK(patch[[#This Row],[project]]), "",COUNTIFS($A:$A,patch[[#This Row],[number]],$S:$S, "BJ And dev",$AC:$AC, "Review-1"))</f>
        <v>0</v>
      </c>
      <c r="X578" s="7">
        <f>IF(ISBLANK(patch[[#This Row],[project]]), "",COUNTIFS($A:$A,patch[[#This Row],[number]],$S:$S, "FL And dev",$AC:$AC, "Review-1"))</f>
        <v>0</v>
      </c>
      <c r="Y578" s="7">
        <f>IF(ISBLANK(patch[[#This Row],[project]]), "",COUNTIFS($A:$A,patch[[#This Row],[number]],$S:$S, "SH And dev",$AC:$AC, "Review-1"))</f>
        <v>0</v>
      </c>
      <c r="Z578" s="7">
        <f>IF(ISBLANK(patch[[#This Row],[project]]), "",COUNTIFS($A:$A,patch[[#This Row],[number]],$S:$S, "BJ And dev",$AD:$AD, "&lt;&gt;IntegratorValidationComment"))</f>
        <v>3</v>
      </c>
      <c r="AA578" s="7">
        <f>IF(ISBLANK(patch[[#This Row],[project]]), "",COUNTIFS($A:$A,patch[[#This Row],[number]],$S:$S, "FL And dev",$AD:$AD, "&lt;&gt;IntegratorValidationComment"))</f>
        <v>0</v>
      </c>
      <c r="AB578" s="7">
        <f>IF(ISBLANK(patch[[#This Row],[project]]), "",COUNTIFS($A:$A,patch[[#This Row],[number]],$S:$S, "SH And dev",$AD:$AD, "&lt;&gt;IntegratorValidationComment"))</f>
        <v>0</v>
      </c>
      <c r="AC578" s="7" t="str">
        <f>IF(OR(ISNUMBER(FIND("Review-1", patch[[#This Row],[comments]])), ISNUMBER(FIND("Approver-1", patch[[#This Row],[comments]]))), "Review-1", "")</f>
        <v/>
      </c>
      <c r="AD5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78" s="7" t="str">
        <f>IF(ISBLANK(patch[[#This Row],[number]]),AE577,patch[[#This Row],[ifCommon]])</f>
        <v>not AndrHAL</v>
      </c>
    </row>
    <row r="579" spans="1:31">
      <c r="A579" s="151">
        <v>147378</v>
      </c>
      <c r="B579" s="151"/>
      <c r="C579" s="151"/>
      <c r="D579" s="151"/>
      <c r="E579" s="151"/>
      <c r="F579" s="151"/>
      <c r="G579" s="151"/>
      <c r="H579" s="151"/>
      <c r="I579" s="151"/>
      <c r="J579" s="152">
        <v>42636.731087962973</v>
      </c>
      <c r="K579" s="151"/>
      <c r="L579" s="151" t="s">
        <v>677</v>
      </c>
      <c r="M579" s="152">
        <v>42635.721319444441</v>
      </c>
      <c r="N579" s="151" t="s">
        <v>2428</v>
      </c>
      <c r="O579" s="151"/>
      <c r="P579" s="151"/>
      <c r="Q579" s="7" t="str">
        <f>IF(ISBLANK(patch[[#This Row],[OwnerEmail]]),Q578,patch[[#This Row],[OwnerEmail]])</f>
        <v>lipingx.xu@intel.com</v>
      </c>
      <c r="R579" s="7" t="str">
        <f>_xlfn.IFNA(VLOOKUP(patch[[#This Row],[tmp-owner.email]],OrgTree!$A:$K, 11, 0), "not ICG SWFW")</f>
        <v>BJ And dev</v>
      </c>
      <c r="S579" s="7" t="str">
        <f>IF(patch[[#This Row],[reviewer]]=patch[[#This Row],[tmp-owner.email]], "author", _xlfn.IFNA(VLOOKUP(patch[[#This Row],[reviewer]],OrgTree!$A:$K, 11, 0), "not ICG SWFW"))</f>
        <v>author</v>
      </c>
      <c r="T579" s="7" t="str">
        <f>IF(ISBLANK(patch[[#This Row],[mergeDate]]), "", MID(YEAR(patch[[#This Row],[mergeDate]]), 3,2)&amp;"'ww"&amp;WEEKNUM(patch[[#This Row],[mergeDate]]))</f>
        <v>16'ww39</v>
      </c>
      <c r="U579" s="7" t="str">
        <f>IF(ISBLANK(patch[[#This Row],[mergeDate]]), U578, MID(YEAR(patch[[#This Row],[mergeDate]]), 3,2)&amp;"'m"&amp;MONTH(patch[[#This Row],[mergeDate]]))</f>
        <v>16'm9</v>
      </c>
      <c r="V579" s="7" t="str">
        <f>IF(ISBLANK(patch[[#This Row],[project]]), "",SUM(patch[[#This Row],[BJ -1 num]:[SH -1 num]]))</f>
        <v/>
      </c>
      <c r="W579" s="7" t="str">
        <f>IF(ISBLANK(patch[[#This Row],[project]]), "",COUNTIFS($A:$A,patch[[#This Row],[number]],$S:$S, "BJ And dev",$AC:$AC, "Review-1"))</f>
        <v/>
      </c>
      <c r="X579" s="7" t="str">
        <f>IF(ISBLANK(patch[[#This Row],[project]]), "",COUNTIFS($A:$A,patch[[#This Row],[number]],$S:$S, "FL And dev",$AC:$AC, "Review-1"))</f>
        <v/>
      </c>
      <c r="Y579" s="7" t="str">
        <f>IF(ISBLANK(patch[[#This Row],[project]]), "",COUNTIFS($A:$A,patch[[#This Row],[number]],$S:$S, "SH And dev",$AC:$AC, "Review-1"))</f>
        <v/>
      </c>
      <c r="Z579" s="7" t="str">
        <f>IF(ISBLANK(patch[[#This Row],[project]]), "",COUNTIFS($A:$A,patch[[#This Row],[number]],$S:$S, "BJ And dev",$AD:$AD, "&lt;&gt;IntegratorValidationComment"))</f>
        <v/>
      </c>
      <c r="AA579" s="7" t="str">
        <f>IF(ISBLANK(patch[[#This Row],[project]]), "",COUNTIFS($A:$A,patch[[#This Row],[number]],$S:$S, "FL And dev",$AD:$AD, "&lt;&gt;IntegratorValidationComment"))</f>
        <v/>
      </c>
      <c r="AB579" s="7" t="str">
        <f>IF(ISBLANK(patch[[#This Row],[project]]), "",COUNTIFS($A:$A,patch[[#This Row],[number]],$S:$S, "SH And dev",$AD:$AD, "&lt;&gt;IntegratorValidationComment"))</f>
        <v/>
      </c>
      <c r="AC579" s="7" t="str">
        <f>IF(OR(ISNUMBER(FIND("Review-1", patch[[#This Row],[comments]])), ISNUMBER(FIND("Approver-1", patch[[#This Row],[comments]]))), "Review-1", "")</f>
        <v/>
      </c>
      <c r="AD5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79" s="7">
        <f>IF(ISBLANK(patch[[#This Row],[number]]),AE578,patch[[#This Row],[ifCommon]])</f>
        <v>0</v>
      </c>
    </row>
    <row r="580" spans="1:31">
      <c r="A580" s="151">
        <v>147378</v>
      </c>
      <c r="B580" s="151"/>
      <c r="C580" s="151"/>
      <c r="D580" s="151"/>
      <c r="E580" s="151"/>
      <c r="F580" s="151"/>
      <c r="G580" s="151"/>
      <c r="H580" s="151"/>
      <c r="I580" s="151"/>
      <c r="J580" s="152">
        <v>42636.731087962973</v>
      </c>
      <c r="K580" s="151"/>
      <c r="L580" s="151" t="s">
        <v>677</v>
      </c>
      <c r="M580" s="152">
        <v>42635.725173611107</v>
      </c>
      <c r="N580" s="151" t="s">
        <v>40</v>
      </c>
      <c r="O580" s="151"/>
      <c r="P580" s="151"/>
      <c r="Q580" s="7" t="str">
        <f>IF(ISBLANK(patch[[#This Row],[OwnerEmail]]),Q579,patch[[#This Row],[OwnerEmail]])</f>
        <v>lipingx.xu@intel.com</v>
      </c>
      <c r="R580" s="7" t="str">
        <f>_xlfn.IFNA(VLOOKUP(patch[[#This Row],[tmp-owner.email]],OrgTree!$A:$K, 11, 0), "not ICG SWFW")</f>
        <v>BJ And dev</v>
      </c>
      <c r="S580" s="7" t="str">
        <f>IF(patch[[#This Row],[reviewer]]=patch[[#This Row],[tmp-owner.email]], "author", _xlfn.IFNA(VLOOKUP(patch[[#This Row],[reviewer]],OrgTree!$A:$K, 11, 0), "not ICG SWFW"))</f>
        <v>author</v>
      </c>
      <c r="T580" s="7" t="str">
        <f>IF(ISBLANK(patch[[#This Row],[mergeDate]]), "", MID(YEAR(patch[[#This Row],[mergeDate]]), 3,2)&amp;"'ww"&amp;WEEKNUM(patch[[#This Row],[mergeDate]]))</f>
        <v>16'ww39</v>
      </c>
      <c r="U580" s="7" t="str">
        <f>IF(ISBLANK(patch[[#This Row],[mergeDate]]), U579, MID(YEAR(patch[[#This Row],[mergeDate]]), 3,2)&amp;"'m"&amp;MONTH(patch[[#This Row],[mergeDate]]))</f>
        <v>16'm9</v>
      </c>
      <c r="V580" s="7" t="str">
        <f>IF(ISBLANK(patch[[#This Row],[project]]), "",SUM(patch[[#This Row],[BJ -1 num]:[SH -1 num]]))</f>
        <v/>
      </c>
      <c r="W580" s="7" t="str">
        <f>IF(ISBLANK(patch[[#This Row],[project]]), "",COUNTIFS($A:$A,patch[[#This Row],[number]],$S:$S, "BJ And dev",$AC:$AC, "Review-1"))</f>
        <v/>
      </c>
      <c r="X580" s="7" t="str">
        <f>IF(ISBLANK(patch[[#This Row],[project]]), "",COUNTIFS($A:$A,patch[[#This Row],[number]],$S:$S, "FL And dev",$AC:$AC, "Review-1"))</f>
        <v/>
      </c>
      <c r="Y580" s="7" t="str">
        <f>IF(ISBLANK(patch[[#This Row],[project]]), "",COUNTIFS($A:$A,patch[[#This Row],[number]],$S:$S, "SH And dev",$AC:$AC, "Review-1"))</f>
        <v/>
      </c>
      <c r="Z580" s="7" t="str">
        <f>IF(ISBLANK(patch[[#This Row],[project]]), "",COUNTIFS($A:$A,patch[[#This Row],[number]],$S:$S, "BJ And dev",$AD:$AD, "&lt;&gt;IntegratorValidationComment"))</f>
        <v/>
      </c>
      <c r="AA580" s="7" t="str">
        <f>IF(ISBLANK(patch[[#This Row],[project]]), "",COUNTIFS($A:$A,patch[[#This Row],[number]],$S:$S, "FL And dev",$AD:$AD, "&lt;&gt;IntegratorValidationComment"))</f>
        <v/>
      </c>
      <c r="AB580" s="7" t="str">
        <f>IF(ISBLANK(patch[[#This Row],[project]]), "",COUNTIFS($A:$A,patch[[#This Row],[number]],$S:$S, "SH And dev",$AD:$AD, "&lt;&gt;IntegratorValidationComment"))</f>
        <v/>
      </c>
      <c r="AC580" s="7" t="str">
        <f>IF(OR(ISNUMBER(FIND("Review-1", patch[[#This Row],[comments]])), ISNUMBER(FIND("Approver-1", patch[[#This Row],[comments]]))), "Review-1", "")</f>
        <v/>
      </c>
      <c r="AD5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80" s="7">
        <f>IF(ISBLANK(patch[[#This Row],[number]]),AE579,patch[[#This Row],[ifCommon]])</f>
        <v>0</v>
      </c>
    </row>
    <row r="581" spans="1:31">
      <c r="A581" s="151">
        <v>147378</v>
      </c>
      <c r="B581" s="151"/>
      <c r="C581" s="151"/>
      <c r="D581" s="151"/>
      <c r="E581" s="151"/>
      <c r="F581" s="151"/>
      <c r="G581" s="151"/>
      <c r="H581" s="151"/>
      <c r="I581" s="152"/>
      <c r="J581" s="152">
        <v>42636.731087962973</v>
      </c>
      <c r="K581" s="151"/>
      <c r="L581" s="151" t="s">
        <v>59</v>
      </c>
      <c r="M581" s="152">
        <v>42635.725208333337</v>
      </c>
      <c r="N581" s="151" t="s">
        <v>2892</v>
      </c>
      <c r="O581" s="151"/>
      <c r="P581" s="151"/>
      <c r="Q581" s="7" t="str">
        <f>IF(ISBLANK(patch[[#This Row],[OwnerEmail]]),Q580,patch[[#This Row],[OwnerEmail]])</f>
        <v>lipingx.xu@intel.com</v>
      </c>
      <c r="R581" s="7" t="str">
        <f>_xlfn.IFNA(VLOOKUP(patch[[#This Row],[tmp-owner.email]],OrgTree!$A:$K, 11, 0), "not ICG SWFW")</f>
        <v>BJ And dev</v>
      </c>
      <c r="S581" s="7" t="str">
        <f>IF(patch[[#This Row],[reviewer]]=patch[[#This Row],[tmp-owner.email]], "author", _xlfn.IFNA(VLOOKUP(patch[[#This Row],[reviewer]],OrgTree!$A:$K, 11, 0), "not ICG SWFW"))</f>
        <v>BJ And dev</v>
      </c>
      <c r="T581" s="7" t="str">
        <f>IF(ISBLANK(patch[[#This Row],[mergeDate]]), "", MID(YEAR(patch[[#This Row],[mergeDate]]), 3,2)&amp;"'ww"&amp;WEEKNUM(patch[[#This Row],[mergeDate]]))</f>
        <v>16'ww39</v>
      </c>
      <c r="U581" s="7" t="str">
        <f>IF(ISBLANK(patch[[#This Row],[mergeDate]]), U580, MID(YEAR(patch[[#This Row],[mergeDate]]), 3,2)&amp;"'m"&amp;MONTH(patch[[#This Row],[mergeDate]]))</f>
        <v>16'm9</v>
      </c>
      <c r="V581" s="7" t="str">
        <f>IF(ISBLANK(patch[[#This Row],[project]]), "",SUM(patch[[#This Row],[BJ -1 num]:[SH -1 num]]))</f>
        <v/>
      </c>
      <c r="W581" s="7" t="str">
        <f>IF(ISBLANK(patch[[#This Row],[project]]), "",COUNTIFS($A:$A,patch[[#This Row],[number]],$S:$S, "BJ And dev",$AC:$AC, "Review-1"))</f>
        <v/>
      </c>
      <c r="X581" s="7" t="str">
        <f>IF(ISBLANK(patch[[#This Row],[project]]), "",COUNTIFS($A:$A,patch[[#This Row],[number]],$S:$S, "FL And dev",$AC:$AC, "Review-1"))</f>
        <v/>
      </c>
      <c r="Y581" s="7" t="str">
        <f>IF(ISBLANK(patch[[#This Row],[project]]), "",COUNTIFS($A:$A,patch[[#This Row],[number]],$S:$S, "SH And dev",$AC:$AC, "Review-1"))</f>
        <v/>
      </c>
      <c r="Z581" s="7" t="str">
        <f>IF(ISBLANK(patch[[#This Row],[project]]), "",COUNTIFS($A:$A,patch[[#This Row],[number]],$S:$S, "BJ And dev",$AD:$AD, "&lt;&gt;IntegratorValidationComment"))</f>
        <v/>
      </c>
      <c r="AA581" s="7" t="str">
        <f>IF(ISBLANK(patch[[#This Row],[project]]), "",COUNTIFS($A:$A,patch[[#This Row],[number]],$S:$S, "FL And dev",$AD:$AD, "&lt;&gt;IntegratorValidationComment"))</f>
        <v/>
      </c>
      <c r="AB581" s="7" t="str">
        <f>IF(ISBLANK(patch[[#This Row],[project]]), "",COUNTIFS($A:$A,patch[[#This Row],[number]],$S:$S, "SH And dev",$AD:$AD, "&lt;&gt;IntegratorValidationComment"))</f>
        <v/>
      </c>
      <c r="AC581" s="7" t="str">
        <f>IF(OR(ISNUMBER(FIND("Review-1", patch[[#This Row],[comments]])), ISNUMBER(FIND("Approver-1", patch[[#This Row],[comments]]))), "Review-1", "")</f>
        <v/>
      </c>
      <c r="AD5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81" s="7">
        <f>IF(ISBLANK(patch[[#This Row],[number]]),AE580,patch[[#This Row],[ifCommon]])</f>
        <v>0</v>
      </c>
    </row>
    <row r="582" spans="1:31">
      <c r="A582" s="151">
        <v>147378</v>
      </c>
      <c r="B582" s="151"/>
      <c r="C582" s="151"/>
      <c r="D582" s="151"/>
      <c r="E582" s="151"/>
      <c r="F582" s="151"/>
      <c r="G582" s="151"/>
      <c r="H582" s="151"/>
      <c r="I582" s="151"/>
      <c r="J582" s="152">
        <v>42636.731087962973</v>
      </c>
      <c r="K582" s="151"/>
      <c r="L582" s="151" t="s">
        <v>59</v>
      </c>
      <c r="M582" s="152">
        <v>42635.725844907407</v>
      </c>
      <c r="N582" s="151" t="s">
        <v>1880</v>
      </c>
      <c r="O582" s="151"/>
      <c r="P582" s="151"/>
      <c r="Q582" s="7" t="str">
        <f>IF(ISBLANK(patch[[#This Row],[OwnerEmail]]),Q581,patch[[#This Row],[OwnerEmail]])</f>
        <v>lipingx.xu@intel.com</v>
      </c>
      <c r="R582" s="7" t="str">
        <f>_xlfn.IFNA(VLOOKUP(patch[[#This Row],[tmp-owner.email]],OrgTree!$A:$K, 11, 0), "not ICG SWFW")</f>
        <v>BJ And dev</v>
      </c>
      <c r="S582" s="7" t="str">
        <f>IF(patch[[#This Row],[reviewer]]=patch[[#This Row],[tmp-owner.email]], "author", _xlfn.IFNA(VLOOKUP(patch[[#This Row],[reviewer]],OrgTree!$A:$K, 11, 0), "not ICG SWFW"))</f>
        <v>BJ And dev</v>
      </c>
      <c r="T582" s="7" t="str">
        <f>IF(ISBLANK(patch[[#This Row],[mergeDate]]), "", MID(YEAR(patch[[#This Row],[mergeDate]]), 3,2)&amp;"'ww"&amp;WEEKNUM(patch[[#This Row],[mergeDate]]))</f>
        <v>16'ww39</v>
      </c>
      <c r="U582" s="7" t="str">
        <f>IF(ISBLANK(patch[[#This Row],[mergeDate]]), U581, MID(YEAR(patch[[#This Row],[mergeDate]]), 3,2)&amp;"'m"&amp;MONTH(patch[[#This Row],[mergeDate]]))</f>
        <v>16'm9</v>
      </c>
      <c r="V582" s="7" t="str">
        <f>IF(ISBLANK(patch[[#This Row],[project]]), "",SUM(patch[[#This Row],[BJ -1 num]:[SH -1 num]]))</f>
        <v/>
      </c>
      <c r="W582" s="7" t="str">
        <f>IF(ISBLANK(patch[[#This Row],[project]]), "",COUNTIFS($A:$A,patch[[#This Row],[number]],$S:$S, "BJ And dev",$AC:$AC, "Review-1"))</f>
        <v/>
      </c>
      <c r="X582" s="7" t="str">
        <f>IF(ISBLANK(patch[[#This Row],[project]]), "",COUNTIFS($A:$A,patch[[#This Row],[number]],$S:$S, "FL And dev",$AC:$AC, "Review-1"))</f>
        <v/>
      </c>
      <c r="Y582" s="7" t="str">
        <f>IF(ISBLANK(patch[[#This Row],[project]]), "",COUNTIFS($A:$A,patch[[#This Row],[number]],$S:$S, "SH And dev",$AC:$AC, "Review-1"))</f>
        <v/>
      </c>
      <c r="Z582" s="7" t="str">
        <f>IF(ISBLANK(patch[[#This Row],[project]]), "",COUNTIFS($A:$A,patch[[#This Row],[number]],$S:$S, "BJ And dev",$AD:$AD, "&lt;&gt;IntegratorValidationComment"))</f>
        <v/>
      </c>
      <c r="AA582" s="7" t="str">
        <f>IF(ISBLANK(patch[[#This Row],[project]]), "",COUNTIFS($A:$A,patch[[#This Row],[number]],$S:$S, "FL And dev",$AD:$AD, "&lt;&gt;IntegratorValidationComment"))</f>
        <v/>
      </c>
      <c r="AB582" s="7" t="str">
        <f>IF(ISBLANK(patch[[#This Row],[project]]), "",COUNTIFS($A:$A,patch[[#This Row],[number]],$S:$S, "SH And dev",$AD:$AD, "&lt;&gt;IntegratorValidationComment"))</f>
        <v/>
      </c>
      <c r="AC582" s="7" t="str">
        <f>IF(OR(ISNUMBER(FIND("Review-1", patch[[#This Row],[comments]])), ISNUMBER(FIND("Approver-1", patch[[#This Row],[comments]]))), "Review-1", "")</f>
        <v/>
      </c>
      <c r="AD5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82" s="7">
        <f>IF(ISBLANK(patch[[#This Row],[number]]),AE581,patch[[#This Row],[ifCommon]])</f>
        <v>0</v>
      </c>
    </row>
    <row r="583" spans="1:31">
      <c r="A583" s="151">
        <v>147378</v>
      </c>
      <c r="B583" s="151"/>
      <c r="C583" s="151"/>
      <c r="D583" s="151"/>
      <c r="E583" s="151"/>
      <c r="F583" s="151"/>
      <c r="G583" s="151"/>
      <c r="H583" s="151"/>
      <c r="I583" s="151"/>
      <c r="J583" s="152">
        <v>42636.731087962973</v>
      </c>
      <c r="K583" s="151"/>
      <c r="L583" s="151" t="s">
        <v>59</v>
      </c>
      <c r="M583" s="152">
        <v>42635.731759259259</v>
      </c>
      <c r="N583" s="151" t="s">
        <v>2893</v>
      </c>
      <c r="O583" s="151"/>
      <c r="P583" s="151"/>
      <c r="Q583" s="7" t="str">
        <f>IF(ISBLANK(patch[[#This Row],[OwnerEmail]]),Q582,patch[[#This Row],[OwnerEmail]])</f>
        <v>lipingx.xu@intel.com</v>
      </c>
      <c r="R583" s="7" t="str">
        <f>_xlfn.IFNA(VLOOKUP(patch[[#This Row],[tmp-owner.email]],OrgTree!$A:$K, 11, 0), "not ICG SWFW")</f>
        <v>BJ And dev</v>
      </c>
      <c r="S583" s="7" t="str">
        <f>IF(patch[[#This Row],[reviewer]]=patch[[#This Row],[tmp-owner.email]], "author", _xlfn.IFNA(VLOOKUP(patch[[#This Row],[reviewer]],OrgTree!$A:$K, 11, 0), "not ICG SWFW"))</f>
        <v>BJ And dev</v>
      </c>
      <c r="T583" s="7" t="str">
        <f>IF(ISBLANK(patch[[#This Row],[mergeDate]]), "", MID(YEAR(patch[[#This Row],[mergeDate]]), 3,2)&amp;"'ww"&amp;WEEKNUM(patch[[#This Row],[mergeDate]]))</f>
        <v>16'ww39</v>
      </c>
      <c r="U583" s="7" t="str">
        <f>IF(ISBLANK(patch[[#This Row],[mergeDate]]), U582, MID(YEAR(patch[[#This Row],[mergeDate]]), 3,2)&amp;"'m"&amp;MONTH(patch[[#This Row],[mergeDate]]))</f>
        <v>16'm9</v>
      </c>
      <c r="V583" s="7" t="str">
        <f>IF(ISBLANK(patch[[#This Row],[project]]), "",SUM(patch[[#This Row],[BJ -1 num]:[SH -1 num]]))</f>
        <v/>
      </c>
      <c r="W583" s="7" t="str">
        <f>IF(ISBLANK(patch[[#This Row],[project]]), "",COUNTIFS($A:$A,patch[[#This Row],[number]],$S:$S, "BJ And dev",$AC:$AC, "Review-1"))</f>
        <v/>
      </c>
      <c r="X583" s="7" t="str">
        <f>IF(ISBLANK(patch[[#This Row],[project]]), "",COUNTIFS($A:$A,patch[[#This Row],[number]],$S:$S, "FL And dev",$AC:$AC, "Review-1"))</f>
        <v/>
      </c>
      <c r="Y583" s="7" t="str">
        <f>IF(ISBLANK(patch[[#This Row],[project]]), "",COUNTIFS($A:$A,patch[[#This Row],[number]],$S:$S, "SH And dev",$AC:$AC, "Review-1"))</f>
        <v/>
      </c>
      <c r="Z583" s="7" t="str">
        <f>IF(ISBLANK(patch[[#This Row],[project]]), "",COUNTIFS($A:$A,patch[[#This Row],[number]],$S:$S, "BJ And dev",$AD:$AD, "&lt;&gt;IntegratorValidationComment"))</f>
        <v/>
      </c>
      <c r="AA583" s="7" t="str">
        <f>IF(ISBLANK(patch[[#This Row],[project]]), "",COUNTIFS($A:$A,patch[[#This Row],[number]],$S:$S, "FL And dev",$AD:$AD, "&lt;&gt;IntegratorValidationComment"))</f>
        <v/>
      </c>
      <c r="AB583" s="7" t="str">
        <f>IF(ISBLANK(patch[[#This Row],[project]]), "",COUNTIFS($A:$A,patch[[#This Row],[number]],$S:$S, "SH And dev",$AD:$AD, "&lt;&gt;IntegratorValidationComment"))</f>
        <v/>
      </c>
      <c r="AC583" s="7" t="str">
        <f>IF(OR(ISNUMBER(FIND("Review-1", patch[[#This Row],[comments]])), ISNUMBER(FIND("Approver-1", patch[[#This Row],[comments]]))), "Review-1", "")</f>
        <v/>
      </c>
      <c r="AD5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83" s="7">
        <f>IF(ISBLANK(patch[[#This Row],[number]]),AE582,patch[[#This Row],[ifCommon]])</f>
        <v>0</v>
      </c>
    </row>
    <row r="584" spans="1:31">
      <c r="A584" s="151">
        <v>147378</v>
      </c>
      <c r="B584" s="151"/>
      <c r="C584" s="151"/>
      <c r="D584" s="151"/>
      <c r="E584" s="151"/>
      <c r="F584" s="151"/>
      <c r="G584" s="151"/>
      <c r="H584" s="151"/>
      <c r="I584" s="152"/>
      <c r="J584" s="152">
        <v>42636.731087962973</v>
      </c>
      <c r="K584" s="151"/>
      <c r="L584" s="151" t="s">
        <v>115</v>
      </c>
      <c r="M584" s="152">
        <v>42636.498877314807</v>
      </c>
      <c r="N584" s="151" t="s">
        <v>2494</v>
      </c>
      <c r="O584" s="151"/>
      <c r="P584" s="151"/>
      <c r="Q584" s="7" t="str">
        <f>IF(ISBLANK(patch[[#This Row],[OwnerEmail]]),Q583,patch[[#This Row],[OwnerEmail]])</f>
        <v>lipingx.xu@intel.com</v>
      </c>
      <c r="R584" s="7" t="str">
        <f>_xlfn.IFNA(VLOOKUP(patch[[#This Row],[tmp-owner.email]],OrgTree!$A:$K, 11, 0), "not ICG SWFW")</f>
        <v>BJ And dev</v>
      </c>
      <c r="S584" s="7" t="str">
        <f>IF(patch[[#This Row],[reviewer]]=patch[[#This Row],[tmp-owner.email]], "author", _xlfn.IFNA(VLOOKUP(patch[[#This Row],[reviewer]],OrgTree!$A:$K, 11, 0), "not ICG SWFW"))</f>
        <v>Val</v>
      </c>
      <c r="T584" s="7" t="str">
        <f>IF(ISBLANK(patch[[#This Row],[mergeDate]]), "", MID(YEAR(patch[[#This Row],[mergeDate]]), 3,2)&amp;"'ww"&amp;WEEKNUM(patch[[#This Row],[mergeDate]]))</f>
        <v>16'ww39</v>
      </c>
      <c r="U584" s="7" t="str">
        <f>IF(ISBLANK(patch[[#This Row],[mergeDate]]), U583, MID(YEAR(patch[[#This Row],[mergeDate]]), 3,2)&amp;"'m"&amp;MONTH(patch[[#This Row],[mergeDate]]))</f>
        <v>16'm9</v>
      </c>
      <c r="V584" s="7" t="str">
        <f>IF(ISBLANK(patch[[#This Row],[project]]), "",SUM(patch[[#This Row],[BJ -1 num]:[SH -1 num]]))</f>
        <v/>
      </c>
      <c r="W584" s="7" t="str">
        <f>IF(ISBLANK(patch[[#This Row],[project]]), "",COUNTIFS($A:$A,patch[[#This Row],[number]],$S:$S, "BJ And dev",$AC:$AC, "Review-1"))</f>
        <v/>
      </c>
      <c r="X584" s="7" t="str">
        <f>IF(ISBLANK(patch[[#This Row],[project]]), "",COUNTIFS($A:$A,patch[[#This Row],[number]],$S:$S, "FL And dev",$AC:$AC, "Review-1"))</f>
        <v/>
      </c>
      <c r="Y584" s="7" t="str">
        <f>IF(ISBLANK(patch[[#This Row],[project]]), "",COUNTIFS($A:$A,patch[[#This Row],[number]],$S:$S, "SH And dev",$AC:$AC, "Review-1"))</f>
        <v/>
      </c>
      <c r="Z584" s="7" t="str">
        <f>IF(ISBLANK(patch[[#This Row],[project]]), "",COUNTIFS($A:$A,patch[[#This Row],[number]],$S:$S, "BJ And dev",$AD:$AD, "&lt;&gt;IntegratorValidationComment"))</f>
        <v/>
      </c>
      <c r="AA584" s="7" t="str">
        <f>IF(ISBLANK(patch[[#This Row],[project]]), "",COUNTIFS($A:$A,patch[[#This Row],[number]],$S:$S, "FL And dev",$AD:$AD, "&lt;&gt;IntegratorValidationComment"))</f>
        <v/>
      </c>
      <c r="AB584" s="7" t="str">
        <f>IF(ISBLANK(patch[[#This Row],[project]]), "",COUNTIFS($A:$A,patch[[#This Row],[number]],$S:$S, "SH And dev",$AD:$AD, "&lt;&gt;IntegratorValidationComment"))</f>
        <v/>
      </c>
      <c r="AC584" s="7" t="str">
        <f>IF(OR(ISNUMBER(FIND("Review-1", patch[[#This Row],[comments]])), ISNUMBER(FIND("Approver-1", patch[[#This Row],[comments]]))), "Review-1", "")</f>
        <v/>
      </c>
      <c r="AD5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584" s="7">
        <f>IF(ISBLANK(patch[[#This Row],[number]]),AE583,patch[[#This Row],[ifCommon]])</f>
        <v>0</v>
      </c>
    </row>
    <row r="585" spans="1:31">
      <c r="A585" s="151">
        <v>147375</v>
      </c>
      <c r="B585" s="151" t="s">
        <v>2490</v>
      </c>
      <c r="C585" s="151" t="s">
        <v>2795</v>
      </c>
      <c r="D585" s="151" t="s">
        <v>2894</v>
      </c>
      <c r="E585" s="151" t="s">
        <v>677</v>
      </c>
      <c r="F585" s="151" t="s">
        <v>23</v>
      </c>
      <c r="G585" s="151" t="s">
        <v>2895</v>
      </c>
      <c r="H585" s="151" t="s">
        <v>2896</v>
      </c>
      <c r="I585" s="152">
        <v>42635.721296296288</v>
      </c>
      <c r="J585" s="152">
        <v>42636.731087962973</v>
      </c>
      <c r="K585" s="151" t="s">
        <v>2445</v>
      </c>
      <c r="L585" s="151" t="s">
        <v>677</v>
      </c>
      <c r="M585" s="152">
        <v>42635.721296296288</v>
      </c>
      <c r="N585" s="151" t="s">
        <v>25</v>
      </c>
      <c r="O585" s="151"/>
      <c r="P585" s="151" t="s">
        <v>59</v>
      </c>
      <c r="Q585" s="7" t="str">
        <f>IF(ISBLANK(patch[[#This Row],[OwnerEmail]]),Q584,patch[[#This Row],[OwnerEmail]])</f>
        <v>lipingx.xu@intel.com</v>
      </c>
      <c r="R585" s="7" t="str">
        <f>_xlfn.IFNA(VLOOKUP(patch[[#This Row],[tmp-owner.email]],OrgTree!$A:$K, 11, 0), "not ICG SWFW")</f>
        <v>BJ And dev</v>
      </c>
      <c r="S585" s="7" t="str">
        <f>IF(patch[[#This Row],[reviewer]]=patch[[#This Row],[tmp-owner.email]], "author", _xlfn.IFNA(VLOOKUP(patch[[#This Row],[reviewer]],OrgTree!$A:$K, 11, 0), "not ICG SWFW"))</f>
        <v>author</v>
      </c>
      <c r="T585" s="7" t="str">
        <f>IF(ISBLANK(patch[[#This Row],[mergeDate]]), "", MID(YEAR(patch[[#This Row],[mergeDate]]), 3,2)&amp;"'ww"&amp;WEEKNUM(patch[[#This Row],[mergeDate]]))</f>
        <v>16'ww39</v>
      </c>
      <c r="U585" s="7" t="str">
        <f>IF(ISBLANK(patch[[#This Row],[mergeDate]]), U584, MID(YEAR(patch[[#This Row],[mergeDate]]), 3,2)&amp;"'m"&amp;MONTH(patch[[#This Row],[mergeDate]]))</f>
        <v>16'm9</v>
      </c>
      <c r="V585" s="7">
        <f>IF(ISBLANK(patch[[#This Row],[project]]), "",SUM(patch[[#This Row],[BJ -1 num]:[SH -1 num]]))</f>
        <v>0</v>
      </c>
      <c r="W585" s="7">
        <f>IF(ISBLANK(patch[[#This Row],[project]]), "",COUNTIFS($A:$A,patch[[#This Row],[number]],$S:$S, "BJ And dev",$AC:$AC, "Review-1"))</f>
        <v>0</v>
      </c>
      <c r="X585" s="7">
        <f>IF(ISBLANK(patch[[#This Row],[project]]), "",COUNTIFS($A:$A,patch[[#This Row],[number]],$S:$S, "FL And dev",$AC:$AC, "Review-1"))</f>
        <v>0</v>
      </c>
      <c r="Y585" s="7">
        <f>IF(ISBLANK(patch[[#This Row],[project]]), "",COUNTIFS($A:$A,patch[[#This Row],[number]],$S:$S, "SH And dev",$AC:$AC, "Review-1"))</f>
        <v>0</v>
      </c>
      <c r="Z585" s="7">
        <f>IF(ISBLANK(patch[[#This Row],[project]]), "",COUNTIFS($A:$A,patch[[#This Row],[number]],$S:$S, "BJ And dev",$AD:$AD, "&lt;&gt;IntegratorValidationComment"))</f>
        <v>3</v>
      </c>
      <c r="AA585" s="7">
        <f>IF(ISBLANK(patch[[#This Row],[project]]), "",COUNTIFS($A:$A,patch[[#This Row],[number]],$S:$S, "FL And dev",$AD:$AD, "&lt;&gt;IntegratorValidationComment"))</f>
        <v>0</v>
      </c>
      <c r="AB585" s="7">
        <f>IF(ISBLANK(patch[[#This Row],[project]]), "",COUNTIFS($A:$A,patch[[#This Row],[number]],$S:$S, "SH And dev",$AD:$AD, "&lt;&gt;IntegratorValidationComment"))</f>
        <v>0</v>
      </c>
      <c r="AC585" s="7" t="str">
        <f>IF(OR(ISNUMBER(FIND("Review-1", patch[[#This Row],[comments]])), ISNUMBER(FIND("Approver-1", patch[[#This Row],[comments]]))), "Review-1", "")</f>
        <v/>
      </c>
      <c r="AD5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85" s="7" t="str">
        <f>IF(ISBLANK(patch[[#This Row],[number]]),AE584,patch[[#This Row],[ifCommon]])</f>
        <v>not AndrHAL</v>
      </c>
    </row>
    <row r="586" spans="1:31">
      <c r="A586" s="151">
        <v>147375</v>
      </c>
      <c r="B586" s="151"/>
      <c r="C586" s="151"/>
      <c r="D586" s="151"/>
      <c r="E586" s="151"/>
      <c r="F586" s="151"/>
      <c r="G586" s="151"/>
      <c r="H586" s="151"/>
      <c r="I586" s="151"/>
      <c r="J586" s="152">
        <v>42636.731087962973</v>
      </c>
      <c r="K586" s="151"/>
      <c r="L586" s="151" t="s">
        <v>677</v>
      </c>
      <c r="M586" s="152">
        <v>42635.721307870372</v>
      </c>
      <c r="N586" s="151" t="s">
        <v>2428</v>
      </c>
      <c r="O586" s="151"/>
      <c r="P586" s="151"/>
      <c r="Q586" s="7" t="str">
        <f>IF(ISBLANK(patch[[#This Row],[OwnerEmail]]),Q585,patch[[#This Row],[OwnerEmail]])</f>
        <v>lipingx.xu@intel.com</v>
      </c>
      <c r="R586" s="7" t="str">
        <f>_xlfn.IFNA(VLOOKUP(patch[[#This Row],[tmp-owner.email]],OrgTree!$A:$K, 11, 0), "not ICG SWFW")</f>
        <v>BJ And dev</v>
      </c>
      <c r="S586" s="7" t="str">
        <f>IF(patch[[#This Row],[reviewer]]=patch[[#This Row],[tmp-owner.email]], "author", _xlfn.IFNA(VLOOKUP(patch[[#This Row],[reviewer]],OrgTree!$A:$K, 11, 0), "not ICG SWFW"))</f>
        <v>author</v>
      </c>
      <c r="T586" s="7" t="str">
        <f>IF(ISBLANK(patch[[#This Row],[mergeDate]]), "", MID(YEAR(patch[[#This Row],[mergeDate]]), 3,2)&amp;"'ww"&amp;WEEKNUM(patch[[#This Row],[mergeDate]]))</f>
        <v>16'ww39</v>
      </c>
      <c r="U586" s="7" t="str">
        <f>IF(ISBLANK(patch[[#This Row],[mergeDate]]), U585, MID(YEAR(patch[[#This Row],[mergeDate]]), 3,2)&amp;"'m"&amp;MONTH(patch[[#This Row],[mergeDate]]))</f>
        <v>16'm9</v>
      </c>
      <c r="V586" s="7" t="str">
        <f>IF(ISBLANK(patch[[#This Row],[project]]), "",SUM(patch[[#This Row],[BJ -1 num]:[SH -1 num]]))</f>
        <v/>
      </c>
      <c r="W586" s="7" t="str">
        <f>IF(ISBLANK(patch[[#This Row],[project]]), "",COUNTIFS($A:$A,patch[[#This Row],[number]],$S:$S, "BJ And dev",$AC:$AC, "Review-1"))</f>
        <v/>
      </c>
      <c r="X586" s="7" t="str">
        <f>IF(ISBLANK(patch[[#This Row],[project]]), "",COUNTIFS($A:$A,patch[[#This Row],[number]],$S:$S, "FL And dev",$AC:$AC, "Review-1"))</f>
        <v/>
      </c>
      <c r="Y586" s="7" t="str">
        <f>IF(ISBLANK(patch[[#This Row],[project]]), "",COUNTIFS($A:$A,patch[[#This Row],[number]],$S:$S, "SH And dev",$AC:$AC, "Review-1"))</f>
        <v/>
      </c>
      <c r="Z586" s="7" t="str">
        <f>IF(ISBLANK(patch[[#This Row],[project]]), "",COUNTIFS($A:$A,patch[[#This Row],[number]],$S:$S, "BJ And dev",$AD:$AD, "&lt;&gt;IntegratorValidationComment"))</f>
        <v/>
      </c>
      <c r="AA586" s="7" t="str">
        <f>IF(ISBLANK(patch[[#This Row],[project]]), "",COUNTIFS($A:$A,patch[[#This Row],[number]],$S:$S, "FL And dev",$AD:$AD, "&lt;&gt;IntegratorValidationComment"))</f>
        <v/>
      </c>
      <c r="AB586" s="7" t="str">
        <f>IF(ISBLANK(patch[[#This Row],[project]]), "",COUNTIFS($A:$A,patch[[#This Row],[number]],$S:$S, "SH And dev",$AD:$AD, "&lt;&gt;IntegratorValidationComment"))</f>
        <v/>
      </c>
      <c r="AC586" s="7" t="str">
        <f>IF(OR(ISNUMBER(FIND("Review-1", patch[[#This Row],[comments]])), ISNUMBER(FIND("Approver-1", patch[[#This Row],[comments]]))), "Review-1", "")</f>
        <v/>
      </c>
      <c r="AD5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86" s="7">
        <f>IF(ISBLANK(patch[[#This Row],[number]]),AE585,patch[[#This Row],[ifCommon]])</f>
        <v>0</v>
      </c>
    </row>
    <row r="587" spans="1:31">
      <c r="A587" s="151">
        <v>147375</v>
      </c>
      <c r="B587" s="151"/>
      <c r="C587" s="151"/>
      <c r="D587" s="151"/>
      <c r="E587" s="151"/>
      <c r="F587" s="151"/>
      <c r="G587" s="151"/>
      <c r="H587" s="151"/>
      <c r="I587" s="151"/>
      <c r="J587" s="152">
        <v>42636.731087962973</v>
      </c>
      <c r="K587" s="151"/>
      <c r="L587" s="151" t="s">
        <v>677</v>
      </c>
      <c r="M587" s="152">
        <v>42635.724872685183</v>
      </c>
      <c r="N587" s="151" t="s">
        <v>40</v>
      </c>
      <c r="O587" s="151"/>
      <c r="P587" s="151"/>
      <c r="Q587" s="7" t="str">
        <f>IF(ISBLANK(patch[[#This Row],[OwnerEmail]]),Q586,patch[[#This Row],[OwnerEmail]])</f>
        <v>lipingx.xu@intel.com</v>
      </c>
      <c r="R587" s="7" t="str">
        <f>_xlfn.IFNA(VLOOKUP(patch[[#This Row],[tmp-owner.email]],OrgTree!$A:$K, 11, 0), "not ICG SWFW")</f>
        <v>BJ And dev</v>
      </c>
      <c r="S587" s="7" t="str">
        <f>IF(patch[[#This Row],[reviewer]]=patch[[#This Row],[tmp-owner.email]], "author", _xlfn.IFNA(VLOOKUP(patch[[#This Row],[reviewer]],OrgTree!$A:$K, 11, 0), "not ICG SWFW"))</f>
        <v>author</v>
      </c>
      <c r="T587" s="7" t="str">
        <f>IF(ISBLANK(patch[[#This Row],[mergeDate]]), "", MID(YEAR(patch[[#This Row],[mergeDate]]), 3,2)&amp;"'ww"&amp;WEEKNUM(patch[[#This Row],[mergeDate]]))</f>
        <v>16'ww39</v>
      </c>
      <c r="U587" s="7" t="str">
        <f>IF(ISBLANK(patch[[#This Row],[mergeDate]]), U586, MID(YEAR(patch[[#This Row],[mergeDate]]), 3,2)&amp;"'m"&amp;MONTH(patch[[#This Row],[mergeDate]]))</f>
        <v>16'm9</v>
      </c>
      <c r="V587" s="7" t="str">
        <f>IF(ISBLANK(patch[[#This Row],[project]]), "",SUM(patch[[#This Row],[BJ -1 num]:[SH -1 num]]))</f>
        <v/>
      </c>
      <c r="W587" s="7" t="str">
        <f>IF(ISBLANK(patch[[#This Row],[project]]), "",COUNTIFS($A:$A,patch[[#This Row],[number]],$S:$S, "BJ And dev",$AC:$AC, "Review-1"))</f>
        <v/>
      </c>
      <c r="X587" s="7" t="str">
        <f>IF(ISBLANK(patch[[#This Row],[project]]), "",COUNTIFS($A:$A,patch[[#This Row],[number]],$S:$S, "FL And dev",$AC:$AC, "Review-1"))</f>
        <v/>
      </c>
      <c r="Y587" s="7" t="str">
        <f>IF(ISBLANK(patch[[#This Row],[project]]), "",COUNTIFS($A:$A,patch[[#This Row],[number]],$S:$S, "SH And dev",$AC:$AC, "Review-1"))</f>
        <v/>
      </c>
      <c r="Z587" s="7" t="str">
        <f>IF(ISBLANK(patch[[#This Row],[project]]), "",COUNTIFS($A:$A,patch[[#This Row],[number]],$S:$S, "BJ And dev",$AD:$AD, "&lt;&gt;IntegratorValidationComment"))</f>
        <v/>
      </c>
      <c r="AA587" s="7" t="str">
        <f>IF(ISBLANK(patch[[#This Row],[project]]), "",COUNTIFS($A:$A,patch[[#This Row],[number]],$S:$S, "FL And dev",$AD:$AD, "&lt;&gt;IntegratorValidationComment"))</f>
        <v/>
      </c>
      <c r="AB587" s="7" t="str">
        <f>IF(ISBLANK(patch[[#This Row],[project]]), "",COUNTIFS($A:$A,patch[[#This Row],[number]],$S:$S, "SH And dev",$AD:$AD, "&lt;&gt;IntegratorValidationComment"))</f>
        <v/>
      </c>
      <c r="AC587" s="7" t="str">
        <f>IF(OR(ISNUMBER(FIND("Review-1", patch[[#This Row],[comments]])), ISNUMBER(FIND("Approver-1", patch[[#This Row],[comments]]))), "Review-1", "")</f>
        <v/>
      </c>
      <c r="AD5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87" s="7">
        <f>IF(ISBLANK(patch[[#This Row],[number]]),AE586,patch[[#This Row],[ifCommon]])</f>
        <v>0</v>
      </c>
    </row>
    <row r="588" spans="1:31">
      <c r="A588" s="151">
        <v>147375</v>
      </c>
      <c r="B588" s="151"/>
      <c r="C588" s="151"/>
      <c r="D588" s="151"/>
      <c r="E588" s="151"/>
      <c r="F588" s="151"/>
      <c r="G588" s="151"/>
      <c r="H588" s="151"/>
      <c r="I588" s="151"/>
      <c r="J588" s="152">
        <v>42636.731087962973</v>
      </c>
      <c r="K588" s="151"/>
      <c r="L588" s="151" t="s">
        <v>59</v>
      </c>
      <c r="M588" s="152">
        <v>42635.725624999999</v>
      </c>
      <c r="N588" s="151" t="s">
        <v>40</v>
      </c>
      <c r="O588" s="151"/>
      <c r="P588" s="151"/>
      <c r="Q588" s="7" t="str">
        <f>IF(ISBLANK(patch[[#This Row],[OwnerEmail]]),Q587,patch[[#This Row],[OwnerEmail]])</f>
        <v>lipingx.xu@intel.com</v>
      </c>
      <c r="R588" s="7" t="str">
        <f>_xlfn.IFNA(VLOOKUP(patch[[#This Row],[tmp-owner.email]],OrgTree!$A:$K, 11, 0), "not ICG SWFW")</f>
        <v>BJ And dev</v>
      </c>
      <c r="S588" s="7" t="str">
        <f>IF(patch[[#This Row],[reviewer]]=patch[[#This Row],[tmp-owner.email]], "author", _xlfn.IFNA(VLOOKUP(patch[[#This Row],[reviewer]],OrgTree!$A:$K, 11, 0), "not ICG SWFW"))</f>
        <v>BJ And dev</v>
      </c>
      <c r="T588" s="7" t="str">
        <f>IF(ISBLANK(patch[[#This Row],[mergeDate]]), "", MID(YEAR(patch[[#This Row],[mergeDate]]), 3,2)&amp;"'ww"&amp;WEEKNUM(patch[[#This Row],[mergeDate]]))</f>
        <v>16'ww39</v>
      </c>
      <c r="U588" s="7" t="str">
        <f>IF(ISBLANK(patch[[#This Row],[mergeDate]]), U587, MID(YEAR(patch[[#This Row],[mergeDate]]), 3,2)&amp;"'m"&amp;MONTH(patch[[#This Row],[mergeDate]]))</f>
        <v>16'm9</v>
      </c>
      <c r="V588" s="7" t="str">
        <f>IF(ISBLANK(patch[[#This Row],[project]]), "",SUM(patch[[#This Row],[BJ -1 num]:[SH -1 num]]))</f>
        <v/>
      </c>
      <c r="W588" s="7" t="str">
        <f>IF(ISBLANK(patch[[#This Row],[project]]), "",COUNTIFS($A:$A,patch[[#This Row],[number]],$S:$S, "BJ And dev",$AC:$AC, "Review-1"))</f>
        <v/>
      </c>
      <c r="X588" s="7" t="str">
        <f>IF(ISBLANK(patch[[#This Row],[project]]), "",COUNTIFS($A:$A,patch[[#This Row],[number]],$S:$S, "FL And dev",$AC:$AC, "Review-1"))</f>
        <v/>
      </c>
      <c r="Y588" s="7" t="str">
        <f>IF(ISBLANK(patch[[#This Row],[project]]), "",COUNTIFS($A:$A,patch[[#This Row],[number]],$S:$S, "SH And dev",$AC:$AC, "Review-1"))</f>
        <v/>
      </c>
      <c r="Z588" s="7" t="str">
        <f>IF(ISBLANK(patch[[#This Row],[project]]), "",COUNTIFS($A:$A,patch[[#This Row],[number]],$S:$S, "BJ And dev",$AD:$AD, "&lt;&gt;IntegratorValidationComment"))</f>
        <v/>
      </c>
      <c r="AA588" s="7" t="str">
        <f>IF(ISBLANK(patch[[#This Row],[project]]), "",COUNTIFS($A:$A,patch[[#This Row],[number]],$S:$S, "FL And dev",$AD:$AD, "&lt;&gt;IntegratorValidationComment"))</f>
        <v/>
      </c>
      <c r="AB588" s="7" t="str">
        <f>IF(ISBLANK(patch[[#This Row],[project]]), "",COUNTIFS($A:$A,patch[[#This Row],[number]],$S:$S, "SH And dev",$AD:$AD, "&lt;&gt;IntegratorValidationComment"))</f>
        <v/>
      </c>
      <c r="AC588" s="7" t="str">
        <f>IF(OR(ISNUMBER(FIND("Review-1", patch[[#This Row],[comments]])), ISNUMBER(FIND("Approver-1", patch[[#This Row],[comments]]))), "Review-1", "")</f>
        <v/>
      </c>
      <c r="AD5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88" s="7">
        <f>IF(ISBLANK(patch[[#This Row],[number]]),AE587,patch[[#This Row],[ifCommon]])</f>
        <v>0</v>
      </c>
    </row>
    <row r="589" spans="1:31">
      <c r="A589" s="151">
        <v>147375</v>
      </c>
      <c r="B589" s="151"/>
      <c r="C589" s="151"/>
      <c r="D589" s="151"/>
      <c r="E589" s="151"/>
      <c r="F589" s="151"/>
      <c r="G589" s="151"/>
      <c r="H589" s="151"/>
      <c r="I589" s="151"/>
      <c r="J589" s="152">
        <v>42636.731087962973</v>
      </c>
      <c r="K589" s="151"/>
      <c r="L589" s="151" t="s">
        <v>59</v>
      </c>
      <c r="M589" s="152">
        <v>42635.72861111111</v>
      </c>
      <c r="N589" s="151" t="s">
        <v>2897</v>
      </c>
      <c r="O589" s="151"/>
      <c r="P589" s="151"/>
      <c r="Q589" s="7" t="str">
        <f>IF(ISBLANK(patch[[#This Row],[OwnerEmail]]),Q588,patch[[#This Row],[OwnerEmail]])</f>
        <v>lipingx.xu@intel.com</v>
      </c>
      <c r="R589" s="7" t="str">
        <f>_xlfn.IFNA(VLOOKUP(patch[[#This Row],[tmp-owner.email]],OrgTree!$A:$K, 11, 0), "not ICG SWFW")</f>
        <v>BJ And dev</v>
      </c>
      <c r="S589" s="7" t="str">
        <f>IF(patch[[#This Row],[reviewer]]=patch[[#This Row],[tmp-owner.email]], "author", _xlfn.IFNA(VLOOKUP(patch[[#This Row],[reviewer]],OrgTree!$A:$K, 11, 0), "not ICG SWFW"))</f>
        <v>BJ And dev</v>
      </c>
      <c r="T589" s="7" t="str">
        <f>IF(ISBLANK(patch[[#This Row],[mergeDate]]), "", MID(YEAR(patch[[#This Row],[mergeDate]]), 3,2)&amp;"'ww"&amp;WEEKNUM(patch[[#This Row],[mergeDate]]))</f>
        <v>16'ww39</v>
      </c>
      <c r="U589" s="7" t="str">
        <f>IF(ISBLANK(patch[[#This Row],[mergeDate]]), U588, MID(YEAR(patch[[#This Row],[mergeDate]]), 3,2)&amp;"'m"&amp;MONTH(patch[[#This Row],[mergeDate]]))</f>
        <v>16'm9</v>
      </c>
      <c r="V589" s="7" t="str">
        <f>IF(ISBLANK(patch[[#This Row],[project]]), "",SUM(patch[[#This Row],[BJ -1 num]:[SH -1 num]]))</f>
        <v/>
      </c>
      <c r="W589" s="7" t="str">
        <f>IF(ISBLANK(patch[[#This Row],[project]]), "",COUNTIFS($A:$A,patch[[#This Row],[number]],$S:$S, "BJ And dev",$AC:$AC, "Review-1"))</f>
        <v/>
      </c>
      <c r="X589" s="7" t="str">
        <f>IF(ISBLANK(patch[[#This Row],[project]]), "",COUNTIFS($A:$A,patch[[#This Row],[number]],$S:$S, "FL And dev",$AC:$AC, "Review-1"))</f>
        <v/>
      </c>
      <c r="Y589" s="7" t="str">
        <f>IF(ISBLANK(patch[[#This Row],[project]]), "",COUNTIFS($A:$A,patch[[#This Row],[number]],$S:$S, "SH And dev",$AC:$AC, "Review-1"))</f>
        <v/>
      </c>
      <c r="Z589" s="7" t="str">
        <f>IF(ISBLANK(patch[[#This Row],[project]]), "",COUNTIFS($A:$A,patch[[#This Row],[number]],$S:$S, "BJ And dev",$AD:$AD, "&lt;&gt;IntegratorValidationComment"))</f>
        <v/>
      </c>
      <c r="AA589" s="7" t="str">
        <f>IF(ISBLANK(patch[[#This Row],[project]]), "",COUNTIFS($A:$A,patch[[#This Row],[number]],$S:$S, "FL And dev",$AD:$AD, "&lt;&gt;IntegratorValidationComment"))</f>
        <v/>
      </c>
      <c r="AB589" s="7" t="str">
        <f>IF(ISBLANK(patch[[#This Row],[project]]), "",COUNTIFS($A:$A,patch[[#This Row],[number]],$S:$S, "SH And dev",$AD:$AD, "&lt;&gt;IntegratorValidationComment"))</f>
        <v/>
      </c>
      <c r="AC589" s="7" t="str">
        <f>IF(OR(ISNUMBER(FIND("Review-1", patch[[#This Row],[comments]])), ISNUMBER(FIND("Approver-1", patch[[#This Row],[comments]]))), "Review-1", "")</f>
        <v/>
      </c>
      <c r="AD5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89" s="7">
        <f>IF(ISBLANK(patch[[#This Row],[number]]),AE588,patch[[#This Row],[ifCommon]])</f>
        <v>0</v>
      </c>
    </row>
    <row r="590" spans="1:31">
      <c r="A590" s="151">
        <v>147375</v>
      </c>
      <c r="B590" s="151"/>
      <c r="C590" s="151"/>
      <c r="D590" s="151"/>
      <c r="E590" s="151"/>
      <c r="F590" s="151"/>
      <c r="G590" s="151"/>
      <c r="H590" s="151"/>
      <c r="I590" s="151"/>
      <c r="J590" s="152">
        <v>42636.731087962973</v>
      </c>
      <c r="K590" s="151"/>
      <c r="L590" s="151" t="s">
        <v>59</v>
      </c>
      <c r="M590" s="152">
        <v>42635.729641203703</v>
      </c>
      <c r="N590" s="151" t="s">
        <v>58</v>
      </c>
      <c r="O590" s="151"/>
      <c r="P590" s="151"/>
      <c r="Q590" s="7" t="str">
        <f>IF(ISBLANK(patch[[#This Row],[OwnerEmail]]),Q589,patch[[#This Row],[OwnerEmail]])</f>
        <v>lipingx.xu@intel.com</v>
      </c>
      <c r="R590" s="7" t="str">
        <f>_xlfn.IFNA(VLOOKUP(patch[[#This Row],[tmp-owner.email]],OrgTree!$A:$K, 11, 0), "not ICG SWFW")</f>
        <v>BJ And dev</v>
      </c>
      <c r="S590" s="7" t="str">
        <f>IF(patch[[#This Row],[reviewer]]=patch[[#This Row],[tmp-owner.email]], "author", _xlfn.IFNA(VLOOKUP(patch[[#This Row],[reviewer]],OrgTree!$A:$K, 11, 0), "not ICG SWFW"))</f>
        <v>BJ And dev</v>
      </c>
      <c r="T590" s="7" t="str">
        <f>IF(ISBLANK(patch[[#This Row],[mergeDate]]), "", MID(YEAR(patch[[#This Row],[mergeDate]]), 3,2)&amp;"'ww"&amp;WEEKNUM(patch[[#This Row],[mergeDate]]))</f>
        <v>16'ww39</v>
      </c>
      <c r="U590" s="7" t="str">
        <f>IF(ISBLANK(patch[[#This Row],[mergeDate]]), U589, MID(YEAR(patch[[#This Row],[mergeDate]]), 3,2)&amp;"'m"&amp;MONTH(patch[[#This Row],[mergeDate]]))</f>
        <v>16'm9</v>
      </c>
      <c r="V590" s="7" t="str">
        <f>IF(ISBLANK(patch[[#This Row],[project]]), "",SUM(patch[[#This Row],[BJ -1 num]:[SH -1 num]]))</f>
        <v/>
      </c>
      <c r="W590" s="7" t="str">
        <f>IF(ISBLANK(patch[[#This Row],[project]]), "",COUNTIFS($A:$A,patch[[#This Row],[number]],$S:$S, "BJ And dev",$AC:$AC, "Review-1"))</f>
        <v/>
      </c>
      <c r="X590" s="7" t="str">
        <f>IF(ISBLANK(patch[[#This Row],[project]]), "",COUNTIFS($A:$A,patch[[#This Row],[number]],$S:$S, "FL And dev",$AC:$AC, "Review-1"))</f>
        <v/>
      </c>
      <c r="Y590" s="7" t="str">
        <f>IF(ISBLANK(patch[[#This Row],[project]]), "",COUNTIFS($A:$A,patch[[#This Row],[number]],$S:$S, "SH And dev",$AC:$AC, "Review-1"))</f>
        <v/>
      </c>
      <c r="Z590" s="7" t="str">
        <f>IF(ISBLANK(patch[[#This Row],[project]]), "",COUNTIFS($A:$A,patch[[#This Row],[number]],$S:$S, "BJ And dev",$AD:$AD, "&lt;&gt;IntegratorValidationComment"))</f>
        <v/>
      </c>
      <c r="AA590" s="7" t="str">
        <f>IF(ISBLANK(patch[[#This Row],[project]]), "",COUNTIFS($A:$A,patch[[#This Row],[number]],$S:$S, "FL And dev",$AD:$AD, "&lt;&gt;IntegratorValidationComment"))</f>
        <v/>
      </c>
      <c r="AB590" s="7" t="str">
        <f>IF(ISBLANK(patch[[#This Row],[project]]), "",COUNTIFS($A:$A,patch[[#This Row],[number]],$S:$S, "SH And dev",$AD:$AD, "&lt;&gt;IntegratorValidationComment"))</f>
        <v/>
      </c>
      <c r="AC590" s="7" t="str">
        <f>IF(OR(ISNUMBER(FIND("Review-1", patch[[#This Row],[comments]])), ISNUMBER(FIND("Approver-1", patch[[#This Row],[comments]]))), "Review-1", "")</f>
        <v/>
      </c>
      <c r="AD5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90" s="7">
        <f>IF(ISBLANK(patch[[#This Row],[number]]),AE589,patch[[#This Row],[ifCommon]])</f>
        <v>0</v>
      </c>
    </row>
    <row r="591" spans="1:31">
      <c r="A591" s="151">
        <v>147375</v>
      </c>
      <c r="B591" s="151"/>
      <c r="C591" s="151"/>
      <c r="D591" s="151"/>
      <c r="E591" s="151"/>
      <c r="F591" s="151"/>
      <c r="G591" s="151"/>
      <c r="H591" s="151"/>
      <c r="I591" s="151"/>
      <c r="J591" s="152">
        <v>42636.731087962973</v>
      </c>
      <c r="K591" s="151"/>
      <c r="L591" s="151" t="s">
        <v>115</v>
      </c>
      <c r="M591" s="152">
        <v>42636.49894675926</v>
      </c>
      <c r="N591" s="151" t="s">
        <v>2494</v>
      </c>
      <c r="O591" s="151"/>
      <c r="P591" s="151"/>
      <c r="Q591" s="7" t="str">
        <f>IF(ISBLANK(patch[[#This Row],[OwnerEmail]]),Q590,patch[[#This Row],[OwnerEmail]])</f>
        <v>lipingx.xu@intel.com</v>
      </c>
      <c r="R591" s="7" t="str">
        <f>_xlfn.IFNA(VLOOKUP(patch[[#This Row],[tmp-owner.email]],OrgTree!$A:$K, 11, 0), "not ICG SWFW")</f>
        <v>BJ And dev</v>
      </c>
      <c r="S591" s="7" t="str">
        <f>IF(patch[[#This Row],[reviewer]]=patch[[#This Row],[tmp-owner.email]], "author", _xlfn.IFNA(VLOOKUP(patch[[#This Row],[reviewer]],OrgTree!$A:$K, 11, 0), "not ICG SWFW"))</f>
        <v>Val</v>
      </c>
      <c r="T591" s="7" t="str">
        <f>IF(ISBLANK(patch[[#This Row],[mergeDate]]), "", MID(YEAR(patch[[#This Row],[mergeDate]]), 3,2)&amp;"'ww"&amp;WEEKNUM(patch[[#This Row],[mergeDate]]))</f>
        <v>16'ww39</v>
      </c>
      <c r="U591" s="7" t="str">
        <f>IF(ISBLANK(patch[[#This Row],[mergeDate]]), U590, MID(YEAR(patch[[#This Row],[mergeDate]]), 3,2)&amp;"'m"&amp;MONTH(patch[[#This Row],[mergeDate]]))</f>
        <v>16'm9</v>
      </c>
      <c r="V591" s="7" t="str">
        <f>IF(ISBLANK(patch[[#This Row],[project]]), "",SUM(patch[[#This Row],[BJ -1 num]:[SH -1 num]]))</f>
        <v/>
      </c>
      <c r="W591" s="7" t="str">
        <f>IF(ISBLANK(patch[[#This Row],[project]]), "",COUNTIFS($A:$A,patch[[#This Row],[number]],$S:$S, "BJ And dev",$AC:$AC, "Review-1"))</f>
        <v/>
      </c>
      <c r="X591" s="7" t="str">
        <f>IF(ISBLANK(patch[[#This Row],[project]]), "",COUNTIFS($A:$A,patch[[#This Row],[number]],$S:$S, "FL And dev",$AC:$AC, "Review-1"))</f>
        <v/>
      </c>
      <c r="Y591" s="7" t="str">
        <f>IF(ISBLANK(patch[[#This Row],[project]]), "",COUNTIFS($A:$A,patch[[#This Row],[number]],$S:$S, "SH And dev",$AC:$AC, "Review-1"))</f>
        <v/>
      </c>
      <c r="Z591" s="7" t="str">
        <f>IF(ISBLANK(patch[[#This Row],[project]]), "",COUNTIFS($A:$A,patch[[#This Row],[number]],$S:$S, "BJ And dev",$AD:$AD, "&lt;&gt;IntegratorValidationComment"))</f>
        <v/>
      </c>
      <c r="AA591" s="7" t="str">
        <f>IF(ISBLANK(patch[[#This Row],[project]]), "",COUNTIFS($A:$A,patch[[#This Row],[number]],$S:$S, "FL And dev",$AD:$AD, "&lt;&gt;IntegratorValidationComment"))</f>
        <v/>
      </c>
      <c r="AB591" s="7" t="str">
        <f>IF(ISBLANK(patch[[#This Row],[project]]), "",COUNTIFS($A:$A,patch[[#This Row],[number]],$S:$S, "SH And dev",$AD:$AD, "&lt;&gt;IntegratorValidationComment"))</f>
        <v/>
      </c>
      <c r="AC591" s="7" t="str">
        <f>IF(OR(ISNUMBER(FIND("Review-1", patch[[#This Row],[comments]])), ISNUMBER(FIND("Approver-1", patch[[#This Row],[comments]]))), "Review-1", "")</f>
        <v/>
      </c>
      <c r="AD5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591" s="7">
        <f>IF(ISBLANK(patch[[#This Row],[number]]),AE590,patch[[#This Row],[ifCommon]])</f>
        <v>0</v>
      </c>
    </row>
    <row r="592" spans="1:31">
      <c r="A592" s="151">
        <v>147374</v>
      </c>
      <c r="B592" s="151" t="s">
        <v>2490</v>
      </c>
      <c r="C592" s="151" t="s">
        <v>2795</v>
      </c>
      <c r="D592" s="151" t="s">
        <v>2898</v>
      </c>
      <c r="E592" s="151" t="s">
        <v>677</v>
      </c>
      <c r="F592" s="151" t="s">
        <v>23</v>
      </c>
      <c r="G592" s="151" t="s">
        <v>2899</v>
      </c>
      <c r="H592" s="151" t="s">
        <v>2900</v>
      </c>
      <c r="I592" s="152">
        <v>42635.721296296288</v>
      </c>
      <c r="J592" s="152">
        <v>42636.730983796297</v>
      </c>
      <c r="K592" s="151" t="s">
        <v>2445</v>
      </c>
      <c r="L592" s="151" t="s">
        <v>677</v>
      </c>
      <c r="M592" s="152">
        <v>42635.721296296288</v>
      </c>
      <c r="N592" s="151" t="s">
        <v>25</v>
      </c>
      <c r="O592" s="151"/>
      <c r="P592" s="151" t="s">
        <v>2498</v>
      </c>
      <c r="Q592" s="7" t="str">
        <f>IF(ISBLANK(patch[[#This Row],[OwnerEmail]]),Q591,patch[[#This Row],[OwnerEmail]])</f>
        <v>lipingx.xu@intel.com</v>
      </c>
      <c r="R592" s="7" t="str">
        <f>_xlfn.IFNA(VLOOKUP(patch[[#This Row],[tmp-owner.email]],OrgTree!$A:$K, 11, 0), "not ICG SWFW")</f>
        <v>BJ And dev</v>
      </c>
      <c r="S592" s="7" t="str">
        <f>IF(patch[[#This Row],[reviewer]]=patch[[#This Row],[tmp-owner.email]], "author", _xlfn.IFNA(VLOOKUP(patch[[#This Row],[reviewer]],OrgTree!$A:$K, 11, 0), "not ICG SWFW"))</f>
        <v>author</v>
      </c>
      <c r="T592" s="7" t="str">
        <f>IF(ISBLANK(patch[[#This Row],[mergeDate]]), "", MID(YEAR(patch[[#This Row],[mergeDate]]), 3,2)&amp;"'ww"&amp;WEEKNUM(patch[[#This Row],[mergeDate]]))</f>
        <v>16'ww39</v>
      </c>
      <c r="U592" s="7" t="str">
        <f>IF(ISBLANK(patch[[#This Row],[mergeDate]]), U591, MID(YEAR(patch[[#This Row],[mergeDate]]), 3,2)&amp;"'m"&amp;MONTH(patch[[#This Row],[mergeDate]]))</f>
        <v>16'm9</v>
      </c>
      <c r="V592" s="7">
        <f>IF(ISBLANK(patch[[#This Row],[project]]), "",SUM(patch[[#This Row],[BJ -1 num]:[SH -1 num]]))</f>
        <v>0</v>
      </c>
      <c r="W592" s="7">
        <f>IF(ISBLANK(patch[[#This Row],[project]]), "",COUNTIFS($A:$A,patch[[#This Row],[number]],$S:$S, "BJ And dev",$AC:$AC, "Review-1"))</f>
        <v>0</v>
      </c>
      <c r="X592" s="7">
        <f>IF(ISBLANK(patch[[#This Row],[project]]), "",COUNTIFS($A:$A,patch[[#This Row],[number]],$S:$S, "FL And dev",$AC:$AC, "Review-1"))</f>
        <v>0</v>
      </c>
      <c r="Y592" s="7">
        <f>IF(ISBLANK(patch[[#This Row],[project]]), "",COUNTIFS($A:$A,patch[[#This Row],[number]],$S:$S, "SH And dev",$AC:$AC, "Review-1"))</f>
        <v>0</v>
      </c>
      <c r="Z592" s="7">
        <f>IF(ISBLANK(patch[[#This Row],[project]]), "",COUNTIFS($A:$A,patch[[#This Row],[number]],$S:$S, "BJ And dev",$AD:$AD, "&lt;&gt;IntegratorValidationComment"))</f>
        <v>4</v>
      </c>
      <c r="AA592" s="7">
        <f>IF(ISBLANK(patch[[#This Row],[project]]), "",COUNTIFS($A:$A,patch[[#This Row],[number]],$S:$S, "FL And dev",$AD:$AD, "&lt;&gt;IntegratorValidationComment"))</f>
        <v>0</v>
      </c>
      <c r="AB592" s="7">
        <f>IF(ISBLANK(patch[[#This Row],[project]]), "",COUNTIFS($A:$A,patch[[#This Row],[number]],$S:$S, "SH And dev",$AD:$AD, "&lt;&gt;IntegratorValidationComment"))</f>
        <v>0</v>
      </c>
      <c r="AC592" s="7" t="str">
        <f>IF(OR(ISNUMBER(FIND("Review-1", patch[[#This Row],[comments]])), ISNUMBER(FIND("Approver-1", patch[[#This Row],[comments]]))), "Review-1", "")</f>
        <v/>
      </c>
      <c r="AD5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92" s="7" t="str">
        <f>IF(ISBLANK(patch[[#This Row],[number]]),AE591,patch[[#This Row],[ifCommon]])</f>
        <v>not AndrHAL</v>
      </c>
    </row>
    <row r="593" spans="1:31">
      <c r="A593" s="151">
        <v>147374</v>
      </c>
      <c r="B593" s="151"/>
      <c r="C593" s="151"/>
      <c r="D593" s="151"/>
      <c r="E593" s="151"/>
      <c r="F593" s="151"/>
      <c r="G593" s="151"/>
      <c r="H593" s="151"/>
      <c r="I593" s="151"/>
      <c r="J593" s="152">
        <v>42636.730983796297</v>
      </c>
      <c r="K593" s="151"/>
      <c r="L593" s="151" t="s">
        <v>677</v>
      </c>
      <c r="M593" s="152">
        <v>42635.721307870372</v>
      </c>
      <c r="N593" s="151" t="s">
        <v>2428</v>
      </c>
      <c r="O593" s="151"/>
      <c r="P593" s="151"/>
      <c r="Q593" s="7" t="str">
        <f>IF(ISBLANK(patch[[#This Row],[OwnerEmail]]),Q592,patch[[#This Row],[OwnerEmail]])</f>
        <v>lipingx.xu@intel.com</v>
      </c>
      <c r="R593" s="7" t="str">
        <f>_xlfn.IFNA(VLOOKUP(patch[[#This Row],[tmp-owner.email]],OrgTree!$A:$K, 11, 0), "not ICG SWFW")</f>
        <v>BJ And dev</v>
      </c>
      <c r="S593" s="7" t="str">
        <f>IF(patch[[#This Row],[reviewer]]=patch[[#This Row],[tmp-owner.email]], "author", _xlfn.IFNA(VLOOKUP(patch[[#This Row],[reviewer]],OrgTree!$A:$K, 11, 0), "not ICG SWFW"))</f>
        <v>author</v>
      </c>
      <c r="T593" s="7" t="str">
        <f>IF(ISBLANK(patch[[#This Row],[mergeDate]]), "", MID(YEAR(patch[[#This Row],[mergeDate]]), 3,2)&amp;"'ww"&amp;WEEKNUM(patch[[#This Row],[mergeDate]]))</f>
        <v>16'ww39</v>
      </c>
      <c r="U593" s="7" t="str">
        <f>IF(ISBLANK(patch[[#This Row],[mergeDate]]), U592, MID(YEAR(patch[[#This Row],[mergeDate]]), 3,2)&amp;"'m"&amp;MONTH(patch[[#This Row],[mergeDate]]))</f>
        <v>16'm9</v>
      </c>
      <c r="V593" s="7" t="str">
        <f>IF(ISBLANK(patch[[#This Row],[project]]), "",SUM(patch[[#This Row],[BJ -1 num]:[SH -1 num]]))</f>
        <v/>
      </c>
      <c r="W593" s="7" t="str">
        <f>IF(ISBLANK(patch[[#This Row],[project]]), "",COUNTIFS($A:$A,patch[[#This Row],[number]],$S:$S, "BJ And dev",$AC:$AC, "Review-1"))</f>
        <v/>
      </c>
      <c r="X593" s="7" t="str">
        <f>IF(ISBLANK(patch[[#This Row],[project]]), "",COUNTIFS($A:$A,patch[[#This Row],[number]],$S:$S, "FL And dev",$AC:$AC, "Review-1"))</f>
        <v/>
      </c>
      <c r="Y593" s="7" t="str">
        <f>IF(ISBLANK(patch[[#This Row],[project]]), "",COUNTIFS($A:$A,patch[[#This Row],[number]],$S:$S, "SH And dev",$AC:$AC, "Review-1"))</f>
        <v/>
      </c>
      <c r="Z593" s="7" t="str">
        <f>IF(ISBLANK(patch[[#This Row],[project]]), "",COUNTIFS($A:$A,patch[[#This Row],[number]],$S:$S, "BJ And dev",$AD:$AD, "&lt;&gt;IntegratorValidationComment"))</f>
        <v/>
      </c>
      <c r="AA593" s="7" t="str">
        <f>IF(ISBLANK(patch[[#This Row],[project]]), "",COUNTIFS($A:$A,patch[[#This Row],[number]],$S:$S, "FL And dev",$AD:$AD, "&lt;&gt;IntegratorValidationComment"))</f>
        <v/>
      </c>
      <c r="AB593" s="7" t="str">
        <f>IF(ISBLANK(patch[[#This Row],[project]]), "",COUNTIFS($A:$A,patch[[#This Row],[number]],$S:$S, "SH And dev",$AD:$AD, "&lt;&gt;IntegratorValidationComment"))</f>
        <v/>
      </c>
      <c r="AC593" s="7" t="str">
        <f>IF(OR(ISNUMBER(FIND("Review-1", patch[[#This Row],[comments]])), ISNUMBER(FIND("Approver-1", patch[[#This Row],[comments]]))), "Review-1", "")</f>
        <v/>
      </c>
      <c r="AD5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93" s="7">
        <f>IF(ISBLANK(patch[[#This Row],[number]]),AE592,patch[[#This Row],[ifCommon]])</f>
        <v>0</v>
      </c>
    </row>
    <row r="594" spans="1:31">
      <c r="A594" s="151">
        <v>147374</v>
      </c>
      <c r="B594" s="151"/>
      <c r="C594" s="151"/>
      <c r="D594" s="151"/>
      <c r="E594" s="151"/>
      <c r="F594" s="151"/>
      <c r="G594" s="151"/>
      <c r="H594" s="151"/>
      <c r="I594" s="152"/>
      <c r="J594" s="152">
        <v>42636.730983796297</v>
      </c>
      <c r="K594" s="151"/>
      <c r="L594" s="151" t="s">
        <v>677</v>
      </c>
      <c r="M594" s="152">
        <v>42635.724768518521</v>
      </c>
      <c r="N594" s="151" t="s">
        <v>40</v>
      </c>
      <c r="O594" s="151"/>
      <c r="P594" s="151"/>
      <c r="Q594" s="7" t="str">
        <f>IF(ISBLANK(patch[[#This Row],[OwnerEmail]]),Q593,patch[[#This Row],[OwnerEmail]])</f>
        <v>lipingx.xu@intel.com</v>
      </c>
      <c r="R594" s="7" t="str">
        <f>_xlfn.IFNA(VLOOKUP(patch[[#This Row],[tmp-owner.email]],OrgTree!$A:$K, 11, 0), "not ICG SWFW")</f>
        <v>BJ And dev</v>
      </c>
      <c r="S594" s="7" t="str">
        <f>IF(patch[[#This Row],[reviewer]]=patch[[#This Row],[tmp-owner.email]], "author", _xlfn.IFNA(VLOOKUP(patch[[#This Row],[reviewer]],OrgTree!$A:$K, 11, 0), "not ICG SWFW"))</f>
        <v>author</v>
      </c>
      <c r="T594" s="7" t="str">
        <f>IF(ISBLANK(patch[[#This Row],[mergeDate]]), "", MID(YEAR(patch[[#This Row],[mergeDate]]), 3,2)&amp;"'ww"&amp;WEEKNUM(patch[[#This Row],[mergeDate]]))</f>
        <v>16'ww39</v>
      </c>
      <c r="U594" s="7" t="str">
        <f>IF(ISBLANK(patch[[#This Row],[mergeDate]]), U593, MID(YEAR(patch[[#This Row],[mergeDate]]), 3,2)&amp;"'m"&amp;MONTH(patch[[#This Row],[mergeDate]]))</f>
        <v>16'm9</v>
      </c>
      <c r="V594" s="7" t="str">
        <f>IF(ISBLANK(patch[[#This Row],[project]]), "",SUM(patch[[#This Row],[BJ -1 num]:[SH -1 num]]))</f>
        <v/>
      </c>
      <c r="W594" s="7" t="str">
        <f>IF(ISBLANK(patch[[#This Row],[project]]), "",COUNTIFS($A:$A,patch[[#This Row],[number]],$S:$S, "BJ And dev",$AC:$AC, "Review-1"))</f>
        <v/>
      </c>
      <c r="X594" s="7" t="str">
        <f>IF(ISBLANK(patch[[#This Row],[project]]), "",COUNTIFS($A:$A,patch[[#This Row],[number]],$S:$S, "FL And dev",$AC:$AC, "Review-1"))</f>
        <v/>
      </c>
      <c r="Y594" s="7" t="str">
        <f>IF(ISBLANK(patch[[#This Row],[project]]), "",COUNTIFS($A:$A,patch[[#This Row],[number]],$S:$S, "SH And dev",$AC:$AC, "Review-1"))</f>
        <v/>
      </c>
      <c r="Z594" s="7" t="str">
        <f>IF(ISBLANK(patch[[#This Row],[project]]), "",COUNTIFS($A:$A,patch[[#This Row],[number]],$S:$S, "BJ And dev",$AD:$AD, "&lt;&gt;IntegratorValidationComment"))</f>
        <v/>
      </c>
      <c r="AA594" s="7" t="str">
        <f>IF(ISBLANK(patch[[#This Row],[project]]), "",COUNTIFS($A:$A,patch[[#This Row],[number]],$S:$S, "FL And dev",$AD:$AD, "&lt;&gt;IntegratorValidationComment"))</f>
        <v/>
      </c>
      <c r="AB594" s="7" t="str">
        <f>IF(ISBLANK(patch[[#This Row],[project]]), "",COUNTIFS($A:$A,patch[[#This Row],[number]],$S:$S, "SH And dev",$AD:$AD, "&lt;&gt;IntegratorValidationComment"))</f>
        <v/>
      </c>
      <c r="AC594" s="7" t="str">
        <f>IF(OR(ISNUMBER(FIND("Review-1", patch[[#This Row],[comments]])), ISNUMBER(FIND("Approver-1", patch[[#This Row],[comments]]))), "Review-1", "")</f>
        <v/>
      </c>
      <c r="AD5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94" s="7">
        <f>IF(ISBLANK(patch[[#This Row],[number]]),AE593,patch[[#This Row],[ifCommon]])</f>
        <v>0</v>
      </c>
    </row>
    <row r="595" spans="1:31">
      <c r="A595" s="151">
        <v>147374</v>
      </c>
      <c r="B595" s="151"/>
      <c r="C595" s="151"/>
      <c r="D595" s="151"/>
      <c r="E595" s="151"/>
      <c r="F595" s="151"/>
      <c r="G595" s="151"/>
      <c r="H595" s="151"/>
      <c r="I595" s="151"/>
      <c r="J595" s="152">
        <v>42636.730983796297</v>
      </c>
      <c r="K595" s="151"/>
      <c r="L595" s="151" t="s">
        <v>59</v>
      </c>
      <c r="M595" s="152">
        <v>42635.725208333337</v>
      </c>
      <c r="N595" s="151" t="s">
        <v>2901</v>
      </c>
      <c r="O595" s="151"/>
      <c r="P595" s="151"/>
      <c r="Q595" s="7" t="str">
        <f>IF(ISBLANK(patch[[#This Row],[OwnerEmail]]),Q594,patch[[#This Row],[OwnerEmail]])</f>
        <v>lipingx.xu@intel.com</v>
      </c>
      <c r="R595" s="7" t="str">
        <f>_xlfn.IFNA(VLOOKUP(patch[[#This Row],[tmp-owner.email]],OrgTree!$A:$K, 11, 0), "not ICG SWFW")</f>
        <v>BJ And dev</v>
      </c>
      <c r="S595" s="7" t="str">
        <f>IF(patch[[#This Row],[reviewer]]=patch[[#This Row],[tmp-owner.email]], "author", _xlfn.IFNA(VLOOKUP(patch[[#This Row],[reviewer]],OrgTree!$A:$K, 11, 0), "not ICG SWFW"))</f>
        <v>BJ And dev</v>
      </c>
      <c r="T595" s="7" t="str">
        <f>IF(ISBLANK(patch[[#This Row],[mergeDate]]), "", MID(YEAR(patch[[#This Row],[mergeDate]]), 3,2)&amp;"'ww"&amp;WEEKNUM(patch[[#This Row],[mergeDate]]))</f>
        <v>16'ww39</v>
      </c>
      <c r="U595" s="7" t="str">
        <f>IF(ISBLANK(patch[[#This Row],[mergeDate]]), U594, MID(YEAR(patch[[#This Row],[mergeDate]]), 3,2)&amp;"'m"&amp;MONTH(patch[[#This Row],[mergeDate]]))</f>
        <v>16'm9</v>
      </c>
      <c r="V595" s="7" t="str">
        <f>IF(ISBLANK(patch[[#This Row],[project]]), "",SUM(patch[[#This Row],[BJ -1 num]:[SH -1 num]]))</f>
        <v/>
      </c>
      <c r="W595" s="7" t="str">
        <f>IF(ISBLANK(patch[[#This Row],[project]]), "",COUNTIFS($A:$A,patch[[#This Row],[number]],$S:$S, "BJ And dev",$AC:$AC, "Review-1"))</f>
        <v/>
      </c>
      <c r="X595" s="7" t="str">
        <f>IF(ISBLANK(patch[[#This Row],[project]]), "",COUNTIFS($A:$A,patch[[#This Row],[number]],$S:$S, "FL And dev",$AC:$AC, "Review-1"))</f>
        <v/>
      </c>
      <c r="Y595" s="7" t="str">
        <f>IF(ISBLANK(patch[[#This Row],[project]]), "",COUNTIFS($A:$A,patch[[#This Row],[number]],$S:$S, "SH And dev",$AC:$AC, "Review-1"))</f>
        <v/>
      </c>
      <c r="Z595" s="7" t="str">
        <f>IF(ISBLANK(patch[[#This Row],[project]]), "",COUNTIFS($A:$A,patch[[#This Row],[number]],$S:$S, "BJ And dev",$AD:$AD, "&lt;&gt;IntegratorValidationComment"))</f>
        <v/>
      </c>
      <c r="AA595" s="7" t="str">
        <f>IF(ISBLANK(patch[[#This Row],[project]]), "",COUNTIFS($A:$A,patch[[#This Row],[number]],$S:$S, "FL And dev",$AD:$AD, "&lt;&gt;IntegratorValidationComment"))</f>
        <v/>
      </c>
      <c r="AB595" s="7" t="str">
        <f>IF(ISBLANK(patch[[#This Row],[project]]), "",COUNTIFS($A:$A,patch[[#This Row],[number]],$S:$S, "SH And dev",$AD:$AD, "&lt;&gt;IntegratorValidationComment"))</f>
        <v/>
      </c>
      <c r="AC595" s="7" t="str">
        <f>IF(OR(ISNUMBER(FIND("Review-1", patch[[#This Row],[comments]])), ISNUMBER(FIND("Approver-1", patch[[#This Row],[comments]]))), "Review-1", "")</f>
        <v/>
      </c>
      <c r="AD5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95" s="7">
        <f>IF(ISBLANK(patch[[#This Row],[number]]),AE594,patch[[#This Row],[ifCommon]])</f>
        <v>0</v>
      </c>
    </row>
    <row r="596" spans="1:31">
      <c r="A596" s="151">
        <v>147374</v>
      </c>
      <c r="B596" s="151"/>
      <c r="C596" s="151"/>
      <c r="D596" s="151"/>
      <c r="E596" s="151"/>
      <c r="F596" s="151"/>
      <c r="G596" s="151"/>
      <c r="H596" s="151"/>
      <c r="I596" s="151"/>
      <c r="J596" s="152">
        <v>42636.730983796297</v>
      </c>
      <c r="K596" s="151"/>
      <c r="L596" s="151" t="s">
        <v>59</v>
      </c>
      <c r="M596" s="152">
        <v>42635.725555555553</v>
      </c>
      <c r="N596" s="151" t="s">
        <v>40</v>
      </c>
      <c r="O596" s="151"/>
      <c r="P596" s="151"/>
      <c r="Q596" s="7" t="str">
        <f>IF(ISBLANK(patch[[#This Row],[OwnerEmail]]),Q595,patch[[#This Row],[OwnerEmail]])</f>
        <v>lipingx.xu@intel.com</v>
      </c>
      <c r="R596" s="7" t="str">
        <f>_xlfn.IFNA(VLOOKUP(patch[[#This Row],[tmp-owner.email]],OrgTree!$A:$K, 11, 0), "not ICG SWFW")</f>
        <v>BJ And dev</v>
      </c>
      <c r="S596" s="7" t="str">
        <f>IF(patch[[#This Row],[reviewer]]=patch[[#This Row],[tmp-owner.email]], "author", _xlfn.IFNA(VLOOKUP(patch[[#This Row],[reviewer]],OrgTree!$A:$K, 11, 0), "not ICG SWFW"))</f>
        <v>BJ And dev</v>
      </c>
      <c r="T596" s="7" t="str">
        <f>IF(ISBLANK(patch[[#This Row],[mergeDate]]), "", MID(YEAR(patch[[#This Row],[mergeDate]]), 3,2)&amp;"'ww"&amp;WEEKNUM(patch[[#This Row],[mergeDate]]))</f>
        <v>16'ww39</v>
      </c>
      <c r="U596" s="7" t="str">
        <f>IF(ISBLANK(patch[[#This Row],[mergeDate]]), U595, MID(YEAR(patch[[#This Row],[mergeDate]]), 3,2)&amp;"'m"&amp;MONTH(patch[[#This Row],[mergeDate]]))</f>
        <v>16'm9</v>
      </c>
      <c r="V596" s="7" t="str">
        <f>IF(ISBLANK(patch[[#This Row],[project]]), "",SUM(patch[[#This Row],[BJ -1 num]:[SH -1 num]]))</f>
        <v/>
      </c>
      <c r="W596" s="7" t="str">
        <f>IF(ISBLANK(patch[[#This Row],[project]]), "",COUNTIFS($A:$A,patch[[#This Row],[number]],$S:$S, "BJ And dev",$AC:$AC, "Review-1"))</f>
        <v/>
      </c>
      <c r="X596" s="7" t="str">
        <f>IF(ISBLANK(patch[[#This Row],[project]]), "",COUNTIFS($A:$A,patch[[#This Row],[number]],$S:$S, "FL And dev",$AC:$AC, "Review-1"))</f>
        <v/>
      </c>
      <c r="Y596" s="7" t="str">
        <f>IF(ISBLANK(patch[[#This Row],[project]]), "",COUNTIFS($A:$A,patch[[#This Row],[number]],$S:$S, "SH And dev",$AC:$AC, "Review-1"))</f>
        <v/>
      </c>
      <c r="Z596" s="7" t="str">
        <f>IF(ISBLANK(patch[[#This Row],[project]]), "",COUNTIFS($A:$A,patch[[#This Row],[number]],$S:$S, "BJ And dev",$AD:$AD, "&lt;&gt;IntegratorValidationComment"))</f>
        <v/>
      </c>
      <c r="AA596" s="7" t="str">
        <f>IF(ISBLANK(patch[[#This Row],[project]]), "",COUNTIFS($A:$A,patch[[#This Row],[number]],$S:$S, "FL And dev",$AD:$AD, "&lt;&gt;IntegratorValidationComment"))</f>
        <v/>
      </c>
      <c r="AB596" s="7" t="str">
        <f>IF(ISBLANK(patch[[#This Row],[project]]), "",COUNTIFS($A:$A,patch[[#This Row],[number]],$S:$S, "SH And dev",$AD:$AD, "&lt;&gt;IntegratorValidationComment"))</f>
        <v/>
      </c>
      <c r="AC596" s="7" t="str">
        <f>IF(OR(ISNUMBER(FIND("Review-1", patch[[#This Row],[comments]])), ISNUMBER(FIND("Approver-1", patch[[#This Row],[comments]]))), "Review-1", "")</f>
        <v/>
      </c>
      <c r="AD5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96" s="7">
        <f>IF(ISBLANK(patch[[#This Row],[number]]),AE595,patch[[#This Row],[ifCommon]])</f>
        <v>0</v>
      </c>
    </row>
    <row r="597" spans="1:31">
      <c r="A597" s="151">
        <v>147374</v>
      </c>
      <c r="B597" s="151"/>
      <c r="C597" s="151"/>
      <c r="D597" s="151"/>
      <c r="E597" s="151"/>
      <c r="F597" s="151"/>
      <c r="G597" s="151"/>
      <c r="H597" s="151"/>
      <c r="I597" s="151"/>
      <c r="J597" s="152">
        <v>42636.730983796297</v>
      </c>
      <c r="K597" s="151"/>
      <c r="L597" s="151" t="s">
        <v>59</v>
      </c>
      <c r="M597" s="152">
        <v>42635.739201388889</v>
      </c>
      <c r="N597" s="151" t="s">
        <v>2902</v>
      </c>
      <c r="O597" s="151"/>
      <c r="P597" s="151"/>
      <c r="Q597" s="7" t="str">
        <f>IF(ISBLANK(patch[[#This Row],[OwnerEmail]]),Q596,patch[[#This Row],[OwnerEmail]])</f>
        <v>lipingx.xu@intel.com</v>
      </c>
      <c r="R597" s="7" t="str">
        <f>_xlfn.IFNA(VLOOKUP(patch[[#This Row],[tmp-owner.email]],OrgTree!$A:$K, 11, 0), "not ICG SWFW")</f>
        <v>BJ And dev</v>
      </c>
      <c r="S597" s="7" t="str">
        <f>IF(patch[[#This Row],[reviewer]]=patch[[#This Row],[tmp-owner.email]], "author", _xlfn.IFNA(VLOOKUP(patch[[#This Row],[reviewer]],OrgTree!$A:$K, 11, 0), "not ICG SWFW"))</f>
        <v>BJ And dev</v>
      </c>
      <c r="T597" s="7" t="str">
        <f>IF(ISBLANK(patch[[#This Row],[mergeDate]]), "", MID(YEAR(patch[[#This Row],[mergeDate]]), 3,2)&amp;"'ww"&amp;WEEKNUM(patch[[#This Row],[mergeDate]]))</f>
        <v>16'ww39</v>
      </c>
      <c r="U597" s="7" t="str">
        <f>IF(ISBLANK(patch[[#This Row],[mergeDate]]), U596, MID(YEAR(patch[[#This Row],[mergeDate]]), 3,2)&amp;"'m"&amp;MONTH(patch[[#This Row],[mergeDate]]))</f>
        <v>16'm9</v>
      </c>
      <c r="V597" s="7" t="str">
        <f>IF(ISBLANK(patch[[#This Row],[project]]), "",SUM(patch[[#This Row],[BJ -1 num]:[SH -1 num]]))</f>
        <v/>
      </c>
      <c r="W597" s="7" t="str">
        <f>IF(ISBLANK(patch[[#This Row],[project]]), "",COUNTIFS($A:$A,patch[[#This Row],[number]],$S:$S, "BJ And dev",$AC:$AC, "Review-1"))</f>
        <v/>
      </c>
      <c r="X597" s="7" t="str">
        <f>IF(ISBLANK(patch[[#This Row],[project]]), "",COUNTIFS($A:$A,patch[[#This Row],[number]],$S:$S, "FL And dev",$AC:$AC, "Review-1"))</f>
        <v/>
      </c>
      <c r="Y597" s="7" t="str">
        <f>IF(ISBLANK(patch[[#This Row],[project]]), "",COUNTIFS($A:$A,patch[[#This Row],[number]],$S:$S, "SH And dev",$AC:$AC, "Review-1"))</f>
        <v/>
      </c>
      <c r="Z597" s="7" t="str">
        <f>IF(ISBLANK(patch[[#This Row],[project]]), "",COUNTIFS($A:$A,patch[[#This Row],[number]],$S:$S, "BJ And dev",$AD:$AD, "&lt;&gt;IntegratorValidationComment"))</f>
        <v/>
      </c>
      <c r="AA597" s="7" t="str">
        <f>IF(ISBLANK(patch[[#This Row],[project]]), "",COUNTIFS($A:$A,patch[[#This Row],[number]],$S:$S, "FL And dev",$AD:$AD, "&lt;&gt;IntegratorValidationComment"))</f>
        <v/>
      </c>
      <c r="AB597" s="7" t="str">
        <f>IF(ISBLANK(patch[[#This Row],[project]]), "",COUNTIFS($A:$A,patch[[#This Row],[number]],$S:$S, "SH And dev",$AD:$AD, "&lt;&gt;IntegratorValidationComment"))</f>
        <v/>
      </c>
      <c r="AC597" s="7" t="str">
        <f>IF(OR(ISNUMBER(FIND("Review-1", patch[[#This Row],[comments]])), ISNUMBER(FIND("Approver-1", patch[[#This Row],[comments]]))), "Review-1", "")</f>
        <v/>
      </c>
      <c r="AD5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97" s="7">
        <f>IF(ISBLANK(patch[[#This Row],[number]]),AE596,patch[[#This Row],[ifCommon]])</f>
        <v>0</v>
      </c>
    </row>
    <row r="598" spans="1:31">
      <c r="A598" s="151">
        <v>147374</v>
      </c>
      <c r="B598" s="151"/>
      <c r="C598" s="151"/>
      <c r="D598" s="151"/>
      <c r="E598" s="151"/>
      <c r="F598" s="151"/>
      <c r="G598" s="151"/>
      <c r="H598" s="151"/>
      <c r="I598" s="151"/>
      <c r="J598" s="152">
        <v>42636.730983796297</v>
      </c>
      <c r="K598" s="151"/>
      <c r="L598" s="151" t="s">
        <v>24</v>
      </c>
      <c r="M598" s="152">
        <v>42635.781331018523</v>
      </c>
      <c r="N598" s="151" t="s">
        <v>1880</v>
      </c>
      <c r="O598" s="151"/>
      <c r="P598" s="151"/>
      <c r="Q598" s="7" t="str">
        <f>IF(ISBLANK(patch[[#This Row],[OwnerEmail]]),Q597,patch[[#This Row],[OwnerEmail]])</f>
        <v>lipingx.xu@intel.com</v>
      </c>
      <c r="R598" s="7" t="str">
        <f>_xlfn.IFNA(VLOOKUP(patch[[#This Row],[tmp-owner.email]],OrgTree!$A:$K, 11, 0), "not ICG SWFW")</f>
        <v>BJ And dev</v>
      </c>
      <c r="S598" s="7" t="str">
        <f>IF(patch[[#This Row],[reviewer]]=patch[[#This Row],[tmp-owner.email]], "author", _xlfn.IFNA(VLOOKUP(patch[[#This Row],[reviewer]],OrgTree!$A:$K, 11, 0), "not ICG SWFW"))</f>
        <v>BJ And dev</v>
      </c>
      <c r="T598" s="7" t="str">
        <f>IF(ISBLANK(patch[[#This Row],[mergeDate]]), "", MID(YEAR(patch[[#This Row],[mergeDate]]), 3,2)&amp;"'ww"&amp;WEEKNUM(patch[[#This Row],[mergeDate]]))</f>
        <v>16'ww39</v>
      </c>
      <c r="U598" s="7" t="str">
        <f>IF(ISBLANK(patch[[#This Row],[mergeDate]]), U597, MID(YEAR(patch[[#This Row],[mergeDate]]), 3,2)&amp;"'m"&amp;MONTH(patch[[#This Row],[mergeDate]]))</f>
        <v>16'm9</v>
      </c>
      <c r="V598" s="7" t="str">
        <f>IF(ISBLANK(patch[[#This Row],[project]]), "",SUM(patch[[#This Row],[BJ -1 num]:[SH -1 num]]))</f>
        <v/>
      </c>
      <c r="W598" s="7" t="str">
        <f>IF(ISBLANK(patch[[#This Row],[project]]), "",COUNTIFS($A:$A,patch[[#This Row],[number]],$S:$S, "BJ And dev",$AC:$AC, "Review-1"))</f>
        <v/>
      </c>
      <c r="X598" s="7" t="str">
        <f>IF(ISBLANK(patch[[#This Row],[project]]), "",COUNTIFS($A:$A,patch[[#This Row],[number]],$S:$S, "FL And dev",$AC:$AC, "Review-1"))</f>
        <v/>
      </c>
      <c r="Y598" s="7" t="str">
        <f>IF(ISBLANK(patch[[#This Row],[project]]), "",COUNTIFS($A:$A,patch[[#This Row],[number]],$S:$S, "SH And dev",$AC:$AC, "Review-1"))</f>
        <v/>
      </c>
      <c r="Z598" s="7" t="str">
        <f>IF(ISBLANK(patch[[#This Row],[project]]), "",COUNTIFS($A:$A,patch[[#This Row],[number]],$S:$S, "BJ And dev",$AD:$AD, "&lt;&gt;IntegratorValidationComment"))</f>
        <v/>
      </c>
      <c r="AA598" s="7" t="str">
        <f>IF(ISBLANK(patch[[#This Row],[project]]), "",COUNTIFS($A:$A,patch[[#This Row],[number]],$S:$S, "FL And dev",$AD:$AD, "&lt;&gt;IntegratorValidationComment"))</f>
        <v/>
      </c>
      <c r="AB598" s="7" t="str">
        <f>IF(ISBLANK(patch[[#This Row],[project]]), "",COUNTIFS($A:$A,patch[[#This Row],[number]],$S:$S, "SH And dev",$AD:$AD, "&lt;&gt;IntegratorValidationComment"))</f>
        <v/>
      </c>
      <c r="AC598" s="7" t="str">
        <f>IF(OR(ISNUMBER(FIND("Review-1", patch[[#This Row],[comments]])), ISNUMBER(FIND("Approver-1", patch[[#This Row],[comments]]))), "Review-1", "")</f>
        <v/>
      </c>
      <c r="AD5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598" s="7">
        <f>IF(ISBLANK(patch[[#This Row],[number]]),AE597,patch[[#This Row],[ifCommon]])</f>
        <v>0</v>
      </c>
    </row>
    <row r="599" spans="1:31">
      <c r="A599" s="151">
        <v>147374</v>
      </c>
      <c r="B599" s="151"/>
      <c r="C599" s="151"/>
      <c r="D599" s="151"/>
      <c r="E599" s="151"/>
      <c r="F599" s="151"/>
      <c r="G599" s="151"/>
      <c r="H599" s="151"/>
      <c r="I599" s="151"/>
      <c r="J599" s="152">
        <v>42636.730983796297</v>
      </c>
      <c r="K599" s="151"/>
      <c r="L599" s="151" t="s">
        <v>115</v>
      </c>
      <c r="M599" s="152">
        <v>42636.498749999999</v>
      </c>
      <c r="N599" s="151" t="s">
        <v>2494</v>
      </c>
      <c r="O599" s="151"/>
      <c r="P599" s="151"/>
      <c r="Q599" s="7" t="str">
        <f>IF(ISBLANK(patch[[#This Row],[OwnerEmail]]),Q598,patch[[#This Row],[OwnerEmail]])</f>
        <v>lipingx.xu@intel.com</v>
      </c>
      <c r="R599" s="7" t="str">
        <f>_xlfn.IFNA(VLOOKUP(patch[[#This Row],[tmp-owner.email]],OrgTree!$A:$K, 11, 0), "not ICG SWFW")</f>
        <v>BJ And dev</v>
      </c>
      <c r="S599" s="7" t="str">
        <f>IF(patch[[#This Row],[reviewer]]=patch[[#This Row],[tmp-owner.email]], "author", _xlfn.IFNA(VLOOKUP(patch[[#This Row],[reviewer]],OrgTree!$A:$K, 11, 0), "not ICG SWFW"))</f>
        <v>Val</v>
      </c>
      <c r="T599" s="7" t="str">
        <f>IF(ISBLANK(patch[[#This Row],[mergeDate]]), "", MID(YEAR(patch[[#This Row],[mergeDate]]), 3,2)&amp;"'ww"&amp;WEEKNUM(patch[[#This Row],[mergeDate]]))</f>
        <v>16'ww39</v>
      </c>
      <c r="U599" s="7" t="str">
        <f>IF(ISBLANK(patch[[#This Row],[mergeDate]]), U598, MID(YEAR(patch[[#This Row],[mergeDate]]), 3,2)&amp;"'m"&amp;MONTH(patch[[#This Row],[mergeDate]]))</f>
        <v>16'm9</v>
      </c>
      <c r="V599" s="7" t="str">
        <f>IF(ISBLANK(patch[[#This Row],[project]]), "",SUM(patch[[#This Row],[BJ -1 num]:[SH -1 num]]))</f>
        <v/>
      </c>
      <c r="W599" s="7" t="str">
        <f>IF(ISBLANK(patch[[#This Row],[project]]), "",COUNTIFS($A:$A,patch[[#This Row],[number]],$S:$S, "BJ And dev",$AC:$AC, "Review-1"))</f>
        <v/>
      </c>
      <c r="X599" s="7" t="str">
        <f>IF(ISBLANK(patch[[#This Row],[project]]), "",COUNTIFS($A:$A,patch[[#This Row],[number]],$S:$S, "FL And dev",$AC:$AC, "Review-1"))</f>
        <v/>
      </c>
      <c r="Y599" s="7" t="str">
        <f>IF(ISBLANK(patch[[#This Row],[project]]), "",COUNTIFS($A:$A,patch[[#This Row],[number]],$S:$S, "SH And dev",$AC:$AC, "Review-1"))</f>
        <v/>
      </c>
      <c r="Z599" s="7" t="str">
        <f>IF(ISBLANK(patch[[#This Row],[project]]), "",COUNTIFS($A:$A,patch[[#This Row],[number]],$S:$S, "BJ And dev",$AD:$AD, "&lt;&gt;IntegratorValidationComment"))</f>
        <v/>
      </c>
      <c r="AA599" s="7" t="str">
        <f>IF(ISBLANK(patch[[#This Row],[project]]), "",COUNTIFS($A:$A,patch[[#This Row],[number]],$S:$S, "FL And dev",$AD:$AD, "&lt;&gt;IntegratorValidationComment"))</f>
        <v/>
      </c>
      <c r="AB599" s="7" t="str">
        <f>IF(ISBLANK(patch[[#This Row],[project]]), "",COUNTIFS($A:$A,patch[[#This Row],[number]],$S:$S, "SH And dev",$AD:$AD, "&lt;&gt;IntegratorValidationComment"))</f>
        <v/>
      </c>
      <c r="AC599" s="7" t="str">
        <f>IF(OR(ISNUMBER(FIND("Review-1", patch[[#This Row],[comments]])), ISNUMBER(FIND("Approver-1", patch[[#This Row],[comments]]))), "Review-1", "")</f>
        <v/>
      </c>
      <c r="AD5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599" s="7">
        <f>IF(ISBLANK(patch[[#This Row],[number]]),AE598,patch[[#This Row],[ifCommon]])</f>
        <v>0</v>
      </c>
    </row>
    <row r="600" spans="1:31">
      <c r="A600" s="151">
        <v>147379</v>
      </c>
      <c r="B600" s="151" t="s">
        <v>2493</v>
      </c>
      <c r="C600" s="151" t="s">
        <v>2795</v>
      </c>
      <c r="D600" s="151" t="s">
        <v>2903</v>
      </c>
      <c r="E600" s="151" t="s">
        <v>677</v>
      </c>
      <c r="F600" s="151" t="s">
        <v>23</v>
      </c>
      <c r="G600" s="151" t="s">
        <v>2904</v>
      </c>
      <c r="H600" s="151" t="s">
        <v>2905</v>
      </c>
      <c r="I600" s="152">
        <v>42635.721643518518</v>
      </c>
      <c r="J600" s="152">
        <v>42636.730949074074</v>
      </c>
      <c r="K600" s="151" t="s">
        <v>2445</v>
      </c>
      <c r="L600" s="151" t="s">
        <v>677</v>
      </c>
      <c r="M600" s="152">
        <v>42635.721643518518</v>
      </c>
      <c r="N600" s="151" t="s">
        <v>25</v>
      </c>
      <c r="O600" s="151"/>
      <c r="P600" s="151" t="s">
        <v>2498</v>
      </c>
      <c r="Q600" s="7" t="str">
        <f>IF(ISBLANK(patch[[#This Row],[OwnerEmail]]),Q599,patch[[#This Row],[OwnerEmail]])</f>
        <v>lipingx.xu@intel.com</v>
      </c>
      <c r="R600" s="7" t="str">
        <f>_xlfn.IFNA(VLOOKUP(patch[[#This Row],[tmp-owner.email]],OrgTree!$A:$K, 11, 0), "not ICG SWFW")</f>
        <v>BJ And dev</v>
      </c>
      <c r="S600" s="7" t="str">
        <f>IF(patch[[#This Row],[reviewer]]=patch[[#This Row],[tmp-owner.email]], "author", _xlfn.IFNA(VLOOKUP(patch[[#This Row],[reviewer]],OrgTree!$A:$K, 11, 0), "not ICG SWFW"))</f>
        <v>author</v>
      </c>
      <c r="T600" s="7" t="str">
        <f>IF(ISBLANK(patch[[#This Row],[mergeDate]]), "", MID(YEAR(patch[[#This Row],[mergeDate]]), 3,2)&amp;"'ww"&amp;WEEKNUM(patch[[#This Row],[mergeDate]]))</f>
        <v>16'ww39</v>
      </c>
      <c r="U600" s="7" t="str">
        <f>IF(ISBLANK(patch[[#This Row],[mergeDate]]), U599, MID(YEAR(patch[[#This Row],[mergeDate]]), 3,2)&amp;"'m"&amp;MONTH(patch[[#This Row],[mergeDate]]))</f>
        <v>16'm9</v>
      </c>
      <c r="V600" s="7">
        <f>IF(ISBLANK(patch[[#This Row],[project]]), "",SUM(patch[[#This Row],[BJ -1 num]:[SH -1 num]]))</f>
        <v>0</v>
      </c>
      <c r="W600" s="7">
        <f>IF(ISBLANK(patch[[#This Row],[project]]), "",COUNTIFS($A:$A,patch[[#This Row],[number]],$S:$S, "BJ And dev",$AC:$AC, "Review-1"))</f>
        <v>0</v>
      </c>
      <c r="X600" s="7">
        <f>IF(ISBLANK(patch[[#This Row],[project]]), "",COUNTIFS($A:$A,patch[[#This Row],[number]],$S:$S, "FL And dev",$AC:$AC, "Review-1"))</f>
        <v>0</v>
      </c>
      <c r="Y600" s="7">
        <f>IF(ISBLANK(patch[[#This Row],[project]]), "",COUNTIFS($A:$A,patch[[#This Row],[number]],$S:$S, "SH And dev",$AC:$AC, "Review-1"))</f>
        <v>0</v>
      </c>
      <c r="Z600" s="7">
        <f>IF(ISBLANK(patch[[#This Row],[project]]), "",COUNTIFS($A:$A,patch[[#This Row],[number]],$S:$S, "BJ And dev",$AD:$AD, "&lt;&gt;IntegratorValidationComment"))</f>
        <v>3</v>
      </c>
      <c r="AA600" s="7">
        <f>IF(ISBLANK(patch[[#This Row],[project]]), "",COUNTIFS($A:$A,patch[[#This Row],[number]],$S:$S, "FL And dev",$AD:$AD, "&lt;&gt;IntegratorValidationComment"))</f>
        <v>0</v>
      </c>
      <c r="AB600" s="7">
        <f>IF(ISBLANK(patch[[#This Row],[project]]), "",COUNTIFS($A:$A,patch[[#This Row],[number]],$S:$S, "SH And dev",$AD:$AD, "&lt;&gt;IntegratorValidationComment"))</f>
        <v>0</v>
      </c>
      <c r="AC600" s="7" t="str">
        <f>IF(OR(ISNUMBER(FIND("Review-1", patch[[#This Row],[comments]])), ISNUMBER(FIND("Approver-1", patch[[#This Row],[comments]]))), "Review-1", "")</f>
        <v/>
      </c>
      <c r="AD6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00" s="7" t="str">
        <f>IF(ISBLANK(patch[[#This Row],[number]]),AE599,patch[[#This Row],[ifCommon]])</f>
        <v>not AndrHAL</v>
      </c>
    </row>
    <row r="601" spans="1:31">
      <c r="A601" s="151">
        <v>147379</v>
      </c>
      <c r="B601" s="151"/>
      <c r="C601" s="151"/>
      <c r="D601" s="151"/>
      <c r="E601" s="151"/>
      <c r="F601" s="151"/>
      <c r="G601" s="151"/>
      <c r="H601" s="151"/>
      <c r="I601" s="151"/>
      <c r="J601" s="152">
        <v>42636.730949074074</v>
      </c>
      <c r="K601" s="151"/>
      <c r="L601" s="151" t="s">
        <v>677</v>
      </c>
      <c r="M601" s="152">
        <v>42635.721643518518</v>
      </c>
      <c r="N601" s="151" t="s">
        <v>2428</v>
      </c>
      <c r="O601" s="151"/>
      <c r="P601" s="151"/>
      <c r="Q601" s="7" t="str">
        <f>IF(ISBLANK(patch[[#This Row],[OwnerEmail]]),Q600,patch[[#This Row],[OwnerEmail]])</f>
        <v>lipingx.xu@intel.com</v>
      </c>
      <c r="R601" s="7" t="str">
        <f>_xlfn.IFNA(VLOOKUP(patch[[#This Row],[tmp-owner.email]],OrgTree!$A:$K, 11, 0), "not ICG SWFW")</f>
        <v>BJ And dev</v>
      </c>
      <c r="S601" s="7" t="str">
        <f>IF(patch[[#This Row],[reviewer]]=patch[[#This Row],[tmp-owner.email]], "author", _xlfn.IFNA(VLOOKUP(patch[[#This Row],[reviewer]],OrgTree!$A:$K, 11, 0), "not ICG SWFW"))</f>
        <v>author</v>
      </c>
      <c r="T601" s="7" t="str">
        <f>IF(ISBLANK(patch[[#This Row],[mergeDate]]), "", MID(YEAR(patch[[#This Row],[mergeDate]]), 3,2)&amp;"'ww"&amp;WEEKNUM(patch[[#This Row],[mergeDate]]))</f>
        <v>16'ww39</v>
      </c>
      <c r="U601" s="7" t="str">
        <f>IF(ISBLANK(patch[[#This Row],[mergeDate]]), U600, MID(YEAR(patch[[#This Row],[mergeDate]]), 3,2)&amp;"'m"&amp;MONTH(patch[[#This Row],[mergeDate]]))</f>
        <v>16'm9</v>
      </c>
      <c r="V601" s="7" t="str">
        <f>IF(ISBLANK(patch[[#This Row],[project]]), "",SUM(patch[[#This Row],[BJ -1 num]:[SH -1 num]]))</f>
        <v/>
      </c>
      <c r="W601" s="7" t="str">
        <f>IF(ISBLANK(patch[[#This Row],[project]]), "",COUNTIFS($A:$A,patch[[#This Row],[number]],$S:$S, "BJ And dev",$AC:$AC, "Review-1"))</f>
        <v/>
      </c>
      <c r="X601" s="7" t="str">
        <f>IF(ISBLANK(patch[[#This Row],[project]]), "",COUNTIFS($A:$A,patch[[#This Row],[number]],$S:$S, "FL And dev",$AC:$AC, "Review-1"))</f>
        <v/>
      </c>
      <c r="Y601" s="7" t="str">
        <f>IF(ISBLANK(patch[[#This Row],[project]]), "",COUNTIFS($A:$A,patch[[#This Row],[number]],$S:$S, "SH And dev",$AC:$AC, "Review-1"))</f>
        <v/>
      </c>
      <c r="Z601" s="7" t="str">
        <f>IF(ISBLANK(patch[[#This Row],[project]]), "",COUNTIFS($A:$A,patch[[#This Row],[number]],$S:$S, "BJ And dev",$AD:$AD, "&lt;&gt;IntegratorValidationComment"))</f>
        <v/>
      </c>
      <c r="AA601" s="7" t="str">
        <f>IF(ISBLANK(patch[[#This Row],[project]]), "",COUNTIFS($A:$A,patch[[#This Row],[number]],$S:$S, "FL And dev",$AD:$AD, "&lt;&gt;IntegratorValidationComment"))</f>
        <v/>
      </c>
      <c r="AB601" s="7" t="str">
        <f>IF(ISBLANK(patch[[#This Row],[project]]), "",COUNTIFS($A:$A,patch[[#This Row],[number]],$S:$S, "SH And dev",$AD:$AD, "&lt;&gt;IntegratorValidationComment"))</f>
        <v/>
      </c>
      <c r="AC601" s="7" t="str">
        <f>IF(OR(ISNUMBER(FIND("Review-1", patch[[#This Row],[comments]])), ISNUMBER(FIND("Approver-1", patch[[#This Row],[comments]]))), "Review-1", "")</f>
        <v/>
      </c>
      <c r="AD6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01" s="7">
        <f>IF(ISBLANK(patch[[#This Row],[number]]),AE600,patch[[#This Row],[ifCommon]])</f>
        <v>0</v>
      </c>
    </row>
    <row r="602" spans="1:31">
      <c r="A602" s="151">
        <v>147379</v>
      </c>
      <c r="B602" s="151"/>
      <c r="C602" s="151"/>
      <c r="D602" s="151"/>
      <c r="E602" s="151"/>
      <c r="F602" s="151"/>
      <c r="G602" s="151"/>
      <c r="H602" s="151"/>
      <c r="I602" s="151"/>
      <c r="J602" s="152">
        <v>42636.730949074074</v>
      </c>
      <c r="K602" s="151"/>
      <c r="L602" s="151" t="s">
        <v>677</v>
      </c>
      <c r="M602" s="152">
        <v>42635.725266203714</v>
      </c>
      <c r="N602" s="151" t="s">
        <v>40</v>
      </c>
      <c r="O602" s="151"/>
      <c r="P602" s="151"/>
      <c r="Q602" s="7" t="str">
        <f>IF(ISBLANK(patch[[#This Row],[OwnerEmail]]),Q601,patch[[#This Row],[OwnerEmail]])</f>
        <v>lipingx.xu@intel.com</v>
      </c>
      <c r="R602" s="7" t="str">
        <f>_xlfn.IFNA(VLOOKUP(patch[[#This Row],[tmp-owner.email]],OrgTree!$A:$K, 11, 0), "not ICG SWFW")</f>
        <v>BJ And dev</v>
      </c>
      <c r="S602" s="7" t="str">
        <f>IF(patch[[#This Row],[reviewer]]=patch[[#This Row],[tmp-owner.email]], "author", _xlfn.IFNA(VLOOKUP(patch[[#This Row],[reviewer]],OrgTree!$A:$K, 11, 0), "not ICG SWFW"))</f>
        <v>author</v>
      </c>
      <c r="T602" s="7" t="str">
        <f>IF(ISBLANK(patch[[#This Row],[mergeDate]]), "", MID(YEAR(patch[[#This Row],[mergeDate]]), 3,2)&amp;"'ww"&amp;WEEKNUM(patch[[#This Row],[mergeDate]]))</f>
        <v>16'ww39</v>
      </c>
      <c r="U602" s="7" t="str">
        <f>IF(ISBLANK(patch[[#This Row],[mergeDate]]), U601, MID(YEAR(patch[[#This Row],[mergeDate]]), 3,2)&amp;"'m"&amp;MONTH(patch[[#This Row],[mergeDate]]))</f>
        <v>16'm9</v>
      </c>
      <c r="V602" s="7" t="str">
        <f>IF(ISBLANK(patch[[#This Row],[project]]), "",SUM(patch[[#This Row],[BJ -1 num]:[SH -1 num]]))</f>
        <v/>
      </c>
      <c r="W602" s="7" t="str">
        <f>IF(ISBLANK(patch[[#This Row],[project]]), "",COUNTIFS($A:$A,patch[[#This Row],[number]],$S:$S, "BJ And dev",$AC:$AC, "Review-1"))</f>
        <v/>
      </c>
      <c r="X602" s="7" t="str">
        <f>IF(ISBLANK(patch[[#This Row],[project]]), "",COUNTIFS($A:$A,patch[[#This Row],[number]],$S:$S, "FL And dev",$AC:$AC, "Review-1"))</f>
        <v/>
      </c>
      <c r="Y602" s="7" t="str">
        <f>IF(ISBLANK(patch[[#This Row],[project]]), "",COUNTIFS($A:$A,patch[[#This Row],[number]],$S:$S, "SH And dev",$AC:$AC, "Review-1"))</f>
        <v/>
      </c>
      <c r="Z602" s="7" t="str">
        <f>IF(ISBLANK(patch[[#This Row],[project]]), "",COUNTIFS($A:$A,patch[[#This Row],[number]],$S:$S, "BJ And dev",$AD:$AD, "&lt;&gt;IntegratorValidationComment"))</f>
        <v/>
      </c>
      <c r="AA602" s="7" t="str">
        <f>IF(ISBLANK(patch[[#This Row],[project]]), "",COUNTIFS($A:$A,patch[[#This Row],[number]],$S:$S, "FL And dev",$AD:$AD, "&lt;&gt;IntegratorValidationComment"))</f>
        <v/>
      </c>
      <c r="AB602" s="7" t="str">
        <f>IF(ISBLANK(patch[[#This Row],[project]]), "",COUNTIFS($A:$A,patch[[#This Row],[number]],$S:$S, "SH And dev",$AD:$AD, "&lt;&gt;IntegratorValidationComment"))</f>
        <v/>
      </c>
      <c r="AC602" s="7" t="str">
        <f>IF(OR(ISNUMBER(FIND("Review-1", patch[[#This Row],[comments]])), ISNUMBER(FIND("Approver-1", patch[[#This Row],[comments]]))), "Review-1", "")</f>
        <v/>
      </c>
      <c r="AD6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02" s="7">
        <f>IF(ISBLANK(patch[[#This Row],[number]]),AE601,patch[[#This Row],[ifCommon]])</f>
        <v>0</v>
      </c>
    </row>
    <row r="603" spans="1:31">
      <c r="A603" s="151">
        <v>147379</v>
      </c>
      <c r="B603" s="151"/>
      <c r="C603" s="151"/>
      <c r="D603" s="151"/>
      <c r="E603" s="151"/>
      <c r="F603" s="151"/>
      <c r="G603" s="151"/>
      <c r="H603" s="151"/>
      <c r="I603" s="151"/>
      <c r="J603" s="152">
        <v>42636.730949074074</v>
      </c>
      <c r="K603" s="151"/>
      <c r="L603" s="151" t="s">
        <v>59</v>
      </c>
      <c r="M603" s="152">
        <v>42635.729537037027</v>
      </c>
      <c r="N603" s="151" t="s">
        <v>2906</v>
      </c>
      <c r="O603" s="151"/>
      <c r="P603" s="151"/>
      <c r="Q603" s="7" t="str">
        <f>IF(ISBLANK(patch[[#This Row],[OwnerEmail]]),Q602,patch[[#This Row],[OwnerEmail]])</f>
        <v>lipingx.xu@intel.com</v>
      </c>
      <c r="R603" s="7" t="str">
        <f>_xlfn.IFNA(VLOOKUP(patch[[#This Row],[tmp-owner.email]],OrgTree!$A:$K, 11, 0), "not ICG SWFW")</f>
        <v>BJ And dev</v>
      </c>
      <c r="S603" s="7" t="str">
        <f>IF(patch[[#This Row],[reviewer]]=patch[[#This Row],[tmp-owner.email]], "author", _xlfn.IFNA(VLOOKUP(patch[[#This Row],[reviewer]],OrgTree!$A:$K, 11, 0), "not ICG SWFW"))</f>
        <v>BJ And dev</v>
      </c>
      <c r="T603" s="7" t="str">
        <f>IF(ISBLANK(patch[[#This Row],[mergeDate]]), "", MID(YEAR(patch[[#This Row],[mergeDate]]), 3,2)&amp;"'ww"&amp;WEEKNUM(patch[[#This Row],[mergeDate]]))</f>
        <v>16'ww39</v>
      </c>
      <c r="U603" s="7" t="str">
        <f>IF(ISBLANK(patch[[#This Row],[mergeDate]]), U602, MID(YEAR(patch[[#This Row],[mergeDate]]), 3,2)&amp;"'m"&amp;MONTH(patch[[#This Row],[mergeDate]]))</f>
        <v>16'm9</v>
      </c>
      <c r="V603" s="7" t="str">
        <f>IF(ISBLANK(patch[[#This Row],[project]]), "",SUM(patch[[#This Row],[BJ -1 num]:[SH -1 num]]))</f>
        <v/>
      </c>
      <c r="W603" s="7" t="str">
        <f>IF(ISBLANK(patch[[#This Row],[project]]), "",COUNTIFS($A:$A,patch[[#This Row],[number]],$S:$S, "BJ And dev",$AC:$AC, "Review-1"))</f>
        <v/>
      </c>
      <c r="X603" s="7" t="str">
        <f>IF(ISBLANK(patch[[#This Row],[project]]), "",COUNTIFS($A:$A,patch[[#This Row],[number]],$S:$S, "FL And dev",$AC:$AC, "Review-1"))</f>
        <v/>
      </c>
      <c r="Y603" s="7" t="str">
        <f>IF(ISBLANK(patch[[#This Row],[project]]), "",COUNTIFS($A:$A,patch[[#This Row],[number]],$S:$S, "SH And dev",$AC:$AC, "Review-1"))</f>
        <v/>
      </c>
      <c r="Z603" s="7" t="str">
        <f>IF(ISBLANK(patch[[#This Row],[project]]), "",COUNTIFS($A:$A,patch[[#This Row],[number]],$S:$S, "BJ And dev",$AD:$AD, "&lt;&gt;IntegratorValidationComment"))</f>
        <v/>
      </c>
      <c r="AA603" s="7" t="str">
        <f>IF(ISBLANK(patch[[#This Row],[project]]), "",COUNTIFS($A:$A,patch[[#This Row],[number]],$S:$S, "FL And dev",$AD:$AD, "&lt;&gt;IntegratorValidationComment"))</f>
        <v/>
      </c>
      <c r="AB603" s="7" t="str">
        <f>IF(ISBLANK(patch[[#This Row],[project]]), "",COUNTIFS($A:$A,patch[[#This Row],[number]],$S:$S, "SH And dev",$AD:$AD, "&lt;&gt;IntegratorValidationComment"))</f>
        <v/>
      </c>
      <c r="AC603" s="7" t="str">
        <f>IF(OR(ISNUMBER(FIND("Review-1", patch[[#This Row],[comments]])), ISNUMBER(FIND("Approver-1", patch[[#This Row],[comments]]))), "Review-1", "")</f>
        <v/>
      </c>
      <c r="AD6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03" s="7">
        <f>IF(ISBLANK(patch[[#This Row],[number]]),AE602,patch[[#This Row],[ifCommon]])</f>
        <v>0</v>
      </c>
    </row>
    <row r="604" spans="1:31">
      <c r="A604" s="151">
        <v>147379</v>
      </c>
      <c r="B604" s="151"/>
      <c r="C604" s="151"/>
      <c r="D604" s="151"/>
      <c r="E604" s="151"/>
      <c r="F604" s="151"/>
      <c r="G604" s="151"/>
      <c r="H604" s="151"/>
      <c r="I604" s="151"/>
      <c r="J604" s="152">
        <v>42636.730949074074</v>
      </c>
      <c r="K604" s="151"/>
      <c r="L604" s="151" t="s">
        <v>59</v>
      </c>
      <c r="M604" s="152">
        <v>42635.747303240743</v>
      </c>
      <c r="N604" s="151" t="s">
        <v>2907</v>
      </c>
      <c r="O604" s="151"/>
      <c r="P604" s="151"/>
      <c r="Q604" s="7" t="str">
        <f>IF(ISBLANK(patch[[#This Row],[OwnerEmail]]),Q603,patch[[#This Row],[OwnerEmail]])</f>
        <v>lipingx.xu@intel.com</v>
      </c>
      <c r="R604" s="7" t="str">
        <f>_xlfn.IFNA(VLOOKUP(patch[[#This Row],[tmp-owner.email]],OrgTree!$A:$K, 11, 0), "not ICG SWFW")</f>
        <v>BJ And dev</v>
      </c>
      <c r="S604" s="7" t="str">
        <f>IF(patch[[#This Row],[reviewer]]=patch[[#This Row],[tmp-owner.email]], "author", _xlfn.IFNA(VLOOKUP(patch[[#This Row],[reviewer]],OrgTree!$A:$K, 11, 0), "not ICG SWFW"))</f>
        <v>BJ And dev</v>
      </c>
      <c r="T604" s="7" t="str">
        <f>IF(ISBLANK(patch[[#This Row],[mergeDate]]), "", MID(YEAR(patch[[#This Row],[mergeDate]]), 3,2)&amp;"'ww"&amp;WEEKNUM(patch[[#This Row],[mergeDate]]))</f>
        <v>16'ww39</v>
      </c>
      <c r="U604" s="7" t="str">
        <f>IF(ISBLANK(patch[[#This Row],[mergeDate]]), U603, MID(YEAR(patch[[#This Row],[mergeDate]]), 3,2)&amp;"'m"&amp;MONTH(patch[[#This Row],[mergeDate]]))</f>
        <v>16'm9</v>
      </c>
      <c r="V604" s="7" t="str">
        <f>IF(ISBLANK(patch[[#This Row],[project]]), "",SUM(patch[[#This Row],[BJ -1 num]:[SH -1 num]]))</f>
        <v/>
      </c>
      <c r="W604" s="7" t="str">
        <f>IF(ISBLANK(patch[[#This Row],[project]]), "",COUNTIFS($A:$A,patch[[#This Row],[number]],$S:$S, "BJ And dev",$AC:$AC, "Review-1"))</f>
        <v/>
      </c>
      <c r="X604" s="7" t="str">
        <f>IF(ISBLANK(patch[[#This Row],[project]]), "",COUNTIFS($A:$A,patch[[#This Row],[number]],$S:$S, "FL And dev",$AC:$AC, "Review-1"))</f>
        <v/>
      </c>
      <c r="Y604" s="7" t="str">
        <f>IF(ISBLANK(patch[[#This Row],[project]]), "",COUNTIFS($A:$A,patch[[#This Row],[number]],$S:$S, "SH And dev",$AC:$AC, "Review-1"))</f>
        <v/>
      </c>
      <c r="Z604" s="7" t="str">
        <f>IF(ISBLANK(patch[[#This Row],[project]]), "",COUNTIFS($A:$A,patch[[#This Row],[number]],$S:$S, "BJ And dev",$AD:$AD, "&lt;&gt;IntegratorValidationComment"))</f>
        <v/>
      </c>
      <c r="AA604" s="7" t="str">
        <f>IF(ISBLANK(patch[[#This Row],[project]]), "",COUNTIFS($A:$A,patch[[#This Row],[number]],$S:$S, "FL And dev",$AD:$AD, "&lt;&gt;IntegratorValidationComment"))</f>
        <v/>
      </c>
      <c r="AB604" s="7" t="str">
        <f>IF(ISBLANK(patch[[#This Row],[project]]), "",COUNTIFS($A:$A,patch[[#This Row],[number]],$S:$S, "SH And dev",$AD:$AD, "&lt;&gt;IntegratorValidationComment"))</f>
        <v/>
      </c>
      <c r="AC604" s="7" t="str">
        <f>IF(OR(ISNUMBER(FIND("Review-1", patch[[#This Row],[comments]])), ISNUMBER(FIND("Approver-1", patch[[#This Row],[comments]]))), "Review-1", "")</f>
        <v/>
      </c>
      <c r="AD6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04" s="7">
        <f>IF(ISBLANK(patch[[#This Row],[number]]),AE603,patch[[#This Row],[ifCommon]])</f>
        <v>0</v>
      </c>
    </row>
    <row r="605" spans="1:31">
      <c r="A605" s="151">
        <v>147379</v>
      </c>
      <c r="B605" s="151"/>
      <c r="C605" s="151"/>
      <c r="D605" s="151"/>
      <c r="E605" s="151"/>
      <c r="F605" s="151"/>
      <c r="G605" s="151"/>
      <c r="H605" s="151"/>
      <c r="I605" s="152"/>
      <c r="J605" s="152">
        <v>42636.730949074074</v>
      </c>
      <c r="K605" s="151"/>
      <c r="L605" s="151" t="s">
        <v>24</v>
      </c>
      <c r="M605" s="152">
        <v>42635.781597222223</v>
      </c>
      <c r="N605" s="151" t="s">
        <v>1880</v>
      </c>
      <c r="O605" s="151"/>
      <c r="P605" s="151"/>
      <c r="Q605" s="7" t="str">
        <f>IF(ISBLANK(patch[[#This Row],[OwnerEmail]]),Q604,patch[[#This Row],[OwnerEmail]])</f>
        <v>lipingx.xu@intel.com</v>
      </c>
      <c r="R605" s="7" t="str">
        <f>_xlfn.IFNA(VLOOKUP(patch[[#This Row],[tmp-owner.email]],OrgTree!$A:$K, 11, 0), "not ICG SWFW")</f>
        <v>BJ And dev</v>
      </c>
      <c r="S605" s="7" t="str">
        <f>IF(patch[[#This Row],[reviewer]]=patch[[#This Row],[tmp-owner.email]], "author", _xlfn.IFNA(VLOOKUP(patch[[#This Row],[reviewer]],OrgTree!$A:$K, 11, 0), "not ICG SWFW"))</f>
        <v>BJ And dev</v>
      </c>
      <c r="T605" s="7" t="str">
        <f>IF(ISBLANK(patch[[#This Row],[mergeDate]]), "", MID(YEAR(patch[[#This Row],[mergeDate]]), 3,2)&amp;"'ww"&amp;WEEKNUM(patch[[#This Row],[mergeDate]]))</f>
        <v>16'ww39</v>
      </c>
      <c r="U605" s="7" t="str">
        <f>IF(ISBLANK(patch[[#This Row],[mergeDate]]), U604, MID(YEAR(patch[[#This Row],[mergeDate]]), 3,2)&amp;"'m"&amp;MONTH(patch[[#This Row],[mergeDate]]))</f>
        <v>16'm9</v>
      </c>
      <c r="V605" s="7" t="str">
        <f>IF(ISBLANK(patch[[#This Row],[project]]), "",SUM(patch[[#This Row],[BJ -1 num]:[SH -1 num]]))</f>
        <v/>
      </c>
      <c r="W605" s="7" t="str">
        <f>IF(ISBLANK(patch[[#This Row],[project]]), "",COUNTIFS($A:$A,patch[[#This Row],[number]],$S:$S, "BJ And dev",$AC:$AC, "Review-1"))</f>
        <v/>
      </c>
      <c r="X605" s="7" t="str">
        <f>IF(ISBLANK(patch[[#This Row],[project]]), "",COUNTIFS($A:$A,patch[[#This Row],[number]],$S:$S, "FL And dev",$AC:$AC, "Review-1"))</f>
        <v/>
      </c>
      <c r="Y605" s="7" t="str">
        <f>IF(ISBLANK(patch[[#This Row],[project]]), "",COUNTIFS($A:$A,patch[[#This Row],[number]],$S:$S, "SH And dev",$AC:$AC, "Review-1"))</f>
        <v/>
      </c>
      <c r="Z605" s="7" t="str">
        <f>IF(ISBLANK(patch[[#This Row],[project]]), "",COUNTIFS($A:$A,patch[[#This Row],[number]],$S:$S, "BJ And dev",$AD:$AD, "&lt;&gt;IntegratorValidationComment"))</f>
        <v/>
      </c>
      <c r="AA605" s="7" t="str">
        <f>IF(ISBLANK(patch[[#This Row],[project]]), "",COUNTIFS($A:$A,patch[[#This Row],[number]],$S:$S, "FL And dev",$AD:$AD, "&lt;&gt;IntegratorValidationComment"))</f>
        <v/>
      </c>
      <c r="AB605" s="7" t="str">
        <f>IF(ISBLANK(patch[[#This Row],[project]]), "",COUNTIFS($A:$A,patch[[#This Row],[number]],$S:$S, "SH And dev",$AD:$AD, "&lt;&gt;IntegratorValidationComment"))</f>
        <v/>
      </c>
      <c r="AC605" s="7" t="str">
        <f>IF(OR(ISNUMBER(FIND("Review-1", patch[[#This Row],[comments]])), ISNUMBER(FIND("Approver-1", patch[[#This Row],[comments]]))), "Review-1", "")</f>
        <v/>
      </c>
      <c r="AD6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05" s="7">
        <f>IF(ISBLANK(patch[[#This Row],[number]]),AE604,patch[[#This Row],[ifCommon]])</f>
        <v>0</v>
      </c>
    </row>
    <row r="606" spans="1:31">
      <c r="A606" s="151">
        <v>147379</v>
      </c>
      <c r="B606" s="151"/>
      <c r="C606" s="151"/>
      <c r="D606" s="151"/>
      <c r="E606" s="151"/>
      <c r="F606" s="151"/>
      <c r="G606" s="151"/>
      <c r="H606" s="151"/>
      <c r="I606" s="151"/>
      <c r="J606" s="152">
        <v>42636.730949074074</v>
      </c>
      <c r="K606" s="151"/>
      <c r="L606" s="151" t="s">
        <v>115</v>
      </c>
      <c r="M606" s="152">
        <v>42636.498680555553</v>
      </c>
      <c r="N606" s="151" t="s">
        <v>2494</v>
      </c>
      <c r="O606" s="151"/>
      <c r="P606" s="151"/>
      <c r="Q606" s="7" t="str">
        <f>IF(ISBLANK(patch[[#This Row],[OwnerEmail]]),Q605,patch[[#This Row],[OwnerEmail]])</f>
        <v>lipingx.xu@intel.com</v>
      </c>
      <c r="R606" s="7" t="str">
        <f>_xlfn.IFNA(VLOOKUP(patch[[#This Row],[tmp-owner.email]],OrgTree!$A:$K, 11, 0), "not ICG SWFW")</f>
        <v>BJ And dev</v>
      </c>
      <c r="S606" s="7" t="str">
        <f>IF(patch[[#This Row],[reviewer]]=patch[[#This Row],[tmp-owner.email]], "author", _xlfn.IFNA(VLOOKUP(patch[[#This Row],[reviewer]],OrgTree!$A:$K, 11, 0), "not ICG SWFW"))</f>
        <v>Val</v>
      </c>
      <c r="T606" s="7" t="str">
        <f>IF(ISBLANK(patch[[#This Row],[mergeDate]]), "", MID(YEAR(patch[[#This Row],[mergeDate]]), 3,2)&amp;"'ww"&amp;WEEKNUM(patch[[#This Row],[mergeDate]]))</f>
        <v>16'ww39</v>
      </c>
      <c r="U606" s="7" t="str">
        <f>IF(ISBLANK(patch[[#This Row],[mergeDate]]), U605, MID(YEAR(patch[[#This Row],[mergeDate]]), 3,2)&amp;"'m"&amp;MONTH(patch[[#This Row],[mergeDate]]))</f>
        <v>16'm9</v>
      </c>
      <c r="V606" s="7" t="str">
        <f>IF(ISBLANK(patch[[#This Row],[project]]), "",SUM(patch[[#This Row],[BJ -1 num]:[SH -1 num]]))</f>
        <v/>
      </c>
      <c r="W606" s="7" t="str">
        <f>IF(ISBLANK(patch[[#This Row],[project]]), "",COUNTIFS($A:$A,patch[[#This Row],[number]],$S:$S, "BJ And dev",$AC:$AC, "Review-1"))</f>
        <v/>
      </c>
      <c r="X606" s="7" t="str">
        <f>IF(ISBLANK(patch[[#This Row],[project]]), "",COUNTIFS($A:$A,patch[[#This Row],[number]],$S:$S, "FL And dev",$AC:$AC, "Review-1"))</f>
        <v/>
      </c>
      <c r="Y606" s="7" t="str">
        <f>IF(ISBLANK(patch[[#This Row],[project]]), "",COUNTIFS($A:$A,patch[[#This Row],[number]],$S:$S, "SH And dev",$AC:$AC, "Review-1"))</f>
        <v/>
      </c>
      <c r="Z606" s="7" t="str">
        <f>IF(ISBLANK(patch[[#This Row],[project]]), "",COUNTIFS($A:$A,patch[[#This Row],[number]],$S:$S, "BJ And dev",$AD:$AD, "&lt;&gt;IntegratorValidationComment"))</f>
        <v/>
      </c>
      <c r="AA606" s="7" t="str">
        <f>IF(ISBLANK(patch[[#This Row],[project]]), "",COUNTIFS($A:$A,patch[[#This Row],[number]],$S:$S, "FL And dev",$AD:$AD, "&lt;&gt;IntegratorValidationComment"))</f>
        <v/>
      </c>
      <c r="AB606" s="7" t="str">
        <f>IF(ISBLANK(patch[[#This Row],[project]]), "",COUNTIFS($A:$A,patch[[#This Row],[number]],$S:$S, "SH And dev",$AD:$AD, "&lt;&gt;IntegratorValidationComment"))</f>
        <v/>
      </c>
      <c r="AC606" s="7" t="str">
        <f>IF(OR(ISNUMBER(FIND("Review-1", patch[[#This Row],[comments]])), ISNUMBER(FIND("Approver-1", patch[[#This Row],[comments]]))), "Review-1", "")</f>
        <v/>
      </c>
      <c r="AD6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606" s="7">
        <f>IF(ISBLANK(patch[[#This Row],[number]]),AE605,patch[[#This Row],[ifCommon]])</f>
        <v>0</v>
      </c>
    </row>
    <row r="607" spans="1:31">
      <c r="A607" s="151">
        <v>147373</v>
      </c>
      <c r="B607" s="151" t="s">
        <v>2490</v>
      </c>
      <c r="C607" s="151" t="s">
        <v>2795</v>
      </c>
      <c r="D607" s="151" t="s">
        <v>2908</v>
      </c>
      <c r="E607" s="151" t="s">
        <v>677</v>
      </c>
      <c r="F607" s="151" t="s">
        <v>23</v>
      </c>
      <c r="G607" s="151" t="s">
        <v>2909</v>
      </c>
      <c r="H607" s="151" t="s">
        <v>2910</v>
      </c>
      <c r="I607" s="152">
        <v>42635.721296296288</v>
      </c>
      <c r="J607" s="152">
        <v>42636.730914351851</v>
      </c>
      <c r="K607" s="151" t="s">
        <v>2445</v>
      </c>
      <c r="L607" s="151" t="s">
        <v>677</v>
      </c>
      <c r="M607" s="152">
        <v>42635.721296296288</v>
      </c>
      <c r="N607" s="151" t="s">
        <v>25</v>
      </c>
      <c r="O607" s="151"/>
      <c r="P607" s="151" t="s">
        <v>2498</v>
      </c>
      <c r="Q607" s="7" t="str">
        <f>IF(ISBLANK(patch[[#This Row],[OwnerEmail]]),Q606,patch[[#This Row],[OwnerEmail]])</f>
        <v>lipingx.xu@intel.com</v>
      </c>
      <c r="R607" s="7" t="str">
        <f>_xlfn.IFNA(VLOOKUP(patch[[#This Row],[tmp-owner.email]],OrgTree!$A:$K, 11, 0), "not ICG SWFW")</f>
        <v>BJ And dev</v>
      </c>
      <c r="S607" s="7" t="str">
        <f>IF(patch[[#This Row],[reviewer]]=patch[[#This Row],[tmp-owner.email]], "author", _xlfn.IFNA(VLOOKUP(patch[[#This Row],[reviewer]],OrgTree!$A:$K, 11, 0), "not ICG SWFW"))</f>
        <v>author</v>
      </c>
      <c r="T607" s="7" t="str">
        <f>IF(ISBLANK(patch[[#This Row],[mergeDate]]), "", MID(YEAR(patch[[#This Row],[mergeDate]]), 3,2)&amp;"'ww"&amp;WEEKNUM(patch[[#This Row],[mergeDate]]))</f>
        <v>16'ww39</v>
      </c>
      <c r="U607" s="7" t="str">
        <f>IF(ISBLANK(patch[[#This Row],[mergeDate]]), U606, MID(YEAR(patch[[#This Row],[mergeDate]]), 3,2)&amp;"'m"&amp;MONTH(patch[[#This Row],[mergeDate]]))</f>
        <v>16'm9</v>
      </c>
      <c r="V607" s="7">
        <f>IF(ISBLANK(patch[[#This Row],[project]]), "",SUM(patch[[#This Row],[BJ -1 num]:[SH -1 num]]))</f>
        <v>0</v>
      </c>
      <c r="W607" s="7">
        <f>IF(ISBLANK(patch[[#This Row],[project]]), "",COUNTIFS($A:$A,patch[[#This Row],[number]],$S:$S, "BJ And dev",$AC:$AC, "Review-1"))</f>
        <v>0</v>
      </c>
      <c r="X607" s="7">
        <f>IF(ISBLANK(patch[[#This Row],[project]]), "",COUNTIFS($A:$A,patch[[#This Row],[number]],$S:$S, "FL And dev",$AC:$AC, "Review-1"))</f>
        <v>0</v>
      </c>
      <c r="Y607" s="7">
        <f>IF(ISBLANK(patch[[#This Row],[project]]), "",COUNTIFS($A:$A,patch[[#This Row],[number]],$S:$S, "SH And dev",$AC:$AC, "Review-1"))</f>
        <v>0</v>
      </c>
      <c r="Z607" s="7">
        <f>IF(ISBLANK(patch[[#This Row],[project]]), "",COUNTIFS($A:$A,patch[[#This Row],[number]],$S:$S, "BJ And dev",$AD:$AD, "&lt;&gt;IntegratorValidationComment"))</f>
        <v>4</v>
      </c>
      <c r="AA607" s="7">
        <f>IF(ISBLANK(patch[[#This Row],[project]]), "",COUNTIFS($A:$A,patch[[#This Row],[number]],$S:$S, "FL And dev",$AD:$AD, "&lt;&gt;IntegratorValidationComment"))</f>
        <v>0</v>
      </c>
      <c r="AB607" s="7">
        <f>IF(ISBLANK(patch[[#This Row],[project]]), "",COUNTIFS($A:$A,patch[[#This Row],[number]],$S:$S, "SH And dev",$AD:$AD, "&lt;&gt;IntegratorValidationComment"))</f>
        <v>0</v>
      </c>
      <c r="AC607" s="7" t="str">
        <f>IF(OR(ISNUMBER(FIND("Review-1", patch[[#This Row],[comments]])), ISNUMBER(FIND("Approver-1", patch[[#This Row],[comments]]))), "Review-1", "")</f>
        <v/>
      </c>
      <c r="AD6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07" s="7" t="str">
        <f>IF(ISBLANK(patch[[#This Row],[number]]),AE606,patch[[#This Row],[ifCommon]])</f>
        <v>not AndrHAL</v>
      </c>
    </row>
    <row r="608" spans="1:31">
      <c r="A608" s="151">
        <v>147373</v>
      </c>
      <c r="B608" s="151"/>
      <c r="C608" s="151"/>
      <c r="D608" s="151"/>
      <c r="E608" s="151"/>
      <c r="F608" s="151"/>
      <c r="G608" s="151"/>
      <c r="H608" s="151"/>
      <c r="I608" s="151"/>
      <c r="J608" s="152">
        <v>42636.730914351851</v>
      </c>
      <c r="K608" s="151"/>
      <c r="L608" s="151" t="s">
        <v>677</v>
      </c>
      <c r="M608" s="152">
        <v>42635.721307870372</v>
      </c>
      <c r="N608" s="151" t="s">
        <v>2428</v>
      </c>
      <c r="O608" s="151"/>
      <c r="P608" s="151"/>
      <c r="Q608" s="7" t="str">
        <f>IF(ISBLANK(patch[[#This Row],[OwnerEmail]]),Q607,patch[[#This Row],[OwnerEmail]])</f>
        <v>lipingx.xu@intel.com</v>
      </c>
      <c r="R608" s="7" t="str">
        <f>_xlfn.IFNA(VLOOKUP(patch[[#This Row],[tmp-owner.email]],OrgTree!$A:$K, 11, 0), "not ICG SWFW")</f>
        <v>BJ And dev</v>
      </c>
      <c r="S608" s="7" t="str">
        <f>IF(patch[[#This Row],[reviewer]]=patch[[#This Row],[tmp-owner.email]], "author", _xlfn.IFNA(VLOOKUP(patch[[#This Row],[reviewer]],OrgTree!$A:$K, 11, 0), "not ICG SWFW"))</f>
        <v>author</v>
      </c>
      <c r="T608" s="7" t="str">
        <f>IF(ISBLANK(patch[[#This Row],[mergeDate]]), "", MID(YEAR(patch[[#This Row],[mergeDate]]), 3,2)&amp;"'ww"&amp;WEEKNUM(patch[[#This Row],[mergeDate]]))</f>
        <v>16'ww39</v>
      </c>
      <c r="U608" s="7" t="str">
        <f>IF(ISBLANK(patch[[#This Row],[mergeDate]]), U607, MID(YEAR(patch[[#This Row],[mergeDate]]), 3,2)&amp;"'m"&amp;MONTH(patch[[#This Row],[mergeDate]]))</f>
        <v>16'm9</v>
      </c>
      <c r="V608" s="7" t="str">
        <f>IF(ISBLANK(patch[[#This Row],[project]]), "",SUM(patch[[#This Row],[BJ -1 num]:[SH -1 num]]))</f>
        <v/>
      </c>
      <c r="W608" s="7" t="str">
        <f>IF(ISBLANK(patch[[#This Row],[project]]), "",COUNTIFS($A:$A,patch[[#This Row],[number]],$S:$S, "BJ And dev",$AC:$AC, "Review-1"))</f>
        <v/>
      </c>
      <c r="X608" s="7" t="str">
        <f>IF(ISBLANK(patch[[#This Row],[project]]), "",COUNTIFS($A:$A,patch[[#This Row],[number]],$S:$S, "FL And dev",$AC:$AC, "Review-1"))</f>
        <v/>
      </c>
      <c r="Y608" s="7" t="str">
        <f>IF(ISBLANK(patch[[#This Row],[project]]), "",COUNTIFS($A:$A,patch[[#This Row],[number]],$S:$S, "SH And dev",$AC:$AC, "Review-1"))</f>
        <v/>
      </c>
      <c r="Z608" s="7" t="str">
        <f>IF(ISBLANK(patch[[#This Row],[project]]), "",COUNTIFS($A:$A,patch[[#This Row],[number]],$S:$S, "BJ And dev",$AD:$AD, "&lt;&gt;IntegratorValidationComment"))</f>
        <v/>
      </c>
      <c r="AA608" s="7" t="str">
        <f>IF(ISBLANK(patch[[#This Row],[project]]), "",COUNTIFS($A:$A,patch[[#This Row],[number]],$S:$S, "FL And dev",$AD:$AD, "&lt;&gt;IntegratorValidationComment"))</f>
        <v/>
      </c>
      <c r="AB608" s="7" t="str">
        <f>IF(ISBLANK(patch[[#This Row],[project]]), "",COUNTIFS($A:$A,patch[[#This Row],[number]],$S:$S, "SH And dev",$AD:$AD, "&lt;&gt;IntegratorValidationComment"))</f>
        <v/>
      </c>
      <c r="AC608" s="7" t="str">
        <f>IF(OR(ISNUMBER(FIND("Review-1", patch[[#This Row],[comments]])), ISNUMBER(FIND("Approver-1", patch[[#This Row],[comments]]))), "Review-1", "")</f>
        <v/>
      </c>
      <c r="AD6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08" s="7">
        <f>IF(ISBLANK(patch[[#This Row],[number]]),AE607,patch[[#This Row],[ifCommon]])</f>
        <v>0</v>
      </c>
    </row>
    <row r="609" spans="1:31">
      <c r="A609" s="151">
        <v>147373</v>
      </c>
      <c r="B609" s="151"/>
      <c r="C609" s="151"/>
      <c r="D609" s="151"/>
      <c r="E609" s="151"/>
      <c r="F609" s="151"/>
      <c r="G609" s="151"/>
      <c r="H609" s="151"/>
      <c r="I609" s="151"/>
      <c r="J609" s="152">
        <v>42636.730914351851</v>
      </c>
      <c r="K609" s="151"/>
      <c r="L609" s="151" t="s">
        <v>677</v>
      </c>
      <c r="M609" s="152">
        <v>42635.724687499998</v>
      </c>
      <c r="N609" s="151" t="s">
        <v>40</v>
      </c>
      <c r="O609" s="151"/>
      <c r="P609" s="151"/>
      <c r="Q609" s="7" t="str">
        <f>IF(ISBLANK(patch[[#This Row],[OwnerEmail]]),Q608,patch[[#This Row],[OwnerEmail]])</f>
        <v>lipingx.xu@intel.com</v>
      </c>
      <c r="R609" s="7" t="str">
        <f>_xlfn.IFNA(VLOOKUP(patch[[#This Row],[tmp-owner.email]],OrgTree!$A:$K, 11, 0), "not ICG SWFW")</f>
        <v>BJ And dev</v>
      </c>
      <c r="S609" s="7" t="str">
        <f>IF(patch[[#This Row],[reviewer]]=patch[[#This Row],[tmp-owner.email]], "author", _xlfn.IFNA(VLOOKUP(patch[[#This Row],[reviewer]],OrgTree!$A:$K, 11, 0), "not ICG SWFW"))</f>
        <v>author</v>
      </c>
      <c r="T609" s="7" t="str">
        <f>IF(ISBLANK(patch[[#This Row],[mergeDate]]), "", MID(YEAR(patch[[#This Row],[mergeDate]]), 3,2)&amp;"'ww"&amp;WEEKNUM(patch[[#This Row],[mergeDate]]))</f>
        <v>16'ww39</v>
      </c>
      <c r="U609" s="7" t="str">
        <f>IF(ISBLANK(patch[[#This Row],[mergeDate]]), U608, MID(YEAR(patch[[#This Row],[mergeDate]]), 3,2)&amp;"'m"&amp;MONTH(patch[[#This Row],[mergeDate]]))</f>
        <v>16'm9</v>
      </c>
      <c r="V609" s="7" t="str">
        <f>IF(ISBLANK(patch[[#This Row],[project]]), "",SUM(patch[[#This Row],[BJ -1 num]:[SH -1 num]]))</f>
        <v/>
      </c>
      <c r="W609" s="7" t="str">
        <f>IF(ISBLANK(patch[[#This Row],[project]]), "",COUNTIFS($A:$A,patch[[#This Row],[number]],$S:$S, "BJ And dev",$AC:$AC, "Review-1"))</f>
        <v/>
      </c>
      <c r="X609" s="7" t="str">
        <f>IF(ISBLANK(patch[[#This Row],[project]]), "",COUNTIFS($A:$A,patch[[#This Row],[number]],$S:$S, "FL And dev",$AC:$AC, "Review-1"))</f>
        <v/>
      </c>
      <c r="Y609" s="7" t="str">
        <f>IF(ISBLANK(patch[[#This Row],[project]]), "",COUNTIFS($A:$A,patch[[#This Row],[number]],$S:$S, "SH And dev",$AC:$AC, "Review-1"))</f>
        <v/>
      </c>
      <c r="Z609" s="7" t="str">
        <f>IF(ISBLANK(patch[[#This Row],[project]]), "",COUNTIFS($A:$A,patch[[#This Row],[number]],$S:$S, "BJ And dev",$AD:$AD, "&lt;&gt;IntegratorValidationComment"))</f>
        <v/>
      </c>
      <c r="AA609" s="7" t="str">
        <f>IF(ISBLANK(patch[[#This Row],[project]]), "",COUNTIFS($A:$A,patch[[#This Row],[number]],$S:$S, "FL And dev",$AD:$AD, "&lt;&gt;IntegratorValidationComment"))</f>
        <v/>
      </c>
      <c r="AB609" s="7" t="str">
        <f>IF(ISBLANK(patch[[#This Row],[project]]), "",COUNTIFS($A:$A,patch[[#This Row],[number]],$S:$S, "SH And dev",$AD:$AD, "&lt;&gt;IntegratorValidationComment"))</f>
        <v/>
      </c>
      <c r="AC609" s="7" t="str">
        <f>IF(OR(ISNUMBER(FIND("Review-1", patch[[#This Row],[comments]])), ISNUMBER(FIND("Approver-1", patch[[#This Row],[comments]]))), "Review-1", "")</f>
        <v/>
      </c>
      <c r="AD6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09" s="7">
        <f>IF(ISBLANK(patch[[#This Row],[number]]),AE608,patch[[#This Row],[ifCommon]])</f>
        <v>0</v>
      </c>
    </row>
    <row r="610" spans="1:31">
      <c r="A610" s="151">
        <v>147373</v>
      </c>
      <c r="B610" s="151"/>
      <c r="C610" s="151"/>
      <c r="D610" s="151"/>
      <c r="E610" s="151"/>
      <c r="F610" s="151"/>
      <c r="G610" s="151"/>
      <c r="H610" s="151"/>
      <c r="I610" s="151"/>
      <c r="J610" s="152">
        <v>42636.730914351851</v>
      </c>
      <c r="K610" s="151"/>
      <c r="L610" s="151" t="s">
        <v>59</v>
      </c>
      <c r="M610" s="152">
        <v>42635.725474537037</v>
      </c>
      <c r="N610" s="151" t="s">
        <v>40</v>
      </c>
      <c r="O610" s="151"/>
      <c r="P610" s="151"/>
      <c r="Q610" s="7" t="str">
        <f>IF(ISBLANK(patch[[#This Row],[OwnerEmail]]),Q609,patch[[#This Row],[OwnerEmail]])</f>
        <v>lipingx.xu@intel.com</v>
      </c>
      <c r="R610" s="7" t="str">
        <f>_xlfn.IFNA(VLOOKUP(patch[[#This Row],[tmp-owner.email]],OrgTree!$A:$K, 11, 0), "not ICG SWFW")</f>
        <v>BJ And dev</v>
      </c>
      <c r="S610" s="7" t="str">
        <f>IF(patch[[#This Row],[reviewer]]=patch[[#This Row],[tmp-owner.email]], "author", _xlfn.IFNA(VLOOKUP(patch[[#This Row],[reviewer]],OrgTree!$A:$K, 11, 0), "not ICG SWFW"))</f>
        <v>BJ And dev</v>
      </c>
      <c r="T610" s="7" t="str">
        <f>IF(ISBLANK(patch[[#This Row],[mergeDate]]), "", MID(YEAR(patch[[#This Row],[mergeDate]]), 3,2)&amp;"'ww"&amp;WEEKNUM(patch[[#This Row],[mergeDate]]))</f>
        <v>16'ww39</v>
      </c>
      <c r="U610" s="7" t="str">
        <f>IF(ISBLANK(patch[[#This Row],[mergeDate]]), U609, MID(YEAR(patch[[#This Row],[mergeDate]]), 3,2)&amp;"'m"&amp;MONTH(patch[[#This Row],[mergeDate]]))</f>
        <v>16'm9</v>
      </c>
      <c r="V610" s="7" t="str">
        <f>IF(ISBLANK(patch[[#This Row],[project]]), "",SUM(patch[[#This Row],[BJ -1 num]:[SH -1 num]]))</f>
        <v/>
      </c>
      <c r="W610" s="7" t="str">
        <f>IF(ISBLANK(patch[[#This Row],[project]]), "",COUNTIFS($A:$A,patch[[#This Row],[number]],$S:$S, "BJ And dev",$AC:$AC, "Review-1"))</f>
        <v/>
      </c>
      <c r="X610" s="7" t="str">
        <f>IF(ISBLANK(patch[[#This Row],[project]]), "",COUNTIFS($A:$A,patch[[#This Row],[number]],$S:$S, "FL And dev",$AC:$AC, "Review-1"))</f>
        <v/>
      </c>
      <c r="Y610" s="7" t="str">
        <f>IF(ISBLANK(patch[[#This Row],[project]]), "",COUNTIFS($A:$A,patch[[#This Row],[number]],$S:$S, "SH And dev",$AC:$AC, "Review-1"))</f>
        <v/>
      </c>
      <c r="Z610" s="7" t="str">
        <f>IF(ISBLANK(patch[[#This Row],[project]]), "",COUNTIFS($A:$A,patch[[#This Row],[number]],$S:$S, "BJ And dev",$AD:$AD, "&lt;&gt;IntegratorValidationComment"))</f>
        <v/>
      </c>
      <c r="AA610" s="7" t="str">
        <f>IF(ISBLANK(patch[[#This Row],[project]]), "",COUNTIFS($A:$A,patch[[#This Row],[number]],$S:$S, "FL And dev",$AD:$AD, "&lt;&gt;IntegratorValidationComment"))</f>
        <v/>
      </c>
      <c r="AB610" s="7" t="str">
        <f>IF(ISBLANK(patch[[#This Row],[project]]), "",COUNTIFS($A:$A,patch[[#This Row],[number]],$S:$S, "SH And dev",$AD:$AD, "&lt;&gt;IntegratorValidationComment"))</f>
        <v/>
      </c>
      <c r="AC610" s="7" t="str">
        <f>IF(OR(ISNUMBER(FIND("Review-1", patch[[#This Row],[comments]])), ISNUMBER(FIND("Approver-1", patch[[#This Row],[comments]]))), "Review-1", "")</f>
        <v/>
      </c>
      <c r="AD6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10" s="7">
        <f>IF(ISBLANK(patch[[#This Row],[number]]),AE609,patch[[#This Row],[ifCommon]])</f>
        <v>0</v>
      </c>
    </row>
    <row r="611" spans="1:31">
      <c r="A611" s="151">
        <v>147373</v>
      </c>
      <c r="B611" s="151"/>
      <c r="C611" s="151"/>
      <c r="D611" s="151"/>
      <c r="E611" s="151"/>
      <c r="F611" s="151"/>
      <c r="G611" s="151"/>
      <c r="H611" s="151"/>
      <c r="I611" s="151"/>
      <c r="J611" s="152">
        <v>42636.730914351851</v>
      </c>
      <c r="K611" s="151"/>
      <c r="L611" s="151" t="s">
        <v>59</v>
      </c>
      <c r="M611" s="152">
        <v>42635.729583333326</v>
      </c>
      <c r="N611" s="151" t="s">
        <v>2911</v>
      </c>
      <c r="O611" s="151"/>
      <c r="P611" s="151"/>
      <c r="Q611" s="7" t="str">
        <f>IF(ISBLANK(patch[[#This Row],[OwnerEmail]]),Q610,patch[[#This Row],[OwnerEmail]])</f>
        <v>lipingx.xu@intel.com</v>
      </c>
      <c r="R611" s="7" t="str">
        <f>_xlfn.IFNA(VLOOKUP(patch[[#This Row],[tmp-owner.email]],OrgTree!$A:$K, 11, 0), "not ICG SWFW")</f>
        <v>BJ And dev</v>
      </c>
      <c r="S611" s="7" t="str">
        <f>IF(patch[[#This Row],[reviewer]]=patch[[#This Row],[tmp-owner.email]], "author", _xlfn.IFNA(VLOOKUP(patch[[#This Row],[reviewer]],OrgTree!$A:$K, 11, 0), "not ICG SWFW"))</f>
        <v>BJ And dev</v>
      </c>
      <c r="T611" s="7" t="str">
        <f>IF(ISBLANK(patch[[#This Row],[mergeDate]]), "", MID(YEAR(patch[[#This Row],[mergeDate]]), 3,2)&amp;"'ww"&amp;WEEKNUM(patch[[#This Row],[mergeDate]]))</f>
        <v>16'ww39</v>
      </c>
      <c r="U611" s="7" t="str">
        <f>IF(ISBLANK(patch[[#This Row],[mergeDate]]), U610, MID(YEAR(patch[[#This Row],[mergeDate]]), 3,2)&amp;"'m"&amp;MONTH(patch[[#This Row],[mergeDate]]))</f>
        <v>16'm9</v>
      </c>
      <c r="V611" s="7" t="str">
        <f>IF(ISBLANK(patch[[#This Row],[project]]), "",SUM(patch[[#This Row],[BJ -1 num]:[SH -1 num]]))</f>
        <v/>
      </c>
      <c r="W611" s="7" t="str">
        <f>IF(ISBLANK(patch[[#This Row],[project]]), "",COUNTIFS($A:$A,patch[[#This Row],[number]],$S:$S, "BJ And dev",$AC:$AC, "Review-1"))</f>
        <v/>
      </c>
      <c r="X611" s="7" t="str">
        <f>IF(ISBLANK(patch[[#This Row],[project]]), "",COUNTIFS($A:$A,patch[[#This Row],[number]],$S:$S, "FL And dev",$AC:$AC, "Review-1"))</f>
        <v/>
      </c>
      <c r="Y611" s="7" t="str">
        <f>IF(ISBLANK(patch[[#This Row],[project]]), "",COUNTIFS($A:$A,patch[[#This Row],[number]],$S:$S, "SH And dev",$AC:$AC, "Review-1"))</f>
        <v/>
      </c>
      <c r="Z611" s="7" t="str">
        <f>IF(ISBLANK(patch[[#This Row],[project]]), "",COUNTIFS($A:$A,patch[[#This Row],[number]],$S:$S, "BJ And dev",$AD:$AD, "&lt;&gt;IntegratorValidationComment"))</f>
        <v/>
      </c>
      <c r="AA611" s="7" t="str">
        <f>IF(ISBLANK(patch[[#This Row],[project]]), "",COUNTIFS($A:$A,patch[[#This Row],[number]],$S:$S, "FL And dev",$AD:$AD, "&lt;&gt;IntegratorValidationComment"))</f>
        <v/>
      </c>
      <c r="AB611" s="7" t="str">
        <f>IF(ISBLANK(patch[[#This Row],[project]]), "",COUNTIFS($A:$A,patch[[#This Row],[number]],$S:$S, "SH And dev",$AD:$AD, "&lt;&gt;IntegratorValidationComment"))</f>
        <v/>
      </c>
      <c r="AC611" s="7" t="str">
        <f>IF(OR(ISNUMBER(FIND("Review-1", patch[[#This Row],[comments]])), ISNUMBER(FIND("Approver-1", patch[[#This Row],[comments]]))), "Review-1", "")</f>
        <v/>
      </c>
      <c r="AD6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11" s="7">
        <f>IF(ISBLANK(patch[[#This Row],[number]]),AE610,patch[[#This Row],[ifCommon]])</f>
        <v>0</v>
      </c>
    </row>
    <row r="612" spans="1:31">
      <c r="A612" s="151">
        <v>147373</v>
      </c>
      <c r="B612" s="151"/>
      <c r="C612" s="151"/>
      <c r="D612" s="151"/>
      <c r="E612" s="151"/>
      <c r="F612" s="151"/>
      <c r="G612" s="151"/>
      <c r="H612" s="151"/>
      <c r="I612" s="151"/>
      <c r="J612" s="152">
        <v>42636.730914351851</v>
      </c>
      <c r="K612" s="151"/>
      <c r="L612" s="151" t="s">
        <v>59</v>
      </c>
      <c r="M612" s="152">
        <v>42635.743842592587</v>
      </c>
      <c r="N612" s="151" t="s">
        <v>2912</v>
      </c>
      <c r="O612" s="151"/>
      <c r="P612" s="151"/>
      <c r="Q612" s="7" t="str">
        <f>IF(ISBLANK(patch[[#This Row],[OwnerEmail]]),Q611,patch[[#This Row],[OwnerEmail]])</f>
        <v>lipingx.xu@intel.com</v>
      </c>
      <c r="R612" s="7" t="str">
        <f>_xlfn.IFNA(VLOOKUP(patch[[#This Row],[tmp-owner.email]],OrgTree!$A:$K, 11, 0), "not ICG SWFW")</f>
        <v>BJ And dev</v>
      </c>
      <c r="S612" s="7" t="str">
        <f>IF(patch[[#This Row],[reviewer]]=patch[[#This Row],[tmp-owner.email]], "author", _xlfn.IFNA(VLOOKUP(patch[[#This Row],[reviewer]],OrgTree!$A:$K, 11, 0), "not ICG SWFW"))</f>
        <v>BJ And dev</v>
      </c>
      <c r="T612" s="7" t="str">
        <f>IF(ISBLANK(patch[[#This Row],[mergeDate]]), "", MID(YEAR(patch[[#This Row],[mergeDate]]), 3,2)&amp;"'ww"&amp;WEEKNUM(patch[[#This Row],[mergeDate]]))</f>
        <v>16'ww39</v>
      </c>
      <c r="U612" s="7" t="str">
        <f>IF(ISBLANK(patch[[#This Row],[mergeDate]]), U611, MID(YEAR(patch[[#This Row],[mergeDate]]), 3,2)&amp;"'m"&amp;MONTH(patch[[#This Row],[mergeDate]]))</f>
        <v>16'm9</v>
      </c>
      <c r="V612" s="7" t="str">
        <f>IF(ISBLANK(patch[[#This Row],[project]]), "",SUM(patch[[#This Row],[BJ -1 num]:[SH -1 num]]))</f>
        <v/>
      </c>
      <c r="W612" s="7" t="str">
        <f>IF(ISBLANK(patch[[#This Row],[project]]), "",COUNTIFS($A:$A,patch[[#This Row],[number]],$S:$S, "BJ And dev",$AC:$AC, "Review-1"))</f>
        <v/>
      </c>
      <c r="X612" s="7" t="str">
        <f>IF(ISBLANK(patch[[#This Row],[project]]), "",COUNTIFS($A:$A,patch[[#This Row],[number]],$S:$S, "FL And dev",$AC:$AC, "Review-1"))</f>
        <v/>
      </c>
      <c r="Y612" s="7" t="str">
        <f>IF(ISBLANK(patch[[#This Row],[project]]), "",COUNTIFS($A:$A,patch[[#This Row],[number]],$S:$S, "SH And dev",$AC:$AC, "Review-1"))</f>
        <v/>
      </c>
      <c r="Z612" s="7" t="str">
        <f>IF(ISBLANK(patch[[#This Row],[project]]), "",COUNTIFS($A:$A,patch[[#This Row],[number]],$S:$S, "BJ And dev",$AD:$AD, "&lt;&gt;IntegratorValidationComment"))</f>
        <v/>
      </c>
      <c r="AA612" s="7" t="str">
        <f>IF(ISBLANK(patch[[#This Row],[project]]), "",COUNTIFS($A:$A,patch[[#This Row],[number]],$S:$S, "FL And dev",$AD:$AD, "&lt;&gt;IntegratorValidationComment"))</f>
        <v/>
      </c>
      <c r="AB612" s="7" t="str">
        <f>IF(ISBLANK(patch[[#This Row],[project]]), "",COUNTIFS($A:$A,patch[[#This Row],[number]],$S:$S, "SH And dev",$AD:$AD, "&lt;&gt;IntegratorValidationComment"))</f>
        <v/>
      </c>
      <c r="AC612" s="7" t="str">
        <f>IF(OR(ISNUMBER(FIND("Review-1", patch[[#This Row],[comments]])), ISNUMBER(FIND("Approver-1", patch[[#This Row],[comments]]))), "Review-1", "")</f>
        <v/>
      </c>
      <c r="AD6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12" s="7">
        <f>IF(ISBLANK(patch[[#This Row],[number]]),AE611,patch[[#This Row],[ifCommon]])</f>
        <v>0</v>
      </c>
    </row>
    <row r="613" spans="1:31">
      <c r="A613" s="151">
        <v>147373</v>
      </c>
      <c r="B613" s="151"/>
      <c r="C613" s="151"/>
      <c r="D613" s="151"/>
      <c r="E613" s="151"/>
      <c r="F613" s="151"/>
      <c r="G613" s="151"/>
      <c r="H613" s="151"/>
      <c r="I613" s="151"/>
      <c r="J613" s="152">
        <v>42636.730914351851</v>
      </c>
      <c r="K613" s="151"/>
      <c r="L613" s="151" t="s">
        <v>24</v>
      </c>
      <c r="M613" s="152">
        <v>42635.781678240739</v>
      </c>
      <c r="N613" s="151" t="s">
        <v>1880</v>
      </c>
      <c r="O613" s="151"/>
      <c r="P613" s="151"/>
      <c r="Q613" s="7" t="str">
        <f>IF(ISBLANK(patch[[#This Row],[OwnerEmail]]),Q612,patch[[#This Row],[OwnerEmail]])</f>
        <v>lipingx.xu@intel.com</v>
      </c>
      <c r="R613" s="7" t="str">
        <f>_xlfn.IFNA(VLOOKUP(patch[[#This Row],[tmp-owner.email]],OrgTree!$A:$K, 11, 0), "not ICG SWFW")</f>
        <v>BJ And dev</v>
      </c>
      <c r="S613" s="7" t="str">
        <f>IF(patch[[#This Row],[reviewer]]=patch[[#This Row],[tmp-owner.email]], "author", _xlfn.IFNA(VLOOKUP(patch[[#This Row],[reviewer]],OrgTree!$A:$K, 11, 0), "not ICG SWFW"))</f>
        <v>BJ And dev</v>
      </c>
      <c r="T613" s="7" t="str">
        <f>IF(ISBLANK(patch[[#This Row],[mergeDate]]), "", MID(YEAR(patch[[#This Row],[mergeDate]]), 3,2)&amp;"'ww"&amp;WEEKNUM(patch[[#This Row],[mergeDate]]))</f>
        <v>16'ww39</v>
      </c>
      <c r="U613" s="7" t="str">
        <f>IF(ISBLANK(patch[[#This Row],[mergeDate]]), U612, MID(YEAR(patch[[#This Row],[mergeDate]]), 3,2)&amp;"'m"&amp;MONTH(patch[[#This Row],[mergeDate]]))</f>
        <v>16'm9</v>
      </c>
      <c r="V613" s="7" t="str">
        <f>IF(ISBLANK(patch[[#This Row],[project]]), "",SUM(patch[[#This Row],[BJ -1 num]:[SH -1 num]]))</f>
        <v/>
      </c>
      <c r="W613" s="7" t="str">
        <f>IF(ISBLANK(patch[[#This Row],[project]]), "",COUNTIFS($A:$A,patch[[#This Row],[number]],$S:$S, "BJ And dev",$AC:$AC, "Review-1"))</f>
        <v/>
      </c>
      <c r="X613" s="7" t="str">
        <f>IF(ISBLANK(patch[[#This Row],[project]]), "",COUNTIFS($A:$A,patch[[#This Row],[number]],$S:$S, "FL And dev",$AC:$AC, "Review-1"))</f>
        <v/>
      </c>
      <c r="Y613" s="7" t="str">
        <f>IF(ISBLANK(patch[[#This Row],[project]]), "",COUNTIFS($A:$A,patch[[#This Row],[number]],$S:$S, "SH And dev",$AC:$AC, "Review-1"))</f>
        <v/>
      </c>
      <c r="Z613" s="7" t="str">
        <f>IF(ISBLANK(patch[[#This Row],[project]]), "",COUNTIFS($A:$A,patch[[#This Row],[number]],$S:$S, "BJ And dev",$AD:$AD, "&lt;&gt;IntegratorValidationComment"))</f>
        <v/>
      </c>
      <c r="AA613" s="7" t="str">
        <f>IF(ISBLANK(patch[[#This Row],[project]]), "",COUNTIFS($A:$A,patch[[#This Row],[number]],$S:$S, "FL And dev",$AD:$AD, "&lt;&gt;IntegratorValidationComment"))</f>
        <v/>
      </c>
      <c r="AB613" s="7" t="str">
        <f>IF(ISBLANK(patch[[#This Row],[project]]), "",COUNTIFS($A:$A,patch[[#This Row],[number]],$S:$S, "SH And dev",$AD:$AD, "&lt;&gt;IntegratorValidationComment"))</f>
        <v/>
      </c>
      <c r="AC613" s="7" t="str">
        <f>IF(OR(ISNUMBER(FIND("Review-1", patch[[#This Row],[comments]])), ISNUMBER(FIND("Approver-1", patch[[#This Row],[comments]]))), "Review-1", "")</f>
        <v/>
      </c>
      <c r="AD6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13" s="7">
        <f>IF(ISBLANK(patch[[#This Row],[number]]),AE612,patch[[#This Row],[ifCommon]])</f>
        <v>0</v>
      </c>
    </row>
    <row r="614" spans="1:31">
      <c r="A614" s="151">
        <v>147373</v>
      </c>
      <c r="B614" s="151"/>
      <c r="C614" s="151"/>
      <c r="D614" s="151"/>
      <c r="E614" s="151"/>
      <c r="F614" s="151"/>
      <c r="G614" s="151"/>
      <c r="H614" s="151"/>
      <c r="I614" s="152"/>
      <c r="J614" s="152">
        <v>42636.730914351851</v>
      </c>
      <c r="K614" s="151"/>
      <c r="L614" s="151" t="s">
        <v>115</v>
      </c>
      <c r="M614" s="152">
        <v>42636.498622685183</v>
      </c>
      <c r="N614" s="151" t="s">
        <v>2494</v>
      </c>
      <c r="O614" s="151"/>
      <c r="P614" s="151"/>
      <c r="Q614" s="7" t="str">
        <f>IF(ISBLANK(patch[[#This Row],[OwnerEmail]]),Q613,patch[[#This Row],[OwnerEmail]])</f>
        <v>lipingx.xu@intel.com</v>
      </c>
      <c r="R614" s="7" t="str">
        <f>_xlfn.IFNA(VLOOKUP(patch[[#This Row],[tmp-owner.email]],OrgTree!$A:$K, 11, 0), "not ICG SWFW")</f>
        <v>BJ And dev</v>
      </c>
      <c r="S614" s="7" t="str">
        <f>IF(patch[[#This Row],[reviewer]]=patch[[#This Row],[tmp-owner.email]], "author", _xlfn.IFNA(VLOOKUP(patch[[#This Row],[reviewer]],OrgTree!$A:$K, 11, 0), "not ICG SWFW"))</f>
        <v>Val</v>
      </c>
      <c r="T614" s="7" t="str">
        <f>IF(ISBLANK(patch[[#This Row],[mergeDate]]), "", MID(YEAR(patch[[#This Row],[mergeDate]]), 3,2)&amp;"'ww"&amp;WEEKNUM(patch[[#This Row],[mergeDate]]))</f>
        <v>16'ww39</v>
      </c>
      <c r="U614" s="7" t="str">
        <f>IF(ISBLANK(patch[[#This Row],[mergeDate]]), U613, MID(YEAR(patch[[#This Row],[mergeDate]]), 3,2)&amp;"'m"&amp;MONTH(patch[[#This Row],[mergeDate]]))</f>
        <v>16'm9</v>
      </c>
      <c r="V614" s="7" t="str">
        <f>IF(ISBLANK(patch[[#This Row],[project]]), "",SUM(patch[[#This Row],[BJ -1 num]:[SH -1 num]]))</f>
        <v/>
      </c>
      <c r="W614" s="7" t="str">
        <f>IF(ISBLANK(patch[[#This Row],[project]]), "",COUNTIFS($A:$A,patch[[#This Row],[number]],$S:$S, "BJ And dev",$AC:$AC, "Review-1"))</f>
        <v/>
      </c>
      <c r="X614" s="7" t="str">
        <f>IF(ISBLANK(patch[[#This Row],[project]]), "",COUNTIFS($A:$A,patch[[#This Row],[number]],$S:$S, "FL And dev",$AC:$AC, "Review-1"))</f>
        <v/>
      </c>
      <c r="Y614" s="7" t="str">
        <f>IF(ISBLANK(patch[[#This Row],[project]]), "",COUNTIFS($A:$A,patch[[#This Row],[number]],$S:$S, "SH And dev",$AC:$AC, "Review-1"))</f>
        <v/>
      </c>
      <c r="Z614" s="7" t="str">
        <f>IF(ISBLANK(patch[[#This Row],[project]]), "",COUNTIFS($A:$A,patch[[#This Row],[number]],$S:$S, "BJ And dev",$AD:$AD, "&lt;&gt;IntegratorValidationComment"))</f>
        <v/>
      </c>
      <c r="AA614" s="7" t="str">
        <f>IF(ISBLANK(patch[[#This Row],[project]]), "",COUNTIFS($A:$A,patch[[#This Row],[number]],$S:$S, "FL And dev",$AD:$AD, "&lt;&gt;IntegratorValidationComment"))</f>
        <v/>
      </c>
      <c r="AB614" s="7" t="str">
        <f>IF(ISBLANK(patch[[#This Row],[project]]), "",COUNTIFS($A:$A,patch[[#This Row],[number]],$S:$S, "SH And dev",$AD:$AD, "&lt;&gt;IntegratorValidationComment"))</f>
        <v/>
      </c>
      <c r="AC614" s="7" t="str">
        <f>IF(OR(ISNUMBER(FIND("Review-1", patch[[#This Row],[comments]])), ISNUMBER(FIND("Approver-1", patch[[#This Row],[comments]]))), "Review-1", "")</f>
        <v/>
      </c>
      <c r="AD6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614" s="7">
        <f>IF(ISBLANK(patch[[#This Row],[number]]),AE613,patch[[#This Row],[ifCommon]])</f>
        <v>0</v>
      </c>
    </row>
    <row r="615" spans="1:31">
      <c r="A615" s="151">
        <v>147372</v>
      </c>
      <c r="B615" s="151" t="s">
        <v>2490</v>
      </c>
      <c r="C615" s="151" t="s">
        <v>2795</v>
      </c>
      <c r="D615" s="151" t="s">
        <v>2913</v>
      </c>
      <c r="E615" s="151" t="s">
        <v>677</v>
      </c>
      <c r="F615" s="151" t="s">
        <v>23</v>
      </c>
      <c r="G615" s="151" t="s">
        <v>2914</v>
      </c>
      <c r="H615" s="151" t="s">
        <v>2915</v>
      </c>
      <c r="I615" s="152">
        <v>42635.721296296288</v>
      </c>
      <c r="J615" s="152">
        <v>42636.730879629627</v>
      </c>
      <c r="K615" s="151" t="s">
        <v>2445</v>
      </c>
      <c r="L615" s="151" t="s">
        <v>677</v>
      </c>
      <c r="M615" s="152">
        <v>42635.721296296288</v>
      </c>
      <c r="N615" s="151" t="s">
        <v>2428</v>
      </c>
      <c r="O615" s="151"/>
      <c r="P615" s="151" t="s">
        <v>2498</v>
      </c>
      <c r="Q615" s="7" t="str">
        <f>IF(ISBLANK(patch[[#This Row],[OwnerEmail]]),Q614,patch[[#This Row],[OwnerEmail]])</f>
        <v>lipingx.xu@intel.com</v>
      </c>
      <c r="R615" s="7" t="str">
        <f>_xlfn.IFNA(VLOOKUP(patch[[#This Row],[tmp-owner.email]],OrgTree!$A:$K, 11, 0), "not ICG SWFW")</f>
        <v>BJ And dev</v>
      </c>
      <c r="S615" s="7" t="str">
        <f>IF(patch[[#This Row],[reviewer]]=patch[[#This Row],[tmp-owner.email]], "author", _xlfn.IFNA(VLOOKUP(patch[[#This Row],[reviewer]],OrgTree!$A:$K, 11, 0), "not ICG SWFW"))</f>
        <v>author</v>
      </c>
      <c r="T615" s="7" t="str">
        <f>IF(ISBLANK(patch[[#This Row],[mergeDate]]), "", MID(YEAR(patch[[#This Row],[mergeDate]]), 3,2)&amp;"'ww"&amp;WEEKNUM(patch[[#This Row],[mergeDate]]))</f>
        <v>16'ww39</v>
      </c>
      <c r="U615" s="7" t="str">
        <f>IF(ISBLANK(patch[[#This Row],[mergeDate]]), U614, MID(YEAR(patch[[#This Row],[mergeDate]]), 3,2)&amp;"'m"&amp;MONTH(patch[[#This Row],[mergeDate]]))</f>
        <v>16'm9</v>
      </c>
      <c r="V615" s="7">
        <f>IF(ISBLANK(patch[[#This Row],[project]]), "",SUM(patch[[#This Row],[BJ -1 num]:[SH -1 num]]))</f>
        <v>0</v>
      </c>
      <c r="W615" s="7">
        <f>IF(ISBLANK(patch[[#This Row],[project]]), "",COUNTIFS($A:$A,patch[[#This Row],[number]],$S:$S, "BJ And dev",$AC:$AC, "Review-1"))</f>
        <v>0</v>
      </c>
      <c r="X615" s="7">
        <f>IF(ISBLANK(patch[[#This Row],[project]]), "",COUNTIFS($A:$A,patch[[#This Row],[number]],$S:$S, "FL And dev",$AC:$AC, "Review-1"))</f>
        <v>0</v>
      </c>
      <c r="Y615" s="7">
        <f>IF(ISBLANK(patch[[#This Row],[project]]), "",COUNTIFS($A:$A,patch[[#This Row],[number]],$S:$S, "SH And dev",$AC:$AC, "Review-1"))</f>
        <v>0</v>
      </c>
      <c r="Z615" s="7">
        <f>IF(ISBLANK(patch[[#This Row],[project]]), "",COUNTIFS($A:$A,patch[[#This Row],[number]],$S:$S, "BJ And dev",$AD:$AD, "&lt;&gt;IntegratorValidationComment"))</f>
        <v>4</v>
      </c>
      <c r="AA615" s="7">
        <f>IF(ISBLANK(patch[[#This Row],[project]]), "",COUNTIFS($A:$A,patch[[#This Row],[number]],$S:$S, "FL And dev",$AD:$AD, "&lt;&gt;IntegratorValidationComment"))</f>
        <v>0</v>
      </c>
      <c r="AB615" s="7">
        <f>IF(ISBLANK(patch[[#This Row],[project]]), "",COUNTIFS($A:$A,patch[[#This Row],[number]],$S:$S, "SH And dev",$AD:$AD, "&lt;&gt;IntegratorValidationComment"))</f>
        <v>0</v>
      </c>
      <c r="AC615" s="7" t="str">
        <f>IF(OR(ISNUMBER(FIND("Review-1", patch[[#This Row],[comments]])), ISNUMBER(FIND("Approver-1", patch[[#This Row],[comments]]))), "Review-1", "")</f>
        <v/>
      </c>
      <c r="AD6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15" s="7" t="str">
        <f>IF(ISBLANK(patch[[#This Row],[number]]),AE614,patch[[#This Row],[ifCommon]])</f>
        <v>not AndrHAL</v>
      </c>
    </row>
    <row r="616" spans="1:31">
      <c r="A616" s="151">
        <v>147372</v>
      </c>
      <c r="B616" s="151"/>
      <c r="C616" s="151"/>
      <c r="D616" s="151"/>
      <c r="E616" s="151"/>
      <c r="F616" s="151"/>
      <c r="G616" s="151"/>
      <c r="H616" s="151"/>
      <c r="I616" s="151"/>
      <c r="J616" s="152">
        <v>42636.730879629627</v>
      </c>
      <c r="K616" s="151"/>
      <c r="L616" s="151" t="s">
        <v>677</v>
      </c>
      <c r="M616" s="152">
        <v>42635.721296296288</v>
      </c>
      <c r="N616" s="151" t="s">
        <v>25</v>
      </c>
      <c r="O616" s="151"/>
      <c r="P616" s="151"/>
      <c r="Q616" s="7" t="str">
        <f>IF(ISBLANK(patch[[#This Row],[OwnerEmail]]),Q615,patch[[#This Row],[OwnerEmail]])</f>
        <v>lipingx.xu@intel.com</v>
      </c>
      <c r="R616" s="7" t="str">
        <f>_xlfn.IFNA(VLOOKUP(patch[[#This Row],[tmp-owner.email]],OrgTree!$A:$K, 11, 0), "not ICG SWFW")</f>
        <v>BJ And dev</v>
      </c>
      <c r="S616" s="7" t="str">
        <f>IF(patch[[#This Row],[reviewer]]=patch[[#This Row],[tmp-owner.email]], "author", _xlfn.IFNA(VLOOKUP(patch[[#This Row],[reviewer]],OrgTree!$A:$K, 11, 0), "not ICG SWFW"))</f>
        <v>author</v>
      </c>
      <c r="T616" s="7" t="str">
        <f>IF(ISBLANK(patch[[#This Row],[mergeDate]]), "", MID(YEAR(patch[[#This Row],[mergeDate]]), 3,2)&amp;"'ww"&amp;WEEKNUM(patch[[#This Row],[mergeDate]]))</f>
        <v>16'ww39</v>
      </c>
      <c r="U616" s="7" t="str">
        <f>IF(ISBLANK(patch[[#This Row],[mergeDate]]), U615, MID(YEAR(patch[[#This Row],[mergeDate]]), 3,2)&amp;"'m"&amp;MONTH(patch[[#This Row],[mergeDate]]))</f>
        <v>16'm9</v>
      </c>
      <c r="V616" s="7" t="str">
        <f>IF(ISBLANK(patch[[#This Row],[project]]), "",SUM(patch[[#This Row],[BJ -1 num]:[SH -1 num]]))</f>
        <v/>
      </c>
      <c r="W616" s="7" t="str">
        <f>IF(ISBLANK(patch[[#This Row],[project]]), "",COUNTIFS($A:$A,patch[[#This Row],[number]],$S:$S, "BJ And dev",$AC:$AC, "Review-1"))</f>
        <v/>
      </c>
      <c r="X616" s="7" t="str">
        <f>IF(ISBLANK(patch[[#This Row],[project]]), "",COUNTIFS($A:$A,patch[[#This Row],[number]],$S:$S, "FL And dev",$AC:$AC, "Review-1"))</f>
        <v/>
      </c>
      <c r="Y616" s="7" t="str">
        <f>IF(ISBLANK(patch[[#This Row],[project]]), "",COUNTIFS($A:$A,patch[[#This Row],[number]],$S:$S, "SH And dev",$AC:$AC, "Review-1"))</f>
        <v/>
      </c>
      <c r="Z616" s="7" t="str">
        <f>IF(ISBLANK(patch[[#This Row],[project]]), "",COUNTIFS($A:$A,patch[[#This Row],[number]],$S:$S, "BJ And dev",$AD:$AD, "&lt;&gt;IntegratorValidationComment"))</f>
        <v/>
      </c>
      <c r="AA616" s="7" t="str">
        <f>IF(ISBLANK(patch[[#This Row],[project]]), "",COUNTIFS($A:$A,patch[[#This Row],[number]],$S:$S, "FL And dev",$AD:$AD, "&lt;&gt;IntegratorValidationComment"))</f>
        <v/>
      </c>
      <c r="AB616" s="7" t="str">
        <f>IF(ISBLANK(patch[[#This Row],[project]]), "",COUNTIFS($A:$A,patch[[#This Row],[number]],$S:$S, "SH And dev",$AD:$AD, "&lt;&gt;IntegratorValidationComment"))</f>
        <v/>
      </c>
      <c r="AC616" s="7" t="str">
        <f>IF(OR(ISNUMBER(FIND("Review-1", patch[[#This Row],[comments]])), ISNUMBER(FIND("Approver-1", patch[[#This Row],[comments]]))), "Review-1", "")</f>
        <v/>
      </c>
      <c r="AD6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16" s="7">
        <f>IF(ISBLANK(patch[[#This Row],[number]]),AE615,patch[[#This Row],[ifCommon]])</f>
        <v>0</v>
      </c>
    </row>
    <row r="617" spans="1:31">
      <c r="A617" s="151">
        <v>147372</v>
      </c>
      <c r="B617" s="151"/>
      <c r="C617" s="151"/>
      <c r="D617" s="151"/>
      <c r="E617" s="151"/>
      <c r="F617" s="151"/>
      <c r="G617" s="151"/>
      <c r="H617" s="151"/>
      <c r="I617" s="151"/>
      <c r="J617" s="152">
        <v>42636.730879629627</v>
      </c>
      <c r="K617" s="151"/>
      <c r="L617" s="151" t="s">
        <v>677</v>
      </c>
      <c r="M617" s="152">
        <v>42635.724606481483</v>
      </c>
      <c r="N617" s="151" t="s">
        <v>40</v>
      </c>
      <c r="O617" s="151"/>
      <c r="P617" s="151"/>
      <c r="Q617" s="7" t="str">
        <f>IF(ISBLANK(patch[[#This Row],[OwnerEmail]]),Q616,patch[[#This Row],[OwnerEmail]])</f>
        <v>lipingx.xu@intel.com</v>
      </c>
      <c r="R617" s="7" t="str">
        <f>_xlfn.IFNA(VLOOKUP(patch[[#This Row],[tmp-owner.email]],OrgTree!$A:$K, 11, 0), "not ICG SWFW")</f>
        <v>BJ And dev</v>
      </c>
      <c r="S617" s="7" t="str">
        <f>IF(patch[[#This Row],[reviewer]]=patch[[#This Row],[tmp-owner.email]], "author", _xlfn.IFNA(VLOOKUP(patch[[#This Row],[reviewer]],OrgTree!$A:$K, 11, 0), "not ICG SWFW"))</f>
        <v>author</v>
      </c>
      <c r="T617" s="7" t="str">
        <f>IF(ISBLANK(patch[[#This Row],[mergeDate]]), "", MID(YEAR(patch[[#This Row],[mergeDate]]), 3,2)&amp;"'ww"&amp;WEEKNUM(patch[[#This Row],[mergeDate]]))</f>
        <v>16'ww39</v>
      </c>
      <c r="U617" s="7" t="str">
        <f>IF(ISBLANK(patch[[#This Row],[mergeDate]]), U616, MID(YEAR(patch[[#This Row],[mergeDate]]), 3,2)&amp;"'m"&amp;MONTH(patch[[#This Row],[mergeDate]]))</f>
        <v>16'm9</v>
      </c>
      <c r="V617" s="7" t="str">
        <f>IF(ISBLANK(patch[[#This Row],[project]]), "",SUM(patch[[#This Row],[BJ -1 num]:[SH -1 num]]))</f>
        <v/>
      </c>
      <c r="W617" s="7" t="str">
        <f>IF(ISBLANK(patch[[#This Row],[project]]), "",COUNTIFS($A:$A,patch[[#This Row],[number]],$S:$S, "BJ And dev",$AC:$AC, "Review-1"))</f>
        <v/>
      </c>
      <c r="X617" s="7" t="str">
        <f>IF(ISBLANK(patch[[#This Row],[project]]), "",COUNTIFS($A:$A,patch[[#This Row],[number]],$S:$S, "FL And dev",$AC:$AC, "Review-1"))</f>
        <v/>
      </c>
      <c r="Y617" s="7" t="str">
        <f>IF(ISBLANK(patch[[#This Row],[project]]), "",COUNTIFS($A:$A,patch[[#This Row],[number]],$S:$S, "SH And dev",$AC:$AC, "Review-1"))</f>
        <v/>
      </c>
      <c r="Z617" s="7" t="str">
        <f>IF(ISBLANK(patch[[#This Row],[project]]), "",COUNTIFS($A:$A,patch[[#This Row],[number]],$S:$S, "BJ And dev",$AD:$AD, "&lt;&gt;IntegratorValidationComment"))</f>
        <v/>
      </c>
      <c r="AA617" s="7" t="str">
        <f>IF(ISBLANK(patch[[#This Row],[project]]), "",COUNTIFS($A:$A,patch[[#This Row],[number]],$S:$S, "FL And dev",$AD:$AD, "&lt;&gt;IntegratorValidationComment"))</f>
        <v/>
      </c>
      <c r="AB617" s="7" t="str">
        <f>IF(ISBLANK(patch[[#This Row],[project]]), "",COUNTIFS($A:$A,patch[[#This Row],[number]],$S:$S, "SH And dev",$AD:$AD, "&lt;&gt;IntegratorValidationComment"))</f>
        <v/>
      </c>
      <c r="AC617" s="7" t="str">
        <f>IF(OR(ISNUMBER(FIND("Review-1", patch[[#This Row],[comments]])), ISNUMBER(FIND("Approver-1", patch[[#This Row],[comments]]))), "Review-1", "")</f>
        <v/>
      </c>
      <c r="AD6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17" s="7">
        <f>IF(ISBLANK(patch[[#This Row],[number]]),AE616,patch[[#This Row],[ifCommon]])</f>
        <v>0</v>
      </c>
    </row>
    <row r="618" spans="1:31">
      <c r="A618" s="151">
        <v>147372</v>
      </c>
      <c r="B618" s="151"/>
      <c r="C618" s="151"/>
      <c r="D618" s="151"/>
      <c r="E618" s="151"/>
      <c r="F618" s="151"/>
      <c r="G618" s="151"/>
      <c r="H618" s="151"/>
      <c r="I618" s="151"/>
      <c r="J618" s="152">
        <v>42636.730879629627</v>
      </c>
      <c r="K618" s="151"/>
      <c r="L618" s="151" t="s">
        <v>59</v>
      </c>
      <c r="M618" s="152">
        <v>42635.725405092591</v>
      </c>
      <c r="N618" s="151" t="s">
        <v>40</v>
      </c>
      <c r="O618" s="151"/>
      <c r="P618" s="151"/>
      <c r="Q618" s="7" t="str">
        <f>IF(ISBLANK(patch[[#This Row],[OwnerEmail]]),Q617,patch[[#This Row],[OwnerEmail]])</f>
        <v>lipingx.xu@intel.com</v>
      </c>
      <c r="R618" s="7" t="str">
        <f>_xlfn.IFNA(VLOOKUP(patch[[#This Row],[tmp-owner.email]],OrgTree!$A:$K, 11, 0), "not ICG SWFW")</f>
        <v>BJ And dev</v>
      </c>
      <c r="S618" s="7" t="str">
        <f>IF(patch[[#This Row],[reviewer]]=patch[[#This Row],[tmp-owner.email]], "author", _xlfn.IFNA(VLOOKUP(patch[[#This Row],[reviewer]],OrgTree!$A:$K, 11, 0), "not ICG SWFW"))</f>
        <v>BJ And dev</v>
      </c>
      <c r="T618" s="7" t="str">
        <f>IF(ISBLANK(patch[[#This Row],[mergeDate]]), "", MID(YEAR(patch[[#This Row],[mergeDate]]), 3,2)&amp;"'ww"&amp;WEEKNUM(patch[[#This Row],[mergeDate]]))</f>
        <v>16'ww39</v>
      </c>
      <c r="U618" s="7" t="str">
        <f>IF(ISBLANK(patch[[#This Row],[mergeDate]]), U617, MID(YEAR(patch[[#This Row],[mergeDate]]), 3,2)&amp;"'m"&amp;MONTH(patch[[#This Row],[mergeDate]]))</f>
        <v>16'm9</v>
      </c>
      <c r="V618" s="7" t="str">
        <f>IF(ISBLANK(patch[[#This Row],[project]]), "",SUM(patch[[#This Row],[BJ -1 num]:[SH -1 num]]))</f>
        <v/>
      </c>
      <c r="W618" s="7" t="str">
        <f>IF(ISBLANK(patch[[#This Row],[project]]), "",COUNTIFS($A:$A,patch[[#This Row],[number]],$S:$S, "BJ And dev",$AC:$AC, "Review-1"))</f>
        <v/>
      </c>
      <c r="X618" s="7" t="str">
        <f>IF(ISBLANK(patch[[#This Row],[project]]), "",COUNTIFS($A:$A,patch[[#This Row],[number]],$S:$S, "FL And dev",$AC:$AC, "Review-1"))</f>
        <v/>
      </c>
      <c r="Y618" s="7" t="str">
        <f>IF(ISBLANK(patch[[#This Row],[project]]), "",COUNTIFS($A:$A,patch[[#This Row],[number]],$S:$S, "SH And dev",$AC:$AC, "Review-1"))</f>
        <v/>
      </c>
      <c r="Z618" s="7" t="str">
        <f>IF(ISBLANK(patch[[#This Row],[project]]), "",COUNTIFS($A:$A,patch[[#This Row],[number]],$S:$S, "BJ And dev",$AD:$AD, "&lt;&gt;IntegratorValidationComment"))</f>
        <v/>
      </c>
      <c r="AA618" s="7" t="str">
        <f>IF(ISBLANK(patch[[#This Row],[project]]), "",COUNTIFS($A:$A,patch[[#This Row],[number]],$S:$S, "FL And dev",$AD:$AD, "&lt;&gt;IntegratorValidationComment"))</f>
        <v/>
      </c>
      <c r="AB618" s="7" t="str">
        <f>IF(ISBLANK(patch[[#This Row],[project]]), "",COUNTIFS($A:$A,patch[[#This Row],[number]],$S:$S, "SH And dev",$AD:$AD, "&lt;&gt;IntegratorValidationComment"))</f>
        <v/>
      </c>
      <c r="AC618" s="7" t="str">
        <f>IF(OR(ISNUMBER(FIND("Review-1", patch[[#This Row],[comments]])), ISNUMBER(FIND("Approver-1", patch[[#This Row],[comments]]))), "Review-1", "")</f>
        <v/>
      </c>
      <c r="AD6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18" s="7">
        <f>IF(ISBLANK(patch[[#This Row],[number]]),AE617,patch[[#This Row],[ifCommon]])</f>
        <v>0</v>
      </c>
    </row>
    <row r="619" spans="1:31">
      <c r="A619" s="151">
        <v>147372</v>
      </c>
      <c r="B619" s="151"/>
      <c r="C619" s="151"/>
      <c r="D619" s="151"/>
      <c r="E619" s="151"/>
      <c r="F619" s="151"/>
      <c r="G619" s="151"/>
      <c r="H619" s="151"/>
      <c r="I619" s="151"/>
      <c r="J619" s="152">
        <v>42636.730879629627</v>
      </c>
      <c r="K619" s="151"/>
      <c r="L619" s="151" t="s">
        <v>59</v>
      </c>
      <c r="M619" s="152">
        <v>42635.729571759257</v>
      </c>
      <c r="N619" s="151" t="s">
        <v>2916</v>
      </c>
      <c r="O619" s="151"/>
      <c r="P619" s="151"/>
      <c r="Q619" s="7" t="str">
        <f>IF(ISBLANK(patch[[#This Row],[OwnerEmail]]),Q618,patch[[#This Row],[OwnerEmail]])</f>
        <v>lipingx.xu@intel.com</v>
      </c>
      <c r="R619" s="7" t="str">
        <f>_xlfn.IFNA(VLOOKUP(patch[[#This Row],[tmp-owner.email]],OrgTree!$A:$K, 11, 0), "not ICG SWFW")</f>
        <v>BJ And dev</v>
      </c>
      <c r="S619" s="7" t="str">
        <f>IF(patch[[#This Row],[reviewer]]=patch[[#This Row],[tmp-owner.email]], "author", _xlfn.IFNA(VLOOKUP(patch[[#This Row],[reviewer]],OrgTree!$A:$K, 11, 0), "not ICG SWFW"))</f>
        <v>BJ And dev</v>
      </c>
      <c r="T619" s="7" t="str">
        <f>IF(ISBLANK(patch[[#This Row],[mergeDate]]), "", MID(YEAR(patch[[#This Row],[mergeDate]]), 3,2)&amp;"'ww"&amp;WEEKNUM(patch[[#This Row],[mergeDate]]))</f>
        <v>16'ww39</v>
      </c>
      <c r="U619" s="7" t="str">
        <f>IF(ISBLANK(patch[[#This Row],[mergeDate]]), U618, MID(YEAR(patch[[#This Row],[mergeDate]]), 3,2)&amp;"'m"&amp;MONTH(patch[[#This Row],[mergeDate]]))</f>
        <v>16'm9</v>
      </c>
      <c r="V619" s="7" t="str">
        <f>IF(ISBLANK(patch[[#This Row],[project]]), "",SUM(patch[[#This Row],[BJ -1 num]:[SH -1 num]]))</f>
        <v/>
      </c>
      <c r="W619" s="7" t="str">
        <f>IF(ISBLANK(patch[[#This Row],[project]]), "",COUNTIFS($A:$A,patch[[#This Row],[number]],$S:$S, "BJ And dev",$AC:$AC, "Review-1"))</f>
        <v/>
      </c>
      <c r="X619" s="7" t="str">
        <f>IF(ISBLANK(patch[[#This Row],[project]]), "",COUNTIFS($A:$A,patch[[#This Row],[number]],$S:$S, "FL And dev",$AC:$AC, "Review-1"))</f>
        <v/>
      </c>
      <c r="Y619" s="7" t="str">
        <f>IF(ISBLANK(patch[[#This Row],[project]]), "",COUNTIFS($A:$A,patch[[#This Row],[number]],$S:$S, "SH And dev",$AC:$AC, "Review-1"))</f>
        <v/>
      </c>
      <c r="Z619" s="7" t="str">
        <f>IF(ISBLANK(patch[[#This Row],[project]]), "",COUNTIFS($A:$A,patch[[#This Row],[number]],$S:$S, "BJ And dev",$AD:$AD, "&lt;&gt;IntegratorValidationComment"))</f>
        <v/>
      </c>
      <c r="AA619" s="7" t="str">
        <f>IF(ISBLANK(patch[[#This Row],[project]]), "",COUNTIFS($A:$A,patch[[#This Row],[number]],$S:$S, "FL And dev",$AD:$AD, "&lt;&gt;IntegratorValidationComment"))</f>
        <v/>
      </c>
      <c r="AB619" s="7" t="str">
        <f>IF(ISBLANK(patch[[#This Row],[project]]), "",COUNTIFS($A:$A,patch[[#This Row],[number]],$S:$S, "SH And dev",$AD:$AD, "&lt;&gt;IntegratorValidationComment"))</f>
        <v/>
      </c>
      <c r="AC619" s="7" t="str">
        <f>IF(OR(ISNUMBER(FIND("Review-1", patch[[#This Row],[comments]])), ISNUMBER(FIND("Approver-1", patch[[#This Row],[comments]]))), "Review-1", "")</f>
        <v/>
      </c>
      <c r="AD6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19" s="7">
        <f>IF(ISBLANK(patch[[#This Row],[number]]),AE618,patch[[#This Row],[ifCommon]])</f>
        <v>0</v>
      </c>
    </row>
    <row r="620" spans="1:31">
      <c r="A620" s="151">
        <v>147372</v>
      </c>
      <c r="B620" s="151"/>
      <c r="C620" s="151"/>
      <c r="D620" s="151"/>
      <c r="E620" s="151"/>
      <c r="F620" s="151"/>
      <c r="G620" s="151"/>
      <c r="H620" s="151"/>
      <c r="I620" s="151"/>
      <c r="J620" s="152">
        <v>42636.730879629627</v>
      </c>
      <c r="K620" s="151"/>
      <c r="L620" s="151" t="s">
        <v>59</v>
      </c>
      <c r="M620" s="152">
        <v>42635.742326388892</v>
      </c>
      <c r="N620" s="151" t="s">
        <v>2917</v>
      </c>
      <c r="O620" s="151"/>
      <c r="P620" s="151"/>
      <c r="Q620" s="7" t="str">
        <f>IF(ISBLANK(patch[[#This Row],[OwnerEmail]]),Q619,patch[[#This Row],[OwnerEmail]])</f>
        <v>lipingx.xu@intel.com</v>
      </c>
      <c r="R620" s="7" t="str">
        <f>_xlfn.IFNA(VLOOKUP(patch[[#This Row],[tmp-owner.email]],OrgTree!$A:$K, 11, 0), "not ICG SWFW")</f>
        <v>BJ And dev</v>
      </c>
      <c r="S620" s="7" t="str">
        <f>IF(patch[[#This Row],[reviewer]]=patch[[#This Row],[tmp-owner.email]], "author", _xlfn.IFNA(VLOOKUP(patch[[#This Row],[reviewer]],OrgTree!$A:$K, 11, 0), "not ICG SWFW"))</f>
        <v>BJ And dev</v>
      </c>
      <c r="T620" s="7" t="str">
        <f>IF(ISBLANK(patch[[#This Row],[mergeDate]]), "", MID(YEAR(patch[[#This Row],[mergeDate]]), 3,2)&amp;"'ww"&amp;WEEKNUM(patch[[#This Row],[mergeDate]]))</f>
        <v>16'ww39</v>
      </c>
      <c r="U620" s="7" t="str">
        <f>IF(ISBLANK(patch[[#This Row],[mergeDate]]), U619, MID(YEAR(patch[[#This Row],[mergeDate]]), 3,2)&amp;"'m"&amp;MONTH(patch[[#This Row],[mergeDate]]))</f>
        <v>16'm9</v>
      </c>
      <c r="V620" s="7" t="str">
        <f>IF(ISBLANK(patch[[#This Row],[project]]), "",SUM(patch[[#This Row],[BJ -1 num]:[SH -1 num]]))</f>
        <v/>
      </c>
      <c r="W620" s="7" t="str">
        <f>IF(ISBLANK(patch[[#This Row],[project]]), "",COUNTIFS($A:$A,patch[[#This Row],[number]],$S:$S, "BJ And dev",$AC:$AC, "Review-1"))</f>
        <v/>
      </c>
      <c r="X620" s="7" t="str">
        <f>IF(ISBLANK(patch[[#This Row],[project]]), "",COUNTIFS($A:$A,patch[[#This Row],[number]],$S:$S, "FL And dev",$AC:$AC, "Review-1"))</f>
        <v/>
      </c>
      <c r="Y620" s="7" t="str">
        <f>IF(ISBLANK(patch[[#This Row],[project]]), "",COUNTIFS($A:$A,patch[[#This Row],[number]],$S:$S, "SH And dev",$AC:$AC, "Review-1"))</f>
        <v/>
      </c>
      <c r="Z620" s="7" t="str">
        <f>IF(ISBLANK(patch[[#This Row],[project]]), "",COUNTIFS($A:$A,patch[[#This Row],[number]],$S:$S, "BJ And dev",$AD:$AD, "&lt;&gt;IntegratorValidationComment"))</f>
        <v/>
      </c>
      <c r="AA620" s="7" t="str">
        <f>IF(ISBLANK(patch[[#This Row],[project]]), "",COUNTIFS($A:$A,patch[[#This Row],[number]],$S:$S, "FL And dev",$AD:$AD, "&lt;&gt;IntegratorValidationComment"))</f>
        <v/>
      </c>
      <c r="AB620" s="7" t="str">
        <f>IF(ISBLANK(patch[[#This Row],[project]]), "",COUNTIFS($A:$A,patch[[#This Row],[number]],$S:$S, "SH And dev",$AD:$AD, "&lt;&gt;IntegratorValidationComment"))</f>
        <v/>
      </c>
      <c r="AC620" s="7" t="str">
        <f>IF(OR(ISNUMBER(FIND("Review-1", patch[[#This Row],[comments]])), ISNUMBER(FIND("Approver-1", patch[[#This Row],[comments]]))), "Review-1", "")</f>
        <v/>
      </c>
      <c r="AD6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20" s="7">
        <f>IF(ISBLANK(patch[[#This Row],[number]]),AE619,patch[[#This Row],[ifCommon]])</f>
        <v>0</v>
      </c>
    </row>
    <row r="621" spans="1:31">
      <c r="A621" s="151">
        <v>147372</v>
      </c>
      <c r="B621" s="151"/>
      <c r="C621" s="151"/>
      <c r="D621" s="151"/>
      <c r="E621" s="151"/>
      <c r="F621" s="151"/>
      <c r="G621" s="151"/>
      <c r="H621" s="151"/>
      <c r="I621" s="151"/>
      <c r="J621" s="152">
        <v>42636.730879629627</v>
      </c>
      <c r="K621" s="151"/>
      <c r="L621" s="151" t="s">
        <v>24</v>
      </c>
      <c r="M621" s="152">
        <v>42635.781759259262</v>
      </c>
      <c r="N621" s="151" t="s">
        <v>1880</v>
      </c>
      <c r="O621" s="151"/>
      <c r="P621" s="151"/>
      <c r="Q621" s="7" t="str">
        <f>IF(ISBLANK(patch[[#This Row],[OwnerEmail]]),Q620,patch[[#This Row],[OwnerEmail]])</f>
        <v>lipingx.xu@intel.com</v>
      </c>
      <c r="R621" s="7" t="str">
        <f>_xlfn.IFNA(VLOOKUP(patch[[#This Row],[tmp-owner.email]],OrgTree!$A:$K, 11, 0), "not ICG SWFW")</f>
        <v>BJ And dev</v>
      </c>
      <c r="S621" s="7" t="str">
        <f>IF(patch[[#This Row],[reviewer]]=patch[[#This Row],[tmp-owner.email]], "author", _xlfn.IFNA(VLOOKUP(patch[[#This Row],[reviewer]],OrgTree!$A:$K, 11, 0), "not ICG SWFW"))</f>
        <v>BJ And dev</v>
      </c>
      <c r="T621" s="7" t="str">
        <f>IF(ISBLANK(patch[[#This Row],[mergeDate]]), "", MID(YEAR(patch[[#This Row],[mergeDate]]), 3,2)&amp;"'ww"&amp;WEEKNUM(patch[[#This Row],[mergeDate]]))</f>
        <v>16'ww39</v>
      </c>
      <c r="U621" s="7" t="str">
        <f>IF(ISBLANK(patch[[#This Row],[mergeDate]]), U620, MID(YEAR(patch[[#This Row],[mergeDate]]), 3,2)&amp;"'m"&amp;MONTH(patch[[#This Row],[mergeDate]]))</f>
        <v>16'm9</v>
      </c>
      <c r="V621" s="7" t="str">
        <f>IF(ISBLANK(patch[[#This Row],[project]]), "",SUM(patch[[#This Row],[BJ -1 num]:[SH -1 num]]))</f>
        <v/>
      </c>
      <c r="W621" s="7" t="str">
        <f>IF(ISBLANK(patch[[#This Row],[project]]), "",COUNTIFS($A:$A,patch[[#This Row],[number]],$S:$S, "BJ And dev",$AC:$AC, "Review-1"))</f>
        <v/>
      </c>
      <c r="X621" s="7" t="str">
        <f>IF(ISBLANK(patch[[#This Row],[project]]), "",COUNTIFS($A:$A,patch[[#This Row],[number]],$S:$S, "FL And dev",$AC:$AC, "Review-1"))</f>
        <v/>
      </c>
      <c r="Y621" s="7" t="str">
        <f>IF(ISBLANK(patch[[#This Row],[project]]), "",COUNTIFS($A:$A,patch[[#This Row],[number]],$S:$S, "SH And dev",$AC:$AC, "Review-1"))</f>
        <v/>
      </c>
      <c r="Z621" s="7" t="str">
        <f>IF(ISBLANK(patch[[#This Row],[project]]), "",COUNTIFS($A:$A,patch[[#This Row],[number]],$S:$S, "BJ And dev",$AD:$AD, "&lt;&gt;IntegratorValidationComment"))</f>
        <v/>
      </c>
      <c r="AA621" s="7" t="str">
        <f>IF(ISBLANK(patch[[#This Row],[project]]), "",COUNTIFS($A:$A,patch[[#This Row],[number]],$S:$S, "FL And dev",$AD:$AD, "&lt;&gt;IntegratorValidationComment"))</f>
        <v/>
      </c>
      <c r="AB621" s="7" t="str">
        <f>IF(ISBLANK(patch[[#This Row],[project]]), "",COUNTIFS($A:$A,patch[[#This Row],[number]],$S:$S, "SH And dev",$AD:$AD, "&lt;&gt;IntegratorValidationComment"))</f>
        <v/>
      </c>
      <c r="AC621" s="7" t="str">
        <f>IF(OR(ISNUMBER(FIND("Review-1", patch[[#This Row],[comments]])), ISNUMBER(FIND("Approver-1", patch[[#This Row],[comments]]))), "Review-1", "")</f>
        <v/>
      </c>
      <c r="AD6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21" s="7">
        <f>IF(ISBLANK(patch[[#This Row],[number]]),AE620,patch[[#This Row],[ifCommon]])</f>
        <v>0</v>
      </c>
    </row>
    <row r="622" spans="1:31">
      <c r="A622" s="151">
        <v>147372</v>
      </c>
      <c r="B622" s="151"/>
      <c r="C622" s="151"/>
      <c r="D622" s="151"/>
      <c r="E622" s="151"/>
      <c r="F622" s="151"/>
      <c r="G622" s="151"/>
      <c r="H622" s="151"/>
      <c r="I622" s="151"/>
      <c r="J622" s="152">
        <v>42636.730879629627</v>
      </c>
      <c r="K622" s="151"/>
      <c r="L622" s="151" t="s">
        <v>115</v>
      </c>
      <c r="M622" s="152">
        <v>42636.498553240737</v>
      </c>
      <c r="N622" s="151" t="s">
        <v>2494</v>
      </c>
      <c r="O622" s="151"/>
      <c r="P622" s="151"/>
      <c r="Q622" s="7" t="str">
        <f>IF(ISBLANK(patch[[#This Row],[OwnerEmail]]),Q621,patch[[#This Row],[OwnerEmail]])</f>
        <v>lipingx.xu@intel.com</v>
      </c>
      <c r="R622" s="7" t="str">
        <f>_xlfn.IFNA(VLOOKUP(patch[[#This Row],[tmp-owner.email]],OrgTree!$A:$K, 11, 0), "not ICG SWFW")</f>
        <v>BJ And dev</v>
      </c>
      <c r="S622" s="7" t="str">
        <f>IF(patch[[#This Row],[reviewer]]=patch[[#This Row],[tmp-owner.email]], "author", _xlfn.IFNA(VLOOKUP(patch[[#This Row],[reviewer]],OrgTree!$A:$K, 11, 0), "not ICG SWFW"))</f>
        <v>Val</v>
      </c>
      <c r="T622" s="7" t="str">
        <f>IF(ISBLANK(patch[[#This Row],[mergeDate]]), "", MID(YEAR(patch[[#This Row],[mergeDate]]), 3,2)&amp;"'ww"&amp;WEEKNUM(patch[[#This Row],[mergeDate]]))</f>
        <v>16'ww39</v>
      </c>
      <c r="U622" s="7" t="str">
        <f>IF(ISBLANK(patch[[#This Row],[mergeDate]]), U621, MID(YEAR(patch[[#This Row],[mergeDate]]), 3,2)&amp;"'m"&amp;MONTH(patch[[#This Row],[mergeDate]]))</f>
        <v>16'm9</v>
      </c>
      <c r="V622" s="7" t="str">
        <f>IF(ISBLANK(patch[[#This Row],[project]]), "",SUM(patch[[#This Row],[BJ -1 num]:[SH -1 num]]))</f>
        <v/>
      </c>
      <c r="W622" s="7" t="str">
        <f>IF(ISBLANK(patch[[#This Row],[project]]), "",COUNTIFS($A:$A,patch[[#This Row],[number]],$S:$S, "BJ And dev",$AC:$AC, "Review-1"))</f>
        <v/>
      </c>
      <c r="X622" s="7" t="str">
        <f>IF(ISBLANK(patch[[#This Row],[project]]), "",COUNTIFS($A:$A,patch[[#This Row],[number]],$S:$S, "FL And dev",$AC:$AC, "Review-1"))</f>
        <v/>
      </c>
      <c r="Y622" s="7" t="str">
        <f>IF(ISBLANK(patch[[#This Row],[project]]), "",COUNTIFS($A:$A,patch[[#This Row],[number]],$S:$S, "SH And dev",$AC:$AC, "Review-1"))</f>
        <v/>
      </c>
      <c r="Z622" s="7" t="str">
        <f>IF(ISBLANK(patch[[#This Row],[project]]), "",COUNTIFS($A:$A,patch[[#This Row],[number]],$S:$S, "BJ And dev",$AD:$AD, "&lt;&gt;IntegratorValidationComment"))</f>
        <v/>
      </c>
      <c r="AA622" s="7" t="str">
        <f>IF(ISBLANK(patch[[#This Row],[project]]), "",COUNTIFS($A:$A,patch[[#This Row],[number]],$S:$S, "FL And dev",$AD:$AD, "&lt;&gt;IntegratorValidationComment"))</f>
        <v/>
      </c>
      <c r="AB622" s="7" t="str">
        <f>IF(ISBLANK(patch[[#This Row],[project]]), "",COUNTIFS($A:$A,patch[[#This Row],[number]],$S:$S, "SH And dev",$AD:$AD, "&lt;&gt;IntegratorValidationComment"))</f>
        <v/>
      </c>
      <c r="AC622" s="7" t="str">
        <f>IF(OR(ISNUMBER(FIND("Review-1", patch[[#This Row],[comments]])), ISNUMBER(FIND("Approver-1", patch[[#This Row],[comments]]))), "Review-1", "")</f>
        <v/>
      </c>
      <c r="AD6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622" s="7">
        <f>IF(ISBLANK(patch[[#This Row],[number]]),AE621,patch[[#This Row],[ifCommon]])</f>
        <v>0</v>
      </c>
    </row>
    <row r="623" spans="1:31">
      <c r="A623" s="151">
        <v>147253</v>
      </c>
      <c r="B623" s="151" t="s">
        <v>2490</v>
      </c>
      <c r="C623" s="151" t="s">
        <v>2491</v>
      </c>
      <c r="D623" s="151" t="s">
        <v>2796</v>
      </c>
      <c r="E623" s="151" t="s">
        <v>72</v>
      </c>
      <c r="F623" s="151" t="s">
        <v>23</v>
      </c>
      <c r="G623" s="151" t="s">
        <v>2797</v>
      </c>
      <c r="H623" s="151" t="s">
        <v>2798</v>
      </c>
      <c r="I623" s="152">
        <v>42635.248865740738</v>
      </c>
      <c r="J623" s="152">
        <v>42636.730011574073</v>
      </c>
      <c r="K623" s="151" t="s">
        <v>2445</v>
      </c>
      <c r="L623" s="151" t="s">
        <v>72</v>
      </c>
      <c r="M623" s="152">
        <v>42635.248877314807</v>
      </c>
      <c r="N623" s="151" t="s">
        <v>2428</v>
      </c>
      <c r="O623" s="151"/>
      <c r="P623" s="151" t="s">
        <v>2918</v>
      </c>
      <c r="Q623" s="7" t="str">
        <f>IF(ISBLANK(patch[[#This Row],[OwnerEmail]]),Q622,patch[[#This Row],[OwnerEmail]])</f>
        <v>bin.b.yang@intel.com</v>
      </c>
      <c r="R623" s="7" t="str">
        <f>_xlfn.IFNA(VLOOKUP(patch[[#This Row],[tmp-owner.email]],OrgTree!$A:$K, 11, 0), "not ICG SWFW")</f>
        <v>BJ And dev</v>
      </c>
      <c r="S623" s="7" t="str">
        <f>IF(patch[[#This Row],[reviewer]]=patch[[#This Row],[tmp-owner.email]], "author", _xlfn.IFNA(VLOOKUP(patch[[#This Row],[reviewer]],OrgTree!$A:$K, 11, 0), "not ICG SWFW"))</f>
        <v>author</v>
      </c>
      <c r="T623" s="7" t="str">
        <f>IF(ISBLANK(patch[[#This Row],[mergeDate]]), "", MID(YEAR(patch[[#This Row],[mergeDate]]), 3,2)&amp;"'ww"&amp;WEEKNUM(patch[[#This Row],[mergeDate]]))</f>
        <v>16'ww39</v>
      </c>
      <c r="U623" s="7" t="str">
        <f>IF(ISBLANK(patch[[#This Row],[mergeDate]]), U622, MID(YEAR(patch[[#This Row],[mergeDate]]), 3,2)&amp;"'m"&amp;MONTH(patch[[#This Row],[mergeDate]]))</f>
        <v>16'm9</v>
      </c>
      <c r="V623" s="7">
        <f>IF(ISBLANK(patch[[#This Row],[project]]), "",SUM(patch[[#This Row],[BJ -1 num]:[SH -1 num]]))</f>
        <v>0</v>
      </c>
      <c r="W623" s="7">
        <f>IF(ISBLANK(patch[[#This Row],[project]]), "",COUNTIFS($A:$A,patch[[#This Row],[number]],$S:$S, "BJ And dev",$AC:$AC, "Review-1"))</f>
        <v>0</v>
      </c>
      <c r="X623" s="7">
        <f>IF(ISBLANK(patch[[#This Row],[project]]), "",COUNTIFS($A:$A,patch[[#This Row],[number]],$S:$S, "FL And dev",$AC:$AC, "Review-1"))</f>
        <v>0</v>
      </c>
      <c r="Y623" s="7">
        <f>IF(ISBLANK(patch[[#This Row],[project]]), "",COUNTIFS($A:$A,patch[[#This Row],[number]],$S:$S, "SH And dev",$AC:$AC, "Review-1"))</f>
        <v>0</v>
      </c>
      <c r="Z623" s="7">
        <f>IF(ISBLANK(patch[[#This Row],[project]]), "",COUNTIFS($A:$A,patch[[#This Row],[number]],$S:$S, "BJ And dev",$AD:$AD, "&lt;&gt;IntegratorValidationComment"))</f>
        <v>8</v>
      </c>
      <c r="AA623" s="7">
        <f>IF(ISBLANK(patch[[#This Row],[project]]), "",COUNTIFS($A:$A,patch[[#This Row],[number]],$S:$S, "FL And dev",$AD:$AD, "&lt;&gt;IntegratorValidationComment"))</f>
        <v>0</v>
      </c>
      <c r="AB623" s="7">
        <f>IF(ISBLANK(patch[[#This Row],[project]]), "",COUNTIFS($A:$A,patch[[#This Row],[number]],$S:$S, "SH And dev",$AD:$AD, "&lt;&gt;IntegratorValidationComment"))</f>
        <v>0</v>
      </c>
      <c r="AC623" s="7" t="str">
        <f>IF(OR(ISNUMBER(FIND("Review-1", patch[[#This Row],[comments]])), ISNUMBER(FIND("Approver-1", patch[[#This Row],[comments]]))), "Review-1", "")</f>
        <v/>
      </c>
      <c r="AD6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23" s="7" t="str">
        <f>IF(ISBLANK(patch[[#This Row],[number]]),AE622,patch[[#This Row],[ifCommon]])</f>
        <v>not AndrHAL</v>
      </c>
    </row>
    <row r="624" spans="1:31">
      <c r="A624" s="151">
        <v>147253</v>
      </c>
      <c r="B624" s="151"/>
      <c r="C624" s="151"/>
      <c r="D624" s="151"/>
      <c r="E624" s="151"/>
      <c r="F624" s="151"/>
      <c r="G624" s="151"/>
      <c r="H624" s="151"/>
      <c r="I624" s="151"/>
      <c r="J624" s="152">
        <v>42636.730011574073</v>
      </c>
      <c r="K624" s="151"/>
      <c r="L624" s="151" t="s">
        <v>72</v>
      </c>
      <c r="M624" s="152">
        <v>42635.260335648149</v>
      </c>
      <c r="N624" s="151" t="s">
        <v>40</v>
      </c>
      <c r="O624" s="151"/>
      <c r="P624" s="151"/>
      <c r="Q624" s="7" t="str">
        <f>IF(ISBLANK(patch[[#This Row],[OwnerEmail]]),Q623,patch[[#This Row],[OwnerEmail]])</f>
        <v>bin.b.yang@intel.com</v>
      </c>
      <c r="R624" s="7" t="str">
        <f>_xlfn.IFNA(VLOOKUP(patch[[#This Row],[tmp-owner.email]],OrgTree!$A:$K, 11, 0), "not ICG SWFW")</f>
        <v>BJ And dev</v>
      </c>
      <c r="S624" s="7" t="str">
        <f>IF(patch[[#This Row],[reviewer]]=patch[[#This Row],[tmp-owner.email]], "author", _xlfn.IFNA(VLOOKUP(patch[[#This Row],[reviewer]],OrgTree!$A:$K, 11, 0), "not ICG SWFW"))</f>
        <v>author</v>
      </c>
      <c r="T624" s="7" t="str">
        <f>IF(ISBLANK(patch[[#This Row],[mergeDate]]), "", MID(YEAR(patch[[#This Row],[mergeDate]]), 3,2)&amp;"'ww"&amp;WEEKNUM(patch[[#This Row],[mergeDate]]))</f>
        <v>16'ww39</v>
      </c>
      <c r="U624" s="7" t="str">
        <f>IF(ISBLANK(patch[[#This Row],[mergeDate]]), U623, MID(YEAR(patch[[#This Row],[mergeDate]]), 3,2)&amp;"'m"&amp;MONTH(patch[[#This Row],[mergeDate]]))</f>
        <v>16'm9</v>
      </c>
      <c r="V624" s="7" t="str">
        <f>IF(ISBLANK(patch[[#This Row],[project]]), "",SUM(patch[[#This Row],[BJ -1 num]:[SH -1 num]]))</f>
        <v/>
      </c>
      <c r="W624" s="7" t="str">
        <f>IF(ISBLANK(patch[[#This Row],[project]]), "",COUNTIFS($A:$A,patch[[#This Row],[number]],$S:$S, "BJ And dev",$AC:$AC, "Review-1"))</f>
        <v/>
      </c>
      <c r="X624" s="7" t="str">
        <f>IF(ISBLANK(patch[[#This Row],[project]]), "",COUNTIFS($A:$A,patch[[#This Row],[number]],$S:$S, "FL And dev",$AC:$AC, "Review-1"))</f>
        <v/>
      </c>
      <c r="Y624" s="7" t="str">
        <f>IF(ISBLANK(patch[[#This Row],[project]]), "",COUNTIFS($A:$A,patch[[#This Row],[number]],$S:$S, "SH And dev",$AC:$AC, "Review-1"))</f>
        <v/>
      </c>
      <c r="Z624" s="7" t="str">
        <f>IF(ISBLANK(patch[[#This Row],[project]]), "",COUNTIFS($A:$A,patch[[#This Row],[number]],$S:$S, "BJ And dev",$AD:$AD, "&lt;&gt;IntegratorValidationComment"))</f>
        <v/>
      </c>
      <c r="AA624" s="7" t="str">
        <f>IF(ISBLANK(patch[[#This Row],[project]]), "",COUNTIFS($A:$A,patch[[#This Row],[number]],$S:$S, "FL And dev",$AD:$AD, "&lt;&gt;IntegratorValidationComment"))</f>
        <v/>
      </c>
      <c r="AB624" s="7" t="str">
        <f>IF(ISBLANK(patch[[#This Row],[project]]), "",COUNTIFS($A:$A,patch[[#This Row],[number]],$S:$S, "SH And dev",$AD:$AD, "&lt;&gt;IntegratorValidationComment"))</f>
        <v/>
      </c>
      <c r="AC624" s="7" t="str">
        <f>IF(OR(ISNUMBER(FIND("Review-1", patch[[#This Row],[comments]])), ISNUMBER(FIND("Approver-1", patch[[#This Row],[comments]]))), "Review-1", "")</f>
        <v/>
      </c>
      <c r="AD6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24" s="7">
        <f>IF(ISBLANK(patch[[#This Row],[number]]),AE623,patch[[#This Row],[ifCommon]])</f>
        <v>0</v>
      </c>
    </row>
    <row r="625" spans="1:31">
      <c r="A625" s="151">
        <v>147253</v>
      </c>
      <c r="B625" s="151"/>
      <c r="C625" s="151"/>
      <c r="D625" s="151"/>
      <c r="E625" s="151"/>
      <c r="F625" s="151"/>
      <c r="G625" s="151"/>
      <c r="H625" s="151"/>
      <c r="I625" s="151"/>
      <c r="J625" s="152">
        <v>42636.730011574073</v>
      </c>
      <c r="K625" s="151"/>
      <c r="L625" s="151" t="s">
        <v>72</v>
      </c>
      <c r="M625" s="152">
        <v>42635.273240740738</v>
      </c>
      <c r="N625" s="151" t="s">
        <v>2449</v>
      </c>
      <c r="O625" s="151"/>
      <c r="P625" s="151"/>
      <c r="Q625" s="7" t="str">
        <f>IF(ISBLANK(patch[[#This Row],[OwnerEmail]]),Q624,patch[[#This Row],[OwnerEmail]])</f>
        <v>bin.b.yang@intel.com</v>
      </c>
      <c r="R625" s="7" t="str">
        <f>_xlfn.IFNA(VLOOKUP(patch[[#This Row],[tmp-owner.email]],OrgTree!$A:$K, 11, 0), "not ICG SWFW")</f>
        <v>BJ And dev</v>
      </c>
      <c r="S625" s="7" t="str">
        <f>IF(patch[[#This Row],[reviewer]]=patch[[#This Row],[tmp-owner.email]], "author", _xlfn.IFNA(VLOOKUP(patch[[#This Row],[reviewer]],OrgTree!$A:$K, 11, 0), "not ICG SWFW"))</f>
        <v>author</v>
      </c>
      <c r="T625" s="7" t="str">
        <f>IF(ISBLANK(patch[[#This Row],[mergeDate]]), "", MID(YEAR(patch[[#This Row],[mergeDate]]), 3,2)&amp;"'ww"&amp;WEEKNUM(patch[[#This Row],[mergeDate]]))</f>
        <v>16'ww39</v>
      </c>
      <c r="U625" s="7" t="str">
        <f>IF(ISBLANK(patch[[#This Row],[mergeDate]]), U624, MID(YEAR(patch[[#This Row],[mergeDate]]), 3,2)&amp;"'m"&amp;MONTH(patch[[#This Row],[mergeDate]]))</f>
        <v>16'm9</v>
      </c>
      <c r="V625" s="7" t="str">
        <f>IF(ISBLANK(patch[[#This Row],[project]]), "",SUM(patch[[#This Row],[BJ -1 num]:[SH -1 num]]))</f>
        <v/>
      </c>
      <c r="W625" s="7" t="str">
        <f>IF(ISBLANK(patch[[#This Row],[project]]), "",COUNTIFS($A:$A,patch[[#This Row],[number]],$S:$S, "BJ And dev",$AC:$AC, "Review-1"))</f>
        <v/>
      </c>
      <c r="X625" s="7" t="str">
        <f>IF(ISBLANK(patch[[#This Row],[project]]), "",COUNTIFS($A:$A,patch[[#This Row],[number]],$S:$S, "FL And dev",$AC:$AC, "Review-1"))</f>
        <v/>
      </c>
      <c r="Y625" s="7" t="str">
        <f>IF(ISBLANK(patch[[#This Row],[project]]), "",COUNTIFS($A:$A,patch[[#This Row],[number]],$S:$S, "SH And dev",$AC:$AC, "Review-1"))</f>
        <v/>
      </c>
      <c r="Z625" s="7" t="str">
        <f>IF(ISBLANK(patch[[#This Row],[project]]), "",COUNTIFS($A:$A,patch[[#This Row],[number]],$S:$S, "BJ And dev",$AD:$AD, "&lt;&gt;IntegratorValidationComment"))</f>
        <v/>
      </c>
      <c r="AA625" s="7" t="str">
        <f>IF(ISBLANK(patch[[#This Row],[project]]), "",COUNTIFS($A:$A,patch[[#This Row],[number]],$S:$S, "FL And dev",$AD:$AD, "&lt;&gt;IntegratorValidationComment"))</f>
        <v/>
      </c>
      <c r="AB625" s="7" t="str">
        <f>IF(ISBLANK(patch[[#This Row],[project]]), "",COUNTIFS($A:$A,patch[[#This Row],[number]],$S:$S, "SH And dev",$AD:$AD, "&lt;&gt;IntegratorValidationComment"))</f>
        <v/>
      </c>
      <c r="AC625" s="7" t="str">
        <f>IF(OR(ISNUMBER(FIND("Review-1", patch[[#This Row],[comments]])), ISNUMBER(FIND("Approver-1", patch[[#This Row],[comments]]))), "Review-1", "")</f>
        <v/>
      </c>
      <c r="AD6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25" s="7">
        <f>IF(ISBLANK(patch[[#This Row],[number]]),AE624,patch[[#This Row],[ifCommon]])</f>
        <v>0</v>
      </c>
    </row>
    <row r="626" spans="1:31">
      <c r="A626" s="151">
        <v>147253</v>
      </c>
      <c r="B626" s="151"/>
      <c r="C626" s="151"/>
      <c r="D626" s="151"/>
      <c r="E626" s="151"/>
      <c r="F626" s="151"/>
      <c r="G626" s="151"/>
      <c r="H626" s="151"/>
      <c r="I626" s="152"/>
      <c r="J626" s="152">
        <v>42636.730011574073</v>
      </c>
      <c r="K626" s="151"/>
      <c r="L626" s="151" t="s">
        <v>59</v>
      </c>
      <c r="M626" s="152">
        <v>42635.376944444448</v>
      </c>
      <c r="N626" s="151" t="s">
        <v>2919</v>
      </c>
      <c r="O626" s="151"/>
      <c r="P626" s="151"/>
      <c r="Q626" s="7" t="str">
        <f>IF(ISBLANK(patch[[#This Row],[OwnerEmail]]),Q625,patch[[#This Row],[OwnerEmail]])</f>
        <v>bin.b.yang@intel.com</v>
      </c>
      <c r="R626" s="7" t="str">
        <f>_xlfn.IFNA(VLOOKUP(patch[[#This Row],[tmp-owner.email]],OrgTree!$A:$K, 11, 0), "not ICG SWFW")</f>
        <v>BJ And dev</v>
      </c>
      <c r="S626" s="7" t="str">
        <f>IF(patch[[#This Row],[reviewer]]=patch[[#This Row],[tmp-owner.email]], "author", _xlfn.IFNA(VLOOKUP(patch[[#This Row],[reviewer]],OrgTree!$A:$K, 11, 0), "not ICG SWFW"))</f>
        <v>BJ And dev</v>
      </c>
      <c r="T626" s="7" t="str">
        <f>IF(ISBLANK(patch[[#This Row],[mergeDate]]), "", MID(YEAR(patch[[#This Row],[mergeDate]]), 3,2)&amp;"'ww"&amp;WEEKNUM(patch[[#This Row],[mergeDate]]))</f>
        <v>16'ww39</v>
      </c>
      <c r="U626" s="7" t="str">
        <f>IF(ISBLANK(patch[[#This Row],[mergeDate]]), U625, MID(YEAR(patch[[#This Row],[mergeDate]]), 3,2)&amp;"'m"&amp;MONTH(patch[[#This Row],[mergeDate]]))</f>
        <v>16'm9</v>
      </c>
      <c r="V626" s="7" t="str">
        <f>IF(ISBLANK(patch[[#This Row],[project]]), "",SUM(patch[[#This Row],[BJ -1 num]:[SH -1 num]]))</f>
        <v/>
      </c>
      <c r="W626" s="7" t="str">
        <f>IF(ISBLANK(patch[[#This Row],[project]]), "",COUNTIFS($A:$A,patch[[#This Row],[number]],$S:$S, "BJ And dev",$AC:$AC, "Review-1"))</f>
        <v/>
      </c>
      <c r="X626" s="7" t="str">
        <f>IF(ISBLANK(patch[[#This Row],[project]]), "",COUNTIFS($A:$A,patch[[#This Row],[number]],$S:$S, "FL And dev",$AC:$AC, "Review-1"))</f>
        <v/>
      </c>
      <c r="Y626" s="7" t="str">
        <f>IF(ISBLANK(patch[[#This Row],[project]]), "",COUNTIFS($A:$A,patch[[#This Row],[number]],$S:$S, "SH And dev",$AC:$AC, "Review-1"))</f>
        <v/>
      </c>
      <c r="Z626" s="7" t="str">
        <f>IF(ISBLANK(patch[[#This Row],[project]]), "",COUNTIFS($A:$A,patch[[#This Row],[number]],$S:$S, "BJ And dev",$AD:$AD, "&lt;&gt;IntegratorValidationComment"))</f>
        <v/>
      </c>
      <c r="AA626" s="7" t="str">
        <f>IF(ISBLANK(patch[[#This Row],[project]]), "",COUNTIFS($A:$A,patch[[#This Row],[number]],$S:$S, "FL And dev",$AD:$AD, "&lt;&gt;IntegratorValidationComment"))</f>
        <v/>
      </c>
      <c r="AB626" s="7" t="str">
        <f>IF(ISBLANK(patch[[#This Row],[project]]), "",COUNTIFS($A:$A,patch[[#This Row],[number]],$S:$S, "SH And dev",$AD:$AD, "&lt;&gt;IntegratorValidationComment"))</f>
        <v/>
      </c>
      <c r="AC626" s="7" t="str">
        <f>IF(OR(ISNUMBER(FIND("Review-1", patch[[#This Row],[comments]])), ISNUMBER(FIND("Approver-1", patch[[#This Row],[comments]]))), "Review-1", "")</f>
        <v/>
      </c>
      <c r="AD6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26" s="7">
        <f>IF(ISBLANK(patch[[#This Row],[number]]),AE625,patch[[#This Row],[ifCommon]])</f>
        <v>0</v>
      </c>
    </row>
    <row r="627" spans="1:31">
      <c r="A627" s="151">
        <v>147253</v>
      </c>
      <c r="B627" s="151"/>
      <c r="C627" s="151"/>
      <c r="D627" s="151"/>
      <c r="E627" s="151"/>
      <c r="F627" s="151"/>
      <c r="G627" s="151"/>
      <c r="H627" s="151"/>
      <c r="I627" s="151"/>
      <c r="J627" s="152">
        <v>42636.730011574073</v>
      </c>
      <c r="K627" s="151"/>
      <c r="L627" s="151" t="s">
        <v>59</v>
      </c>
      <c r="M627" s="152">
        <v>42635.377615740741</v>
      </c>
      <c r="N627" s="151" t="s">
        <v>2920</v>
      </c>
      <c r="O627" s="151"/>
      <c r="P627" s="151"/>
      <c r="Q627" s="7" t="str">
        <f>IF(ISBLANK(patch[[#This Row],[OwnerEmail]]),Q626,patch[[#This Row],[OwnerEmail]])</f>
        <v>bin.b.yang@intel.com</v>
      </c>
      <c r="R627" s="7" t="str">
        <f>_xlfn.IFNA(VLOOKUP(patch[[#This Row],[tmp-owner.email]],OrgTree!$A:$K, 11, 0), "not ICG SWFW")</f>
        <v>BJ And dev</v>
      </c>
      <c r="S627" s="7" t="str">
        <f>IF(patch[[#This Row],[reviewer]]=patch[[#This Row],[tmp-owner.email]], "author", _xlfn.IFNA(VLOOKUP(patch[[#This Row],[reviewer]],OrgTree!$A:$K, 11, 0), "not ICG SWFW"))</f>
        <v>BJ And dev</v>
      </c>
      <c r="T627" s="7" t="str">
        <f>IF(ISBLANK(patch[[#This Row],[mergeDate]]), "", MID(YEAR(patch[[#This Row],[mergeDate]]), 3,2)&amp;"'ww"&amp;WEEKNUM(patch[[#This Row],[mergeDate]]))</f>
        <v>16'ww39</v>
      </c>
      <c r="U627" s="7" t="str">
        <f>IF(ISBLANK(patch[[#This Row],[mergeDate]]), U626, MID(YEAR(patch[[#This Row],[mergeDate]]), 3,2)&amp;"'m"&amp;MONTH(patch[[#This Row],[mergeDate]]))</f>
        <v>16'm9</v>
      </c>
      <c r="V627" s="7" t="str">
        <f>IF(ISBLANK(patch[[#This Row],[project]]), "",SUM(patch[[#This Row],[BJ -1 num]:[SH -1 num]]))</f>
        <v/>
      </c>
      <c r="W627" s="7" t="str">
        <f>IF(ISBLANK(patch[[#This Row],[project]]), "",COUNTIFS($A:$A,patch[[#This Row],[number]],$S:$S, "BJ And dev",$AC:$AC, "Review-1"))</f>
        <v/>
      </c>
      <c r="X627" s="7" t="str">
        <f>IF(ISBLANK(patch[[#This Row],[project]]), "",COUNTIFS($A:$A,patch[[#This Row],[number]],$S:$S, "FL And dev",$AC:$AC, "Review-1"))</f>
        <v/>
      </c>
      <c r="Y627" s="7" t="str">
        <f>IF(ISBLANK(patch[[#This Row],[project]]), "",COUNTIFS($A:$A,patch[[#This Row],[number]],$S:$S, "SH And dev",$AC:$AC, "Review-1"))</f>
        <v/>
      </c>
      <c r="Z627" s="7" t="str">
        <f>IF(ISBLANK(patch[[#This Row],[project]]), "",COUNTIFS($A:$A,patch[[#This Row],[number]],$S:$S, "BJ And dev",$AD:$AD, "&lt;&gt;IntegratorValidationComment"))</f>
        <v/>
      </c>
      <c r="AA627" s="7" t="str">
        <f>IF(ISBLANK(patch[[#This Row],[project]]), "",COUNTIFS($A:$A,patch[[#This Row],[number]],$S:$S, "FL And dev",$AD:$AD, "&lt;&gt;IntegratorValidationComment"))</f>
        <v/>
      </c>
      <c r="AB627" s="7" t="str">
        <f>IF(ISBLANK(patch[[#This Row],[project]]), "",COUNTIFS($A:$A,patch[[#This Row],[number]],$S:$S, "SH And dev",$AD:$AD, "&lt;&gt;IntegratorValidationComment"))</f>
        <v/>
      </c>
      <c r="AC627" s="7" t="str">
        <f>IF(OR(ISNUMBER(FIND("Review-1", patch[[#This Row],[comments]])), ISNUMBER(FIND("Approver-1", patch[[#This Row],[comments]]))), "Review-1", "")</f>
        <v/>
      </c>
      <c r="AD6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27" s="7">
        <f>IF(ISBLANK(patch[[#This Row],[number]]),AE626,patch[[#This Row],[ifCommon]])</f>
        <v>0</v>
      </c>
    </row>
    <row r="628" spans="1:31">
      <c r="A628" s="151">
        <v>147253</v>
      </c>
      <c r="B628" s="151"/>
      <c r="C628" s="151"/>
      <c r="D628" s="151"/>
      <c r="E628" s="151"/>
      <c r="F628" s="151"/>
      <c r="G628" s="151"/>
      <c r="H628" s="151"/>
      <c r="I628" s="151"/>
      <c r="J628" s="152">
        <v>42636.730011574073</v>
      </c>
      <c r="K628" s="151"/>
      <c r="L628" s="151" t="s">
        <v>24</v>
      </c>
      <c r="M628" s="152">
        <v>42635.429166666669</v>
      </c>
      <c r="N628" s="151" t="s">
        <v>58</v>
      </c>
      <c r="O628" s="151"/>
      <c r="P628" s="151"/>
      <c r="Q628" s="7" t="str">
        <f>IF(ISBLANK(patch[[#This Row],[OwnerEmail]]),Q627,patch[[#This Row],[OwnerEmail]])</f>
        <v>bin.b.yang@intel.com</v>
      </c>
      <c r="R628" s="7" t="str">
        <f>_xlfn.IFNA(VLOOKUP(patch[[#This Row],[tmp-owner.email]],OrgTree!$A:$K, 11, 0), "not ICG SWFW")</f>
        <v>BJ And dev</v>
      </c>
      <c r="S628" s="7" t="str">
        <f>IF(patch[[#This Row],[reviewer]]=patch[[#This Row],[tmp-owner.email]], "author", _xlfn.IFNA(VLOOKUP(patch[[#This Row],[reviewer]],OrgTree!$A:$K, 11, 0), "not ICG SWFW"))</f>
        <v>BJ And dev</v>
      </c>
      <c r="T628" s="7" t="str">
        <f>IF(ISBLANK(patch[[#This Row],[mergeDate]]), "", MID(YEAR(patch[[#This Row],[mergeDate]]), 3,2)&amp;"'ww"&amp;WEEKNUM(patch[[#This Row],[mergeDate]]))</f>
        <v>16'ww39</v>
      </c>
      <c r="U628" s="7" t="str">
        <f>IF(ISBLANK(patch[[#This Row],[mergeDate]]), U627, MID(YEAR(patch[[#This Row],[mergeDate]]), 3,2)&amp;"'m"&amp;MONTH(patch[[#This Row],[mergeDate]]))</f>
        <v>16'm9</v>
      </c>
      <c r="V628" s="7" t="str">
        <f>IF(ISBLANK(patch[[#This Row],[project]]), "",SUM(patch[[#This Row],[BJ -1 num]:[SH -1 num]]))</f>
        <v/>
      </c>
      <c r="W628" s="7" t="str">
        <f>IF(ISBLANK(patch[[#This Row],[project]]), "",COUNTIFS($A:$A,patch[[#This Row],[number]],$S:$S, "BJ And dev",$AC:$AC, "Review-1"))</f>
        <v/>
      </c>
      <c r="X628" s="7" t="str">
        <f>IF(ISBLANK(patch[[#This Row],[project]]), "",COUNTIFS($A:$A,patch[[#This Row],[number]],$S:$S, "FL And dev",$AC:$AC, "Review-1"))</f>
        <v/>
      </c>
      <c r="Y628" s="7" t="str">
        <f>IF(ISBLANK(patch[[#This Row],[project]]), "",COUNTIFS($A:$A,patch[[#This Row],[number]],$S:$S, "SH And dev",$AC:$AC, "Review-1"))</f>
        <v/>
      </c>
      <c r="Z628" s="7" t="str">
        <f>IF(ISBLANK(patch[[#This Row],[project]]), "",COUNTIFS($A:$A,patch[[#This Row],[number]],$S:$S, "BJ And dev",$AD:$AD, "&lt;&gt;IntegratorValidationComment"))</f>
        <v/>
      </c>
      <c r="AA628" s="7" t="str">
        <f>IF(ISBLANK(patch[[#This Row],[project]]), "",COUNTIFS($A:$A,patch[[#This Row],[number]],$S:$S, "FL And dev",$AD:$AD, "&lt;&gt;IntegratorValidationComment"))</f>
        <v/>
      </c>
      <c r="AB628" s="7" t="str">
        <f>IF(ISBLANK(patch[[#This Row],[project]]), "",COUNTIFS($A:$A,patch[[#This Row],[number]],$S:$S, "SH And dev",$AD:$AD, "&lt;&gt;IntegratorValidationComment"))</f>
        <v/>
      </c>
      <c r="AC628" s="7" t="str">
        <f>IF(OR(ISNUMBER(FIND("Review-1", patch[[#This Row],[comments]])), ISNUMBER(FIND("Approver-1", patch[[#This Row],[comments]]))), "Review-1", "")</f>
        <v/>
      </c>
      <c r="AD6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28" s="7">
        <f>IF(ISBLANK(patch[[#This Row],[number]]),AE627,patch[[#This Row],[ifCommon]])</f>
        <v>0</v>
      </c>
    </row>
    <row r="629" spans="1:31">
      <c r="A629" s="151">
        <v>147253</v>
      </c>
      <c r="B629" s="151"/>
      <c r="C629" s="151"/>
      <c r="D629" s="151"/>
      <c r="E629" s="151"/>
      <c r="F629" s="151"/>
      <c r="G629" s="151"/>
      <c r="H629" s="151"/>
      <c r="I629" s="151"/>
      <c r="J629" s="152">
        <v>42636.730011574073</v>
      </c>
      <c r="K629" s="151"/>
      <c r="L629" s="151" t="s">
        <v>24</v>
      </c>
      <c r="M629" s="152">
        <v>42635.429224537038</v>
      </c>
      <c r="N629" s="151" t="s">
        <v>40</v>
      </c>
      <c r="O629" s="151"/>
      <c r="P629" s="151"/>
      <c r="Q629" s="7" t="str">
        <f>IF(ISBLANK(patch[[#This Row],[OwnerEmail]]),Q628,patch[[#This Row],[OwnerEmail]])</f>
        <v>bin.b.yang@intel.com</v>
      </c>
      <c r="R629" s="7" t="str">
        <f>_xlfn.IFNA(VLOOKUP(patch[[#This Row],[tmp-owner.email]],OrgTree!$A:$K, 11, 0), "not ICG SWFW")</f>
        <v>BJ And dev</v>
      </c>
      <c r="S629" s="7" t="str">
        <f>IF(patch[[#This Row],[reviewer]]=patch[[#This Row],[tmp-owner.email]], "author", _xlfn.IFNA(VLOOKUP(patch[[#This Row],[reviewer]],OrgTree!$A:$K, 11, 0), "not ICG SWFW"))</f>
        <v>BJ And dev</v>
      </c>
      <c r="T629" s="7" t="str">
        <f>IF(ISBLANK(patch[[#This Row],[mergeDate]]), "", MID(YEAR(patch[[#This Row],[mergeDate]]), 3,2)&amp;"'ww"&amp;WEEKNUM(patch[[#This Row],[mergeDate]]))</f>
        <v>16'ww39</v>
      </c>
      <c r="U629" s="7" t="str">
        <f>IF(ISBLANK(patch[[#This Row],[mergeDate]]), U628, MID(YEAR(patch[[#This Row],[mergeDate]]), 3,2)&amp;"'m"&amp;MONTH(patch[[#This Row],[mergeDate]]))</f>
        <v>16'm9</v>
      </c>
      <c r="V629" s="7" t="str">
        <f>IF(ISBLANK(patch[[#This Row],[project]]), "",SUM(patch[[#This Row],[BJ -1 num]:[SH -1 num]]))</f>
        <v/>
      </c>
      <c r="W629" s="7" t="str">
        <f>IF(ISBLANK(patch[[#This Row],[project]]), "",COUNTIFS($A:$A,patch[[#This Row],[number]],$S:$S, "BJ And dev",$AC:$AC, "Review-1"))</f>
        <v/>
      </c>
      <c r="X629" s="7" t="str">
        <f>IF(ISBLANK(patch[[#This Row],[project]]), "",COUNTIFS($A:$A,patch[[#This Row],[number]],$S:$S, "FL And dev",$AC:$AC, "Review-1"))</f>
        <v/>
      </c>
      <c r="Y629" s="7" t="str">
        <f>IF(ISBLANK(patch[[#This Row],[project]]), "",COUNTIFS($A:$A,patch[[#This Row],[number]],$S:$S, "SH And dev",$AC:$AC, "Review-1"))</f>
        <v/>
      </c>
      <c r="Z629" s="7" t="str">
        <f>IF(ISBLANK(patch[[#This Row],[project]]), "",COUNTIFS($A:$A,patch[[#This Row],[number]],$S:$S, "BJ And dev",$AD:$AD, "&lt;&gt;IntegratorValidationComment"))</f>
        <v/>
      </c>
      <c r="AA629" s="7" t="str">
        <f>IF(ISBLANK(patch[[#This Row],[project]]), "",COUNTIFS($A:$A,patch[[#This Row],[number]],$S:$S, "FL And dev",$AD:$AD, "&lt;&gt;IntegratorValidationComment"))</f>
        <v/>
      </c>
      <c r="AB629" s="7" t="str">
        <f>IF(ISBLANK(patch[[#This Row],[project]]), "",COUNTIFS($A:$A,patch[[#This Row],[number]],$S:$S, "SH And dev",$AD:$AD, "&lt;&gt;IntegratorValidationComment"))</f>
        <v/>
      </c>
      <c r="AC629" s="7" t="str">
        <f>IF(OR(ISNUMBER(FIND("Review-1", patch[[#This Row],[comments]])), ISNUMBER(FIND("Approver-1", patch[[#This Row],[comments]]))), "Review-1", "")</f>
        <v/>
      </c>
      <c r="AD6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29" s="7">
        <f>IF(ISBLANK(patch[[#This Row],[number]]),AE628,patch[[#This Row],[ifCommon]])</f>
        <v>0</v>
      </c>
    </row>
    <row r="630" spans="1:31">
      <c r="A630" s="151">
        <v>147253</v>
      </c>
      <c r="B630" s="151"/>
      <c r="C630" s="151"/>
      <c r="D630" s="151"/>
      <c r="E630" s="151"/>
      <c r="F630" s="151"/>
      <c r="G630" s="151"/>
      <c r="H630" s="151"/>
      <c r="I630" s="151"/>
      <c r="J630" s="152">
        <v>42636.730011574073</v>
      </c>
      <c r="K630" s="151"/>
      <c r="L630" s="151" t="s">
        <v>72</v>
      </c>
      <c r="M630" s="152">
        <v>42635.429699074077</v>
      </c>
      <c r="N630" s="151" t="s">
        <v>2429</v>
      </c>
      <c r="O630" s="151"/>
      <c r="P630" s="151"/>
      <c r="Q630" s="7" t="str">
        <f>IF(ISBLANK(patch[[#This Row],[OwnerEmail]]),Q629,patch[[#This Row],[OwnerEmail]])</f>
        <v>bin.b.yang@intel.com</v>
      </c>
      <c r="R630" s="7" t="str">
        <f>_xlfn.IFNA(VLOOKUP(patch[[#This Row],[tmp-owner.email]],OrgTree!$A:$K, 11, 0), "not ICG SWFW")</f>
        <v>BJ And dev</v>
      </c>
      <c r="S630" s="7" t="str">
        <f>IF(patch[[#This Row],[reviewer]]=patch[[#This Row],[tmp-owner.email]], "author", _xlfn.IFNA(VLOOKUP(patch[[#This Row],[reviewer]],OrgTree!$A:$K, 11, 0), "not ICG SWFW"))</f>
        <v>author</v>
      </c>
      <c r="T630" s="7" t="str">
        <f>IF(ISBLANK(patch[[#This Row],[mergeDate]]), "", MID(YEAR(patch[[#This Row],[mergeDate]]), 3,2)&amp;"'ww"&amp;WEEKNUM(patch[[#This Row],[mergeDate]]))</f>
        <v>16'ww39</v>
      </c>
      <c r="U630" s="7" t="str">
        <f>IF(ISBLANK(patch[[#This Row],[mergeDate]]), U629, MID(YEAR(patch[[#This Row],[mergeDate]]), 3,2)&amp;"'m"&amp;MONTH(patch[[#This Row],[mergeDate]]))</f>
        <v>16'm9</v>
      </c>
      <c r="V630" s="7" t="str">
        <f>IF(ISBLANK(patch[[#This Row],[project]]), "",SUM(patch[[#This Row],[BJ -1 num]:[SH -1 num]]))</f>
        <v/>
      </c>
      <c r="W630" s="7" t="str">
        <f>IF(ISBLANK(patch[[#This Row],[project]]), "",COUNTIFS($A:$A,patch[[#This Row],[number]],$S:$S, "BJ And dev",$AC:$AC, "Review-1"))</f>
        <v/>
      </c>
      <c r="X630" s="7" t="str">
        <f>IF(ISBLANK(patch[[#This Row],[project]]), "",COUNTIFS($A:$A,patch[[#This Row],[number]],$S:$S, "FL And dev",$AC:$AC, "Review-1"))</f>
        <v/>
      </c>
      <c r="Y630" s="7" t="str">
        <f>IF(ISBLANK(patch[[#This Row],[project]]), "",COUNTIFS($A:$A,patch[[#This Row],[number]],$S:$S, "SH And dev",$AC:$AC, "Review-1"))</f>
        <v/>
      </c>
      <c r="Z630" s="7" t="str">
        <f>IF(ISBLANK(patch[[#This Row],[project]]), "",COUNTIFS($A:$A,patch[[#This Row],[number]],$S:$S, "BJ And dev",$AD:$AD, "&lt;&gt;IntegratorValidationComment"))</f>
        <v/>
      </c>
      <c r="AA630" s="7" t="str">
        <f>IF(ISBLANK(patch[[#This Row],[project]]), "",COUNTIFS($A:$A,patch[[#This Row],[number]],$S:$S, "FL And dev",$AD:$AD, "&lt;&gt;IntegratorValidationComment"))</f>
        <v/>
      </c>
      <c r="AB630" s="7" t="str">
        <f>IF(ISBLANK(patch[[#This Row],[project]]), "",COUNTIFS($A:$A,patch[[#This Row],[number]],$S:$S, "SH And dev",$AD:$AD, "&lt;&gt;IntegratorValidationComment"))</f>
        <v/>
      </c>
      <c r="AC630" s="7" t="str">
        <f>IF(OR(ISNUMBER(FIND("Review-1", patch[[#This Row],[comments]])), ISNUMBER(FIND("Approver-1", patch[[#This Row],[comments]]))), "Review-1", "")</f>
        <v/>
      </c>
      <c r="AD6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30" s="7">
        <f>IF(ISBLANK(patch[[#This Row],[number]]),AE629,patch[[#This Row],[ifCommon]])</f>
        <v>0</v>
      </c>
    </row>
    <row r="631" spans="1:31">
      <c r="A631" s="151">
        <v>147253</v>
      </c>
      <c r="B631" s="151"/>
      <c r="C631" s="151"/>
      <c r="D631" s="151"/>
      <c r="E631" s="151"/>
      <c r="F631" s="151"/>
      <c r="G631" s="151"/>
      <c r="H631" s="151"/>
      <c r="I631" s="151"/>
      <c r="J631" s="152">
        <v>42636.730011574073</v>
      </c>
      <c r="K631" s="151"/>
      <c r="L631" s="151" t="s">
        <v>72</v>
      </c>
      <c r="M631" s="152">
        <v>42635.429699074077</v>
      </c>
      <c r="N631" s="151" t="s">
        <v>2505</v>
      </c>
      <c r="O631" s="151"/>
      <c r="P631" s="151"/>
      <c r="Q631" s="7" t="str">
        <f>IF(ISBLANK(patch[[#This Row],[OwnerEmail]]),Q630,patch[[#This Row],[OwnerEmail]])</f>
        <v>bin.b.yang@intel.com</v>
      </c>
      <c r="R631" s="7" t="str">
        <f>_xlfn.IFNA(VLOOKUP(patch[[#This Row],[tmp-owner.email]],OrgTree!$A:$K, 11, 0), "not ICG SWFW")</f>
        <v>BJ And dev</v>
      </c>
      <c r="S631" s="7" t="str">
        <f>IF(patch[[#This Row],[reviewer]]=patch[[#This Row],[tmp-owner.email]], "author", _xlfn.IFNA(VLOOKUP(patch[[#This Row],[reviewer]],OrgTree!$A:$K, 11, 0), "not ICG SWFW"))</f>
        <v>author</v>
      </c>
      <c r="T631" s="7" t="str">
        <f>IF(ISBLANK(patch[[#This Row],[mergeDate]]), "", MID(YEAR(patch[[#This Row],[mergeDate]]), 3,2)&amp;"'ww"&amp;WEEKNUM(patch[[#This Row],[mergeDate]]))</f>
        <v>16'ww39</v>
      </c>
      <c r="U631" s="7" t="str">
        <f>IF(ISBLANK(patch[[#This Row],[mergeDate]]), U630, MID(YEAR(patch[[#This Row],[mergeDate]]), 3,2)&amp;"'m"&amp;MONTH(patch[[#This Row],[mergeDate]]))</f>
        <v>16'm9</v>
      </c>
      <c r="V631" s="7" t="str">
        <f>IF(ISBLANK(patch[[#This Row],[project]]), "",SUM(patch[[#This Row],[BJ -1 num]:[SH -1 num]]))</f>
        <v/>
      </c>
      <c r="W631" s="7" t="str">
        <f>IF(ISBLANK(patch[[#This Row],[project]]), "",COUNTIFS($A:$A,patch[[#This Row],[number]],$S:$S, "BJ And dev",$AC:$AC, "Review-1"))</f>
        <v/>
      </c>
      <c r="X631" s="7" t="str">
        <f>IF(ISBLANK(patch[[#This Row],[project]]), "",COUNTIFS($A:$A,patch[[#This Row],[number]],$S:$S, "FL And dev",$AC:$AC, "Review-1"))</f>
        <v/>
      </c>
      <c r="Y631" s="7" t="str">
        <f>IF(ISBLANK(patch[[#This Row],[project]]), "",COUNTIFS($A:$A,patch[[#This Row],[number]],$S:$S, "SH And dev",$AC:$AC, "Review-1"))</f>
        <v/>
      </c>
      <c r="Z631" s="7" t="str">
        <f>IF(ISBLANK(patch[[#This Row],[project]]), "",COUNTIFS($A:$A,patch[[#This Row],[number]],$S:$S, "BJ And dev",$AD:$AD, "&lt;&gt;IntegratorValidationComment"))</f>
        <v/>
      </c>
      <c r="AA631" s="7" t="str">
        <f>IF(ISBLANK(patch[[#This Row],[project]]), "",COUNTIFS($A:$A,patch[[#This Row],[number]],$S:$S, "FL And dev",$AD:$AD, "&lt;&gt;IntegratorValidationComment"))</f>
        <v/>
      </c>
      <c r="AB631" s="7" t="str">
        <f>IF(ISBLANK(patch[[#This Row],[project]]), "",COUNTIFS($A:$A,patch[[#This Row],[number]],$S:$S, "SH And dev",$AD:$AD, "&lt;&gt;IntegratorValidationComment"))</f>
        <v/>
      </c>
      <c r="AC631" s="7" t="str">
        <f>IF(OR(ISNUMBER(FIND("Review-1", patch[[#This Row],[comments]])), ISNUMBER(FIND("Approver-1", patch[[#This Row],[comments]]))), "Review-1", "")</f>
        <v/>
      </c>
      <c r="AD6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31" s="7">
        <f>IF(ISBLANK(patch[[#This Row],[number]]),AE630,patch[[#This Row],[ifCommon]])</f>
        <v>0</v>
      </c>
    </row>
    <row r="632" spans="1:31">
      <c r="A632" s="151">
        <v>147253</v>
      </c>
      <c r="B632" s="151"/>
      <c r="C632" s="151"/>
      <c r="D632" s="151"/>
      <c r="E632" s="151"/>
      <c r="F632" s="151"/>
      <c r="G632" s="151"/>
      <c r="H632" s="151"/>
      <c r="I632" s="151"/>
      <c r="J632" s="152">
        <v>42636.730011574073</v>
      </c>
      <c r="K632" s="151"/>
      <c r="L632" s="151" t="s">
        <v>59</v>
      </c>
      <c r="M632" s="152">
        <v>42635.432268518518</v>
      </c>
      <c r="N632" s="151" t="s">
        <v>2921</v>
      </c>
      <c r="O632" s="151"/>
      <c r="P632" s="151"/>
      <c r="Q632" s="7" t="str">
        <f>IF(ISBLANK(patch[[#This Row],[OwnerEmail]]),Q631,patch[[#This Row],[OwnerEmail]])</f>
        <v>bin.b.yang@intel.com</v>
      </c>
      <c r="R632" s="7" t="str">
        <f>_xlfn.IFNA(VLOOKUP(patch[[#This Row],[tmp-owner.email]],OrgTree!$A:$K, 11, 0), "not ICG SWFW")</f>
        <v>BJ And dev</v>
      </c>
      <c r="S632" s="7" t="str">
        <f>IF(patch[[#This Row],[reviewer]]=patch[[#This Row],[tmp-owner.email]], "author", _xlfn.IFNA(VLOOKUP(patch[[#This Row],[reviewer]],OrgTree!$A:$K, 11, 0), "not ICG SWFW"))</f>
        <v>BJ And dev</v>
      </c>
      <c r="T632" s="7" t="str">
        <f>IF(ISBLANK(patch[[#This Row],[mergeDate]]), "", MID(YEAR(patch[[#This Row],[mergeDate]]), 3,2)&amp;"'ww"&amp;WEEKNUM(patch[[#This Row],[mergeDate]]))</f>
        <v>16'ww39</v>
      </c>
      <c r="U632" s="7" t="str">
        <f>IF(ISBLANK(patch[[#This Row],[mergeDate]]), U631, MID(YEAR(patch[[#This Row],[mergeDate]]), 3,2)&amp;"'m"&amp;MONTH(patch[[#This Row],[mergeDate]]))</f>
        <v>16'm9</v>
      </c>
      <c r="V632" s="7" t="str">
        <f>IF(ISBLANK(patch[[#This Row],[project]]), "",SUM(patch[[#This Row],[BJ -1 num]:[SH -1 num]]))</f>
        <v/>
      </c>
      <c r="W632" s="7" t="str">
        <f>IF(ISBLANK(patch[[#This Row],[project]]), "",COUNTIFS($A:$A,patch[[#This Row],[number]],$S:$S, "BJ And dev",$AC:$AC, "Review-1"))</f>
        <v/>
      </c>
      <c r="X632" s="7" t="str">
        <f>IF(ISBLANK(patch[[#This Row],[project]]), "",COUNTIFS($A:$A,patch[[#This Row],[number]],$S:$S, "FL And dev",$AC:$AC, "Review-1"))</f>
        <v/>
      </c>
      <c r="Y632" s="7" t="str">
        <f>IF(ISBLANK(patch[[#This Row],[project]]), "",COUNTIFS($A:$A,patch[[#This Row],[number]],$S:$S, "SH And dev",$AC:$AC, "Review-1"))</f>
        <v/>
      </c>
      <c r="Z632" s="7" t="str">
        <f>IF(ISBLANK(patch[[#This Row],[project]]), "",COUNTIFS($A:$A,patch[[#This Row],[number]],$S:$S, "BJ And dev",$AD:$AD, "&lt;&gt;IntegratorValidationComment"))</f>
        <v/>
      </c>
      <c r="AA632" s="7" t="str">
        <f>IF(ISBLANK(patch[[#This Row],[project]]), "",COUNTIFS($A:$A,patch[[#This Row],[number]],$S:$S, "FL And dev",$AD:$AD, "&lt;&gt;IntegratorValidationComment"))</f>
        <v/>
      </c>
      <c r="AB632" s="7" t="str">
        <f>IF(ISBLANK(patch[[#This Row],[project]]), "",COUNTIFS($A:$A,patch[[#This Row],[number]],$S:$S, "SH And dev",$AD:$AD, "&lt;&gt;IntegratorValidationComment"))</f>
        <v/>
      </c>
      <c r="AC632" s="7" t="str">
        <f>IF(OR(ISNUMBER(FIND("Review-1", patch[[#This Row],[comments]])), ISNUMBER(FIND("Approver-1", patch[[#This Row],[comments]]))), "Review-1", "")</f>
        <v/>
      </c>
      <c r="AD6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32" s="7">
        <f>IF(ISBLANK(patch[[#This Row],[number]]),AE631,patch[[#This Row],[ifCommon]])</f>
        <v>0</v>
      </c>
    </row>
    <row r="633" spans="1:31">
      <c r="A633" s="151">
        <v>147253</v>
      </c>
      <c r="B633" s="151"/>
      <c r="C633" s="151"/>
      <c r="D633" s="151"/>
      <c r="E633" s="151"/>
      <c r="F633" s="151"/>
      <c r="G633" s="151"/>
      <c r="H633" s="151"/>
      <c r="I633" s="151"/>
      <c r="J633" s="152">
        <v>42636.730011574073</v>
      </c>
      <c r="K633" s="151"/>
      <c r="L633" s="151" t="s">
        <v>1237</v>
      </c>
      <c r="M633" s="152">
        <v>42635.434004629627</v>
      </c>
      <c r="N633" s="151" t="s">
        <v>27</v>
      </c>
      <c r="O633" s="151"/>
      <c r="P633" s="151"/>
      <c r="Q633" s="7" t="str">
        <f>IF(ISBLANK(patch[[#This Row],[OwnerEmail]]),Q632,patch[[#This Row],[OwnerEmail]])</f>
        <v>bin.b.yang@intel.com</v>
      </c>
      <c r="R633" s="7" t="str">
        <f>_xlfn.IFNA(VLOOKUP(patch[[#This Row],[tmp-owner.email]],OrgTree!$A:$K, 11, 0), "not ICG SWFW")</f>
        <v>BJ And dev</v>
      </c>
      <c r="S633" s="7" t="str">
        <f>IF(patch[[#This Row],[reviewer]]=patch[[#This Row],[tmp-owner.email]], "author", _xlfn.IFNA(VLOOKUP(patch[[#This Row],[reviewer]],OrgTree!$A:$K, 11, 0), "not ICG SWFW"))</f>
        <v>BJ And dev</v>
      </c>
      <c r="T633" s="7" t="str">
        <f>IF(ISBLANK(patch[[#This Row],[mergeDate]]), "", MID(YEAR(patch[[#This Row],[mergeDate]]), 3,2)&amp;"'ww"&amp;WEEKNUM(patch[[#This Row],[mergeDate]]))</f>
        <v>16'ww39</v>
      </c>
      <c r="U633" s="7" t="str">
        <f>IF(ISBLANK(patch[[#This Row],[mergeDate]]), U632, MID(YEAR(patch[[#This Row],[mergeDate]]), 3,2)&amp;"'m"&amp;MONTH(patch[[#This Row],[mergeDate]]))</f>
        <v>16'm9</v>
      </c>
      <c r="V633" s="7" t="str">
        <f>IF(ISBLANK(patch[[#This Row],[project]]), "",SUM(patch[[#This Row],[BJ -1 num]:[SH -1 num]]))</f>
        <v/>
      </c>
      <c r="W633" s="7" t="str">
        <f>IF(ISBLANK(patch[[#This Row],[project]]), "",COUNTIFS($A:$A,patch[[#This Row],[number]],$S:$S, "BJ And dev",$AC:$AC, "Review-1"))</f>
        <v/>
      </c>
      <c r="X633" s="7" t="str">
        <f>IF(ISBLANK(patch[[#This Row],[project]]), "",COUNTIFS($A:$A,patch[[#This Row],[number]],$S:$S, "FL And dev",$AC:$AC, "Review-1"))</f>
        <v/>
      </c>
      <c r="Y633" s="7" t="str">
        <f>IF(ISBLANK(patch[[#This Row],[project]]), "",COUNTIFS($A:$A,patch[[#This Row],[number]],$S:$S, "SH And dev",$AC:$AC, "Review-1"))</f>
        <v/>
      </c>
      <c r="Z633" s="7" t="str">
        <f>IF(ISBLANK(patch[[#This Row],[project]]), "",COUNTIFS($A:$A,patch[[#This Row],[number]],$S:$S, "BJ And dev",$AD:$AD, "&lt;&gt;IntegratorValidationComment"))</f>
        <v/>
      </c>
      <c r="AA633" s="7" t="str">
        <f>IF(ISBLANK(patch[[#This Row],[project]]), "",COUNTIFS($A:$A,patch[[#This Row],[number]],$S:$S, "FL And dev",$AD:$AD, "&lt;&gt;IntegratorValidationComment"))</f>
        <v/>
      </c>
      <c r="AB633" s="7" t="str">
        <f>IF(ISBLANK(patch[[#This Row],[project]]), "",COUNTIFS($A:$A,patch[[#This Row],[number]],$S:$S, "SH And dev",$AD:$AD, "&lt;&gt;IntegratorValidationComment"))</f>
        <v/>
      </c>
      <c r="AC633" s="7" t="str">
        <f>IF(OR(ISNUMBER(FIND("Review-1", patch[[#This Row],[comments]])), ISNUMBER(FIND("Approver-1", patch[[#This Row],[comments]]))), "Review-1", "")</f>
        <v/>
      </c>
      <c r="AD6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33" s="7">
        <f>IF(ISBLANK(patch[[#This Row],[number]]),AE632,patch[[#This Row],[ifCommon]])</f>
        <v>0</v>
      </c>
    </row>
    <row r="634" spans="1:31">
      <c r="A634" s="151">
        <v>147253</v>
      </c>
      <c r="B634" s="151"/>
      <c r="C634" s="151"/>
      <c r="D634" s="151"/>
      <c r="E634" s="151"/>
      <c r="F634" s="151"/>
      <c r="G634" s="151"/>
      <c r="H634" s="151"/>
      <c r="I634" s="151"/>
      <c r="J634" s="152">
        <v>42636.730011574073</v>
      </c>
      <c r="K634" s="151"/>
      <c r="L634" s="151" t="s">
        <v>59</v>
      </c>
      <c r="M634" s="152">
        <v>42635.434837962966</v>
      </c>
      <c r="N634" s="151" t="s">
        <v>2922</v>
      </c>
      <c r="O634" s="151"/>
      <c r="P634" s="151"/>
      <c r="Q634" s="7" t="str">
        <f>IF(ISBLANK(patch[[#This Row],[OwnerEmail]]),Q633,patch[[#This Row],[OwnerEmail]])</f>
        <v>bin.b.yang@intel.com</v>
      </c>
      <c r="R634" s="7" t="str">
        <f>_xlfn.IFNA(VLOOKUP(patch[[#This Row],[tmp-owner.email]],OrgTree!$A:$K, 11, 0), "not ICG SWFW")</f>
        <v>BJ And dev</v>
      </c>
      <c r="S634" s="7" t="str">
        <f>IF(patch[[#This Row],[reviewer]]=patch[[#This Row],[tmp-owner.email]], "author", _xlfn.IFNA(VLOOKUP(patch[[#This Row],[reviewer]],OrgTree!$A:$K, 11, 0), "not ICG SWFW"))</f>
        <v>BJ And dev</v>
      </c>
      <c r="T634" s="7" t="str">
        <f>IF(ISBLANK(patch[[#This Row],[mergeDate]]), "", MID(YEAR(patch[[#This Row],[mergeDate]]), 3,2)&amp;"'ww"&amp;WEEKNUM(patch[[#This Row],[mergeDate]]))</f>
        <v>16'ww39</v>
      </c>
      <c r="U634" s="7" t="str">
        <f>IF(ISBLANK(patch[[#This Row],[mergeDate]]), U633, MID(YEAR(patch[[#This Row],[mergeDate]]), 3,2)&amp;"'m"&amp;MONTH(patch[[#This Row],[mergeDate]]))</f>
        <v>16'm9</v>
      </c>
      <c r="V634" s="7" t="str">
        <f>IF(ISBLANK(patch[[#This Row],[project]]), "",SUM(patch[[#This Row],[BJ -1 num]:[SH -1 num]]))</f>
        <v/>
      </c>
      <c r="W634" s="7" t="str">
        <f>IF(ISBLANK(patch[[#This Row],[project]]), "",COUNTIFS($A:$A,patch[[#This Row],[number]],$S:$S, "BJ And dev",$AC:$AC, "Review-1"))</f>
        <v/>
      </c>
      <c r="X634" s="7" t="str">
        <f>IF(ISBLANK(patch[[#This Row],[project]]), "",COUNTIFS($A:$A,patch[[#This Row],[number]],$S:$S, "FL And dev",$AC:$AC, "Review-1"))</f>
        <v/>
      </c>
      <c r="Y634" s="7" t="str">
        <f>IF(ISBLANK(patch[[#This Row],[project]]), "",COUNTIFS($A:$A,patch[[#This Row],[number]],$S:$S, "SH And dev",$AC:$AC, "Review-1"))</f>
        <v/>
      </c>
      <c r="Z634" s="7" t="str">
        <f>IF(ISBLANK(patch[[#This Row],[project]]), "",COUNTIFS($A:$A,patch[[#This Row],[number]],$S:$S, "BJ And dev",$AD:$AD, "&lt;&gt;IntegratorValidationComment"))</f>
        <v/>
      </c>
      <c r="AA634" s="7" t="str">
        <f>IF(ISBLANK(patch[[#This Row],[project]]), "",COUNTIFS($A:$A,patch[[#This Row],[number]],$S:$S, "FL And dev",$AD:$AD, "&lt;&gt;IntegratorValidationComment"))</f>
        <v/>
      </c>
      <c r="AB634" s="7" t="str">
        <f>IF(ISBLANK(patch[[#This Row],[project]]), "",COUNTIFS($A:$A,patch[[#This Row],[number]],$S:$S, "SH And dev",$AD:$AD, "&lt;&gt;IntegratorValidationComment"))</f>
        <v/>
      </c>
      <c r="AC634" s="7" t="str">
        <f>IF(OR(ISNUMBER(FIND("Review-1", patch[[#This Row],[comments]])), ISNUMBER(FIND("Approver-1", patch[[#This Row],[comments]]))), "Review-1", "")</f>
        <v/>
      </c>
      <c r="AD6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34" s="7">
        <f>IF(ISBLANK(patch[[#This Row],[number]]),AE633,patch[[#This Row],[ifCommon]])</f>
        <v>0</v>
      </c>
    </row>
    <row r="635" spans="1:31">
      <c r="A635" s="151">
        <v>147253</v>
      </c>
      <c r="B635" s="151"/>
      <c r="C635" s="151"/>
      <c r="D635" s="151"/>
      <c r="E635" s="151"/>
      <c r="F635" s="151"/>
      <c r="G635" s="151"/>
      <c r="H635" s="151"/>
      <c r="I635" s="151"/>
      <c r="J635" s="152">
        <v>42636.730011574073</v>
      </c>
      <c r="K635" s="151"/>
      <c r="L635" s="151" t="s">
        <v>59</v>
      </c>
      <c r="M635" s="152">
        <v>42635.436851851853</v>
      </c>
      <c r="N635" s="151" t="s">
        <v>2923</v>
      </c>
      <c r="O635" s="151"/>
      <c r="P635" s="151"/>
      <c r="Q635" s="7" t="str">
        <f>IF(ISBLANK(patch[[#This Row],[OwnerEmail]]),Q634,patch[[#This Row],[OwnerEmail]])</f>
        <v>bin.b.yang@intel.com</v>
      </c>
      <c r="R635" s="7" t="str">
        <f>_xlfn.IFNA(VLOOKUP(patch[[#This Row],[tmp-owner.email]],OrgTree!$A:$K, 11, 0), "not ICG SWFW")</f>
        <v>BJ And dev</v>
      </c>
      <c r="S635" s="7" t="str">
        <f>IF(patch[[#This Row],[reviewer]]=patch[[#This Row],[tmp-owner.email]], "author", _xlfn.IFNA(VLOOKUP(patch[[#This Row],[reviewer]],OrgTree!$A:$K, 11, 0), "not ICG SWFW"))</f>
        <v>BJ And dev</v>
      </c>
      <c r="T635" s="7" t="str">
        <f>IF(ISBLANK(patch[[#This Row],[mergeDate]]), "", MID(YEAR(patch[[#This Row],[mergeDate]]), 3,2)&amp;"'ww"&amp;WEEKNUM(patch[[#This Row],[mergeDate]]))</f>
        <v>16'ww39</v>
      </c>
      <c r="U635" s="7" t="str">
        <f>IF(ISBLANK(patch[[#This Row],[mergeDate]]), U634, MID(YEAR(patch[[#This Row],[mergeDate]]), 3,2)&amp;"'m"&amp;MONTH(patch[[#This Row],[mergeDate]]))</f>
        <v>16'm9</v>
      </c>
      <c r="V635" s="7" t="str">
        <f>IF(ISBLANK(patch[[#This Row],[project]]), "",SUM(patch[[#This Row],[BJ -1 num]:[SH -1 num]]))</f>
        <v/>
      </c>
      <c r="W635" s="7" t="str">
        <f>IF(ISBLANK(patch[[#This Row],[project]]), "",COUNTIFS($A:$A,patch[[#This Row],[number]],$S:$S, "BJ And dev",$AC:$AC, "Review-1"))</f>
        <v/>
      </c>
      <c r="X635" s="7" t="str">
        <f>IF(ISBLANK(patch[[#This Row],[project]]), "",COUNTIFS($A:$A,patch[[#This Row],[number]],$S:$S, "FL And dev",$AC:$AC, "Review-1"))</f>
        <v/>
      </c>
      <c r="Y635" s="7" t="str">
        <f>IF(ISBLANK(patch[[#This Row],[project]]), "",COUNTIFS($A:$A,patch[[#This Row],[number]],$S:$S, "SH And dev",$AC:$AC, "Review-1"))</f>
        <v/>
      </c>
      <c r="Z635" s="7" t="str">
        <f>IF(ISBLANK(patch[[#This Row],[project]]), "",COUNTIFS($A:$A,patch[[#This Row],[number]],$S:$S, "BJ And dev",$AD:$AD, "&lt;&gt;IntegratorValidationComment"))</f>
        <v/>
      </c>
      <c r="AA635" s="7" t="str">
        <f>IF(ISBLANK(patch[[#This Row],[project]]), "",COUNTIFS($A:$A,patch[[#This Row],[number]],$S:$S, "FL And dev",$AD:$AD, "&lt;&gt;IntegratorValidationComment"))</f>
        <v/>
      </c>
      <c r="AB635" s="7" t="str">
        <f>IF(ISBLANK(patch[[#This Row],[project]]), "",COUNTIFS($A:$A,patch[[#This Row],[number]],$S:$S, "SH And dev",$AD:$AD, "&lt;&gt;IntegratorValidationComment"))</f>
        <v/>
      </c>
      <c r="AC635" s="7" t="str">
        <f>IF(OR(ISNUMBER(FIND("Review-1", patch[[#This Row],[comments]])), ISNUMBER(FIND("Approver-1", patch[[#This Row],[comments]]))), "Review-1", "")</f>
        <v/>
      </c>
      <c r="AD6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35" s="7">
        <f>IF(ISBLANK(patch[[#This Row],[number]]),AE634,patch[[#This Row],[ifCommon]])</f>
        <v>0</v>
      </c>
    </row>
    <row r="636" spans="1:31">
      <c r="A636" s="151">
        <v>147253</v>
      </c>
      <c r="B636" s="151"/>
      <c r="C636" s="151"/>
      <c r="D636" s="151"/>
      <c r="E636" s="151"/>
      <c r="F636" s="151"/>
      <c r="G636" s="151"/>
      <c r="H636" s="151"/>
      <c r="I636" s="151"/>
      <c r="J636" s="152">
        <v>42636.730011574073</v>
      </c>
      <c r="K636" s="151"/>
      <c r="L636" s="151" t="s">
        <v>115</v>
      </c>
      <c r="M636" s="152">
        <v>42636.421851851846</v>
      </c>
      <c r="N636" s="151" t="s">
        <v>2495</v>
      </c>
      <c r="O636" s="151"/>
      <c r="P636" s="151"/>
      <c r="Q636" s="7" t="str">
        <f>IF(ISBLANK(patch[[#This Row],[OwnerEmail]]),Q635,patch[[#This Row],[OwnerEmail]])</f>
        <v>bin.b.yang@intel.com</v>
      </c>
      <c r="R636" s="7" t="str">
        <f>_xlfn.IFNA(VLOOKUP(patch[[#This Row],[tmp-owner.email]],OrgTree!$A:$K, 11, 0), "not ICG SWFW")</f>
        <v>BJ And dev</v>
      </c>
      <c r="S636" s="7" t="str">
        <f>IF(patch[[#This Row],[reviewer]]=patch[[#This Row],[tmp-owner.email]], "author", _xlfn.IFNA(VLOOKUP(patch[[#This Row],[reviewer]],OrgTree!$A:$K, 11, 0), "not ICG SWFW"))</f>
        <v>Val</v>
      </c>
      <c r="T636" s="7" t="str">
        <f>IF(ISBLANK(patch[[#This Row],[mergeDate]]), "", MID(YEAR(patch[[#This Row],[mergeDate]]), 3,2)&amp;"'ww"&amp;WEEKNUM(patch[[#This Row],[mergeDate]]))</f>
        <v>16'ww39</v>
      </c>
      <c r="U636" s="7" t="str">
        <f>IF(ISBLANK(patch[[#This Row],[mergeDate]]), U635, MID(YEAR(patch[[#This Row],[mergeDate]]), 3,2)&amp;"'m"&amp;MONTH(patch[[#This Row],[mergeDate]]))</f>
        <v>16'm9</v>
      </c>
      <c r="V636" s="7" t="str">
        <f>IF(ISBLANK(patch[[#This Row],[project]]), "",SUM(patch[[#This Row],[BJ -1 num]:[SH -1 num]]))</f>
        <v/>
      </c>
      <c r="W636" s="7" t="str">
        <f>IF(ISBLANK(patch[[#This Row],[project]]), "",COUNTIFS($A:$A,patch[[#This Row],[number]],$S:$S, "BJ And dev",$AC:$AC, "Review-1"))</f>
        <v/>
      </c>
      <c r="X636" s="7" t="str">
        <f>IF(ISBLANK(patch[[#This Row],[project]]), "",COUNTIFS($A:$A,patch[[#This Row],[number]],$S:$S, "FL And dev",$AC:$AC, "Review-1"))</f>
        <v/>
      </c>
      <c r="Y636" s="7" t="str">
        <f>IF(ISBLANK(patch[[#This Row],[project]]), "",COUNTIFS($A:$A,patch[[#This Row],[number]],$S:$S, "SH And dev",$AC:$AC, "Review-1"))</f>
        <v/>
      </c>
      <c r="Z636" s="7" t="str">
        <f>IF(ISBLANK(patch[[#This Row],[project]]), "",COUNTIFS($A:$A,patch[[#This Row],[number]],$S:$S, "BJ And dev",$AD:$AD, "&lt;&gt;IntegratorValidationComment"))</f>
        <v/>
      </c>
      <c r="AA636" s="7" t="str">
        <f>IF(ISBLANK(patch[[#This Row],[project]]), "",COUNTIFS($A:$A,patch[[#This Row],[number]],$S:$S, "FL And dev",$AD:$AD, "&lt;&gt;IntegratorValidationComment"))</f>
        <v/>
      </c>
      <c r="AB636" s="7" t="str">
        <f>IF(ISBLANK(patch[[#This Row],[project]]), "",COUNTIFS($A:$A,patch[[#This Row],[number]],$S:$S, "SH And dev",$AD:$AD, "&lt;&gt;IntegratorValidationComment"))</f>
        <v/>
      </c>
      <c r="AC636" s="7" t="str">
        <f>IF(OR(ISNUMBER(FIND("Review-1", patch[[#This Row],[comments]])), ISNUMBER(FIND("Approver-1", patch[[#This Row],[comments]]))), "Review-1", "")</f>
        <v/>
      </c>
      <c r="AD6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636" s="7">
        <f>IF(ISBLANK(patch[[#This Row],[number]]),AE635,patch[[#This Row],[ifCommon]])</f>
        <v>0</v>
      </c>
    </row>
    <row r="637" spans="1:31">
      <c r="A637" s="151">
        <v>147059</v>
      </c>
      <c r="B637" s="151" t="s">
        <v>2490</v>
      </c>
      <c r="C637" s="151" t="s">
        <v>2491</v>
      </c>
      <c r="D637" s="151" t="s">
        <v>2802</v>
      </c>
      <c r="E637" s="151" t="s">
        <v>55</v>
      </c>
      <c r="F637" s="151" t="s">
        <v>23</v>
      </c>
      <c r="G637" s="151" t="s">
        <v>2803</v>
      </c>
      <c r="H637" s="151" t="s">
        <v>2804</v>
      </c>
      <c r="I637" s="152">
        <v>42634.733229166668</v>
      </c>
      <c r="J637" s="152">
        <v>42636.72996527778</v>
      </c>
      <c r="K637" s="151" t="s">
        <v>2445</v>
      </c>
      <c r="L637" s="151" t="s">
        <v>55</v>
      </c>
      <c r="M637" s="152">
        <v>42634.733229166668</v>
      </c>
      <c r="N637" s="151" t="s">
        <v>25</v>
      </c>
      <c r="O637" s="151"/>
      <c r="P637" s="151" t="s">
        <v>2554</v>
      </c>
      <c r="Q637" s="7" t="str">
        <f>IF(ISBLANK(patch[[#This Row],[OwnerEmail]]),Q636,patch[[#This Row],[OwnerEmail]])</f>
        <v>liang.l.yang@intel.com</v>
      </c>
      <c r="R637" s="7" t="str">
        <f>_xlfn.IFNA(VLOOKUP(patch[[#This Row],[tmp-owner.email]],OrgTree!$A:$K, 11, 0), "not ICG SWFW")</f>
        <v>BJ And dev</v>
      </c>
      <c r="S637" s="7" t="str">
        <f>IF(patch[[#This Row],[reviewer]]=patch[[#This Row],[tmp-owner.email]], "author", _xlfn.IFNA(VLOOKUP(patch[[#This Row],[reviewer]],OrgTree!$A:$K, 11, 0), "not ICG SWFW"))</f>
        <v>author</v>
      </c>
      <c r="T637" s="7" t="str">
        <f>IF(ISBLANK(patch[[#This Row],[mergeDate]]), "", MID(YEAR(patch[[#This Row],[mergeDate]]), 3,2)&amp;"'ww"&amp;WEEKNUM(patch[[#This Row],[mergeDate]]))</f>
        <v>16'ww39</v>
      </c>
      <c r="U637" s="7" t="str">
        <f>IF(ISBLANK(patch[[#This Row],[mergeDate]]), U636, MID(YEAR(patch[[#This Row],[mergeDate]]), 3,2)&amp;"'m"&amp;MONTH(patch[[#This Row],[mergeDate]]))</f>
        <v>16'm9</v>
      </c>
      <c r="V637" s="7">
        <f>IF(ISBLANK(patch[[#This Row],[project]]), "",SUM(patch[[#This Row],[BJ -1 num]:[SH -1 num]]))</f>
        <v>1</v>
      </c>
      <c r="W637" s="7">
        <f>IF(ISBLANK(patch[[#This Row],[project]]), "",COUNTIFS($A:$A,patch[[#This Row],[number]],$S:$S, "BJ And dev",$AC:$AC, "Review-1"))</f>
        <v>1</v>
      </c>
      <c r="X637" s="7">
        <f>IF(ISBLANK(patch[[#This Row],[project]]), "",COUNTIFS($A:$A,patch[[#This Row],[number]],$S:$S, "FL And dev",$AC:$AC, "Review-1"))</f>
        <v>0</v>
      </c>
      <c r="Y637" s="7">
        <f>IF(ISBLANK(patch[[#This Row],[project]]), "",COUNTIFS($A:$A,patch[[#This Row],[number]],$S:$S, "SH And dev",$AC:$AC, "Review-1"))</f>
        <v>0</v>
      </c>
      <c r="Z637" s="7">
        <f>IF(ISBLANK(patch[[#This Row],[project]]), "",COUNTIFS($A:$A,patch[[#This Row],[number]],$S:$S, "BJ And dev",$AD:$AD, "&lt;&gt;IntegratorValidationComment"))</f>
        <v>13</v>
      </c>
      <c r="AA637" s="7">
        <f>IF(ISBLANK(patch[[#This Row],[project]]), "",COUNTIFS($A:$A,patch[[#This Row],[number]],$S:$S, "FL And dev",$AD:$AD, "&lt;&gt;IntegratorValidationComment"))</f>
        <v>0</v>
      </c>
      <c r="AB637" s="7">
        <f>IF(ISBLANK(patch[[#This Row],[project]]), "",COUNTIFS($A:$A,patch[[#This Row],[number]],$S:$S, "SH And dev",$AD:$AD, "&lt;&gt;IntegratorValidationComment"))</f>
        <v>0</v>
      </c>
      <c r="AC637" s="7" t="str">
        <f>IF(OR(ISNUMBER(FIND("Review-1", patch[[#This Row],[comments]])), ISNUMBER(FIND("Approver-1", patch[[#This Row],[comments]]))), "Review-1", "")</f>
        <v/>
      </c>
      <c r="AD6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37" s="7" t="str">
        <f>IF(ISBLANK(patch[[#This Row],[number]]),AE636,patch[[#This Row],[ifCommon]])</f>
        <v>not AndrHAL</v>
      </c>
    </row>
    <row r="638" spans="1:31">
      <c r="A638" s="151">
        <v>147059</v>
      </c>
      <c r="B638" s="151"/>
      <c r="C638" s="151"/>
      <c r="D638" s="151"/>
      <c r="E638" s="151"/>
      <c r="F638" s="151"/>
      <c r="G638" s="151"/>
      <c r="H638" s="151"/>
      <c r="I638" s="151"/>
      <c r="J638" s="152">
        <v>42636.72996527778</v>
      </c>
      <c r="K638" s="151"/>
      <c r="L638" s="151" t="s">
        <v>55</v>
      </c>
      <c r="M638" s="152">
        <v>42634.733240740738</v>
      </c>
      <c r="N638" s="151" t="s">
        <v>2428</v>
      </c>
      <c r="O638" s="151"/>
      <c r="P638" s="151"/>
      <c r="Q638" s="7" t="str">
        <f>IF(ISBLANK(patch[[#This Row],[OwnerEmail]]),Q637,patch[[#This Row],[OwnerEmail]])</f>
        <v>liang.l.yang@intel.com</v>
      </c>
      <c r="R638" s="7" t="str">
        <f>_xlfn.IFNA(VLOOKUP(patch[[#This Row],[tmp-owner.email]],OrgTree!$A:$K, 11, 0), "not ICG SWFW")</f>
        <v>BJ And dev</v>
      </c>
      <c r="S638" s="7" t="str">
        <f>IF(patch[[#This Row],[reviewer]]=patch[[#This Row],[tmp-owner.email]], "author", _xlfn.IFNA(VLOOKUP(patch[[#This Row],[reviewer]],OrgTree!$A:$K, 11, 0), "not ICG SWFW"))</f>
        <v>author</v>
      </c>
      <c r="T638" s="7" t="str">
        <f>IF(ISBLANK(patch[[#This Row],[mergeDate]]), "", MID(YEAR(patch[[#This Row],[mergeDate]]), 3,2)&amp;"'ww"&amp;WEEKNUM(patch[[#This Row],[mergeDate]]))</f>
        <v>16'ww39</v>
      </c>
      <c r="U638" s="7" t="str">
        <f>IF(ISBLANK(patch[[#This Row],[mergeDate]]), U637, MID(YEAR(patch[[#This Row],[mergeDate]]), 3,2)&amp;"'m"&amp;MONTH(patch[[#This Row],[mergeDate]]))</f>
        <v>16'm9</v>
      </c>
      <c r="V638" s="7" t="str">
        <f>IF(ISBLANK(patch[[#This Row],[project]]), "",SUM(patch[[#This Row],[BJ -1 num]:[SH -1 num]]))</f>
        <v/>
      </c>
      <c r="W638" s="7" t="str">
        <f>IF(ISBLANK(patch[[#This Row],[project]]), "",COUNTIFS($A:$A,patch[[#This Row],[number]],$S:$S, "BJ And dev",$AC:$AC, "Review-1"))</f>
        <v/>
      </c>
      <c r="X638" s="7" t="str">
        <f>IF(ISBLANK(patch[[#This Row],[project]]), "",COUNTIFS($A:$A,patch[[#This Row],[number]],$S:$S, "FL And dev",$AC:$AC, "Review-1"))</f>
        <v/>
      </c>
      <c r="Y638" s="7" t="str">
        <f>IF(ISBLANK(patch[[#This Row],[project]]), "",COUNTIFS($A:$A,patch[[#This Row],[number]],$S:$S, "SH And dev",$AC:$AC, "Review-1"))</f>
        <v/>
      </c>
      <c r="Z638" s="7" t="str">
        <f>IF(ISBLANK(patch[[#This Row],[project]]), "",COUNTIFS($A:$A,patch[[#This Row],[number]],$S:$S, "BJ And dev",$AD:$AD, "&lt;&gt;IntegratorValidationComment"))</f>
        <v/>
      </c>
      <c r="AA638" s="7" t="str">
        <f>IF(ISBLANK(patch[[#This Row],[project]]), "",COUNTIFS($A:$A,patch[[#This Row],[number]],$S:$S, "FL And dev",$AD:$AD, "&lt;&gt;IntegratorValidationComment"))</f>
        <v/>
      </c>
      <c r="AB638" s="7" t="str">
        <f>IF(ISBLANK(patch[[#This Row],[project]]), "",COUNTIFS($A:$A,patch[[#This Row],[number]],$S:$S, "SH And dev",$AD:$AD, "&lt;&gt;IntegratorValidationComment"))</f>
        <v/>
      </c>
      <c r="AC638" s="7" t="str">
        <f>IF(OR(ISNUMBER(FIND("Review-1", patch[[#This Row],[comments]])), ISNUMBER(FIND("Approver-1", patch[[#This Row],[comments]]))), "Review-1", "")</f>
        <v/>
      </c>
      <c r="AD6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38" s="7">
        <f>IF(ISBLANK(patch[[#This Row],[number]]),AE637,patch[[#This Row],[ifCommon]])</f>
        <v>0</v>
      </c>
    </row>
    <row r="639" spans="1:31">
      <c r="A639" s="151">
        <v>147059</v>
      </c>
      <c r="B639" s="151"/>
      <c r="C639" s="151"/>
      <c r="D639" s="151"/>
      <c r="E639" s="151"/>
      <c r="F639" s="151"/>
      <c r="G639" s="151"/>
      <c r="H639" s="151"/>
      <c r="I639" s="151"/>
      <c r="J639" s="152">
        <v>42636.72996527778</v>
      </c>
      <c r="K639" s="151"/>
      <c r="L639" s="151" t="s">
        <v>55</v>
      </c>
      <c r="M639" s="152">
        <v>42634.735613425917</v>
      </c>
      <c r="N639" s="151" t="s">
        <v>40</v>
      </c>
      <c r="O639" s="151"/>
      <c r="P639" s="151"/>
      <c r="Q639" s="7" t="str">
        <f>IF(ISBLANK(patch[[#This Row],[OwnerEmail]]),Q638,patch[[#This Row],[OwnerEmail]])</f>
        <v>liang.l.yang@intel.com</v>
      </c>
      <c r="R639" s="7" t="str">
        <f>_xlfn.IFNA(VLOOKUP(patch[[#This Row],[tmp-owner.email]],OrgTree!$A:$K, 11, 0), "not ICG SWFW")</f>
        <v>BJ And dev</v>
      </c>
      <c r="S639" s="7" t="str">
        <f>IF(patch[[#This Row],[reviewer]]=patch[[#This Row],[tmp-owner.email]], "author", _xlfn.IFNA(VLOOKUP(patch[[#This Row],[reviewer]],OrgTree!$A:$K, 11, 0), "not ICG SWFW"))</f>
        <v>author</v>
      </c>
      <c r="T639" s="7" t="str">
        <f>IF(ISBLANK(patch[[#This Row],[mergeDate]]), "", MID(YEAR(patch[[#This Row],[mergeDate]]), 3,2)&amp;"'ww"&amp;WEEKNUM(patch[[#This Row],[mergeDate]]))</f>
        <v>16'ww39</v>
      </c>
      <c r="U639" s="7" t="str">
        <f>IF(ISBLANK(patch[[#This Row],[mergeDate]]), U638, MID(YEAR(patch[[#This Row],[mergeDate]]), 3,2)&amp;"'m"&amp;MONTH(patch[[#This Row],[mergeDate]]))</f>
        <v>16'm9</v>
      </c>
      <c r="V639" s="7" t="str">
        <f>IF(ISBLANK(patch[[#This Row],[project]]), "",SUM(patch[[#This Row],[BJ -1 num]:[SH -1 num]]))</f>
        <v/>
      </c>
      <c r="W639" s="7" t="str">
        <f>IF(ISBLANK(patch[[#This Row],[project]]), "",COUNTIFS($A:$A,patch[[#This Row],[number]],$S:$S, "BJ And dev",$AC:$AC, "Review-1"))</f>
        <v/>
      </c>
      <c r="X639" s="7" t="str">
        <f>IF(ISBLANK(patch[[#This Row],[project]]), "",COUNTIFS($A:$A,patch[[#This Row],[number]],$S:$S, "FL And dev",$AC:$AC, "Review-1"))</f>
        <v/>
      </c>
      <c r="Y639" s="7" t="str">
        <f>IF(ISBLANK(patch[[#This Row],[project]]), "",COUNTIFS($A:$A,patch[[#This Row],[number]],$S:$S, "SH And dev",$AC:$AC, "Review-1"))</f>
        <v/>
      </c>
      <c r="Z639" s="7" t="str">
        <f>IF(ISBLANK(patch[[#This Row],[project]]), "",COUNTIFS($A:$A,patch[[#This Row],[number]],$S:$S, "BJ And dev",$AD:$AD, "&lt;&gt;IntegratorValidationComment"))</f>
        <v/>
      </c>
      <c r="AA639" s="7" t="str">
        <f>IF(ISBLANK(patch[[#This Row],[project]]), "",COUNTIFS($A:$A,patch[[#This Row],[number]],$S:$S, "FL And dev",$AD:$AD, "&lt;&gt;IntegratorValidationComment"))</f>
        <v/>
      </c>
      <c r="AB639" s="7" t="str">
        <f>IF(ISBLANK(patch[[#This Row],[project]]), "",COUNTIFS($A:$A,patch[[#This Row],[number]],$S:$S, "SH And dev",$AD:$AD, "&lt;&gt;IntegratorValidationComment"))</f>
        <v/>
      </c>
      <c r="AC639" s="7" t="str">
        <f>IF(OR(ISNUMBER(FIND("Review-1", patch[[#This Row],[comments]])), ISNUMBER(FIND("Approver-1", patch[[#This Row],[comments]]))), "Review-1", "")</f>
        <v/>
      </c>
      <c r="AD6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39" s="7">
        <f>IF(ISBLANK(patch[[#This Row],[number]]),AE638,patch[[#This Row],[ifCommon]])</f>
        <v>0</v>
      </c>
    </row>
    <row r="640" spans="1:31">
      <c r="A640" s="151">
        <v>147059</v>
      </c>
      <c r="B640" s="151"/>
      <c r="C640" s="151"/>
      <c r="D640" s="151"/>
      <c r="E640" s="151"/>
      <c r="F640" s="151"/>
      <c r="G640" s="151"/>
      <c r="H640" s="151"/>
      <c r="I640" s="151"/>
      <c r="J640" s="152">
        <v>42636.72996527778</v>
      </c>
      <c r="K640" s="151"/>
      <c r="L640" s="151" t="s">
        <v>59</v>
      </c>
      <c r="M640" s="152">
        <v>42634.737060185187</v>
      </c>
      <c r="N640" s="151" t="s">
        <v>40</v>
      </c>
      <c r="O640" s="151"/>
      <c r="P640" s="151"/>
      <c r="Q640" s="7" t="str">
        <f>IF(ISBLANK(patch[[#This Row],[OwnerEmail]]),Q639,patch[[#This Row],[OwnerEmail]])</f>
        <v>liang.l.yang@intel.com</v>
      </c>
      <c r="R640" s="7" t="str">
        <f>_xlfn.IFNA(VLOOKUP(patch[[#This Row],[tmp-owner.email]],OrgTree!$A:$K, 11, 0), "not ICG SWFW")</f>
        <v>BJ And dev</v>
      </c>
      <c r="S640" s="7" t="str">
        <f>IF(patch[[#This Row],[reviewer]]=patch[[#This Row],[tmp-owner.email]], "author", _xlfn.IFNA(VLOOKUP(patch[[#This Row],[reviewer]],OrgTree!$A:$K, 11, 0), "not ICG SWFW"))</f>
        <v>BJ And dev</v>
      </c>
      <c r="T640" s="7" t="str">
        <f>IF(ISBLANK(patch[[#This Row],[mergeDate]]), "", MID(YEAR(patch[[#This Row],[mergeDate]]), 3,2)&amp;"'ww"&amp;WEEKNUM(patch[[#This Row],[mergeDate]]))</f>
        <v>16'ww39</v>
      </c>
      <c r="U640" s="7" t="str">
        <f>IF(ISBLANK(patch[[#This Row],[mergeDate]]), U639, MID(YEAR(patch[[#This Row],[mergeDate]]), 3,2)&amp;"'m"&amp;MONTH(patch[[#This Row],[mergeDate]]))</f>
        <v>16'm9</v>
      </c>
      <c r="V640" s="7" t="str">
        <f>IF(ISBLANK(patch[[#This Row],[project]]), "",SUM(patch[[#This Row],[BJ -1 num]:[SH -1 num]]))</f>
        <v/>
      </c>
      <c r="W640" s="7" t="str">
        <f>IF(ISBLANK(patch[[#This Row],[project]]), "",COUNTIFS($A:$A,patch[[#This Row],[number]],$S:$S, "BJ And dev",$AC:$AC, "Review-1"))</f>
        <v/>
      </c>
      <c r="X640" s="7" t="str">
        <f>IF(ISBLANK(patch[[#This Row],[project]]), "",COUNTIFS($A:$A,patch[[#This Row],[number]],$S:$S, "FL And dev",$AC:$AC, "Review-1"))</f>
        <v/>
      </c>
      <c r="Y640" s="7" t="str">
        <f>IF(ISBLANK(patch[[#This Row],[project]]), "",COUNTIFS($A:$A,patch[[#This Row],[number]],$S:$S, "SH And dev",$AC:$AC, "Review-1"))</f>
        <v/>
      </c>
      <c r="Z640" s="7" t="str">
        <f>IF(ISBLANK(patch[[#This Row],[project]]), "",COUNTIFS($A:$A,patch[[#This Row],[number]],$S:$S, "BJ And dev",$AD:$AD, "&lt;&gt;IntegratorValidationComment"))</f>
        <v/>
      </c>
      <c r="AA640" s="7" t="str">
        <f>IF(ISBLANK(patch[[#This Row],[project]]), "",COUNTIFS($A:$A,patch[[#This Row],[number]],$S:$S, "FL And dev",$AD:$AD, "&lt;&gt;IntegratorValidationComment"))</f>
        <v/>
      </c>
      <c r="AB640" s="7" t="str">
        <f>IF(ISBLANK(patch[[#This Row],[project]]), "",COUNTIFS($A:$A,patch[[#This Row],[number]],$S:$S, "SH And dev",$AD:$AD, "&lt;&gt;IntegratorValidationComment"))</f>
        <v/>
      </c>
      <c r="AC640" s="7" t="str">
        <f>IF(OR(ISNUMBER(FIND("Review-1", patch[[#This Row],[comments]])), ISNUMBER(FIND("Approver-1", patch[[#This Row],[comments]]))), "Review-1", "")</f>
        <v/>
      </c>
      <c r="AD6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40" s="7">
        <f>IF(ISBLANK(patch[[#This Row],[number]]),AE639,patch[[#This Row],[ifCommon]])</f>
        <v>0</v>
      </c>
    </row>
    <row r="641" spans="1:31">
      <c r="A641" s="151">
        <v>147059</v>
      </c>
      <c r="B641" s="151"/>
      <c r="C641" s="151"/>
      <c r="D641" s="151"/>
      <c r="E641" s="151"/>
      <c r="F641" s="151"/>
      <c r="G641" s="151"/>
      <c r="H641" s="151"/>
      <c r="I641" s="151"/>
      <c r="J641" s="152">
        <v>42636.72996527778</v>
      </c>
      <c r="K641" s="151"/>
      <c r="L641" s="151" t="s">
        <v>59</v>
      </c>
      <c r="M641" s="152">
        <v>42634.738761574074</v>
      </c>
      <c r="N641" s="151" t="s">
        <v>2924</v>
      </c>
      <c r="O641" s="151"/>
      <c r="P641" s="151"/>
      <c r="Q641" s="7" t="str">
        <f>IF(ISBLANK(patch[[#This Row],[OwnerEmail]]),Q640,patch[[#This Row],[OwnerEmail]])</f>
        <v>liang.l.yang@intel.com</v>
      </c>
      <c r="R641" s="7" t="str">
        <f>_xlfn.IFNA(VLOOKUP(patch[[#This Row],[tmp-owner.email]],OrgTree!$A:$K, 11, 0), "not ICG SWFW")</f>
        <v>BJ And dev</v>
      </c>
      <c r="S641" s="7" t="str">
        <f>IF(patch[[#This Row],[reviewer]]=patch[[#This Row],[tmp-owner.email]], "author", _xlfn.IFNA(VLOOKUP(patch[[#This Row],[reviewer]],OrgTree!$A:$K, 11, 0), "not ICG SWFW"))</f>
        <v>BJ And dev</v>
      </c>
      <c r="T641" s="7" t="str">
        <f>IF(ISBLANK(patch[[#This Row],[mergeDate]]), "", MID(YEAR(patch[[#This Row],[mergeDate]]), 3,2)&amp;"'ww"&amp;WEEKNUM(patch[[#This Row],[mergeDate]]))</f>
        <v>16'ww39</v>
      </c>
      <c r="U641" s="7" t="str">
        <f>IF(ISBLANK(patch[[#This Row],[mergeDate]]), U640, MID(YEAR(patch[[#This Row],[mergeDate]]), 3,2)&amp;"'m"&amp;MONTH(patch[[#This Row],[mergeDate]]))</f>
        <v>16'm9</v>
      </c>
      <c r="V641" s="7" t="str">
        <f>IF(ISBLANK(patch[[#This Row],[project]]), "",SUM(patch[[#This Row],[BJ -1 num]:[SH -1 num]]))</f>
        <v/>
      </c>
      <c r="W641" s="7" t="str">
        <f>IF(ISBLANK(patch[[#This Row],[project]]), "",COUNTIFS($A:$A,patch[[#This Row],[number]],$S:$S, "BJ And dev",$AC:$AC, "Review-1"))</f>
        <v/>
      </c>
      <c r="X641" s="7" t="str">
        <f>IF(ISBLANK(patch[[#This Row],[project]]), "",COUNTIFS($A:$A,patch[[#This Row],[number]],$S:$S, "FL And dev",$AC:$AC, "Review-1"))</f>
        <v/>
      </c>
      <c r="Y641" s="7" t="str">
        <f>IF(ISBLANK(patch[[#This Row],[project]]), "",COUNTIFS($A:$A,patch[[#This Row],[number]],$S:$S, "SH And dev",$AC:$AC, "Review-1"))</f>
        <v/>
      </c>
      <c r="Z641" s="7" t="str">
        <f>IF(ISBLANK(patch[[#This Row],[project]]), "",COUNTIFS($A:$A,patch[[#This Row],[number]],$S:$S, "BJ And dev",$AD:$AD, "&lt;&gt;IntegratorValidationComment"))</f>
        <v/>
      </c>
      <c r="AA641" s="7" t="str">
        <f>IF(ISBLANK(patch[[#This Row],[project]]), "",COUNTIFS($A:$A,patch[[#This Row],[number]],$S:$S, "FL And dev",$AD:$AD, "&lt;&gt;IntegratorValidationComment"))</f>
        <v/>
      </c>
      <c r="AB641" s="7" t="str">
        <f>IF(ISBLANK(patch[[#This Row],[project]]), "",COUNTIFS($A:$A,patch[[#This Row],[number]],$S:$S, "SH And dev",$AD:$AD, "&lt;&gt;IntegratorValidationComment"))</f>
        <v/>
      </c>
      <c r="AC641" s="7" t="str">
        <f>IF(OR(ISNUMBER(FIND("Review-1", patch[[#This Row],[comments]])), ISNUMBER(FIND("Approver-1", patch[[#This Row],[comments]]))), "Review-1", "")</f>
        <v/>
      </c>
      <c r="AD6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41" s="7">
        <f>IF(ISBLANK(patch[[#This Row],[number]]),AE640,patch[[#This Row],[ifCommon]])</f>
        <v>0</v>
      </c>
    </row>
    <row r="642" spans="1:31">
      <c r="A642" s="151">
        <v>147059</v>
      </c>
      <c r="B642" s="151"/>
      <c r="C642" s="151"/>
      <c r="D642" s="151"/>
      <c r="E642" s="151"/>
      <c r="F642" s="151"/>
      <c r="G642" s="151"/>
      <c r="H642" s="151"/>
      <c r="I642" s="151"/>
      <c r="J642" s="152">
        <v>42636.72996527778</v>
      </c>
      <c r="K642" s="151"/>
      <c r="L642" s="151" t="s">
        <v>59</v>
      </c>
      <c r="M642" s="152">
        <v>42634.750763888893</v>
      </c>
      <c r="N642" s="151" t="s">
        <v>2925</v>
      </c>
      <c r="O642" s="151"/>
      <c r="P642" s="151"/>
      <c r="Q642" s="7" t="str">
        <f>IF(ISBLANK(patch[[#This Row],[OwnerEmail]]),Q641,patch[[#This Row],[OwnerEmail]])</f>
        <v>liang.l.yang@intel.com</v>
      </c>
      <c r="R642" s="7" t="str">
        <f>_xlfn.IFNA(VLOOKUP(patch[[#This Row],[tmp-owner.email]],OrgTree!$A:$K, 11, 0), "not ICG SWFW")</f>
        <v>BJ And dev</v>
      </c>
      <c r="S642" s="7" t="str">
        <f>IF(patch[[#This Row],[reviewer]]=patch[[#This Row],[tmp-owner.email]], "author", _xlfn.IFNA(VLOOKUP(patch[[#This Row],[reviewer]],OrgTree!$A:$K, 11, 0), "not ICG SWFW"))</f>
        <v>BJ And dev</v>
      </c>
      <c r="T642" s="7" t="str">
        <f>IF(ISBLANK(patch[[#This Row],[mergeDate]]), "", MID(YEAR(patch[[#This Row],[mergeDate]]), 3,2)&amp;"'ww"&amp;WEEKNUM(patch[[#This Row],[mergeDate]]))</f>
        <v>16'ww39</v>
      </c>
      <c r="U642" s="7" t="str">
        <f>IF(ISBLANK(patch[[#This Row],[mergeDate]]), U641, MID(YEAR(patch[[#This Row],[mergeDate]]), 3,2)&amp;"'m"&amp;MONTH(patch[[#This Row],[mergeDate]]))</f>
        <v>16'm9</v>
      </c>
      <c r="V642" s="7" t="str">
        <f>IF(ISBLANK(patch[[#This Row],[project]]), "",SUM(patch[[#This Row],[BJ -1 num]:[SH -1 num]]))</f>
        <v/>
      </c>
      <c r="W642" s="7" t="str">
        <f>IF(ISBLANK(patch[[#This Row],[project]]), "",COUNTIFS($A:$A,patch[[#This Row],[number]],$S:$S, "BJ And dev",$AC:$AC, "Review-1"))</f>
        <v/>
      </c>
      <c r="X642" s="7" t="str">
        <f>IF(ISBLANK(patch[[#This Row],[project]]), "",COUNTIFS($A:$A,patch[[#This Row],[number]],$S:$S, "FL And dev",$AC:$AC, "Review-1"))</f>
        <v/>
      </c>
      <c r="Y642" s="7" t="str">
        <f>IF(ISBLANK(patch[[#This Row],[project]]), "",COUNTIFS($A:$A,patch[[#This Row],[number]],$S:$S, "SH And dev",$AC:$AC, "Review-1"))</f>
        <v/>
      </c>
      <c r="Z642" s="7" t="str">
        <f>IF(ISBLANK(patch[[#This Row],[project]]), "",COUNTIFS($A:$A,patch[[#This Row],[number]],$S:$S, "BJ And dev",$AD:$AD, "&lt;&gt;IntegratorValidationComment"))</f>
        <v/>
      </c>
      <c r="AA642" s="7" t="str">
        <f>IF(ISBLANK(patch[[#This Row],[project]]), "",COUNTIFS($A:$A,patch[[#This Row],[number]],$S:$S, "FL And dev",$AD:$AD, "&lt;&gt;IntegratorValidationComment"))</f>
        <v/>
      </c>
      <c r="AB642" s="7" t="str">
        <f>IF(ISBLANK(patch[[#This Row],[project]]), "",COUNTIFS($A:$A,patch[[#This Row],[number]],$S:$S, "SH And dev",$AD:$AD, "&lt;&gt;IntegratorValidationComment"))</f>
        <v/>
      </c>
      <c r="AC642" s="7" t="str">
        <f>IF(OR(ISNUMBER(FIND("Review-1", patch[[#This Row],[comments]])), ISNUMBER(FIND("Approver-1", patch[[#This Row],[comments]]))), "Review-1", "")</f>
        <v/>
      </c>
      <c r="AD6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42" s="7">
        <f>IF(ISBLANK(patch[[#This Row],[number]]),AE641,patch[[#This Row],[ifCommon]])</f>
        <v>0</v>
      </c>
    </row>
    <row r="643" spans="1:31">
      <c r="A643" s="151">
        <v>147059</v>
      </c>
      <c r="B643" s="151"/>
      <c r="C643" s="151"/>
      <c r="D643" s="151"/>
      <c r="E643" s="151"/>
      <c r="F643" s="151"/>
      <c r="G643" s="151"/>
      <c r="H643" s="151"/>
      <c r="I643" s="151"/>
      <c r="J643" s="152">
        <v>42636.72996527778</v>
      </c>
      <c r="K643" s="151"/>
      <c r="L643" s="151" t="s">
        <v>32</v>
      </c>
      <c r="M643" s="152">
        <v>42634.77652777778</v>
      </c>
      <c r="N643" s="151" t="s">
        <v>2546</v>
      </c>
      <c r="O643" s="151" t="s">
        <v>2926</v>
      </c>
      <c r="P643" s="151"/>
      <c r="Q643" s="7" t="str">
        <f>IF(ISBLANK(patch[[#This Row],[OwnerEmail]]),Q642,patch[[#This Row],[OwnerEmail]])</f>
        <v>liang.l.yang@intel.com</v>
      </c>
      <c r="R643" s="7" t="str">
        <f>_xlfn.IFNA(VLOOKUP(patch[[#This Row],[tmp-owner.email]],OrgTree!$A:$K, 11, 0), "not ICG SWFW")</f>
        <v>BJ And dev</v>
      </c>
      <c r="S643" s="7" t="str">
        <f>IF(patch[[#This Row],[reviewer]]=patch[[#This Row],[tmp-owner.email]], "author", _xlfn.IFNA(VLOOKUP(patch[[#This Row],[reviewer]],OrgTree!$A:$K, 11, 0), "not ICG SWFW"))</f>
        <v>BJ And dev</v>
      </c>
      <c r="T643" s="7" t="str">
        <f>IF(ISBLANK(patch[[#This Row],[mergeDate]]), "", MID(YEAR(patch[[#This Row],[mergeDate]]), 3,2)&amp;"'ww"&amp;WEEKNUM(patch[[#This Row],[mergeDate]]))</f>
        <v>16'ww39</v>
      </c>
      <c r="U643" s="7" t="str">
        <f>IF(ISBLANK(patch[[#This Row],[mergeDate]]), U642, MID(YEAR(patch[[#This Row],[mergeDate]]), 3,2)&amp;"'m"&amp;MONTH(patch[[#This Row],[mergeDate]]))</f>
        <v>16'm9</v>
      </c>
      <c r="V643" s="7" t="str">
        <f>IF(ISBLANK(patch[[#This Row],[project]]), "",SUM(patch[[#This Row],[BJ -1 num]:[SH -1 num]]))</f>
        <v/>
      </c>
      <c r="W643" s="7" t="str">
        <f>IF(ISBLANK(patch[[#This Row],[project]]), "",COUNTIFS($A:$A,patch[[#This Row],[number]],$S:$S, "BJ And dev",$AC:$AC, "Review-1"))</f>
        <v/>
      </c>
      <c r="X643" s="7" t="str">
        <f>IF(ISBLANK(patch[[#This Row],[project]]), "",COUNTIFS($A:$A,patch[[#This Row],[number]],$S:$S, "FL And dev",$AC:$AC, "Review-1"))</f>
        <v/>
      </c>
      <c r="Y643" s="7" t="str">
        <f>IF(ISBLANK(patch[[#This Row],[project]]), "",COUNTIFS($A:$A,patch[[#This Row],[number]],$S:$S, "SH And dev",$AC:$AC, "Review-1"))</f>
        <v/>
      </c>
      <c r="Z643" s="7" t="str">
        <f>IF(ISBLANK(patch[[#This Row],[project]]), "",COUNTIFS($A:$A,patch[[#This Row],[number]],$S:$S, "BJ And dev",$AD:$AD, "&lt;&gt;IntegratorValidationComment"))</f>
        <v/>
      </c>
      <c r="AA643" s="7" t="str">
        <f>IF(ISBLANK(patch[[#This Row],[project]]), "",COUNTIFS($A:$A,patch[[#This Row],[number]],$S:$S, "FL And dev",$AD:$AD, "&lt;&gt;IntegratorValidationComment"))</f>
        <v/>
      </c>
      <c r="AB643" s="7" t="str">
        <f>IF(ISBLANK(patch[[#This Row],[project]]), "",COUNTIFS($A:$A,patch[[#This Row],[number]],$S:$S, "SH And dev",$AD:$AD, "&lt;&gt;IntegratorValidationComment"))</f>
        <v/>
      </c>
      <c r="AC643" s="7" t="str">
        <f>IF(OR(ISNUMBER(FIND("Review-1", patch[[#This Row],[comments]])), ISNUMBER(FIND("Approver-1", patch[[#This Row],[comments]]))), "Review-1", "")</f>
        <v>Review-1</v>
      </c>
      <c r="AD6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43" s="7">
        <f>IF(ISBLANK(patch[[#This Row],[number]]),AE642,patch[[#This Row],[ifCommon]])</f>
        <v>0</v>
      </c>
    </row>
    <row r="644" spans="1:31">
      <c r="A644" s="151">
        <v>147059</v>
      </c>
      <c r="B644" s="151"/>
      <c r="C644" s="151"/>
      <c r="D644" s="151"/>
      <c r="E644" s="151"/>
      <c r="F644" s="151"/>
      <c r="G644" s="151"/>
      <c r="H644" s="151"/>
      <c r="I644" s="151"/>
      <c r="J644" s="152">
        <v>42636.72996527778</v>
      </c>
      <c r="K644" s="151"/>
      <c r="L644" s="151" t="s">
        <v>55</v>
      </c>
      <c r="M644" s="152">
        <v>42634.956689814811</v>
      </c>
      <c r="N644" s="151" t="s">
        <v>29</v>
      </c>
      <c r="O644" s="151"/>
      <c r="P644" s="151"/>
      <c r="Q644" s="7" t="str">
        <f>IF(ISBLANK(patch[[#This Row],[OwnerEmail]]),Q643,patch[[#This Row],[OwnerEmail]])</f>
        <v>liang.l.yang@intel.com</v>
      </c>
      <c r="R644" s="7" t="str">
        <f>_xlfn.IFNA(VLOOKUP(patch[[#This Row],[tmp-owner.email]],OrgTree!$A:$K, 11, 0), "not ICG SWFW")</f>
        <v>BJ And dev</v>
      </c>
      <c r="S644" s="7" t="str">
        <f>IF(patch[[#This Row],[reviewer]]=patch[[#This Row],[tmp-owner.email]], "author", _xlfn.IFNA(VLOOKUP(patch[[#This Row],[reviewer]],OrgTree!$A:$K, 11, 0), "not ICG SWFW"))</f>
        <v>author</v>
      </c>
      <c r="T644" s="7" t="str">
        <f>IF(ISBLANK(patch[[#This Row],[mergeDate]]), "", MID(YEAR(patch[[#This Row],[mergeDate]]), 3,2)&amp;"'ww"&amp;WEEKNUM(patch[[#This Row],[mergeDate]]))</f>
        <v>16'ww39</v>
      </c>
      <c r="U644" s="7" t="str">
        <f>IF(ISBLANK(patch[[#This Row],[mergeDate]]), U643, MID(YEAR(patch[[#This Row],[mergeDate]]), 3,2)&amp;"'m"&amp;MONTH(patch[[#This Row],[mergeDate]]))</f>
        <v>16'm9</v>
      </c>
      <c r="V644" s="7" t="str">
        <f>IF(ISBLANK(patch[[#This Row],[project]]), "",SUM(patch[[#This Row],[BJ -1 num]:[SH -1 num]]))</f>
        <v/>
      </c>
      <c r="W644" s="7" t="str">
        <f>IF(ISBLANK(patch[[#This Row],[project]]), "",COUNTIFS($A:$A,patch[[#This Row],[number]],$S:$S, "BJ And dev",$AC:$AC, "Review-1"))</f>
        <v/>
      </c>
      <c r="X644" s="7" t="str">
        <f>IF(ISBLANK(patch[[#This Row],[project]]), "",COUNTIFS($A:$A,patch[[#This Row],[number]],$S:$S, "FL And dev",$AC:$AC, "Review-1"))</f>
        <v/>
      </c>
      <c r="Y644" s="7" t="str">
        <f>IF(ISBLANK(patch[[#This Row],[project]]), "",COUNTIFS($A:$A,patch[[#This Row],[number]],$S:$S, "SH And dev",$AC:$AC, "Review-1"))</f>
        <v/>
      </c>
      <c r="Z644" s="7" t="str">
        <f>IF(ISBLANK(patch[[#This Row],[project]]), "",COUNTIFS($A:$A,patch[[#This Row],[number]],$S:$S, "BJ And dev",$AD:$AD, "&lt;&gt;IntegratorValidationComment"))</f>
        <v/>
      </c>
      <c r="AA644" s="7" t="str">
        <f>IF(ISBLANK(patch[[#This Row],[project]]), "",COUNTIFS($A:$A,patch[[#This Row],[number]],$S:$S, "FL And dev",$AD:$AD, "&lt;&gt;IntegratorValidationComment"))</f>
        <v/>
      </c>
      <c r="AB644" s="7" t="str">
        <f>IF(ISBLANK(patch[[#This Row],[project]]), "",COUNTIFS($A:$A,patch[[#This Row],[number]],$S:$S, "SH And dev",$AD:$AD, "&lt;&gt;IntegratorValidationComment"))</f>
        <v/>
      </c>
      <c r="AC644" s="7" t="str">
        <f>IF(OR(ISNUMBER(FIND("Review-1", patch[[#This Row],[comments]])), ISNUMBER(FIND("Approver-1", patch[[#This Row],[comments]]))), "Review-1", "")</f>
        <v/>
      </c>
      <c r="AD6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44" s="7">
        <f>IF(ISBLANK(patch[[#This Row],[number]]),AE643,patch[[#This Row],[ifCommon]])</f>
        <v>0</v>
      </c>
    </row>
    <row r="645" spans="1:31">
      <c r="A645" s="151">
        <v>147059</v>
      </c>
      <c r="B645" s="151"/>
      <c r="C645" s="151"/>
      <c r="D645" s="151"/>
      <c r="E645" s="151"/>
      <c r="F645" s="151"/>
      <c r="G645" s="151"/>
      <c r="H645" s="151"/>
      <c r="I645" s="151"/>
      <c r="J645" s="152">
        <v>42636.72996527778</v>
      </c>
      <c r="K645" s="151"/>
      <c r="L645" s="151" t="s">
        <v>55</v>
      </c>
      <c r="M645" s="152">
        <v>42634.956689814811</v>
      </c>
      <c r="N645" s="151" t="s">
        <v>2429</v>
      </c>
      <c r="O645" s="151"/>
      <c r="P645" s="151"/>
      <c r="Q645" s="7" t="str">
        <f>IF(ISBLANK(patch[[#This Row],[OwnerEmail]]),Q644,patch[[#This Row],[OwnerEmail]])</f>
        <v>liang.l.yang@intel.com</v>
      </c>
      <c r="R645" s="7" t="str">
        <f>_xlfn.IFNA(VLOOKUP(patch[[#This Row],[tmp-owner.email]],OrgTree!$A:$K, 11, 0), "not ICG SWFW")</f>
        <v>BJ And dev</v>
      </c>
      <c r="S645" s="7" t="str">
        <f>IF(patch[[#This Row],[reviewer]]=patch[[#This Row],[tmp-owner.email]], "author", _xlfn.IFNA(VLOOKUP(patch[[#This Row],[reviewer]],OrgTree!$A:$K, 11, 0), "not ICG SWFW"))</f>
        <v>author</v>
      </c>
      <c r="T645" s="7" t="str">
        <f>IF(ISBLANK(patch[[#This Row],[mergeDate]]), "", MID(YEAR(patch[[#This Row],[mergeDate]]), 3,2)&amp;"'ww"&amp;WEEKNUM(patch[[#This Row],[mergeDate]]))</f>
        <v>16'ww39</v>
      </c>
      <c r="U645" s="7" t="str">
        <f>IF(ISBLANK(patch[[#This Row],[mergeDate]]), U644, MID(YEAR(patch[[#This Row],[mergeDate]]), 3,2)&amp;"'m"&amp;MONTH(patch[[#This Row],[mergeDate]]))</f>
        <v>16'm9</v>
      </c>
      <c r="V645" s="7" t="str">
        <f>IF(ISBLANK(patch[[#This Row],[project]]), "",SUM(patch[[#This Row],[BJ -1 num]:[SH -1 num]]))</f>
        <v/>
      </c>
      <c r="W645" s="7" t="str">
        <f>IF(ISBLANK(patch[[#This Row],[project]]), "",COUNTIFS($A:$A,patch[[#This Row],[number]],$S:$S, "BJ And dev",$AC:$AC, "Review-1"))</f>
        <v/>
      </c>
      <c r="X645" s="7" t="str">
        <f>IF(ISBLANK(patch[[#This Row],[project]]), "",COUNTIFS($A:$A,patch[[#This Row],[number]],$S:$S, "FL And dev",$AC:$AC, "Review-1"))</f>
        <v/>
      </c>
      <c r="Y645" s="7" t="str">
        <f>IF(ISBLANK(patch[[#This Row],[project]]), "",COUNTIFS($A:$A,patch[[#This Row],[number]],$S:$S, "SH And dev",$AC:$AC, "Review-1"))</f>
        <v/>
      </c>
      <c r="Z645" s="7" t="str">
        <f>IF(ISBLANK(patch[[#This Row],[project]]), "",COUNTIFS($A:$A,patch[[#This Row],[number]],$S:$S, "BJ And dev",$AD:$AD, "&lt;&gt;IntegratorValidationComment"))</f>
        <v/>
      </c>
      <c r="AA645" s="7" t="str">
        <f>IF(ISBLANK(patch[[#This Row],[project]]), "",COUNTIFS($A:$A,patch[[#This Row],[number]],$S:$S, "FL And dev",$AD:$AD, "&lt;&gt;IntegratorValidationComment"))</f>
        <v/>
      </c>
      <c r="AB645" s="7" t="str">
        <f>IF(ISBLANK(patch[[#This Row],[project]]), "",COUNTIFS($A:$A,patch[[#This Row],[number]],$S:$S, "SH And dev",$AD:$AD, "&lt;&gt;IntegratorValidationComment"))</f>
        <v/>
      </c>
      <c r="AC645" s="7" t="str">
        <f>IF(OR(ISNUMBER(FIND("Review-1", patch[[#This Row],[comments]])), ISNUMBER(FIND("Approver-1", patch[[#This Row],[comments]]))), "Review-1", "")</f>
        <v/>
      </c>
      <c r="AD6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45" s="7">
        <f>IF(ISBLANK(patch[[#This Row],[number]]),AE644,patch[[#This Row],[ifCommon]])</f>
        <v>0</v>
      </c>
    </row>
    <row r="646" spans="1:31">
      <c r="A646" s="151">
        <v>147059</v>
      </c>
      <c r="B646" s="151"/>
      <c r="C646" s="151"/>
      <c r="D646" s="151"/>
      <c r="E646" s="151"/>
      <c r="F646" s="151"/>
      <c r="G646" s="151"/>
      <c r="H646" s="151"/>
      <c r="I646" s="151"/>
      <c r="J646" s="152">
        <v>42636.72996527778</v>
      </c>
      <c r="K646" s="151"/>
      <c r="L646" s="151" t="s">
        <v>55</v>
      </c>
      <c r="M646" s="152">
        <v>42634.957627314812</v>
      </c>
      <c r="N646" s="151" t="s">
        <v>27</v>
      </c>
      <c r="O646" s="151"/>
      <c r="P646" s="151"/>
      <c r="Q646" s="7" t="str">
        <f>IF(ISBLANK(patch[[#This Row],[OwnerEmail]]),Q645,patch[[#This Row],[OwnerEmail]])</f>
        <v>liang.l.yang@intel.com</v>
      </c>
      <c r="R646" s="7" t="str">
        <f>_xlfn.IFNA(VLOOKUP(patch[[#This Row],[tmp-owner.email]],OrgTree!$A:$K, 11, 0), "not ICG SWFW")</f>
        <v>BJ And dev</v>
      </c>
      <c r="S646" s="7" t="str">
        <f>IF(patch[[#This Row],[reviewer]]=patch[[#This Row],[tmp-owner.email]], "author", _xlfn.IFNA(VLOOKUP(patch[[#This Row],[reviewer]],OrgTree!$A:$K, 11, 0), "not ICG SWFW"))</f>
        <v>author</v>
      </c>
      <c r="T646" s="7" t="str">
        <f>IF(ISBLANK(patch[[#This Row],[mergeDate]]), "", MID(YEAR(patch[[#This Row],[mergeDate]]), 3,2)&amp;"'ww"&amp;WEEKNUM(patch[[#This Row],[mergeDate]]))</f>
        <v>16'ww39</v>
      </c>
      <c r="U646" s="7" t="str">
        <f>IF(ISBLANK(patch[[#This Row],[mergeDate]]), U645, MID(YEAR(patch[[#This Row],[mergeDate]]), 3,2)&amp;"'m"&amp;MONTH(patch[[#This Row],[mergeDate]]))</f>
        <v>16'm9</v>
      </c>
      <c r="V646" s="7" t="str">
        <f>IF(ISBLANK(patch[[#This Row],[project]]), "",SUM(patch[[#This Row],[BJ -1 num]:[SH -1 num]]))</f>
        <v/>
      </c>
      <c r="W646" s="7" t="str">
        <f>IF(ISBLANK(patch[[#This Row],[project]]), "",COUNTIFS($A:$A,patch[[#This Row],[number]],$S:$S, "BJ And dev",$AC:$AC, "Review-1"))</f>
        <v/>
      </c>
      <c r="X646" s="7" t="str">
        <f>IF(ISBLANK(patch[[#This Row],[project]]), "",COUNTIFS($A:$A,patch[[#This Row],[number]],$S:$S, "FL And dev",$AC:$AC, "Review-1"))</f>
        <v/>
      </c>
      <c r="Y646" s="7" t="str">
        <f>IF(ISBLANK(patch[[#This Row],[project]]), "",COUNTIFS($A:$A,patch[[#This Row],[number]],$S:$S, "SH And dev",$AC:$AC, "Review-1"))</f>
        <v/>
      </c>
      <c r="Z646" s="7" t="str">
        <f>IF(ISBLANK(patch[[#This Row],[project]]), "",COUNTIFS($A:$A,patch[[#This Row],[number]],$S:$S, "BJ And dev",$AD:$AD, "&lt;&gt;IntegratorValidationComment"))</f>
        <v/>
      </c>
      <c r="AA646" s="7" t="str">
        <f>IF(ISBLANK(patch[[#This Row],[project]]), "",COUNTIFS($A:$A,patch[[#This Row],[number]],$S:$S, "FL And dev",$AD:$AD, "&lt;&gt;IntegratorValidationComment"))</f>
        <v/>
      </c>
      <c r="AB646" s="7" t="str">
        <f>IF(ISBLANK(patch[[#This Row],[project]]), "",COUNTIFS($A:$A,patch[[#This Row],[number]],$S:$S, "SH And dev",$AD:$AD, "&lt;&gt;IntegratorValidationComment"))</f>
        <v/>
      </c>
      <c r="AC646" s="7" t="str">
        <f>IF(OR(ISNUMBER(FIND("Review-1", patch[[#This Row],[comments]])), ISNUMBER(FIND("Approver-1", patch[[#This Row],[comments]]))), "Review-1", "")</f>
        <v/>
      </c>
      <c r="AD6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46" s="7">
        <f>IF(ISBLANK(patch[[#This Row],[number]]),AE645,patch[[#This Row],[ifCommon]])</f>
        <v>0</v>
      </c>
    </row>
    <row r="647" spans="1:31">
      <c r="A647" s="151">
        <v>147059</v>
      </c>
      <c r="B647" s="151"/>
      <c r="C647" s="151"/>
      <c r="D647" s="151"/>
      <c r="E647" s="151"/>
      <c r="F647" s="151"/>
      <c r="G647" s="151"/>
      <c r="H647" s="151"/>
      <c r="I647" s="151"/>
      <c r="J647" s="152">
        <v>42636.72996527778</v>
      </c>
      <c r="K647" s="151"/>
      <c r="L647" s="151" t="s">
        <v>59</v>
      </c>
      <c r="M647" s="152">
        <v>42635.377002314817</v>
      </c>
      <c r="N647" s="151" t="s">
        <v>2927</v>
      </c>
      <c r="O647" s="151"/>
      <c r="P647" s="151"/>
      <c r="Q647" s="7" t="str">
        <f>IF(ISBLANK(patch[[#This Row],[OwnerEmail]]),Q646,patch[[#This Row],[OwnerEmail]])</f>
        <v>liang.l.yang@intel.com</v>
      </c>
      <c r="R647" s="7" t="str">
        <f>_xlfn.IFNA(VLOOKUP(patch[[#This Row],[tmp-owner.email]],OrgTree!$A:$K, 11, 0), "not ICG SWFW")</f>
        <v>BJ And dev</v>
      </c>
      <c r="S647" s="7" t="str">
        <f>IF(patch[[#This Row],[reviewer]]=patch[[#This Row],[tmp-owner.email]], "author", _xlfn.IFNA(VLOOKUP(patch[[#This Row],[reviewer]],OrgTree!$A:$K, 11, 0), "not ICG SWFW"))</f>
        <v>BJ And dev</v>
      </c>
      <c r="T647" s="7" t="str">
        <f>IF(ISBLANK(patch[[#This Row],[mergeDate]]), "", MID(YEAR(patch[[#This Row],[mergeDate]]), 3,2)&amp;"'ww"&amp;WEEKNUM(patch[[#This Row],[mergeDate]]))</f>
        <v>16'ww39</v>
      </c>
      <c r="U647" s="7" t="str">
        <f>IF(ISBLANK(patch[[#This Row],[mergeDate]]), U646, MID(YEAR(patch[[#This Row],[mergeDate]]), 3,2)&amp;"'m"&amp;MONTH(patch[[#This Row],[mergeDate]]))</f>
        <v>16'm9</v>
      </c>
      <c r="V647" s="7" t="str">
        <f>IF(ISBLANK(patch[[#This Row],[project]]), "",SUM(patch[[#This Row],[BJ -1 num]:[SH -1 num]]))</f>
        <v/>
      </c>
      <c r="W647" s="7" t="str">
        <f>IF(ISBLANK(patch[[#This Row],[project]]), "",COUNTIFS($A:$A,patch[[#This Row],[number]],$S:$S, "BJ And dev",$AC:$AC, "Review-1"))</f>
        <v/>
      </c>
      <c r="X647" s="7" t="str">
        <f>IF(ISBLANK(patch[[#This Row],[project]]), "",COUNTIFS($A:$A,patch[[#This Row],[number]],$S:$S, "FL And dev",$AC:$AC, "Review-1"))</f>
        <v/>
      </c>
      <c r="Y647" s="7" t="str">
        <f>IF(ISBLANK(patch[[#This Row],[project]]), "",COUNTIFS($A:$A,patch[[#This Row],[number]],$S:$S, "SH And dev",$AC:$AC, "Review-1"))</f>
        <v/>
      </c>
      <c r="Z647" s="7" t="str">
        <f>IF(ISBLANK(patch[[#This Row],[project]]), "",COUNTIFS($A:$A,patch[[#This Row],[number]],$S:$S, "BJ And dev",$AD:$AD, "&lt;&gt;IntegratorValidationComment"))</f>
        <v/>
      </c>
      <c r="AA647" s="7" t="str">
        <f>IF(ISBLANK(patch[[#This Row],[project]]), "",COUNTIFS($A:$A,patch[[#This Row],[number]],$S:$S, "FL And dev",$AD:$AD, "&lt;&gt;IntegratorValidationComment"))</f>
        <v/>
      </c>
      <c r="AB647" s="7" t="str">
        <f>IF(ISBLANK(patch[[#This Row],[project]]), "",COUNTIFS($A:$A,patch[[#This Row],[number]],$S:$S, "SH And dev",$AD:$AD, "&lt;&gt;IntegratorValidationComment"))</f>
        <v/>
      </c>
      <c r="AC647" s="7" t="str">
        <f>IF(OR(ISNUMBER(FIND("Review-1", patch[[#This Row],[comments]])), ISNUMBER(FIND("Approver-1", patch[[#This Row],[comments]]))), "Review-1", "")</f>
        <v/>
      </c>
      <c r="AD6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47" s="7">
        <f>IF(ISBLANK(patch[[#This Row],[number]]),AE646,patch[[#This Row],[ifCommon]])</f>
        <v>0</v>
      </c>
    </row>
    <row r="648" spans="1:31">
      <c r="A648" s="151">
        <v>147059</v>
      </c>
      <c r="B648" s="151"/>
      <c r="C648" s="151"/>
      <c r="D648" s="151"/>
      <c r="E648" s="151"/>
      <c r="F648" s="151"/>
      <c r="G648" s="151"/>
      <c r="H648" s="151"/>
      <c r="I648" s="151"/>
      <c r="J648" s="152">
        <v>42636.72996527778</v>
      </c>
      <c r="K648" s="151"/>
      <c r="L648" s="151" t="s">
        <v>59</v>
      </c>
      <c r="M648" s="152">
        <v>42635.379432870373</v>
      </c>
      <c r="N648" s="151" t="s">
        <v>2928</v>
      </c>
      <c r="O648" s="151"/>
      <c r="P648" s="151"/>
      <c r="Q648" s="7" t="str">
        <f>IF(ISBLANK(patch[[#This Row],[OwnerEmail]]),Q647,patch[[#This Row],[OwnerEmail]])</f>
        <v>liang.l.yang@intel.com</v>
      </c>
      <c r="R648" s="7" t="str">
        <f>_xlfn.IFNA(VLOOKUP(patch[[#This Row],[tmp-owner.email]],OrgTree!$A:$K, 11, 0), "not ICG SWFW")</f>
        <v>BJ And dev</v>
      </c>
      <c r="S648" s="7" t="str">
        <f>IF(patch[[#This Row],[reviewer]]=patch[[#This Row],[tmp-owner.email]], "author", _xlfn.IFNA(VLOOKUP(patch[[#This Row],[reviewer]],OrgTree!$A:$K, 11, 0), "not ICG SWFW"))</f>
        <v>BJ And dev</v>
      </c>
      <c r="T648" s="7" t="str">
        <f>IF(ISBLANK(patch[[#This Row],[mergeDate]]), "", MID(YEAR(patch[[#This Row],[mergeDate]]), 3,2)&amp;"'ww"&amp;WEEKNUM(patch[[#This Row],[mergeDate]]))</f>
        <v>16'ww39</v>
      </c>
      <c r="U648" s="7" t="str">
        <f>IF(ISBLANK(patch[[#This Row],[mergeDate]]), U647, MID(YEAR(patch[[#This Row],[mergeDate]]), 3,2)&amp;"'m"&amp;MONTH(patch[[#This Row],[mergeDate]]))</f>
        <v>16'm9</v>
      </c>
      <c r="V648" s="7" t="str">
        <f>IF(ISBLANK(patch[[#This Row],[project]]), "",SUM(patch[[#This Row],[BJ -1 num]:[SH -1 num]]))</f>
        <v/>
      </c>
      <c r="W648" s="7" t="str">
        <f>IF(ISBLANK(patch[[#This Row],[project]]), "",COUNTIFS($A:$A,patch[[#This Row],[number]],$S:$S, "BJ And dev",$AC:$AC, "Review-1"))</f>
        <v/>
      </c>
      <c r="X648" s="7" t="str">
        <f>IF(ISBLANK(patch[[#This Row],[project]]), "",COUNTIFS($A:$A,patch[[#This Row],[number]],$S:$S, "FL And dev",$AC:$AC, "Review-1"))</f>
        <v/>
      </c>
      <c r="Y648" s="7" t="str">
        <f>IF(ISBLANK(patch[[#This Row],[project]]), "",COUNTIFS($A:$A,patch[[#This Row],[number]],$S:$S, "SH And dev",$AC:$AC, "Review-1"))</f>
        <v/>
      </c>
      <c r="Z648" s="7" t="str">
        <f>IF(ISBLANK(patch[[#This Row],[project]]), "",COUNTIFS($A:$A,patch[[#This Row],[number]],$S:$S, "BJ And dev",$AD:$AD, "&lt;&gt;IntegratorValidationComment"))</f>
        <v/>
      </c>
      <c r="AA648" s="7" t="str">
        <f>IF(ISBLANK(patch[[#This Row],[project]]), "",COUNTIFS($A:$A,patch[[#This Row],[number]],$S:$S, "FL And dev",$AD:$AD, "&lt;&gt;IntegratorValidationComment"))</f>
        <v/>
      </c>
      <c r="AB648" s="7" t="str">
        <f>IF(ISBLANK(patch[[#This Row],[project]]), "",COUNTIFS($A:$A,patch[[#This Row],[number]],$S:$S, "SH And dev",$AD:$AD, "&lt;&gt;IntegratorValidationComment"))</f>
        <v/>
      </c>
      <c r="AC648" s="7" t="str">
        <f>IF(OR(ISNUMBER(FIND("Review-1", patch[[#This Row],[comments]])), ISNUMBER(FIND("Approver-1", patch[[#This Row],[comments]]))), "Review-1", "")</f>
        <v/>
      </c>
      <c r="AD6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48" s="7">
        <f>IF(ISBLANK(patch[[#This Row],[number]]),AE647,patch[[#This Row],[ifCommon]])</f>
        <v>0</v>
      </c>
    </row>
    <row r="649" spans="1:31">
      <c r="A649" s="151">
        <v>147059</v>
      </c>
      <c r="B649" s="151"/>
      <c r="C649" s="151"/>
      <c r="D649" s="151"/>
      <c r="E649" s="151"/>
      <c r="F649" s="151"/>
      <c r="G649" s="151"/>
      <c r="H649" s="151"/>
      <c r="I649" s="152"/>
      <c r="J649" s="152">
        <v>42636.72996527778</v>
      </c>
      <c r="K649" s="151"/>
      <c r="L649" s="151" t="s">
        <v>55</v>
      </c>
      <c r="M649" s="152">
        <v>42635.44699074074</v>
      </c>
      <c r="N649" s="151" t="s">
        <v>1829</v>
      </c>
      <c r="O649" s="151"/>
      <c r="P649" s="151"/>
      <c r="Q649" s="7" t="str">
        <f>IF(ISBLANK(patch[[#This Row],[OwnerEmail]]),Q648,patch[[#This Row],[OwnerEmail]])</f>
        <v>liang.l.yang@intel.com</v>
      </c>
      <c r="R649" s="7" t="str">
        <f>_xlfn.IFNA(VLOOKUP(patch[[#This Row],[tmp-owner.email]],OrgTree!$A:$K, 11, 0), "not ICG SWFW")</f>
        <v>BJ And dev</v>
      </c>
      <c r="S649" s="7" t="str">
        <f>IF(patch[[#This Row],[reviewer]]=patch[[#This Row],[tmp-owner.email]], "author", _xlfn.IFNA(VLOOKUP(patch[[#This Row],[reviewer]],OrgTree!$A:$K, 11, 0), "not ICG SWFW"))</f>
        <v>author</v>
      </c>
      <c r="T649" s="7" t="str">
        <f>IF(ISBLANK(patch[[#This Row],[mergeDate]]), "", MID(YEAR(patch[[#This Row],[mergeDate]]), 3,2)&amp;"'ww"&amp;WEEKNUM(patch[[#This Row],[mergeDate]]))</f>
        <v>16'ww39</v>
      </c>
      <c r="U649" s="7" t="str">
        <f>IF(ISBLANK(patch[[#This Row],[mergeDate]]), U648, MID(YEAR(patch[[#This Row],[mergeDate]]), 3,2)&amp;"'m"&amp;MONTH(patch[[#This Row],[mergeDate]]))</f>
        <v>16'm9</v>
      </c>
      <c r="V649" s="7" t="str">
        <f>IF(ISBLANK(patch[[#This Row],[project]]), "",SUM(patch[[#This Row],[BJ -1 num]:[SH -1 num]]))</f>
        <v/>
      </c>
      <c r="W649" s="7" t="str">
        <f>IF(ISBLANK(patch[[#This Row],[project]]), "",COUNTIFS($A:$A,patch[[#This Row],[number]],$S:$S, "BJ And dev",$AC:$AC, "Review-1"))</f>
        <v/>
      </c>
      <c r="X649" s="7" t="str">
        <f>IF(ISBLANK(patch[[#This Row],[project]]), "",COUNTIFS($A:$A,patch[[#This Row],[number]],$S:$S, "FL And dev",$AC:$AC, "Review-1"))</f>
        <v/>
      </c>
      <c r="Y649" s="7" t="str">
        <f>IF(ISBLANK(patch[[#This Row],[project]]), "",COUNTIFS($A:$A,patch[[#This Row],[number]],$S:$S, "SH And dev",$AC:$AC, "Review-1"))</f>
        <v/>
      </c>
      <c r="Z649" s="7" t="str">
        <f>IF(ISBLANK(patch[[#This Row],[project]]), "",COUNTIFS($A:$A,patch[[#This Row],[number]],$S:$S, "BJ And dev",$AD:$AD, "&lt;&gt;IntegratorValidationComment"))</f>
        <v/>
      </c>
      <c r="AA649" s="7" t="str">
        <f>IF(ISBLANK(patch[[#This Row],[project]]), "",COUNTIFS($A:$A,patch[[#This Row],[number]],$S:$S, "FL And dev",$AD:$AD, "&lt;&gt;IntegratorValidationComment"))</f>
        <v/>
      </c>
      <c r="AB649" s="7" t="str">
        <f>IF(ISBLANK(patch[[#This Row],[project]]), "",COUNTIFS($A:$A,patch[[#This Row],[number]],$S:$S, "SH And dev",$AD:$AD, "&lt;&gt;IntegratorValidationComment"))</f>
        <v/>
      </c>
      <c r="AC649" s="7" t="str">
        <f>IF(OR(ISNUMBER(FIND("Review-1", patch[[#This Row],[comments]])), ISNUMBER(FIND("Approver-1", patch[[#This Row],[comments]]))), "Review-1", "")</f>
        <v/>
      </c>
      <c r="AD6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49" s="7">
        <f>IF(ISBLANK(patch[[#This Row],[number]]),AE648,patch[[#This Row],[ifCommon]])</f>
        <v>0</v>
      </c>
    </row>
    <row r="650" spans="1:31">
      <c r="A650" s="151">
        <v>147059</v>
      </c>
      <c r="B650" s="151"/>
      <c r="C650" s="151"/>
      <c r="D650" s="151"/>
      <c r="E650" s="151"/>
      <c r="F650" s="151"/>
      <c r="G650" s="151"/>
      <c r="H650" s="151"/>
      <c r="I650" s="152"/>
      <c r="J650" s="152">
        <v>42636.72996527778</v>
      </c>
      <c r="K650" s="151"/>
      <c r="L650" s="151" t="s">
        <v>55</v>
      </c>
      <c r="M650" s="152">
        <v>42635.447002314817</v>
      </c>
      <c r="N650" s="151" t="s">
        <v>2450</v>
      </c>
      <c r="O650" s="151"/>
      <c r="P650" s="151"/>
      <c r="Q650" s="7" t="str">
        <f>IF(ISBLANK(patch[[#This Row],[OwnerEmail]]),Q649,patch[[#This Row],[OwnerEmail]])</f>
        <v>liang.l.yang@intel.com</v>
      </c>
      <c r="R650" s="7" t="str">
        <f>_xlfn.IFNA(VLOOKUP(patch[[#This Row],[tmp-owner.email]],OrgTree!$A:$K, 11, 0), "not ICG SWFW")</f>
        <v>BJ And dev</v>
      </c>
      <c r="S650" s="7" t="str">
        <f>IF(patch[[#This Row],[reviewer]]=patch[[#This Row],[tmp-owner.email]], "author", _xlfn.IFNA(VLOOKUP(patch[[#This Row],[reviewer]],OrgTree!$A:$K, 11, 0), "not ICG SWFW"))</f>
        <v>author</v>
      </c>
      <c r="T650" s="7" t="str">
        <f>IF(ISBLANK(patch[[#This Row],[mergeDate]]), "", MID(YEAR(patch[[#This Row],[mergeDate]]), 3,2)&amp;"'ww"&amp;WEEKNUM(patch[[#This Row],[mergeDate]]))</f>
        <v>16'ww39</v>
      </c>
      <c r="U650" s="7" t="str">
        <f>IF(ISBLANK(patch[[#This Row],[mergeDate]]), U649, MID(YEAR(patch[[#This Row],[mergeDate]]), 3,2)&amp;"'m"&amp;MONTH(patch[[#This Row],[mergeDate]]))</f>
        <v>16'm9</v>
      </c>
      <c r="V650" s="7" t="str">
        <f>IF(ISBLANK(patch[[#This Row],[project]]), "",SUM(patch[[#This Row],[BJ -1 num]:[SH -1 num]]))</f>
        <v/>
      </c>
      <c r="W650" s="7" t="str">
        <f>IF(ISBLANK(patch[[#This Row],[project]]), "",COUNTIFS($A:$A,patch[[#This Row],[number]],$S:$S, "BJ And dev",$AC:$AC, "Review-1"))</f>
        <v/>
      </c>
      <c r="X650" s="7" t="str">
        <f>IF(ISBLANK(patch[[#This Row],[project]]), "",COUNTIFS($A:$A,patch[[#This Row],[number]],$S:$S, "FL And dev",$AC:$AC, "Review-1"))</f>
        <v/>
      </c>
      <c r="Y650" s="7" t="str">
        <f>IF(ISBLANK(patch[[#This Row],[project]]), "",COUNTIFS($A:$A,patch[[#This Row],[number]],$S:$S, "SH And dev",$AC:$AC, "Review-1"))</f>
        <v/>
      </c>
      <c r="Z650" s="7" t="str">
        <f>IF(ISBLANK(patch[[#This Row],[project]]), "",COUNTIFS($A:$A,patch[[#This Row],[number]],$S:$S, "BJ And dev",$AD:$AD, "&lt;&gt;IntegratorValidationComment"))</f>
        <v/>
      </c>
      <c r="AA650" s="7" t="str">
        <f>IF(ISBLANK(patch[[#This Row],[project]]), "",COUNTIFS($A:$A,patch[[#This Row],[number]],$S:$S, "FL And dev",$AD:$AD, "&lt;&gt;IntegratorValidationComment"))</f>
        <v/>
      </c>
      <c r="AB650" s="7" t="str">
        <f>IF(ISBLANK(patch[[#This Row],[project]]), "",COUNTIFS($A:$A,patch[[#This Row],[number]],$S:$S, "SH And dev",$AD:$AD, "&lt;&gt;IntegratorValidationComment"))</f>
        <v/>
      </c>
      <c r="AC650" s="7" t="str">
        <f>IF(OR(ISNUMBER(FIND("Review-1", patch[[#This Row],[comments]])), ISNUMBER(FIND("Approver-1", patch[[#This Row],[comments]]))), "Review-1", "")</f>
        <v/>
      </c>
      <c r="AD6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50" s="7">
        <f>IF(ISBLANK(patch[[#This Row],[number]]),AE649,patch[[#This Row],[ifCommon]])</f>
        <v>0</v>
      </c>
    </row>
    <row r="651" spans="1:31">
      <c r="A651" s="151">
        <v>147059</v>
      </c>
      <c r="B651" s="151"/>
      <c r="C651" s="151"/>
      <c r="D651" s="151"/>
      <c r="E651" s="151"/>
      <c r="F651" s="151"/>
      <c r="G651" s="151"/>
      <c r="H651" s="151"/>
      <c r="I651" s="151"/>
      <c r="J651" s="152">
        <v>42636.72996527778</v>
      </c>
      <c r="K651" s="151"/>
      <c r="L651" s="151" t="s">
        <v>55</v>
      </c>
      <c r="M651" s="152">
        <v>42635.448750000003</v>
      </c>
      <c r="N651" s="151" t="s">
        <v>48</v>
      </c>
      <c r="O651" s="151"/>
      <c r="P651" s="151"/>
      <c r="Q651" s="7" t="str">
        <f>IF(ISBLANK(patch[[#This Row],[OwnerEmail]]),Q650,patch[[#This Row],[OwnerEmail]])</f>
        <v>liang.l.yang@intel.com</v>
      </c>
      <c r="R651" s="7" t="str">
        <f>_xlfn.IFNA(VLOOKUP(patch[[#This Row],[tmp-owner.email]],OrgTree!$A:$K, 11, 0), "not ICG SWFW")</f>
        <v>BJ And dev</v>
      </c>
      <c r="S651" s="7" t="str">
        <f>IF(patch[[#This Row],[reviewer]]=patch[[#This Row],[tmp-owner.email]], "author", _xlfn.IFNA(VLOOKUP(patch[[#This Row],[reviewer]],OrgTree!$A:$K, 11, 0), "not ICG SWFW"))</f>
        <v>author</v>
      </c>
      <c r="T651" s="7" t="str">
        <f>IF(ISBLANK(patch[[#This Row],[mergeDate]]), "", MID(YEAR(patch[[#This Row],[mergeDate]]), 3,2)&amp;"'ww"&amp;WEEKNUM(patch[[#This Row],[mergeDate]]))</f>
        <v>16'ww39</v>
      </c>
      <c r="U651" s="7" t="str">
        <f>IF(ISBLANK(patch[[#This Row],[mergeDate]]), U650, MID(YEAR(patch[[#This Row],[mergeDate]]), 3,2)&amp;"'m"&amp;MONTH(patch[[#This Row],[mergeDate]]))</f>
        <v>16'm9</v>
      </c>
      <c r="V651" s="7" t="str">
        <f>IF(ISBLANK(patch[[#This Row],[project]]), "",SUM(patch[[#This Row],[BJ -1 num]:[SH -1 num]]))</f>
        <v/>
      </c>
      <c r="W651" s="7" t="str">
        <f>IF(ISBLANK(patch[[#This Row],[project]]), "",COUNTIFS($A:$A,patch[[#This Row],[number]],$S:$S, "BJ And dev",$AC:$AC, "Review-1"))</f>
        <v/>
      </c>
      <c r="X651" s="7" t="str">
        <f>IF(ISBLANK(patch[[#This Row],[project]]), "",COUNTIFS($A:$A,patch[[#This Row],[number]],$S:$S, "FL And dev",$AC:$AC, "Review-1"))</f>
        <v/>
      </c>
      <c r="Y651" s="7" t="str">
        <f>IF(ISBLANK(patch[[#This Row],[project]]), "",COUNTIFS($A:$A,patch[[#This Row],[number]],$S:$S, "SH And dev",$AC:$AC, "Review-1"))</f>
        <v/>
      </c>
      <c r="Z651" s="7" t="str">
        <f>IF(ISBLANK(patch[[#This Row],[project]]), "",COUNTIFS($A:$A,patch[[#This Row],[number]],$S:$S, "BJ And dev",$AD:$AD, "&lt;&gt;IntegratorValidationComment"))</f>
        <v/>
      </c>
      <c r="AA651" s="7" t="str">
        <f>IF(ISBLANK(patch[[#This Row],[project]]), "",COUNTIFS($A:$A,patch[[#This Row],[number]],$S:$S, "FL And dev",$AD:$AD, "&lt;&gt;IntegratorValidationComment"))</f>
        <v/>
      </c>
      <c r="AB651" s="7" t="str">
        <f>IF(ISBLANK(patch[[#This Row],[project]]), "",COUNTIFS($A:$A,patch[[#This Row],[number]],$S:$S, "SH And dev",$AD:$AD, "&lt;&gt;IntegratorValidationComment"))</f>
        <v/>
      </c>
      <c r="AC651" s="7" t="str">
        <f>IF(OR(ISNUMBER(FIND("Review-1", patch[[#This Row],[comments]])), ISNUMBER(FIND("Approver-1", patch[[#This Row],[comments]]))), "Review-1", "")</f>
        <v/>
      </c>
      <c r="AD6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51" s="7">
        <f>IF(ISBLANK(patch[[#This Row],[number]]),AE650,patch[[#This Row],[ifCommon]])</f>
        <v>0</v>
      </c>
    </row>
    <row r="652" spans="1:31">
      <c r="A652" s="151">
        <v>147059</v>
      </c>
      <c r="B652" s="151"/>
      <c r="C652" s="151"/>
      <c r="D652" s="151"/>
      <c r="E652" s="151"/>
      <c r="F652" s="151"/>
      <c r="G652" s="151"/>
      <c r="H652" s="151"/>
      <c r="I652" s="151"/>
      <c r="J652" s="152">
        <v>42636.72996527778</v>
      </c>
      <c r="K652" s="151"/>
      <c r="L652" s="151" t="s">
        <v>59</v>
      </c>
      <c r="M652" s="152">
        <v>42635.451909722222</v>
      </c>
      <c r="N652" s="151" t="s">
        <v>2929</v>
      </c>
      <c r="O652" s="151"/>
      <c r="P652" s="151"/>
      <c r="Q652" s="7" t="str">
        <f>IF(ISBLANK(patch[[#This Row],[OwnerEmail]]),Q651,patch[[#This Row],[OwnerEmail]])</f>
        <v>liang.l.yang@intel.com</v>
      </c>
      <c r="R652" s="7" t="str">
        <f>_xlfn.IFNA(VLOOKUP(patch[[#This Row],[tmp-owner.email]],OrgTree!$A:$K, 11, 0), "not ICG SWFW")</f>
        <v>BJ And dev</v>
      </c>
      <c r="S652" s="7" t="str">
        <f>IF(patch[[#This Row],[reviewer]]=patch[[#This Row],[tmp-owner.email]], "author", _xlfn.IFNA(VLOOKUP(patch[[#This Row],[reviewer]],OrgTree!$A:$K, 11, 0), "not ICG SWFW"))</f>
        <v>BJ And dev</v>
      </c>
      <c r="T652" s="7" t="str">
        <f>IF(ISBLANK(patch[[#This Row],[mergeDate]]), "", MID(YEAR(patch[[#This Row],[mergeDate]]), 3,2)&amp;"'ww"&amp;WEEKNUM(patch[[#This Row],[mergeDate]]))</f>
        <v>16'ww39</v>
      </c>
      <c r="U652" s="7" t="str">
        <f>IF(ISBLANK(patch[[#This Row],[mergeDate]]), U651, MID(YEAR(patch[[#This Row],[mergeDate]]), 3,2)&amp;"'m"&amp;MONTH(patch[[#This Row],[mergeDate]]))</f>
        <v>16'm9</v>
      </c>
      <c r="V652" s="7" t="str">
        <f>IF(ISBLANK(patch[[#This Row],[project]]), "",SUM(patch[[#This Row],[BJ -1 num]:[SH -1 num]]))</f>
        <v/>
      </c>
      <c r="W652" s="7" t="str">
        <f>IF(ISBLANK(patch[[#This Row],[project]]), "",COUNTIFS($A:$A,patch[[#This Row],[number]],$S:$S, "BJ And dev",$AC:$AC, "Review-1"))</f>
        <v/>
      </c>
      <c r="X652" s="7" t="str">
        <f>IF(ISBLANK(patch[[#This Row],[project]]), "",COUNTIFS($A:$A,patch[[#This Row],[number]],$S:$S, "FL And dev",$AC:$AC, "Review-1"))</f>
        <v/>
      </c>
      <c r="Y652" s="7" t="str">
        <f>IF(ISBLANK(patch[[#This Row],[project]]), "",COUNTIFS($A:$A,patch[[#This Row],[number]],$S:$S, "SH And dev",$AC:$AC, "Review-1"))</f>
        <v/>
      </c>
      <c r="Z652" s="7" t="str">
        <f>IF(ISBLANK(patch[[#This Row],[project]]), "",COUNTIFS($A:$A,patch[[#This Row],[number]],$S:$S, "BJ And dev",$AD:$AD, "&lt;&gt;IntegratorValidationComment"))</f>
        <v/>
      </c>
      <c r="AA652" s="7" t="str">
        <f>IF(ISBLANK(patch[[#This Row],[project]]), "",COUNTIFS($A:$A,patch[[#This Row],[number]],$S:$S, "FL And dev",$AD:$AD, "&lt;&gt;IntegratorValidationComment"))</f>
        <v/>
      </c>
      <c r="AB652" s="7" t="str">
        <f>IF(ISBLANK(patch[[#This Row],[project]]), "",COUNTIFS($A:$A,patch[[#This Row],[number]],$S:$S, "SH And dev",$AD:$AD, "&lt;&gt;IntegratorValidationComment"))</f>
        <v/>
      </c>
      <c r="AC652" s="7" t="str">
        <f>IF(OR(ISNUMBER(FIND("Review-1", patch[[#This Row],[comments]])), ISNUMBER(FIND("Approver-1", patch[[#This Row],[comments]]))), "Review-1", "")</f>
        <v/>
      </c>
      <c r="AD6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52" s="7">
        <f>IF(ISBLANK(patch[[#This Row],[number]]),AE651,patch[[#This Row],[ifCommon]])</f>
        <v>0</v>
      </c>
    </row>
    <row r="653" spans="1:31">
      <c r="A653" s="151">
        <v>147059</v>
      </c>
      <c r="B653" s="151"/>
      <c r="C653" s="151"/>
      <c r="D653" s="151"/>
      <c r="E653" s="151"/>
      <c r="F653" s="151"/>
      <c r="G653" s="151"/>
      <c r="H653" s="151"/>
      <c r="I653" s="151"/>
      <c r="J653" s="152">
        <v>42636.72996527778</v>
      </c>
      <c r="K653" s="151"/>
      <c r="L653" s="151" t="s">
        <v>59</v>
      </c>
      <c r="M653" s="152">
        <v>42635.453298611108</v>
      </c>
      <c r="N653" s="151" t="s">
        <v>48</v>
      </c>
      <c r="O653" s="151"/>
      <c r="P653" s="151"/>
      <c r="Q653" s="7" t="str">
        <f>IF(ISBLANK(patch[[#This Row],[OwnerEmail]]),Q652,patch[[#This Row],[OwnerEmail]])</f>
        <v>liang.l.yang@intel.com</v>
      </c>
      <c r="R653" s="7" t="str">
        <f>_xlfn.IFNA(VLOOKUP(patch[[#This Row],[tmp-owner.email]],OrgTree!$A:$K, 11, 0), "not ICG SWFW")</f>
        <v>BJ And dev</v>
      </c>
      <c r="S653" s="7" t="str">
        <f>IF(patch[[#This Row],[reviewer]]=patch[[#This Row],[tmp-owner.email]], "author", _xlfn.IFNA(VLOOKUP(patch[[#This Row],[reviewer]],OrgTree!$A:$K, 11, 0), "not ICG SWFW"))</f>
        <v>BJ And dev</v>
      </c>
      <c r="T653" s="7" t="str">
        <f>IF(ISBLANK(patch[[#This Row],[mergeDate]]), "", MID(YEAR(patch[[#This Row],[mergeDate]]), 3,2)&amp;"'ww"&amp;WEEKNUM(patch[[#This Row],[mergeDate]]))</f>
        <v>16'ww39</v>
      </c>
      <c r="U653" s="7" t="str">
        <f>IF(ISBLANK(patch[[#This Row],[mergeDate]]), U652, MID(YEAR(patch[[#This Row],[mergeDate]]), 3,2)&amp;"'m"&amp;MONTH(patch[[#This Row],[mergeDate]]))</f>
        <v>16'm9</v>
      </c>
      <c r="V653" s="7" t="str">
        <f>IF(ISBLANK(patch[[#This Row],[project]]), "",SUM(patch[[#This Row],[BJ -1 num]:[SH -1 num]]))</f>
        <v/>
      </c>
      <c r="W653" s="7" t="str">
        <f>IF(ISBLANK(patch[[#This Row],[project]]), "",COUNTIFS($A:$A,patch[[#This Row],[number]],$S:$S, "BJ And dev",$AC:$AC, "Review-1"))</f>
        <v/>
      </c>
      <c r="X653" s="7" t="str">
        <f>IF(ISBLANK(patch[[#This Row],[project]]), "",COUNTIFS($A:$A,patch[[#This Row],[number]],$S:$S, "FL And dev",$AC:$AC, "Review-1"))</f>
        <v/>
      </c>
      <c r="Y653" s="7" t="str">
        <f>IF(ISBLANK(patch[[#This Row],[project]]), "",COUNTIFS($A:$A,patch[[#This Row],[number]],$S:$S, "SH And dev",$AC:$AC, "Review-1"))</f>
        <v/>
      </c>
      <c r="Z653" s="7" t="str">
        <f>IF(ISBLANK(patch[[#This Row],[project]]), "",COUNTIFS($A:$A,patch[[#This Row],[number]],$S:$S, "BJ And dev",$AD:$AD, "&lt;&gt;IntegratorValidationComment"))</f>
        <v/>
      </c>
      <c r="AA653" s="7" t="str">
        <f>IF(ISBLANK(patch[[#This Row],[project]]), "",COUNTIFS($A:$A,patch[[#This Row],[number]],$S:$S, "FL And dev",$AD:$AD, "&lt;&gt;IntegratorValidationComment"))</f>
        <v/>
      </c>
      <c r="AB653" s="7" t="str">
        <f>IF(ISBLANK(patch[[#This Row],[project]]), "",COUNTIFS($A:$A,patch[[#This Row],[number]],$S:$S, "SH And dev",$AD:$AD, "&lt;&gt;IntegratorValidationComment"))</f>
        <v/>
      </c>
      <c r="AC653" s="7" t="str">
        <f>IF(OR(ISNUMBER(FIND("Review-1", patch[[#This Row],[comments]])), ISNUMBER(FIND("Approver-1", patch[[#This Row],[comments]]))), "Review-1", "")</f>
        <v/>
      </c>
      <c r="AD6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53" s="7">
        <f>IF(ISBLANK(patch[[#This Row],[number]]),AE652,patch[[#This Row],[ifCommon]])</f>
        <v>0</v>
      </c>
    </row>
    <row r="654" spans="1:31">
      <c r="A654" s="151">
        <v>147059</v>
      </c>
      <c r="B654" s="151"/>
      <c r="C654" s="151"/>
      <c r="D654" s="151"/>
      <c r="E654" s="151"/>
      <c r="F654" s="151"/>
      <c r="G654" s="151"/>
      <c r="H654" s="151"/>
      <c r="I654" s="151"/>
      <c r="J654" s="152">
        <v>42636.72996527778</v>
      </c>
      <c r="K654" s="151"/>
      <c r="L654" s="151" t="s">
        <v>59</v>
      </c>
      <c r="M654" s="152">
        <v>42635.453784722216</v>
      </c>
      <c r="N654" s="151" t="s">
        <v>2930</v>
      </c>
      <c r="O654" s="151"/>
      <c r="P654" s="151"/>
      <c r="Q654" s="7" t="str">
        <f>IF(ISBLANK(patch[[#This Row],[OwnerEmail]]),Q653,patch[[#This Row],[OwnerEmail]])</f>
        <v>liang.l.yang@intel.com</v>
      </c>
      <c r="R654" s="7" t="str">
        <f>_xlfn.IFNA(VLOOKUP(patch[[#This Row],[tmp-owner.email]],OrgTree!$A:$K, 11, 0), "not ICG SWFW")</f>
        <v>BJ And dev</v>
      </c>
      <c r="S654" s="7" t="str">
        <f>IF(patch[[#This Row],[reviewer]]=patch[[#This Row],[tmp-owner.email]], "author", _xlfn.IFNA(VLOOKUP(patch[[#This Row],[reviewer]],OrgTree!$A:$K, 11, 0), "not ICG SWFW"))</f>
        <v>BJ And dev</v>
      </c>
      <c r="T654" s="7" t="str">
        <f>IF(ISBLANK(patch[[#This Row],[mergeDate]]), "", MID(YEAR(patch[[#This Row],[mergeDate]]), 3,2)&amp;"'ww"&amp;WEEKNUM(patch[[#This Row],[mergeDate]]))</f>
        <v>16'ww39</v>
      </c>
      <c r="U654" s="7" t="str">
        <f>IF(ISBLANK(patch[[#This Row],[mergeDate]]), U653, MID(YEAR(patch[[#This Row],[mergeDate]]), 3,2)&amp;"'m"&amp;MONTH(patch[[#This Row],[mergeDate]]))</f>
        <v>16'm9</v>
      </c>
      <c r="V654" s="7" t="str">
        <f>IF(ISBLANK(patch[[#This Row],[project]]), "",SUM(patch[[#This Row],[BJ -1 num]:[SH -1 num]]))</f>
        <v/>
      </c>
      <c r="W654" s="7" t="str">
        <f>IF(ISBLANK(patch[[#This Row],[project]]), "",COUNTIFS($A:$A,patch[[#This Row],[number]],$S:$S, "BJ And dev",$AC:$AC, "Review-1"))</f>
        <v/>
      </c>
      <c r="X654" s="7" t="str">
        <f>IF(ISBLANK(patch[[#This Row],[project]]), "",COUNTIFS($A:$A,patch[[#This Row],[number]],$S:$S, "FL And dev",$AC:$AC, "Review-1"))</f>
        <v/>
      </c>
      <c r="Y654" s="7" t="str">
        <f>IF(ISBLANK(patch[[#This Row],[project]]), "",COUNTIFS($A:$A,patch[[#This Row],[number]],$S:$S, "SH And dev",$AC:$AC, "Review-1"))</f>
        <v/>
      </c>
      <c r="Z654" s="7" t="str">
        <f>IF(ISBLANK(patch[[#This Row],[project]]), "",COUNTIFS($A:$A,patch[[#This Row],[number]],$S:$S, "BJ And dev",$AD:$AD, "&lt;&gt;IntegratorValidationComment"))</f>
        <v/>
      </c>
      <c r="AA654" s="7" t="str">
        <f>IF(ISBLANK(patch[[#This Row],[project]]), "",COUNTIFS($A:$A,patch[[#This Row],[number]],$S:$S, "FL And dev",$AD:$AD, "&lt;&gt;IntegratorValidationComment"))</f>
        <v/>
      </c>
      <c r="AB654" s="7" t="str">
        <f>IF(ISBLANK(patch[[#This Row],[project]]), "",COUNTIFS($A:$A,patch[[#This Row],[number]],$S:$S, "SH And dev",$AD:$AD, "&lt;&gt;IntegratorValidationComment"))</f>
        <v/>
      </c>
      <c r="AC654" s="7" t="str">
        <f>IF(OR(ISNUMBER(FIND("Review-1", patch[[#This Row],[comments]])), ISNUMBER(FIND("Approver-1", patch[[#This Row],[comments]]))), "Review-1", "")</f>
        <v/>
      </c>
      <c r="AD6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54" s="7">
        <f>IF(ISBLANK(patch[[#This Row],[number]]),AE653,patch[[#This Row],[ifCommon]])</f>
        <v>0</v>
      </c>
    </row>
    <row r="655" spans="1:31">
      <c r="A655" s="151">
        <v>147059</v>
      </c>
      <c r="B655" s="151"/>
      <c r="C655" s="151"/>
      <c r="D655" s="151"/>
      <c r="E655" s="151"/>
      <c r="F655" s="151"/>
      <c r="G655" s="151"/>
      <c r="H655" s="151"/>
      <c r="I655" s="151"/>
      <c r="J655" s="152">
        <v>42636.72996527778</v>
      </c>
      <c r="K655" s="151"/>
      <c r="L655" s="151" t="s">
        <v>59</v>
      </c>
      <c r="M655" s="152">
        <v>42635.459398148138</v>
      </c>
      <c r="N655" s="151" t="s">
        <v>2931</v>
      </c>
      <c r="O655" s="151"/>
      <c r="P655" s="151"/>
      <c r="Q655" s="7" t="str">
        <f>IF(ISBLANK(patch[[#This Row],[OwnerEmail]]),Q654,patch[[#This Row],[OwnerEmail]])</f>
        <v>liang.l.yang@intel.com</v>
      </c>
      <c r="R655" s="7" t="str">
        <f>_xlfn.IFNA(VLOOKUP(patch[[#This Row],[tmp-owner.email]],OrgTree!$A:$K, 11, 0), "not ICG SWFW")</f>
        <v>BJ And dev</v>
      </c>
      <c r="S655" s="7" t="str">
        <f>IF(patch[[#This Row],[reviewer]]=patch[[#This Row],[tmp-owner.email]], "author", _xlfn.IFNA(VLOOKUP(patch[[#This Row],[reviewer]],OrgTree!$A:$K, 11, 0), "not ICG SWFW"))</f>
        <v>BJ And dev</v>
      </c>
      <c r="T655" s="7" t="str">
        <f>IF(ISBLANK(patch[[#This Row],[mergeDate]]), "", MID(YEAR(patch[[#This Row],[mergeDate]]), 3,2)&amp;"'ww"&amp;WEEKNUM(patch[[#This Row],[mergeDate]]))</f>
        <v>16'ww39</v>
      </c>
      <c r="U655" s="7" t="str">
        <f>IF(ISBLANK(patch[[#This Row],[mergeDate]]), U654, MID(YEAR(patch[[#This Row],[mergeDate]]), 3,2)&amp;"'m"&amp;MONTH(patch[[#This Row],[mergeDate]]))</f>
        <v>16'm9</v>
      </c>
      <c r="V655" s="7" t="str">
        <f>IF(ISBLANK(patch[[#This Row],[project]]), "",SUM(patch[[#This Row],[BJ -1 num]:[SH -1 num]]))</f>
        <v/>
      </c>
      <c r="W655" s="7" t="str">
        <f>IF(ISBLANK(patch[[#This Row],[project]]), "",COUNTIFS($A:$A,patch[[#This Row],[number]],$S:$S, "BJ And dev",$AC:$AC, "Review-1"))</f>
        <v/>
      </c>
      <c r="X655" s="7" t="str">
        <f>IF(ISBLANK(patch[[#This Row],[project]]), "",COUNTIFS($A:$A,patch[[#This Row],[number]],$S:$S, "FL And dev",$AC:$AC, "Review-1"))</f>
        <v/>
      </c>
      <c r="Y655" s="7" t="str">
        <f>IF(ISBLANK(patch[[#This Row],[project]]), "",COUNTIFS($A:$A,patch[[#This Row],[number]],$S:$S, "SH And dev",$AC:$AC, "Review-1"))</f>
        <v/>
      </c>
      <c r="Z655" s="7" t="str">
        <f>IF(ISBLANK(patch[[#This Row],[project]]), "",COUNTIFS($A:$A,patch[[#This Row],[number]],$S:$S, "BJ And dev",$AD:$AD, "&lt;&gt;IntegratorValidationComment"))</f>
        <v/>
      </c>
      <c r="AA655" s="7" t="str">
        <f>IF(ISBLANK(patch[[#This Row],[project]]), "",COUNTIFS($A:$A,patch[[#This Row],[number]],$S:$S, "FL And dev",$AD:$AD, "&lt;&gt;IntegratorValidationComment"))</f>
        <v/>
      </c>
      <c r="AB655" s="7" t="str">
        <f>IF(ISBLANK(patch[[#This Row],[project]]), "",COUNTIFS($A:$A,patch[[#This Row],[number]],$S:$S, "SH And dev",$AD:$AD, "&lt;&gt;IntegratorValidationComment"))</f>
        <v/>
      </c>
      <c r="AC655" s="7" t="str">
        <f>IF(OR(ISNUMBER(FIND("Review-1", patch[[#This Row],[comments]])), ISNUMBER(FIND("Approver-1", patch[[#This Row],[comments]]))), "Review-1", "")</f>
        <v/>
      </c>
      <c r="AD6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55" s="7">
        <f>IF(ISBLANK(patch[[#This Row],[number]]),AE654,patch[[#This Row],[ifCommon]])</f>
        <v>0</v>
      </c>
    </row>
    <row r="656" spans="1:31">
      <c r="A656" s="151">
        <v>147059</v>
      </c>
      <c r="B656" s="151"/>
      <c r="C656" s="151"/>
      <c r="D656" s="151"/>
      <c r="E656" s="151"/>
      <c r="F656" s="151"/>
      <c r="G656" s="151"/>
      <c r="H656" s="151"/>
      <c r="I656" s="151"/>
      <c r="J656" s="152">
        <v>42636.72996527778</v>
      </c>
      <c r="K656" s="151"/>
      <c r="L656" s="151" t="s">
        <v>59</v>
      </c>
      <c r="M656" s="152">
        <v>42635.462592592587</v>
      </c>
      <c r="N656" s="151" t="s">
        <v>2932</v>
      </c>
      <c r="O656" s="151"/>
      <c r="P656" s="151"/>
      <c r="Q656" s="7" t="str">
        <f>IF(ISBLANK(patch[[#This Row],[OwnerEmail]]),Q655,patch[[#This Row],[OwnerEmail]])</f>
        <v>liang.l.yang@intel.com</v>
      </c>
      <c r="R656" s="7" t="str">
        <f>_xlfn.IFNA(VLOOKUP(patch[[#This Row],[tmp-owner.email]],OrgTree!$A:$K, 11, 0), "not ICG SWFW")</f>
        <v>BJ And dev</v>
      </c>
      <c r="S656" s="7" t="str">
        <f>IF(patch[[#This Row],[reviewer]]=patch[[#This Row],[tmp-owner.email]], "author", _xlfn.IFNA(VLOOKUP(patch[[#This Row],[reviewer]],OrgTree!$A:$K, 11, 0), "not ICG SWFW"))</f>
        <v>BJ And dev</v>
      </c>
      <c r="T656" s="7" t="str">
        <f>IF(ISBLANK(patch[[#This Row],[mergeDate]]), "", MID(YEAR(patch[[#This Row],[mergeDate]]), 3,2)&amp;"'ww"&amp;WEEKNUM(patch[[#This Row],[mergeDate]]))</f>
        <v>16'ww39</v>
      </c>
      <c r="U656" s="7" t="str">
        <f>IF(ISBLANK(patch[[#This Row],[mergeDate]]), U655, MID(YEAR(patch[[#This Row],[mergeDate]]), 3,2)&amp;"'m"&amp;MONTH(patch[[#This Row],[mergeDate]]))</f>
        <v>16'm9</v>
      </c>
      <c r="V656" s="7" t="str">
        <f>IF(ISBLANK(patch[[#This Row],[project]]), "",SUM(patch[[#This Row],[BJ -1 num]:[SH -1 num]]))</f>
        <v/>
      </c>
      <c r="W656" s="7" t="str">
        <f>IF(ISBLANK(patch[[#This Row],[project]]), "",COUNTIFS($A:$A,patch[[#This Row],[number]],$S:$S, "BJ And dev",$AC:$AC, "Review-1"))</f>
        <v/>
      </c>
      <c r="X656" s="7" t="str">
        <f>IF(ISBLANK(patch[[#This Row],[project]]), "",COUNTIFS($A:$A,patch[[#This Row],[number]],$S:$S, "FL And dev",$AC:$AC, "Review-1"))</f>
        <v/>
      </c>
      <c r="Y656" s="7" t="str">
        <f>IF(ISBLANK(patch[[#This Row],[project]]), "",COUNTIFS($A:$A,patch[[#This Row],[number]],$S:$S, "SH And dev",$AC:$AC, "Review-1"))</f>
        <v/>
      </c>
      <c r="Z656" s="7" t="str">
        <f>IF(ISBLANK(patch[[#This Row],[project]]), "",COUNTIFS($A:$A,patch[[#This Row],[number]],$S:$S, "BJ And dev",$AD:$AD, "&lt;&gt;IntegratorValidationComment"))</f>
        <v/>
      </c>
      <c r="AA656" s="7" t="str">
        <f>IF(ISBLANK(patch[[#This Row],[project]]), "",COUNTIFS($A:$A,patch[[#This Row],[number]],$S:$S, "FL And dev",$AD:$AD, "&lt;&gt;IntegratorValidationComment"))</f>
        <v/>
      </c>
      <c r="AB656" s="7" t="str">
        <f>IF(ISBLANK(patch[[#This Row],[project]]), "",COUNTIFS($A:$A,patch[[#This Row],[number]],$S:$S, "SH And dev",$AD:$AD, "&lt;&gt;IntegratorValidationComment"))</f>
        <v/>
      </c>
      <c r="AC656" s="7" t="str">
        <f>IF(OR(ISNUMBER(FIND("Review-1", patch[[#This Row],[comments]])), ISNUMBER(FIND("Approver-1", patch[[#This Row],[comments]]))), "Review-1", "")</f>
        <v/>
      </c>
      <c r="AD6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56" s="7">
        <f>IF(ISBLANK(patch[[#This Row],[number]]),AE655,patch[[#This Row],[ifCommon]])</f>
        <v>0</v>
      </c>
    </row>
    <row r="657" spans="1:31">
      <c r="A657" s="151">
        <v>147059</v>
      </c>
      <c r="B657" s="151"/>
      <c r="C657" s="151"/>
      <c r="D657" s="151"/>
      <c r="E657" s="151"/>
      <c r="F657" s="151"/>
      <c r="G657" s="151"/>
      <c r="H657" s="151"/>
      <c r="I657" s="151"/>
      <c r="J657" s="152">
        <v>42636.72996527778</v>
      </c>
      <c r="K657" s="151"/>
      <c r="L657" s="151" t="s">
        <v>32</v>
      </c>
      <c r="M657" s="152">
        <v>42635.469085648147</v>
      </c>
      <c r="N657" s="151" t="s">
        <v>1831</v>
      </c>
      <c r="O657" s="151"/>
      <c r="P657" s="151"/>
      <c r="Q657" s="7" t="str">
        <f>IF(ISBLANK(patch[[#This Row],[OwnerEmail]]),Q656,patch[[#This Row],[OwnerEmail]])</f>
        <v>liang.l.yang@intel.com</v>
      </c>
      <c r="R657" s="7" t="str">
        <f>_xlfn.IFNA(VLOOKUP(patch[[#This Row],[tmp-owner.email]],OrgTree!$A:$K, 11, 0), "not ICG SWFW")</f>
        <v>BJ And dev</v>
      </c>
      <c r="S657" s="7" t="str">
        <f>IF(patch[[#This Row],[reviewer]]=patch[[#This Row],[tmp-owner.email]], "author", _xlfn.IFNA(VLOOKUP(patch[[#This Row],[reviewer]],OrgTree!$A:$K, 11, 0), "not ICG SWFW"))</f>
        <v>BJ And dev</v>
      </c>
      <c r="T657" s="7" t="str">
        <f>IF(ISBLANK(patch[[#This Row],[mergeDate]]), "", MID(YEAR(patch[[#This Row],[mergeDate]]), 3,2)&amp;"'ww"&amp;WEEKNUM(patch[[#This Row],[mergeDate]]))</f>
        <v>16'ww39</v>
      </c>
      <c r="U657" s="7" t="str">
        <f>IF(ISBLANK(patch[[#This Row],[mergeDate]]), U656, MID(YEAR(patch[[#This Row],[mergeDate]]), 3,2)&amp;"'m"&amp;MONTH(patch[[#This Row],[mergeDate]]))</f>
        <v>16'm9</v>
      </c>
      <c r="V657" s="7" t="str">
        <f>IF(ISBLANK(patch[[#This Row],[project]]), "",SUM(patch[[#This Row],[BJ -1 num]:[SH -1 num]]))</f>
        <v/>
      </c>
      <c r="W657" s="7" t="str">
        <f>IF(ISBLANK(patch[[#This Row],[project]]), "",COUNTIFS($A:$A,patch[[#This Row],[number]],$S:$S, "BJ And dev",$AC:$AC, "Review-1"))</f>
        <v/>
      </c>
      <c r="X657" s="7" t="str">
        <f>IF(ISBLANK(patch[[#This Row],[project]]), "",COUNTIFS($A:$A,patch[[#This Row],[number]],$S:$S, "FL And dev",$AC:$AC, "Review-1"))</f>
        <v/>
      </c>
      <c r="Y657" s="7" t="str">
        <f>IF(ISBLANK(patch[[#This Row],[project]]), "",COUNTIFS($A:$A,patch[[#This Row],[number]],$S:$S, "SH And dev",$AC:$AC, "Review-1"))</f>
        <v/>
      </c>
      <c r="Z657" s="7" t="str">
        <f>IF(ISBLANK(patch[[#This Row],[project]]), "",COUNTIFS($A:$A,patch[[#This Row],[number]],$S:$S, "BJ And dev",$AD:$AD, "&lt;&gt;IntegratorValidationComment"))</f>
        <v/>
      </c>
      <c r="AA657" s="7" t="str">
        <f>IF(ISBLANK(patch[[#This Row],[project]]), "",COUNTIFS($A:$A,patch[[#This Row],[number]],$S:$S, "FL And dev",$AD:$AD, "&lt;&gt;IntegratorValidationComment"))</f>
        <v/>
      </c>
      <c r="AB657" s="7" t="str">
        <f>IF(ISBLANK(patch[[#This Row],[project]]), "",COUNTIFS($A:$A,patch[[#This Row],[number]],$S:$S, "SH And dev",$AD:$AD, "&lt;&gt;IntegratorValidationComment"))</f>
        <v/>
      </c>
      <c r="AC657" s="7" t="str">
        <f>IF(OR(ISNUMBER(FIND("Review-1", patch[[#This Row],[comments]])), ISNUMBER(FIND("Approver-1", patch[[#This Row],[comments]]))), "Review-1", "")</f>
        <v/>
      </c>
      <c r="AD6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57" s="7">
        <f>IF(ISBLANK(patch[[#This Row],[number]]),AE656,patch[[#This Row],[ifCommon]])</f>
        <v>0</v>
      </c>
    </row>
    <row r="658" spans="1:31">
      <c r="A658" s="151">
        <v>147059</v>
      </c>
      <c r="B658" s="151"/>
      <c r="C658" s="151"/>
      <c r="D658" s="151"/>
      <c r="E658" s="151"/>
      <c r="F658" s="151"/>
      <c r="G658" s="151"/>
      <c r="H658" s="151"/>
      <c r="I658" s="152"/>
      <c r="J658" s="152">
        <v>42636.72996527778</v>
      </c>
      <c r="K658" s="151"/>
      <c r="L658" s="151" t="s">
        <v>59</v>
      </c>
      <c r="M658" s="152">
        <v>42635.601539351846</v>
      </c>
      <c r="N658" s="151" t="s">
        <v>2933</v>
      </c>
      <c r="O658" s="151"/>
      <c r="P658" s="151"/>
      <c r="Q658" s="7" t="str">
        <f>IF(ISBLANK(patch[[#This Row],[OwnerEmail]]),Q657,patch[[#This Row],[OwnerEmail]])</f>
        <v>liang.l.yang@intel.com</v>
      </c>
      <c r="R658" s="7" t="str">
        <f>_xlfn.IFNA(VLOOKUP(patch[[#This Row],[tmp-owner.email]],OrgTree!$A:$K, 11, 0), "not ICG SWFW")</f>
        <v>BJ And dev</v>
      </c>
      <c r="S658" s="7" t="str">
        <f>IF(patch[[#This Row],[reviewer]]=patch[[#This Row],[tmp-owner.email]], "author", _xlfn.IFNA(VLOOKUP(patch[[#This Row],[reviewer]],OrgTree!$A:$K, 11, 0), "not ICG SWFW"))</f>
        <v>BJ And dev</v>
      </c>
      <c r="T658" s="7" t="str">
        <f>IF(ISBLANK(patch[[#This Row],[mergeDate]]), "", MID(YEAR(patch[[#This Row],[mergeDate]]), 3,2)&amp;"'ww"&amp;WEEKNUM(patch[[#This Row],[mergeDate]]))</f>
        <v>16'ww39</v>
      </c>
      <c r="U658" s="7" t="str">
        <f>IF(ISBLANK(patch[[#This Row],[mergeDate]]), U657, MID(YEAR(patch[[#This Row],[mergeDate]]), 3,2)&amp;"'m"&amp;MONTH(patch[[#This Row],[mergeDate]]))</f>
        <v>16'm9</v>
      </c>
      <c r="V658" s="7" t="str">
        <f>IF(ISBLANK(patch[[#This Row],[project]]), "",SUM(patch[[#This Row],[BJ -1 num]:[SH -1 num]]))</f>
        <v/>
      </c>
      <c r="W658" s="7" t="str">
        <f>IF(ISBLANK(patch[[#This Row],[project]]), "",COUNTIFS($A:$A,patch[[#This Row],[number]],$S:$S, "BJ And dev",$AC:$AC, "Review-1"))</f>
        <v/>
      </c>
      <c r="X658" s="7" t="str">
        <f>IF(ISBLANK(patch[[#This Row],[project]]), "",COUNTIFS($A:$A,patch[[#This Row],[number]],$S:$S, "FL And dev",$AC:$AC, "Review-1"))</f>
        <v/>
      </c>
      <c r="Y658" s="7" t="str">
        <f>IF(ISBLANK(patch[[#This Row],[project]]), "",COUNTIFS($A:$A,patch[[#This Row],[number]],$S:$S, "SH And dev",$AC:$AC, "Review-1"))</f>
        <v/>
      </c>
      <c r="Z658" s="7" t="str">
        <f>IF(ISBLANK(patch[[#This Row],[project]]), "",COUNTIFS($A:$A,patch[[#This Row],[number]],$S:$S, "BJ And dev",$AD:$AD, "&lt;&gt;IntegratorValidationComment"))</f>
        <v/>
      </c>
      <c r="AA658" s="7" t="str">
        <f>IF(ISBLANK(patch[[#This Row],[project]]), "",COUNTIFS($A:$A,patch[[#This Row],[number]],$S:$S, "FL And dev",$AD:$AD, "&lt;&gt;IntegratorValidationComment"))</f>
        <v/>
      </c>
      <c r="AB658" s="7" t="str">
        <f>IF(ISBLANK(patch[[#This Row],[project]]), "",COUNTIFS($A:$A,patch[[#This Row],[number]],$S:$S, "SH And dev",$AD:$AD, "&lt;&gt;IntegratorValidationComment"))</f>
        <v/>
      </c>
      <c r="AC658" s="7" t="str">
        <f>IF(OR(ISNUMBER(FIND("Review-1", patch[[#This Row],[comments]])), ISNUMBER(FIND("Approver-1", patch[[#This Row],[comments]]))), "Review-1", "")</f>
        <v/>
      </c>
      <c r="AD6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58" s="7">
        <f>IF(ISBLANK(patch[[#This Row],[number]]),AE657,patch[[#This Row],[ifCommon]])</f>
        <v>0</v>
      </c>
    </row>
    <row r="659" spans="1:31">
      <c r="A659" s="151">
        <v>147059</v>
      </c>
      <c r="B659" s="151"/>
      <c r="C659" s="151"/>
      <c r="D659" s="151"/>
      <c r="E659" s="151"/>
      <c r="F659" s="151"/>
      <c r="G659" s="151"/>
      <c r="H659" s="151"/>
      <c r="I659" s="151"/>
      <c r="J659" s="152">
        <v>42636.72996527778</v>
      </c>
      <c r="K659" s="151"/>
      <c r="L659" s="151" t="s">
        <v>115</v>
      </c>
      <c r="M659" s="152">
        <v>42636.421793981477</v>
      </c>
      <c r="N659" s="151" t="s">
        <v>2497</v>
      </c>
      <c r="O659" s="151"/>
      <c r="P659" s="151"/>
      <c r="Q659" s="7" t="str">
        <f>IF(ISBLANK(patch[[#This Row],[OwnerEmail]]),Q658,patch[[#This Row],[OwnerEmail]])</f>
        <v>liang.l.yang@intel.com</v>
      </c>
      <c r="R659" s="7" t="str">
        <f>_xlfn.IFNA(VLOOKUP(patch[[#This Row],[tmp-owner.email]],OrgTree!$A:$K, 11, 0), "not ICG SWFW")</f>
        <v>BJ And dev</v>
      </c>
      <c r="S659" s="7" t="str">
        <f>IF(patch[[#This Row],[reviewer]]=patch[[#This Row],[tmp-owner.email]], "author", _xlfn.IFNA(VLOOKUP(patch[[#This Row],[reviewer]],OrgTree!$A:$K, 11, 0), "not ICG SWFW"))</f>
        <v>Val</v>
      </c>
      <c r="T659" s="7" t="str">
        <f>IF(ISBLANK(patch[[#This Row],[mergeDate]]), "", MID(YEAR(patch[[#This Row],[mergeDate]]), 3,2)&amp;"'ww"&amp;WEEKNUM(patch[[#This Row],[mergeDate]]))</f>
        <v>16'ww39</v>
      </c>
      <c r="U659" s="7" t="str">
        <f>IF(ISBLANK(patch[[#This Row],[mergeDate]]), U658, MID(YEAR(patch[[#This Row],[mergeDate]]), 3,2)&amp;"'m"&amp;MONTH(patch[[#This Row],[mergeDate]]))</f>
        <v>16'm9</v>
      </c>
      <c r="V659" s="7" t="str">
        <f>IF(ISBLANK(patch[[#This Row],[project]]), "",SUM(patch[[#This Row],[BJ -1 num]:[SH -1 num]]))</f>
        <v/>
      </c>
      <c r="W659" s="7" t="str">
        <f>IF(ISBLANK(patch[[#This Row],[project]]), "",COUNTIFS($A:$A,patch[[#This Row],[number]],$S:$S, "BJ And dev",$AC:$AC, "Review-1"))</f>
        <v/>
      </c>
      <c r="X659" s="7" t="str">
        <f>IF(ISBLANK(patch[[#This Row],[project]]), "",COUNTIFS($A:$A,patch[[#This Row],[number]],$S:$S, "FL And dev",$AC:$AC, "Review-1"))</f>
        <v/>
      </c>
      <c r="Y659" s="7" t="str">
        <f>IF(ISBLANK(patch[[#This Row],[project]]), "",COUNTIFS($A:$A,patch[[#This Row],[number]],$S:$S, "SH And dev",$AC:$AC, "Review-1"))</f>
        <v/>
      </c>
      <c r="Z659" s="7" t="str">
        <f>IF(ISBLANK(patch[[#This Row],[project]]), "",COUNTIFS($A:$A,patch[[#This Row],[number]],$S:$S, "BJ And dev",$AD:$AD, "&lt;&gt;IntegratorValidationComment"))</f>
        <v/>
      </c>
      <c r="AA659" s="7" t="str">
        <f>IF(ISBLANK(patch[[#This Row],[project]]), "",COUNTIFS($A:$A,patch[[#This Row],[number]],$S:$S, "FL And dev",$AD:$AD, "&lt;&gt;IntegratorValidationComment"))</f>
        <v/>
      </c>
      <c r="AB659" s="7" t="str">
        <f>IF(ISBLANK(patch[[#This Row],[project]]), "",COUNTIFS($A:$A,patch[[#This Row],[number]],$S:$S, "SH And dev",$AD:$AD, "&lt;&gt;IntegratorValidationComment"))</f>
        <v/>
      </c>
      <c r="AC659" s="7" t="str">
        <f>IF(OR(ISNUMBER(FIND("Review-1", patch[[#This Row],[comments]])), ISNUMBER(FIND("Approver-1", patch[[#This Row],[comments]]))), "Review-1", "")</f>
        <v/>
      </c>
      <c r="AD6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659" s="7">
        <f>IF(ISBLANK(patch[[#This Row],[number]]),AE658,patch[[#This Row],[ifCommon]])</f>
        <v>0</v>
      </c>
    </row>
    <row r="660" spans="1:31">
      <c r="A660" s="151">
        <v>147019</v>
      </c>
      <c r="B660" s="151" t="s">
        <v>2490</v>
      </c>
      <c r="C660" s="151" t="s">
        <v>2491</v>
      </c>
      <c r="D660" s="151" t="s">
        <v>2807</v>
      </c>
      <c r="E660" s="151" t="s">
        <v>32</v>
      </c>
      <c r="F660" s="151" t="s">
        <v>23</v>
      </c>
      <c r="G660" s="151" t="s">
        <v>2808</v>
      </c>
      <c r="H660" s="151" t="s">
        <v>2809</v>
      </c>
      <c r="I660" s="152">
        <v>42634.662152777782</v>
      </c>
      <c r="J660" s="152">
        <v>42636.729849537027</v>
      </c>
      <c r="K660" s="151" t="s">
        <v>2445</v>
      </c>
      <c r="L660" s="151" t="s">
        <v>32</v>
      </c>
      <c r="M660" s="152">
        <v>42634.662152777782</v>
      </c>
      <c r="N660" s="151" t="s">
        <v>2458</v>
      </c>
      <c r="O660" s="151"/>
      <c r="P660" s="151" t="s">
        <v>2498</v>
      </c>
      <c r="Q660" s="7" t="str">
        <f>IF(ISBLANK(patch[[#This Row],[OwnerEmail]]),Q659,patch[[#This Row],[OwnerEmail]])</f>
        <v>gang.a.hu@intel.com</v>
      </c>
      <c r="R660" s="7" t="str">
        <f>_xlfn.IFNA(VLOOKUP(patch[[#This Row],[tmp-owner.email]],OrgTree!$A:$K, 11, 0), "not ICG SWFW")</f>
        <v>BJ And dev</v>
      </c>
      <c r="S660" s="7" t="str">
        <f>IF(patch[[#This Row],[reviewer]]=patch[[#This Row],[tmp-owner.email]], "author", _xlfn.IFNA(VLOOKUP(patch[[#This Row],[reviewer]],OrgTree!$A:$K, 11, 0), "not ICG SWFW"))</f>
        <v>author</v>
      </c>
      <c r="T660" s="7" t="str">
        <f>IF(ISBLANK(patch[[#This Row],[mergeDate]]), "", MID(YEAR(patch[[#This Row],[mergeDate]]), 3,2)&amp;"'ww"&amp;WEEKNUM(patch[[#This Row],[mergeDate]]))</f>
        <v>16'ww39</v>
      </c>
      <c r="U660" s="7" t="str">
        <f>IF(ISBLANK(patch[[#This Row],[mergeDate]]), U659, MID(YEAR(patch[[#This Row],[mergeDate]]), 3,2)&amp;"'m"&amp;MONTH(patch[[#This Row],[mergeDate]]))</f>
        <v>16'm9</v>
      </c>
      <c r="V660" s="7">
        <f>IF(ISBLANK(patch[[#This Row],[project]]), "",SUM(patch[[#This Row],[BJ -1 num]:[SH -1 num]]))</f>
        <v>0</v>
      </c>
      <c r="W660" s="7">
        <f>IF(ISBLANK(patch[[#This Row],[project]]), "",COUNTIFS($A:$A,patch[[#This Row],[number]],$S:$S, "BJ And dev",$AC:$AC, "Review-1"))</f>
        <v>0</v>
      </c>
      <c r="X660" s="7">
        <f>IF(ISBLANK(patch[[#This Row],[project]]), "",COUNTIFS($A:$A,patch[[#This Row],[number]],$S:$S, "FL And dev",$AC:$AC, "Review-1"))</f>
        <v>0</v>
      </c>
      <c r="Y660" s="7">
        <f>IF(ISBLANK(patch[[#This Row],[project]]), "",COUNTIFS($A:$A,patch[[#This Row],[number]],$S:$S, "SH And dev",$AC:$AC, "Review-1"))</f>
        <v>0</v>
      </c>
      <c r="Z660" s="7">
        <f>IF(ISBLANK(patch[[#This Row],[project]]), "",COUNTIFS($A:$A,patch[[#This Row],[number]],$S:$S, "BJ And dev",$AD:$AD, "&lt;&gt;IntegratorValidationComment"))</f>
        <v>10</v>
      </c>
      <c r="AA660" s="7">
        <f>IF(ISBLANK(patch[[#This Row],[project]]), "",COUNTIFS($A:$A,patch[[#This Row],[number]],$S:$S, "FL And dev",$AD:$AD, "&lt;&gt;IntegratorValidationComment"))</f>
        <v>0</v>
      </c>
      <c r="AB660" s="7">
        <f>IF(ISBLANK(patch[[#This Row],[project]]), "",COUNTIFS($A:$A,patch[[#This Row],[number]],$S:$S, "SH And dev",$AD:$AD, "&lt;&gt;IntegratorValidationComment"))</f>
        <v>0</v>
      </c>
      <c r="AC660" s="7" t="str">
        <f>IF(OR(ISNUMBER(FIND("Review-1", patch[[#This Row],[comments]])), ISNUMBER(FIND("Approver-1", patch[[#This Row],[comments]]))), "Review-1", "")</f>
        <v/>
      </c>
      <c r="AD6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60" s="7" t="str">
        <f>IF(ISBLANK(patch[[#This Row],[number]]),AE659,patch[[#This Row],[ifCommon]])</f>
        <v>not AndrHAL</v>
      </c>
    </row>
    <row r="661" spans="1:31">
      <c r="A661" s="151">
        <v>147019</v>
      </c>
      <c r="B661" s="151"/>
      <c r="C661" s="151"/>
      <c r="D661" s="151"/>
      <c r="E661" s="151"/>
      <c r="F661" s="151"/>
      <c r="G661" s="151"/>
      <c r="H661" s="151"/>
      <c r="I661" s="151"/>
      <c r="J661" s="152">
        <v>42636.729849537027</v>
      </c>
      <c r="K661" s="151"/>
      <c r="L661" s="151" t="s">
        <v>32</v>
      </c>
      <c r="M661" s="152">
        <v>42634.662152777782</v>
      </c>
      <c r="N661" s="151" t="s">
        <v>25</v>
      </c>
      <c r="O661" s="151"/>
      <c r="P661" s="151"/>
      <c r="Q661" s="7" t="str">
        <f>IF(ISBLANK(patch[[#This Row],[OwnerEmail]]),Q660,patch[[#This Row],[OwnerEmail]])</f>
        <v>gang.a.hu@intel.com</v>
      </c>
      <c r="R661" s="7" t="str">
        <f>_xlfn.IFNA(VLOOKUP(patch[[#This Row],[tmp-owner.email]],OrgTree!$A:$K, 11, 0), "not ICG SWFW")</f>
        <v>BJ And dev</v>
      </c>
      <c r="S661" s="7" t="str">
        <f>IF(patch[[#This Row],[reviewer]]=patch[[#This Row],[tmp-owner.email]], "author", _xlfn.IFNA(VLOOKUP(patch[[#This Row],[reviewer]],OrgTree!$A:$K, 11, 0), "not ICG SWFW"))</f>
        <v>author</v>
      </c>
      <c r="T661" s="7" t="str">
        <f>IF(ISBLANK(patch[[#This Row],[mergeDate]]), "", MID(YEAR(patch[[#This Row],[mergeDate]]), 3,2)&amp;"'ww"&amp;WEEKNUM(patch[[#This Row],[mergeDate]]))</f>
        <v>16'ww39</v>
      </c>
      <c r="U661" s="7" t="str">
        <f>IF(ISBLANK(patch[[#This Row],[mergeDate]]), U660, MID(YEAR(patch[[#This Row],[mergeDate]]), 3,2)&amp;"'m"&amp;MONTH(patch[[#This Row],[mergeDate]]))</f>
        <v>16'm9</v>
      </c>
      <c r="V661" s="7" t="str">
        <f>IF(ISBLANK(patch[[#This Row],[project]]), "",SUM(patch[[#This Row],[BJ -1 num]:[SH -1 num]]))</f>
        <v/>
      </c>
      <c r="W661" s="7" t="str">
        <f>IF(ISBLANK(patch[[#This Row],[project]]), "",COUNTIFS($A:$A,patch[[#This Row],[number]],$S:$S, "BJ And dev",$AC:$AC, "Review-1"))</f>
        <v/>
      </c>
      <c r="X661" s="7" t="str">
        <f>IF(ISBLANK(patch[[#This Row],[project]]), "",COUNTIFS($A:$A,patch[[#This Row],[number]],$S:$S, "FL And dev",$AC:$AC, "Review-1"))</f>
        <v/>
      </c>
      <c r="Y661" s="7" t="str">
        <f>IF(ISBLANK(patch[[#This Row],[project]]), "",COUNTIFS($A:$A,patch[[#This Row],[number]],$S:$S, "SH And dev",$AC:$AC, "Review-1"))</f>
        <v/>
      </c>
      <c r="Z661" s="7" t="str">
        <f>IF(ISBLANK(patch[[#This Row],[project]]), "",COUNTIFS($A:$A,patch[[#This Row],[number]],$S:$S, "BJ And dev",$AD:$AD, "&lt;&gt;IntegratorValidationComment"))</f>
        <v/>
      </c>
      <c r="AA661" s="7" t="str">
        <f>IF(ISBLANK(patch[[#This Row],[project]]), "",COUNTIFS($A:$A,patch[[#This Row],[number]],$S:$S, "FL And dev",$AD:$AD, "&lt;&gt;IntegratorValidationComment"))</f>
        <v/>
      </c>
      <c r="AB661" s="7" t="str">
        <f>IF(ISBLANK(patch[[#This Row],[project]]), "",COUNTIFS($A:$A,patch[[#This Row],[number]],$S:$S, "SH And dev",$AD:$AD, "&lt;&gt;IntegratorValidationComment"))</f>
        <v/>
      </c>
      <c r="AC661" s="7" t="str">
        <f>IF(OR(ISNUMBER(FIND("Review-1", patch[[#This Row],[comments]])), ISNUMBER(FIND("Approver-1", patch[[#This Row],[comments]]))), "Review-1", "")</f>
        <v/>
      </c>
      <c r="AD6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61" s="7">
        <f>IF(ISBLANK(patch[[#This Row],[number]]),AE660,patch[[#This Row],[ifCommon]])</f>
        <v>0</v>
      </c>
    </row>
    <row r="662" spans="1:31">
      <c r="A662" s="151">
        <v>147019</v>
      </c>
      <c r="B662" s="151"/>
      <c r="C662" s="151"/>
      <c r="D662" s="151"/>
      <c r="E662" s="151"/>
      <c r="F662" s="151"/>
      <c r="G662" s="151"/>
      <c r="H662" s="151"/>
      <c r="I662" s="151"/>
      <c r="J662" s="152">
        <v>42636.729849537027</v>
      </c>
      <c r="K662" s="151"/>
      <c r="L662" s="151" t="s">
        <v>32</v>
      </c>
      <c r="M662" s="152">
        <v>42634.718738425923</v>
      </c>
      <c r="N662" s="151" t="s">
        <v>40</v>
      </c>
      <c r="O662" s="151"/>
      <c r="P662" s="151"/>
      <c r="Q662" s="7" t="str">
        <f>IF(ISBLANK(patch[[#This Row],[OwnerEmail]]),Q661,patch[[#This Row],[OwnerEmail]])</f>
        <v>gang.a.hu@intel.com</v>
      </c>
      <c r="R662" s="7" t="str">
        <f>_xlfn.IFNA(VLOOKUP(patch[[#This Row],[tmp-owner.email]],OrgTree!$A:$K, 11, 0), "not ICG SWFW")</f>
        <v>BJ And dev</v>
      </c>
      <c r="S662" s="7" t="str">
        <f>IF(patch[[#This Row],[reviewer]]=patch[[#This Row],[tmp-owner.email]], "author", _xlfn.IFNA(VLOOKUP(patch[[#This Row],[reviewer]],OrgTree!$A:$K, 11, 0), "not ICG SWFW"))</f>
        <v>author</v>
      </c>
      <c r="T662" s="7" t="str">
        <f>IF(ISBLANK(patch[[#This Row],[mergeDate]]), "", MID(YEAR(patch[[#This Row],[mergeDate]]), 3,2)&amp;"'ww"&amp;WEEKNUM(patch[[#This Row],[mergeDate]]))</f>
        <v>16'ww39</v>
      </c>
      <c r="U662" s="7" t="str">
        <f>IF(ISBLANK(patch[[#This Row],[mergeDate]]), U661, MID(YEAR(patch[[#This Row],[mergeDate]]), 3,2)&amp;"'m"&amp;MONTH(patch[[#This Row],[mergeDate]]))</f>
        <v>16'm9</v>
      </c>
      <c r="V662" s="7" t="str">
        <f>IF(ISBLANK(patch[[#This Row],[project]]), "",SUM(patch[[#This Row],[BJ -1 num]:[SH -1 num]]))</f>
        <v/>
      </c>
      <c r="W662" s="7" t="str">
        <f>IF(ISBLANK(patch[[#This Row],[project]]), "",COUNTIFS($A:$A,patch[[#This Row],[number]],$S:$S, "BJ And dev",$AC:$AC, "Review-1"))</f>
        <v/>
      </c>
      <c r="X662" s="7" t="str">
        <f>IF(ISBLANK(patch[[#This Row],[project]]), "",COUNTIFS($A:$A,patch[[#This Row],[number]],$S:$S, "FL And dev",$AC:$AC, "Review-1"))</f>
        <v/>
      </c>
      <c r="Y662" s="7" t="str">
        <f>IF(ISBLANK(patch[[#This Row],[project]]), "",COUNTIFS($A:$A,patch[[#This Row],[number]],$S:$S, "SH And dev",$AC:$AC, "Review-1"))</f>
        <v/>
      </c>
      <c r="Z662" s="7" t="str">
        <f>IF(ISBLANK(patch[[#This Row],[project]]), "",COUNTIFS($A:$A,patch[[#This Row],[number]],$S:$S, "BJ And dev",$AD:$AD, "&lt;&gt;IntegratorValidationComment"))</f>
        <v/>
      </c>
      <c r="AA662" s="7" t="str">
        <f>IF(ISBLANK(patch[[#This Row],[project]]), "",COUNTIFS($A:$A,patch[[#This Row],[number]],$S:$S, "FL And dev",$AD:$AD, "&lt;&gt;IntegratorValidationComment"))</f>
        <v/>
      </c>
      <c r="AB662" s="7" t="str">
        <f>IF(ISBLANK(patch[[#This Row],[project]]), "",COUNTIFS($A:$A,patch[[#This Row],[number]],$S:$S, "SH And dev",$AD:$AD, "&lt;&gt;IntegratorValidationComment"))</f>
        <v/>
      </c>
      <c r="AC662" s="7" t="str">
        <f>IF(OR(ISNUMBER(FIND("Review-1", patch[[#This Row],[comments]])), ISNUMBER(FIND("Approver-1", patch[[#This Row],[comments]]))), "Review-1", "")</f>
        <v/>
      </c>
      <c r="AD6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62" s="7">
        <f>IF(ISBLANK(patch[[#This Row],[number]]),AE661,patch[[#This Row],[ifCommon]])</f>
        <v>0</v>
      </c>
    </row>
    <row r="663" spans="1:31">
      <c r="A663" s="151">
        <v>147019</v>
      </c>
      <c r="B663" s="151"/>
      <c r="C663" s="151"/>
      <c r="D663" s="151"/>
      <c r="E663" s="151"/>
      <c r="F663" s="151"/>
      <c r="G663" s="151"/>
      <c r="H663" s="151"/>
      <c r="I663" s="151"/>
      <c r="J663" s="152">
        <v>42636.729849537027</v>
      </c>
      <c r="K663" s="151"/>
      <c r="L663" s="151" t="s">
        <v>59</v>
      </c>
      <c r="M663" s="152">
        <v>42635.47284722222</v>
      </c>
      <c r="N663" s="151" t="s">
        <v>2934</v>
      </c>
      <c r="O663" s="151"/>
      <c r="P663" s="151"/>
      <c r="Q663" s="7" t="str">
        <f>IF(ISBLANK(patch[[#This Row],[OwnerEmail]]),Q662,patch[[#This Row],[OwnerEmail]])</f>
        <v>gang.a.hu@intel.com</v>
      </c>
      <c r="R663" s="7" t="str">
        <f>_xlfn.IFNA(VLOOKUP(patch[[#This Row],[tmp-owner.email]],OrgTree!$A:$K, 11, 0), "not ICG SWFW")</f>
        <v>BJ And dev</v>
      </c>
      <c r="S663" s="7" t="str">
        <f>IF(patch[[#This Row],[reviewer]]=patch[[#This Row],[tmp-owner.email]], "author", _xlfn.IFNA(VLOOKUP(patch[[#This Row],[reviewer]],OrgTree!$A:$K, 11, 0), "not ICG SWFW"))</f>
        <v>BJ And dev</v>
      </c>
      <c r="T663" s="7" t="str">
        <f>IF(ISBLANK(patch[[#This Row],[mergeDate]]), "", MID(YEAR(patch[[#This Row],[mergeDate]]), 3,2)&amp;"'ww"&amp;WEEKNUM(patch[[#This Row],[mergeDate]]))</f>
        <v>16'ww39</v>
      </c>
      <c r="U663" s="7" t="str">
        <f>IF(ISBLANK(patch[[#This Row],[mergeDate]]), U662, MID(YEAR(patch[[#This Row],[mergeDate]]), 3,2)&amp;"'m"&amp;MONTH(patch[[#This Row],[mergeDate]]))</f>
        <v>16'm9</v>
      </c>
      <c r="V663" s="7" t="str">
        <f>IF(ISBLANK(patch[[#This Row],[project]]), "",SUM(patch[[#This Row],[BJ -1 num]:[SH -1 num]]))</f>
        <v/>
      </c>
      <c r="W663" s="7" t="str">
        <f>IF(ISBLANK(patch[[#This Row],[project]]), "",COUNTIFS($A:$A,patch[[#This Row],[number]],$S:$S, "BJ And dev",$AC:$AC, "Review-1"))</f>
        <v/>
      </c>
      <c r="X663" s="7" t="str">
        <f>IF(ISBLANK(patch[[#This Row],[project]]), "",COUNTIFS($A:$A,patch[[#This Row],[number]],$S:$S, "FL And dev",$AC:$AC, "Review-1"))</f>
        <v/>
      </c>
      <c r="Y663" s="7" t="str">
        <f>IF(ISBLANK(patch[[#This Row],[project]]), "",COUNTIFS($A:$A,patch[[#This Row],[number]],$S:$S, "SH And dev",$AC:$AC, "Review-1"))</f>
        <v/>
      </c>
      <c r="Z663" s="7" t="str">
        <f>IF(ISBLANK(patch[[#This Row],[project]]), "",COUNTIFS($A:$A,patch[[#This Row],[number]],$S:$S, "BJ And dev",$AD:$AD, "&lt;&gt;IntegratorValidationComment"))</f>
        <v/>
      </c>
      <c r="AA663" s="7" t="str">
        <f>IF(ISBLANK(patch[[#This Row],[project]]), "",COUNTIFS($A:$A,patch[[#This Row],[number]],$S:$S, "FL And dev",$AD:$AD, "&lt;&gt;IntegratorValidationComment"))</f>
        <v/>
      </c>
      <c r="AB663" s="7" t="str">
        <f>IF(ISBLANK(patch[[#This Row],[project]]), "",COUNTIFS($A:$A,patch[[#This Row],[number]],$S:$S, "SH And dev",$AD:$AD, "&lt;&gt;IntegratorValidationComment"))</f>
        <v/>
      </c>
      <c r="AC663" s="7" t="str">
        <f>IF(OR(ISNUMBER(FIND("Review-1", patch[[#This Row],[comments]])), ISNUMBER(FIND("Approver-1", patch[[#This Row],[comments]]))), "Review-1", "")</f>
        <v/>
      </c>
      <c r="AD6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63" s="7">
        <f>IF(ISBLANK(patch[[#This Row],[number]]),AE662,patch[[#This Row],[ifCommon]])</f>
        <v>0</v>
      </c>
    </row>
    <row r="664" spans="1:31">
      <c r="A664" s="151">
        <v>147019</v>
      </c>
      <c r="B664" s="151"/>
      <c r="C664" s="151"/>
      <c r="D664" s="151"/>
      <c r="E664" s="151"/>
      <c r="F664" s="151"/>
      <c r="G664" s="151"/>
      <c r="H664" s="151"/>
      <c r="I664" s="151"/>
      <c r="J664" s="152">
        <v>42636.729849537027</v>
      </c>
      <c r="K664" s="151"/>
      <c r="L664" s="151" t="s">
        <v>32</v>
      </c>
      <c r="M664" s="152">
        <v>42635.548125000001</v>
      </c>
      <c r="N664" s="151" t="s">
        <v>2459</v>
      </c>
      <c r="O664" s="151"/>
      <c r="P664" s="151"/>
      <c r="Q664" s="7" t="str">
        <f>IF(ISBLANK(patch[[#This Row],[OwnerEmail]]),Q663,patch[[#This Row],[OwnerEmail]])</f>
        <v>gang.a.hu@intel.com</v>
      </c>
      <c r="R664" s="7" t="str">
        <f>_xlfn.IFNA(VLOOKUP(patch[[#This Row],[tmp-owner.email]],OrgTree!$A:$K, 11, 0), "not ICG SWFW")</f>
        <v>BJ And dev</v>
      </c>
      <c r="S664" s="7" t="str">
        <f>IF(patch[[#This Row],[reviewer]]=patch[[#This Row],[tmp-owner.email]], "author", _xlfn.IFNA(VLOOKUP(patch[[#This Row],[reviewer]],OrgTree!$A:$K, 11, 0), "not ICG SWFW"))</f>
        <v>author</v>
      </c>
      <c r="T664" s="7" t="str">
        <f>IF(ISBLANK(patch[[#This Row],[mergeDate]]), "", MID(YEAR(patch[[#This Row],[mergeDate]]), 3,2)&amp;"'ww"&amp;WEEKNUM(patch[[#This Row],[mergeDate]]))</f>
        <v>16'ww39</v>
      </c>
      <c r="U664" s="7" t="str">
        <f>IF(ISBLANK(patch[[#This Row],[mergeDate]]), U663, MID(YEAR(patch[[#This Row],[mergeDate]]), 3,2)&amp;"'m"&amp;MONTH(patch[[#This Row],[mergeDate]]))</f>
        <v>16'm9</v>
      </c>
      <c r="V664" s="7" t="str">
        <f>IF(ISBLANK(patch[[#This Row],[project]]), "",SUM(patch[[#This Row],[BJ -1 num]:[SH -1 num]]))</f>
        <v/>
      </c>
      <c r="W664" s="7" t="str">
        <f>IF(ISBLANK(patch[[#This Row],[project]]), "",COUNTIFS($A:$A,patch[[#This Row],[number]],$S:$S, "BJ And dev",$AC:$AC, "Review-1"))</f>
        <v/>
      </c>
      <c r="X664" s="7" t="str">
        <f>IF(ISBLANK(patch[[#This Row],[project]]), "",COUNTIFS($A:$A,patch[[#This Row],[number]],$S:$S, "FL And dev",$AC:$AC, "Review-1"))</f>
        <v/>
      </c>
      <c r="Y664" s="7" t="str">
        <f>IF(ISBLANK(patch[[#This Row],[project]]), "",COUNTIFS($A:$A,patch[[#This Row],[number]],$S:$S, "SH And dev",$AC:$AC, "Review-1"))</f>
        <v/>
      </c>
      <c r="Z664" s="7" t="str">
        <f>IF(ISBLANK(patch[[#This Row],[project]]), "",COUNTIFS($A:$A,patch[[#This Row],[number]],$S:$S, "BJ And dev",$AD:$AD, "&lt;&gt;IntegratorValidationComment"))</f>
        <v/>
      </c>
      <c r="AA664" s="7" t="str">
        <f>IF(ISBLANK(patch[[#This Row],[project]]), "",COUNTIFS($A:$A,patch[[#This Row],[number]],$S:$S, "FL And dev",$AD:$AD, "&lt;&gt;IntegratorValidationComment"))</f>
        <v/>
      </c>
      <c r="AB664" s="7" t="str">
        <f>IF(ISBLANK(patch[[#This Row],[project]]), "",COUNTIFS($A:$A,patch[[#This Row],[number]],$S:$S, "SH And dev",$AD:$AD, "&lt;&gt;IntegratorValidationComment"))</f>
        <v/>
      </c>
      <c r="AC664" s="7" t="str">
        <f>IF(OR(ISNUMBER(FIND("Review-1", patch[[#This Row],[comments]])), ISNUMBER(FIND("Approver-1", patch[[#This Row],[comments]]))), "Review-1", "")</f>
        <v/>
      </c>
      <c r="AD6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64" s="7">
        <f>IF(ISBLANK(patch[[#This Row],[number]]),AE663,patch[[#This Row],[ifCommon]])</f>
        <v>0</v>
      </c>
    </row>
    <row r="665" spans="1:31">
      <c r="A665" s="151">
        <v>147019</v>
      </c>
      <c r="B665" s="151"/>
      <c r="C665" s="151"/>
      <c r="D665" s="151"/>
      <c r="E665" s="151"/>
      <c r="F665" s="151"/>
      <c r="G665" s="151"/>
      <c r="H665" s="151"/>
      <c r="I665" s="151"/>
      <c r="J665" s="152">
        <v>42636.729849537027</v>
      </c>
      <c r="K665" s="151"/>
      <c r="L665" s="151" t="s">
        <v>59</v>
      </c>
      <c r="M665" s="152">
        <v>42635.550092592603</v>
      </c>
      <c r="N665" s="151" t="s">
        <v>2935</v>
      </c>
      <c r="O665" s="151"/>
      <c r="P665" s="151"/>
      <c r="Q665" s="7" t="str">
        <f>IF(ISBLANK(patch[[#This Row],[OwnerEmail]]),Q664,patch[[#This Row],[OwnerEmail]])</f>
        <v>gang.a.hu@intel.com</v>
      </c>
      <c r="R665" s="7" t="str">
        <f>_xlfn.IFNA(VLOOKUP(patch[[#This Row],[tmp-owner.email]],OrgTree!$A:$K, 11, 0), "not ICG SWFW")</f>
        <v>BJ And dev</v>
      </c>
      <c r="S665" s="7" t="str">
        <f>IF(patch[[#This Row],[reviewer]]=patch[[#This Row],[tmp-owner.email]], "author", _xlfn.IFNA(VLOOKUP(patch[[#This Row],[reviewer]],OrgTree!$A:$K, 11, 0), "not ICG SWFW"))</f>
        <v>BJ And dev</v>
      </c>
      <c r="T665" s="7" t="str">
        <f>IF(ISBLANK(patch[[#This Row],[mergeDate]]), "", MID(YEAR(patch[[#This Row],[mergeDate]]), 3,2)&amp;"'ww"&amp;WEEKNUM(patch[[#This Row],[mergeDate]]))</f>
        <v>16'ww39</v>
      </c>
      <c r="U665" s="7" t="str">
        <f>IF(ISBLANK(patch[[#This Row],[mergeDate]]), U664, MID(YEAR(patch[[#This Row],[mergeDate]]), 3,2)&amp;"'m"&amp;MONTH(patch[[#This Row],[mergeDate]]))</f>
        <v>16'm9</v>
      </c>
      <c r="V665" s="7" t="str">
        <f>IF(ISBLANK(patch[[#This Row],[project]]), "",SUM(patch[[#This Row],[BJ -1 num]:[SH -1 num]]))</f>
        <v/>
      </c>
      <c r="W665" s="7" t="str">
        <f>IF(ISBLANK(patch[[#This Row],[project]]), "",COUNTIFS($A:$A,patch[[#This Row],[number]],$S:$S, "BJ And dev",$AC:$AC, "Review-1"))</f>
        <v/>
      </c>
      <c r="X665" s="7" t="str">
        <f>IF(ISBLANK(patch[[#This Row],[project]]), "",COUNTIFS($A:$A,patch[[#This Row],[number]],$S:$S, "FL And dev",$AC:$AC, "Review-1"))</f>
        <v/>
      </c>
      <c r="Y665" s="7" t="str">
        <f>IF(ISBLANK(patch[[#This Row],[project]]), "",COUNTIFS($A:$A,patch[[#This Row],[number]],$S:$S, "SH And dev",$AC:$AC, "Review-1"))</f>
        <v/>
      </c>
      <c r="Z665" s="7" t="str">
        <f>IF(ISBLANK(patch[[#This Row],[project]]), "",COUNTIFS($A:$A,patch[[#This Row],[number]],$S:$S, "BJ And dev",$AD:$AD, "&lt;&gt;IntegratorValidationComment"))</f>
        <v/>
      </c>
      <c r="AA665" s="7" t="str">
        <f>IF(ISBLANK(patch[[#This Row],[project]]), "",COUNTIFS($A:$A,patch[[#This Row],[number]],$S:$S, "FL And dev",$AD:$AD, "&lt;&gt;IntegratorValidationComment"))</f>
        <v/>
      </c>
      <c r="AB665" s="7" t="str">
        <f>IF(ISBLANK(patch[[#This Row],[project]]), "",COUNTIFS($A:$A,patch[[#This Row],[number]],$S:$S, "SH And dev",$AD:$AD, "&lt;&gt;IntegratorValidationComment"))</f>
        <v/>
      </c>
      <c r="AC665" s="7" t="str">
        <f>IF(OR(ISNUMBER(FIND("Review-1", patch[[#This Row],[comments]])), ISNUMBER(FIND("Approver-1", patch[[#This Row],[comments]]))), "Review-1", "")</f>
        <v/>
      </c>
      <c r="AD6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65" s="7">
        <f>IF(ISBLANK(patch[[#This Row],[number]]),AE664,patch[[#This Row],[ifCommon]])</f>
        <v>0</v>
      </c>
    </row>
    <row r="666" spans="1:31">
      <c r="A666" s="151">
        <v>147019</v>
      </c>
      <c r="B666" s="151"/>
      <c r="C666" s="151"/>
      <c r="D666" s="151"/>
      <c r="E666" s="151"/>
      <c r="F666" s="151"/>
      <c r="G666" s="151"/>
      <c r="H666" s="151"/>
      <c r="I666" s="151"/>
      <c r="J666" s="152">
        <v>42636.729849537027</v>
      </c>
      <c r="K666" s="151"/>
      <c r="L666" s="151" t="s">
        <v>59</v>
      </c>
      <c r="M666" s="152">
        <v>42635.55201388889</v>
      </c>
      <c r="N666" s="151" t="s">
        <v>2936</v>
      </c>
      <c r="O666" s="151"/>
      <c r="P666" s="151"/>
      <c r="Q666" s="7" t="str">
        <f>IF(ISBLANK(patch[[#This Row],[OwnerEmail]]),Q665,patch[[#This Row],[OwnerEmail]])</f>
        <v>gang.a.hu@intel.com</v>
      </c>
      <c r="R666" s="7" t="str">
        <f>_xlfn.IFNA(VLOOKUP(patch[[#This Row],[tmp-owner.email]],OrgTree!$A:$K, 11, 0), "not ICG SWFW")</f>
        <v>BJ And dev</v>
      </c>
      <c r="S666" s="7" t="str">
        <f>IF(patch[[#This Row],[reviewer]]=patch[[#This Row],[tmp-owner.email]], "author", _xlfn.IFNA(VLOOKUP(patch[[#This Row],[reviewer]],OrgTree!$A:$K, 11, 0), "not ICG SWFW"))</f>
        <v>BJ And dev</v>
      </c>
      <c r="T666" s="7" t="str">
        <f>IF(ISBLANK(patch[[#This Row],[mergeDate]]), "", MID(YEAR(patch[[#This Row],[mergeDate]]), 3,2)&amp;"'ww"&amp;WEEKNUM(patch[[#This Row],[mergeDate]]))</f>
        <v>16'ww39</v>
      </c>
      <c r="U666" s="7" t="str">
        <f>IF(ISBLANK(patch[[#This Row],[mergeDate]]), U665, MID(YEAR(patch[[#This Row],[mergeDate]]), 3,2)&amp;"'m"&amp;MONTH(patch[[#This Row],[mergeDate]]))</f>
        <v>16'm9</v>
      </c>
      <c r="V666" s="7" t="str">
        <f>IF(ISBLANK(patch[[#This Row],[project]]), "",SUM(patch[[#This Row],[BJ -1 num]:[SH -1 num]]))</f>
        <v/>
      </c>
      <c r="W666" s="7" t="str">
        <f>IF(ISBLANK(patch[[#This Row],[project]]), "",COUNTIFS($A:$A,patch[[#This Row],[number]],$S:$S, "BJ And dev",$AC:$AC, "Review-1"))</f>
        <v/>
      </c>
      <c r="X666" s="7" t="str">
        <f>IF(ISBLANK(patch[[#This Row],[project]]), "",COUNTIFS($A:$A,patch[[#This Row],[number]],$S:$S, "FL And dev",$AC:$AC, "Review-1"))</f>
        <v/>
      </c>
      <c r="Y666" s="7" t="str">
        <f>IF(ISBLANK(patch[[#This Row],[project]]), "",COUNTIFS($A:$A,patch[[#This Row],[number]],$S:$S, "SH And dev",$AC:$AC, "Review-1"))</f>
        <v/>
      </c>
      <c r="Z666" s="7" t="str">
        <f>IF(ISBLANK(patch[[#This Row],[project]]), "",COUNTIFS($A:$A,patch[[#This Row],[number]],$S:$S, "BJ And dev",$AD:$AD, "&lt;&gt;IntegratorValidationComment"))</f>
        <v/>
      </c>
      <c r="AA666" s="7" t="str">
        <f>IF(ISBLANK(patch[[#This Row],[project]]), "",COUNTIFS($A:$A,patch[[#This Row],[number]],$S:$S, "FL And dev",$AD:$AD, "&lt;&gt;IntegratorValidationComment"))</f>
        <v/>
      </c>
      <c r="AB666" s="7" t="str">
        <f>IF(ISBLANK(patch[[#This Row],[project]]), "",COUNTIFS($A:$A,patch[[#This Row],[number]],$S:$S, "SH And dev",$AD:$AD, "&lt;&gt;IntegratorValidationComment"))</f>
        <v/>
      </c>
      <c r="AC666" s="7" t="str">
        <f>IF(OR(ISNUMBER(FIND("Review-1", patch[[#This Row],[comments]])), ISNUMBER(FIND("Approver-1", patch[[#This Row],[comments]]))), "Review-1", "")</f>
        <v/>
      </c>
      <c r="AD6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66" s="7">
        <f>IF(ISBLANK(patch[[#This Row],[number]]),AE665,patch[[#This Row],[ifCommon]])</f>
        <v>0</v>
      </c>
    </row>
    <row r="667" spans="1:31">
      <c r="A667" s="151">
        <v>147019</v>
      </c>
      <c r="B667" s="151"/>
      <c r="C667" s="151"/>
      <c r="D667" s="151"/>
      <c r="E667" s="151"/>
      <c r="F667" s="151"/>
      <c r="G667" s="151"/>
      <c r="H667" s="151"/>
      <c r="I667" s="151"/>
      <c r="J667" s="152">
        <v>42636.729849537027</v>
      </c>
      <c r="K667" s="151"/>
      <c r="L667" s="151" t="s">
        <v>59</v>
      </c>
      <c r="M667" s="152">
        <v>42635.55804398148</v>
      </c>
      <c r="N667" s="151" t="s">
        <v>2937</v>
      </c>
      <c r="O667" s="151"/>
      <c r="P667" s="151"/>
      <c r="Q667" s="7" t="str">
        <f>IF(ISBLANK(patch[[#This Row],[OwnerEmail]]),Q666,patch[[#This Row],[OwnerEmail]])</f>
        <v>gang.a.hu@intel.com</v>
      </c>
      <c r="R667" s="7" t="str">
        <f>_xlfn.IFNA(VLOOKUP(patch[[#This Row],[tmp-owner.email]],OrgTree!$A:$K, 11, 0), "not ICG SWFW")</f>
        <v>BJ And dev</v>
      </c>
      <c r="S667" s="7" t="str">
        <f>IF(patch[[#This Row],[reviewer]]=patch[[#This Row],[tmp-owner.email]], "author", _xlfn.IFNA(VLOOKUP(patch[[#This Row],[reviewer]],OrgTree!$A:$K, 11, 0), "not ICG SWFW"))</f>
        <v>BJ And dev</v>
      </c>
      <c r="T667" s="7" t="str">
        <f>IF(ISBLANK(patch[[#This Row],[mergeDate]]), "", MID(YEAR(patch[[#This Row],[mergeDate]]), 3,2)&amp;"'ww"&amp;WEEKNUM(patch[[#This Row],[mergeDate]]))</f>
        <v>16'ww39</v>
      </c>
      <c r="U667" s="7" t="str">
        <f>IF(ISBLANK(patch[[#This Row],[mergeDate]]), U666, MID(YEAR(patch[[#This Row],[mergeDate]]), 3,2)&amp;"'m"&amp;MONTH(patch[[#This Row],[mergeDate]]))</f>
        <v>16'm9</v>
      </c>
      <c r="V667" s="7" t="str">
        <f>IF(ISBLANK(patch[[#This Row],[project]]), "",SUM(patch[[#This Row],[BJ -1 num]:[SH -1 num]]))</f>
        <v/>
      </c>
      <c r="W667" s="7" t="str">
        <f>IF(ISBLANK(patch[[#This Row],[project]]), "",COUNTIFS($A:$A,patch[[#This Row],[number]],$S:$S, "BJ And dev",$AC:$AC, "Review-1"))</f>
        <v/>
      </c>
      <c r="X667" s="7" t="str">
        <f>IF(ISBLANK(patch[[#This Row],[project]]), "",COUNTIFS($A:$A,patch[[#This Row],[number]],$S:$S, "FL And dev",$AC:$AC, "Review-1"))</f>
        <v/>
      </c>
      <c r="Y667" s="7" t="str">
        <f>IF(ISBLANK(patch[[#This Row],[project]]), "",COUNTIFS($A:$A,patch[[#This Row],[number]],$S:$S, "SH And dev",$AC:$AC, "Review-1"))</f>
        <v/>
      </c>
      <c r="Z667" s="7" t="str">
        <f>IF(ISBLANK(patch[[#This Row],[project]]), "",COUNTIFS($A:$A,patch[[#This Row],[number]],$S:$S, "BJ And dev",$AD:$AD, "&lt;&gt;IntegratorValidationComment"))</f>
        <v/>
      </c>
      <c r="AA667" s="7" t="str">
        <f>IF(ISBLANK(patch[[#This Row],[project]]), "",COUNTIFS($A:$A,patch[[#This Row],[number]],$S:$S, "FL And dev",$AD:$AD, "&lt;&gt;IntegratorValidationComment"))</f>
        <v/>
      </c>
      <c r="AB667" s="7" t="str">
        <f>IF(ISBLANK(patch[[#This Row],[project]]), "",COUNTIFS($A:$A,patch[[#This Row],[number]],$S:$S, "SH And dev",$AD:$AD, "&lt;&gt;IntegratorValidationComment"))</f>
        <v/>
      </c>
      <c r="AC667" s="7" t="str">
        <f>IF(OR(ISNUMBER(FIND("Review-1", patch[[#This Row],[comments]])), ISNUMBER(FIND("Approver-1", patch[[#This Row],[comments]]))), "Review-1", "")</f>
        <v/>
      </c>
      <c r="AD6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67" s="7">
        <f>IF(ISBLANK(patch[[#This Row],[number]]),AE666,patch[[#This Row],[ifCommon]])</f>
        <v>0</v>
      </c>
    </row>
    <row r="668" spans="1:31">
      <c r="A668" s="151">
        <v>147019</v>
      </c>
      <c r="B668" s="151"/>
      <c r="C668" s="151"/>
      <c r="D668" s="151"/>
      <c r="E668" s="151"/>
      <c r="F668" s="151"/>
      <c r="G668" s="151"/>
      <c r="H668" s="151"/>
      <c r="I668" s="151"/>
      <c r="J668" s="152">
        <v>42636.729849537027</v>
      </c>
      <c r="K668" s="151"/>
      <c r="L668" s="151" t="s">
        <v>59</v>
      </c>
      <c r="M668" s="152">
        <v>42635.559421296297</v>
      </c>
      <c r="N668" s="151" t="s">
        <v>2938</v>
      </c>
      <c r="O668" s="151"/>
      <c r="P668" s="151"/>
      <c r="Q668" s="7" t="str">
        <f>IF(ISBLANK(patch[[#This Row],[OwnerEmail]]),Q667,patch[[#This Row],[OwnerEmail]])</f>
        <v>gang.a.hu@intel.com</v>
      </c>
      <c r="R668" s="7" t="str">
        <f>_xlfn.IFNA(VLOOKUP(patch[[#This Row],[tmp-owner.email]],OrgTree!$A:$K, 11, 0), "not ICG SWFW")</f>
        <v>BJ And dev</v>
      </c>
      <c r="S668" s="7" t="str">
        <f>IF(patch[[#This Row],[reviewer]]=patch[[#This Row],[tmp-owner.email]], "author", _xlfn.IFNA(VLOOKUP(patch[[#This Row],[reviewer]],OrgTree!$A:$K, 11, 0), "not ICG SWFW"))</f>
        <v>BJ And dev</v>
      </c>
      <c r="T668" s="7" t="str">
        <f>IF(ISBLANK(patch[[#This Row],[mergeDate]]), "", MID(YEAR(patch[[#This Row],[mergeDate]]), 3,2)&amp;"'ww"&amp;WEEKNUM(patch[[#This Row],[mergeDate]]))</f>
        <v>16'ww39</v>
      </c>
      <c r="U668" s="7" t="str">
        <f>IF(ISBLANK(patch[[#This Row],[mergeDate]]), U667, MID(YEAR(patch[[#This Row],[mergeDate]]), 3,2)&amp;"'m"&amp;MONTH(patch[[#This Row],[mergeDate]]))</f>
        <v>16'm9</v>
      </c>
      <c r="V668" s="7" t="str">
        <f>IF(ISBLANK(patch[[#This Row],[project]]), "",SUM(patch[[#This Row],[BJ -1 num]:[SH -1 num]]))</f>
        <v/>
      </c>
      <c r="W668" s="7" t="str">
        <f>IF(ISBLANK(patch[[#This Row],[project]]), "",COUNTIFS($A:$A,patch[[#This Row],[number]],$S:$S, "BJ And dev",$AC:$AC, "Review-1"))</f>
        <v/>
      </c>
      <c r="X668" s="7" t="str">
        <f>IF(ISBLANK(patch[[#This Row],[project]]), "",COUNTIFS($A:$A,patch[[#This Row],[number]],$S:$S, "FL And dev",$AC:$AC, "Review-1"))</f>
        <v/>
      </c>
      <c r="Y668" s="7" t="str">
        <f>IF(ISBLANK(patch[[#This Row],[project]]), "",COUNTIFS($A:$A,patch[[#This Row],[number]],$S:$S, "SH And dev",$AC:$AC, "Review-1"))</f>
        <v/>
      </c>
      <c r="Z668" s="7" t="str">
        <f>IF(ISBLANK(patch[[#This Row],[project]]), "",COUNTIFS($A:$A,patch[[#This Row],[number]],$S:$S, "BJ And dev",$AD:$AD, "&lt;&gt;IntegratorValidationComment"))</f>
        <v/>
      </c>
      <c r="AA668" s="7" t="str">
        <f>IF(ISBLANK(patch[[#This Row],[project]]), "",COUNTIFS($A:$A,patch[[#This Row],[number]],$S:$S, "FL And dev",$AD:$AD, "&lt;&gt;IntegratorValidationComment"))</f>
        <v/>
      </c>
      <c r="AB668" s="7" t="str">
        <f>IF(ISBLANK(patch[[#This Row],[project]]), "",COUNTIFS($A:$A,patch[[#This Row],[number]],$S:$S, "SH And dev",$AD:$AD, "&lt;&gt;IntegratorValidationComment"))</f>
        <v/>
      </c>
      <c r="AC668" s="7" t="str">
        <f>IF(OR(ISNUMBER(FIND("Review-1", patch[[#This Row],[comments]])), ISNUMBER(FIND("Approver-1", patch[[#This Row],[comments]]))), "Review-1", "")</f>
        <v/>
      </c>
      <c r="AD6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68" s="7">
        <f>IF(ISBLANK(patch[[#This Row],[number]]),AE667,patch[[#This Row],[ifCommon]])</f>
        <v>0</v>
      </c>
    </row>
    <row r="669" spans="1:31">
      <c r="A669" s="151">
        <v>147019</v>
      </c>
      <c r="B669" s="151"/>
      <c r="C669" s="151"/>
      <c r="D669" s="151"/>
      <c r="E669" s="151"/>
      <c r="F669" s="151"/>
      <c r="G669" s="151"/>
      <c r="H669" s="151"/>
      <c r="I669" s="151"/>
      <c r="J669" s="152">
        <v>42636.729849537027</v>
      </c>
      <c r="K669" s="151"/>
      <c r="L669" s="151" t="s">
        <v>59</v>
      </c>
      <c r="M669" s="152">
        <v>42635.587951388887</v>
      </c>
      <c r="N669" s="151" t="s">
        <v>2939</v>
      </c>
      <c r="O669" s="151"/>
      <c r="P669" s="151"/>
      <c r="Q669" s="7" t="str">
        <f>IF(ISBLANK(patch[[#This Row],[OwnerEmail]]),Q668,patch[[#This Row],[OwnerEmail]])</f>
        <v>gang.a.hu@intel.com</v>
      </c>
      <c r="R669" s="7" t="str">
        <f>_xlfn.IFNA(VLOOKUP(patch[[#This Row],[tmp-owner.email]],OrgTree!$A:$K, 11, 0), "not ICG SWFW")</f>
        <v>BJ And dev</v>
      </c>
      <c r="S669" s="7" t="str">
        <f>IF(patch[[#This Row],[reviewer]]=patch[[#This Row],[tmp-owner.email]], "author", _xlfn.IFNA(VLOOKUP(patch[[#This Row],[reviewer]],OrgTree!$A:$K, 11, 0), "not ICG SWFW"))</f>
        <v>BJ And dev</v>
      </c>
      <c r="T669" s="7" t="str">
        <f>IF(ISBLANK(patch[[#This Row],[mergeDate]]), "", MID(YEAR(patch[[#This Row],[mergeDate]]), 3,2)&amp;"'ww"&amp;WEEKNUM(patch[[#This Row],[mergeDate]]))</f>
        <v>16'ww39</v>
      </c>
      <c r="U669" s="7" t="str">
        <f>IF(ISBLANK(patch[[#This Row],[mergeDate]]), U668, MID(YEAR(patch[[#This Row],[mergeDate]]), 3,2)&amp;"'m"&amp;MONTH(patch[[#This Row],[mergeDate]]))</f>
        <v>16'm9</v>
      </c>
      <c r="V669" s="7" t="str">
        <f>IF(ISBLANK(patch[[#This Row],[project]]), "",SUM(patch[[#This Row],[BJ -1 num]:[SH -1 num]]))</f>
        <v/>
      </c>
      <c r="W669" s="7" t="str">
        <f>IF(ISBLANK(patch[[#This Row],[project]]), "",COUNTIFS($A:$A,patch[[#This Row],[number]],$S:$S, "BJ And dev",$AC:$AC, "Review-1"))</f>
        <v/>
      </c>
      <c r="X669" s="7" t="str">
        <f>IF(ISBLANK(patch[[#This Row],[project]]), "",COUNTIFS($A:$A,patch[[#This Row],[number]],$S:$S, "FL And dev",$AC:$AC, "Review-1"))</f>
        <v/>
      </c>
      <c r="Y669" s="7" t="str">
        <f>IF(ISBLANK(patch[[#This Row],[project]]), "",COUNTIFS($A:$A,patch[[#This Row],[number]],$S:$S, "SH And dev",$AC:$AC, "Review-1"))</f>
        <v/>
      </c>
      <c r="Z669" s="7" t="str">
        <f>IF(ISBLANK(patch[[#This Row],[project]]), "",COUNTIFS($A:$A,patch[[#This Row],[number]],$S:$S, "BJ And dev",$AD:$AD, "&lt;&gt;IntegratorValidationComment"))</f>
        <v/>
      </c>
      <c r="AA669" s="7" t="str">
        <f>IF(ISBLANK(patch[[#This Row],[project]]), "",COUNTIFS($A:$A,patch[[#This Row],[number]],$S:$S, "FL And dev",$AD:$AD, "&lt;&gt;IntegratorValidationComment"))</f>
        <v/>
      </c>
      <c r="AB669" s="7" t="str">
        <f>IF(ISBLANK(patch[[#This Row],[project]]), "",COUNTIFS($A:$A,patch[[#This Row],[number]],$S:$S, "SH And dev",$AD:$AD, "&lt;&gt;IntegratorValidationComment"))</f>
        <v/>
      </c>
      <c r="AC669" s="7" t="str">
        <f>IF(OR(ISNUMBER(FIND("Review-1", patch[[#This Row],[comments]])), ISNUMBER(FIND("Approver-1", patch[[#This Row],[comments]]))), "Review-1", "")</f>
        <v/>
      </c>
      <c r="AD6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69" s="7">
        <f>IF(ISBLANK(patch[[#This Row],[number]]),AE668,patch[[#This Row],[ifCommon]])</f>
        <v>0</v>
      </c>
    </row>
    <row r="670" spans="1:31">
      <c r="A670" s="151">
        <v>147019</v>
      </c>
      <c r="B670" s="151"/>
      <c r="C670" s="151"/>
      <c r="D670" s="151"/>
      <c r="E670" s="151"/>
      <c r="F670" s="151"/>
      <c r="G670" s="151"/>
      <c r="H670" s="151"/>
      <c r="I670" s="151"/>
      <c r="J670" s="152">
        <v>42636.729849537027</v>
      </c>
      <c r="K670" s="151"/>
      <c r="L670" s="151" t="s">
        <v>59</v>
      </c>
      <c r="M670" s="152">
        <v>42635.589722222219</v>
      </c>
      <c r="N670" s="151" t="s">
        <v>2940</v>
      </c>
      <c r="O670" s="151"/>
      <c r="P670" s="151"/>
      <c r="Q670" s="7" t="str">
        <f>IF(ISBLANK(patch[[#This Row],[OwnerEmail]]),Q669,patch[[#This Row],[OwnerEmail]])</f>
        <v>gang.a.hu@intel.com</v>
      </c>
      <c r="R670" s="7" t="str">
        <f>_xlfn.IFNA(VLOOKUP(patch[[#This Row],[tmp-owner.email]],OrgTree!$A:$K, 11, 0), "not ICG SWFW")</f>
        <v>BJ And dev</v>
      </c>
      <c r="S670" s="7" t="str">
        <f>IF(patch[[#This Row],[reviewer]]=patch[[#This Row],[tmp-owner.email]], "author", _xlfn.IFNA(VLOOKUP(patch[[#This Row],[reviewer]],OrgTree!$A:$K, 11, 0), "not ICG SWFW"))</f>
        <v>BJ And dev</v>
      </c>
      <c r="T670" s="7" t="str">
        <f>IF(ISBLANK(patch[[#This Row],[mergeDate]]), "", MID(YEAR(patch[[#This Row],[mergeDate]]), 3,2)&amp;"'ww"&amp;WEEKNUM(patch[[#This Row],[mergeDate]]))</f>
        <v>16'ww39</v>
      </c>
      <c r="U670" s="7" t="str">
        <f>IF(ISBLANK(patch[[#This Row],[mergeDate]]), U669, MID(YEAR(patch[[#This Row],[mergeDate]]), 3,2)&amp;"'m"&amp;MONTH(patch[[#This Row],[mergeDate]]))</f>
        <v>16'm9</v>
      </c>
      <c r="V670" s="7" t="str">
        <f>IF(ISBLANK(patch[[#This Row],[project]]), "",SUM(patch[[#This Row],[BJ -1 num]:[SH -1 num]]))</f>
        <v/>
      </c>
      <c r="W670" s="7" t="str">
        <f>IF(ISBLANK(patch[[#This Row],[project]]), "",COUNTIFS($A:$A,patch[[#This Row],[number]],$S:$S, "BJ And dev",$AC:$AC, "Review-1"))</f>
        <v/>
      </c>
      <c r="X670" s="7" t="str">
        <f>IF(ISBLANK(patch[[#This Row],[project]]), "",COUNTIFS($A:$A,patch[[#This Row],[number]],$S:$S, "FL And dev",$AC:$AC, "Review-1"))</f>
        <v/>
      </c>
      <c r="Y670" s="7" t="str">
        <f>IF(ISBLANK(patch[[#This Row],[project]]), "",COUNTIFS($A:$A,patch[[#This Row],[number]],$S:$S, "SH And dev",$AC:$AC, "Review-1"))</f>
        <v/>
      </c>
      <c r="Z670" s="7" t="str">
        <f>IF(ISBLANK(patch[[#This Row],[project]]), "",COUNTIFS($A:$A,patch[[#This Row],[number]],$S:$S, "BJ And dev",$AD:$AD, "&lt;&gt;IntegratorValidationComment"))</f>
        <v/>
      </c>
      <c r="AA670" s="7" t="str">
        <f>IF(ISBLANK(patch[[#This Row],[project]]), "",COUNTIFS($A:$A,patch[[#This Row],[number]],$S:$S, "FL And dev",$AD:$AD, "&lt;&gt;IntegratorValidationComment"))</f>
        <v/>
      </c>
      <c r="AB670" s="7" t="str">
        <f>IF(ISBLANK(patch[[#This Row],[project]]), "",COUNTIFS($A:$A,patch[[#This Row],[number]],$S:$S, "SH And dev",$AD:$AD, "&lt;&gt;IntegratorValidationComment"))</f>
        <v/>
      </c>
      <c r="AC670" s="7" t="str">
        <f>IF(OR(ISNUMBER(FIND("Review-1", patch[[#This Row],[comments]])), ISNUMBER(FIND("Approver-1", patch[[#This Row],[comments]]))), "Review-1", "")</f>
        <v/>
      </c>
      <c r="AD6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70" s="7">
        <f>IF(ISBLANK(patch[[#This Row],[number]]),AE669,patch[[#This Row],[ifCommon]])</f>
        <v>0</v>
      </c>
    </row>
    <row r="671" spans="1:31">
      <c r="A671" s="151">
        <v>147019</v>
      </c>
      <c r="B671" s="151"/>
      <c r="C671" s="151"/>
      <c r="D671" s="151"/>
      <c r="E671" s="151"/>
      <c r="F671" s="151"/>
      <c r="G671" s="151"/>
      <c r="H671" s="151"/>
      <c r="I671" s="151"/>
      <c r="J671" s="152">
        <v>42636.729849537027</v>
      </c>
      <c r="K671" s="151"/>
      <c r="L671" s="151" t="s">
        <v>59</v>
      </c>
      <c r="M671" s="152">
        <v>42635.596134259264</v>
      </c>
      <c r="N671" s="151" t="s">
        <v>2941</v>
      </c>
      <c r="O671" s="151"/>
      <c r="P671" s="151"/>
      <c r="Q671" s="7" t="str">
        <f>IF(ISBLANK(patch[[#This Row],[OwnerEmail]]),Q670,patch[[#This Row],[OwnerEmail]])</f>
        <v>gang.a.hu@intel.com</v>
      </c>
      <c r="R671" s="7" t="str">
        <f>_xlfn.IFNA(VLOOKUP(patch[[#This Row],[tmp-owner.email]],OrgTree!$A:$K, 11, 0), "not ICG SWFW")</f>
        <v>BJ And dev</v>
      </c>
      <c r="S671" s="7" t="str">
        <f>IF(patch[[#This Row],[reviewer]]=patch[[#This Row],[tmp-owner.email]], "author", _xlfn.IFNA(VLOOKUP(patch[[#This Row],[reviewer]],OrgTree!$A:$K, 11, 0), "not ICG SWFW"))</f>
        <v>BJ And dev</v>
      </c>
      <c r="T671" s="7" t="str">
        <f>IF(ISBLANK(patch[[#This Row],[mergeDate]]), "", MID(YEAR(patch[[#This Row],[mergeDate]]), 3,2)&amp;"'ww"&amp;WEEKNUM(patch[[#This Row],[mergeDate]]))</f>
        <v>16'ww39</v>
      </c>
      <c r="U671" s="7" t="str">
        <f>IF(ISBLANK(patch[[#This Row],[mergeDate]]), U670, MID(YEAR(patch[[#This Row],[mergeDate]]), 3,2)&amp;"'m"&amp;MONTH(patch[[#This Row],[mergeDate]]))</f>
        <v>16'm9</v>
      </c>
      <c r="V671" s="7" t="str">
        <f>IF(ISBLANK(patch[[#This Row],[project]]), "",SUM(patch[[#This Row],[BJ -1 num]:[SH -1 num]]))</f>
        <v/>
      </c>
      <c r="W671" s="7" t="str">
        <f>IF(ISBLANK(patch[[#This Row],[project]]), "",COUNTIFS($A:$A,patch[[#This Row],[number]],$S:$S, "BJ And dev",$AC:$AC, "Review-1"))</f>
        <v/>
      </c>
      <c r="X671" s="7" t="str">
        <f>IF(ISBLANK(patch[[#This Row],[project]]), "",COUNTIFS($A:$A,patch[[#This Row],[number]],$S:$S, "FL And dev",$AC:$AC, "Review-1"))</f>
        <v/>
      </c>
      <c r="Y671" s="7" t="str">
        <f>IF(ISBLANK(patch[[#This Row],[project]]), "",COUNTIFS($A:$A,patch[[#This Row],[number]],$S:$S, "SH And dev",$AC:$AC, "Review-1"))</f>
        <v/>
      </c>
      <c r="Z671" s="7" t="str">
        <f>IF(ISBLANK(patch[[#This Row],[project]]), "",COUNTIFS($A:$A,patch[[#This Row],[number]],$S:$S, "BJ And dev",$AD:$AD, "&lt;&gt;IntegratorValidationComment"))</f>
        <v/>
      </c>
      <c r="AA671" s="7" t="str">
        <f>IF(ISBLANK(patch[[#This Row],[project]]), "",COUNTIFS($A:$A,patch[[#This Row],[number]],$S:$S, "FL And dev",$AD:$AD, "&lt;&gt;IntegratorValidationComment"))</f>
        <v/>
      </c>
      <c r="AB671" s="7" t="str">
        <f>IF(ISBLANK(patch[[#This Row],[project]]), "",COUNTIFS($A:$A,patch[[#This Row],[number]],$S:$S, "SH And dev",$AD:$AD, "&lt;&gt;IntegratorValidationComment"))</f>
        <v/>
      </c>
      <c r="AC671" s="7" t="str">
        <f>IF(OR(ISNUMBER(FIND("Review-1", patch[[#This Row],[comments]])), ISNUMBER(FIND("Approver-1", patch[[#This Row],[comments]]))), "Review-1", "")</f>
        <v/>
      </c>
      <c r="AD6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71" s="7">
        <f>IF(ISBLANK(patch[[#This Row],[number]]),AE670,patch[[#This Row],[ifCommon]])</f>
        <v>0</v>
      </c>
    </row>
    <row r="672" spans="1:31">
      <c r="A672" s="151">
        <v>147019</v>
      </c>
      <c r="B672" s="151"/>
      <c r="C672" s="151"/>
      <c r="D672" s="151"/>
      <c r="E672" s="151"/>
      <c r="F672" s="151"/>
      <c r="G672" s="151"/>
      <c r="H672" s="151"/>
      <c r="I672" s="151"/>
      <c r="J672" s="152">
        <v>42636.729849537027</v>
      </c>
      <c r="K672" s="151"/>
      <c r="L672" s="151" t="s">
        <v>59</v>
      </c>
      <c r="M672" s="152">
        <v>42635.597094907411</v>
      </c>
      <c r="N672" s="151" t="s">
        <v>2942</v>
      </c>
      <c r="O672" s="151"/>
      <c r="P672" s="151"/>
      <c r="Q672" s="7" t="str">
        <f>IF(ISBLANK(patch[[#This Row],[OwnerEmail]]),Q671,patch[[#This Row],[OwnerEmail]])</f>
        <v>gang.a.hu@intel.com</v>
      </c>
      <c r="R672" s="7" t="str">
        <f>_xlfn.IFNA(VLOOKUP(patch[[#This Row],[tmp-owner.email]],OrgTree!$A:$K, 11, 0), "not ICG SWFW")</f>
        <v>BJ And dev</v>
      </c>
      <c r="S672" s="7" t="str">
        <f>IF(patch[[#This Row],[reviewer]]=patch[[#This Row],[tmp-owner.email]], "author", _xlfn.IFNA(VLOOKUP(patch[[#This Row],[reviewer]],OrgTree!$A:$K, 11, 0), "not ICG SWFW"))</f>
        <v>BJ And dev</v>
      </c>
      <c r="T672" s="7" t="str">
        <f>IF(ISBLANK(patch[[#This Row],[mergeDate]]), "", MID(YEAR(patch[[#This Row],[mergeDate]]), 3,2)&amp;"'ww"&amp;WEEKNUM(patch[[#This Row],[mergeDate]]))</f>
        <v>16'ww39</v>
      </c>
      <c r="U672" s="7" t="str">
        <f>IF(ISBLANK(patch[[#This Row],[mergeDate]]), U671, MID(YEAR(patch[[#This Row],[mergeDate]]), 3,2)&amp;"'m"&amp;MONTH(patch[[#This Row],[mergeDate]]))</f>
        <v>16'm9</v>
      </c>
      <c r="V672" s="7" t="str">
        <f>IF(ISBLANK(patch[[#This Row],[project]]), "",SUM(patch[[#This Row],[BJ -1 num]:[SH -1 num]]))</f>
        <v/>
      </c>
      <c r="W672" s="7" t="str">
        <f>IF(ISBLANK(patch[[#This Row],[project]]), "",COUNTIFS($A:$A,patch[[#This Row],[number]],$S:$S, "BJ And dev",$AC:$AC, "Review-1"))</f>
        <v/>
      </c>
      <c r="X672" s="7" t="str">
        <f>IF(ISBLANK(patch[[#This Row],[project]]), "",COUNTIFS($A:$A,patch[[#This Row],[number]],$S:$S, "FL And dev",$AC:$AC, "Review-1"))</f>
        <v/>
      </c>
      <c r="Y672" s="7" t="str">
        <f>IF(ISBLANK(patch[[#This Row],[project]]), "",COUNTIFS($A:$A,patch[[#This Row],[number]],$S:$S, "SH And dev",$AC:$AC, "Review-1"))</f>
        <v/>
      </c>
      <c r="Z672" s="7" t="str">
        <f>IF(ISBLANK(patch[[#This Row],[project]]), "",COUNTIFS($A:$A,patch[[#This Row],[number]],$S:$S, "BJ And dev",$AD:$AD, "&lt;&gt;IntegratorValidationComment"))</f>
        <v/>
      </c>
      <c r="AA672" s="7" t="str">
        <f>IF(ISBLANK(patch[[#This Row],[project]]), "",COUNTIFS($A:$A,patch[[#This Row],[number]],$S:$S, "FL And dev",$AD:$AD, "&lt;&gt;IntegratorValidationComment"))</f>
        <v/>
      </c>
      <c r="AB672" s="7" t="str">
        <f>IF(ISBLANK(patch[[#This Row],[project]]), "",COUNTIFS($A:$A,patch[[#This Row],[number]],$S:$S, "SH And dev",$AD:$AD, "&lt;&gt;IntegratorValidationComment"))</f>
        <v/>
      </c>
      <c r="AC672" s="7" t="str">
        <f>IF(OR(ISNUMBER(FIND("Review-1", patch[[#This Row],[comments]])), ISNUMBER(FIND("Approver-1", patch[[#This Row],[comments]]))), "Review-1", "")</f>
        <v/>
      </c>
      <c r="AD6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72" s="7">
        <f>IF(ISBLANK(patch[[#This Row],[number]]),AE671,patch[[#This Row],[ifCommon]])</f>
        <v>0</v>
      </c>
    </row>
    <row r="673" spans="1:31">
      <c r="A673" s="151">
        <v>147019</v>
      </c>
      <c r="B673" s="151"/>
      <c r="C673" s="151"/>
      <c r="D673" s="151"/>
      <c r="E673" s="151"/>
      <c r="F673" s="151"/>
      <c r="G673" s="151"/>
      <c r="H673" s="151"/>
      <c r="I673" s="151"/>
      <c r="J673" s="152">
        <v>42636.729849537027</v>
      </c>
      <c r="K673" s="151"/>
      <c r="L673" s="151" t="s">
        <v>24</v>
      </c>
      <c r="M673" s="152">
        <v>42635.665601851862</v>
      </c>
      <c r="N673" s="151" t="s">
        <v>1880</v>
      </c>
      <c r="O673" s="151"/>
      <c r="P673" s="151"/>
      <c r="Q673" s="7" t="str">
        <f>IF(ISBLANK(patch[[#This Row],[OwnerEmail]]),Q672,patch[[#This Row],[OwnerEmail]])</f>
        <v>gang.a.hu@intel.com</v>
      </c>
      <c r="R673" s="7" t="str">
        <f>_xlfn.IFNA(VLOOKUP(patch[[#This Row],[tmp-owner.email]],OrgTree!$A:$K, 11, 0), "not ICG SWFW")</f>
        <v>BJ And dev</v>
      </c>
      <c r="S673" s="7" t="str">
        <f>IF(patch[[#This Row],[reviewer]]=patch[[#This Row],[tmp-owner.email]], "author", _xlfn.IFNA(VLOOKUP(patch[[#This Row],[reviewer]],OrgTree!$A:$K, 11, 0), "not ICG SWFW"))</f>
        <v>BJ And dev</v>
      </c>
      <c r="T673" s="7" t="str">
        <f>IF(ISBLANK(patch[[#This Row],[mergeDate]]), "", MID(YEAR(patch[[#This Row],[mergeDate]]), 3,2)&amp;"'ww"&amp;WEEKNUM(patch[[#This Row],[mergeDate]]))</f>
        <v>16'ww39</v>
      </c>
      <c r="U673" s="7" t="str">
        <f>IF(ISBLANK(patch[[#This Row],[mergeDate]]), U672, MID(YEAR(patch[[#This Row],[mergeDate]]), 3,2)&amp;"'m"&amp;MONTH(patch[[#This Row],[mergeDate]]))</f>
        <v>16'm9</v>
      </c>
      <c r="V673" s="7" t="str">
        <f>IF(ISBLANK(patch[[#This Row],[project]]), "",SUM(patch[[#This Row],[BJ -1 num]:[SH -1 num]]))</f>
        <v/>
      </c>
      <c r="W673" s="7" t="str">
        <f>IF(ISBLANK(patch[[#This Row],[project]]), "",COUNTIFS($A:$A,patch[[#This Row],[number]],$S:$S, "BJ And dev",$AC:$AC, "Review-1"))</f>
        <v/>
      </c>
      <c r="X673" s="7" t="str">
        <f>IF(ISBLANK(patch[[#This Row],[project]]), "",COUNTIFS($A:$A,patch[[#This Row],[number]],$S:$S, "FL And dev",$AC:$AC, "Review-1"))</f>
        <v/>
      </c>
      <c r="Y673" s="7" t="str">
        <f>IF(ISBLANK(patch[[#This Row],[project]]), "",COUNTIFS($A:$A,patch[[#This Row],[number]],$S:$S, "SH And dev",$AC:$AC, "Review-1"))</f>
        <v/>
      </c>
      <c r="Z673" s="7" t="str">
        <f>IF(ISBLANK(patch[[#This Row],[project]]), "",COUNTIFS($A:$A,patch[[#This Row],[number]],$S:$S, "BJ And dev",$AD:$AD, "&lt;&gt;IntegratorValidationComment"))</f>
        <v/>
      </c>
      <c r="AA673" s="7" t="str">
        <f>IF(ISBLANK(patch[[#This Row],[project]]), "",COUNTIFS($A:$A,patch[[#This Row],[number]],$S:$S, "FL And dev",$AD:$AD, "&lt;&gt;IntegratorValidationComment"))</f>
        <v/>
      </c>
      <c r="AB673" s="7" t="str">
        <f>IF(ISBLANK(patch[[#This Row],[project]]), "",COUNTIFS($A:$A,patch[[#This Row],[number]],$S:$S, "SH And dev",$AD:$AD, "&lt;&gt;IntegratorValidationComment"))</f>
        <v/>
      </c>
      <c r="AC673" s="7" t="str">
        <f>IF(OR(ISNUMBER(FIND("Review-1", patch[[#This Row],[comments]])), ISNUMBER(FIND("Approver-1", patch[[#This Row],[comments]]))), "Review-1", "")</f>
        <v/>
      </c>
      <c r="AD6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73" s="7">
        <f>IF(ISBLANK(patch[[#This Row],[number]]),AE672,patch[[#This Row],[ifCommon]])</f>
        <v>0</v>
      </c>
    </row>
    <row r="674" spans="1:31">
      <c r="A674" s="151">
        <v>147019</v>
      </c>
      <c r="B674" s="151"/>
      <c r="C674" s="151"/>
      <c r="D674" s="151"/>
      <c r="E674" s="151"/>
      <c r="F674" s="151"/>
      <c r="G674" s="151"/>
      <c r="H674" s="151"/>
      <c r="I674" s="151"/>
      <c r="J674" s="152">
        <v>42636.729849537027</v>
      </c>
      <c r="K674" s="151"/>
      <c r="L674" s="151" t="s">
        <v>115</v>
      </c>
      <c r="M674" s="152">
        <v>42636.421724537038</v>
      </c>
      <c r="N674" s="151" t="s">
        <v>2494</v>
      </c>
      <c r="O674" s="151"/>
      <c r="P674" s="151"/>
      <c r="Q674" s="7" t="str">
        <f>IF(ISBLANK(patch[[#This Row],[OwnerEmail]]),Q673,patch[[#This Row],[OwnerEmail]])</f>
        <v>gang.a.hu@intel.com</v>
      </c>
      <c r="R674" s="7" t="str">
        <f>_xlfn.IFNA(VLOOKUP(patch[[#This Row],[tmp-owner.email]],OrgTree!$A:$K, 11, 0), "not ICG SWFW")</f>
        <v>BJ And dev</v>
      </c>
      <c r="S674" s="7" t="str">
        <f>IF(patch[[#This Row],[reviewer]]=patch[[#This Row],[tmp-owner.email]], "author", _xlfn.IFNA(VLOOKUP(patch[[#This Row],[reviewer]],OrgTree!$A:$K, 11, 0), "not ICG SWFW"))</f>
        <v>Val</v>
      </c>
      <c r="T674" s="7" t="str">
        <f>IF(ISBLANK(patch[[#This Row],[mergeDate]]), "", MID(YEAR(patch[[#This Row],[mergeDate]]), 3,2)&amp;"'ww"&amp;WEEKNUM(patch[[#This Row],[mergeDate]]))</f>
        <v>16'ww39</v>
      </c>
      <c r="U674" s="7" t="str">
        <f>IF(ISBLANK(patch[[#This Row],[mergeDate]]), U673, MID(YEAR(patch[[#This Row],[mergeDate]]), 3,2)&amp;"'m"&amp;MONTH(patch[[#This Row],[mergeDate]]))</f>
        <v>16'm9</v>
      </c>
      <c r="V674" s="7" t="str">
        <f>IF(ISBLANK(patch[[#This Row],[project]]), "",SUM(patch[[#This Row],[BJ -1 num]:[SH -1 num]]))</f>
        <v/>
      </c>
      <c r="W674" s="7" t="str">
        <f>IF(ISBLANK(patch[[#This Row],[project]]), "",COUNTIFS($A:$A,patch[[#This Row],[number]],$S:$S, "BJ And dev",$AC:$AC, "Review-1"))</f>
        <v/>
      </c>
      <c r="X674" s="7" t="str">
        <f>IF(ISBLANK(patch[[#This Row],[project]]), "",COUNTIFS($A:$A,patch[[#This Row],[number]],$S:$S, "FL And dev",$AC:$AC, "Review-1"))</f>
        <v/>
      </c>
      <c r="Y674" s="7" t="str">
        <f>IF(ISBLANK(patch[[#This Row],[project]]), "",COUNTIFS($A:$A,patch[[#This Row],[number]],$S:$S, "SH And dev",$AC:$AC, "Review-1"))</f>
        <v/>
      </c>
      <c r="Z674" s="7" t="str">
        <f>IF(ISBLANK(patch[[#This Row],[project]]), "",COUNTIFS($A:$A,patch[[#This Row],[number]],$S:$S, "BJ And dev",$AD:$AD, "&lt;&gt;IntegratorValidationComment"))</f>
        <v/>
      </c>
      <c r="AA674" s="7" t="str">
        <f>IF(ISBLANK(patch[[#This Row],[project]]), "",COUNTIFS($A:$A,patch[[#This Row],[number]],$S:$S, "FL And dev",$AD:$AD, "&lt;&gt;IntegratorValidationComment"))</f>
        <v/>
      </c>
      <c r="AB674" s="7" t="str">
        <f>IF(ISBLANK(patch[[#This Row],[project]]), "",COUNTIFS($A:$A,patch[[#This Row],[number]],$S:$S, "SH And dev",$AD:$AD, "&lt;&gt;IntegratorValidationComment"))</f>
        <v/>
      </c>
      <c r="AC674" s="7" t="str">
        <f>IF(OR(ISNUMBER(FIND("Review-1", patch[[#This Row],[comments]])), ISNUMBER(FIND("Approver-1", patch[[#This Row],[comments]]))), "Review-1", "")</f>
        <v/>
      </c>
      <c r="AD6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674" s="7">
        <f>IF(ISBLANK(patch[[#This Row],[number]]),AE673,patch[[#This Row],[ifCommon]])</f>
        <v>0</v>
      </c>
    </row>
    <row r="675" spans="1:31">
      <c r="A675" s="151">
        <v>147290</v>
      </c>
      <c r="B675" s="151" t="s">
        <v>2490</v>
      </c>
      <c r="C675" s="151" t="s">
        <v>2795</v>
      </c>
      <c r="D675" s="151" t="s">
        <v>2943</v>
      </c>
      <c r="E675" s="151" t="s">
        <v>677</v>
      </c>
      <c r="F675" s="151" t="s">
        <v>23</v>
      </c>
      <c r="G675" s="151" t="s">
        <v>2944</v>
      </c>
      <c r="H675" s="151" t="s">
        <v>2945</v>
      </c>
      <c r="I675" s="152">
        <v>42635.406354166669</v>
      </c>
      <c r="J675" s="152">
        <v>42635.713784722233</v>
      </c>
      <c r="K675" s="151" t="s">
        <v>2445</v>
      </c>
      <c r="L675" s="151" t="s">
        <v>677</v>
      </c>
      <c r="M675" s="152">
        <v>42635.406354166669</v>
      </c>
      <c r="N675" s="151" t="s">
        <v>25</v>
      </c>
      <c r="O675" s="151"/>
      <c r="P675" s="151" t="s">
        <v>59</v>
      </c>
      <c r="Q675" s="7" t="str">
        <f>IF(ISBLANK(patch[[#This Row],[OwnerEmail]]),Q674,patch[[#This Row],[OwnerEmail]])</f>
        <v>lipingx.xu@intel.com</v>
      </c>
      <c r="R675" s="7" t="str">
        <f>_xlfn.IFNA(VLOOKUP(patch[[#This Row],[tmp-owner.email]],OrgTree!$A:$K, 11, 0), "not ICG SWFW")</f>
        <v>BJ And dev</v>
      </c>
      <c r="S675" s="7" t="str">
        <f>IF(patch[[#This Row],[reviewer]]=patch[[#This Row],[tmp-owner.email]], "author", _xlfn.IFNA(VLOOKUP(patch[[#This Row],[reviewer]],OrgTree!$A:$K, 11, 0), "not ICG SWFW"))</f>
        <v>author</v>
      </c>
      <c r="T675" s="7" t="str">
        <f>IF(ISBLANK(patch[[#This Row],[mergeDate]]), "", MID(YEAR(patch[[#This Row],[mergeDate]]), 3,2)&amp;"'ww"&amp;WEEKNUM(patch[[#This Row],[mergeDate]]))</f>
        <v>16'ww39</v>
      </c>
      <c r="U675" s="7" t="str">
        <f>IF(ISBLANK(patch[[#This Row],[mergeDate]]), U674, MID(YEAR(patch[[#This Row],[mergeDate]]), 3,2)&amp;"'m"&amp;MONTH(patch[[#This Row],[mergeDate]]))</f>
        <v>16'm9</v>
      </c>
      <c r="V675" s="7">
        <f>IF(ISBLANK(patch[[#This Row],[project]]), "",SUM(patch[[#This Row],[BJ -1 num]:[SH -1 num]]))</f>
        <v>0</v>
      </c>
      <c r="W675" s="7">
        <f>IF(ISBLANK(patch[[#This Row],[project]]), "",COUNTIFS($A:$A,patch[[#This Row],[number]],$S:$S, "BJ And dev",$AC:$AC, "Review-1"))</f>
        <v>0</v>
      </c>
      <c r="X675" s="7">
        <f>IF(ISBLANK(patch[[#This Row],[project]]), "",COUNTIFS($A:$A,patch[[#This Row],[number]],$S:$S, "FL And dev",$AC:$AC, "Review-1"))</f>
        <v>0</v>
      </c>
      <c r="Y675" s="7">
        <f>IF(ISBLANK(patch[[#This Row],[project]]), "",COUNTIFS($A:$A,patch[[#This Row],[number]],$S:$S, "SH And dev",$AC:$AC, "Review-1"))</f>
        <v>0</v>
      </c>
      <c r="Z675" s="7">
        <f>IF(ISBLANK(patch[[#This Row],[project]]), "",COUNTIFS($A:$A,patch[[#This Row],[number]],$S:$S, "BJ And dev",$AD:$AD, "&lt;&gt;IntegratorValidationComment"))</f>
        <v>3</v>
      </c>
      <c r="AA675" s="7">
        <f>IF(ISBLANK(patch[[#This Row],[project]]), "",COUNTIFS($A:$A,patch[[#This Row],[number]],$S:$S, "FL And dev",$AD:$AD, "&lt;&gt;IntegratorValidationComment"))</f>
        <v>0</v>
      </c>
      <c r="AB675" s="7">
        <f>IF(ISBLANK(patch[[#This Row],[project]]), "",COUNTIFS($A:$A,patch[[#This Row],[number]],$S:$S, "SH And dev",$AD:$AD, "&lt;&gt;IntegratorValidationComment"))</f>
        <v>0</v>
      </c>
      <c r="AC675" s="7" t="str">
        <f>IF(OR(ISNUMBER(FIND("Review-1", patch[[#This Row],[comments]])), ISNUMBER(FIND("Approver-1", patch[[#This Row],[comments]]))), "Review-1", "")</f>
        <v/>
      </c>
      <c r="AD6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75" s="7" t="str">
        <f>IF(ISBLANK(patch[[#This Row],[number]]),AE674,patch[[#This Row],[ifCommon]])</f>
        <v>not AndrHAL</v>
      </c>
    </row>
    <row r="676" spans="1:31">
      <c r="A676" s="151">
        <v>147290</v>
      </c>
      <c r="B676" s="151"/>
      <c r="C676" s="151"/>
      <c r="D676" s="151"/>
      <c r="E676" s="151"/>
      <c r="F676" s="151"/>
      <c r="G676" s="151"/>
      <c r="H676" s="151"/>
      <c r="I676" s="151"/>
      <c r="J676" s="152">
        <v>42635.713784722233</v>
      </c>
      <c r="K676" s="151"/>
      <c r="L676" s="151" t="s">
        <v>677</v>
      </c>
      <c r="M676" s="152">
        <v>42635.406458333331</v>
      </c>
      <c r="N676" s="151" t="s">
        <v>2428</v>
      </c>
      <c r="O676" s="151"/>
      <c r="P676" s="151"/>
      <c r="Q676" s="7" t="str">
        <f>IF(ISBLANK(patch[[#This Row],[OwnerEmail]]),Q675,patch[[#This Row],[OwnerEmail]])</f>
        <v>lipingx.xu@intel.com</v>
      </c>
      <c r="R676" s="7" t="str">
        <f>_xlfn.IFNA(VLOOKUP(patch[[#This Row],[tmp-owner.email]],OrgTree!$A:$K, 11, 0), "not ICG SWFW")</f>
        <v>BJ And dev</v>
      </c>
      <c r="S676" s="7" t="str">
        <f>IF(patch[[#This Row],[reviewer]]=patch[[#This Row],[tmp-owner.email]], "author", _xlfn.IFNA(VLOOKUP(patch[[#This Row],[reviewer]],OrgTree!$A:$K, 11, 0), "not ICG SWFW"))</f>
        <v>author</v>
      </c>
      <c r="T676" s="7" t="str">
        <f>IF(ISBLANK(patch[[#This Row],[mergeDate]]), "", MID(YEAR(patch[[#This Row],[mergeDate]]), 3,2)&amp;"'ww"&amp;WEEKNUM(patch[[#This Row],[mergeDate]]))</f>
        <v>16'ww39</v>
      </c>
      <c r="U676" s="7" t="str">
        <f>IF(ISBLANK(patch[[#This Row],[mergeDate]]), U675, MID(YEAR(patch[[#This Row],[mergeDate]]), 3,2)&amp;"'m"&amp;MONTH(patch[[#This Row],[mergeDate]]))</f>
        <v>16'm9</v>
      </c>
      <c r="V676" s="7" t="str">
        <f>IF(ISBLANK(patch[[#This Row],[project]]), "",SUM(patch[[#This Row],[BJ -1 num]:[SH -1 num]]))</f>
        <v/>
      </c>
      <c r="W676" s="7" t="str">
        <f>IF(ISBLANK(patch[[#This Row],[project]]), "",COUNTIFS($A:$A,patch[[#This Row],[number]],$S:$S, "BJ And dev",$AC:$AC, "Review-1"))</f>
        <v/>
      </c>
      <c r="X676" s="7" t="str">
        <f>IF(ISBLANK(patch[[#This Row],[project]]), "",COUNTIFS($A:$A,patch[[#This Row],[number]],$S:$S, "FL And dev",$AC:$AC, "Review-1"))</f>
        <v/>
      </c>
      <c r="Y676" s="7" t="str">
        <f>IF(ISBLANK(patch[[#This Row],[project]]), "",COUNTIFS($A:$A,patch[[#This Row],[number]],$S:$S, "SH And dev",$AC:$AC, "Review-1"))</f>
        <v/>
      </c>
      <c r="Z676" s="7" t="str">
        <f>IF(ISBLANK(patch[[#This Row],[project]]), "",COUNTIFS($A:$A,patch[[#This Row],[number]],$S:$S, "BJ And dev",$AD:$AD, "&lt;&gt;IntegratorValidationComment"))</f>
        <v/>
      </c>
      <c r="AA676" s="7" t="str">
        <f>IF(ISBLANK(patch[[#This Row],[project]]), "",COUNTIFS($A:$A,patch[[#This Row],[number]],$S:$S, "FL And dev",$AD:$AD, "&lt;&gt;IntegratorValidationComment"))</f>
        <v/>
      </c>
      <c r="AB676" s="7" t="str">
        <f>IF(ISBLANK(patch[[#This Row],[project]]), "",COUNTIFS($A:$A,patch[[#This Row],[number]],$S:$S, "SH And dev",$AD:$AD, "&lt;&gt;IntegratorValidationComment"))</f>
        <v/>
      </c>
      <c r="AC676" s="7" t="str">
        <f>IF(OR(ISNUMBER(FIND("Review-1", patch[[#This Row],[comments]])), ISNUMBER(FIND("Approver-1", patch[[#This Row],[comments]]))), "Review-1", "")</f>
        <v/>
      </c>
      <c r="AD6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76" s="7">
        <f>IF(ISBLANK(patch[[#This Row],[number]]),AE675,patch[[#This Row],[ifCommon]])</f>
        <v>0</v>
      </c>
    </row>
    <row r="677" spans="1:31">
      <c r="A677" s="151">
        <v>147290</v>
      </c>
      <c r="B677" s="151"/>
      <c r="C677" s="151"/>
      <c r="D677" s="151"/>
      <c r="E677" s="151"/>
      <c r="F677" s="151"/>
      <c r="G677" s="151"/>
      <c r="H677" s="151"/>
      <c r="I677" s="151"/>
      <c r="J677" s="152">
        <v>42635.713784722233</v>
      </c>
      <c r="K677" s="151"/>
      <c r="L677" s="151" t="s">
        <v>677</v>
      </c>
      <c r="M677" s="152">
        <v>42635.407986111109</v>
      </c>
      <c r="N677" s="151" t="s">
        <v>40</v>
      </c>
      <c r="O677" s="151"/>
      <c r="P677" s="151"/>
      <c r="Q677" s="7" t="str">
        <f>IF(ISBLANK(patch[[#This Row],[OwnerEmail]]),Q676,patch[[#This Row],[OwnerEmail]])</f>
        <v>lipingx.xu@intel.com</v>
      </c>
      <c r="R677" s="7" t="str">
        <f>_xlfn.IFNA(VLOOKUP(patch[[#This Row],[tmp-owner.email]],OrgTree!$A:$K, 11, 0), "not ICG SWFW")</f>
        <v>BJ And dev</v>
      </c>
      <c r="S677" s="7" t="str">
        <f>IF(patch[[#This Row],[reviewer]]=patch[[#This Row],[tmp-owner.email]], "author", _xlfn.IFNA(VLOOKUP(patch[[#This Row],[reviewer]],OrgTree!$A:$K, 11, 0), "not ICG SWFW"))</f>
        <v>author</v>
      </c>
      <c r="T677" s="7" t="str">
        <f>IF(ISBLANK(patch[[#This Row],[mergeDate]]), "", MID(YEAR(patch[[#This Row],[mergeDate]]), 3,2)&amp;"'ww"&amp;WEEKNUM(patch[[#This Row],[mergeDate]]))</f>
        <v>16'ww39</v>
      </c>
      <c r="U677" s="7" t="str">
        <f>IF(ISBLANK(patch[[#This Row],[mergeDate]]), U676, MID(YEAR(patch[[#This Row],[mergeDate]]), 3,2)&amp;"'m"&amp;MONTH(patch[[#This Row],[mergeDate]]))</f>
        <v>16'm9</v>
      </c>
      <c r="V677" s="7" t="str">
        <f>IF(ISBLANK(patch[[#This Row],[project]]), "",SUM(patch[[#This Row],[BJ -1 num]:[SH -1 num]]))</f>
        <v/>
      </c>
      <c r="W677" s="7" t="str">
        <f>IF(ISBLANK(patch[[#This Row],[project]]), "",COUNTIFS($A:$A,patch[[#This Row],[number]],$S:$S, "BJ And dev",$AC:$AC, "Review-1"))</f>
        <v/>
      </c>
      <c r="X677" s="7" t="str">
        <f>IF(ISBLANK(patch[[#This Row],[project]]), "",COUNTIFS($A:$A,patch[[#This Row],[number]],$S:$S, "FL And dev",$AC:$AC, "Review-1"))</f>
        <v/>
      </c>
      <c r="Y677" s="7" t="str">
        <f>IF(ISBLANK(patch[[#This Row],[project]]), "",COUNTIFS($A:$A,patch[[#This Row],[number]],$S:$S, "SH And dev",$AC:$AC, "Review-1"))</f>
        <v/>
      </c>
      <c r="Z677" s="7" t="str">
        <f>IF(ISBLANK(patch[[#This Row],[project]]), "",COUNTIFS($A:$A,patch[[#This Row],[number]],$S:$S, "BJ And dev",$AD:$AD, "&lt;&gt;IntegratorValidationComment"))</f>
        <v/>
      </c>
      <c r="AA677" s="7" t="str">
        <f>IF(ISBLANK(patch[[#This Row],[project]]), "",COUNTIFS($A:$A,patch[[#This Row],[number]],$S:$S, "FL And dev",$AD:$AD, "&lt;&gt;IntegratorValidationComment"))</f>
        <v/>
      </c>
      <c r="AB677" s="7" t="str">
        <f>IF(ISBLANK(patch[[#This Row],[project]]), "",COUNTIFS($A:$A,patch[[#This Row],[number]],$S:$S, "SH And dev",$AD:$AD, "&lt;&gt;IntegratorValidationComment"))</f>
        <v/>
      </c>
      <c r="AC677" s="7" t="str">
        <f>IF(OR(ISNUMBER(FIND("Review-1", patch[[#This Row],[comments]])), ISNUMBER(FIND("Approver-1", patch[[#This Row],[comments]]))), "Review-1", "")</f>
        <v/>
      </c>
      <c r="AD6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77" s="7">
        <f>IF(ISBLANK(patch[[#This Row],[number]]),AE676,patch[[#This Row],[ifCommon]])</f>
        <v>0</v>
      </c>
    </row>
    <row r="678" spans="1:31">
      <c r="A678" s="151">
        <v>147290</v>
      </c>
      <c r="B678" s="151"/>
      <c r="C678" s="151"/>
      <c r="D678" s="151"/>
      <c r="E678" s="151"/>
      <c r="F678" s="151"/>
      <c r="G678" s="151"/>
      <c r="H678" s="151"/>
      <c r="I678" s="151"/>
      <c r="J678" s="152">
        <v>42635.713784722233</v>
      </c>
      <c r="K678" s="151"/>
      <c r="L678" s="151" t="s">
        <v>59</v>
      </c>
      <c r="M678" s="152">
        <v>42635.417326388888</v>
      </c>
      <c r="N678" s="151" t="s">
        <v>2946</v>
      </c>
      <c r="O678" s="151"/>
      <c r="P678" s="151"/>
      <c r="Q678" s="7" t="str">
        <f>IF(ISBLANK(patch[[#This Row],[OwnerEmail]]),Q677,patch[[#This Row],[OwnerEmail]])</f>
        <v>lipingx.xu@intel.com</v>
      </c>
      <c r="R678" s="7" t="str">
        <f>_xlfn.IFNA(VLOOKUP(patch[[#This Row],[tmp-owner.email]],OrgTree!$A:$K, 11, 0), "not ICG SWFW")</f>
        <v>BJ And dev</v>
      </c>
      <c r="S678" s="7" t="str">
        <f>IF(patch[[#This Row],[reviewer]]=patch[[#This Row],[tmp-owner.email]], "author", _xlfn.IFNA(VLOOKUP(patch[[#This Row],[reviewer]],OrgTree!$A:$K, 11, 0), "not ICG SWFW"))</f>
        <v>BJ And dev</v>
      </c>
      <c r="T678" s="7" t="str">
        <f>IF(ISBLANK(patch[[#This Row],[mergeDate]]), "", MID(YEAR(patch[[#This Row],[mergeDate]]), 3,2)&amp;"'ww"&amp;WEEKNUM(patch[[#This Row],[mergeDate]]))</f>
        <v>16'ww39</v>
      </c>
      <c r="U678" s="7" t="str">
        <f>IF(ISBLANK(patch[[#This Row],[mergeDate]]), U677, MID(YEAR(patch[[#This Row],[mergeDate]]), 3,2)&amp;"'m"&amp;MONTH(patch[[#This Row],[mergeDate]]))</f>
        <v>16'm9</v>
      </c>
      <c r="V678" s="7" t="str">
        <f>IF(ISBLANK(patch[[#This Row],[project]]), "",SUM(patch[[#This Row],[BJ -1 num]:[SH -1 num]]))</f>
        <v/>
      </c>
      <c r="W678" s="7" t="str">
        <f>IF(ISBLANK(patch[[#This Row],[project]]), "",COUNTIFS($A:$A,patch[[#This Row],[number]],$S:$S, "BJ And dev",$AC:$AC, "Review-1"))</f>
        <v/>
      </c>
      <c r="X678" s="7" t="str">
        <f>IF(ISBLANK(patch[[#This Row],[project]]), "",COUNTIFS($A:$A,patch[[#This Row],[number]],$S:$S, "FL And dev",$AC:$AC, "Review-1"))</f>
        <v/>
      </c>
      <c r="Y678" s="7" t="str">
        <f>IF(ISBLANK(patch[[#This Row],[project]]), "",COUNTIFS($A:$A,patch[[#This Row],[number]],$S:$S, "SH And dev",$AC:$AC, "Review-1"))</f>
        <v/>
      </c>
      <c r="Z678" s="7" t="str">
        <f>IF(ISBLANK(patch[[#This Row],[project]]), "",COUNTIFS($A:$A,patch[[#This Row],[number]],$S:$S, "BJ And dev",$AD:$AD, "&lt;&gt;IntegratorValidationComment"))</f>
        <v/>
      </c>
      <c r="AA678" s="7" t="str">
        <f>IF(ISBLANK(patch[[#This Row],[project]]), "",COUNTIFS($A:$A,patch[[#This Row],[number]],$S:$S, "FL And dev",$AD:$AD, "&lt;&gt;IntegratorValidationComment"))</f>
        <v/>
      </c>
      <c r="AB678" s="7" t="str">
        <f>IF(ISBLANK(patch[[#This Row],[project]]), "",COUNTIFS($A:$A,patch[[#This Row],[number]],$S:$S, "SH And dev",$AD:$AD, "&lt;&gt;IntegratorValidationComment"))</f>
        <v/>
      </c>
      <c r="AC678" s="7" t="str">
        <f>IF(OR(ISNUMBER(FIND("Review-1", patch[[#This Row],[comments]])), ISNUMBER(FIND("Approver-1", patch[[#This Row],[comments]]))), "Review-1", "")</f>
        <v/>
      </c>
      <c r="AD6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78" s="7">
        <f>IF(ISBLANK(patch[[#This Row],[number]]),AE677,patch[[#This Row],[ifCommon]])</f>
        <v>0</v>
      </c>
    </row>
    <row r="679" spans="1:31">
      <c r="A679" s="151">
        <v>147290</v>
      </c>
      <c r="B679" s="151"/>
      <c r="C679" s="151"/>
      <c r="D679" s="151"/>
      <c r="E679" s="151"/>
      <c r="F679" s="151"/>
      <c r="G679" s="151"/>
      <c r="H679" s="151"/>
      <c r="I679" s="151"/>
      <c r="J679" s="152">
        <v>42635.713784722233</v>
      </c>
      <c r="K679" s="151"/>
      <c r="L679" s="151" t="s">
        <v>59</v>
      </c>
      <c r="M679" s="152">
        <v>42635.430833333332</v>
      </c>
      <c r="N679" s="151" t="s">
        <v>2947</v>
      </c>
      <c r="O679" s="151"/>
      <c r="P679" s="151"/>
      <c r="Q679" s="7" t="str">
        <f>IF(ISBLANK(patch[[#This Row],[OwnerEmail]]),Q678,patch[[#This Row],[OwnerEmail]])</f>
        <v>lipingx.xu@intel.com</v>
      </c>
      <c r="R679" s="7" t="str">
        <f>_xlfn.IFNA(VLOOKUP(patch[[#This Row],[tmp-owner.email]],OrgTree!$A:$K, 11, 0), "not ICG SWFW")</f>
        <v>BJ And dev</v>
      </c>
      <c r="S679" s="7" t="str">
        <f>IF(patch[[#This Row],[reviewer]]=patch[[#This Row],[tmp-owner.email]], "author", _xlfn.IFNA(VLOOKUP(patch[[#This Row],[reviewer]],OrgTree!$A:$K, 11, 0), "not ICG SWFW"))</f>
        <v>BJ And dev</v>
      </c>
      <c r="T679" s="7" t="str">
        <f>IF(ISBLANK(patch[[#This Row],[mergeDate]]), "", MID(YEAR(patch[[#This Row],[mergeDate]]), 3,2)&amp;"'ww"&amp;WEEKNUM(patch[[#This Row],[mergeDate]]))</f>
        <v>16'ww39</v>
      </c>
      <c r="U679" s="7" t="str">
        <f>IF(ISBLANK(patch[[#This Row],[mergeDate]]), U678, MID(YEAR(patch[[#This Row],[mergeDate]]), 3,2)&amp;"'m"&amp;MONTH(patch[[#This Row],[mergeDate]]))</f>
        <v>16'm9</v>
      </c>
      <c r="V679" s="7" t="str">
        <f>IF(ISBLANK(patch[[#This Row],[project]]), "",SUM(patch[[#This Row],[BJ -1 num]:[SH -1 num]]))</f>
        <v/>
      </c>
      <c r="W679" s="7" t="str">
        <f>IF(ISBLANK(patch[[#This Row],[project]]), "",COUNTIFS($A:$A,patch[[#This Row],[number]],$S:$S, "BJ And dev",$AC:$AC, "Review-1"))</f>
        <v/>
      </c>
      <c r="X679" s="7" t="str">
        <f>IF(ISBLANK(patch[[#This Row],[project]]), "",COUNTIFS($A:$A,patch[[#This Row],[number]],$S:$S, "FL And dev",$AC:$AC, "Review-1"))</f>
        <v/>
      </c>
      <c r="Y679" s="7" t="str">
        <f>IF(ISBLANK(patch[[#This Row],[project]]), "",COUNTIFS($A:$A,patch[[#This Row],[number]],$S:$S, "SH And dev",$AC:$AC, "Review-1"))</f>
        <v/>
      </c>
      <c r="Z679" s="7" t="str">
        <f>IF(ISBLANK(patch[[#This Row],[project]]), "",COUNTIFS($A:$A,patch[[#This Row],[number]],$S:$S, "BJ And dev",$AD:$AD, "&lt;&gt;IntegratorValidationComment"))</f>
        <v/>
      </c>
      <c r="AA679" s="7" t="str">
        <f>IF(ISBLANK(patch[[#This Row],[project]]), "",COUNTIFS($A:$A,patch[[#This Row],[number]],$S:$S, "FL And dev",$AD:$AD, "&lt;&gt;IntegratorValidationComment"))</f>
        <v/>
      </c>
      <c r="AB679" s="7" t="str">
        <f>IF(ISBLANK(patch[[#This Row],[project]]), "",COUNTIFS($A:$A,patch[[#This Row],[number]],$S:$S, "SH And dev",$AD:$AD, "&lt;&gt;IntegratorValidationComment"))</f>
        <v/>
      </c>
      <c r="AC679" s="7" t="str">
        <f>IF(OR(ISNUMBER(FIND("Review-1", patch[[#This Row],[comments]])), ISNUMBER(FIND("Approver-1", patch[[#This Row],[comments]]))), "Review-1", "")</f>
        <v/>
      </c>
      <c r="AD6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79" s="7">
        <f>IF(ISBLANK(patch[[#This Row],[number]]),AE678,patch[[#This Row],[ifCommon]])</f>
        <v>0</v>
      </c>
    </row>
    <row r="680" spans="1:31">
      <c r="A680" s="151">
        <v>147290</v>
      </c>
      <c r="B680" s="151"/>
      <c r="C680" s="151"/>
      <c r="D680" s="151"/>
      <c r="E680" s="151"/>
      <c r="F680" s="151"/>
      <c r="G680" s="151"/>
      <c r="H680" s="151"/>
      <c r="I680" s="151"/>
      <c r="J680" s="152">
        <v>42635.713784722233</v>
      </c>
      <c r="K680" s="151"/>
      <c r="L680" s="151" t="s">
        <v>59</v>
      </c>
      <c r="M680" s="152">
        <v>42635.454560185193</v>
      </c>
      <c r="N680" s="151" t="s">
        <v>1880</v>
      </c>
      <c r="O680" s="151"/>
      <c r="P680" s="151"/>
      <c r="Q680" s="7" t="str">
        <f>IF(ISBLANK(patch[[#This Row],[OwnerEmail]]),Q679,patch[[#This Row],[OwnerEmail]])</f>
        <v>lipingx.xu@intel.com</v>
      </c>
      <c r="R680" s="7" t="str">
        <f>_xlfn.IFNA(VLOOKUP(patch[[#This Row],[tmp-owner.email]],OrgTree!$A:$K, 11, 0), "not ICG SWFW")</f>
        <v>BJ And dev</v>
      </c>
      <c r="S680" s="7" t="str">
        <f>IF(patch[[#This Row],[reviewer]]=patch[[#This Row],[tmp-owner.email]], "author", _xlfn.IFNA(VLOOKUP(patch[[#This Row],[reviewer]],OrgTree!$A:$K, 11, 0), "not ICG SWFW"))</f>
        <v>BJ And dev</v>
      </c>
      <c r="T680" s="7" t="str">
        <f>IF(ISBLANK(patch[[#This Row],[mergeDate]]), "", MID(YEAR(patch[[#This Row],[mergeDate]]), 3,2)&amp;"'ww"&amp;WEEKNUM(patch[[#This Row],[mergeDate]]))</f>
        <v>16'ww39</v>
      </c>
      <c r="U680" s="7" t="str">
        <f>IF(ISBLANK(patch[[#This Row],[mergeDate]]), U679, MID(YEAR(patch[[#This Row],[mergeDate]]), 3,2)&amp;"'m"&amp;MONTH(patch[[#This Row],[mergeDate]]))</f>
        <v>16'm9</v>
      </c>
      <c r="V680" s="7" t="str">
        <f>IF(ISBLANK(patch[[#This Row],[project]]), "",SUM(patch[[#This Row],[BJ -1 num]:[SH -1 num]]))</f>
        <v/>
      </c>
      <c r="W680" s="7" t="str">
        <f>IF(ISBLANK(patch[[#This Row],[project]]), "",COUNTIFS($A:$A,patch[[#This Row],[number]],$S:$S, "BJ And dev",$AC:$AC, "Review-1"))</f>
        <v/>
      </c>
      <c r="X680" s="7" t="str">
        <f>IF(ISBLANK(patch[[#This Row],[project]]), "",COUNTIFS($A:$A,patch[[#This Row],[number]],$S:$S, "FL And dev",$AC:$AC, "Review-1"))</f>
        <v/>
      </c>
      <c r="Y680" s="7" t="str">
        <f>IF(ISBLANK(patch[[#This Row],[project]]), "",COUNTIFS($A:$A,patch[[#This Row],[number]],$S:$S, "SH And dev",$AC:$AC, "Review-1"))</f>
        <v/>
      </c>
      <c r="Z680" s="7" t="str">
        <f>IF(ISBLANK(patch[[#This Row],[project]]), "",COUNTIFS($A:$A,patch[[#This Row],[number]],$S:$S, "BJ And dev",$AD:$AD, "&lt;&gt;IntegratorValidationComment"))</f>
        <v/>
      </c>
      <c r="AA680" s="7" t="str">
        <f>IF(ISBLANK(patch[[#This Row],[project]]), "",COUNTIFS($A:$A,patch[[#This Row],[number]],$S:$S, "FL And dev",$AD:$AD, "&lt;&gt;IntegratorValidationComment"))</f>
        <v/>
      </c>
      <c r="AB680" s="7" t="str">
        <f>IF(ISBLANK(patch[[#This Row],[project]]), "",COUNTIFS($A:$A,patch[[#This Row],[number]],$S:$S, "SH And dev",$AD:$AD, "&lt;&gt;IntegratorValidationComment"))</f>
        <v/>
      </c>
      <c r="AC680" s="7" t="str">
        <f>IF(OR(ISNUMBER(FIND("Review-1", patch[[#This Row],[comments]])), ISNUMBER(FIND("Approver-1", patch[[#This Row],[comments]]))), "Review-1", "")</f>
        <v/>
      </c>
      <c r="AD6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80" s="7">
        <f>IF(ISBLANK(patch[[#This Row],[number]]),AE679,patch[[#This Row],[ifCommon]])</f>
        <v>0</v>
      </c>
    </row>
    <row r="681" spans="1:31">
      <c r="A681" s="151">
        <v>147290</v>
      </c>
      <c r="B681" s="151"/>
      <c r="C681" s="151"/>
      <c r="D681" s="151"/>
      <c r="E681" s="151"/>
      <c r="F681" s="151"/>
      <c r="G681" s="151"/>
      <c r="H681" s="151"/>
      <c r="I681" s="151"/>
      <c r="J681" s="152">
        <v>42635.713784722233</v>
      </c>
      <c r="K681" s="151"/>
      <c r="L681" s="151" t="s">
        <v>115</v>
      </c>
      <c r="M681" s="152">
        <v>42635.546944444453</v>
      </c>
      <c r="N681" s="151" t="s">
        <v>2494</v>
      </c>
      <c r="O681" s="151"/>
      <c r="P681" s="151"/>
      <c r="Q681" s="7" t="str">
        <f>IF(ISBLANK(patch[[#This Row],[OwnerEmail]]),Q680,patch[[#This Row],[OwnerEmail]])</f>
        <v>lipingx.xu@intel.com</v>
      </c>
      <c r="R681" s="7" t="str">
        <f>_xlfn.IFNA(VLOOKUP(patch[[#This Row],[tmp-owner.email]],OrgTree!$A:$K, 11, 0), "not ICG SWFW")</f>
        <v>BJ And dev</v>
      </c>
      <c r="S681" s="7" t="str">
        <f>IF(patch[[#This Row],[reviewer]]=patch[[#This Row],[tmp-owner.email]], "author", _xlfn.IFNA(VLOOKUP(patch[[#This Row],[reviewer]],OrgTree!$A:$K, 11, 0), "not ICG SWFW"))</f>
        <v>Val</v>
      </c>
      <c r="T681" s="7" t="str">
        <f>IF(ISBLANK(patch[[#This Row],[mergeDate]]), "", MID(YEAR(patch[[#This Row],[mergeDate]]), 3,2)&amp;"'ww"&amp;WEEKNUM(patch[[#This Row],[mergeDate]]))</f>
        <v>16'ww39</v>
      </c>
      <c r="U681" s="7" t="str">
        <f>IF(ISBLANK(patch[[#This Row],[mergeDate]]), U680, MID(YEAR(patch[[#This Row],[mergeDate]]), 3,2)&amp;"'m"&amp;MONTH(patch[[#This Row],[mergeDate]]))</f>
        <v>16'm9</v>
      </c>
      <c r="V681" s="7" t="str">
        <f>IF(ISBLANK(patch[[#This Row],[project]]), "",SUM(patch[[#This Row],[BJ -1 num]:[SH -1 num]]))</f>
        <v/>
      </c>
      <c r="W681" s="7" t="str">
        <f>IF(ISBLANK(patch[[#This Row],[project]]), "",COUNTIFS($A:$A,patch[[#This Row],[number]],$S:$S, "BJ And dev",$AC:$AC, "Review-1"))</f>
        <v/>
      </c>
      <c r="X681" s="7" t="str">
        <f>IF(ISBLANK(patch[[#This Row],[project]]), "",COUNTIFS($A:$A,patch[[#This Row],[number]],$S:$S, "FL And dev",$AC:$AC, "Review-1"))</f>
        <v/>
      </c>
      <c r="Y681" s="7" t="str">
        <f>IF(ISBLANK(patch[[#This Row],[project]]), "",COUNTIFS($A:$A,patch[[#This Row],[number]],$S:$S, "SH And dev",$AC:$AC, "Review-1"))</f>
        <v/>
      </c>
      <c r="Z681" s="7" t="str">
        <f>IF(ISBLANK(patch[[#This Row],[project]]), "",COUNTIFS($A:$A,patch[[#This Row],[number]],$S:$S, "BJ And dev",$AD:$AD, "&lt;&gt;IntegratorValidationComment"))</f>
        <v/>
      </c>
      <c r="AA681" s="7" t="str">
        <f>IF(ISBLANK(patch[[#This Row],[project]]), "",COUNTIFS($A:$A,patch[[#This Row],[number]],$S:$S, "FL And dev",$AD:$AD, "&lt;&gt;IntegratorValidationComment"))</f>
        <v/>
      </c>
      <c r="AB681" s="7" t="str">
        <f>IF(ISBLANK(patch[[#This Row],[project]]), "",COUNTIFS($A:$A,patch[[#This Row],[number]],$S:$S, "SH And dev",$AD:$AD, "&lt;&gt;IntegratorValidationComment"))</f>
        <v/>
      </c>
      <c r="AC681" s="7" t="str">
        <f>IF(OR(ISNUMBER(FIND("Review-1", patch[[#This Row],[comments]])), ISNUMBER(FIND("Approver-1", patch[[#This Row],[comments]]))), "Review-1", "")</f>
        <v/>
      </c>
      <c r="AD6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681" s="7">
        <f>IF(ISBLANK(patch[[#This Row],[number]]),AE680,patch[[#This Row],[ifCommon]])</f>
        <v>0</v>
      </c>
    </row>
    <row r="682" spans="1:31">
      <c r="A682" s="151">
        <v>147289</v>
      </c>
      <c r="B682" s="151" t="s">
        <v>2490</v>
      </c>
      <c r="C682" s="151" t="s">
        <v>2795</v>
      </c>
      <c r="D682" s="151" t="s">
        <v>2948</v>
      </c>
      <c r="E682" s="151" t="s">
        <v>677</v>
      </c>
      <c r="F682" s="151" t="s">
        <v>23</v>
      </c>
      <c r="G682" s="151" t="s">
        <v>2949</v>
      </c>
      <c r="H682" s="151" t="s">
        <v>2950</v>
      </c>
      <c r="I682" s="152">
        <v>42635.406354166669</v>
      </c>
      <c r="J682" s="152">
        <v>42635.71371527778</v>
      </c>
      <c r="K682" s="151" t="s">
        <v>2445</v>
      </c>
      <c r="L682" s="151" t="s">
        <v>677</v>
      </c>
      <c r="M682" s="152">
        <v>42635.406354166669</v>
      </c>
      <c r="N682" s="151" t="s">
        <v>25</v>
      </c>
      <c r="O682" s="151"/>
      <c r="P682" s="151" t="s">
        <v>2498</v>
      </c>
      <c r="Q682" s="7" t="str">
        <f>IF(ISBLANK(patch[[#This Row],[OwnerEmail]]),Q681,patch[[#This Row],[OwnerEmail]])</f>
        <v>lipingx.xu@intel.com</v>
      </c>
      <c r="R682" s="7" t="str">
        <f>_xlfn.IFNA(VLOOKUP(patch[[#This Row],[tmp-owner.email]],OrgTree!$A:$K, 11, 0), "not ICG SWFW")</f>
        <v>BJ And dev</v>
      </c>
      <c r="S682" s="7" t="str">
        <f>IF(patch[[#This Row],[reviewer]]=patch[[#This Row],[tmp-owner.email]], "author", _xlfn.IFNA(VLOOKUP(patch[[#This Row],[reviewer]],OrgTree!$A:$K, 11, 0), "not ICG SWFW"))</f>
        <v>author</v>
      </c>
      <c r="T682" s="7" t="str">
        <f>IF(ISBLANK(patch[[#This Row],[mergeDate]]), "", MID(YEAR(patch[[#This Row],[mergeDate]]), 3,2)&amp;"'ww"&amp;WEEKNUM(patch[[#This Row],[mergeDate]]))</f>
        <v>16'ww39</v>
      </c>
      <c r="U682" s="7" t="str">
        <f>IF(ISBLANK(patch[[#This Row],[mergeDate]]), U681, MID(YEAR(patch[[#This Row],[mergeDate]]), 3,2)&amp;"'m"&amp;MONTH(patch[[#This Row],[mergeDate]]))</f>
        <v>16'm9</v>
      </c>
      <c r="V682" s="7">
        <f>IF(ISBLANK(patch[[#This Row],[project]]), "",SUM(patch[[#This Row],[BJ -1 num]:[SH -1 num]]))</f>
        <v>0</v>
      </c>
      <c r="W682" s="7">
        <f>IF(ISBLANK(patch[[#This Row],[project]]), "",COUNTIFS($A:$A,patch[[#This Row],[number]],$S:$S, "BJ And dev",$AC:$AC, "Review-1"))</f>
        <v>0</v>
      </c>
      <c r="X682" s="7">
        <f>IF(ISBLANK(patch[[#This Row],[project]]), "",COUNTIFS($A:$A,patch[[#This Row],[number]],$S:$S, "FL And dev",$AC:$AC, "Review-1"))</f>
        <v>0</v>
      </c>
      <c r="Y682" s="7">
        <f>IF(ISBLANK(patch[[#This Row],[project]]), "",COUNTIFS($A:$A,patch[[#This Row],[number]],$S:$S, "SH And dev",$AC:$AC, "Review-1"))</f>
        <v>0</v>
      </c>
      <c r="Z682" s="7">
        <f>IF(ISBLANK(patch[[#This Row],[project]]), "",COUNTIFS($A:$A,patch[[#This Row],[number]],$S:$S, "BJ And dev",$AD:$AD, "&lt;&gt;IntegratorValidationComment"))</f>
        <v>3</v>
      </c>
      <c r="AA682" s="7">
        <f>IF(ISBLANK(patch[[#This Row],[project]]), "",COUNTIFS($A:$A,patch[[#This Row],[number]],$S:$S, "FL And dev",$AD:$AD, "&lt;&gt;IntegratorValidationComment"))</f>
        <v>0</v>
      </c>
      <c r="AB682" s="7">
        <f>IF(ISBLANK(patch[[#This Row],[project]]), "",COUNTIFS($A:$A,patch[[#This Row],[number]],$S:$S, "SH And dev",$AD:$AD, "&lt;&gt;IntegratorValidationComment"))</f>
        <v>0</v>
      </c>
      <c r="AC682" s="7" t="str">
        <f>IF(OR(ISNUMBER(FIND("Review-1", patch[[#This Row],[comments]])), ISNUMBER(FIND("Approver-1", patch[[#This Row],[comments]]))), "Review-1", "")</f>
        <v/>
      </c>
      <c r="AD6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82" s="7" t="str">
        <f>IF(ISBLANK(patch[[#This Row],[number]]),AE681,patch[[#This Row],[ifCommon]])</f>
        <v>not AndrHAL</v>
      </c>
    </row>
    <row r="683" spans="1:31">
      <c r="A683" s="151">
        <v>147289</v>
      </c>
      <c r="B683" s="151"/>
      <c r="C683" s="151"/>
      <c r="D683" s="151"/>
      <c r="E683" s="151"/>
      <c r="F683" s="151"/>
      <c r="G683" s="151"/>
      <c r="H683" s="151"/>
      <c r="I683" s="151"/>
      <c r="J683" s="152">
        <v>42635.71371527778</v>
      </c>
      <c r="K683" s="151"/>
      <c r="L683" s="151" t="s">
        <v>677</v>
      </c>
      <c r="M683" s="152">
        <v>42635.406435185178</v>
      </c>
      <c r="N683" s="151" t="s">
        <v>2428</v>
      </c>
      <c r="O683" s="151"/>
      <c r="P683" s="151"/>
      <c r="Q683" s="7" t="str">
        <f>IF(ISBLANK(patch[[#This Row],[OwnerEmail]]),Q682,patch[[#This Row],[OwnerEmail]])</f>
        <v>lipingx.xu@intel.com</v>
      </c>
      <c r="R683" s="7" t="str">
        <f>_xlfn.IFNA(VLOOKUP(patch[[#This Row],[tmp-owner.email]],OrgTree!$A:$K, 11, 0), "not ICG SWFW")</f>
        <v>BJ And dev</v>
      </c>
      <c r="S683" s="7" t="str">
        <f>IF(patch[[#This Row],[reviewer]]=patch[[#This Row],[tmp-owner.email]], "author", _xlfn.IFNA(VLOOKUP(patch[[#This Row],[reviewer]],OrgTree!$A:$K, 11, 0), "not ICG SWFW"))</f>
        <v>author</v>
      </c>
      <c r="T683" s="7" t="str">
        <f>IF(ISBLANK(patch[[#This Row],[mergeDate]]), "", MID(YEAR(patch[[#This Row],[mergeDate]]), 3,2)&amp;"'ww"&amp;WEEKNUM(patch[[#This Row],[mergeDate]]))</f>
        <v>16'ww39</v>
      </c>
      <c r="U683" s="7" t="str">
        <f>IF(ISBLANK(patch[[#This Row],[mergeDate]]), U682, MID(YEAR(patch[[#This Row],[mergeDate]]), 3,2)&amp;"'m"&amp;MONTH(patch[[#This Row],[mergeDate]]))</f>
        <v>16'm9</v>
      </c>
      <c r="V683" s="7" t="str">
        <f>IF(ISBLANK(patch[[#This Row],[project]]), "",SUM(patch[[#This Row],[BJ -1 num]:[SH -1 num]]))</f>
        <v/>
      </c>
      <c r="W683" s="7" t="str">
        <f>IF(ISBLANK(patch[[#This Row],[project]]), "",COUNTIFS($A:$A,patch[[#This Row],[number]],$S:$S, "BJ And dev",$AC:$AC, "Review-1"))</f>
        <v/>
      </c>
      <c r="X683" s="7" t="str">
        <f>IF(ISBLANK(patch[[#This Row],[project]]), "",COUNTIFS($A:$A,patch[[#This Row],[number]],$S:$S, "FL And dev",$AC:$AC, "Review-1"))</f>
        <v/>
      </c>
      <c r="Y683" s="7" t="str">
        <f>IF(ISBLANK(patch[[#This Row],[project]]), "",COUNTIFS($A:$A,patch[[#This Row],[number]],$S:$S, "SH And dev",$AC:$AC, "Review-1"))</f>
        <v/>
      </c>
      <c r="Z683" s="7" t="str">
        <f>IF(ISBLANK(patch[[#This Row],[project]]), "",COUNTIFS($A:$A,patch[[#This Row],[number]],$S:$S, "BJ And dev",$AD:$AD, "&lt;&gt;IntegratorValidationComment"))</f>
        <v/>
      </c>
      <c r="AA683" s="7" t="str">
        <f>IF(ISBLANK(patch[[#This Row],[project]]), "",COUNTIFS($A:$A,patch[[#This Row],[number]],$S:$S, "FL And dev",$AD:$AD, "&lt;&gt;IntegratorValidationComment"))</f>
        <v/>
      </c>
      <c r="AB683" s="7" t="str">
        <f>IF(ISBLANK(patch[[#This Row],[project]]), "",COUNTIFS($A:$A,patch[[#This Row],[number]],$S:$S, "SH And dev",$AD:$AD, "&lt;&gt;IntegratorValidationComment"))</f>
        <v/>
      </c>
      <c r="AC683" s="7" t="str">
        <f>IF(OR(ISNUMBER(FIND("Review-1", patch[[#This Row],[comments]])), ISNUMBER(FIND("Approver-1", patch[[#This Row],[comments]]))), "Review-1", "")</f>
        <v/>
      </c>
      <c r="AD6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83" s="7">
        <f>IF(ISBLANK(patch[[#This Row],[number]]),AE682,patch[[#This Row],[ifCommon]])</f>
        <v>0</v>
      </c>
    </row>
    <row r="684" spans="1:31">
      <c r="A684" s="151">
        <v>147289</v>
      </c>
      <c r="B684" s="151"/>
      <c r="C684" s="151"/>
      <c r="D684" s="151"/>
      <c r="E684" s="151"/>
      <c r="F684" s="151"/>
      <c r="G684" s="151"/>
      <c r="H684" s="151"/>
      <c r="I684" s="151"/>
      <c r="J684" s="152">
        <v>42635.71371527778</v>
      </c>
      <c r="K684" s="151"/>
      <c r="L684" s="151" t="s">
        <v>677</v>
      </c>
      <c r="M684" s="152">
        <v>42635.407881944448</v>
      </c>
      <c r="N684" s="151" t="s">
        <v>40</v>
      </c>
      <c r="O684" s="151"/>
      <c r="P684" s="151"/>
      <c r="Q684" s="7" t="str">
        <f>IF(ISBLANK(patch[[#This Row],[OwnerEmail]]),Q683,patch[[#This Row],[OwnerEmail]])</f>
        <v>lipingx.xu@intel.com</v>
      </c>
      <c r="R684" s="7" t="str">
        <f>_xlfn.IFNA(VLOOKUP(patch[[#This Row],[tmp-owner.email]],OrgTree!$A:$K, 11, 0), "not ICG SWFW")</f>
        <v>BJ And dev</v>
      </c>
      <c r="S684" s="7" t="str">
        <f>IF(patch[[#This Row],[reviewer]]=patch[[#This Row],[tmp-owner.email]], "author", _xlfn.IFNA(VLOOKUP(patch[[#This Row],[reviewer]],OrgTree!$A:$K, 11, 0), "not ICG SWFW"))</f>
        <v>author</v>
      </c>
      <c r="T684" s="7" t="str">
        <f>IF(ISBLANK(patch[[#This Row],[mergeDate]]), "", MID(YEAR(patch[[#This Row],[mergeDate]]), 3,2)&amp;"'ww"&amp;WEEKNUM(patch[[#This Row],[mergeDate]]))</f>
        <v>16'ww39</v>
      </c>
      <c r="U684" s="7" t="str">
        <f>IF(ISBLANK(patch[[#This Row],[mergeDate]]), U683, MID(YEAR(patch[[#This Row],[mergeDate]]), 3,2)&amp;"'m"&amp;MONTH(patch[[#This Row],[mergeDate]]))</f>
        <v>16'm9</v>
      </c>
      <c r="V684" s="7" t="str">
        <f>IF(ISBLANK(patch[[#This Row],[project]]), "",SUM(patch[[#This Row],[BJ -1 num]:[SH -1 num]]))</f>
        <v/>
      </c>
      <c r="W684" s="7" t="str">
        <f>IF(ISBLANK(patch[[#This Row],[project]]), "",COUNTIFS($A:$A,patch[[#This Row],[number]],$S:$S, "BJ And dev",$AC:$AC, "Review-1"))</f>
        <v/>
      </c>
      <c r="X684" s="7" t="str">
        <f>IF(ISBLANK(patch[[#This Row],[project]]), "",COUNTIFS($A:$A,patch[[#This Row],[number]],$S:$S, "FL And dev",$AC:$AC, "Review-1"))</f>
        <v/>
      </c>
      <c r="Y684" s="7" t="str">
        <f>IF(ISBLANK(patch[[#This Row],[project]]), "",COUNTIFS($A:$A,patch[[#This Row],[number]],$S:$S, "SH And dev",$AC:$AC, "Review-1"))</f>
        <v/>
      </c>
      <c r="Z684" s="7" t="str">
        <f>IF(ISBLANK(patch[[#This Row],[project]]), "",COUNTIFS($A:$A,patch[[#This Row],[number]],$S:$S, "BJ And dev",$AD:$AD, "&lt;&gt;IntegratorValidationComment"))</f>
        <v/>
      </c>
      <c r="AA684" s="7" t="str">
        <f>IF(ISBLANK(patch[[#This Row],[project]]), "",COUNTIFS($A:$A,patch[[#This Row],[number]],$S:$S, "FL And dev",$AD:$AD, "&lt;&gt;IntegratorValidationComment"))</f>
        <v/>
      </c>
      <c r="AB684" s="7" t="str">
        <f>IF(ISBLANK(patch[[#This Row],[project]]), "",COUNTIFS($A:$A,patch[[#This Row],[number]],$S:$S, "SH And dev",$AD:$AD, "&lt;&gt;IntegratorValidationComment"))</f>
        <v/>
      </c>
      <c r="AC684" s="7" t="str">
        <f>IF(OR(ISNUMBER(FIND("Review-1", patch[[#This Row],[comments]])), ISNUMBER(FIND("Approver-1", patch[[#This Row],[comments]]))), "Review-1", "")</f>
        <v/>
      </c>
      <c r="AD6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84" s="7">
        <f>IF(ISBLANK(patch[[#This Row],[number]]),AE683,patch[[#This Row],[ifCommon]])</f>
        <v>0</v>
      </c>
    </row>
    <row r="685" spans="1:31">
      <c r="A685" s="151">
        <v>147289</v>
      </c>
      <c r="B685" s="151"/>
      <c r="C685" s="151"/>
      <c r="D685" s="151"/>
      <c r="E685" s="151"/>
      <c r="F685" s="151"/>
      <c r="G685" s="151"/>
      <c r="H685" s="151"/>
      <c r="I685" s="151"/>
      <c r="J685" s="152">
        <v>42635.71371527778</v>
      </c>
      <c r="K685" s="151"/>
      <c r="L685" s="151" t="s">
        <v>59</v>
      </c>
      <c r="M685" s="152">
        <v>42635.412349537037</v>
      </c>
      <c r="N685" s="151" t="s">
        <v>2951</v>
      </c>
      <c r="O685" s="151"/>
      <c r="P685" s="151"/>
      <c r="Q685" s="7" t="str">
        <f>IF(ISBLANK(patch[[#This Row],[OwnerEmail]]),Q684,patch[[#This Row],[OwnerEmail]])</f>
        <v>lipingx.xu@intel.com</v>
      </c>
      <c r="R685" s="7" t="str">
        <f>_xlfn.IFNA(VLOOKUP(patch[[#This Row],[tmp-owner.email]],OrgTree!$A:$K, 11, 0), "not ICG SWFW")</f>
        <v>BJ And dev</v>
      </c>
      <c r="S685" s="7" t="str">
        <f>IF(patch[[#This Row],[reviewer]]=patch[[#This Row],[tmp-owner.email]], "author", _xlfn.IFNA(VLOOKUP(patch[[#This Row],[reviewer]],OrgTree!$A:$K, 11, 0), "not ICG SWFW"))</f>
        <v>BJ And dev</v>
      </c>
      <c r="T685" s="7" t="str">
        <f>IF(ISBLANK(patch[[#This Row],[mergeDate]]), "", MID(YEAR(patch[[#This Row],[mergeDate]]), 3,2)&amp;"'ww"&amp;WEEKNUM(patch[[#This Row],[mergeDate]]))</f>
        <v>16'ww39</v>
      </c>
      <c r="U685" s="7" t="str">
        <f>IF(ISBLANK(patch[[#This Row],[mergeDate]]), U684, MID(YEAR(patch[[#This Row],[mergeDate]]), 3,2)&amp;"'m"&amp;MONTH(patch[[#This Row],[mergeDate]]))</f>
        <v>16'm9</v>
      </c>
      <c r="V685" s="7" t="str">
        <f>IF(ISBLANK(patch[[#This Row],[project]]), "",SUM(patch[[#This Row],[BJ -1 num]:[SH -1 num]]))</f>
        <v/>
      </c>
      <c r="W685" s="7" t="str">
        <f>IF(ISBLANK(patch[[#This Row],[project]]), "",COUNTIFS($A:$A,patch[[#This Row],[number]],$S:$S, "BJ And dev",$AC:$AC, "Review-1"))</f>
        <v/>
      </c>
      <c r="X685" s="7" t="str">
        <f>IF(ISBLANK(patch[[#This Row],[project]]), "",COUNTIFS($A:$A,patch[[#This Row],[number]],$S:$S, "FL And dev",$AC:$AC, "Review-1"))</f>
        <v/>
      </c>
      <c r="Y685" s="7" t="str">
        <f>IF(ISBLANK(patch[[#This Row],[project]]), "",COUNTIFS($A:$A,patch[[#This Row],[number]],$S:$S, "SH And dev",$AC:$AC, "Review-1"))</f>
        <v/>
      </c>
      <c r="Z685" s="7" t="str">
        <f>IF(ISBLANK(patch[[#This Row],[project]]), "",COUNTIFS($A:$A,patch[[#This Row],[number]],$S:$S, "BJ And dev",$AD:$AD, "&lt;&gt;IntegratorValidationComment"))</f>
        <v/>
      </c>
      <c r="AA685" s="7" t="str">
        <f>IF(ISBLANK(patch[[#This Row],[project]]), "",COUNTIFS($A:$A,patch[[#This Row],[number]],$S:$S, "FL And dev",$AD:$AD, "&lt;&gt;IntegratorValidationComment"))</f>
        <v/>
      </c>
      <c r="AB685" s="7" t="str">
        <f>IF(ISBLANK(patch[[#This Row],[project]]), "",COUNTIFS($A:$A,patch[[#This Row],[number]],$S:$S, "SH And dev",$AD:$AD, "&lt;&gt;IntegratorValidationComment"))</f>
        <v/>
      </c>
      <c r="AC685" s="7" t="str">
        <f>IF(OR(ISNUMBER(FIND("Review-1", patch[[#This Row],[comments]])), ISNUMBER(FIND("Approver-1", patch[[#This Row],[comments]]))), "Review-1", "")</f>
        <v/>
      </c>
      <c r="AD6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85" s="7">
        <f>IF(ISBLANK(patch[[#This Row],[number]]),AE684,patch[[#This Row],[ifCommon]])</f>
        <v>0</v>
      </c>
    </row>
    <row r="686" spans="1:31">
      <c r="A686" s="151">
        <v>147289</v>
      </c>
      <c r="B686" s="151"/>
      <c r="C686" s="151"/>
      <c r="D686" s="151"/>
      <c r="E686" s="151"/>
      <c r="F686" s="151"/>
      <c r="G686" s="151"/>
      <c r="H686" s="151"/>
      <c r="I686" s="151"/>
      <c r="J686" s="152">
        <v>42635.71371527778</v>
      </c>
      <c r="K686" s="151"/>
      <c r="L686" s="151" t="s">
        <v>59</v>
      </c>
      <c r="M686" s="152">
        <v>42635.421446759261</v>
      </c>
      <c r="N686" s="151" t="s">
        <v>2952</v>
      </c>
      <c r="O686" s="151"/>
      <c r="P686" s="151"/>
      <c r="Q686" s="7" t="str">
        <f>IF(ISBLANK(patch[[#This Row],[OwnerEmail]]),Q685,patch[[#This Row],[OwnerEmail]])</f>
        <v>lipingx.xu@intel.com</v>
      </c>
      <c r="R686" s="7" t="str">
        <f>_xlfn.IFNA(VLOOKUP(patch[[#This Row],[tmp-owner.email]],OrgTree!$A:$K, 11, 0), "not ICG SWFW")</f>
        <v>BJ And dev</v>
      </c>
      <c r="S686" s="7" t="str">
        <f>IF(patch[[#This Row],[reviewer]]=patch[[#This Row],[tmp-owner.email]], "author", _xlfn.IFNA(VLOOKUP(patch[[#This Row],[reviewer]],OrgTree!$A:$K, 11, 0), "not ICG SWFW"))</f>
        <v>BJ And dev</v>
      </c>
      <c r="T686" s="7" t="str">
        <f>IF(ISBLANK(patch[[#This Row],[mergeDate]]), "", MID(YEAR(patch[[#This Row],[mergeDate]]), 3,2)&amp;"'ww"&amp;WEEKNUM(patch[[#This Row],[mergeDate]]))</f>
        <v>16'ww39</v>
      </c>
      <c r="U686" s="7" t="str">
        <f>IF(ISBLANK(patch[[#This Row],[mergeDate]]), U685, MID(YEAR(patch[[#This Row],[mergeDate]]), 3,2)&amp;"'m"&amp;MONTH(patch[[#This Row],[mergeDate]]))</f>
        <v>16'm9</v>
      </c>
      <c r="V686" s="7" t="str">
        <f>IF(ISBLANK(patch[[#This Row],[project]]), "",SUM(patch[[#This Row],[BJ -1 num]:[SH -1 num]]))</f>
        <v/>
      </c>
      <c r="W686" s="7" t="str">
        <f>IF(ISBLANK(patch[[#This Row],[project]]), "",COUNTIFS($A:$A,patch[[#This Row],[number]],$S:$S, "BJ And dev",$AC:$AC, "Review-1"))</f>
        <v/>
      </c>
      <c r="X686" s="7" t="str">
        <f>IF(ISBLANK(patch[[#This Row],[project]]), "",COUNTIFS($A:$A,patch[[#This Row],[number]],$S:$S, "FL And dev",$AC:$AC, "Review-1"))</f>
        <v/>
      </c>
      <c r="Y686" s="7" t="str">
        <f>IF(ISBLANK(patch[[#This Row],[project]]), "",COUNTIFS($A:$A,patch[[#This Row],[number]],$S:$S, "SH And dev",$AC:$AC, "Review-1"))</f>
        <v/>
      </c>
      <c r="Z686" s="7" t="str">
        <f>IF(ISBLANK(patch[[#This Row],[project]]), "",COUNTIFS($A:$A,patch[[#This Row],[number]],$S:$S, "BJ And dev",$AD:$AD, "&lt;&gt;IntegratorValidationComment"))</f>
        <v/>
      </c>
      <c r="AA686" s="7" t="str">
        <f>IF(ISBLANK(patch[[#This Row],[project]]), "",COUNTIFS($A:$A,patch[[#This Row],[number]],$S:$S, "FL And dev",$AD:$AD, "&lt;&gt;IntegratorValidationComment"))</f>
        <v/>
      </c>
      <c r="AB686" s="7" t="str">
        <f>IF(ISBLANK(patch[[#This Row],[project]]), "",COUNTIFS($A:$A,patch[[#This Row],[number]],$S:$S, "SH And dev",$AD:$AD, "&lt;&gt;IntegratorValidationComment"))</f>
        <v/>
      </c>
      <c r="AC686" s="7" t="str">
        <f>IF(OR(ISNUMBER(FIND("Review-1", patch[[#This Row],[comments]])), ISNUMBER(FIND("Approver-1", patch[[#This Row],[comments]]))), "Review-1", "")</f>
        <v/>
      </c>
      <c r="AD6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86" s="7">
        <f>IF(ISBLANK(patch[[#This Row],[number]]),AE685,patch[[#This Row],[ifCommon]])</f>
        <v>0</v>
      </c>
    </row>
    <row r="687" spans="1:31">
      <c r="A687" s="151">
        <v>147289</v>
      </c>
      <c r="B687" s="151"/>
      <c r="C687" s="151"/>
      <c r="D687" s="151"/>
      <c r="E687" s="151"/>
      <c r="F687" s="151"/>
      <c r="G687" s="151"/>
      <c r="H687" s="151"/>
      <c r="I687" s="151"/>
      <c r="J687" s="152">
        <v>42635.71371527778</v>
      </c>
      <c r="K687" s="151"/>
      <c r="L687" s="151" t="s">
        <v>24</v>
      </c>
      <c r="M687" s="152">
        <v>42635.444849537038</v>
      </c>
      <c r="N687" s="151" t="s">
        <v>1880</v>
      </c>
      <c r="O687" s="151"/>
      <c r="P687" s="151"/>
      <c r="Q687" s="7" t="str">
        <f>IF(ISBLANK(patch[[#This Row],[OwnerEmail]]),Q686,patch[[#This Row],[OwnerEmail]])</f>
        <v>lipingx.xu@intel.com</v>
      </c>
      <c r="R687" s="7" t="str">
        <f>_xlfn.IFNA(VLOOKUP(patch[[#This Row],[tmp-owner.email]],OrgTree!$A:$K, 11, 0), "not ICG SWFW")</f>
        <v>BJ And dev</v>
      </c>
      <c r="S687" s="7" t="str">
        <f>IF(patch[[#This Row],[reviewer]]=patch[[#This Row],[tmp-owner.email]], "author", _xlfn.IFNA(VLOOKUP(patch[[#This Row],[reviewer]],OrgTree!$A:$K, 11, 0), "not ICG SWFW"))</f>
        <v>BJ And dev</v>
      </c>
      <c r="T687" s="7" t="str">
        <f>IF(ISBLANK(patch[[#This Row],[mergeDate]]), "", MID(YEAR(patch[[#This Row],[mergeDate]]), 3,2)&amp;"'ww"&amp;WEEKNUM(patch[[#This Row],[mergeDate]]))</f>
        <v>16'ww39</v>
      </c>
      <c r="U687" s="7" t="str">
        <f>IF(ISBLANK(patch[[#This Row],[mergeDate]]), U686, MID(YEAR(patch[[#This Row],[mergeDate]]), 3,2)&amp;"'m"&amp;MONTH(patch[[#This Row],[mergeDate]]))</f>
        <v>16'm9</v>
      </c>
      <c r="V687" s="7" t="str">
        <f>IF(ISBLANK(patch[[#This Row],[project]]), "",SUM(patch[[#This Row],[BJ -1 num]:[SH -1 num]]))</f>
        <v/>
      </c>
      <c r="W687" s="7" t="str">
        <f>IF(ISBLANK(patch[[#This Row],[project]]), "",COUNTIFS($A:$A,patch[[#This Row],[number]],$S:$S, "BJ And dev",$AC:$AC, "Review-1"))</f>
        <v/>
      </c>
      <c r="X687" s="7" t="str">
        <f>IF(ISBLANK(patch[[#This Row],[project]]), "",COUNTIFS($A:$A,patch[[#This Row],[number]],$S:$S, "FL And dev",$AC:$AC, "Review-1"))</f>
        <v/>
      </c>
      <c r="Y687" s="7" t="str">
        <f>IF(ISBLANK(patch[[#This Row],[project]]), "",COUNTIFS($A:$A,patch[[#This Row],[number]],$S:$S, "SH And dev",$AC:$AC, "Review-1"))</f>
        <v/>
      </c>
      <c r="Z687" s="7" t="str">
        <f>IF(ISBLANK(patch[[#This Row],[project]]), "",COUNTIFS($A:$A,patch[[#This Row],[number]],$S:$S, "BJ And dev",$AD:$AD, "&lt;&gt;IntegratorValidationComment"))</f>
        <v/>
      </c>
      <c r="AA687" s="7" t="str">
        <f>IF(ISBLANK(patch[[#This Row],[project]]), "",COUNTIFS($A:$A,patch[[#This Row],[number]],$S:$S, "FL And dev",$AD:$AD, "&lt;&gt;IntegratorValidationComment"))</f>
        <v/>
      </c>
      <c r="AB687" s="7" t="str">
        <f>IF(ISBLANK(patch[[#This Row],[project]]), "",COUNTIFS($A:$A,patch[[#This Row],[number]],$S:$S, "SH And dev",$AD:$AD, "&lt;&gt;IntegratorValidationComment"))</f>
        <v/>
      </c>
      <c r="AC687" s="7" t="str">
        <f>IF(OR(ISNUMBER(FIND("Review-1", patch[[#This Row],[comments]])), ISNUMBER(FIND("Approver-1", patch[[#This Row],[comments]]))), "Review-1", "")</f>
        <v/>
      </c>
      <c r="AD6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87" s="7">
        <f>IF(ISBLANK(patch[[#This Row],[number]]),AE686,patch[[#This Row],[ifCommon]])</f>
        <v>0</v>
      </c>
    </row>
    <row r="688" spans="1:31">
      <c r="A688" s="151">
        <v>147289</v>
      </c>
      <c r="B688" s="151"/>
      <c r="C688" s="151"/>
      <c r="D688" s="151"/>
      <c r="E688" s="151"/>
      <c r="F688" s="151"/>
      <c r="G688" s="151"/>
      <c r="H688" s="151"/>
      <c r="I688" s="151"/>
      <c r="J688" s="152">
        <v>42635.71371527778</v>
      </c>
      <c r="K688" s="151"/>
      <c r="L688" s="151" t="s">
        <v>115</v>
      </c>
      <c r="M688" s="152">
        <v>42635.547013888892</v>
      </c>
      <c r="N688" s="151" t="s">
        <v>2494</v>
      </c>
      <c r="O688" s="151"/>
      <c r="P688" s="151"/>
      <c r="Q688" s="7" t="str">
        <f>IF(ISBLANK(patch[[#This Row],[OwnerEmail]]),Q687,patch[[#This Row],[OwnerEmail]])</f>
        <v>lipingx.xu@intel.com</v>
      </c>
      <c r="R688" s="7" t="str">
        <f>_xlfn.IFNA(VLOOKUP(patch[[#This Row],[tmp-owner.email]],OrgTree!$A:$K, 11, 0), "not ICG SWFW")</f>
        <v>BJ And dev</v>
      </c>
      <c r="S688" s="7" t="str">
        <f>IF(patch[[#This Row],[reviewer]]=patch[[#This Row],[tmp-owner.email]], "author", _xlfn.IFNA(VLOOKUP(patch[[#This Row],[reviewer]],OrgTree!$A:$K, 11, 0), "not ICG SWFW"))</f>
        <v>Val</v>
      </c>
      <c r="T688" s="7" t="str">
        <f>IF(ISBLANK(patch[[#This Row],[mergeDate]]), "", MID(YEAR(patch[[#This Row],[mergeDate]]), 3,2)&amp;"'ww"&amp;WEEKNUM(patch[[#This Row],[mergeDate]]))</f>
        <v>16'ww39</v>
      </c>
      <c r="U688" s="7" t="str">
        <f>IF(ISBLANK(patch[[#This Row],[mergeDate]]), U687, MID(YEAR(patch[[#This Row],[mergeDate]]), 3,2)&amp;"'m"&amp;MONTH(patch[[#This Row],[mergeDate]]))</f>
        <v>16'm9</v>
      </c>
      <c r="V688" s="7" t="str">
        <f>IF(ISBLANK(patch[[#This Row],[project]]), "",SUM(patch[[#This Row],[BJ -1 num]:[SH -1 num]]))</f>
        <v/>
      </c>
      <c r="W688" s="7" t="str">
        <f>IF(ISBLANK(patch[[#This Row],[project]]), "",COUNTIFS($A:$A,patch[[#This Row],[number]],$S:$S, "BJ And dev",$AC:$AC, "Review-1"))</f>
        <v/>
      </c>
      <c r="X688" s="7" t="str">
        <f>IF(ISBLANK(patch[[#This Row],[project]]), "",COUNTIFS($A:$A,patch[[#This Row],[number]],$S:$S, "FL And dev",$AC:$AC, "Review-1"))</f>
        <v/>
      </c>
      <c r="Y688" s="7" t="str">
        <f>IF(ISBLANK(patch[[#This Row],[project]]), "",COUNTIFS($A:$A,patch[[#This Row],[number]],$S:$S, "SH And dev",$AC:$AC, "Review-1"))</f>
        <v/>
      </c>
      <c r="Z688" s="7" t="str">
        <f>IF(ISBLANK(patch[[#This Row],[project]]), "",COUNTIFS($A:$A,patch[[#This Row],[number]],$S:$S, "BJ And dev",$AD:$AD, "&lt;&gt;IntegratorValidationComment"))</f>
        <v/>
      </c>
      <c r="AA688" s="7" t="str">
        <f>IF(ISBLANK(patch[[#This Row],[project]]), "",COUNTIFS($A:$A,patch[[#This Row],[number]],$S:$S, "FL And dev",$AD:$AD, "&lt;&gt;IntegratorValidationComment"))</f>
        <v/>
      </c>
      <c r="AB688" s="7" t="str">
        <f>IF(ISBLANK(patch[[#This Row],[project]]), "",COUNTIFS($A:$A,patch[[#This Row],[number]],$S:$S, "SH And dev",$AD:$AD, "&lt;&gt;IntegratorValidationComment"))</f>
        <v/>
      </c>
      <c r="AC688" s="7" t="str">
        <f>IF(OR(ISNUMBER(FIND("Review-1", patch[[#This Row],[comments]])), ISNUMBER(FIND("Approver-1", patch[[#This Row],[comments]]))), "Review-1", "")</f>
        <v/>
      </c>
      <c r="AD6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688" s="7">
        <f>IF(ISBLANK(patch[[#This Row],[number]]),AE687,patch[[#This Row],[ifCommon]])</f>
        <v>0</v>
      </c>
    </row>
    <row r="689" spans="1:31">
      <c r="A689" s="151">
        <v>147288</v>
      </c>
      <c r="B689" s="151" t="s">
        <v>2490</v>
      </c>
      <c r="C689" s="151" t="s">
        <v>2795</v>
      </c>
      <c r="D689" s="151" t="s">
        <v>2953</v>
      </c>
      <c r="E689" s="151" t="s">
        <v>677</v>
      </c>
      <c r="F689" s="151" t="s">
        <v>23</v>
      </c>
      <c r="G689" s="151" t="s">
        <v>2954</v>
      </c>
      <c r="H689" s="151" t="s">
        <v>2955</v>
      </c>
      <c r="I689" s="152">
        <v>42635.406354166669</v>
      </c>
      <c r="J689" s="152">
        <v>42635.71371527778</v>
      </c>
      <c r="K689" s="151" t="s">
        <v>2445</v>
      </c>
      <c r="L689" s="151" t="s">
        <v>677</v>
      </c>
      <c r="M689" s="152">
        <v>42635.406354166669</v>
      </c>
      <c r="N689" s="151" t="s">
        <v>25</v>
      </c>
      <c r="O689" s="151"/>
      <c r="P689" s="151" t="s">
        <v>59</v>
      </c>
      <c r="Q689" s="7" t="str">
        <f>IF(ISBLANK(patch[[#This Row],[OwnerEmail]]),Q688,patch[[#This Row],[OwnerEmail]])</f>
        <v>lipingx.xu@intel.com</v>
      </c>
      <c r="R689" s="7" t="str">
        <f>_xlfn.IFNA(VLOOKUP(patch[[#This Row],[tmp-owner.email]],OrgTree!$A:$K, 11, 0), "not ICG SWFW")</f>
        <v>BJ And dev</v>
      </c>
      <c r="S689" s="7" t="str">
        <f>IF(patch[[#This Row],[reviewer]]=patch[[#This Row],[tmp-owner.email]], "author", _xlfn.IFNA(VLOOKUP(patch[[#This Row],[reviewer]],OrgTree!$A:$K, 11, 0), "not ICG SWFW"))</f>
        <v>author</v>
      </c>
      <c r="T689" s="7" t="str">
        <f>IF(ISBLANK(patch[[#This Row],[mergeDate]]), "", MID(YEAR(patch[[#This Row],[mergeDate]]), 3,2)&amp;"'ww"&amp;WEEKNUM(patch[[#This Row],[mergeDate]]))</f>
        <v>16'ww39</v>
      </c>
      <c r="U689" s="7" t="str">
        <f>IF(ISBLANK(patch[[#This Row],[mergeDate]]), U688, MID(YEAR(patch[[#This Row],[mergeDate]]), 3,2)&amp;"'m"&amp;MONTH(patch[[#This Row],[mergeDate]]))</f>
        <v>16'm9</v>
      </c>
      <c r="V689" s="7">
        <f>IF(ISBLANK(patch[[#This Row],[project]]), "",SUM(patch[[#This Row],[BJ -1 num]:[SH -1 num]]))</f>
        <v>0</v>
      </c>
      <c r="W689" s="7">
        <f>IF(ISBLANK(patch[[#This Row],[project]]), "",COUNTIFS($A:$A,patch[[#This Row],[number]],$S:$S, "BJ And dev",$AC:$AC, "Review-1"))</f>
        <v>0</v>
      </c>
      <c r="X689" s="7">
        <f>IF(ISBLANK(patch[[#This Row],[project]]), "",COUNTIFS($A:$A,patch[[#This Row],[number]],$S:$S, "FL And dev",$AC:$AC, "Review-1"))</f>
        <v>0</v>
      </c>
      <c r="Y689" s="7">
        <f>IF(ISBLANK(patch[[#This Row],[project]]), "",COUNTIFS($A:$A,patch[[#This Row],[number]],$S:$S, "SH And dev",$AC:$AC, "Review-1"))</f>
        <v>0</v>
      </c>
      <c r="Z689" s="7">
        <f>IF(ISBLANK(patch[[#This Row],[project]]), "",COUNTIFS($A:$A,patch[[#This Row],[number]],$S:$S, "BJ And dev",$AD:$AD, "&lt;&gt;IntegratorValidationComment"))</f>
        <v>3</v>
      </c>
      <c r="AA689" s="7">
        <f>IF(ISBLANK(patch[[#This Row],[project]]), "",COUNTIFS($A:$A,patch[[#This Row],[number]],$S:$S, "FL And dev",$AD:$AD, "&lt;&gt;IntegratorValidationComment"))</f>
        <v>0</v>
      </c>
      <c r="AB689" s="7">
        <f>IF(ISBLANK(patch[[#This Row],[project]]), "",COUNTIFS($A:$A,patch[[#This Row],[number]],$S:$S, "SH And dev",$AD:$AD, "&lt;&gt;IntegratorValidationComment"))</f>
        <v>0</v>
      </c>
      <c r="AC689" s="7" t="str">
        <f>IF(OR(ISNUMBER(FIND("Review-1", patch[[#This Row],[comments]])), ISNUMBER(FIND("Approver-1", patch[[#This Row],[comments]]))), "Review-1", "")</f>
        <v/>
      </c>
      <c r="AD6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89" s="7" t="str">
        <f>IF(ISBLANK(patch[[#This Row],[number]]),AE688,patch[[#This Row],[ifCommon]])</f>
        <v>not AndrHAL</v>
      </c>
    </row>
    <row r="690" spans="1:31">
      <c r="A690" s="151">
        <v>147288</v>
      </c>
      <c r="B690" s="151"/>
      <c r="C690" s="151"/>
      <c r="D690" s="151"/>
      <c r="E690" s="151"/>
      <c r="F690" s="151"/>
      <c r="G690" s="151"/>
      <c r="H690" s="151"/>
      <c r="I690" s="151"/>
      <c r="J690" s="152">
        <v>42635.71371527778</v>
      </c>
      <c r="K690" s="151"/>
      <c r="L690" s="151" t="s">
        <v>677</v>
      </c>
      <c r="M690" s="152">
        <v>42635.406435185178</v>
      </c>
      <c r="N690" s="151" t="s">
        <v>2428</v>
      </c>
      <c r="O690" s="151"/>
      <c r="P690" s="151"/>
      <c r="Q690" s="7" t="str">
        <f>IF(ISBLANK(patch[[#This Row],[OwnerEmail]]),Q689,patch[[#This Row],[OwnerEmail]])</f>
        <v>lipingx.xu@intel.com</v>
      </c>
      <c r="R690" s="7" t="str">
        <f>_xlfn.IFNA(VLOOKUP(patch[[#This Row],[tmp-owner.email]],OrgTree!$A:$K, 11, 0), "not ICG SWFW")</f>
        <v>BJ And dev</v>
      </c>
      <c r="S690" s="7" t="str">
        <f>IF(patch[[#This Row],[reviewer]]=patch[[#This Row],[tmp-owner.email]], "author", _xlfn.IFNA(VLOOKUP(patch[[#This Row],[reviewer]],OrgTree!$A:$K, 11, 0), "not ICG SWFW"))</f>
        <v>author</v>
      </c>
      <c r="T690" s="7" t="str">
        <f>IF(ISBLANK(patch[[#This Row],[mergeDate]]), "", MID(YEAR(patch[[#This Row],[mergeDate]]), 3,2)&amp;"'ww"&amp;WEEKNUM(patch[[#This Row],[mergeDate]]))</f>
        <v>16'ww39</v>
      </c>
      <c r="U690" s="7" t="str">
        <f>IF(ISBLANK(patch[[#This Row],[mergeDate]]), U689, MID(YEAR(patch[[#This Row],[mergeDate]]), 3,2)&amp;"'m"&amp;MONTH(patch[[#This Row],[mergeDate]]))</f>
        <v>16'm9</v>
      </c>
      <c r="V690" s="7" t="str">
        <f>IF(ISBLANK(patch[[#This Row],[project]]), "",SUM(patch[[#This Row],[BJ -1 num]:[SH -1 num]]))</f>
        <v/>
      </c>
      <c r="W690" s="7" t="str">
        <f>IF(ISBLANK(patch[[#This Row],[project]]), "",COUNTIFS($A:$A,patch[[#This Row],[number]],$S:$S, "BJ And dev",$AC:$AC, "Review-1"))</f>
        <v/>
      </c>
      <c r="X690" s="7" t="str">
        <f>IF(ISBLANK(patch[[#This Row],[project]]), "",COUNTIFS($A:$A,patch[[#This Row],[number]],$S:$S, "FL And dev",$AC:$AC, "Review-1"))</f>
        <v/>
      </c>
      <c r="Y690" s="7" t="str">
        <f>IF(ISBLANK(patch[[#This Row],[project]]), "",COUNTIFS($A:$A,patch[[#This Row],[number]],$S:$S, "SH And dev",$AC:$AC, "Review-1"))</f>
        <v/>
      </c>
      <c r="Z690" s="7" t="str">
        <f>IF(ISBLANK(patch[[#This Row],[project]]), "",COUNTIFS($A:$A,patch[[#This Row],[number]],$S:$S, "BJ And dev",$AD:$AD, "&lt;&gt;IntegratorValidationComment"))</f>
        <v/>
      </c>
      <c r="AA690" s="7" t="str">
        <f>IF(ISBLANK(patch[[#This Row],[project]]), "",COUNTIFS($A:$A,patch[[#This Row],[number]],$S:$S, "FL And dev",$AD:$AD, "&lt;&gt;IntegratorValidationComment"))</f>
        <v/>
      </c>
      <c r="AB690" s="7" t="str">
        <f>IF(ISBLANK(patch[[#This Row],[project]]), "",COUNTIFS($A:$A,patch[[#This Row],[number]],$S:$S, "SH And dev",$AD:$AD, "&lt;&gt;IntegratorValidationComment"))</f>
        <v/>
      </c>
      <c r="AC690" s="7" t="str">
        <f>IF(OR(ISNUMBER(FIND("Review-1", patch[[#This Row],[comments]])), ISNUMBER(FIND("Approver-1", patch[[#This Row],[comments]]))), "Review-1", "")</f>
        <v/>
      </c>
      <c r="AD6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90" s="7">
        <f>IF(ISBLANK(patch[[#This Row],[number]]),AE689,patch[[#This Row],[ifCommon]])</f>
        <v>0</v>
      </c>
    </row>
    <row r="691" spans="1:31">
      <c r="A691" s="151">
        <v>147288</v>
      </c>
      <c r="B691" s="151"/>
      <c r="C691" s="151"/>
      <c r="D691" s="151"/>
      <c r="E691" s="151"/>
      <c r="F691" s="151"/>
      <c r="G691" s="151"/>
      <c r="H691" s="151"/>
      <c r="I691" s="151"/>
      <c r="J691" s="152">
        <v>42635.71371527778</v>
      </c>
      <c r="K691" s="151"/>
      <c r="L691" s="151" t="s">
        <v>677</v>
      </c>
      <c r="M691" s="152">
        <v>42635.407766203702</v>
      </c>
      <c r="N691" s="151" t="s">
        <v>40</v>
      </c>
      <c r="O691" s="151"/>
      <c r="P691" s="151"/>
      <c r="Q691" s="7" t="str">
        <f>IF(ISBLANK(patch[[#This Row],[OwnerEmail]]),Q690,patch[[#This Row],[OwnerEmail]])</f>
        <v>lipingx.xu@intel.com</v>
      </c>
      <c r="R691" s="7" t="str">
        <f>_xlfn.IFNA(VLOOKUP(patch[[#This Row],[tmp-owner.email]],OrgTree!$A:$K, 11, 0), "not ICG SWFW")</f>
        <v>BJ And dev</v>
      </c>
      <c r="S691" s="7" t="str">
        <f>IF(patch[[#This Row],[reviewer]]=patch[[#This Row],[tmp-owner.email]], "author", _xlfn.IFNA(VLOOKUP(patch[[#This Row],[reviewer]],OrgTree!$A:$K, 11, 0), "not ICG SWFW"))</f>
        <v>author</v>
      </c>
      <c r="T691" s="7" t="str">
        <f>IF(ISBLANK(patch[[#This Row],[mergeDate]]), "", MID(YEAR(patch[[#This Row],[mergeDate]]), 3,2)&amp;"'ww"&amp;WEEKNUM(patch[[#This Row],[mergeDate]]))</f>
        <v>16'ww39</v>
      </c>
      <c r="U691" s="7" t="str">
        <f>IF(ISBLANK(patch[[#This Row],[mergeDate]]), U690, MID(YEAR(patch[[#This Row],[mergeDate]]), 3,2)&amp;"'m"&amp;MONTH(patch[[#This Row],[mergeDate]]))</f>
        <v>16'm9</v>
      </c>
      <c r="V691" s="7" t="str">
        <f>IF(ISBLANK(patch[[#This Row],[project]]), "",SUM(patch[[#This Row],[BJ -1 num]:[SH -1 num]]))</f>
        <v/>
      </c>
      <c r="W691" s="7" t="str">
        <f>IF(ISBLANK(patch[[#This Row],[project]]), "",COUNTIFS($A:$A,patch[[#This Row],[number]],$S:$S, "BJ And dev",$AC:$AC, "Review-1"))</f>
        <v/>
      </c>
      <c r="X691" s="7" t="str">
        <f>IF(ISBLANK(patch[[#This Row],[project]]), "",COUNTIFS($A:$A,patch[[#This Row],[number]],$S:$S, "FL And dev",$AC:$AC, "Review-1"))</f>
        <v/>
      </c>
      <c r="Y691" s="7" t="str">
        <f>IF(ISBLANK(patch[[#This Row],[project]]), "",COUNTIFS($A:$A,patch[[#This Row],[number]],$S:$S, "SH And dev",$AC:$AC, "Review-1"))</f>
        <v/>
      </c>
      <c r="Z691" s="7" t="str">
        <f>IF(ISBLANK(patch[[#This Row],[project]]), "",COUNTIFS($A:$A,patch[[#This Row],[number]],$S:$S, "BJ And dev",$AD:$AD, "&lt;&gt;IntegratorValidationComment"))</f>
        <v/>
      </c>
      <c r="AA691" s="7" t="str">
        <f>IF(ISBLANK(patch[[#This Row],[project]]), "",COUNTIFS($A:$A,patch[[#This Row],[number]],$S:$S, "FL And dev",$AD:$AD, "&lt;&gt;IntegratorValidationComment"))</f>
        <v/>
      </c>
      <c r="AB691" s="7" t="str">
        <f>IF(ISBLANK(patch[[#This Row],[project]]), "",COUNTIFS($A:$A,patch[[#This Row],[number]],$S:$S, "SH And dev",$AD:$AD, "&lt;&gt;IntegratorValidationComment"))</f>
        <v/>
      </c>
      <c r="AC691" s="7" t="str">
        <f>IF(OR(ISNUMBER(FIND("Review-1", patch[[#This Row],[comments]])), ISNUMBER(FIND("Approver-1", patch[[#This Row],[comments]]))), "Review-1", "")</f>
        <v/>
      </c>
      <c r="AD6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91" s="7">
        <f>IF(ISBLANK(patch[[#This Row],[number]]),AE690,patch[[#This Row],[ifCommon]])</f>
        <v>0</v>
      </c>
    </row>
    <row r="692" spans="1:31">
      <c r="A692" s="151">
        <v>147288</v>
      </c>
      <c r="B692" s="151"/>
      <c r="C692" s="151"/>
      <c r="D692" s="151"/>
      <c r="E692" s="151"/>
      <c r="F692" s="151"/>
      <c r="G692" s="151"/>
      <c r="H692" s="151"/>
      <c r="I692" s="151"/>
      <c r="J692" s="152">
        <v>42635.71371527778</v>
      </c>
      <c r="K692" s="151"/>
      <c r="L692" s="151" t="s">
        <v>59</v>
      </c>
      <c r="M692" s="152">
        <v>42635.412361111114</v>
      </c>
      <c r="N692" s="151" t="s">
        <v>2956</v>
      </c>
      <c r="O692" s="151"/>
      <c r="P692" s="151"/>
      <c r="Q692" s="7" t="str">
        <f>IF(ISBLANK(patch[[#This Row],[OwnerEmail]]),Q691,patch[[#This Row],[OwnerEmail]])</f>
        <v>lipingx.xu@intel.com</v>
      </c>
      <c r="R692" s="7" t="str">
        <f>_xlfn.IFNA(VLOOKUP(patch[[#This Row],[tmp-owner.email]],OrgTree!$A:$K, 11, 0), "not ICG SWFW")</f>
        <v>BJ And dev</v>
      </c>
      <c r="S692" s="7" t="str">
        <f>IF(patch[[#This Row],[reviewer]]=patch[[#This Row],[tmp-owner.email]], "author", _xlfn.IFNA(VLOOKUP(patch[[#This Row],[reviewer]],OrgTree!$A:$K, 11, 0), "not ICG SWFW"))</f>
        <v>BJ And dev</v>
      </c>
      <c r="T692" s="7" t="str">
        <f>IF(ISBLANK(patch[[#This Row],[mergeDate]]), "", MID(YEAR(patch[[#This Row],[mergeDate]]), 3,2)&amp;"'ww"&amp;WEEKNUM(patch[[#This Row],[mergeDate]]))</f>
        <v>16'ww39</v>
      </c>
      <c r="U692" s="7" t="str">
        <f>IF(ISBLANK(patch[[#This Row],[mergeDate]]), U691, MID(YEAR(patch[[#This Row],[mergeDate]]), 3,2)&amp;"'m"&amp;MONTH(patch[[#This Row],[mergeDate]]))</f>
        <v>16'm9</v>
      </c>
      <c r="V692" s="7" t="str">
        <f>IF(ISBLANK(patch[[#This Row],[project]]), "",SUM(patch[[#This Row],[BJ -1 num]:[SH -1 num]]))</f>
        <v/>
      </c>
      <c r="W692" s="7" t="str">
        <f>IF(ISBLANK(patch[[#This Row],[project]]), "",COUNTIFS($A:$A,patch[[#This Row],[number]],$S:$S, "BJ And dev",$AC:$AC, "Review-1"))</f>
        <v/>
      </c>
      <c r="X692" s="7" t="str">
        <f>IF(ISBLANK(patch[[#This Row],[project]]), "",COUNTIFS($A:$A,patch[[#This Row],[number]],$S:$S, "FL And dev",$AC:$AC, "Review-1"))</f>
        <v/>
      </c>
      <c r="Y692" s="7" t="str">
        <f>IF(ISBLANK(patch[[#This Row],[project]]), "",COUNTIFS($A:$A,patch[[#This Row],[number]],$S:$S, "SH And dev",$AC:$AC, "Review-1"))</f>
        <v/>
      </c>
      <c r="Z692" s="7" t="str">
        <f>IF(ISBLANK(patch[[#This Row],[project]]), "",COUNTIFS($A:$A,patch[[#This Row],[number]],$S:$S, "BJ And dev",$AD:$AD, "&lt;&gt;IntegratorValidationComment"))</f>
        <v/>
      </c>
      <c r="AA692" s="7" t="str">
        <f>IF(ISBLANK(patch[[#This Row],[project]]), "",COUNTIFS($A:$A,patch[[#This Row],[number]],$S:$S, "FL And dev",$AD:$AD, "&lt;&gt;IntegratorValidationComment"))</f>
        <v/>
      </c>
      <c r="AB692" s="7" t="str">
        <f>IF(ISBLANK(patch[[#This Row],[project]]), "",COUNTIFS($A:$A,patch[[#This Row],[number]],$S:$S, "SH And dev",$AD:$AD, "&lt;&gt;IntegratorValidationComment"))</f>
        <v/>
      </c>
      <c r="AC692" s="7" t="str">
        <f>IF(OR(ISNUMBER(FIND("Review-1", patch[[#This Row],[comments]])), ISNUMBER(FIND("Approver-1", patch[[#This Row],[comments]]))), "Review-1", "")</f>
        <v/>
      </c>
      <c r="AD6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92" s="7">
        <f>IF(ISBLANK(patch[[#This Row],[number]]),AE691,patch[[#This Row],[ifCommon]])</f>
        <v>0</v>
      </c>
    </row>
    <row r="693" spans="1:31">
      <c r="A693" s="151">
        <v>147288</v>
      </c>
      <c r="B693" s="151"/>
      <c r="C693" s="151"/>
      <c r="D693" s="151"/>
      <c r="E693" s="151"/>
      <c r="F693" s="151"/>
      <c r="G693" s="151"/>
      <c r="H693" s="151"/>
      <c r="I693" s="152"/>
      <c r="J693" s="152">
        <v>42635.71371527778</v>
      </c>
      <c r="K693" s="151"/>
      <c r="L693" s="151" t="s">
        <v>59</v>
      </c>
      <c r="M693" s="152">
        <v>42635.419004629628</v>
      </c>
      <c r="N693" s="151" t="s">
        <v>2957</v>
      </c>
      <c r="O693" s="151"/>
      <c r="P693" s="151"/>
      <c r="Q693" s="7" t="str">
        <f>IF(ISBLANK(patch[[#This Row],[OwnerEmail]]),Q692,patch[[#This Row],[OwnerEmail]])</f>
        <v>lipingx.xu@intel.com</v>
      </c>
      <c r="R693" s="7" t="str">
        <f>_xlfn.IFNA(VLOOKUP(patch[[#This Row],[tmp-owner.email]],OrgTree!$A:$K, 11, 0), "not ICG SWFW")</f>
        <v>BJ And dev</v>
      </c>
      <c r="S693" s="7" t="str">
        <f>IF(patch[[#This Row],[reviewer]]=patch[[#This Row],[tmp-owner.email]], "author", _xlfn.IFNA(VLOOKUP(patch[[#This Row],[reviewer]],OrgTree!$A:$K, 11, 0), "not ICG SWFW"))</f>
        <v>BJ And dev</v>
      </c>
      <c r="T693" s="7" t="str">
        <f>IF(ISBLANK(patch[[#This Row],[mergeDate]]), "", MID(YEAR(patch[[#This Row],[mergeDate]]), 3,2)&amp;"'ww"&amp;WEEKNUM(patch[[#This Row],[mergeDate]]))</f>
        <v>16'ww39</v>
      </c>
      <c r="U693" s="7" t="str">
        <f>IF(ISBLANK(patch[[#This Row],[mergeDate]]), U692, MID(YEAR(patch[[#This Row],[mergeDate]]), 3,2)&amp;"'m"&amp;MONTH(patch[[#This Row],[mergeDate]]))</f>
        <v>16'm9</v>
      </c>
      <c r="V693" s="7" t="str">
        <f>IF(ISBLANK(patch[[#This Row],[project]]), "",SUM(patch[[#This Row],[BJ -1 num]:[SH -1 num]]))</f>
        <v/>
      </c>
      <c r="W693" s="7" t="str">
        <f>IF(ISBLANK(patch[[#This Row],[project]]), "",COUNTIFS($A:$A,patch[[#This Row],[number]],$S:$S, "BJ And dev",$AC:$AC, "Review-1"))</f>
        <v/>
      </c>
      <c r="X693" s="7" t="str">
        <f>IF(ISBLANK(patch[[#This Row],[project]]), "",COUNTIFS($A:$A,patch[[#This Row],[number]],$S:$S, "FL And dev",$AC:$AC, "Review-1"))</f>
        <v/>
      </c>
      <c r="Y693" s="7" t="str">
        <f>IF(ISBLANK(patch[[#This Row],[project]]), "",COUNTIFS($A:$A,patch[[#This Row],[number]],$S:$S, "SH And dev",$AC:$AC, "Review-1"))</f>
        <v/>
      </c>
      <c r="Z693" s="7" t="str">
        <f>IF(ISBLANK(patch[[#This Row],[project]]), "",COUNTIFS($A:$A,patch[[#This Row],[number]],$S:$S, "BJ And dev",$AD:$AD, "&lt;&gt;IntegratorValidationComment"))</f>
        <v/>
      </c>
      <c r="AA693" s="7" t="str">
        <f>IF(ISBLANK(patch[[#This Row],[project]]), "",COUNTIFS($A:$A,patch[[#This Row],[number]],$S:$S, "FL And dev",$AD:$AD, "&lt;&gt;IntegratorValidationComment"))</f>
        <v/>
      </c>
      <c r="AB693" s="7" t="str">
        <f>IF(ISBLANK(patch[[#This Row],[project]]), "",COUNTIFS($A:$A,patch[[#This Row],[number]],$S:$S, "SH And dev",$AD:$AD, "&lt;&gt;IntegratorValidationComment"))</f>
        <v/>
      </c>
      <c r="AC693" s="7" t="str">
        <f>IF(OR(ISNUMBER(FIND("Review-1", patch[[#This Row],[comments]])), ISNUMBER(FIND("Approver-1", patch[[#This Row],[comments]]))), "Review-1", "")</f>
        <v/>
      </c>
      <c r="AD6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93" s="7">
        <f>IF(ISBLANK(patch[[#This Row],[number]]),AE692,patch[[#This Row],[ifCommon]])</f>
        <v>0</v>
      </c>
    </row>
    <row r="694" spans="1:31">
      <c r="A694" s="151">
        <v>147288</v>
      </c>
      <c r="B694" s="151"/>
      <c r="C694" s="151"/>
      <c r="D694" s="151"/>
      <c r="E694" s="151"/>
      <c r="F694" s="151"/>
      <c r="G694" s="151"/>
      <c r="H694" s="151"/>
      <c r="I694" s="151"/>
      <c r="J694" s="152">
        <v>42635.71371527778</v>
      </c>
      <c r="K694" s="151"/>
      <c r="L694" s="151" t="s">
        <v>59</v>
      </c>
      <c r="M694" s="152">
        <v>42635.454467592594</v>
      </c>
      <c r="N694" s="151" t="s">
        <v>1880</v>
      </c>
      <c r="O694" s="151"/>
      <c r="P694" s="151"/>
      <c r="Q694" s="7" t="str">
        <f>IF(ISBLANK(patch[[#This Row],[OwnerEmail]]),Q693,patch[[#This Row],[OwnerEmail]])</f>
        <v>lipingx.xu@intel.com</v>
      </c>
      <c r="R694" s="7" t="str">
        <f>_xlfn.IFNA(VLOOKUP(patch[[#This Row],[tmp-owner.email]],OrgTree!$A:$K, 11, 0), "not ICG SWFW")</f>
        <v>BJ And dev</v>
      </c>
      <c r="S694" s="7" t="str">
        <f>IF(patch[[#This Row],[reviewer]]=patch[[#This Row],[tmp-owner.email]], "author", _xlfn.IFNA(VLOOKUP(patch[[#This Row],[reviewer]],OrgTree!$A:$K, 11, 0), "not ICG SWFW"))</f>
        <v>BJ And dev</v>
      </c>
      <c r="T694" s="7" t="str">
        <f>IF(ISBLANK(patch[[#This Row],[mergeDate]]), "", MID(YEAR(patch[[#This Row],[mergeDate]]), 3,2)&amp;"'ww"&amp;WEEKNUM(patch[[#This Row],[mergeDate]]))</f>
        <v>16'ww39</v>
      </c>
      <c r="U694" s="7" t="str">
        <f>IF(ISBLANK(patch[[#This Row],[mergeDate]]), U693, MID(YEAR(patch[[#This Row],[mergeDate]]), 3,2)&amp;"'m"&amp;MONTH(patch[[#This Row],[mergeDate]]))</f>
        <v>16'm9</v>
      </c>
      <c r="V694" s="7" t="str">
        <f>IF(ISBLANK(patch[[#This Row],[project]]), "",SUM(patch[[#This Row],[BJ -1 num]:[SH -1 num]]))</f>
        <v/>
      </c>
      <c r="W694" s="7" t="str">
        <f>IF(ISBLANK(patch[[#This Row],[project]]), "",COUNTIFS($A:$A,patch[[#This Row],[number]],$S:$S, "BJ And dev",$AC:$AC, "Review-1"))</f>
        <v/>
      </c>
      <c r="X694" s="7" t="str">
        <f>IF(ISBLANK(patch[[#This Row],[project]]), "",COUNTIFS($A:$A,patch[[#This Row],[number]],$S:$S, "FL And dev",$AC:$AC, "Review-1"))</f>
        <v/>
      </c>
      <c r="Y694" s="7" t="str">
        <f>IF(ISBLANK(patch[[#This Row],[project]]), "",COUNTIFS($A:$A,patch[[#This Row],[number]],$S:$S, "SH And dev",$AC:$AC, "Review-1"))</f>
        <v/>
      </c>
      <c r="Z694" s="7" t="str">
        <f>IF(ISBLANK(patch[[#This Row],[project]]), "",COUNTIFS($A:$A,patch[[#This Row],[number]],$S:$S, "BJ And dev",$AD:$AD, "&lt;&gt;IntegratorValidationComment"))</f>
        <v/>
      </c>
      <c r="AA694" s="7" t="str">
        <f>IF(ISBLANK(patch[[#This Row],[project]]), "",COUNTIFS($A:$A,patch[[#This Row],[number]],$S:$S, "FL And dev",$AD:$AD, "&lt;&gt;IntegratorValidationComment"))</f>
        <v/>
      </c>
      <c r="AB694" s="7" t="str">
        <f>IF(ISBLANK(patch[[#This Row],[project]]), "",COUNTIFS($A:$A,patch[[#This Row],[number]],$S:$S, "SH And dev",$AD:$AD, "&lt;&gt;IntegratorValidationComment"))</f>
        <v/>
      </c>
      <c r="AC694" s="7" t="str">
        <f>IF(OR(ISNUMBER(FIND("Review-1", patch[[#This Row],[comments]])), ISNUMBER(FIND("Approver-1", patch[[#This Row],[comments]]))), "Review-1", "")</f>
        <v/>
      </c>
      <c r="AD6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94" s="7">
        <f>IF(ISBLANK(patch[[#This Row],[number]]),AE693,patch[[#This Row],[ifCommon]])</f>
        <v>0</v>
      </c>
    </row>
    <row r="695" spans="1:31">
      <c r="A695" s="151">
        <v>147288</v>
      </c>
      <c r="B695" s="151"/>
      <c r="C695" s="151"/>
      <c r="D695" s="151"/>
      <c r="E695" s="151"/>
      <c r="F695" s="151"/>
      <c r="G695" s="151"/>
      <c r="H695" s="151"/>
      <c r="I695" s="151"/>
      <c r="J695" s="152">
        <v>42635.71371527778</v>
      </c>
      <c r="K695" s="151"/>
      <c r="L695" s="151" t="s">
        <v>115</v>
      </c>
      <c r="M695" s="152">
        <v>42635.547071759262</v>
      </c>
      <c r="N695" s="151" t="s">
        <v>2494</v>
      </c>
      <c r="O695" s="151"/>
      <c r="P695" s="151"/>
      <c r="Q695" s="7" t="str">
        <f>IF(ISBLANK(patch[[#This Row],[OwnerEmail]]),Q694,patch[[#This Row],[OwnerEmail]])</f>
        <v>lipingx.xu@intel.com</v>
      </c>
      <c r="R695" s="7" t="str">
        <f>_xlfn.IFNA(VLOOKUP(patch[[#This Row],[tmp-owner.email]],OrgTree!$A:$K, 11, 0), "not ICG SWFW")</f>
        <v>BJ And dev</v>
      </c>
      <c r="S695" s="7" t="str">
        <f>IF(patch[[#This Row],[reviewer]]=patch[[#This Row],[tmp-owner.email]], "author", _xlfn.IFNA(VLOOKUP(patch[[#This Row],[reviewer]],OrgTree!$A:$K, 11, 0), "not ICG SWFW"))</f>
        <v>Val</v>
      </c>
      <c r="T695" s="7" t="str">
        <f>IF(ISBLANK(patch[[#This Row],[mergeDate]]), "", MID(YEAR(patch[[#This Row],[mergeDate]]), 3,2)&amp;"'ww"&amp;WEEKNUM(patch[[#This Row],[mergeDate]]))</f>
        <v>16'ww39</v>
      </c>
      <c r="U695" s="7" t="str">
        <f>IF(ISBLANK(patch[[#This Row],[mergeDate]]), U694, MID(YEAR(patch[[#This Row],[mergeDate]]), 3,2)&amp;"'m"&amp;MONTH(patch[[#This Row],[mergeDate]]))</f>
        <v>16'm9</v>
      </c>
      <c r="V695" s="7" t="str">
        <f>IF(ISBLANK(patch[[#This Row],[project]]), "",SUM(patch[[#This Row],[BJ -1 num]:[SH -1 num]]))</f>
        <v/>
      </c>
      <c r="W695" s="7" t="str">
        <f>IF(ISBLANK(patch[[#This Row],[project]]), "",COUNTIFS($A:$A,patch[[#This Row],[number]],$S:$S, "BJ And dev",$AC:$AC, "Review-1"))</f>
        <v/>
      </c>
      <c r="X695" s="7" t="str">
        <f>IF(ISBLANK(patch[[#This Row],[project]]), "",COUNTIFS($A:$A,patch[[#This Row],[number]],$S:$S, "FL And dev",$AC:$AC, "Review-1"))</f>
        <v/>
      </c>
      <c r="Y695" s="7" t="str">
        <f>IF(ISBLANK(patch[[#This Row],[project]]), "",COUNTIFS($A:$A,patch[[#This Row],[number]],$S:$S, "SH And dev",$AC:$AC, "Review-1"))</f>
        <v/>
      </c>
      <c r="Z695" s="7" t="str">
        <f>IF(ISBLANK(patch[[#This Row],[project]]), "",COUNTIFS($A:$A,patch[[#This Row],[number]],$S:$S, "BJ And dev",$AD:$AD, "&lt;&gt;IntegratorValidationComment"))</f>
        <v/>
      </c>
      <c r="AA695" s="7" t="str">
        <f>IF(ISBLANK(patch[[#This Row],[project]]), "",COUNTIFS($A:$A,patch[[#This Row],[number]],$S:$S, "FL And dev",$AD:$AD, "&lt;&gt;IntegratorValidationComment"))</f>
        <v/>
      </c>
      <c r="AB695" s="7" t="str">
        <f>IF(ISBLANK(patch[[#This Row],[project]]), "",COUNTIFS($A:$A,patch[[#This Row],[number]],$S:$S, "SH And dev",$AD:$AD, "&lt;&gt;IntegratorValidationComment"))</f>
        <v/>
      </c>
      <c r="AC695" s="7" t="str">
        <f>IF(OR(ISNUMBER(FIND("Review-1", patch[[#This Row],[comments]])), ISNUMBER(FIND("Approver-1", patch[[#This Row],[comments]]))), "Review-1", "")</f>
        <v/>
      </c>
      <c r="AD6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695" s="7">
        <f>IF(ISBLANK(patch[[#This Row],[number]]),AE694,patch[[#This Row],[ifCommon]])</f>
        <v>0</v>
      </c>
    </row>
    <row r="696" spans="1:31">
      <c r="A696" s="151">
        <v>147286</v>
      </c>
      <c r="B696" s="151" t="s">
        <v>2490</v>
      </c>
      <c r="C696" s="151" t="s">
        <v>2795</v>
      </c>
      <c r="D696" s="151" t="s">
        <v>2958</v>
      </c>
      <c r="E696" s="151" t="s">
        <v>677</v>
      </c>
      <c r="F696" s="151" t="s">
        <v>23</v>
      </c>
      <c r="G696" s="151" t="s">
        <v>2959</v>
      </c>
      <c r="H696" s="151" t="s">
        <v>2960</v>
      </c>
      <c r="I696" s="152">
        <v>42635.406354166669</v>
      </c>
      <c r="J696" s="152">
        <v>42635.713645833333</v>
      </c>
      <c r="K696" s="151" t="s">
        <v>2445</v>
      </c>
      <c r="L696" s="151" t="s">
        <v>677</v>
      </c>
      <c r="M696" s="152">
        <v>42635.406354166669</v>
      </c>
      <c r="N696" s="151" t="s">
        <v>25</v>
      </c>
      <c r="O696" s="151"/>
      <c r="P696" s="151" t="s">
        <v>2498</v>
      </c>
      <c r="Q696" s="7" t="str">
        <f>IF(ISBLANK(patch[[#This Row],[OwnerEmail]]),Q695,patch[[#This Row],[OwnerEmail]])</f>
        <v>lipingx.xu@intel.com</v>
      </c>
      <c r="R696" s="7" t="str">
        <f>_xlfn.IFNA(VLOOKUP(patch[[#This Row],[tmp-owner.email]],OrgTree!$A:$K, 11, 0), "not ICG SWFW")</f>
        <v>BJ And dev</v>
      </c>
      <c r="S696" s="7" t="str">
        <f>IF(patch[[#This Row],[reviewer]]=patch[[#This Row],[tmp-owner.email]], "author", _xlfn.IFNA(VLOOKUP(patch[[#This Row],[reviewer]],OrgTree!$A:$K, 11, 0), "not ICG SWFW"))</f>
        <v>author</v>
      </c>
      <c r="T696" s="7" t="str">
        <f>IF(ISBLANK(patch[[#This Row],[mergeDate]]), "", MID(YEAR(patch[[#This Row],[mergeDate]]), 3,2)&amp;"'ww"&amp;WEEKNUM(patch[[#This Row],[mergeDate]]))</f>
        <v>16'ww39</v>
      </c>
      <c r="U696" s="7" t="str">
        <f>IF(ISBLANK(patch[[#This Row],[mergeDate]]), U695, MID(YEAR(patch[[#This Row],[mergeDate]]), 3,2)&amp;"'m"&amp;MONTH(patch[[#This Row],[mergeDate]]))</f>
        <v>16'm9</v>
      </c>
      <c r="V696" s="7">
        <f>IF(ISBLANK(patch[[#This Row],[project]]), "",SUM(patch[[#This Row],[BJ -1 num]:[SH -1 num]]))</f>
        <v>0</v>
      </c>
      <c r="W696" s="7">
        <f>IF(ISBLANK(patch[[#This Row],[project]]), "",COUNTIFS($A:$A,patch[[#This Row],[number]],$S:$S, "BJ And dev",$AC:$AC, "Review-1"))</f>
        <v>0</v>
      </c>
      <c r="X696" s="7">
        <f>IF(ISBLANK(patch[[#This Row],[project]]), "",COUNTIFS($A:$A,patch[[#This Row],[number]],$S:$S, "FL And dev",$AC:$AC, "Review-1"))</f>
        <v>0</v>
      </c>
      <c r="Y696" s="7">
        <f>IF(ISBLANK(patch[[#This Row],[project]]), "",COUNTIFS($A:$A,patch[[#This Row],[number]],$S:$S, "SH And dev",$AC:$AC, "Review-1"))</f>
        <v>0</v>
      </c>
      <c r="Z696" s="7">
        <f>IF(ISBLANK(patch[[#This Row],[project]]), "",COUNTIFS($A:$A,patch[[#This Row],[number]],$S:$S, "BJ And dev",$AD:$AD, "&lt;&gt;IntegratorValidationComment"))</f>
        <v>3</v>
      </c>
      <c r="AA696" s="7">
        <f>IF(ISBLANK(patch[[#This Row],[project]]), "",COUNTIFS($A:$A,patch[[#This Row],[number]],$S:$S, "FL And dev",$AD:$AD, "&lt;&gt;IntegratorValidationComment"))</f>
        <v>0</v>
      </c>
      <c r="AB696" s="7">
        <f>IF(ISBLANK(patch[[#This Row],[project]]), "",COUNTIFS($A:$A,patch[[#This Row],[number]],$S:$S, "SH And dev",$AD:$AD, "&lt;&gt;IntegratorValidationComment"))</f>
        <v>0</v>
      </c>
      <c r="AC696" s="7" t="str">
        <f>IF(OR(ISNUMBER(FIND("Review-1", patch[[#This Row],[comments]])), ISNUMBER(FIND("Approver-1", patch[[#This Row],[comments]]))), "Review-1", "")</f>
        <v/>
      </c>
      <c r="AD6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96" s="7" t="str">
        <f>IF(ISBLANK(patch[[#This Row],[number]]),AE695,patch[[#This Row],[ifCommon]])</f>
        <v>not AndrHAL</v>
      </c>
    </row>
    <row r="697" spans="1:31">
      <c r="A697" s="151">
        <v>147286</v>
      </c>
      <c r="B697" s="151"/>
      <c r="C697" s="151"/>
      <c r="D697" s="151"/>
      <c r="E697" s="151"/>
      <c r="F697" s="151"/>
      <c r="G697" s="151"/>
      <c r="H697" s="151"/>
      <c r="I697" s="151"/>
      <c r="J697" s="152">
        <v>42635.713645833333</v>
      </c>
      <c r="K697" s="151"/>
      <c r="L697" s="151" t="s">
        <v>677</v>
      </c>
      <c r="M697" s="152">
        <v>42635.406400462962</v>
      </c>
      <c r="N697" s="151" t="s">
        <v>2428</v>
      </c>
      <c r="O697" s="151"/>
      <c r="P697" s="151"/>
      <c r="Q697" s="7" t="str">
        <f>IF(ISBLANK(patch[[#This Row],[OwnerEmail]]),Q696,patch[[#This Row],[OwnerEmail]])</f>
        <v>lipingx.xu@intel.com</v>
      </c>
      <c r="R697" s="7" t="str">
        <f>_xlfn.IFNA(VLOOKUP(patch[[#This Row],[tmp-owner.email]],OrgTree!$A:$K, 11, 0), "not ICG SWFW")</f>
        <v>BJ And dev</v>
      </c>
      <c r="S697" s="7" t="str">
        <f>IF(patch[[#This Row],[reviewer]]=patch[[#This Row],[tmp-owner.email]], "author", _xlfn.IFNA(VLOOKUP(patch[[#This Row],[reviewer]],OrgTree!$A:$K, 11, 0), "not ICG SWFW"))</f>
        <v>author</v>
      </c>
      <c r="T697" s="7" t="str">
        <f>IF(ISBLANK(patch[[#This Row],[mergeDate]]), "", MID(YEAR(patch[[#This Row],[mergeDate]]), 3,2)&amp;"'ww"&amp;WEEKNUM(patch[[#This Row],[mergeDate]]))</f>
        <v>16'ww39</v>
      </c>
      <c r="U697" s="7" t="str">
        <f>IF(ISBLANK(patch[[#This Row],[mergeDate]]), U696, MID(YEAR(patch[[#This Row],[mergeDate]]), 3,2)&amp;"'m"&amp;MONTH(patch[[#This Row],[mergeDate]]))</f>
        <v>16'm9</v>
      </c>
      <c r="V697" s="7" t="str">
        <f>IF(ISBLANK(patch[[#This Row],[project]]), "",SUM(patch[[#This Row],[BJ -1 num]:[SH -1 num]]))</f>
        <v/>
      </c>
      <c r="W697" s="7" t="str">
        <f>IF(ISBLANK(patch[[#This Row],[project]]), "",COUNTIFS($A:$A,patch[[#This Row],[number]],$S:$S, "BJ And dev",$AC:$AC, "Review-1"))</f>
        <v/>
      </c>
      <c r="X697" s="7" t="str">
        <f>IF(ISBLANK(patch[[#This Row],[project]]), "",COUNTIFS($A:$A,patch[[#This Row],[number]],$S:$S, "FL And dev",$AC:$AC, "Review-1"))</f>
        <v/>
      </c>
      <c r="Y697" s="7" t="str">
        <f>IF(ISBLANK(patch[[#This Row],[project]]), "",COUNTIFS($A:$A,patch[[#This Row],[number]],$S:$S, "SH And dev",$AC:$AC, "Review-1"))</f>
        <v/>
      </c>
      <c r="Z697" s="7" t="str">
        <f>IF(ISBLANK(patch[[#This Row],[project]]), "",COUNTIFS($A:$A,patch[[#This Row],[number]],$S:$S, "BJ And dev",$AD:$AD, "&lt;&gt;IntegratorValidationComment"))</f>
        <v/>
      </c>
      <c r="AA697" s="7" t="str">
        <f>IF(ISBLANK(patch[[#This Row],[project]]), "",COUNTIFS($A:$A,patch[[#This Row],[number]],$S:$S, "FL And dev",$AD:$AD, "&lt;&gt;IntegratorValidationComment"))</f>
        <v/>
      </c>
      <c r="AB697" s="7" t="str">
        <f>IF(ISBLANK(patch[[#This Row],[project]]), "",COUNTIFS($A:$A,patch[[#This Row],[number]],$S:$S, "SH And dev",$AD:$AD, "&lt;&gt;IntegratorValidationComment"))</f>
        <v/>
      </c>
      <c r="AC697" s="7" t="str">
        <f>IF(OR(ISNUMBER(FIND("Review-1", patch[[#This Row],[comments]])), ISNUMBER(FIND("Approver-1", patch[[#This Row],[comments]]))), "Review-1", "")</f>
        <v/>
      </c>
      <c r="AD6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97" s="7">
        <f>IF(ISBLANK(patch[[#This Row],[number]]),AE696,patch[[#This Row],[ifCommon]])</f>
        <v>0</v>
      </c>
    </row>
    <row r="698" spans="1:31">
      <c r="A698" s="151">
        <v>147286</v>
      </c>
      <c r="B698" s="151"/>
      <c r="C698" s="151"/>
      <c r="D698" s="151"/>
      <c r="E698" s="151"/>
      <c r="F698" s="151"/>
      <c r="G698" s="151"/>
      <c r="H698" s="151"/>
      <c r="I698" s="151"/>
      <c r="J698" s="152">
        <v>42635.713645833333</v>
      </c>
      <c r="K698" s="151"/>
      <c r="L698" s="151" t="s">
        <v>677</v>
      </c>
      <c r="M698" s="152">
        <v>42635.407418981478</v>
      </c>
      <c r="N698" s="151" t="s">
        <v>40</v>
      </c>
      <c r="O698" s="151"/>
      <c r="P698" s="151"/>
      <c r="Q698" s="7" t="str">
        <f>IF(ISBLANK(patch[[#This Row],[OwnerEmail]]),Q697,patch[[#This Row],[OwnerEmail]])</f>
        <v>lipingx.xu@intel.com</v>
      </c>
      <c r="R698" s="7" t="str">
        <f>_xlfn.IFNA(VLOOKUP(patch[[#This Row],[tmp-owner.email]],OrgTree!$A:$K, 11, 0), "not ICG SWFW")</f>
        <v>BJ And dev</v>
      </c>
      <c r="S698" s="7" t="str">
        <f>IF(patch[[#This Row],[reviewer]]=patch[[#This Row],[tmp-owner.email]], "author", _xlfn.IFNA(VLOOKUP(patch[[#This Row],[reviewer]],OrgTree!$A:$K, 11, 0), "not ICG SWFW"))</f>
        <v>author</v>
      </c>
      <c r="T698" s="7" t="str">
        <f>IF(ISBLANK(patch[[#This Row],[mergeDate]]), "", MID(YEAR(patch[[#This Row],[mergeDate]]), 3,2)&amp;"'ww"&amp;WEEKNUM(patch[[#This Row],[mergeDate]]))</f>
        <v>16'ww39</v>
      </c>
      <c r="U698" s="7" t="str">
        <f>IF(ISBLANK(patch[[#This Row],[mergeDate]]), U697, MID(YEAR(patch[[#This Row],[mergeDate]]), 3,2)&amp;"'m"&amp;MONTH(patch[[#This Row],[mergeDate]]))</f>
        <v>16'm9</v>
      </c>
      <c r="V698" s="7" t="str">
        <f>IF(ISBLANK(patch[[#This Row],[project]]), "",SUM(patch[[#This Row],[BJ -1 num]:[SH -1 num]]))</f>
        <v/>
      </c>
      <c r="W698" s="7" t="str">
        <f>IF(ISBLANK(patch[[#This Row],[project]]), "",COUNTIFS($A:$A,patch[[#This Row],[number]],$S:$S, "BJ And dev",$AC:$AC, "Review-1"))</f>
        <v/>
      </c>
      <c r="X698" s="7" t="str">
        <f>IF(ISBLANK(patch[[#This Row],[project]]), "",COUNTIFS($A:$A,patch[[#This Row],[number]],$S:$S, "FL And dev",$AC:$AC, "Review-1"))</f>
        <v/>
      </c>
      <c r="Y698" s="7" t="str">
        <f>IF(ISBLANK(patch[[#This Row],[project]]), "",COUNTIFS($A:$A,patch[[#This Row],[number]],$S:$S, "SH And dev",$AC:$AC, "Review-1"))</f>
        <v/>
      </c>
      <c r="Z698" s="7" t="str">
        <f>IF(ISBLANK(patch[[#This Row],[project]]), "",COUNTIFS($A:$A,patch[[#This Row],[number]],$S:$S, "BJ And dev",$AD:$AD, "&lt;&gt;IntegratorValidationComment"))</f>
        <v/>
      </c>
      <c r="AA698" s="7" t="str">
        <f>IF(ISBLANK(patch[[#This Row],[project]]), "",COUNTIFS($A:$A,patch[[#This Row],[number]],$S:$S, "FL And dev",$AD:$AD, "&lt;&gt;IntegratorValidationComment"))</f>
        <v/>
      </c>
      <c r="AB698" s="7" t="str">
        <f>IF(ISBLANK(patch[[#This Row],[project]]), "",COUNTIFS($A:$A,patch[[#This Row],[number]],$S:$S, "SH And dev",$AD:$AD, "&lt;&gt;IntegratorValidationComment"))</f>
        <v/>
      </c>
      <c r="AC698" s="7" t="str">
        <f>IF(OR(ISNUMBER(FIND("Review-1", patch[[#This Row],[comments]])), ISNUMBER(FIND("Approver-1", patch[[#This Row],[comments]]))), "Review-1", "")</f>
        <v/>
      </c>
      <c r="AD6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98" s="7">
        <f>IF(ISBLANK(patch[[#This Row],[number]]),AE697,patch[[#This Row],[ifCommon]])</f>
        <v>0</v>
      </c>
    </row>
    <row r="699" spans="1:31">
      <c r="A699" s="151">
        <v>147286</v>
      </c>
      <c r="B699" s="151"/>
      <c r="C699" s="151"/>
      <c r="D699" s="151"/>
      <c r="E699" s="151"/>
      <c r="F699" s="151"/>
      <c r="G699" s="151"/>
      <c r="H699" s="151"/>
      <c r="I699" s="151"/>
      <c r="J699" s="152">
        <v>42635.713645833333</v>
      </c>
      <c r="K699" s="151"/>
      <c r="L699" s="151" t="s">
        <v>59</v>
      </c>
      <c r="M699" s="152">
        <v>42635.412361111114</v>
      </c>
      <c r="N699" s="151" t="s">
        <v>2961</v>
      </c>
      <c r="O699" s="151"/>
      <c r="P699" s="151"/>
      <c r="Q699" s="7" t="str">
        <f>IF(ISBLANK(patch[[#This Row],[OwnerEmail]]),Q698,patch[[#This Row],[OwnerEmail]])</f>
        <v>lipingx.xu@intel.com</v>
      </c>
      <c r="R699" s="7" t="str">
        <f>_xlfn.IFNA(VLOOKUP(patch[[#This Row],[tmp-owner.email]],OrgTree!$A:$K, 11, 0), "not ICG SWFW")</f>
        <v>BJ And dev</v>
      </c>
      <c r="S699" s="7" t="str">
        <f>IF(patch[[#This Row],[reviewer]]=patch[[#This Row],[tmp-owner.email]], "author", _xlfn.IFNA(VLOOKUP(patch[[#This Row],[reviewer]],OrgTree!$A:$K, 11, 0), "not ICG SWFW"))</f>
        <v>BJ And dev</v>
      </c>
      <c r="T699" s="7" t="str">
        <f>IF(ISBLANK(patch[[#This Row],[mergeDate]]), "", MID(YEAR(patch[[#This Row],[mergeDate]]), 3,2)&amp;"'ww"&amp;WEEKNUM(patch[[#This Row],[mergeDate]]))</f>
        <v>16'ww39</v>
      </c>
      <c r="U699" s="7" t="str">
        <f>IF(ISBLANK(patch[[#This Row],[mergeDate]]), U698, MID(YEAR(patch[[#This Row],[mergeDate]]), 3,2)&amp;"'m"&amp;MONTH(patch[[#This Row],[mergeDate]]))</f>
        <v>16'm9</v>
      </c>
      <c r="V699" s="7" t="str">
        <f>IF(ISBLANK(patch[[#This Row],[project]]), "",SUM(patch[[#This Row],[BJ -1 num]:[SH -1 num]]))</f>
        <v/>
      </c>
      <c r="W699" s="7" t="str">
        <f>IF(ISBLANK(patch[[#This Row],[project]]), "",COUNTIFS($A:$A,patch[[#This Row],[number]],$S:$S, "BJ And dev",$AC:$AC, "Review-1"))</f>
        <v/>
      </c>
      <c r="X699" s="7" t="str">
        <f>IF(ISBLANK(patch[[#This Row],[project]]), "",COUNTIFS($A:$A,patch[[#This Row],[number]],$S:$S, "FL And dev",$AC:$AC, "Review-1"))</f>
        <v/>
      </c>
      <c r="Y699" s="7" t="str">
        <f>IF(ISBLANK(patch[[#This Row],[project]]), "",COUNTIFS($A:$A,patch[[#This Row],[number]],$S:$S, "SH And dev",$AC:$AC, "Review-1"))</f>
        <v/>
      </c>
      <c r="Z699" s="7" t="str">
        <f>IF(ISBLANK(patch[[#This Row],[project]]), "",COUNTIFS($A:$A,patch[[#This Row],[number]],$S:$S, "BJ And dev",$AD:$AD, "&lt;&gt;IntegratorValidationComment"))</f>
        <v/>
      </c>
      <c r="AA699" s="7" t="str">
        <f>IF(ISBLANK(patch[[#This Row],[project]]), "",COUNTIFS($A:$A,patch[[#This Row],[number]],$S:$S, "FL And dev",$AD:$AD, "&lt;&gt;IntegratorValidationComment"))</f>
        <v/>
      </c>
      <c r="AB699" s="7" t="str">
        <f>IF(ISBLANK(patch[[#This Row],[project]]), "",COUNTIFS($A:$A,patch[[#This Row],[number]],$S:$S, "SH And dev",$AD:$AD, "&lt;&gt;IntegratorValidationComment"))</f>
        <v/>
      </c>
      <c r="AC699" s="7" t="str">
        <f>IF(OR(ISNUMBER(FIND("Review-1", patch[[#This Row],[comments]])), ISNUMBER(FIND("Approver-1", patch[[#This Row],[comments]]))), "Review-1", "")</f>
        <v/>
      </c>
      <c r="AD6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699" s="7">
        <f>IF(ISBLANK(patch[[#This Row],[number]]),AE698,patch[[#This Row],[ifCommon]])</f>
        <v>0</v>
      </c>
    </row>
    <row r="700" spans="1:31">
      <c r="A700" s="151">
        <v>147286</v>
      </c>
      <c r="B700" s="151"/>
      <c r="C700" s="151"/>
      <c r="D700" s="151"/>
      <c r="E700" s="151"/>
      <c r="F700" s="151"/>
      <c r="G700" s="151"/>
      <c r="H700" s="151"/>
      <c r="I700" s="151"/>
      <c r="J700" s="152">
        <v>42635.713645833333</v>
      </c>
      <c r="K700" s="151"/>
      <c r="L700" s="151" t="s">
        <v>59</v>
      </c>
      <c r="M700" s="152">
        <v>42635.423391203702</v>
      </c>
      <c r="N700" s="151" t="s">
        <v>2962</v>
      </c>
      <c r="O700" s="151"/>
      <c r="P700" s="151"/>
      <c r="Q700" s="7" t="str">
        <f>IF(ISBLANK(patch[[#This Row],[OwnerEmail]]),Q699,patch[[#This Row],[OwnerEmail]])</f>
        <v>lipingx.xu@intel.com</v>
      </c>
      <c r="R700" s="7" t="str">
        <f>_xlfn.IFNA(VLOOKUP(patch[[#This Row],[tmp-owner.email]],OrgTree!$A:$K, 11, 0), "not ICG SWFW")</f>
        <v>BJ And dev</v>
      </c>
      <c r="S700" s="7" t="str">
        <f>IF(patch[[#This Row],[reviewer]]=patch[[#This Row],[tmp-owner.email]], "author", _xlfn.IFNA(VLOOKUP(patch[[#This Row],[reviewer]],OrgTree!$A:$K, 11, 0), "not ICG SWFW"))</f>
        <v>BJ And dev</v>
      </c>
      <c r="T700" s="7" t="str">
        <f>IF(ISBLANK(patch[[#This Row],[mergeDate]]), "", MID(YEAR(patch[[#This Row],[mergeDate]]), 3,2)&amp;"'ww"&amp;WEEKNUM(patch[[#This Row],[mergeDate]]))</f>
        <v>16'ww39</v>
      </c>
      <c r="U700" s="7" t="str">
        <f>IF(ISBLANK(patch[[#This Row],[mergeDate]]), U699, MID(YEAR(patch[[#This Row],[mergeDate]]), 3,2)&amp;"'m"&amp;MONTH(patch[[#This Row],[mergeDate]]))</f>
        <v>16'm9</v>
      </c>
      <c r="V700" s="7" t="str">
        <f>IF(ISBLANK(patch[[#This Row],[project]]), "",SUM(patch[[#This Row],[BJ -1 num]:[SH -1 num]]))</f>
        <v/>
      </c>
      <c r="W700" s="7" t="str">
        <f>IF(ISBLANK(patch[[#This Row],[project]]), "",COUNTIFS($A:$A,patch[[#This Row],[number]],$S:$S, "BJ And dev",$AC:$AC, "Review-1"))</f>
        <v/>
      </c>
      <c r="X700" s="7" t="str">
        <f>IF(ISBLANK(patch[[#This Row],[project]]), "",COUNTIFS($A:$A,patch[[#This Row],[number]],$S:$S, "FL And dev",$AC:$AC, "Review-1"))</f>
        <v/>
      </c>
      <c r="Y700" s="7" t="str">
        <f>IF(ISBLANK(patch[[#This Row],[project]]), "",COUNTIFS($A:$A,patch[[#This Row],[number]],$S:$S, "SH And dev",$AC:$AC, "Review-1"))</f>
        <v/>
      </c>
      <c r="Z700" s="7" t="str">
        <f>IF(ISBLANK(patch[[#This Row],[project]]), "",COUNTIFS($A:$A,patch[[#This Row],[number]],$S:$S, "BJ And dev",$AD:$AD, "&lt;&gt;IntegratorValidationComment"))</f>
        <v/>
      </c>
      <c r="AA700" s="7" t="str">
        <f>IF(ISBLANK(patch[[#This Row],[project]]), "",COUNTIFS($A:$A,patch[[#This Row],[number]],$S:$S, "FL And dev",$AD:$AD, "&lt;&gt;IntegratorValidationComment"))</f>
        <v/>
      </c>
      <c r="AB700" s="7" t="str">
        <f>IF(ISBLANK(patch[[#This Row],[project]]), "",COUNTIFS($A:$A,patch[[#This Row],[number]],$S:$S, "SH And dev",$AD:$AD, "&lt;&gt;IntegratorValidationComment"))</f>
        <v/>
      </c>
      <c r="AC700" s="7" t="str">
        <f>IF(OR(ISNUMBER(FIND("Review-1", patch[[#This Row],[comments]])), ISNUMBER(FIND("Approver-1", patch[[#This Row],[comments]]))), "Review-1", "")</f>
        <v/>
      </c>
      <c r="AD7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00" s="7">
        <f>IF(ISBLANK(patch[[#This Row],[number]]),AE699,patch[[#This Row],[ifCommon]])</f>
        <v>0</v>
      </c>
    </row>
    <row r="701" spans="1:31">
      <c r="A701" s="151">
        <v>147286</v>
      </c>
      <c r="B701" s="151"/>
      <c r="C701" s="151"/>
      <c r="D701" s="151"/>
      <c r="E701" s="151"/>
      <c r="F701" s="151"/>
      <c r="G701" s="151"/>
      <c r="H701" s="151"/>
      <c r="I701" s="151"/>
      <c r="J701" s="152">
        <v>42635.713645833333</v>
      </c>
      <c r="K701" s="151"/>
      <c r="L701" s="151" t="s">
        <v>24</v>
      </c>
      <c r="M701" s="152">
        <v>42635.444988425923</v>
      </c>
      <c r="N701" s="151" t="s">
        <v>1880</v>
      </c>
      <c r="O701" s="151"/>
      <c r="P701" s="151"/>
      <c r="Q701" s="7" t="str">
        <f>IF(ISBLANK(patch[[#This Row],[OwnerEmail]]),Q700,patch[[#This Row],[OwnerEmail]])</f>
        <v>lipingx.xu@intel.com</v>
      </c>
      <c r="R701" s="7" t="str">
        <f>_xlfn.IFNA(VLOOKUP(patch[[#This Row],[tmp-owner.email]],OrgTree!$A:$K, 11, 0), "not ICG SWFW")</f>
        <v>BJ And dev</v>
      </c>
      <c r="S701" s="7" t="str">
        <f>IF(patch[[#This Row],[reviewer]]=patch[[#This Row],[tmp-owner.email]], "author", _xlfn.IFNA(VLOOKUP(patch[[#This Row],[reviewer]],OrgTree!$A:$K, 11, 0), "not ICG SWFW"))</f>
        <v>BJ And dev</v>
      </c>
      <c r="T701" s="7" t="str">
        <f>IF(ISBLANK(patch[[#This Row],[mergeDate]]), "", MID(YEAR(patch[[#This Row],[mergeDate]]), 3,2)&amp;"'ww"&amp;WEEKNUM(patch[[#This Row],[mergeDate]]))</f>
        <v>16'ww39</v>
      </c>
      <c r="U701" s="7" t="str">
        <f>IF(ISBLANK(patch[[#This Row],[mergeDate]]), U700, MID(YEAR(patch[[#This Row],[mergeDate]]), 3,2)&amp;"'m"&amp;MONTH(patch[[#This Row],[mergeDate]]))</f>
        <v>16'm9</v>
      </c>
      <c r="V701" s="7" t="str">
        <f>IF(ISBLANK(patch[[#This Row],[project]]), "",SUM(patch[[#This Row],[BJ -1 num]:[SH -1 num]]))</f>
        <v/>
      </c>
      <c r="W701" s="7" t="str">
        <f>IF(ISBLANK(patch[[#This Row],[project]]), "",COUNTIFS($A:$A,patch[[#This Row],[number]],$S:$S, "BJ And dev",$AC:$AC, "Review-1"))</f>
        <v/>
      </c>
      <c r="X701" s="7" t="str">
        <f>IF(ISBLANK(patch[[#This Row],[project]]), "",COUNTIFS($A:$A,patch[[#This Row],[number]],$S:$S, "FL And dev",$AC:$AC, "Review-1"))</f>
        <v/>
      </c>
      <c r="Y701" s="7" t="str">
        <f>IF(ISBLANK(patch[[#This Row],[project]]), "",COUNTIFS($A:$A,patch[[#This Row],[number]],$S:$S, "SH And dev",$AC:$AC, "Review-1"))</f>
        <v/>
      </c>
      <c r="Z701" s="7" t="str">
        <f>IF(ISBLANK(patch[[#This Row],[project]]), "",COUNTIFS($A:$A,patch[[#This Row],[number]],$S:$S, "BJ And dev",$AD:$AD, "&lt;&gt;IntegratorValidationComment"))</f>
        <v/>
      </c>
      <c r="AA701" s="7" t="str">
        <f>IF(ISBLANK(patch[[#This Row],[project]]), "",COUNTIFS($A:$A,patch[[#This Row],[number]],$S:$S, "FL And dev",$AD:$AD, "&lt;&gt;IntegratorValidationComment"))</f>
        <v/>
      </c>
      <c r="AB701" s="7" t="str">
        <f>IF(ISBLANK(patch[[#This Row],[project]]), "",COUNTIFS($A:$A,patch[[#This Row],[number]],$S:$S, "SH And dev",$AD:$AD, "&lt;&gt;IntegratorValidationComment"))</f>
        <v/>
      </c>
      <c r="AC701" s="7" t="str">
        <f>IF(OR(ISNUMBER(FIND("Review-1", patch[[#This Row],[comments]])), ISNUMBER(FIND("Approver-1", patch[[#This Row],[comments]]))), "Review-1", "")</f>
        <v/>
      </c>
      <c r="AD7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01" s="7">
        <f>IF(ISBLANK(patch[[#This Row],[number]]),AE700,patch[[#This Row],[ifCommon]])</f>
        <v>0</v>
      </c>
    </row>
    <row r="702" spans="1:31">
      <c r="A702" s="151">
        <v>147286</v>
      </c>
      <c r="B702" s="151"/>
      <c r="C702" s="151"/>
      <c r="D702" s="151"/>
      <c r="E702" s="151"/>
      <c r="F702" s="151"/>
      <c r="G702" s="151"/>
      <c r="H702" s="151"/>
      <c r="I702" s="151"/>
      <c r="J702" s="152">
        <v>42635.713645833333</v>
      </c>
      <c r="K702" s="151"/>
      <c r="L702" s="151" t="s">
        <v>115</v>
      </c>
      <c r="M702" s="152">
        <v>42635.5471412037</v>
      </c>
      <c r="N702" s="151" t="s">
        <v>2494</v>
      </c>
      <c r="O702" s="151"/>
      <c r="P702" s="151"/>
      <c r="Q702" s="7" t="str">
        <f>IF(ISBLANK(patch[[#This Row],[OwnerEmail]]),Q701,patch[[#This Row],[OwnerEmail]])</f>
        <v>lipingx.xu@intel.com</v>
      </c>
      <c r="R702" s="7" t="str">
        <f>_xlfn.IFNA(VLOOKUP(patch[[#This Row],[tmp-owner.email]],OrgTree!$A:$K, 11, 0), "not ICG SWFW")</f>
        <v>BJ And dev</v>
      </c>
      <c r="S702" s="7" t="str">
        <f>IF(patch[[#This Row],[reviewer]]=patch[[#This Row],[tmp-owner.email]], "author", _xlfn.IFNA(VLOOKUP(patch[[#This Row],[reviewer]],OrgTree!$A:$K, 11, 0), "not ICG SWFW"))</f>
        <v>Val</v>
      </c>
      <c r="T702" s="7" t="str">
        <f>IF(ISBLANK(patch[[#This Row],[mergeDate]]), "", MID(YEAR(patch[[#This Row],[mergeDate]]), 3,2)&amp;"'ww"&amp;WEEKNUM(patch[[#This Row],[mergeDate]]))</f>
        <v>16'ww39</v>
      </c>
      <c r="U702" s="7" t="str">
        <f>IF(ISBLANK(patch[[#This Row],[mergeDate]]), U701, MID(YEAR(patch[[#This Row],[mergeDate]]), 3,2)&amp;"'m"&amp;MONTH(patch[[#This Row],[mergeDate]]))</f>
        <v>16'm9</v>
      </c>
      <c r="V702" s="7" t="str">
        <f>IF(ISBLANK(patch[[#This Row],[project]]), "",SUM(patch[[#This Row],[BJ -1 num]:[SH -1 num]]))</f>
        <v/>
      </c>
      <c r="W702" s="7" t="str">
        <f>IF(ISBLANK(patch[[#This Row],[project]]), "",COUNTIFS($A:$A,patch[[#This Row],[number]],$S:$S, "BJ And dev",$AC:$AC, "Review-1"))</f>
        <v/>
      </c>
      <c r="X702" s="7" t="str">
        <f>IF(ISBLANK(patch[[#This Row],[project]]), "",COUNTIFS($A:$A,patch[[#This Row],[number]],$S:$S, "FL And dev",$AC:$AC, "Review-1"))</f>
        <v/>
      </c>
      <c r="Y702" s="7" t="str">
        <f>IF(ISBLANK(patch[[#This Row],[project]]), "",COUNTIFS($A:$A,patch[[#This Row],[number]],$S:$S, "SH And dev",$AC:$AC, "Review-1"))</f>
        <v/>
      </c>
      <c r="Z702" s="7" t="str">
        <f>IF(ISBLANK(patch[[#This Row],[project]]), "",COUNTIFS($A:$A,patch[[#This Row],[number]],$S:$S, "BJ And dev",$AD:$AD, "&lt;&gt;IntegratorValidationComment"))</f>
        <v/>
      </c>
      <c r="AA702" s="7" t="str">
        <f>IF(ISBLANK(patch[[#This Row],[project]]), "",COUNTIFS($A:$A,patch[[#This Row],[number]],$S:$S, "FL And dev",$AD:$AD, "&lt;&gt;IntegratorValidationComment"))</f>
        <v/>
      </c>
      <c r="AB702" s="7" t="str">
        <f>IF(ISBLANK(patch[[#This Row],[project]]), "",COUNTIFS($A:$A,patch[[#This Row],[number]],$S:$S, "SH And dev",$AD:$AD, "&lt;&gt;IntegratorValidationComment"))</f>
        <v/>
      </c>
      <c r="AC702" s="7" t="str">
        <f>IF(OR(ISNUMBER(FIND("Review-1", patch[[#This Row],[comments]])), ISNUMBER(FIND("Approver-1", patch[[#This Row],[comments]]))), "Review-1", "")</f>
        <v/>
      </c>
      <c r="AD7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702" s="7">
        <f>IF(ISBLANK(patch[[#This Row],[number]]),AE701,patch[[#This Row],[ifCommon]])</f>
        <v>0</v>
      </c>
    </row>
    <row r="703" spans="1:31">
      <c r="A703" s="151">
        <v>147287</v>
      </c>
      <c r="B703" s="151" t="s">
        <v>2490</v>
      </c>
      <c r="C703" s="151" t="s">
        <v>2795</v>
      </c>
      <c r="D703" s="151" t="s">
        <v>2963</v>
      </c>
      <c r="E703" s="151" t="s">
        <v>677</v>
      </c>
      <c r="F703" s="151" t="s">
        <v>23</v>
      </c>
      <c r="G703" s="151" t="s">
        <v>2964</v>
      </c>
      <c r="H703" s="151" t="s">
        <v>2965</v>
      </c>
      <c r="I703" s="152">
        <v>42635.406354166669</v>
      </c>
      <c r="J703" s="152">
        <v>42635.713576388887</v>
      </c>
      <c r="K703" s="151" t="s">
        <v>2445</v>
      </c>
      <c r="L703" s="151" t="s">
        <v>677</v>
      </c>
      <c r="M703" s="152">
        <v>42635.406354166669</v>
      </c>
      <c r="N703" s="151" t="s">
        <v>25</v>
      </c>
      <c r="O703" s="151"/>
      <c r="P703" s="151" t="s">
        <v>2498</v>
      </c>
      <c r="Q703" s="7" t="str">
        <f>IF(ISBLANK(patch[[#This Row],[OwnerEmail]]),Q702,patch[[#This Row],[OwnerEmail]])</f>
        <v>lipingx.xu@intel.com</v>
      </c>
      <c r="R703" s="7" t="str">
        <f>_xlfn.IFNA(VLOOKUP(patch[[#This Row],[tmp-owner.email]],OrgTree!$A:$K, 11, 0), "not ICG SWFW")</f>
        <v>BJ And dev</v>
      </c>
      <c r="S703" s="7" t="str">
        <f>IF(patch[[#This Row],[reviewer]]=patch[[#This Row],[tmp-owner.email]], "author", _xlfn.IFNA(VLOOKUP(patch[[#This Row],[reviewer]],OrgTree!$A:$K, 11, 0), "not ICG SWFW"))</f>
        <v>author</v>
      </c>
      <c r="T703" s="7" t="str">
        <f>IF(ISBLANK(patch[[#This Row],[mergeDate]]), "", MID(YEAR(patch[[#This Row],[mergeDate]]), 3,2)&amp;"'ww"&amp;WEEKNUM(patch[[#This Row],[mergeDate]]))</f>
        <v>16'ww39</v>
      </c>
      <c r="U703" s="7" t="str">
        <f>IF(ISBLANK(patch[[#This Row],[mergeDate]]), U702, MID(YEAR(patch[[#This Row],[mergeDate]]), 3,2)&amp;"'m"&amp;MONTH(patch[[#This Row],[mergeDate]]))</f>
        <v>16'm9</v>
      </c>
      <c r="V703" s="7">
        <f>IF(ISBLANK(patch[[#This Row],[project]]), "",SUM(patch[[#This Row],[BJ -1 num]:[SH -1 num]]))</f>
        <v>0</v>
      </c>
      <c r="W703" s="7">
        <f>IF(ISBLANK(patch[[#This Row],[project]]), "",COUNTIFS($A:$A,patch[[#This Row],[number]],$S:$S, "BJ And dev",$AC:$AC, "Review-1"))</f>
        <v>0</v>
      </c>
      <c r="X703" s="7">
        <f>IF(ISBLANK(patch[[#This Row],[project]]), "",COUNTIFS($A:$A,patch[[#This Row],[number]],$S:$S, "FL And dev",$AC:$AC, "Review-1"))</f>
        <v>0</v>
      </c>
      <c r="Y703" s="7">
        <f>IF(ISBLANK(patch[[#This Row],[project]]), "",COUNTIFS($A:$A,patch[[#This Row],[number]],$S:$S, "SH And dev",$AC:$AC, "Review-1"))</f>
        <v>0</v>
      </c>
      <c r="Z703" s="7">
        <f>IF(ISBLANK(patch[[#This Row],[project]]), "",COUNTIFS($A:$A,patch[[#This Row],[number]],$S:$S, "BJ And dev",$AD:$AD, "&lt;&gt;IntegratorValidationComment"))</f>
        <v>3</v>
      </c>
      <c r="AA703" s="7">
        <f>IF(ISBLANK(patch[[#This Row],[project]]), "",COUNTIFS($A:$A,patch[[#This Row],[number]],$S:$S, "FL And dev",$AD:$AD, "&lt;&gt;IntegratorValidationComment"))</f>
        <v>0</v>
      </c>
      <c r="AB703" s="7">
        <f>IF(ISBLANK(patch[[#This Row],[project]]), "",COUNTIFS($A:$A,patch[[#This Row],[number]],$S:$S, "SH And dev",$AD:$AD, "&lt;&gt;IntegratorValidationComment"))</f>
        <v>0</v>
      </c>
      <c r="AC703" s="7" t="str">
        <f>IF(OR(ISNUMBER(FIND("Review-1", patch[[#This Row],[comments]])), ISNUMBER(FIND("Approver-1", patch[[#This Row],[comments]]))), "Review-1", "")</f>
        <v/>
      </c>
      <c r="AD7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03" s="7" t="str">
        <f>IF(ISBLANK(patch[[#This Row],[number]]),AE702,patch[[#This Row],[ifCommon]])</f>
        <v>not AndrHAL</v>
      </c>
    </row>
    <row r="704" spans="1:31">
      <c r="A704" s="151">
        <v>147287</v>
      </c>
      <c r="B704" s="151"/>
      <c r="C704" s="151"/>
      <c r="D704" s="151"/>
      <c r="E704" s="151"/>
      <c r="F704" s="151"/>
      <c r="G704" s="151"/>
      <c r="H704" s="151"/>
      <c r="I704" s="151"/>
      <c r="J704" s="152">
        <v>42635.713576388887</v>
      </c>
      <c r="K704" s="151"/>
      <c r="L704" s="151" t="s">
        <v>677</v>
      </c>
      <c r="M704" s="152">
        <v>42635.406412037039</v>
      </c>
      <c r="N704" s="151" t="s">
        <v>2428</v>
      </c>
      <c r="O704" s="151"/>
      <c r="P704" s="151"/>
      <c r="Q704" s="7" t="str">
        <f>IF(ISBLANK(patch[[#This Row],[OwnerEmail]]),Q703,patch[[#This Row],[OwnerEmail]])</f>
        <v>lipingx.xu@intel.com</v>
      </c>
      <c r="R704" s="7" t="str">
        <f>_xlfn.IFNA(VLOOKUP(patch[[#This Row],[tmp-owner.email]],OrgTree!$A:$K, 11, 0), "not ICG SWFW")</f>
        <v>BJ And dev</v>
      </c>
      <c r="S704" s="7" t="str">
        <f>IF(patch[[#This Row],[reviewer]]=patch[[#This Row],[tmp-owner.email]], "author", _xlfn.IFNA(VLOOKUP(patch[[#This Row],[reviewer]],OrgTree!$A:$K, 11, 0), "not ICG SWFW"))</f>
        <v>author</v>
      </c>
      <c r="T704" s="7" t="str">
        <f>IF(ISBLANK(patch[[#This Row],[mergeDate]]), "", MID(YEAR(patch[[#This Row],[mergeDate]]), 3,2)&amp;"'ww"&amp;WEEKNUM(patch[[#This Row],[mergeDate]]))</f>
        <v>16'ww39</v>
      </c>
      <c r="U704" s="7" t="str">
        <f>IF(ISBLANK(patch[[#This Row],[mergeDate]]), U703, MID(YEAR(patch[[#This Row],[mergeDate]]), 3,2)&amp;"'m"&amp;MONTH(patch[[#This Row],[mergeDate]]))</f>
        <v>16'm9</v>
      </c>
      <c r="V704" s="7" t="str">
        <f>IF(ISBLANK(patch[[#This Row],[project]]), "",SUM(patch[[#This Row],[BJ -1 num]:[SH -1 num]]))</f>
        <v/>
      </c>
      <c r="W704" s="7" t="str">
        <f>IF(ISBLANK(patch[[#This Row],[project]]), "",COUNTIFS($A:$A,patch[[#This Row],[number]],$S:$S, "BJ And dev",$AC:$AC, "Review-1"))</f>
        <v/>
      </c>
      <c r="X704" s="7" t="str">
        <f>IF(ISBLANK(patch[[#This Row],[project]]), "",COUNTIFS($A:$A,patch[[#This Row],[number]],$S:$S, "FL And dev",$AC:$AC, "Review-1"))</f>
        <v/>
      </c>
      <c r="Y704" s="7" t="str">
        <f>IF(ISBLANK(patch[[#This Row],[project]]), "",COUNTIFS($A:$A,patch[[#This Row],[number]],$S:$S, "SH And dev",$AC:$AC, "Review-1"))</f>
        <v/>
      </c>
      <c r="Z704" s="7" t="str">
        <f>IF(ISBLANK(patch[[#This Row],[project]]), "",COUNTIFS($A:$A,patch[[#This Row],[number]],$S:$S, "BJ And dev",$AD:$AD, "&lt;&gt;IntegratorValidationComment"))</f>
        <v/>
      </c>
      <c r="AA704" s="7" t="str">
        <f>IF(ISBLANK(patch[[#This Row],[project]]), "",COUNTIFS($A:$A,patch[[#This Row],[number]],$S:$S, "FL And dev",$AD:$AD, "&lt;&gt;IntegratorValidationComment"))</f>
        <v/>
      </c>
      <c r="AB704" s="7" t="str">
        <f>IF(ISBLANK(patch[[#This Row],[project]]), "",COUNTIFS($A:$A,patch[[#This Row],[number]],$S:$S, "SH And dev",$AD:$AD, "&lt;&gt;IntegratorValidationComment"))</f>
        <v/>
      </c>
      <c r="AC704" s="7" t="str">
        <f>IF(OR(ISNUMBER(FIND("Review-1", patch[[#This Row],[comments]])), ISNUMBER(FIND("Approver-1", patch[[#This Row],[comments]]))), "Review-1", "")</f>
        <v/>
      </c>
      <c r="AD7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04" s="7">
        <f>IF(ISBLANK(patch[[#This Row],[number]]),AE703,patch[[#This Row],[ifCommon]])</f>
        <v>0</v>
      </c>
    </row>
    <row r="705" spans="1:31">
      <c r="A705" s="151">
        <v>147287</v>
      </c>
      <c r="B705" s="151"/>
      <c r="C705" s="151"/>
      <c r="D705" s="151"/>
      <c r="E705" s="151"/>
      <c r="F705" s="151"/>
      <c r="G705" s="151"/>
      <c r="H705" s="151"/>
      <c r="I705" s="151"/>
      <c r="J705" s="152">
        <v>42635.713576388887</v>
      </c>
      <c r="K705" s="151"/>
      <c r="L705" s="151" t="s">
        <v>677</v>
      </c>
      <c r="M705" s="152">
        <v>42635.407604166663</v>
      </c>
      <c r="N705" s="151" t="s">
        <v>40</v>
      </c>
      <c r="O705" s="151"/>
      <c r="P705" s="151"/>
      <c r="Q705" s="7" t="str">
        <f>IF(ISBLANK(patch[[#This Row],[OwnerEmail]]),Q704,patch[[#This Row],[OwnerEmail]])</f>
        <v>lipingx.xu@intel.com</v>
      </c>
      <c r="R705" s="7" t="str">
        <f>_xlfn.IFNA(VLOOKUP(patch[[#This Row],[tmp-owner.email]],OrgTree!$A:$K, 11, 0), "not ICG SWFW")</f>
        <v>BJ And dev</v>
      </c>
      <c r="S705" s="7" t="str">
        <f>IF(patch[[#This Row],[reviewer]]=patch[[#This Row],[tmp-owner.email]], "author", _xlfn.IFNA(VLOOKUP(patch[[#This Row],[reviewer]],OrgTree!$A:$K, 11, 0), "not ICG SWFW"))</f>
        <v>author</v>
      </c>
      <c r="T705" s="7" t="str">
        <f>IF(ISBLANK(patch[[#This Row],[mergeDate]]), "", MID(YEAR(patch[[#This Row],[mergeDate]]), 3,2)&amp;"'ww"&amp;WEEKNUM(patch[[#This Row],[mergeDate]]))</f>
        <v>16'ww39</v>
      </c>
      <c r="U705" s="7" t="str">
        <f>IF(ISBLANK(patch[[#This Row],[mergeDate]]), U704, MID(YEAR(patch[[#This Row],[mergeDate]]), 3,2)&amp;"'m"&amp;MONTH(patch[[#This Row],[mergeDate]]))</f>
        <v>16'm9</v>
      </c>
      <c r="V705" s="7" t="str">
        <f>IF(ISBLANK(patch[[#This Row],[project]]), "",SUM(patch[[#This Row],[BJ -1 num]:[SH -1 num]]))</f>
        <v/>
      </c>
      <c r="W705" s="7" t="str">
        <f>IF(ISBLANK(patch[[#This Row],[project]]), "",COUNTIFS($A:$A,patch[[#This Row],[number]],$S:$S, "BJ And dev",$AC:$AC, "Review-1"))</f>
        <v/>
      </c>
      <c r="X705" s="7" t="str">
        <f>IF(ISBLANK(patch[[#This Row],[project]]), "",COUNTIFS($A:$A,patch[[#This Row],[number]],$S:$S, "FL And dev",$AC:$AC, "Review-1"))</f>
        <v/>
      </c>
      <c r="Y705" s="7" t="str">
        <f>IF(ISBLANK(patch[[#This Row],[project]]), "",COUNTIFS($A:$A,patch[[#This Row],[number]],$S:$S, "SH And dev",$AC:$AC, "Review-1"))</f>
        <v/>
      </c>
      <c r="Z705" s="7" t="str">
        <f>IF(ISBLANK(patch[[#This Row],[project]]), "",COUNTIFS($A:$A,patch[[#This Row],[number]],$S:$S, "BJ And dev",$AD:$AD, "&lt;&gt;IntegratorValidationComment"))</f>
        <v/>
      </c>
      <c r="AA705" s="7" t="str">
        <f>IF(ISBLANK(patch[[#This Row],[project]]), "",COUNTIFS($A:$A,patch[[#This Row],[number]],$S:$S, "FL And dev",$AD:$AD, "&lt;&gt;IntegratorValidationComment"))</f>
        <v/>
      </c>
      <c r="AB705" s="7" t="str">
        <f>IF(ISBLANK(patch[[#This Row],[project]]), "",COUNTIFS($A:$A,patch[[#This Row],[number]],$S:$S, "SH And dev",$AD:$AD, "&lt;&gt;IntegratorValidationComment"))</f>
        <v/>
      </c>
      <c r="AC705" s="7" t="str">
        <f>IF(OR(ISNUMBER(FIND("Review-1", patch[[#This Row],[comments]])), ISNUMBER(FIND("Approver-1", patch[[#This Row],[comments]]))), "Review-1", "")</f>
        <v/>
      </c>
      <c r="AD7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05" s="7">
        <f>IF(ISBLANK(patch[[#This Row],[number]]),AE704,patch[[#This Row],[ifCommon]])</f>
        <v>0</v>
      </c>
    </row>
    <row r="706" spans="1:31">
      <c r="A706" s="151">
        <v>147287</v>
      </c>
      <c r="B706" s="151"/>
      <c r="C706" s="151"/>
      <c r="D706" s="151"/>
      <c r="E706" s="151"/>
      <c r="F706" s="151"/>
      <c r="G706" s="151"/>
      <c r="H706" s="151"/>
      <c r="I706" s="151"/>
      <c r="J706" s="152">
        <v>42635.713576388887</v>
      </c>
      <c r="K706" s="151"/>
      <c r="L706" s="151" t="s">
        <v>59</v>
      </c>
      <c r="M706" s="152">
        <v>42635.412361111114</v>
      </c>
      <c r="N706" s="151" t="s">
        <v>2966</v>
      </c>
      <c r="O706" s="151"/>
      <c r="P706" s="151"/>
      <c r="Q706" s="7" t="str">
        <f>IF(ISBLANK(patch[[#This Row],[OwnerEmail]]),Q705,patch[[#This Row],[OwnerEmail]])</f>
        <v>lipingx.xu@intel.com</v>
      </c>
      <c r="R706" s="7" t="str">
        <f>_xlfn.IFNA(VLOOKUP(patch[[#This Row],[tmp-owner.email]],OrgTree!$A:$K, 11, 0), "not ICG SWFW")</f>
        <v>BJ And dev</v>
      </c>
      <c r="S706" s="7" t="str">
        <f>IF(patch[[#This Row],[reviewer]]=patch[[#This Row],[tmp-owner.email]], "author", _xlfn.IFNA(VLOOKUP(patch[[#This Row],[reviewer]],OrgTree!$A:$K, 11, 0), "not ICG SWFW"))</f>
        <v>BJ And dev</v>
      </c>
      <c r="T706" s="7" t="str">
        <f>IF(ISBLANK(patch[[#This Row],[mergeDate]]), "", MID(YEAR(patch[[#This Row],[mergeDate]]), 3,2)&amp;"'ww"&amp;WEEKNUM(patch[[#This Row],[mergeDate]]))</f>
        <v>16'ww39</v>
      </c>
      <c r="U706" s="7" t="str">
        <f>IF(ISBLANK(patch[[#This Row],[mergeDate]]), U705, MID(YEAR(patch[[#This Row],[mergeDate]]), 3,2)&amp;"'m"&amp;MONTH(patch[[#This Row],[mergeDate]]))</f>
        <v>16'm9</v>
      </c>
      <c r="V706" s="7" t="str">
        <f>IF(ISBLANK(patch[[#This Row],[project]]), "",SUM(patch[[#This Row],[BJ -1 num]:[SH -1 num]]))</f>
        <v/>
      </c>
      <c r="W706" s="7" t="str">
        <f>IF(ISBLANK(patch[[#This Row],[project]]), "",COUNTIFS($A:$A,patch[[#This Row],[number]],$S:$S, "BJ And dev",$AC:$AC, "Review-1"))</f>
        <v/>
      </c>
      <c r="X706" s="7" t="str">
        <f>IF(ISBLANK(patch[[#This Row],[project]]), "",COUNTIFS($A:$A,patch[[#This Row],[number]],$S:$S, "FL And dev",$AC:$AC, "Review-1"))</f>
        <v/>
      </c>
      <c r="Y706" s="7" t="str">
        <f>IF(ISBLANK(patch[[#This Row],[project]]), "",COUNTIFS($A:$A,patch[[#This Row],[number]],$S:$S, "SH And dev",$AC:$AC, "Review-1"))</f>
        <v/>
      </c>
      <c r="Z706" s="7" t="str">
        <f>IF(ISBLANK(patch[[#This Row],[project]]), "",COUNTIFS($A:$A,patch[[#This Row],[number]],$S:$S, "BJ And dev",$AD:$AD, "&lt;&gt;IntegratorValidationComment"))</f>
        <v/>
      </c>
      <c r="AA706" s="7" t="str">
        <f>IF(ISBLANK(patch[[#This Row],[project]]), "",COUNTIFS($A:$A,patch[[#This Row],[number]],$S:$S, "FL And dev",$AD:$AD, "&lt;&gt;IntegratorValidationComment"))</f>
        <v/>
      </c>
      <c r="AB706" s="7" t="str">
        <f>IF(ISBLANK(patch[[#This Row],[project]]), "",COUNTIFS($A:$A,patch[[#This Row],[number]],$S:$S, "SH And dev",$AD:$AD, "&lt;&gt;IntegratorValidationComment"))</f>
        <v/>
      </c>
      <c r="AC706" s="7" t="str">
        <f>IF(OR(ISNUMBER(FIND("Review-1", patch[[#This Row],[comments]])), ISNUMBER(FIND("Approver-1", patch[[#This Row],[comments]]))), "Review-1", "")</f>
        <v/>
      </c>
      <c r="AD7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06" s="7">
        <f>IF(ISBLANK(patch[[#This Row],[number]]),AE705,patch[[#This Row],[ifCommon]])</f>
        <v>0</v>
      </c>
    </row>
    <row r="707" spans="1:31">
      <c r="A707" s="151">
        <v>147287</v>
      </c>
      <c r="B707" s="151"/>
      <c r="C707" s="151"/>
      <c r="D707" s="151"/>
      <c r="E707" s="151"/>
      <c r="F707" s="151"/>
      <c r="G707" s="151"/>
      <c r="H707" s="151"/>
      <c r="I707" s="151"/>
      <c r="J707" s="152">
        <v>42635.713576388887</v>
      </c>
      <c r="K707" s="151"/>
      <c r="L707" s="151" t="s">
        <v>59</v>
      </c>
      <c r="M707" s="152">
        <v>42635.425347222219</v>
      </c>
      <c r="N707" s="151" t="s">
        <v>2967</v>
      </c>
      <c r="O707" s="151"/>
      <c r="P707" s="151"/>
      <c r="Q707" s="7" t="str">
        <f>IF(ISBLANK(patch[[#This Row],[OwnerEmail]]),Q706,patch[[#This Row],[OwnerEmail]])</f>
        <v>lipingx.xu@intel.com</v>
      </c>
      <c r="R707" s="7" t="str">
        <f>_xlfn.IFNA(VLOOKUP(patch[[#This Row],[tmp-owner.email]],OrgTree!$A:$K, 11, 0), "not ICG SWFW")</f>
        <v>BJ And dev</v>
      </c>
      <c r="S707" s="7" t="str">
        <f>IF(patch[[#This Row],[reviewer]]=patch[[#This Row],[tmp-owner.email]], "author", _xlfn.IFNA(VLOOKUP(patch[[#This Row],[reviewer]],OrgTree!$A:$K, 11, 0), "not ICG SWFW"))</f>
        <v>BJ And dev</v>
      </c>
      <c r="T707" s="7" t="str">
        <f>IF(ISBLANK(patch[[#This Row],[mergeDate]]), "", MID(YEAR(patch[[#This Row],[mergeDate]]), 3,2)&amp;"'ww"&amp;WEEKNUM(patch[[#This Row],[mergeDate]]))</f>
        <v>16'ww39</v>
      </c>
      <c r="U707" s="7" t="str">
        <f>IF(ISBLANK(patch[[#This Row],[mergeDate]]), U706, MID(YEAR(patch[[#This Row],[mergeDate]]), 3,2)&amp;"'m"&amp;MONTH(patch[[#This Row],[mergeDate]]))</f>
        <v>16'm9</v>
      </c>
      <c r="V707" s="7" t="str">
        <f>IF(ISBLANK(patch[[#This Row],[project]]), "",SUM(patch[[#This Row],[BJ -1 num]:[SH -1 num]]))</f>
        <v/>
      </c>
      <c r="W707" s="7" t="str">
        <f>IF(ISBLANK(patch[[#This Row],[project]]), "",COUNTIFS($A:$A,patch[[#This Row],[number]],$S:$S, "BJ And dev",$AC:$AC, "Review-1"))</f>
        <v/>
      </c>
      <c r="X707" s="7" t="str">
        <f>IF(ISBLANK(patch[[#This Row],[project]]), "",COUNTIFS($A:$A,patch[[#This Row],[number]],$S:$S, "FL And dev",$AC:$AC, "Review-1"))</f>
        <v/>
      </c>
      <c r="Y707" s="7" t="str">
        <f>IF(ISBLANK(patch[[#This Row],[project]]), "",COUNTIFS($A:$A,patch[[#This Row],[number]],$S:$S, "SH And dev",$AC:$AC, "Review-1"))</f>
        <v/>
      </c>
      <c r="Z707" s="7" t="str">
        <f>IF(ISBLANK(patch[[#This Row],[project]]), "",COUNTIFS($A:$A,patch[[#This Row],[number]],$S:$S, "BJ And dev",$AD:$AD, "&lt;&gt;IntegratorValidationComment"))</f>
        <v/>
      </c>
      <c r="AA707" s="7" t="str">
        <f>IF(ISBLANK(patch[[#This Row],[project]]), "",COUNTIFS($A:$A,patch[[#This Row],[number]],$S:$S, "FL And dev",$AD:$AD, "&lt;&gt;IntegratorValidationComment"))</f>
        <v/>
      </c>
      <c r="AB707" s="7" t="str">
        <f>IF(ISBLANK(patch[[#This Row],[project]]), "",COUNTIFS($A:$A,patch[[#This Row],[number]],$S:$S, "SH And dev",$AD:$AD, "&lt;&gt;IntegratorValidationComment"))</f>
        <v/>
      </c>
      <c r="AC707" s="7" t="str">
        <f>IF(OR(ISNUMBER(FIND("Review-1", patch[[#This Row],[comments]])), ISNUMBER(FIND("Approver-1", patch[[#This Row],[comments]]))), "Review-1", "")</f>
        <v/>
      </c>
      <c r="AD7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07" s="7">
        <f>IF(ISBLANK(patch[[#This Row],[number]]),AE706,patch[[#This Row],[ifCommon]])</f>
        <v>0</v>
      </c>
    </row>
    <row r="708" spans="1:31">
      <c r="A708" s="151">
        <v>147287</v>
      </c>
      <c r="B708" s="151"/>
      <c r="C708" s="151"/>
      <c r="D708" s="151"/>
      <c r="E708" s="151"/>
      <c r="F708" s="151"/>
      <c r="G708" s="151"/>
      <c r="H708" s="151"/>
      <c r="I708" s="151"/>
      <c r="J708" s="152">
        <v>42635.713576388887</v>
      </c>
      <c r="K708" s="151"/>
      <c r="L708" s="151" t="s">
        <v>24</v>
      </c>
      <c r="M708" s="152">
        <v>42635.445104166669</v>
      </c>
      <c r="N708" s="151" t="s">
        <v>1880</v>
      </c>
      <c r="O708" s="151"/>
      <c r="P708" s="151"/>
      <c r="Q708" s="7" t="str">
        <f>IF(ISBLANK(patch[[#This Row],[OwnerEmail]]),Q707,patch[[#This Row],[OwnerEmail]])</f>
        <v>lipingx.xu@intel.com</v>
      </c>
      <c r="R708" s="7" t="str">
        <f>_xlfn.IFNA(VLOOKUP(patch[[#This Row],[tmp-owner.email]],OrgTree!$A:$K, 11, 0), "not ICG SWFW")</f>
        <v>BJ And dev</v>
      </c>
      <c r="S708" s="7" t="str">
        <f>IF(patch[[#This Row],[reviewer]]=patch[[#This Row],[tmp-owner.email]], "author", _xlfn.IFNA(VLOOKUP(patch[[#This Row],[reviewer]],OrgTree!$A:$K, 11, 0), "not ICG SWFW"))</f>
        <v>BJ And dev</v>
      </c>
      <c r="T708" s="7" t="str">
        <f>IF(ISBLANK(patch[[#This Row],[mergeDate]]), "", MID(YEAR(patch[[#This Row],[mergeDate]]), 3,2)&amp;"'ww"&amp;WEEKNUM(patch[[#This Row],[mergeDate]]))</f>
        <v>16'ww39</v>
      </c>
      <c r="U708" s="7" t="str">
        <f>IF(ISBLANK(patch[[#This Row],[mergeDate]]), U707, MID(YEAR(patch[[#This Row],[mergeDate]]), 3,2)&amp;"'m"&amp;MONTH(patch[[#This Row],[mergeDate]]))</f>
        <v>16'm9</v>
      </c>
      <c r="V708" s="7" t="str">
        <f>IF(ISBLANK(patch[[#This Row],[project]]), "",SUM(patch[[#This Row],[BJ -1 num]:[SH -1 num]]))</f>
        <v/>
      </c>
      <c r="W708" s="7" t="str">
        <f>IF(ISBLANK(patch[[#This Row],[project]]), "",COUNTIFS($A:$A,patch[[#This Row],[number]],$S:$S, "BJ And dev",$AC:$AC, "Review-1"))</f>
        <v/>
      </c>
      <c r="X708" s="7" t="str">
        <f>IF(ISBLANK(patch[[#This Row],[project]]), "",COUNTIFS($A:$A,patch[[#This Row],[number]],$S:$S, "FL And dev",$AC:$AC, "Review-1"))</f>
        <v/>
      </c>
      <c r="Y708" s="7" t="str">
        <f>IF(ISBLANK(patch[[#This Row],[project]]), "",COUNTIFS($A:$A,patch[[#This Row],[number]],$S:$S, "SH And dev",$AC:$AC, "Review-1"))</f>
        <v/>
      </c>
      <c r="Z708" s="7" t="str">
        <f>IF(ISBLANK(patch[[#This Row],[project]]), "",COUNTIFS($A:$A,patch[[#This Row],[number]],$S:$S, "BJ And dev",$AD:$AD, "&lt;&gt;IntegratorValidationComment"))</f>
        <v/>
      </c>
      <c r="AA708" s="7" t="str">
        <f>IF(ISBLANK(patch[[#This Row],[project]]), "",COUNTIFS($A:$A,patch[[#This Row],[number]],$S:$S, "FL And dev",$AD:$AD, "&lt;&gt;IntegratorValidationComment"))</f>
        <v/>
      </c>
      <c r="AB708" s="7" t="str">
        <f>IF(ISBLANK(patch[[#This Row],[project]]), "",COUNTIFS($A:$A,patch[[#This Row],[number]],$S:$S, "SH And dev",$AD:$AD, "&lt;&gt;IntegratorValidationComment"))</f>
        <v/>
      </c>
      <c r="AC708" s="7" t="str">
        <f>IF(OR(ISNUMBER(FIND("Review-1", patch[[#This Row],[comments]])), ISNUMBER(FIND("Approver-1", patch[[#This Row],[comments]]))), "Review-1", "")</f>
        <v/>
      </c>
      <c r="AD7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08" s="7">
        <f>IF(ISBLANK(patch[[#This Row],[number]]),AE707,patch[[#This Row],[ifCommon]])</f>
        <v>0</v>
      </c>
    </row>
    <row r="709" spans="1:31">
      <c r="A709" s="151">
        <v>147287</v>
      </c>
      <c r="B709" s="151"/>
      <c r="C709" s="151"/>
      <c r="D709" s="151"/>
      <c r="E709" s="151"/>
      <c r="F709" s="151"/>
      <c r="G709" s="151"/>
      <c r="H709" s="151"/>
      <c r="I709" s="151"/>
      <c r="J709" s="152">
        <v>42635.713576388887</v>
      </c>
      <c r="K709" s="151"/>
      <c r="L709" s="151" t="s">
        <v>115</v>
      </c>
      <c r="M709" s="152">
        <v>42635.547280092593</v>
      </c>
      <c r="N709" s="151" t="s">
        <v>2494</v>
      </c>
      <c r="O709" s="151"/>
      <c r="P709" s="151"/>
      <c r="Q709" s="7" t="str">
        <f>IF(ISBLANK(patch[[#This Row],[OwnerEmail]]),Q708,patch[[#This Row],[OwnerEmail]])</f>
        <v>lipingx.xu@intel.com</v>
      </c>
      <c r="R709" s="7" t="str">
        <f>_xlfn.IFNA(VLOOKUP(patch[[#This Row],[tmp-owner.email]],OrgTree!$A:$K, 11, 0), "not ICG SWFW")</f>
        <v>BJ And dev</v>
      </c>
      <c r="S709" s="7" t="str">
        <f>IF(patch[[#This Row],[reviewer]]=patch[[#This Row],[tmp-owner.email]], "author", _xlfn.IFNA(VLOOKUP(patch[[#This Row],[reviewer]],OrgTree!$A:$K, 11, 0), "not ICG SWFW"))</f>
        <v>Val</v>
      </c>
      <c r="T709" s="7" t="str">
        <f>IF(ISBLANK(patch[[#This Row],[mergeDate]]), "", MID(YEAR(patch[[#This Row],[mergeDate]]), 3,2)&amp;"'ww"&amp;WEEKNUM(patch[[#This Row],[mergeDate]]))</f>
        <v>16'ww39</v>
      </c>
      <c r="U709" s="7" t="str">
        <f>IF(ISBLANK(patch[[#This Row],[mergeDate]]), U708, MID(YEAR(patch[[#This Row],[mergeDate]]), 3,2)&amp;"'m"&amp;MONTH(patch[[#This Row],[mergeDate]]))</f>
        <v>16'm9</v>
      </c>
      <c r="V709" s="7" t="str">
        <f>IF(ISBLANK(patch[[#This Row],[project]]), "",SUM(patch[[#This Row],[BJ -1 num]:[SH -1 num]]))</f>
        <v/>
      </c>
      <c r="W709" s="7" t="str">
        <f>IF(ISBLANK(patch[[#This Row],[project]]), "",COUNTIFS($A:$A,patch[[#This Row],[number]],$S:$S, "BJ And dev",$AC:$AC, "Review-1"))</f>
        <v/>
      </c>
      <c r="X709" s="7" t="str">
        <f>IF(ISBLANK(patch[[#This Row],[project]]), "",COUNTIFS($A:$A,patch[[#This Row],[number]],$S:$S, "FL And dev",$AC:$AC, "Review-1"))</f>
        <v/>
      </c>
      <c r="Y709" s="7" t="str">
        <f>IF(ISBLANK(patch[[#This Row],[project]]), "",COUNTIFS($A:$A,patch[[#This Row],[number]],$S:$S, "SH And dev",$AC:$AC, "Review-1"))</f>
        <v/>
      </c>
      <c r="Z709" s="7" t="str">
        <f>IF(ISBLANK(patch[[#This Row],[project]]), "",COUNTIFS($A:$A,patch[[#This Row],[number]],$S:$S, "BJ And dev",$AD:$AD, "&lt;&gt;IntegratorValidationComment"))</f>
        <v/>
      </c>
      <c r="AA709" s="7" t="str">
        <f>IF(ISBLANK(patch[[#This Row],[project]]), "",COUNTIFS($A:$A,patch[[#This Row],[number]],$S:$S, "FL And dev",$AD:$AD, "&lt;&gt;IntegratorValidationComment"))</f>
        <v/>
      </c>
      <c r="AB709" s="7" t="str">
        <f>IF(ISBLANK(patch[[#This Row],[project]]), "",COUNTIFS($A:$A,patch[[#This Row],[number]],$S:$S, "SH And dev",$AD:$AD, "&lt;&gt;IntegratorValidationComment"))</f>
        <v/>
      </c>
      <c r="AC709" s="7" t="str">
        <f>IF(OR(ISNUMBER(FIND("Review-1", patch[[#This Row],[comments]])), ISNUMBER(FIND("Approver-1", patch[[#This Row],[comments]]))), "Review-1", "")</f>
        <v/>
      </c>
      <c r="AD7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709" s="7">
        <f>IF(ISBLANK(patch[[#This Row],[number]]),AE708,patch[[#This Row],[ifCommon]])</f>
        <v>0</v>
      </c>
    </row>
    <row r="710" spans="1:31">
      <c r="A710" s="151">
        <v>147285</v>
      </c>
      <c r="B710" s="151" t="s">
        <v>2490</v>
      </c>
      <c r="C710" s="151" t="s">
        <v>2795</v>
      </c>
      <c r="D710" s="151" t="s">
        <v>2968</v>
      </c>
      <c r="E710" s="151" t="s">
        <v>677</v>
      </c>
      <c r="F710" s="151" t="s">
        <v>23</v>
      </c>
      <c r="G710" s="151" t="s">
        <v>2969</v>
      </c>
      <c r="H710" s="151" t="s">
        <v>2970</v>
      </c>
      <c r="I710" s="152">
        <v>42635.406354166669</v>
      </c>
      <c r="J710" s="152">
        <v>42635.713518518518</v>
      </c>
      <c r="K710" s="151" t="s">
        <v>2445</v>
      </c>
      <c r="L710" s="151" t="s">
        <v>677</v>
      </c>
      <c r="M710" s="152">
        <v>42635.406354166669</v>
      </c>
      <c r="N710" s="151" t="s">
        <v>25</v>
      </c>
      <c r="O710" s="151"/>
      <c r="P710" s="151" t="s">
        <v>2498</v>
      </c>
      <c r="Q710" s="7" t="str">
        <f>IF(ISBLANK(patch[[#This Row],[OwnerEmail]]),Q709,patch[[#This Row],[OwnerEmail]])</f>
        <v>lipingx.xu@intel.com</v>
      </c>
      <c r="R710" s="7" t="str">
        <f>_xlfn.IFNA(VLOOKUP(patch[[#This Row],[tmp-owner.email]],OrgTree!$A:$K, 11, 0), "not ICG SWFW")</f>
        <v>BJ And dev</v>
      </c>
      <c r="S710" s="7" t="str">
        <f>IF(patch[[#This Row],[reviewer]]=patch[[#This Row],[tmp-owner.email]], "author", _xlfn.IFNA(VLOOKUP(patch[[#This Row],[reviewer]],OrgTree!$A:$K, 11, 0), "not ICG SWFW"))</f>
        <v>author</v>
      </c>
      <c r="T710" s="7" t="str">
        <f>IF(ISBLANK(patch[[#This Row],[mergeDate]]), "", MID(YEAR(patch[[#This Row],[mergeDate]]), 3,2)&amp;"'ww"&amp;WEEKNUM(patch[[#This Row],[mergeDate]]))</f>
        <v>16'ww39</v>
      </c>
      <c r="U710" s="7" t="str">
        <f>IF(ISBLANK(patch[[#This Row],[mergeDate]]), U709, MID(YEAR(patch[[#This Row],[mergeDate]]), 3,2)&amp;"'m"&amp;MONTH(patch[[#This Row],[mergeDate]]))</f>
        <v>16'm9</v>
      </c>
      <c r="V710" s="7">
        <f>IF(ISBLANK(patch[[#This Row],[project]]), "",SUM(patch[[#This Row],[BJ -1 num]:[SH -1 num]]))</f>
        <v>0</v>
      </c>
      <c r="W710" s="7">
        <f>IF(ISBLANK(patch[[#This Row],[project]]), "",COUNTIFS($A:$A,patch[[#This Row],[number]],$S:$S, "BJ And dev",$AC:$AC, "Review-1"))</f>
        <v>0</v>
      </c>
      <c r="X710" s="7">
        <f>IF(ISBLANK(patch[[#This Row],[project]]), "",COUNTIFS($A:$A,patch[[#This Row],[number]],$S:$S, "FL And dev",$AC:$AC, "Review-1"))</f>
        <v>0</v>
      </c>
      <c r="Y710" s="7">
        <f>IF(ISBLANK(patch[[#This Row],[project]]), "",COUNTIFS($A:$A,patch[[#This Row],[number]],$S:$S, "SH And dev",$AC:$AC, "Review-1"))</f>
        <v>0</v>
      </c>
      <c r="Z710" s="7">
        <f>IF(ISBLANK(patch[[#This Row],[project]]), "",COUNTIFS($A:$A,patch[[#This Row],[number]],$S:$S, "BJ And dev",$AD:$AD, "&lt;&gt;IntegratorValidationComment"))</f>
        <v>3</v>
      </c>
      <c r="AA710" s="7">
        <f>IF(ISBLANK(patch[[#This Row],[project]]), "",COUNTIFS($A:$A,patch[[#This Row],[number]],$S:$S, "FL And dev",$AD:$AD, "&lt;&gt;IntegratorValidationComment"))</f>
        <v>0</v>
      </c>
      <c r="AB710" s="7">
        <f>IF(ISBLANK(patch[[#This Row],[project]]), "",COUNTIFS($A:$A,patch[[#This Row],[number]],$S:$S, "SH And dev",$AD:$AD, "&lt;&gt;IntegratorValidationComment"))</f>
        <v>0</v>
      </c>
      <c r="AC710" s="7" t="str">
        <f>IF(OR(ISNUMBER(FIND("Review-1", patch[[#This Row],[comments]])), ISNUMBER(FIND("Approver-1", patch[[#This Row],[comments]]))), "Review-1", "")</f>
        <v/>
      </c>
      <c r="AD7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10" s="7" t="str">
        <f>IF(ISBLANK(patch[[#This Row],[number]]),AE709,patch[[#This Row],[ifCommon]])</f>
        <v>not AndrHAL</v>
      </c>
    </row>
    <row r="711" spans="1:31">
      <c r="A711" s="151">
        <v>147285</v>
      </c>
      <c r="B711" s="151"/>
      <c r="C711" s="151"/>
      <c r="D711" s="151"/>
      <c r="E711" s="151"/>
      <c r="F711" s="151"/>
      <c r="G711" s="151"/>
      <c r="H711" s="151"/>
      <c r="I711" s="151"/>
      <c r="J711" s="152">
        <v>42635.713518518518</v>
      </c>
      <c r="K711" s="151"/>
      <c r="L711" s="151" t="s">
        <v>677</v>
      </c>
      <c r="M711" s="152">
        <v>42635.406365740739</v>
      </c>
      <c r="N711" s="151" t="s">
        <v>2428</v>
      </c>
      <c r="O711" s="151"/>
      <c r="P711" s="151"/>
      <c r="Q711" s="7" t="str">
        <f>IF(ISBLANK(patch[[#This Row],[OwnerEmail]]),Q710,patch[[#This Row],[OwnerEmail]])</f>
        <v>lipingx.xu@intel.com</v>
      </c>
      <c r="R711" s="7" t="str">
        <f>_xlfn.IFNA(VLOOKUP(patch[[#This Row],[tmp-owner.email]],OrgTree!$A:$K, 11, 0), "not ICG SWFW")</f>
        <v>BJ And dev</v>
      </c>
      <c r="S711" s="7" t="str">
        <f>IF(patch[[#This Row],[reviewer]]=patch[[#This Row],[tmp-owner.email]], "author", _xlfn.IFNA(VLOOKUP(patch[[#This Row],[reviewer]],OrgTree!$A:$K, 11, 0), "not ICG SWFW"))</f>
        <v>author</v>
      </c>
      <c r="T711" s="7" t="str">
        <f>IF(ISBLANK(patch[[#This Row],[mergeDate]]), "", MID(YEAR(patch[[#This Row],[mergeDate]]), 3,2)&amp;"'ww"&amp;WEEKNUM(patch[[#This Row],[mergeDate]]))</f>
        <v>16'ww39</v>
      </c>
      <c r="U711" s="7" t="str">
        <f>IF(ISBLANK(patch[[#This Row],[mergeDate]]), U710, MID(YEAR(patch[[#This Row],[mergeDate]]), 3,2)&amp;"'m"&amp;MONTH(patch[[#This Row],[mergeDate]]))</f>
        <v>16'm9</v>
      </c>
      <c r="V711" s="7" t="str">
        <f>IF(ISBLANK(patch[[#This Row],[project]]), "",SUM(patch[[#This Row],[BJ -1 num]:[SH -1 num]]))</f>
        <v/>
      </c>
      <c r="W711" s="7" t="str">
        <f>IF(ISBLANK(patch[[#This Row],[project]]), "",COUNTIFS($A:$A,patch[[#This Row],[number]],$S:$S, "BJ And dev",$AC:$AC, "Review-1"))</f>
        <v/>
      </c>
      <c r="X711" s="7" t="str">
        <f>IF(ISBLANK(patch[[#This Row],[project]]), "",COUNTIFS($A:$A,patch[[#This Row],[number]],$S:$S, "FL And dev",$AC:$AC, "Review-1"))</f>
        <v/>
      </c>
      <c r="Y711" s="7" t="str">
        <f>IF(ISBLANK(patch[[#This Row],[project]]), "",COUNTIFS($A:$A,patch[[#This Row],[number]],$S:$S, "SH And dev",$AC:$AC, "Review-1"))</f>
        <v/>
      </c>
      <c r="Z711" s="7" t="str">
        <f>IF(ISBLANK(patch[[#This Row],[project]]), "",COUNTIFS($A:$A,patch[[#This Row],[number]],$S:$S, "BJ And dev",$AD:$AD, "&lt;&gt;IntegratorValidationComment"))</f>
        <v/>
      </c>
      <c r="AA711" s="7" t="str">
        <f>IF(ISBLANK(patch[[#This Row],[project]]), "",COUNTIFS($A:$A,patch[[#This Row],[number]],$S:$S, "FL And dev",$AD:$AD, "&lt;&gt;IntegratorValidationComment"))</f>
        <v/>
      </c>
      <c r="AB711" s="7" t="str">
        <f>IF(ISBLANK(patch[[#This Row],[project]]), "",COUNTIFS($A:$A,patch[[#This Row],[number]],$S:$S, "SH And dev",$AD:$AD, "&lt;&gt;IntegratorValidationComment"))</f>
        <v/>
      </c>
      <c r="AC711" s="7" t="str">
        <f>IF(OR(ISNUMBER(FIND("Review-1", patch[[#This Row],[comments]])), ISNUMBER(FIND("Approver-1", patch[[#This Row],[comments]]))), "Review-1", "")</f>
        <v/>
      </c>
      <c r="AD7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11" s="7">
        <f>IF(ISBLANK(patch[[#This Row],[number]]),AE710,patch[[#This Row],[ifCommon]])</f>
        <v>0</v>
      </c>
    </row>
    <row r="712" spans="1:31">
      <c r="A712" s="151">
        <v>147285</v>
      </c>
      <c r="B712" s="151"/>
      <c r="C712" s="151"/>
      <c r="D712" s="151"/>
      <c r="E712" s="151"/>
      <c r="F712" s="151"/>
      <c r="G712" s="151"/>
      <c r="H712" s="151"/>
      <c r="I712" s="151"/>
      <c r="J712" s="152">
        <v>42635.713518518518</v>
      </c>
      <c r="K712" s="151"/>
      <c r="L712" s="151" t="s">
        <v>677</v>
      </c>
      <c r="M712" s="152">
        <v>42635.40730324074</v>
      </c>
      <c r="N712" s="151" t="s">
        <v>40</v>
      </c>
      <c r="O712" s="151"/>
      <c r="P712" s="151"/>
      <c r="Q712" s="7" t="str">
        <f>IF(ISBLANK(patch[[#This Row],[OwnerEmail]]),Q711,patch[[#This Row],[OwnerEmail]])</f>
        <v>lipingx.xu@intel.com</v>
      </c>
      <c r="R712" s="7" t="str">
        <f>_xlfn.IFNA(VLOOKUP(patch[[#This Row],[tmp-owner.email]],OrgTree!$A:$K, 11, 0), "not ICG SWFW")</f>
        <v>BJ And dev</v>
      </c>
      <c r="S712" s="7" t="str">
        <f>IF(patch[[#This Row],[reviewer]]=patch[[#This Row],[tmp-owner.email]], "author", _xlfn.IFNA(VLOOKUP(patch[[#This Row],[reviewer]],OrgTree!$A:$K, 11, 0), "not ICG SWFW"))</f>
        <v>author</v>
      </c>
      <c r="T712" s="7" t="str">
        <f>IF(ISBLANK(patch[[#This Row],[mergeDate]]), "", MID(YEAR(patch[[#This Row],[mergeDate]]), 3,2)&amp;"'ww"&amp;WEEKNUM(patch[[#This Row],[mergeDate]]))</f>
        <v>16'ww39</v>
      </c>
      <c r="U712" s="7" t="str">
        <f>IF(ISBLANK(patch[[#This Row],[mergeDate]]), U711, MID(YEAR(patch[[#This Row],[mergeDate]]), 3,2)&amp;"'m"&amp;MONTH(patch[[#This Row],[mergeDate]]))</f>
        <v>16'm9</v>
      </c>
      <c r="V712" s="7" t="str">
        <f>IF(ISBLANK(patch[[#This Row],[project]]), "",SUM(patch[[#This Row],[BJ -1 num]:[SH -1 num]]))</f>
        <v/>
      </c>
      <c r="W712" s="7" t="str">
        <f>IF(ISBLANK(patch[[#This Row],[project]]), "",COUNTIFS($A:$A,patch[[#This Row],[number]],$S:$S, "BJ And dev",$AC:$AC, "Review-1"))</f>
        <v/>
      </c>
      <c r="X712" s="7" t="str">
        <f>IF(ISBLANK(patch[[#This Row],[project]]), "",COUNTIFS($A:$A,patch[[#This Row],[number]],$S:$S, "FL And dev",$AC:$AC, "Review-1"))</f>
        <v/>
      </c>
      <c r="Y712" s="7" t="str">
        <f>IF(ISBLANK(patch[[#This Row],[project]]), "",COUNTIFS($A:$A,patch[[#This Row],[number]],$S:$S, "SH And dev",$AC:$AC, "Review-1"))</f>
        <v/>
      </c>
      <c r="Z712" s="7" t="str">
        <f>IF(ISBLANK(patch[[#This Row],[project]]), "",COUNTIFS($A:$A,patch[[#This Row],[number]],$S:$S, "BJ And dev",$AD:$AD, "&lt;&gt;IntegratorValidationComment"))</f>
        <v/>
      </c>
      <c r="AA712" s="7" t="str">
        <f>IF(ISBLANK(patch[[#This Row],[project]]), "",COUNTIFS($A:$A,patch[[#This Row],[number]],$S:$S, "FL And dev",$AD:$AD, "&lt;&gt;IntegratorValidationComment"))</f>
        <v/>
      </c>
      <c r="AB712" s="7" t="str">
        <f>IF(ISBLANK(patch[[#This Row],[project]]), "",COUNTIFS($A:$A,patch[[#This Row],[number]],$S:$S, "SH And dev",$AD:$AD, "&lt;&gt;IntegratorValidationComment"))</f>
        <v/>
      </c>
      <c r="AC712" s="7" t="str">
        <f>IF(OR(ISNUMBER(FIND("Review-1", patch[[#This Row],[comments]])), ISNUMBER(FIND("Approver-1", patch[[#This Row],[comments]]))), "Review-1", "")</f>
        <v/>
      </c>
      <c r="AD7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12" s="7">
        <f>IF(ISBLANK(patch[[#This Row],[number]]),AE711,patch[[#This Row],[ifCommon]])</f>
        <v>0</v>
      </c>
    </row>
    <row r="713" spans="1:31">
      <c r="A713" s="151">
        <v>147285</v>
      </c>
      <c r="B713" s="151"/>
      <c r="C713" s="151"/>
      <c r="D713" s="151"/>
      <c r="E713" s="151"/>
      <c r="F713" s="151"/>
      <c r="G713" s="151"/>
      <c r="H713" s="151"/>
      <c r="I713" s="151"/>
      <c r="J713" s="152">
        <v>42635.713518518518</v>
      </c>
      <c r="K713" s="151"/>
      <c r="L713" s="151" t="s">
        <v>59</v>
      </c>
      <c r="M713" s="152">
        <v>42635.417372685188</v>
      </c>
      <c r="N713" s="151" t="s">
        <v>2971</v>
      </c>
      <c r="O713" s="151"/>
      <c r="P713" s="151"/>
      <c r="Q713" s="7" t="str">
        <f>IF(ISBLANK(patch[[#This Row],[OwnerEmail]]),Q712,patch[[#This Row],[OwnerEmail]])</f>
        <v>lipingx.xu@intel.com</v>
      </c>
      <c r="R713" s="7" t="str">
        <f>_xlfn.IFNA(VLOOKUP(patch[[#This Row],[tmp-owner.email]],OrgTree!$A:$K, 11, 0), "not ICG SWFW")</f>
        <v>BJ And dev</v>
      </c>
      <c r="S713" s="7" t="str">
        <f>IF(patch[[#This Row],[reviewer]]=patch[[#This Row],[tmp-owner.email]], "author", _xlfn.IFNA(VLOOKUP(patch[[#This Row],[reviewer]],OrgTree!$A:$K, 11, 0), "not ICG SWFW"))</f>
        <v>BJ And dev</v>
      </c>
      <c r="T713" s="7" t="str">
        <f>IF(ISBLANK(patch[[#This Row],[mergeDate]]), "", MID(YEAR(patch[[#This Row],[mergeDate]]), 3,2)&amp;"'ww"&amp;WEEKNUM(patch[[#This Row],[mergeDate]]))</f>
        <v>16'ww39</v>
      </c>
      <c r="U713" s="7" t="str">
        <f>IF(ISBLANK(patch[[#This Row],[mergeDate]]), U712, MID(YEAR(patch[[#This Row],[mergeDate]]), 3,2)&amp;"'m"&amp;MONTH(patch[[#This Row],[mergeDate]]))</f>
        <v>16'm9</v>
      </c>
      <c r="V713" s="7" t="str">
        <f>IF(ISBLANK(patch[[#This Row],[project]]), "",SUM(patch[[#This Row],[BJ -1 num]:[SH -1 num]]))</f>
        <v/>
      </c>
      <c r="W713" s="7" t="str">
        <f>IF(ISBLANK(patch[[#This Row],[project]]), "",COUNTIFS($A:$A,patch[[#This Row],[number]],$S:$S, "BJ And dev",$AC:$AC, "Review-1"))</f>
        <v/>
      </c>
      <c r="X713" s="7" t="str">
        <f>IF(ISBLANK(patch[[#This Row],[project]]), "",COUNTIFS($A:$A,patch[[#This Row],[number]],$S:$S, "FL And dev",$AC:$AC, "Review-1"))</f>
        <v/>
      </c>
      <c r="Y713" s="7" t="str">
        <f>IF(ISBLANK(patch[[#This Row],[project]]), "",COUNTIFS($A:$A,patch[[#This Row],[number]],$S:$S, "SH And dev",$AC:$AC, "Review-1"))</f>
        <v/>
      </c>
      <c r="Z713" s="7" t="str">
        <f>IF(ISBLANK(patch[[#This Row],[project]]), "",COUNTIFS($A:$A,patch[[#This Row],[number]],$S:$S, "BJ And dev",$AD:$AD, "&lt;&gt;IntegratorValidationComment"))</f>
        <v/>
      </c>
      <c r="AA713" s="7" t="str">
        <f>IF(ISBLANK(patch[[#This Row],[project]]), "",COUNTIFS($A:$A,patch[[#This Row],[number]],$S:$S, "FL And dev",$AD:$AD, "&lt;&gt;IntegratorValidationComment"))</f>
        <v/>
      </c>
      <c r="AB713" s="7" t="str">
        <f>IF(ISBLANK(patch[[#This Row],[project]]), "",COUNTIFS($A:$A,patch[[#This Row],[number]],$S:$S, "SH And dev",$AD:$AD, "&lt;&gt;IntegratorValidationComment"))</f>
        <v/>
      </c>
      <c r="AC713" s="7" t="str">
        <f>IF(OR(ISNUMBER(FIND("Review-1", patch[[#This Row],[comments]])), ISNUMBER(FIND("Approver-1", patch[[#This Row],[comments]]))), "Review-1", "")</f>
        <v/>
      </c>
      <c r="AD7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13" s="7">
        <f>IF(ISBLANK(patch[[#This Row],[number]]),AE712,patch[[#This Row],[ifCommon]])</f>
        <v>0</v>
      </c>
    </row>
    <row r="714" spans="1:31">
      <c r="A714" s="151">
        <v>147285</v>
      </c>
      <c r="B714" s="151"/>
      <c r="C714" s="151"/>
      <c r="D714" s="151"/>
      <c r="E714" s="151"/>
      <c r="F714" s="151"/>
      <c r="G714" s="151"/>
      <c r="H714" s="151"/>
      <c r="I714" s="151"/>
      <c r="J714" s="152">
        <v>42635.713518518518</v>
      </c>
      <c r="K714" s="151"/>
      <c r="L714" s="151" t="s">
        <v>59</v>
      </c>
      <c r="M714" s="152">
        <v>42635.428784722222</v>
      </c>
      <c r="N714" s="151" t="s">
        <v>2972</v>
      </c>
      <c r="O714" s="151"/>
      <c r="P714" s="151"/>
      <c r="Q714" s="7" t="str">
        <f>IF(ISBLANK(patch[[#This Row],[OwnerEmail]]),Q713,patch[[#This Row],[OwnerEmail]])</f>
        <v>lipingx.xu@intel.com</v>
      </c>
      <c r="R714" s="7" t="str">
        <f>_xlfn.IFNA(VLOOKUP(patch[[#This Row],[tmp-owner.email]],OrgTree!$A:$K, 11, 0), "not ICG SWFW")</f>
        <v>BJ And dev</v>
      </c>
      <c r="S714" s="7" t="str">
        <f>IF(patch[[#This Row],[reviewer]]=patch[[#This Row],[tmp-owner.email]], "author", _xlfn.IFNA(VLOOKUP(patch[[#This Row],[reviewer]],OrgTree!$A:$K, 11, 0), "not ICG SWFW"))</f>
        <v>BJ And dev</v>
      </c>
      <c r="T714" s="7" t="str">
        <f>IF(ISBLANK(patch[[#This Row],[mergeDate]]), "", MID(YEAR(patch[[#This Row],[mergeDate]]), 3,2)&amp;"'ww"&amp;WEEKNUM(patch[[#This Row],[mergeDate]]))</f>
        <v>16'ww39</v>
      </c>
      <c r="U714" s="7" t="str">
        <f>IF(ISBLANK(patch[[#This Row],[mergeDate]]), U713, MID(YEAR(patch[[#This Row],[mergeDate]]), 3,2)&amp;"'m"&amp;MONTH(patch[[#This Row],[mergeDate]]))</f>
        <v>16'm9</v>
      </c>
      <c r="V714" s="7" t="str">
        <f>IF(ISBLANK(patch[[#This Row],[project]]), "",SUM(patch[[#This Row],[BJ -1 num]:[SH -1 num]]))</f>
        <v/>
      </c>
      <c r="W714" s="7" t="str">
        <f>IF(ISBLANK(patch[[#This Row],[project]]), "",COUNTIFS($A:$A,patch[[#This Row],[number]],$S:$S, "BJ And dev",$AC:$AC, "Review-1"))</f>
        <v/>
      </c>
      <c r="X714" s="7" t="str">
        <f>IF(ISBLANK(patch[[#This Row],[project]]), "",COUNTIFS($A:$A,patch[[#This Row],[number]],$S:$S, "FL And dev",$AC:$AC, "Review-1"))</f>
        <v/>
      </c>
      <c r="Y714" s="7" t="str">
        <f>IF(ISBLANK(patch[[#This Row],[project]]), "",COUNTIFS($A:$A,patch[[#This Row],[number]],$S:$S, "SH And dev",$AC:$AC, "Review-1"))</f>
        <v/>
      </c>
      <c r="Z714" s="7" t="str">
        <f>IF(ISBLANK(patch[[#This Row],[project]]), "",COUNTIFS($A:$A,patch[[#This Row],[number]],$S:$S, "BJ And dev",$AD:$AD, "&lt;&gt;IntegratorValidationComment"))</f>
        <v/>
      </c>
      <c r="AA714" s="7" t="str">
        <f>IF(ISBLANK(patch[[#This Row],[project]]), "",COUNTIFS($A:$A,patch[[#This Row],[number]],$S:$S, "FL And dev",$AD:$AD, "&lt;&gt;IntegratorValidationComment"))</f>
        <v/>
      </c>
      <c r="AB714" s="7" t="str">
        <f>IF(ISBLANK(patch[[#This Row],[project]]), "",COUNTIFS($A:$A,patch[[#This Row],[number]],$S:$S, "SH And dev",$AD:$AD, "&lt;&gt;IntegratorValidationComment"))</f>
        <v/>
      </c>
      <c r="AC714" s="7" t="str">
        <f>IF(OR(ISNUMBER(FIND("Review-1", patch[[#This Row],[comments]])), ISNUMBER(FIND("Approver-1", patch[[#This Row],[comments]]))), "Review-1", "")</f>
        <v/>
      </c>
      <c r="AD7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14" s="7">
        <f>IF(ISBLANK(patch[[#This Row],[number]]),AE713,patch[[#This Row],[ifCommon]])</f>
        <v>0</v>
      </c>
    </row>
    <row r="715" spans="1:31">
      <c r="A715" s="151">
        <v>147285</v>
      </c>
      <c r="B715" s="151"/>
      <c r="C715" s="151"/>
      <c r="D715" s="151"/>
      <c r="E715" s="151"/>
      <c r="F715" s="151"/>
      <c r="G715" s="151"/>
      <c r="H715" s="151"/>
      <c r="I715" s="151"/>
      <c r="J715" s="152">
        <v>42635.713518518518</v>
      </c>
      <c r="K715" s="151"/>
      <c r="L715" s="151" t="s">
        <v>24</v>
      </c>
      <c r="M715" s="152">
        <v>42635.445474537039</v>
      </c>
      <c r="N715" s="151" t="s">
        <v>1880</v>
      </c>
      <c r="O715" s="151"/>
      <c r="P715" s="151"/>
      <c r="Q715" s="7" t="str">
        <f>IF(ISBLANK(patch[[#This Row],[OwnerEmail]]),Q714,patch[[#This Row],[OwnerEmail]])</f>
        <v>lipingx.xu@intel.com</v>
      </c>
      <c r="R715" s="7" t="str">
        <f>_xlfn.IFNA(VLOOKUP(patch[[#This Row],[tmp-owner.email]],OrgTree!$A:$K, 11, 0), "not ICG SWFW")</f>
        <v>BJ And dev</v>
      </c>
      <c r="S715" s="7" t="str">
        <f>IF(patch[[#This Row],[reviewer]]=patch[[#This Row],[tmp-owner.email]], "author", _xlfn.IFNA(VLOOKUP(patch[[#This Row],[reviewer]],OrgTree!$A:$K, 11, 0), "not ICG SWFW"))</f>
        <v>BJ And dev</v>
      </c>
      <c r="T715" s="7" t="str">
        <f>IF(ISBLANK(patch[[#This Row],[mergeDate]]), "", MID(YEAR(patch[[#This Row],[mergeDate]]), 3,2)&amp;"'ww"&amp;WEEKNUM(patch[[#This Row],[mergeDate]]))</f>
        <v>16'ww39</v>
      </c>
      <c r="U715" s="7" t="str">
        <f>IF(ISBLANK(patch[[#This Row],[mergeDate]]), U714, MID(YEAR(patch[[#This Row],[mergeDate]]), 3,2)&amp;"'m"&amp;MONTH(patch[[#This Row],[mergeDate]]))</f>
        <v>16'm9</v>
      </c>
      <c r="V715" s="7" t="str">
        <f>IF(ISBLANK(patch[[#This Row],[project]]), "",SUM(patch[[#This Row],[BJ -1 num]:[SH -1 num]]))</f>
        <v/>
      </c>
      <c r="W715" s="7" t="str">
        <f>IF(ISBLANK(patch[[#This Row],[project]]), "",COUNTIFS($A:$A,patch[[#This Row],[number]],$S:$S, "BJ And dev",$AC:$AC, "Review-1"))</f>
        <v/>
      </c>
      <c r="X715" s="7" t="str">
        <f>IF(ISBLANK(patch[[#This Row],[project]]), "",COUNTIFS($A:$A,patch[[#This Row],[number]],$S:$S, "FL And dev",$AC:$AC, "Review-1"))</f>
        <v/>
      </c>
      <c r="Y715" s="7" t="str">
        <f>IF(ISBLANK(patch[[#This Row],[project]]), "",COUNTIFS($A:$A,patch[[#This Row],[number]],$S:$S, "SH And dev",$AC:$AC, "Review-1"))</f>
        <v/>
      </c>
      <c r="Z715" s="7" t="str">
        <f>IF(ISBLANK(patch[[#This Row],[project]]), "",COUNTIFS($A:$A,patch[[#This Row],[number]],$S:$S, "BJ And dev",$AD:$AD, "&lt;&gt;IntegratorValidationComment"))</f>
        <v/>
      </c>
      <c r="AA715" s="7" t="str">
        <f>IF(ISBLANK(patch[[#This Row],[project]]), "",COUNTIFS($A:$A,patch[[#This Row],[number]],$S:$S, "FL And dev",$AD:$AD, "&lt;&gt;IntegratorValidationComment"))</f>
        <v/>
      </c>
      <c r="AB715" s="7" t="str">
        <f>IF(ISBLANK(patch[[#This Row],[project]]), "",COUNTIFS($A:$A,patch[[#This Row],[number]],$S:$S, "SH And dev",$AD:$AD, "&lt;&gt;IntegratorValidationComment"))</f>
        <v/>
      </c>
      <c r="AC715" s="7" t="str">
        <f>IF(OR(ISNUMBER(FIND("Review-1", patch[[#This Row],[comments]])), ISNUMBER(FIND("Approver-1", patch[[#This Row],[comments]]))), "Review-1", "")</f>
        <v/>
      </c>
      <c r="AD7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15" s="7">
        <f>IF(ISBLANK(patch[[#This Row],[number]]),AE714,patch[[#This Row],[ifCommon]])</f>
        <v>0</v>
      </c>
    </row>
    <row r="716" spans="1:31">
      <c r="A716" s="151">
        <v>147285</v>
      </c>
      <c r="B716" s="151"/>
      <c r="C716" s="151"/>
      <c r="D716" s="151"/>
      <c r="E716" s="151"/>
      <c r="F716" s="151"/>
      <c r="G716" s="151"/>
      <c r="H716" s="151"/>
      <c r="I716" s="151"/>
      <c r="J716" s="152">
        <v>42635.713518518518</v>
      </c>
      <c r="K716" s="151"/>
      <c r="L716" s="151" t="s">
        <v>115</v>
      </c>
      <c r="M716" s="152">
        <v>42635.547407407408</v>
      </c>
      <c r="N716" s="151" t="s">
        <v>2494</v>
      </c>
      <c r="O716" s="151"/>
      <c r="P716" s="151"/>
      <c r="Q716" s="7" t="str">
        <f>IF(ISBLANK(patch[[#This Row],[OwnerEmail]]),Q715,patch[[#This Row],[OwnerEmail]])</f>
        <v>lipingx.xu@intel.com</v>
      </c>
      <c r="R716" s="7" t="str">
        <f>_xlfn.IFNA(VLOOKUP(patch[[#This Row],[tmp-owner.email]],OrgTree!$A:$K, 11, 0), "not ICG SWFW")</f>
        <v>BJ And dev</v>
      </c>
      <c r="S716" s="7" t="str">
        <f>IF(patch[[#This Row],[reviewer]]=patch[[#This Row],[tmp-owner.email]], "author", _xlfn.IFNA(VLOOKUP(patch[[#This Row],[reviewer]],OrgTree!$A:$K, 11, 0), "not ICG SWFW"))</f>
        <v>Val</v>
      </c>
      <c r="T716" s="7" t="str">
        <f>IF(ISBLANK(patch[[#This Row],[mergeDate]]), "", MID(YEAR(patch[[#This Row],[mergeDate]]), 3,2)&amp;"'ww"&amp;WEEKNUM(patch[[#This Row],[mergeDate]]))</f>
        <v>16'ww39</v>
      </c>
      <c r="U716" s="7" t="str">
        <f>IF(ISBLANK(patch[[#This Row],[mergeDate]]), U715, MID(YEAR(patch[[#This Row],[mergeDate]]), 3,2)&amp;"'m"&amp;MONTH(patch[[#This Row],[mergeDate]]))</f>
        <v>16'm9</v>
      </c>
      <c r="V716" s="7" t="str">
        <f>IF(ISBLANK(patch[[#This Row],[project]]), "",SUM(patch[[#This Row],[BJ -1 num]:[SH -1 num]]))</f>
        <v/>
      </c>
      <c r="W716" s="7" t="str">
        <f>IF(ISBLANK(patch[[#This Row],[project]]), "",COUNTIFS($A:$A,patch[[#This Row],[number]],$S:$S, "BJ And dev",$AC:$AC, "Review-1"))</f>
        <v/>
      </c>
      <c r="X716" s="7" t="str">
        <f>IF(ISBLANK(patch[[#This Row],[project]]), "",COUNTIFS($A:$A,patch[[#This Row],[number]],$S:$S, "FL And dev",$AC:$AC, "Review-1"))</f>
        <v/>
      </c>
      <c r="Y716" s="7" t="str">
        <f>IF(ISBLANK(patch[[#This Row],[project]]), "",COUNTIFS($A:$A,patch[[#This Row],[number]],$S:$S, "SH And dev",$AC:$AC, "Review-1"))</f>
        <v/>
      </c>
      <c r="Z716" s="7" t="str">
        <f>IF(ISBLANK(patch[[#This Row],[project]]), "",COUNTIFS($A:$A,patch[[#This Row],[number]],$S:$S, "BJ And dev",$AD:$AD, "&lt;&gt;IntegratorValidationComment"))</f>
        <v/>
      </c>
      <c r="AA716" s="7" t="str">
        <f>IF(ISBLANK(patch[[#This Row],[project]]), "",COUNTIFS($A:$A,patch[[#This Row],[number]],$S:$S, "FL And dev",$AD:$AD, "&lt;&gt;IntegratorValidationComment"))</f>
        <v/>
      </c>
      <c r="AB716" s="7" t="str">
        <f>IF(ISBLANK(patch[[#This Row],[project]]), "",COUNTIFS($A:$A,patch[[#This Row],[number]],$S:$S, "SH And dev",$AD:$AD, "&lt;&gt;IntegratorValidationComment"))</f>
        <v/>
      </c>
      <c r="AC716" s="7" t="str">
        <f>IF(OR(ISNUMBER(FIND("Review-1", patch[[#This Row],[comments]])), ISNUMBER(FIND("Approver-1", patch[[#This Row],[comments]]))), "Review-1", "")</f>
        <v/>
      </c>
      <c r="AD7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716" s="7">
        <f>IF(ISBLANK(patch[[#This Row],[number]]),AE715,patch[[#This Row],[ifCommon]])</f>
        <v>0</v>
      </c>
    </row>
    <row r="717" spans="1:31">
      <c r="A717" s="151">
        <v>147284</v>
      </c>
      <c r="B717" s="151" t="s">
        <v>2490</v>
      </c>
      <c r="C717" s="151" t="s">
        <v>2795</v>
      </c>
      <c r="D717" s="151" t="s">
        <v>2973</v>
      </c>
      <c r="E717" s="151" t="s">
        <v>677</v>
      </c>
      <c r="F717" s="151" t="s">
        <v>23</v>
      </c>
      <c r="G717" s="151" t="s">
        <v>2974</v>
      </c>
      <c r="H717" s="151" t="s">
        <v>2975</v>
      </c>
      <c r="I717" s="152">
        <v>42635.406354166669</v>
      </c>
      <c r="J717" s="152">
        <v>42635.713483796288</v>
      </c>
      <c r="K717" s="151" t="s">
        <v>2445</v>
      </c>
      <c r="L717" s="151" t="s">
        <v>677</v>
      </c>
      <c r="M717" s="152">
        <v>42635.406354166669</v>
      </c>
      <c r="N717" s="151" t="s">
        <v>25</v>
      </c>
      <c r="O717" s="151"/>
      <c r="P717" s="151" t="s">
        <v>2498</v>
      </c>
      <c r="Q717" s="7" t="str">
        <f>IF(ISBLANK(patch[[#This Row],[OwnerEmail]]),Q716,patch[[#This Row],[OwnerEmail]])</f>
        <v>lipingx.xu@intel.com</v>
      </c>
      <c r="R717" s="7" t="str">
        <f>_xlfn.IFNA(VLOOKUP(patch[[#This Row],[tmp-owner.email]],OrgTree!$A:$K, 11, 0), "not ICG SWFW")</f>
        <v>BJ And dev</v>
      </c>
      <c r="S717" s="7" t="str">
        <f>IF(patch[[#This Row],[reviewer]]=patch[[#This Row],[tmp-owner.email]], "author", _xlfn.IFNA(VLOOKUP(patch[[#This Row],[reviewer]],OrgTree!$A:$K, 11, 0), "not ICG SWFW"))</f>
        <v>author</v>
      </c>
      <c r="T717" s="7" t="str">
        <f>IF(ISBLANK(patch[[#This Row],[mergeDate]]), "", MID(YEAR(patch[[#This Row],[mergeDate]]), 3,2)&amp;"'ww"&amp;WEEKNUM(patch[[#This Row],[mergeDate]]))</f>
        <v>16'ww39</v>
      </c>
      <c r="U717" s="7" t="str">
        <f>IF(ISBLANK(patch[[#This Row],[mergeDate]]), U716, MID(YEAR(patch[[#This Row],[mergeDate]]), 3,2)&amp;"'m"&amp;MONTH(patch[[#This Row],[mergeDate]]))</f>
        <v>16'm9</v>
      </c>
      <c r="V717" s="7">
        <f>IF(ISBLANK(patch[[#This Row],[project]]), "",SUM(patch[[#This Row],[BJ -1 num]:[SH -1 num]]))</f>
        <v>0</v>
      </c>
      <c r="W717" s="7">
        <f>IF(ISBLANK(patch[[#This Row],[project]]), "",COUNTIFS($A:$A,patch[[#This Row],[number]],$S:$S, "BJ And dev",$AC:$AC, "Review-1"))</f>
        <v>0</v>
      </c>
      <c r="X717" s="7">
        <f>IF(ISBLANK(patch[[#This Row],[project]]), "",COUNTIFS($A:$A,patch[[#This Row],[number]],$S:$S, "FL And dev",$AC:$AC, "Review-1"))</f>
        <v>0</v>
      </c>
      <c r="Y717" s="7">
        <f>IF(ISBLANK(patch[[#This Row],[project]]), "",COUNTIFS($A:$A,patch[[#This Row],[number]],$S:$S, "SH And dev",$AC:$AC, "Review-1"))</f>
        <v>0</v>
      </c>
      <c r="Z717" s="7">
        <f>IF(ISBLANK(patch[[#This Row],[project]]), "",COUNTIFS($A:$A,patch[[#This Row],[number]],$S:$S, "BJ And dev",$AD:$AD, "&lt;&gt;IntegratorValidationComment"))</f>
        <v>3</v>
      </c>
      <c r="AA717" s="7">
        <f>IF(ISBLANK(patch[[#This Row],[project]]), "",COUNTIFS($A:$A,patch[[#This Row],[number]],$S:$S, "FL And dev",$AD:$AD, "&lt;&gt;IntegratorValidationComment"))</f>
        <v>0</v>
      </c>
      <c r="AB717" s="7">
        <f>IF(ISBLANK(patch[[#This Row],[project]]), "",COUNTIFS($A:$A,patch[[#This Row],[number]],$S:$S, "SH And dev",$AD:$AD, "&lt;&gt;IntegratorValidationComment"))</f>
        <v>0</v>
      </c>
      <c r="AC717" s="7" t="str">
        <f>IF(OR(ISNUMBER(FIND("Review-1", patch[[#This Row],[comments]])), ISNUMBER(FIND("Approver-1", patch[[#This Row],[comments]]))), "Review-1", "")</f>
        <v/>
      </c>
      <c r="AD7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17" s="7" t="str">
        <f>IF(ISBLANK(patch[[#This Row],[number]]),AE716,patch[[#This Row],[ifCommon]])</f>
        <v>not AndrHAL</v>
      </c>
    </row>
    <row r="718" spans="1:31">
      <c r="A718" s="151">
        <v>147284</v>
      </c>
      <c r="B718" s="151"/>
      <c r="C718" s="151"/>
      <c r="D718" s="151"/>
      <c r="E718" s="151"/>
      <c r="F718" s="151"/>
      <c r="G718" s="151"/>
      <c r="H718" s="151"/>
      <c r="I718" s="151"/>
      <c r="J718" s="152">
        <v>42635.713483796288</v>
      </c>
      <c r="K718" s="151"/>
      <c r="L718" s="151" t="s">
        <v>677</v>
      </c>
      <c r="M718" s="152">
        <v>42635.406365740739</v>
      </c>
      <c r="N718" s="151" t="s">
        <v>2428</v>
      </c>
      <c r="O718" s="151"/>
      <c r="P718" s="151"/>
      <c r="Q718" s="7" t="str">
        <f>IF(ISBLANK(patch[[#This Row],[OwnerEmail]]),Q717,patch[[#This Row],[OwnerEmail]])</f>
        <v>lipingx.xu@intel.com</v>
      </c>
      <c r="R718" s="7" t="str">
        <f>_xlfn.IFNA(VLOOKUP(patch[[#This Row],[tmp-owner.email]],OrgTree!$A:$K, 11, 0), "not ICG SWFW")</f>
        <v>BJ And dev</v>
      </c>
      <c r="S718" s="7" t="str">
        <f>IF(patch[[#This Row],[reviewer]]=patch[[#This Row],[tmp-owner.email]], "author", _xlfn.IFNA(VLOOKUP(patch[[#This Row],[reviewer]],OrgTree!$A:$K, 11, 0), "not ICG SWFW"))</f>
        <v>author</v>
      </c>
      <c r="T718" s="7" t="str">
        <f>IF(ISBLANK(patch[[#This Row],[mergeDate]]), "", MID(YEAR(patch[[#This Row],[mergeDate]]), 3,2)&amp;"'ww"&amp;WEEKNUM(patch[[#This Row],[mergeDate]]))</f>
        <v>16'ww39</v>
      </c>
      <c r="U718" s="7" t="str">
        <f>IF(ISBLANK(patch[[#This Row],[mergeDate]]), U717, MID(YEAR(patch[[#This Row],[mergeDate]]), 3,2)&amp;"'m"&amp;MONTH(patch[[#This Row],[mergeDate]]))</f>
        <v>16'm9</v>
      </c>
      <c r="V718" s="7" t="str">
        <f>IF(ISBLANK(patch[[#This Row],[project]]), "",SUM(patch[[#This Row],[BJ -1 num]:[SH -1 num]]))</f>
        <v/>
      </c>
      <c r="W718" s="7" t="str">
        <f>IF(ISBLANK(patch[[#This Row],[project]]), "",COUNTIFS($A:$A,patch[[#This Row],[number]],$S:$S, "BJ And dev",$AC:$AC, "Review-1"))</f>
        <v/>
      </c>
      <c r="X718" s="7" t="str">
        <f>IF(ISBLANK(patch[[#This Row],[project]]), "",COUNTIFS($A:$A,patch[[#This Row],[number]],$S:$S, "FL And dev",$AC:$AC, "Review-1"))</f>
        <v/>
      </c>
      <c r="Y718" s="7" t="str">
        <f>IF(ISBLANK(patch[[#This Row],[project]]), "",COUNTIFS($A:$A,patch[[#This Row],[number]],$S:$S, "SH And dev",$AC:$AC, "Review-1"))</f>
        <v/>
      </c>
      <c r="Z718" s="7" t="str">
        <f>IF(ISBLANK(patch[[#This Row],[project]]), "",COUNTIFS($A:$A,patch[[#This Row],[number]],$S:$S, "BJ And dev",$AD:$AD, "&lt;&gt;IntegratorValidationComment"))</f>
        <v/>
      </c>
      <c r="AA718" s="7" t="str">
        <f>IF(ISBLANK(patch[[#This Row],[project]]), "",COUNTIFS($A:$A,patch[[#This Row],[number]],$S:$S, "FL And dev",$AD:$AD, "&lt;&gt;IntegratorValidationComment"))</f>
        <v/>
      </c>
      <c r="AB718" s="7" t="str">
        <f>IF(ISBLANK(patch[[#This Row],[project]]), "",COUNTIFS($A:$A,patch[[#This Row],[number]],$S:$S, "SH And dev",$AD:$AD, "&lt;&gt;IntegratorValidationComment"))</f>
        <v/>
      </c>
      <c r="AC718" s="7" t="str">
        <f>IF(OR(ISNUMBER(FIND("Review-1", patch[[#This Row],[comments]])), ISNUMBER(FIND("Approver-1", patch[[#This Row],[comments]]))), "Review-1", "")</f>
        <v/>
      </c>
      <c r="AD7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18" s="7">
        <f>IF(ISBLANK(patch[[#This Row],[number]]),AE717,patch[[#This Row],[ifCommon]])</f>
        <v>0</v>
      </c>
    </row>
    <row r="719" spans="1:31">
      <c r="A719" s="151">
        <v>147284</v>
      </c>
      <c r="B719" s="151"/>
      <c r="C719" s="151"/>
      <c r="D719" s="151"/>
      <c r="E719" s="151"/>
      <c r="F719" s="151"/>
      <c r="G719" s="151"/>
      <c r="H719" s="151"/>
      <c r="I719" s="151"/>
      <c r="J719" s="152">
        <v>42635.713483796288</v>
      </c>
      <c r="K719" s="151"/>
      <c r="L719" s="151" t="s">
        <v>677</v>
      </c>
      <c r="M719" s="152">
        <v>42635.407210648147</v>
      </c>
      <c r="N719" s="151" t="s">
        <v>40</v>
      </c>
      <c r="O719" s="151"/>
      <c r="P719" s="151"/>
      <c r="Q719" s="7" t="str">
        <f>IF(ISBLANK(patch[[#This Row],[OwnerEmail]]),Q718,patch[[#This Row],[OwnerEmail]])</f>
        <v>lipingx.xu@intel.com</v>
      </c>
      <c r="R719" s="7" t="str">
        <f>_xlfn.IFNA(VLOOKUP(patch[[#This Row],[tmp-owner.email]],OrgTree!$A:$K, 11, 0), "not ICG SWFW")</f>
        <v>BJ And dev</v>
      </c>
      <c r="S719" s="7" t="str">
        <f>IF(patch[[#This Row],[reviewer]]=patch[[#This Row],[tmp-owner.email]], "author", _xlfn.IFNA(VLOOKUP(patch[[#This Row],[reviewer]],OrgTree!$A:$K, 11, 0), "not ICG SWFW"))</f>
        <v>author</v>
      </c>
      <c r="T719" s="7" t="str">
        <f>IF(ISBLANK(patch[[#This Row],[mergeDate]]), "", MID(YEAR(patch[[#This Row],[mergeDate]]), 3,2)&amp;"'ww"&amp;WEEKNUM(patch[[#This Row],[mergeDate]]))</f>
        <v>16'ww39</v>
      </c>
      <c r="U719" s="7" t="str">
        <f>IF(ISBLANK(patch[[#This Row],[mergeDate]]), U718, MID(YEAR(patch[[#This Row],[mergeDate]]), 3,2)&amp;"'m"&amp;MONTH(patch[[#This Row],[mergeDate]]))</f>
        <v>16'm9</v>
      </c>
      <c r="V719" s="7" t="str">
        <f>IF(ISBLANK(patch[[#This Row],[project]]), "",SUM(patch[[#This Row],[BJ -1 num]:[SH -1 num]]))</f>
        <v/>
      </c>
      <c r="W719" s="7" t="str">
        <f>IF(ISBLANK(patch[[#This Row],[project]]), "",COUNTIFS($A:$A,patch[[#This Row],[number]],$S:$S, "BJ And dev",$AC:$AC, "Review-1"))</f>
        <v/>
      </c>
      <c r="X719" s="7" t="str">
        <f>IF(ISBLANK(patch[[#This Row],[project]]), "",COUNTIFS($A:$A,patch[[#This Row],[number]],$S:$S, "FL And dev",$AC:$AC, "Review-1"))</f>
        <v/>
      </c>
      <c r="Y719" s="7" t="str">
        <f>IF(ISBLANK(patch[[#This Row],[project]]), "",COUNTIFS($A:$A,patch[[#This Row],[number]],$S:$S, "SH And dev",$AC:$AC, "Review-1"))</f>
        <v/>
      </c>
      <c r="Z719" s="7" t="str">
        <f>IF(ISBLANK(patch[[#This Row],[project]]), "",COUNTIFS($A:$A,patch[[#This Row],[number]],$S:$S, "BJ And dev",$AD:$AD, "&lt;&gt;IntegratorValidationComment"))</f>
        <v/>
      </c>
      <c r="AA719" s="7" t="str">
        <f>IF(ISBLANK(patch[[#This Row],[project]]), "",COUNTIFS($A:$A,patch[[#This Row],[number]],$S:$S, "FL And dev",$AD:$AD, "&lt;&gt;IntegratorValidationComment"))</f>
        <v/>
      </c>
      <c r="AB719" s="7" t="str">
        <f>IF(ISBLANK(patch[[#This Row],[project]]), "",COUNTIFS($A:$A,patch[[#This Row],[number]],$S:$S, "SH And dev",$AD:$AD, "&lt;&gt;IntegratorValidationComment"))</f>
        <v/>
      </c>
      <c r="AC719" s="7" t="str">
        <f>IF(OR(ISNUMBER(FIND("Review-1", patch[[#This Row],[comments]])), ISNUMBER(FIND("Approver-1", patch[[#This Row],[comments]]))), "Review-1", "")</f>
        <v/>
      </c>
      <c r="AD7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19" s="7">
        <f>IF(ISBLANK(patch[[#This Row],[number]]),AE718,patch[[#This Row],[ifCommon]])</f>
        <v>0</v>
      </c>
    </row>
    <row r="720" spans="1:31">
      <c r="A720" s="151">
        <v>147284</v>
      </c>
      <c r="B720" s="151"/>
      <c r="C720" s="151"/>
      <c r="D720" s="151"/>
      <c r="E720" s="151"/>
      <c r="F720" s="151"/>
      <c r="G720" s="151"/>
      <c r="H720" s="151"/>
      <c r="I720" s="151"/>
      <c r="J720" s="152">
        <v>42635.713483796288</v>
      </c>
      <c r="K720" s="151"/>
      <c r="L720" s="151" t="s">
        <v>59</v>
      </c>
      <c r="M720" s="152">
        <v>42635.416238425933</v>
      </c>
      <c r="N720" s="151" t="s">
        <v>2976</v>
      </c>
      <c r="O720" s="151"/>
      <c r="P720" s="151"/>
      <c r="Q720" s="7" t="str">
        <f>IF(ISBLANK(patch[[#This Row],[OwnerEmail]]),Q719,patch[[#This Row],[OwnerEmail]])</f>
        <v>lipingx.xu@intel.com</v>
      </c>
      <c r="R720" s="7" t="str">
        <f>_xlfn.IFNA(VLOOKUP(patch[[#This Row],[tmp-owner.email]],OrgTree!$A:$K, 11, 0), "not ICG SWFW")</f>
        <v>BJ And dev</v>
      </c>
      <c r="S720" s="7" t="str">
        <f>IF(patch[[#This Row],[reviewer]]=patch[[#This Row],[tmp-owner.email]], "author", _xlfn.IFNA(VLOOKUP(patch[[#This Row],[reviewer]],OrgTree!$A:$K, 11, 0), "not ICG SWFW"))</f>
        <v>BJ And dev</v>
      </c>
      <c r="T720" s="7" t="str">
        <f>IF(ISBLANK(patch[[#This Row],[mergeDate]]), "", MID(YEAR(patch[[#This Row],[mergeDate]]), 3,2)&amp;"'ww"&amp;WEEKNUM(patch[[#This Row],[mergeDate]]))</f>
        <v>16'ww39</v>
      </c>
      <c r="U720" s="7" t="str">
        <f>IF(ISBLANK(patch[[#This Row],[mergeDate]]), U719, MID(YEAR(patch[[#This Row],[mergeDate]]), 3,2)&amp;"'m"&amp;MONTH(patch[[#This Row],[mergeDate]]))</f>
        <v>16'm9</v>
      </c>
      <c r="V720" s="7" t="str">
        <f>IF(ISBLANK(patch[[#This Row],[project]]), "",SUM(patch[[#This Row],[BJ -1 num]:[SH -1 num]]))</f>
        <v/>
      </c>
      <c r="W720" s="7" t="str">
        <f>IF(ISBLANK(patch[[#This Row],[project]]), "",COUNTIFS($A:$A,patch[[#This Row],[number]],$S:$S, "BJ And dev",$AC:$AC, "Review-1"))</f>
        <v/>
      </c>
      <c r="X720" s="7" t="str">
        <f>IF(ISBLANK(patch[[#This Row],[project]]), "",COUNTIFS($A:$A,patch[[#This Row],[number]],$S:$S, "FL And dev",$AC:$AC, "Review-1"))</f>
        <v/>
      </c>
      <c r="Y720" s="7" t="str">
        <f>IF(ISBLANK(patch[[#This Row],[project]]), "",COUNTIFS($A:$A,patch[[#This Row],[number]],$S:$S, "SH And dev",$AC:$AC, "Review-1"))</f>
        <v/>
      </c>
      <c r="Z720" s="7" t="str">
        <f>IF(ISBLANK(patch[[#This Row],[project]]), "",COUNTIFS($A:$A,patch[[#This Row],[number]],$S:$S, "BJ And dev",$AD:$AD, "&lt;&gt;IntegratorValidationComment"))</f>
        <v/>
      </c>
      <c r="AA720" s="7" t="str">
        <f>IF(ISBLANK(patch[[#This Row],[project]]), "",COUNTIFS($A:$A,patch[[#This Row],[number]],$S:$S, "FL And dev",$AD:$AD, "&lt;&gt;IntegratorValidationComment"))</f>
        <v/>
      </c>
      <c r="AB720" s="7" t="str">
        <f>IF(ISBLANK(patch[[#This Row],[project]]), "",COUNTIFS($A:$A,patch[[#This Row],[number]],$S:$S, "SH And dev",$AD:$AD, "&lt;&gt;IntegratorValidationComment"))</f>
        <v/>
      </c>
      <c r="AC720" s="7" t="str">
        <f>IF(OR(ISNUMBER(FIND("Review-1", patch[[#This Row],[comments]])), ISNUMBER(FIND("Approver-1", patch[[#This Row],[comments]]))), "Review-1", "")</f>
        <v/>
      </c>
      <c r="AD7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20" s="7">
        <f>IF(ISBLANK(patch[[#This Row],[number]]),AE719,patch[[#This Row],[ifCommon]])</f>
        <v>0</v>
      </c>
    </row>
    <row r="721" spans="1:31">
      <c r="A721" s="151">
        <v>147284</v>
      </c>
      <c r="B721" s="151"/>
      <c r="C721" s="151"/>
      <c r="D721" s="151"/>
      <c r="E721" s="151"/>
      <c r="F721" s="151"/>
      <c r="G721" s="151"/>
      <c r="H721" s="151"/>
      <c r="I721" s="151"/>
      <c r="J721" s="152">
        <v>42635.713483796288</v>
      </c>
      <c r="K721" s="151"/>
      <c r="L721" s="151" t="s">
        <v>59</v>
      </c>
      <c r="M721" s="152">
        <v>42635.426805555559</v>
      </c>
      <c r="N721" s="151" t="s">
        <v>2977</v>
      </c>
      <c r="O721" s="151"/>
      <c r="P721" s="151"/>
      <c r="Q721" s="7" t="str">
        <f>IF(ISBLANK(patch[[#This Row],[OwnerEmail]]),Q720,patch[[#This Row],[OwnerEmail]])</f>
        <v>lipingx.xu@intel.com</v>
      </c>
      <c r="R721" s="7" t="str">
        <f>_xlfn.IFNA(VLOOKUP(patch[[#This Row],[tmp-owner.email]],OrgTree!$A:$K, 11, 0), "not ICG SWFW")</f>
        <v>BJ And dev</v>
      </c>
      <c r="S721" s="7" t="str">
        <f>IF(patch[[#This Row],[reviewer]]=patch[[#This Row],[tmp-owner.email]], "author", _xlfn.IFNA(VLOOKUP(patch[[#This Row],[reviewer]],OrgTree!$A:$K, 11, 0), "not ICG SWFW"))</f>
        <v>BJ And dev</v>
      </c>
      <c r="T721" s="7" t="str">
        <f>IF(ISBLANK(patch[[#This Row],[mergeDate]]), "", MID(YEAR(patch[[#This Row],[mergeDate]]), 3,2)&amp;"'ww"&amp;WEEKNUM(patch[[#This Row],[mergeDate]]))</f>
        <v>16'ww39</v>
      </c>
      <c r="U721" s="7" t="str">
        <f>IF(ISBLANK(patch[[#This Row],[mergeDate]]), U720, MID(YEAR(patch[[#This Row],[mergeDate]]), 3,2)&amp;"'m"&amp;MONTH(patch[[#This Row],[mergeDate]]))</f>
        <v>16'm9</v>
      </c>
      <c r="V721" s="7" t="str">
        <f>IF(ISBLANK(patch[[#This Row],[project]]), "",SUM(patch[[#This Row],[BJ -1 num]:[SH -1 num]]))</f>
        <v/>
      </c>
      <c r="W721" s="7" t="str">
        <f>IF(ISBLANK(patch[[#This Row],[project]]), "",COUNTIFS($A:$A,patch[[#This Row],[number]],$S:$S, "BJ And dev",$AC:$AC, "Review-1"))</f>
        <v/>
      </c>
      <c r="X721" s="7" t="str">
        <f>IF(ISBLANK(patch[[#This Row],[project]]), "",COUNTIFS($A:$A,patch[[#This Row],[number]],$S:$S, "FL And dev",$AC:$AC, "Review-1"))</f>
        <v/>
      </c>
      <c r="Y721" s="7" t="str">
        <f>IF(ISBLANK(patch[[#This Row],[project]]), "",COUNTIFS($A:$A,patch[[#This Row],[number]],$S:$S, "SH And dev",$AC:$AC, "Review-1"))</f>
        <v/>
      </c>
      <c r="Z721" s="7" t="str">
        <f>IF(ISBLANK(patch[[#This Row],[project]]), "",COUNTIFS($A:$A,patch[[#This Row],[number]],$S:$S, "BJ And dev",$AD:$AD, "&lt;&gt;IntegratorValidationComment"))</f>
        <v/>
      </c>
      <c r="AA721" s="7" t="str">
        <f>IF(ISBLANK(patch[[#This Row],[project]]), "",COUNTIFS($A:$A,patch[[#This Row],[number]],$S:$S, "FL And dev",$AD:$AD, "&lt;&gt;IntegratorValidationComment"))</f>
        <v/>
      </c>
      <c r="AB721" s="7" t="str">
        <f>IF(ISBLANK(patch[[#This Row],[project]]), "",COUNTIFS($A:$A,patch[[#This Row],[number]],$S:$S, "SH And dev",$AD:$AD, "&lt;&gt;IntegratorValidationComment"))</f>
        <v/>
      </c>
      <c r="AC721" s="7" t="str">
        <f>IF(OR(ISNUMBER(FIND("Review-1", patch[[#This Row],[comments]])), ISNUMBER(FIND("Approver-1", patch[[#This Row],[comments]]))), "Review-1", "")</f>
        <v/>
      </c>
      <c r="AD7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21" s="7">
        <f>IF(ISBLANK(patch[[#This Row],[number]]),AE720,patch[[#This Row],[ifCommon]])</f>
        <v>0</v>
      </c>
    </row>
    <row r="722" spans="1:31">
      <c r="A722" s="151">
        <v>147284</v>
      </c>
      <c r="B722" s="151"/>
      <c r="C722" s="151"/>
      <c r="D722" s="151"/>
      <c r="E722" s="151"/>
      <c r="F722" s="151"/>
      <c r="G722" s="151"/>
      <c r="H722" s="151"/>
      <c r="I722" s="151"/>
      <c r="J722" s="152">
        <v>42635.713483796288</v>
      </c>
      <c r="K722" s="151"/>
      <c r="L722" s="151" t="s">
        <v>24</v>
      </c>
      <c r="M722" s="152">
        <v>42635.445219907408</v>
      </c>
      <c r="N722" s="151" t="s">
        <v>1880</v>
      </c>
      <c r="O722" s="151"/>
      <c r="P722" s="151"/>
      <c r="Q722" s="7" t="str">
        <f>IF(ISBLANK(patch[[#This Row],[OwnerEmail]]),Q721,patch[[#This Row],[OwnerEmail]])</f>
        <v>lipingx.xu@intel.com</v>
      </c>
      <c r="R722" s="7" t="str">
        <f>_xlfn.IFNA(VLOOKUP(patch[[#This Row],[tmp-owner.email]],OrgTree!$A:$K, 11, 0), "not ICG SWFW")</f>
        <v>BJ And dev</v>
      </c>
      <c r="S722" s="7" t="str">
        <f>IF(patch[[#This Row],[reviewer]]=patch[[#This Row],[tmp-owner.email]], "author", _xlfn.IFNA(VLOOKUP(patch[[#This Row],[reviewer]],OrgTree!$A:$K, 11, 0), "not ICG SWFW"))</f>
        <v>BJ And dev</v>
      </c>
      <c r="T722" s="7" t="str">
        <f>IF(ISBLANK(patch[[#This Row],[mergeDate]]), "", MID(YEAR(patch[[#This Row],[mergeDate]]), 3,2)&amp;"'ww"&amp;WEEKNUM(patch[[#This Row],[mergeDate]]))</f>
        <v>16'ww39</v>
      </c>
      <c r="U722" s="7" t="str">
        <f>IF(ISBLANK(patch[[#This Row],[mergeDate]]), U721, MID(YEAR(patch[[#This Row],[mergeDate]]), 3,2)&amp;"'m"&amp;MONTH(patch[[#This Row],[mergeDate]]))</f>
        <v>16'm9</v>
      </c>
      <c r="V722" s="7" t="str">
        <f>IF(ISBLANK(patch[[#This Row],[project]]), "",SUM(patch[[#This Row],[BJ -1 num]:[SH -1 num]]))</f>
        <v/>
      </c>
      <c r="W722" s="7" t="str">
        <f>IF(ISBLANK(patch[[#This Row],[project]]), "",COUNTIFS($A:$A,patch[[#This Row],[number]],$S:$S, "BJ And dev",$AC:$AC, "Review-1"))</f>
        <v/>
      </c>
      <c r="X722" s="7" t="str">
        <f>IF(ISBLANK(patch[[#This Row],[project]]), "",COUNTIFS($A:$A,patch[[#This Row],[number]],$S:$S, "FL And dev",$AC:$AC, "Review-1"))</f>
        <v/>
      </c>
      <c r="Y722" s="7" t="str">
        <f>IF(ISBLANK(patch[[#This Row],[project]]), "",COUNTIFS($A:$A,patch[[#This Row],[number]],$S:$S, "SH And dev",$AC:$AC, "Review-1"))</f>
        <v/>
      </c>
      <c r="Z722" s="7" t="str">
        <f>IF(ISBLANK(patch[[#This Row],[project]]), "",COUNTIFS($A:$A,patch[[#This Row],[number]],$S:$S, "BJ And dev",$AD:$AD, "&lt;&gt;IntegratorValidationComment"))</f>
        <v/>
      </c>
      <c r="AA722" s="7" t="str">
        <f>IF(ISBLANK(patch[[#This Row],[project]]), "",COUNTIFS($A:$A,patch[[#This Row],[number]],$S:$S, "FL And dev",$AD:$AD, "&lt;&gt;IntegratorValidationComment"))</f>
        <v/>
      </c>
      <c r="AB722" s="7" t="str">
        <f>IF(ISBLANK(patch[[#This Row],[project]]), "",COUNTIFS($A:$A,patch[[#This Row],[number]],$S:$S, "SH And dev",$AD:$AD, "&lt;&gt;IntegratorValidationComment"))</f>
        <v/>
      </c>
      <c r="AC722" s="7" t="str">
        <f>IF(OR(ISNUMBER(FIND("Review-1", patch[[#This Row],[comments]])), ISNUMBER(FIND("Approver-1", patch[[#This Row],[comments]]))), "Review-1", "")</f>
        <v/>
      </c>
      <c r="AD7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22" s="7">
        <f>IF(ISBLANK(patch[[#This Row],[number]]),AE721,patch[[#This Row],[ifCommon]])</f>
        <v>0</v>
      </c>
    </row>
    <row r="723" spans="1:31">
      <c r="A723" s="151">
        <v>147284</v>
      </c>
      <c r="B723" s="151"/>
      <c r="C723" s="151"/>
      <c r="D723" s="151"/>
      <c r="E723" s="151"/>
      <c r="F723" s="151"/>
      <c r="G723" s="151"/>
      <c r="H723" s="151"/>
      <c r="I723" s="151"/>
      <c r="J723" s="152">
        <v>42635.713483796288</v>
      </c>
      <c r="K723" s="151"/>
      <c r="L723" s="151" t="s">
        <v>115</v>
      </c>
      <c r="M723" s="152">
        <v>42635.547337962962</v>
      </c>
      <c r="N723" s="151" t="s">
        <v>2494</v>
      </c>
      <c r="O723" s="151"/>
      <c r="P723" s="151"/>
      <c r="Q723" s="7" t="str">
        <f>IF(ISBLANK(patch[[#This Row],[OwnerEmail]]),Q722,patch[[#This Row],[OwnerEmail]])</f>
        <v>lipingx.xu@intel.com</v>
      </c>
      <c r="R723" s="7" t="str">
        <f>_xlfn.IFNA(VLOOKUP(patch[[#This Row],[tmp-owner.email]],OrgTree!$A:$K, 11, 0), "not ICG SWFW")</f>
        <v>BJ And dev</v>
      </c>
      <c r="S723" s="7" t="str">
        <f>IF(patch[[#This Row],[reviewer]]=patch[[#This Row],[tmp-owner.email]], "author", _xlfn.IFNA(VLOOKUP(patch[[#This Row],[reviewer]],OrgTree!$A:$K, 11, 0), "not ICG SWFW"))</f>
        <v>Val</v>
      </c>
      <c r="T723" s="7" t="str">
        <f>IF(ISBLANK(patch[[#This Row],[mergeDate]]), "", MID(YEAR(patch[[#This Row],[mergeDate]]), 3,2)&amp;"'ww"&amp;WEEKNUM(patch[[#This Row],[mergeDate]]))</f>
        <v>16'ww39</v>
      </c>
      <c r="U723" s="7" t="str">
        <f>IF(ISBLANK(patch[[#This Row],[mergeDate]]), U722, MID(YEAR(patch[[#This Row],[mergeDate]]), 3,2)&amp;"'m"&amp;MONTH(patch[[#This Row],[mergeDate]]))</f>
        <v>16'm9</v>
      </c>
      <c r="V723" s="7" t="str">
        <f>IF(ISBLANK(patch[[#This Row],[project]]), "",SUM(patch[[#This Row],[BJ -1 num]:[SH -1 num]]))</f>
        <v/>
      </c>
      <c r="W723" s="7" t="str">
        <f>IF(ISBLANK(patch[[#This Row],[project]]), "",COUNTIFS($A:$A,patch[[#This Row],[number]],$S:$S, "BJ And dev",$AC:$AC, "Review-1"))</f>
        <v/>
      </c>
      <c r="X723" s="7" t="str">
        <f>IF(ISBLANK(patch[[#This Row],[project]]), "",COUNTIFS($A:$A,patch[[#This Row],[number]],$S:$S, "FL And dev",$AC:$AC, "Review-1"))</f>
        <v/>
      </c>
      <c r="Y723" s="7" t="str">
        <f>IF(ISBLANK(patch[[#This Row],[project]]), "",COUNTIFS($A:$A,patch[[#This Row],[number]],$S:$S, "SH And dev",$AC:$AC, "Review-1"))</f>
        <v/>
      </c>
      <c r="Z723" s="7" t="str">
        <f>IF(ISBLANK(patch[[#This Row],[project]]), "",COUNTIFS($A:$A,patch[[#This Row],[number]],$S:$S, "BJ And dev",$AD:$AD, "&lt;&gt;IntegratorValidationComment"))</f>
        <v/>
      </c>
      <c r="AA723" s="7" t="str">
        <f>IF(ISBLANK(patch[[#This Row],[project]]), "",COUNTIFS($A:$A,patch[[#This Row],[number]],$S:$S, "FL And dev",$AD:$AD, "&lt;&gt;IntegratorValidationComment"))</f>
        <v/>
      </c>
      <c r="AB723" s="7" t="str">
        <f>IF(ISBLANK(patch[[#This Row],[project]]), "",COUNTIFS($A:$A,patch[[#This Row],[number]],$S:$S, "SH And dev",$AD:$AD, "&lt;&gt;IntegratorValidationComment"))</f>
        <v/>
      </c>
      <c r="AC723" s="7" t="str">
        <f>IF(OR(ISNUMBER(FIND("Review-1", patch[[#This Row],[comments]])), ISNUMBER(FIND("Approver-1", patch[[#This Row],[comments]]))), "Review-1", "")</f>
        <v/>
      </c>
      <c r="AD7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723" s="7">
        <f>IF(ISBLANK(patch[[#This Row],[number]]),AE722,patch[[#This Row],[ifCommon]])</f>
        <v>0</v>
      </c>
    </row>
    <row r="724" spans="1:31">
      <c r="A724" s="151">
        <v>147291</v>
      </c>
      <c r="B724" s="151" t="s">
        <v>2493</v>
      </c>
      <c r="C724" s="151" t="s">
        <v>2795</v>
      </c>
      <c r="D724" s="151" t="s">
        <v>2978</v>
      </c>
      <c r="E724" s="151" t="s">
        <v>677</v>
      </c>
      <c r="F724" s="151" t="s">
        <v>23</v>
      </c>
      <c r="G724" s="151" t="s">
        <v>2979</v>
      </c>
      <c r="H724" s="151" t="s">
        <v>2980</v>
      </c>
      <c r="I724" s="152">
        <v>42635.406782407408</v>
      </c>
      <c r="J724" s="152">
        <v>42635.713136574072</v>
      </c>
      <c r="K724" s="151" t="s">
        <v>2445</v>
      </c>
      <c r="L724" s="151" t="s">
        <v>677</v>
      </c>
      <c r="M724" s="152">
        <v>42635.406782407408</v>
      </c>
      <c r="N724" s="151" t="s">
        <v>25</v>
      </c>
      <c r="O724" s="151"/>
      <c r="P724" s="151" t="s">
        <v>2498</v>
      </c>
      <c r="Q724" s="7" t="str">
        <f>IF(ISBLANK(patch[[#This Row],[OwnerEmail]]),Q723,patch[[#This Row],[OwnerEmail]])</f>
        <v>lipingx.xu@intel.com</v>
      </c>
      <c r="R724" s="7" t="str">
        <f>_xlfn.IFNA(VLOOKUP(patch[[#This Row],[tmp-owner.email]],OrgTree!$A:$K, 11, 0), "not ICG SWFW")</f>
        <v>BJ And dev</v>
      </c>
      <c r="S724" s="7" t="str">
        <f>IF(patch[[#This Row],[reviewer]]=patch[[#This Row],[tmp-owner.email]], "author", _xlfn.IFNA(VLOOKUP(patch[[#This Row],[reviewer]],OrgTree!$A:$K, 11, 0), "not ICG SWFW"))</f>
        <v>author</v>
      </c>
      <c r="T724" s="7" t="str">
        <f>IF(ISBLANK(patch[[#This Row],[mergeDate]]), "", MID(YEAR(patch[[#This Row],[mergeDate]]), 3,2)&amp;"'ww"&amp;WEEKNUM(patch[[#This Row],[mergeDate]]))</f>
        <v>16'ww39</v>
      </c>
      <c r="U724" s="7" t="str">
        <f>IF(ISBLANK(patch[[#This Row],[mergeDate]]), U723, MID(YEAR(patch[[#This Row],[mergeDate]]), 3,2)&amp;"'m"&amp;MONTH(patch[[#This Row],[mergeDate]]))</f>
        <v>16'm9</v>
      </c>
      <c r="V724" s="7">
        <f>IF(ISBLANK(patch[[#This Row],[project]]), "",SUM(patch[[#This Row],[BJ -1 num]:[SH -1 num]]))</f>
        <v>0</v>
      </c>
      <c r="W724" s="7">
        <f>IF(ISBLANK(patch[[#This Row],[project]]), "",COUNTIFS($A:$A,patch[[#This Row],[number]],$S:$S, "BJ And dev",$AC:$AC, "Review-1"))</f>
        <v>0</v>
      </c>
      <c r="X724" s="7">
        <f>IF(ISBLANK(patch[[#This Row],[project]]), "",COUNTIFS($A:$A,patch[[#This Row],[number]],$S:$S, "FL And dev",$AC:$AC, "Review-1"))</f>
        <v>0</v>
      </c>
      <c r="Y724" s="7">
        <f>IF(ISBLANK(patch[[#This Row],[project]]), "",COUNTIFS($A:$A,patch[[#This Row],[number]],$S:$S, "SH And dev",$AC:$AC, "Review-1"))</f>
        <v>0</v>
      </c>
      <c r="Z724" s="7">
        <f>IF(ISBLANK(patch[[#This Row],[project]]), "",COUNTIFS($A:$A,patch[[#This Row],[number]],$S:$S, "BJ And dev",$AD:$AD, "&lt;&gt;IntegratorValidationComment"))</f>
        <v>3</v>
      </c>
      <c r="AA724" s="7">
        <f>IF(ISBLANK(patch[[#This Row],[project]]), "",COUNTIFS($A:$A,patch[[#This Row],[number]],$S:$S, "FL And dev",$AD:$AD, "&lt;&gt;IntegratorValidationComment"))</f>
        <v>0</v>
      </c>
      <c r="AB724" s="7">
        <f>IF(ISBLANK(patch[[#This Row],[project]]), "",COUNTIFS($A:$A,patch[[#This Row],[number]],$S:$S, "SH And dev",$AD:$AD, "&lt;&gt;IntegratorValidationComment"))</f>
        <v>0</v>
      </c>
      <c r="AC724" s="7" t="str">
        <f>IF(OR(ISNUMBER(FIND("Review-1", patch[[#This Row],[comments]])), ISNUMBER(FIND("Approver-1", patch[[#This Row],[comments]]))), "Review-1", "")</f>
        <v/>
      </c>
      <c r="AD7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24" s="7" t="str">
        <f>IF(ISBLANK(patch[[#This Row],[number]]),AE723,patch[[#This Row],[ifCommon]])</f>
        <v>not AndrHAL</v>
      </c>
    </row>
    <row r="725" spans="1:31">
      <c r="A725" s="151">
        <v>147291</v>
      </c>
      <c r="B725" s="151"/>
      <c r="C725" s="151"/>
      <c r="D725" s="151"/>
      <c r="E725" s="151"/>
      <c r="F725" s="151"/>
      <c r="G725" s="151"/>
      <c r="H725" s="151"/>
      <c r="I725" s="151"/>
      <c r="J725" s="152">
        <v>42635.713136574072</v>
      </c>
      <c r="K725" s="151"/>
      <c r="L725" s="151" t="s">
        <v>677</v>
      </c>
      <c r="M725" s="152">
        <v>42635.406782407408</v>
      </c>
      <c r="N725" s="151" t="s">
        <v>2428</v>
      </c>
      <c r="O725" s="151"/>
      <c r="P725" s="151"/>
      <c r="Q725" s="7" t="str">
        <f>IF(ISBLANK(patch[[#This Row],[OwnerEmail]]),Q724,patch[[#This Row],[OwnerEmail]])</f>
        <v>lipingx.xu@intel.com</v>
      </c>
      <c r="R725" s="7" t="str">
        <f>_xlfn.IFNA(VLOOKUP(patch[[#This Row],[tmp-owner.email]],OrgTree!$A:$K, 11, 0), "not ICG SWFW")</f>
        <v>BJ And dev</v>
      </c>
      <c r="S725" s="7" t="str">
        <f>IF(patch[[#This Row],[reviewer]]=patch[[#This Row],[tmp-owner.email]], "author", _xlfn.IFNA(VLOOKUP(patch[[#This Row],[reviewer]],OrgTree!$A:$K, 11, 0), "not ICG SWFW"))</f>
        <v>author</v>
      </c>
      <c r="T725" s="7" t="str">
        <f>IF(ISBLANK(patch[[#This Row],[mergeDate]]), "", MID(YEAR(patch[[#This Row],[mergeDate]]), 3,2)&amp;"'ww"&amp;WEEKNUM(patch[[#This Row],[mergeDate]]))</f>
        <v>16'ww39</v>
      </c>
      <c r="U725" s="7" t="str">
        <f>IF(ISBLANK(patch[[#This Row],[mergeDate]]), U724, MID(YEAR(patch[[#This Row],[mergeDate]]), 3,2)&amp;"'m"&amp;MONTH(patch[[#This Row],[mergeDate]]))</f>
        <v>16'm9</v>
      </c>
      <c r="V725" s="7" t="str">
        <f>IF(ISBLANK(patch[[#This Row],[project]]), "",SUM(patch[[#This Row],[BJ -1 num]:[SH -1 num]]))</f>
        <v/>
      </c>
      <c r="W725" s="7" t="str">
        <f>IF(ISBLANK(patch[[#This Row],[project]]), "",COUNTIFS($A:$A,patch[[#This Row],[number]],$S:$S, "BJ And dev",$AC:$AC, "Review-1"))</f>
        <v/>
      </c>
      <c r="X725" s="7" t="str">
        <f>IF(ISBLANK(patch[[#This Row],[project]]), "",COUNTIFS($A:$A,patch[[#This Row],[number]],$S:$S, "FL And dev",$AC:$AC, "Review-1"))</f>
        <v/>
      </c>
      <c r="Y725" s="7" t="str">
        <f>IF(ISBLANK(patch[[#This Row],[project]]), "",COUNTIFS($A:$A,patch[[#This Row],[number]],$S:$S, "SH And dev",$AC:$AC, "Review-1"))</f>
        <v/>
      </c>
      <c r="Z725" s="7" t="str">
        <f>IF(ISBLANK(patch[[#This Row],[project]]), "",COUNTIFS($A:$A,patch[[#This Row],[number]],$S:$S, "BJ And dev",$AD:$AD, "&lt;&gt;IntegratorValidationComment"))</f>
        <v/>
      </c>
      <c r="AA725" s="7" t="str">
        <f>IF(ISBLANK(patch[[#This Row],[project]]), "",COUNTIFS($A:$A,patch[[#This Row],[number]],$S:$S, "FL And dev",$AD:$AD, "&lt;&gt;IntegratorValidationComment"))</f>
        <v/>
      </c>
      <c r="AB725" s="7" t="str">
        <f>IF(ISBLANK(patch[[#This Row],[project]]), "",COUNTIFS($A:$A,patch[[#This Row],[number]],$S:$S, "SH And dev",$AD:$AD, "&lt;&gt;IntegratorValidationComment"))</f>
        <v/>
      </c>
      <c r="AC725" s="7" t="str">
        <f>IF(OR(ISNUMBER(FIND("Review-1", patch[[#This Row],[comments]])), ISNUMBER(FIND("Approver-1", patch[[#This Row],[comments]]))), "Review-1", "")</f>
        <v/>
      </c>
      <c r="AD7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25" s="7">
        <f>IF(ISBLANK(patch[[#This Row],[number]]),AE724,patch[[#This Row],[ifCommon]])</f>
        <v>0</v>
      </c>
    </row>
    <row r="726" spans="1:31">
      <c r="A726" s="151">
        <v>147291</v>
      </c>
      <c r="B726" s="151"/>
      <c r="C726" s="151"/>
      <c r="D726" s="151"/>
      <c r="E726" s="151"/>
      <c r="F726" s="151"/>
      <c r="G726" s="151"/>
      <c r="H726" s="151"/>
      <c r="I726" s="151"/>
      <c r="J726" s="152">
        <v>42635.713136574072</v>
      </c>
      <c r="K726" s="151"/>
      <c r="L726" s="151" t="s">
        <v>677</v>
      </c>
      <c r="M726" s="152">
        <v>42635.408067129632</v>
      </c>
      <c r="N726" s="151" t="s">
        <v>40</v>
      </c>
      <c r="O726" s="151"/>
      <c r="P726" s="151"/>
      <c r="Q726" s="7" t="str">
        <f>IF(ISBLANK(patch[[#This Row],[OwnerEmail]]),Q725,patch[[#This Row],[OwnerEmail]])</f>
        <v>lipingx.xu@intel.com</v>
      </c>
      <c r="R726" s="7" t="str">
        <f>_xlfn.IFNA(VLOOKUP(patch[[#This Row],[tmp-owner.email]],OrgTree!$A:$K, 11, 0), "not ICG SWFW")</f>
        <v>BJ And dev</v>
      </c>
      <c r="S726" s="7" t="str">
        <f>IF(patch[[#This Row],[reviewer]]=patch[[#This Row],[tmp-owner.email]], "author", _xlfn.IFNA(VLOOKUP(patch[[#This Row],[reviewer]],OrgTree!$A:$K, 11, 0), "not ICG SWFW"))</f>
        <v>author</v>
      </c>
      <c r="T726" s="7" t="str">
        <f>IF(ISBLANK(patch[[#This Row],[mergeDate]]), "", MID(YEAR(patch[[#This Row],[mergeDate]]), 3,2)&amp;"'ww"&amp;WEEKNUM(patch[[#This Row],[mergeDate]]))</f>
        <v>16'ww39</v>
      </c>
      <c r="U726" s="7" t="str">
        <f>IF(ISBLANK(patch[[#This Row],[mergeDate]]), U725, MID(YEAR(patch[[#This Row],[mergeDate]]), 3,2)&amp;"'m"&amp;MONTH(patch[[#This Row],[mergeDate]]))</f>
        <v>16'm9</v>
      </c>
      <c r="V726" s="7" t="str">
        <f>IF(ISBLANK(patch[[#This Row],[project]]), "",SUM(patch[[#This Row],[BJ -1 num]:[SH -1 num]]))</f>
        <v/>
      </c>
      <c r="W726" s="7" t="str">
        <f>IF(ISBLANK(patch[[#This Row],[project]]), "",COUNTIFS($A:$A,patch[[#This Row],[number]],$S:$S, "BJ And dev",$AC:$AC, "Review-1"))</f>
        <v/>
      </c>
      <c r="X726" s="7" t="str">
        <f>IF(ISBLANK(patch[[#This Row],[project]]), "",COUNTIFS($A:$A,patch[[#This Row],[number]],$S:$S, "FL And dev",$AC:$AC, "Review-1"))</f>
        <v/>
      </c>
      <c r="Y726" s="7" t="str">
        <f>IF(ISBLANK(patch[[#This Row],[project]]), "",COUNTIFS($A:$A,patch[[#This Row],[number]],$S:$S, "SH And dev",$AC:$AC, "Review-1"))</f>
        <v/>
      </c>
      <c r="Z726" s="7" t="str">
        <f>IF(ISBLANK(patch[[#This Row],[project]]), "",COUNTIFS($A:$A,patch[[#This Row],[number]],$S:$S, "BJ And dev",$AD:$AD, "&lt;&gt;IntegratorValidationComment"))</f>
        <v/>
      </c>
      <c r="AA726" s="7" t="str">
        <f>IF(ISBLANK(patch[[#This Row],[project]]), "",COUNTIFS($A:$A,patch[[#This Row],[number]],$S:$S, "FL And dev",$AD:$AD, "&lt;&gt;IntegratorValidationComment"))</f>
        <v/>
      </c>
      <c r="AB726" s="7" t="str">
        <f>IF(ISBLANK(patch[[#This Row],[project]]), "",COUNTIFS($A:$A,patch[[#This Row],[number]],$S:$S, "SH And dev",$AD:$AD, "&lt;&gt;IntegratorValidationComment"))</f>
        <v/>
      </c>
      <c r="AC726" s="7" t="str">
        <f>IF(OR(ISNUMBER(FIND("Review-1", patch[[#This Row],[comments]])), ISNUMBER(FIND("Approver-1", patch[[#This Row],[comments]]))), "Review-1", "")</f>
        <v/>
      </c>
      <c r="AD7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26" s="7">
        <f>IF(ISBLANK(patch[[#This Row],[number]]),AE725,patch[[#This Row],[ifCommon]])</f>
        <v>0</v>
      </c>
    </row>
    <row r="727" spans="1:31">
      <c r="A727" s="151">
        <v>147291</v>
      </c>
      <c r="B727" s="151"/>
      <c r="C727" s="151"/>
      <c r="D727" s="151"/>
      <c r="E727" s="151"/>
      <c r="F727" s="151"/>
      <c r="G727" s="151"/>
      <c r="H727" s="151"/>
      <c r="I727" s="151"/>
      <c r="J727" s="152">
        <v>42635.713136574072</v>
      </c>
      <c r="K727" s="151"/>
      <c r="L727" s="151" t="s">
        <v>59</v>
      </c>
      <c r="M727" s="152">
        <v>42635.416574074072</v>
      </c>
      <c r="N727" s="151" t="s">
        <v>2981</v>
      </c>
      <c r="O727" s="151"/>
      <c r="P727" s="151"/>
      <c r="Q727" s="7" t="str">
        <f>IF(ISBLANK(patch[[#This Row],[OwnerEmail]]),Q726,patch[[#This Row],[OwnerEmail]])</f>
        <v>lipingx.xu@intel.com</v>
      </c>
      <c r="R727" s="7" t="str">
        <f>_xlfn.IFNA(VLOOKUP(patch[[#This Row],[tmp-owner.email]],OrgTree!$A:$K, 11, 0), "not ICG SWFW")</f>
        <v>BJ And dev</v>
      </c>
      <c r="S727" s="7" t="str">
        <f>IF(patch[[#This Row],[reviewer]]=patch[[#This Row],[tmp-owner.email]], "author", _xlfn.IFNA(VLOOKUP(patch[[#This Row],[reviewer]],OrgTree!$A:$K, 11, 0), "not ICG SWFW"))</f>
        <v>BJ And dev</v>
      </c>
      <c r="T727" s="7" t="str">
        <f>IF(ISBLANK(patch[[#This Row],[mergeDate]]), "", MID(YEAR(patch[[#This Row],[mergeDate]]), 3,2)&amp;"'ww"&amp;WEEKNUM(patch[[#This Row],[mergeDate]]))</f>
        <v>16'ww39</v>
      </c>
      <c r="U727" s="7" t="str">
        <f>IF(ISBLANK(patch[[#This Row],[mergeDate]]), U726, MID(YEAR(patch[[#This Row],[mergeDate]]), 3,2)&amp;"'m"&amp;MONTH(patch[[#This Row],[mergeDate]]))</f>
        <v>16'm9</v>
      </c>
      <c r="V727" s="7" t="str">
        <f>IF(ISBLANK(patch[[#This Row],[project]]), "",SUM(patch[[#This Row],[BJ -1 num]:[SH -1 num]]))</f>
        <v/>
      </c>
      <c r="W727" s="7" t="str">
        <f>IF(ISBLANK(patch[[#This Row],[project]]), "",COUNTIFS($A:$A,patch[[#This Row],[number]],$S:$S, "BJ And dev",$AC:$AC, "Review-1"))</f>
        <v/>
      </c>
      <c r="X727" s="7" t="str">
        <f>IF(ISBLANK(patch[[#This Row],[project]]), "",COUNTIFS($A:$A,patch[[#This Row],[number]],$S:$S, "FL And dev",$AC:$AC, "Review-1"))</f>
        <v/>
      </c>
      <c r="Y727" s="7" t="str">
        <f>IF(ISBLANK(patch[[#This Row],[project]]), "",COUNTIFS($A:$A,patch[[#This Row],[number]],$S:$S, "SH And dev",$AC:$AC, "Review-1"))</f>
        <v/>
      </c>
      <c r="Z727" s="7" t="str">
        <f>IF(ISBLANK(patch[[#This Row],[project]]), "",COUNTIFS($A:$A,patch[[#This Row],[number]],$S:$S, "BJ And dev",$AD:$AD, "&lt;&gt;IntegratorValidationComment"))</f>
        <v/>
      </c>
      <c r="AA727" s="7" t="str">
        <f>IF(ISBLANK(patch[[#This Row],[project]]), "",COUNTIFS($A:$A,patch[[#This Row],[number]],$S:$S, "FL And dev",$AD:$AD, "&lt;&gt;IntegratorValidationComment"))</f>
        <v/>
      </c>
      <c r="AB727" s="7" t="str">
        <f>IF(ISBLANK(patch[[#This Row],[project]]), "",COUNTIFS($A:$A,patch[[#This Row],[number]],$S:$S, "SH And dev",$AD:$AD, "&lt;&gt;IntegratorValidationComment"))</f>
        <v/>
      </c>
      <c r="AC727" s="7" t="str">
        <f>IF(OR(ISNUMBER(FIND("Review-1", patch[[#This Row],[comments]])), ISNUMBER(FIND("Approver-1", patch[[#This Row],[comments]]))), "Review-1", "")</f>
        <v/>
      </c>
      <c r="AD7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27" s="7">
        <f>IF(ISBLANK(patch[[#This Row],[number]]),AE726,patch[[#This Row],[ifCommon]])</f>
        <v>0</v>
      </c>
    </row>
    <row r="728" spans="1:31">
      <c r="A728" s="151">
        <v>147291</v>
      </c>
      <c r="B728" s="151"/>
      <c r="C728" s="151"/>
      <c r="D728" s="151"/>
      <c r="E728" s="151"/>
      <c r="F728" s="151"/>
      <c r="G728" s="151"/>
      <c r="H728" s="151"/>
      <c r="I728" s="151"/>
      <c r="J728" s="152">
        <v>42635.713136574072</v>
      </c>
      <c r="K728" s="151"/>
      <c r="L728" s="151" t="s">
        <v>59</v>
      </c>
      <c r="M728" s="152">
        <v>42635.432835648149</v>
      </c>
      <c r="N728" s="151" t="s">
        <v>2982</v>
      </c>
      <c r="O728" s="151"/>
      <c r="P728" s="151"/>
      <c r="Q728" s="7" t="str">
        <f>IF(ISBLANK(patch[[#This Row],[OwnerEmail]]),Q727,patch[[#This Row],[OwnerEmail]])</f>
        <v>lipingx.xu@intel.com</v>
      </c>
      <c r="R728" s="7" t="str">
        <f>_xlfn.IFNA(VLOOKUP(patch[[#This Row],[tmp-owner.email]],OrgTree!$A:$K, 11, 0), "not ICG SWFW")</f>
        <v>BJ And dev</v>
      </c>
      <c r="S728" s="7" t="str">
        <f>IF(patch[[#This Row],[reviewer]]=patch[[#This Row],[tmp-owner.email]], "author", _xlfn.IFNA(VLOOKUP(patch[[#This Row],[reviewer]],OrgTree!$A:$K, 11, 0), "not ICG SWFW"))</f>
        <v>BJ And dev</v>
      </c>
      <c r="T728" s="7" t="str">
        <f>IF(ISBLANK(patch[[#This Row],[mergeDate]]), "", MID(YEAR(patch[[#This Row],[mergeDate]]), 3,2)&amp;"'ww"&amp;WEEKNUM(patch[[#This Row],[mergeDate]]))</f>
        <v>16'ww39</v>
      </c>
      <c r="U728" s="7" t="str">
        <f>IF(ISBLANK(patch[[#This Row],[mergeDate]]), U727, MID(YEAR(patch[[#This Row],[mergeDate]]), 3,2)&amp;"'m"&amp;MONTH(patch[[#This Row],[mergeDate]]))</f>
        <v>16'm9</v>
      </c>
      <c r="V728" s="7" t="str">
        <f>IF(ISBLANK(patch[[#This Row],[project]]), "",SUM(patch[[#This Row],[BJ -1 num]:[SH -1 num]]))</f>
        <v/>
      </c>
      <c r="W728" s="7" t="str">
        <f>IF(ISBLANK(patch[[#This Row],[project]]), "",COUNTIFS($A:$A,patch[[#This Row],[number]],$S:$S, "BJ And dev",$AC:$AC, "Review-1"))</f>
        <v/>
      </c>
      <c r="X728" s="7" t="str">
        <f>IF(ISBLANK(patch[[#This Row],[project]]), "",COUNTIFS($A:$A,patch[[#This Row],[number]],$S:$S, "FL And dev",$AC:$AC, "Review-1"))</f>
        <v/>
      </c>
      <c r="Y728" s="7" t="str">
        <f>IF(ISBLANK(patch[[#This Row],[project]]), "",COUNTIFS($A:$A,patch[[#This Row],[number]],$S:$S, "SH And dev",$AC:$AC, "Review-1"))</f>
        <v/>
      </c>
      <c r="Z728" s="7" t="str">
        <f>IF(ISBLANK(patch[[#This Row],[project]]), "",COUNTIFS($A:$A,patch[[#This Row],[number]],$S:$S, "BJ And dev",$AD:$AD, "&lt;&gt;IntegratorValidationComment"))</f>
        <v/>
      </c>
      <c r="AA728" s="7" t="str">
        <f>IF(ISBLANK(patch[[#This Row],[project]]), "",COUNTIFS($A:$A,patch[[#This Row],[number]],$S:$S, "FL And dev",$AD:$AD, "&lt;&gt;IntegratorValidationComment"))</f>
        <v/>
      </c>
      <c r="AB728" s="7" t="str">
        <f>IF(ISBLANK(patch[[#This Row],[project]]), "",COUNTIFS($A:$A,patch[[#This Row],[number]],$S:$S, "SH And dev",$AD:$AD, "&lt;&gt;IntegratorValidationComment"))</f>
        <v/>
      </c>
      <c r="AC728" s="7" t="str">
        <f>IF(OR(ISNUMBER(FIND("Review-1", patch[[#This Row],[comments]])), ISNUMBER(FIND("Approver-1", patch[[#This Row],[comments]]))), "Review-1", "")</f>
        <v/>
      </c>
      <c r="AD7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28" s="7">
        <f>IF(ISBLANK(patch[[#This Row],[number]]),AE727,patch[[#This Row],[ifCommon]])</f>
        <v>0</v>
      </c>
    </row>
    <row r="729" spans="1:31">
      <c r="A729" s="151">
        <v>147291</v>
      </c>
      <c r="B729" s="151"/>
      <c r="C729" s="151"/>
      <c r="D729" s="151"/>
      <c r="E729" s="151"/>
      <c r="F729" s="151"/>
      <c r="G729" s="151"/>
      <c r="H729" s="151"/>
      <c r="I729" s="151"/>
      <c r="J729" s="152">
        <v>42635.713136574072</v>
      </c>
      <c r="K729" s="151"/>
      <c r="L729" s="151" t="s">
        <v>24</v>
      </c>
      <c r="M729" s="152">
        <v>42635.445625</v>
      </c>
      <c r="N729" s="151" t="s">
        <v>1880</v>
      </c>
      <c r="O729" s="151"/>
      <c r="P729" s="151"/>
      <c r="Q729" s="7" t="str">
        <f>IF(ISBLANK(patch[[#This Row],[OwnerEmail]]),Q728,patch[[#This Row],[OwnerEmail]])</f>
        <v>lipingx.xu@intel.com</v>
      </c>
      <c r="R729" s="7" t="str">
        <f>_xlfn.IFNA(VLOOKUP(patch[[#This Row],[tmp-owner.email]],OrgTree!$A:$K, 11, 0), "not ICG SWFW")</f>
        <v>BJ And dev</v>
      </c>
      <c r="S729" s="7" t="str">
        <f>IF(patch[[#This Row],[reviewer]]=patch[[#This Row],[tmp-owner.email]], "author", _xlfn.IFNA(VLOOKUP(patch[[#This Row],[reviewer]],OrgTree!$A:$K, 11, 0), "not ICG SWFW"))</f>
        <v>BJ And dev</v>
      </c>
      <c r="T729" s="7" t="str">
        <f>IF(ISBLANK(patch[[#This Row],[mergeDate]]), "", MID(YEAR(patch[[#This Row],[mergeDate]]), 3,2)&amp;"'ww"&amp;WEEKNUM(patch[[#This Row],[mergeDate]]))</f>
        <v>16'ww39</v>
      </c>
      <c r="U729" s="7" t="str">
        <f>IF(ISBLANK(patch[[#This Row],[mergeDate]]), U728, MID(YEAR(patch[[#This Row],[mergeDate]]), 3,2)&amp;"'m"&amp;MONTH(patch[[#This Row],[mergeDate]]))</f>
        <v>16'm9</v>
      </c>
      <c r="V729" s="7" t="str">
        <f>IF(ISBLANK(patch[[#This Row],[project]]), "",SUM(patch[[#This Row],[BJ -1 num]:[SH -1 num]]))</f>
        <v/>
      </c>
      <c r="W729" s="7" t="str">
        <f>IF(ISBLANK(patch[[#This Row],[project]]), "",COUNTIFS($A:$A,patch[[#This Row],[number]],$S:$S, "BJ And dev",$AC:$AC, "Review-1"))</f>
        <v/>
      </c>
      <c r="X729" s="7" t="str">
        <f>IF(ISBLANK(patch[[#This Row],[project]]), "",COUNTIFS($A:$A,patch[[#This Row],[number]],$S:$S, "FL And dev",$AC:$AC, "Review-1"))</f>
        <v/>
      </c>
      <c r="Y729" s="7" t="str">
        <f>IF(ISBLANK(patch[[#This Row],[project]]), "",COUNTIFS($A:$A,patch[[#This Row],[number]],$S:$S, "SH And dev",$AC:$AC, "Review-1"))</f>
        <v/>
      </c>
      <c r="Z729" s="7" t="str">
        <f>IF(ISBLANK(patch[[#This Row],[project]]), "",COUNTIFS($A:$A,patch[[#This Row],[number]],$S:$S, "BJ And dev",$AD:$AD, "&lt;&gt;IntegratorValidationComment"))</f>
        <v/>
      </c>
      <c r="AA729" s="7" t="str">
        <f>IF(ISBLANK(patch[[#This Row],[project]]), "",COUNTIFS($A:$A,patch[[#This Row],[number]],$S:$S, "FL And dev",$AD:$AD, "&lt;&gt;IntegratorValidationComment"))</f>
        <v/>
      </c>
      <c r="AB729" s="7" t="str">
        <f>IF(ISBLANK(patch[[#This Row],[project]]), "",COUNTIFS($A:$A,patch[[#This Row],[number]],$S:$S, "SH And dev",$AD:$AD, "&lt;&gt;IntegratorValidationComment"))</f>
        <v/>
      </c>
      <c r="AC729" s="7" t="str">
        <f>IF(OR(ISNUMBER(FIND("Review-1", patch[[#This Row],[comments]])), ISNUMBER(FIND("Approver-1", patch[[#This Row],[comments]]))), "Review-1", "")</f>
        <v/>
      </c>
      <c r="AD7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29" s="7">
        <f>IF(ISBLANK(patch[[#This Row],[number]]),AE728,patch[[#This Row],[ifCommon]])</f>
        <v>0</v>
      </c>
    </row>
    <row r="730" spans="1:31">
      <c r="A730" s="151">
        <v>147291</v>
      </c>
      <c r="B730" s="151"/>
      <c r="C730" s="151"/>
      <c r="D730" s="151"/>
      <c r="E730" s="151"/>
      <c r="F730" s="151"/>
      <c r="G730" s="151"/>
      <c r="H730" s="151"/>
      <c r="I730" s="151"/>
      <c r="J730" s="152">
        <v>42635.713136574072</v>
      </c>
      <c r="K730" s="151"/>
      <c r="L730" s="151" t="s">
        <v>115</v>
      </c>
      <c r="M730" s="152">
        <v>42635.546875</v>
      </c>
      <c r="N730" s="151" t="s">
        <v>2494</v>
      </c>
      <c r="O730" s="151"/>
      <c r="P730" s="151"/>
      <c r="Q730" s="7" t="str">
        <f>IF(ISBLANK(patch[[#This Row],[OwnerEmail]]),Q729,patch[[#This Row],[OwnerEmail]])</f>
        <v>lipingx.xu@intel.com</v>
      </c>
      <c r="R730" s="7" t="str">
        <f>_xlfn.IFNA(VLOOKUP(patch[[#This Row],[tmp-owner.email]],OrgTree!$A:$K, 11, 0), "not ICG SWFW")</f>
        <v>BJ And dev</v>
      </c>
      <c r="S730" s="7" t="str">
        <f>IF(patch[[#This Row],[reviewer]]=patch[[#This Row],[tmp-owner.email]], "author", _xlfn.IFNA(VLOOKUP(patch[[#This Row],[reviewer]],OrgTree!$A:$K, 11, 0), "not ICG SWFW"))</f>
        <v>Val</v>
      </c>
      <c r="T730" s="7" t="str">
        <f>IF(ISBLANK(patch[[#This Row],[mergeDate]]), "", MID(YEAR(patch[[#This Row],[mergeDate]]), 3,2)&amp;"'ww"&amp;WEEKNUM(patch[[#This Row],[mergeDate]]))</f>
        <v>16'ww39</v>
      </c>
      <c r="U730" s="7" t="str">
        <f>IF(ISBLANK(patch[[#This Row],[mergeDate]]), U729, MID(YEAR(patch[[#This Row],[mergeDate]]), 3,2)&amp;"'m"&amp;MONTH(patch[[#This Row],[mergeDate]]))</f>
        <v>16'm9</v>
      </c>
      <c r="V730" s="7" t="str">
        <f>IF(ISBLANK(patch[[#This Row],[project]]), "",SUM(patch[[#This Row],[BJ -1 num]:[SH -1 num]]))</f>
        <v/>
      </c>
      <c r="W730" s="7" t="str">
        <f>IF(ISBLANK(patch[[#This Row],[project]]), "",COUNTIFS($A:$A,patch[[#This Row],[number]],$S:$S, "BJ And dev",$AC:$AC, "Review-1"))</f>
        <v/>
      </c>
      <c r="X730" s="7" t="str">
        <f>IF(ISBLANK(patch[[#This Row],[project]]), "",COUNTIFS($A:$A,patch[[#This Row],[number]],$S:$S, "FL And dev",$AC:$AC, "Review-1"))</f>
        <v/>
      </c>
      <c r="Y730" s="7" t="str">
        <f>IF(ISBLANK(patch[[#This Row],[project]]), "",COUNTIFS($A:$A,patch[[#This Row],[number]],$S:$S, "SH And dev",$AC:$AC, "Review-1"))</f>
        <v/>
      </c>
      <c r="Z730" s="7" t="str">
        <f>IF(ISBLANK(patch[[#This Row],[project]]), "",COUNTIFS($A:$A,patch[[#This Row],[number]],$S:$S, "BJ And dev",$AD:$AD, "&lt;&gt;IntegratorValidationComment"))</f>
        <v/>
      </c>
      <c r="AA730" s="7" t="str">
        <f>IF(ISBLANK(patch[[#This Row],[project]]), "",COUNTIFS($A:$A,patch[[#This Row],[number]],$S:$S, "FL And dev",$AD:$AD, "&lt;&gt;IntegratorValidationComment"))</f>
        <v/>
      </c>
      <c r="AB730" s="7" t="str">
        <f>IF(ISBLANK(patch[[#This Row],[project]]), "",COUNTIFS($A:$A,patch[[#This Row],[number]],$S:$S, "SH And dev",$AD:$AD, "&lt;&gt;IntegratorValidationComment"))</f>
        <v/>
      </c>
      <c r="AC730" s="7" t="str">
        <f>IF(OR(ISNUMBER(FIND("Review-1", patch[[#This Row],[comments]])), ISNUMBER(FIND("Approver-1", patch[[#This Row],[comments]]))), "Review-1", "")</f>
        <v/>
      </c>
      <c r="AD7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730" s="7">
        <f>IF(ISBLANK(patch[[#This Row],[number]]),AE729,patch[[#This Row],[ifCommon]])</f>
        <v>0</v>
      </c>
    </row>
    <row r="731" spans="1:31">
      <c r="A731" s="151">
        <v>147042</v>
      </c>
      <c r="B731" s="151" t="s">
        <v>2490</v>
      </c>
      <c r="C731" s="151" t="s">
        <v>2491</v>
      </c>
      <c r="D731" s="151" t="s">
        <v>2889</v>
      </c>
      <c r="E731" s="151" t="s">
        <v>63</v>
      </c>
      <c r="F731" s="151" t="s">
        <v>23</v>
      </c>
      <c r="G731" s="151" t="s">
        <v>2890</v>
      </c>
      <c r="H731" s="151" t="s">
        <v>2891</v>
      </c>
      <c r="I731" s="152">
        <v>42634.689583333333</v>
      </c>
      <c r="J731" s="152">
        <v>42635.712719907409</v>
      </c>
      <c r="K731" s="151" t="s">
        <v>2445</v>
      </c>
      <c r="L731" s="151" t="s">
        <v>63</v>
      </c>
      <c r="M731" s="152">
        <v>42634.689583333333</v>
      </c>
      <c r="N731" s="151" t="s">
        <v>25</v>
      </c>
      <c r="O731" s="151"/>
      <c r="P731" s="151" t="s">
        <v>2542</v>
      </c>
      <c r="Q731" s="7" t="str">
        <f>IF(ISBLANK(patch[[#This Row],[OwnerEmail]]),Q730,patch[[#This Row],[OwnerEmail]])</f>
        <v>zongx.li@intel.com</v>
      </c>
      <c r="R731" s="7" t="str">
        <f>_xlfn.IFNA(VLOOKUP(patch[[#This Row],[tmp-owner.email]],OrgTree!$A:$K, 11, 0), "not ICG SWFW")</f>
        <v>BJ And dev</v>
      </c>
      <c r="S731" s="7" t="str">
        <f>IF(patch[[#This Row],[reviewer]]=patch[[#This Row],[tmp-owner.email]], "author", _xlfn.IFNA(VLOOKUP(patch[[#This Row],[reviewer]],OrgTree!$A:$K, 11, 0), "not ICG SWFW"))</f>
        <v>author</v>
      </c>
      <c r="T731" s="7" t="str">
        <f>IF(ISBLANK(patch[[#This Row],[mergeDate]]), "", MID(YEAR(patch[[#This Row],[mergeDate]]), 3,2)&amp;"'ww"&amp;WEEKNUM(patch[[#This Row],[mergeDate]]))</f>
        <v>16'ww39</v>
      </c>
      <c r="U731" s="7" t="str">
        <f>IF(ISBLANK(patch[[#This Row],[mergeDate]]), U730, MID(YEAR(patch[[#This Row],[mergeDate]]), 3,2)&amp;"'m"&amp;MONTH(patch[[#This Row],[mergeDate]]))</f>
        <v>16'm9</v>
      </c>
      <c r="V731" s="7">
        <f>IF(ISBLANK(patch[[#This Row],[project]]), "",SUM(patch[[#This Row],[BJ -1 num]:[SH -1 num]]))</f>
        <v>0</v>
      </c>
      <c r="W731" s="7">
        <f>IF(ISBLANK(patch[[#This Row],[project]]), "",COUNTIFS($A:$A,patch[[#This Row],[number]],$S:$S, "BJ And dev",$AC:$AC, "Review-1"))</f>
        <v>0</v>
      </c>
      <c r="X731" s="7">
        <f>IF(ISBLANK(patch[[#This Row],[project]]), "",COUNTIFS($A:$A,patch[[#This Row],[number]],$S:$S, "FL And dev",$AC:$AC, "Review-1"))</f>
        <v>0</v>
      </c>
      <c r="Y731" s="7">
        <f>IF(ISBLANK(patch[[#This Row],[project]]), "",COUNTIFS($A:$A,patch[[#This Row],[number]],$S:$S, "SH And dev",$AC:$AC, "Review-1"))</f>
        <v>0</v>
      </c>
      <c r="Z731" s="7">
        <f>IF(ISBLANK(patch[[#This Row],[project]]), "",COUNTIFS($A:$A,patch[[#This Row],[number]],$S:$S, "BJ And dev",$AD:$AD, "&lt;&gt;IntegratorValidationComment"))</f>
        <v>11</v>
      </c>
      <c r="AA731" s="7">
        <f>IF(ISBLANK(patch[[#This Row],[project]]), "",COUNTIFS($A:$A,patch[[#This Row],[number]],$S:$S, "FL And dev",$AD:$AD, "&lt;&gt;IntegratorValidationComment"))</f>
        <v>0</v>
      </c>
      <c r="AB731" s="7">
        <f>IF(ISBLANK(patch[[#This Row],[project]]), "",COUNTIFS($A:$A,patch[[#This Row],[number]],$S:$S, "SH And dev",$AD:$AD, "&lt;&gt;IntegratorValidationComment"))</f>
        <v>0</v>
      </c>
      <c r="AC731" s="7" t="str">
        <f>IF(OR(ISNUMBER(FIND("Review-1", patch[[#This Row],[comments]])), ISNUMBER(FIND("Approver-1", patch[[#This Row],[comments]]))), "Review-1", "")</f>
        <v/>
      </c>
      <c r="AD7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31" s="7" t="str">
        <f>IF(ISBLANK(patch[[#This Row],[number]]),AE730,patch[[#This Row],[ifCommon]])</f>
        <v>not AndrHAL</v>
      </c>
    </row>
    <row r="732" spans="1:31">
      <c r="A732" s="151">
        <v>147042</v>
      </c>
      <c r="B732" s="151"/>
      <c r="C732" s="151"/>
      <c r="D732" s="151"/>
      <c r="E732" s="151"/>
      <c r="F732" s="151"/>
      <c r="G732" s="151"/>
      <c r="H732" s="151"/>
      <c r="I732" s="151"/>
      <c r="J732" s="152">
        <v>42635.712719907409</v>
      </c>
      <c r="K732" s="151"/>
      <c r="L732" s="151" t="s">
        <v>63</v>
      </c>
      <c r="M732" s="152">
        <v>42634.68959490741</v>
      </c>
      <c r="N732" s="151" t="s">
        <v>2428</v>
      </c>
      <c r="O732" s="151"/>
      <c r="P732" s="151"/>
      <c r="Q732" s="7" t="str">
        <f>IF(ISBLANK(patch[[#This Row],[OwnerEmail]]),Q731,patch[[#This Row],[OwnerEmail]])</f>
        <v>zongx.li@intel.com</v>
      </c>
      <c r="R732" s="7" t="str">
        <f>_xlfn.IFNA(VLOOKUP(patch[[#This Row],[tmp-owner.email]],OrgTree!$A:$K, 11, 0), "not ICG SWFW")</f>
        <v>BJ And dev</v>
      </c>
      <c r="S732" s="7" t="str">
        <f>IF(patch[[#This Row],[reviewer]]=patch[[#This Row],[tmp-owner.email]], "author", _xlfn.IFNA(VLOOKUP(patch[[#This Row],[reviewer]],OrgTree!$A:$K, 11, 0), "not ICG SWFW"))</f>
        <v>author</v>
      </c>
      <c r="T732" s="7" t="str">
        <f>IF(ISBLANK(patch[[#This Row],[mergeDate]]), "", MID(YEAR(patch[[#This Row],[mergeDate]]), 3,2)&amp;"'ww"&amp;WEEKNUM(patch[[#This Row],[mergeDate]]))</f>
        <v>16'ww39</v>
      </c>
      <c r="U732" s="7" t="str">
        <f>IF(ISBLANK(patch[[#This Row],[mergeDate]]), U731, MID(YEAR(patch[[#This Row],[mergeDate]]), 3,2)&amp;"'m"&amp;MONTH(patch[[#This Row],[mergeDate]]))</f>
        <v>16'm9</v>
      </c>
      <c r="V732" s="7" t="str">
        <f>IF(ISBLANK(patch[[#This Row],[project]]), "",SUM(patch[[#This Row],[BJ -1 num]:[SH -1 num]]))</f>
        <v/>
      </c>
      <c r="W732" s="7" t="str">
        <f>IF(ISBLANK(patch[[#This Row],[project]]), "",COUNTIFS($A:$A,patch[[#This Row],[number]],$S:$S, "BJ And dev",$AC:$AC, "Review-1"))</f>
        <v/>
      </c>
      <c r="X732" s="7" t="str">
        <f>IF(ISBLANK(patch[[#This Row],[project]]), "",COUNTIFS($A:$A,patch[[#This Row],[number]],$S:$S, "FL And dev",$AC:$AC, "Review-1"))</f>
        <v/>
      </c>
      <c r="Y732" s="7" t="str">
        <f>IF(ISBLANK(patch[[#This Row],[project]]), "",COUNTIFS($A:$A,patch[[#This Row],[number]],$S:$S, "SH And dev",$AC:$AC, "Review-1"))</f>
        <v/>
      </c>
      <c r="Z732" s="7" t="str">
        <f>IF(ISBLANK(patch[[#This Row],[project]]), "",COUNTIFS($A:$A,patch[[#This Row],[number]],$S:$S, "BJ And dev",$AD:$AD, "&lt;&gt;IntegratorValidationComment"))</f>
        <v/>
      </c>
      <c r="AA732" s="7" t="str">
        <f>IF(ISBLANK(patch[[#This Row],[project]]), "",COUNTIFS($A:$A,patch[[#This Row],[number]],$S:$S, "FL And dev",$AD:$AD, "&lt;&gt;IntegratorValidationComment"))</f>
        <v/>
      </c>
      <c r="AB732" s="7" t="str">
        <f>IF(ISBLANK(patch[[#This Row],[project]]), "",COUNTIFS($A:$A,patch[[#This Row],[number]],$S:$S, "SH And dev",$AD:$AD, "&lt;&gt;IntegratorValidationComment"))</f>
        <v/>
      </c>
      <c r="AC732" s="7" t="str">
        <f>IF(OR(ISNUMBER(FIND("Review-1", patch[[#This Row],[comments]])), ISNUMBER(FIND("Approver-1", patch[[#This Row],[comments]]))), "Review-1", "")</f>
        <v/>
      </c>
      <c r="AD7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32" s="7">
        <f>IF(ISBLANK(patch[[#This Row],[number]]),AE731,patch[[#This Row],[ifCommon]])</f>
        <v>0</v>
      </c>
    </row>
    <row r="733" spans="1:31">
      <c r="A733" s="151">
        <v>147042</v>
      </c>
      <c r="B733" s="151"/>
      <c r="C733" s="151"/>
      <c r="D733" s="151"/>
      <c r="E733" s="151"/>
      <c r="F733" s="151"/>
      <c r="G733" s="151"/>
      <c r="H733" s="151"/>
      <c r="I733" s="151"/>
      <c r="J733" s="152">
        <v>42635.712719907409</v>
      </c>
      <c r="K733" s="151"/>
      <c r="L733" s="151" t="s">
        <v>63</v>
      </c>
      <c r="M733" s="152">
        <v>42634.690891203703</v>
      </c>
      <c r="N733" s="151" t="s">
        <v>40</v>
      </c>
      <c r="O733" s="151"/>
      <c r="P733" s="151"/>
      <c r="Q733" s="7" t="str">
        <f>IF(ISBLANK(patch[[#This Row],[OwnerEmail]]),Q732,patch[[#This Row],[OwnerEmail]])</f>
        <v>zongx.li@intel.com</v>
      </c>
      <c r="R733" s="7" t="str">
        <f>_xlfn.IFNA(VLOOKUP(patch[[#This Row],[tmp-owner.email]],OrgTree!$A:$K, 11, 0), "not ICG SWFW")</f>
        <v>BJ And dev</v>
      </c>
      <c r="S733" s="7" t="str">
        <f>IF(patch[[#This Row],[reviewer]]=patch[[#This Row],[tmp-owner.email]], "author", _xlfn.IFNA(VLOOKUP(patch[[#This Row],[reviewer]],OrgTree!$A:$K, 11, 0), "not ICG SWFW"))</f>
        <v>author</v>
      </c>
      <c r="T733" s="7" t="str">
        <f>IF(ISBLANK(patch[[#This Row],[mergeDate]]), "", MID(YEAR(patch[[#This Row],[mergeDate]]), 3,2)&amp;"'ww"&amp;WEEKNUM(patch[[#This Row],[mergeDate]]))</f>
        <v>16'ww39</v>
      </c>
      <c r="U733" s="7" t="str">
        <f>IF(ISBLANK(patch[[#This Row],[mergeDate]]), U732, MID(YEAR(patch[[#This Row],[mergeDate]]), 3,2)&amp;"'m"&amp;MONTH(patch[[#This Row],[mergeDate]]))</f>
        <v>16'm9</v>
      </c>
      <c r="V733" s="7" t="str">
        <f>IF(ISBLANK(patch[[#This Row],[project]]), "",SUM(patch[[#This Row],[BJ -1 num]:[SH -1 num]]))</f>
        <v/>
      </c>
      <c r="W733" s="7" t="str">
        <f>IF(ISBLANK(patch[[#This Row],[project]]), "",COUNTIFS($A:$A,patch[[#This Row],[number]],$S:$S, "BJ And dev",$AC:$AC, "Review-1"))</f>
        <v/>
      </c>
      <c r="X733" s="7" t="str">
        <f>IF(ISBLANK(patch[[#This Row],[project]]), "",COUNTIFS($A:$A,patch[[#This Row],[number]],$S:$S, "FL And dev",$AC:$AC, "Review-1"))</f>
        <v/>
      </c>
      <c r="Y733" s="7" t="str">
        <f>IF(ISBLANK(patch[[#This Row],[project]]), "",COUNTIFS($A:$A,patch[[#This Row],[number]],$S:$S, "SH And dev",$AC:$AC, "Review-1"))</f>
        <v/>
      </c>
      <c r="Z733" s="7" t="str">
        <f>IF(ISBLANK(patch[[#This Row],[project]]), "",COUNTIFS($A:$A,patch[[#This Row],[number]],$S:$S, "BJ And dev",$AD:$AD, "&lt;&gt;IntegratorValidationComment"))</f>
        <v/>
      </c>
      <c r="AA733" s="7" t="str">
        <f>IF(ISBLANK(patch[[#This Row],[project]]), "",COUNTIFS($A:$A,patch[[#This Row],[number]],$S:$S, "FL And dev",$AD:$AD, "&lt;&gt;IntegratorValidationComment"))</f>
        <v/>
      </c>
      <c r="AB733" s="7" t="str">
        <f>IF(ISBLANK(patch[[#This Row],[project]]), "",COUNTIFS($A:$A,patch[[#This Row],[number]],$S:$S, "SH And dev",$AD:$AD, "&lt;&gt;IntegratorValidationComment"))</f>
        <v/>
      </c>
      <c r="AC733" s="7" t="str">
        <f>IF(OR(ISNUMBER(FIND("Review-1", patch[[#This Row],[comments]])), ISNUMBER(FIND("Approver-1", patch[[#This Row],[comments]]))), "Review-1", "")</f>
        <v/>
      </c>
      <c r="AD7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33" s="7">
        <f>IF(ISBLANK(patch[[#This Row],[number]]),AE732,patch[[#This Row],[ifCommon]])</f>
        <v>0</v>
      </c>
    </row>
    <row r="734" spans="1:31">
      <c r="A734" s="151">
        <v>147042</v>
      </c>
      <c r="B734" s="151"/>
      <c r="C734" s="151"/>
      <c r="D734" s="151"/>
      <c r="E734" s="151"/>
      <c r="F734" s="151"/>
      <c r="G734" s="151"/>
      <c r="H734" s="151"/>
      <c r="I734" s="152"/>
      <c r="J734" s="152">
        <v>42635.712719907409</v>
      </c>
      <c r="K734" s="151"/>
      <c r="L734" s="151" t="s">
        <v>59</v>
      </c>
      <c r="M734" s="152">
        <v>42634.695925925917</v>
      </c>
      <c r="N734" s="151" t="s">
        <v>2983</v>
      </c>
      <c r="O734" s="151"/>
      <c r="P734" s="151"/>
      <c r="Q734" s="7" t="str">
        <f>IF(ISBLANK(patch[[#This Row],[OwnerEmail]]),Q733,patch[[#This Row],[OwnerEmail]])</f>
        <v>zongx.li@intel.com</v>
      </c>
      <c r="R734" s="7" t="str">
        <f>_xlfn.IFNA(VLOOKUP(patch[[#This Row],[tmp-owner.email]],OrgTree!$A:$K, 11, 0), "not ICG SWFW")</f>
        <v>BJ And dev</v>
      </c>
      <c r="S734" s="7" t="str">
        <f>IF(patch[[#This Row],[reviewer]]=patch[[#This Row],[tmp-owner.email]], "author", _xlfn.IFNA(VLOOKUP(patch[[#This Row],[reviewer]],OrgTree!$A:$K, 11, 0), "not ICG SWFW"))</f>
        <v>BJ And dev</v>
      </c>
      <c r="T734" s="7" t="str">
        <f>IF(ISBLANK(patch[[#This Row],[mergeDate]]), "", MID(YEAR(patch[[#This Row],[mergeDate]]), 3,2)&amp;"'ww"&amp;WEEKNUM(patch[[#This Row],[mergeDate]]))</f>
        <v>16'ww39</v>
      </c>
      <c r="U734" s="7" t="str">
        <f>IF(ISBLANK(patch[[#This Row],[mergeDate]]), U733, MID(YEAR(patch[[#This Row],[mergeDate]]), 3,2)&amp;"'m"&amp;MONTH(patch[[#This Row],[mergeDate]]))</f>
        <v>16'm9</v>
      </c>
      <c r="V734" s="7" t="str">
        <f>IF(ISBLANK(patch[[#This Row],[project]]), "",SUM(patch[[#This Row],[BJ -1 num]:[SH -1 num]]))</f>
        <v/>
      </c>
      <c r="W734" s="7" t="str">
        <f>IF(ISBLANK(patch[[#This Row],[project]]), "",COUNTIFS($A:$A,patch[[#This Row],[number]],$S:$S, "BJ And dev",$AC:$AC, "Review-1"))</f>
        <v/>
      </c>
      <c r="X734" s="7" t="str">
        <f>IF(ISBLANK(patch[[#This Row],[project]]), "",COUNTIFS($A:$A,patch[[#This Row],[number]],$S:$S, "FL And dev",$AC:$AC, "Review-1"))</f>
        <v/>
      </c>
      <c r="Y734" s="7" t="str">
        <f>IF(ISBLANK(patch[[#This Row],[project]]), "",COUNTIFS($A:$A,patch[[#This Row],[number]],$S:$S, "SH And dev",$AC:$AC, "Review-1"))</f>
        <v/>
      </c>
      <c r="Z734" s="7" t="str">
        <f>IF(ISBLANK(patch[[#This Row],[project]]), "",COUNTIFS($A:$A,patch[[#This Row],[number]],$S:$S, "BJ And dev",$AD:$AD, "&lt;&gt;IntegratorValidationComment"))</f>
        <v/>
      </c>
      <c r="AA734" s="7" t="str">
        <f>IF(ISBLANK(patch[[#This Row],[project]]), "",COUNTIFS($A:$A,patch[[#This Row],[number]],$S:$S, "FL And dev",$AD:$AD, "&lt;&gt;IntegratorValidationComment"))</f>
        <v/>
      </c>
      <c r="AB734" s="7" t="str">
        <f>IF(ISBLANK(patch[[#This Row],[project]]), "",COUNTIFS($A:$A,patch[[#This Row],[number]],$S:$S, "SH And dev",$AD:$AD, "&lt;&gt;IntegratorValidationComment"))</f>
        <v/>
      </c>
      <c r="AC734" s="7" t="str">
        <f>IF(OR(ISNUMBER(FIND("Review-1", patch[[#This Row],[comments]])), ISNUMBER(FIND("Approver-1", patch[[#This Row],[comments]]))), "Review-1", "")</f>
        <v/>
      </c>
      <c r="AD7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34" s="7">
        <f>IF(ISBLANK(patch[[#This Row],[number]]),AE733,patch[[#This Row],[ifCommon]])</f>
        <v>0</v>
      </c>
    </row>
    <row r="735" spans="1:31">
      <c r="A735" s="151">
        <v>147042</v>
      </c>
      <c r="B735" s="151"/>
      <c r="C735" s="151"/>
      <c r="D735" s="151"/>
      <c r="E735" s="151"/>
      <c r="F735" s="151"/>
      <c r="G735" s="151"/>
      <c r="H735" s="151"/>
      <c r="I735" s="151"/>
      <c r="J735" s="152">
        <v>42635.712719907409</v>
      </c>
      <c r="K735" s="151"/>
      <c r="L735" s="151" t="s">
        <v>59</v>
      </c>
      <c r="M735" s="152">
        <v>42634.698738425926</v>
      </c>
      <c r="N735" s="151" t="s">
        <v>2984</v>
      </c>
      <c r="O735" s="151"/>
      <c r="P735" s="151"/>
      <c r="Q735" s="7" t="str">
        <f>IF(ISBLANK(patch[[#This Row],[OwnerEmail]]),Q734,patch[[#This Row],[OwnerEmail]])</f>
        <v>zongx.li@intel.com</v>
      </c>
      <c r="R735" s="7" t="str">
        <f>_xlfn.IFNA(VLOOKUP(patch[[#This Row],[tmp-owner.email]],OrgTree!$A:$K, 11, 0), "not ICG SWFW")</f>
        <v>BJ And dev</v>
      </c>
      <c r="S735" s="7" t="str">
        <f>IF(patch[[#This Row],[reviewer]]=patch[[#This Row],[tmp-owner.email]], "author", _xlfn.IFNA(VLOOKUP(patch[[#This Row],[reviewer]],OrgTree!$A:$K, 11, 0), "not ICG SWFW"))</f>
        <v>BJ And dev</v>
      </c>
      <c r="T735" s="7" t="str">
        <f>IF(ISBLANK(patch[[#This Row],[mergeDate]]), "", MID(YEAR(patch[[#This Row],[mergeDate]]), 3,2)&amp;"'ww"&amp;WEEKNUM(patch[[#This Row],[mergeDate]]))</f>
        <v>16'ww39</v>
      </c>
      <c r="U735" s="7" t="str">
        <f>IF(ISBLANK(patch[[#This Row],[mergeDate]]), U734, MID(YEAR(patch[[#This Row],[mergeDate]]), 3,2)&amp;"'m"&amp;MONTH(patch[[#This Row],[mergeDate]]))</f>
        <v>16'm9</v>
      </c>
      <c r="V735" s="7" t="str">
        <f>IF(ISBLANK(patch[[#This Row],[project]]), "",SUM(patch[[#This Row],[BJ -1 num]:[SH -1 num]]))</f>
        <v/>
      </c>
      <c r="W735" s="7" t="str">
        <f>IF(ISBLANK(patch[[#This Row],[project]]), "",COUNTIFS($A:$A,patch[[#This Row],[number]],$S:$S, "BJ And dev",$AC:$AC, "Review-1"))</f>
        <v/>
      </c>
      <c r="X735" s="7" t="str">
        <f>IF(ISBLANK(patch[[#This Row],[project]]), "",COUNTIFS($A:$A,patch[[#This Row],[number]],$S:$S, "FL And dev",$AC:$AC, "Review-1"))</f>
        <v/>
      </c>
      <c r="Y735" s="7" t="str">
        <f>IF(ISBLANK(patch[[#This Row],[project]]), "",COUNTIFS($A:$A,patch[[#This Row],[number]],$S:$S, "SH And dev",$AC:$AC, "Review-1"))</f>
        <v/>
      </c>
      <c r="Z735" s="7" t="str">
        <f>IF(ISBLANK(patch[[#This Row],[project]]), "",COUNTIFS($A:$A,patch[[#This Row],[number]],$S:$S, "BJ And dev",$AD:$AD, "&lt;&gt;IntegratorValidationComment"))</f>
        <v/>
      </c>
      <c r="AA735" s="7" t="str">
        <f>IF(ISBLANK(patch[[#This Row],[project]]), "",COUNTIFS($A:$A,patch[[#This Row],[number]],$S:$S, "FL And dev",$AD:$AD, "&lt;&gt;IntegratorValidationComment"))</f>
        <v/>
      </c>
      <c r="AB735" s="7" t="str">
        <f>IF(ISBLANK(patch[[#This Row],[project]]), "",COUNTIFS($A:$A,patch[[#This Row],[number]],$S:$S, "SH And dev",$AD:$AD, "&lt;&gt;IntegratorValidationComment"))</f>
        <v/>
      </c>
      <c r="AC735" s="7" t="str">
        <f>IF(OR(ISNUMBER(FIND("Review-1", patch[[#This Row],[comments]])), ISNUMBER(FIND("Approver-1", patch[[#This Row],[comments]]))), "Review-1", "")</f>
        <v/>
      </c>
      <c r="AD7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35" s="7">
        <f>IF(ISBLANK(patch[[#This Row],[number]]),AE734,patch[[#This Row],[ifCommon]])</f>
        <v>0</v>
      </c>
    </row>
    <row r="736" spans="1:31">
      <c r="A736" s="151">
        <v>147042</v>
      </c>
      <c r="B736" s="151"/>
      <c r="C736" s="151"/>
      <c r="D736" s="151"/>
      <c r="E736" s="151"/>
      <c r="F736" s="151"/>
      <c r="G736" s="151"/>
      <c r="H736" s="151"/>
      <c r="I736" s="151"/>
      <c r="J736" s="152">
        <v>42635.712719907409</v>
      </c>
      <c r="K736" s="151"/>
      <c r="L736" s="151" t="s">
        <v>63</v>
      </c>
      <c r="M736" s="152">
        <v>42634.699548611112</v>
      </c>
      <c r="N736" s="151" t="s">
        <v>29</v>
      </c>
      <c r="O736" s="151"/>
      <c r="P736" s="151"/>
      <c r="Q736" s="7" t="str">
        <f>IF(ISBLANK(patch[[#This Row],[OwnerEmail]]),Q735,patch[[#This Row],[OwnerEmail]])</f>
        <v>zongx.li@intel.com</v>
      </c>
      <c r="R736" s="7" t="str">
        <f>_xlfn.IFNA(VLOOKUP(patch[[#This Row],[tmp-owner.email]],OrgTree!$A:$K, 11, 0), "not ICG SWFW")</f>
        <v>BJ And dev</v>
      </c>
      <c r="S736" s="7" t="str">
        <f>IF(patch[[#This Row],[reviewer]]=patch[[#This Row],[tmp-owner.email]], "author", _xlfn.IFNA(VLOOKUP(patch[[#This Row],[reviewer]],OrgTree!$A:$K, 11, 0), "not ICG SWFW"))</f>
        <v>author</v>
      </c>
      <c r="T736" s="7" t="str">
        <f>IF(ISBLANK(patch[[#This Row],[mergeDate]]), "", MID(YEAR(patch[[#This Row],[mergeDate]]), 3,2)&amp;"'ww"&amp;WEEKNUM(patch[[#This Row],[mergeDate]]))</f>
        <v>16'ww39</v>
      </c>
      <c r="U736" s="7" t="str">
        <f>IF(ISBLANK(patch[[#This Row],[mergeDate]]), U735, MID(YEAR(patch[[#This Row],[mergeDate]]), 3,2)&amp;"'m"&amp;MONTH(patch[[#This Row],[mergeDate]]))</f>
        <v>16'm9</v>
      </c>
      <c r="V736" s="7" t="str">
        <f>IF(ISBLANK(patch[[#This Row],[project]]), "",SUM(patch[[#This Row],[BJ -1 num]:[SH -1 num]]))</f>
        <v/>
      </c>
      <c r="W736" s="7" t="str">
        <f>IF(ISBLANK(patch[[#This Row],[project]]), "",COUNTIFS($A:$A,patch[[#This Row],[number]],$S:$S, "BJ And dev",$AC:$AC, "Review-1"))</f>
        <v/>
      </c>
      <c r="X736" s="7" t="str">
        <f>IF(ISBLANK(patch[[#This Row],[project]]), "",COUNTIFS($A:$A,patch[[#This Row],[number]],$S:$S, "FL And dev",$AC:$AC, "Review-1"))</f>
        <v/>
      </c>
      <c r="Y736" s="7" t="str">
        <f>IF(ISBLANK(patch[[#This Row],[project]]), "",COUNTIFS($A:$A,patch[[#This Row],[number]],$S:$S, "SH And dev",$AC:$AC, "Review-1"))</f>
        <v/>
      </c>
      <c r="Z736" s="7" t="str">
        <f>IF(ISBLANK(patch[[#This Row],[project]]), "",COUNTIFS($A:$A,patch[[#This Row],[number]],$S:$S, "BJ And dev",$AD:$AD, "&lt;&gt;IntegratorValidationComment"))</f>
        <v/>
      </c>
      <c r="AA736" s="7" t="str">
        <f>IF(ISBLANK(patch[[#This Row],[project]]), "",COUNTIFS($A:$A,patch[[#This Row],[number]],$S:$S, "FL And dev",$AD:$AD, "&lt;&gt;IntegratorValidationComment"))</f>
        <v/>
      </c>
      <c r="AB736" s="7" t="str">
        <f>IF(ISBLANK(patch[[#This Row],[project]]), "",COUNTIFS($A:$A,patch[[#This Row],[number]],$S:$S, "SH And dev",$AD:$AD, "&lt;&gt;IntegratorValidationComment"))</f>
        <v/>
      </c>
      <c r="AC736" s="7" t="str">
        <f>IF(OR(ISNUMBER(FIND("Review-1", patch[[#This Row],[comments]])), ISNUMBER(FIND("Approver-1", patch[[#This Row],[comments]]))), "Review-1", "")</f>
        <v/>
      </c>
      <c r="AD7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36" s="7">
        <f>IF(ISBLANK(patch[[#This Row],[number]]),AE735,patch[[#This Row],[ifCommon]])</f>
        <v>0</v>
      </c>
    </row>
    <row r="737" spans="1:31">
      <c r="A737" s="151">
        <v>147042</v>
      </c>
      <c r="B737" s="151"/>
      <c r="C737" s="151"/>
      <c r="D737" s="151"/>
      <c r="E737" s="151"/>
      <c r="F737" s="151"/>
      <c r="G737" s="151"/>
      <c r="H737" s="151"/>
      <c r="I737" s="151"/>
      <c r="J737" s="152">
        <v>42635.712719907409</v>
      </c>
      <c r="K737" s="151"/>
      <c r="L737" s="151" t="s">
        <v>63</v>
      </c>
      <c r="M737" s="152">
        <v>42634.699560185189</v>
      </c>
      <c r="N737" s="151" t="s">
        <v>2429</v>
      </c>
      <c r="O737" s="151"/>
      <c r="P737" s="151"/>
      <c r="Q737" s="7" t="str">
        <f>IF(ISBLANK(patch[[#This Row],[OwnerEmail]]),Q736,patch[[#This Row],[OwnerEmail]])</f>
        <v>zongx.li@intel.com</v>
      </c>
      <c r="R737" s="7" t="str">
        <f>_xlfn.IFNA(VLOOKUP(patch[[#This Row],[tmp-owner.email]],OrgTree!$A:$K, 11, 0), "not ICG SWFW")</f>
        <v>BJ And dev</v>
      </c>
      <c r="S737" s="7" t="str">
        <f>IF(patch[[#This Row],[reviewer]]=patch[[#This Row],[tmp-owner.email]], "author", _xlfn.IFNA(VLOOKUP(patch[[#This Row],[reviewer]],OrgTree!$A:$K, 11, 0), "not ICG SWFW"))</f>
        <v>author</v>
      </c>
      <c r="T737" s="7" t="str">
        <f>IF(ISBLANK(patch[[#This Row],[mergeDate]]), "", MID(YEAR(patch[[#This Row],[mergeDate]]), 3,2)&amp;"'ww"&amp;WEEKNUM(patch[[#This Row],[mergeDate]]))</f>
        <v>16'ww39</v>
      </c>
      <c r="U737" s="7" t="str">
        <f>IF(ISBLANK(patch[[#This Row],[mergeDate]]), U736, MID(YEAR(patch[[#This Row],[mergeDate]]), 3,2)&amp;"'m"&amp;MONTH(patch[[#This Row],[mergeDate]]))</f>
        <v>16'm9</v>
      </c>
      <c r="V737" s="7" t="str">
        <f>IF(ISBLANK(patch[[#This Row],[project]]), "",SUM(patch[[#This Row],[BJ -1 num]:[SH -1 num]]))</f>
        <v/>
      </c>
      <c r="W737" s="7" t="str">
        <f>IF(ISBLANK(patch[[#This Row],[project]]), "",COUNTIFS($A:$A,patch[[#This Row],[number]],$S:$S, "BJ And dev",$AC:$AC, "Review-1"))</f>
        <v/>
      </c>
      <c r="X737" s="7" t="str">
        <f>IF(ISBLANK(patch[[#This Row],[project]]), "",COUNTIFS($A:$A,patch[[#This Row],[number]],$S:$S, "FL And dev",$AC:$AC, "Review-1"))</f>
        <v/>
      </c>
      <c r="Y737" s="7" t="str">
        <f>IF(ISBLANK(patch[[#This Row],[project]]), "",COUNTIFS($A:$A,patch[[#This Row],[number]],$S:$S, "SH And dev",$AC:$AC, "Review-1"))</f>
        <v/>
      </c>
      <c r="Z737" s="7" t="str">
        <f>IF(ISBLANK(patch[[#This Row],[project]]), "",COUNTIFS($A:$A,patch[[#This Row],[number]],$S:$S, "BJ And dev",$AD:$AD, "&lt;&gt;IntegratorValidationComment"))</f>
        <v/>
      </c>
      <c r="AA737" s="7" t="str">
        <f>IF(ISBLANK(patch[[#This Row],[project]]), "",COUNTIFS($A:$A,patch[[#This Row],[number]],$S:$S, "FL And dev",$AD:$AD, "&lt;&gt;IntegratorValidationComment"))</f>
        <v/>
      </c>
      <c r="AB737" s="7" t="str">
        <f>IF(ISBLANK(patch[[#This Row],[project]]), "",COUNTIFS($A:$A,patch[[#This Row],[number]],$S:$S, "SH And dev",$AD:$AD, "&lt;&gt;IntegratorValidationComment"))</f>
        <v/>
      </c>
      <c r="AC737" s="7" t="str">
        <f>IF(OR(ISNUMBER(FIND("Review-1", patch[[#This Row],[comments]])), ISNUMBER(FIND("Approver-1", patch[[#This Row],[comments]]))), "Review-1", "")</f>
        <v/>
      </c>
      <c r="AD7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37" s="7">
        <f>IF(ISBLANK(patch[[#This Row],[number]]),AE736,patch[[#This Row],[ifCommon]])</f>
        <v>0</v>
      </c>
    </row>
    <row r="738" spans="1:31">
      <c r="A738" s="151">
        <v>147042</v>
      </c>
      <c r="B738" s="151"/>
      <c r="C738" s="151"/>
      <c r="D738" s="151"/>
      <c r="E738" s="151"/>
      <c r="F738" s="151"/>
      <c r="G738" s="151"/>
      <c r="H738" s="151"/>
      <c r="I738" s="151"/>
      <c r="J738" s="152">
        <v>42635.712719907409</v>
      </c>
      <c r="K738" s="151"/>
      <c r="L738" s="151" t="s">
        <v>63</v>
      </c>
      <c r="M738" s="152">
        <v>42634.699953703697</v>
      </c>
      <c r="N738" s="151" t="s">
        <v>27</v>
      </c>
      <c r="O738" s="151"/>
      <c r="P738" s="151"/>
      <c r="Q738" s="7" t="str">
        <f>IF(ISBLANK(patch[[#This Row],[OwnerEmail]]),Q737,patch[[#This Row],[OwnerEmail]])</f>
        <v>zongx.li@intel.com</v>
      </c>
      <c r="R738" s="7" t="str">
        <f>_xlfn.IFNA(VLOOKUP(patch[[#This Row],[tmp-owner.email]],OrgTree!$A:$K, 11, 0), "not ICG SWFW")</f>
        <v>BJ And dev</v>
      </c>
      <c r="S738" s="7" t="str">
        <f>IF(patch[[#This Row],[reviewer]]=patch[[#This Row],[tmp-owner.email]], "author", _xlfn.IFNA(VLOOKUP(patch[[#This Row],[reviewer]],OrgTree!$A:$K, 11, 0), "not ICG SWFW"))</f>
        <v>author</v>
      </c>
      <c r="T738" s="7" t="str">
        <f>IF(ISBLANK(patch[[#This Row],[mergeDate]]), "", MID(YEAR(patch[[#This Row],[mergeDate]]), 3,2)&amp;"'ww"&amp;WEEKNUM(patch[[#This Row],[mergeDate]]))</f>
        <v>16'ww39</v>
      </c>
      <c r="U738" s="7" t="str">
        <f>IF(ISBLANK(patch[[#This Row],[mergeDate]]), U737, MID(YEAR(patch[[#This Row],[mergeDate]]), 3,2)&amp;"'m"&amp;MONTH(patch[[#This Row],[mergeDate]]))</f>
        <v>16'm9</v>
      </c>
      <c r="V738" s="7" t="str">
        <f>IF(ISBLANK(patch[[#This Row],[project]]), "",SUM(patch[[#This Row],[BJ -1 num]:[SH -1 num]]))</f>
        <v/>
      </c>
      <c r="W738" s="7" t="str">
        <f>IF(ISBLANK(patch[[#This Row],[project]]), "",COUNTIFS($A:$A,patch[[#This Row],[number]],$S:$S, "BJ And dev",$AC:$AC, "Review-1"))</f>
        <v/>
      </c>
      <c r="X738" s="7" t="str">
        <f>IF(ISBLANK(patch[[#This Row],[project]]), "",COUNTIFS($A:$A,patch[[#This Row],[number]],$S:$S, "FL And dev",$AC:$AC, "Review-1"))</f>
        <v/>
      </c>
      <c r="Y738" s="7" t="str">
        <f>IF(ISBLANK(patch[[#This Row],[project]]), "",COUNTIFS($A:$A,patch[[#This Row],[number]],$S:$S, "SH And dev",$AC:$AC, "Review-1"))</f>
        <v/>
      </c>
      <c r="Z738" s="7" t="str">
        <f>IF(ISBLANK(patch[[#This Row],[project]]), "",COUNTIFS($A:$A,patch[[#This Row],[number]],$S:$S, "BJ And dev",$AD:$AD, "&lt;&gt;IntegratorValidationComment"))</f>
        <v/>
      </c>
      <c r="AA738" s="7" t="str">
        <f>IF(ISBLANK(patch[[#This Row],[project]]), "",COUNTIFS($A:$A,patch[[#This Row],[number]],$S:$S, "FL And dev",$AD:$AD, "&lt;&gt;IntegratorValidationComment"))</f>
        <v/>
      </c>
      <c r="AB738" s="7" t="str">
        <f>IF(ISBLANK(patch[[#This Row],[project]]), "",COUNTIFS($A:$A,patch[[#This Row],[number]],$S:$S, "SH And dev",$AD:$AD, "&lt;&gt;IntegratorValidationComment"))</f>
        <v/>
      </c>
      <c r="AC738" s="7" t="str">
        <f>IF(OR(ISNUMBER(FIND("Review-1", patch[[#This Row],[comments]])), ISNUMBER(FIND("Approver-1", patch[[#This Row],[comments]]))), "Review-1", "")</f>
        <v/>
      </c>
      <c r="AD7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38" s="7">
        <f>IF(ISBLANK(patch[[#This Row],[number]]),AE737,patch[[#This Row],[ifCommon]])</f>
        <v>0</v>
      </c>
    </row>
    <row r="739" spans="1:31">
      <c r="A739" s="151">
        <v>147042</v>
      </c>
      <c r="B739" s="151"/>
      <c r="C739" s="151"/>
      <c r="D739" s="151"/>
      <c r="E739" s="151"/>
      <c r="F739" s="151"/>
      <c r="G739" s="151"/>
      <c r="H739" s="151"/>
      <c r="I739" s="151"/>
      <c r="J739" s="152">
        <v>42635.712719907409</v>
      </c>
      <c r="K739" s="151"/>
      <c r="L739" s="151" t="s">
        <v>32</v>
      </c>
      <c r="M739" s="152">
        <v>42634.701817129629</v>
      </c>
      <c r="N739" s="151" t="s">
        <v>27</v>
      </c>
      <c r="O739" s="151"/>
      <c r="P739" s="151"/>
      <c r="Q739" s="7" t="str">
        <f>IF(ISBLANK(patch[[#This Row],[OwnerEmail]]),Q738,patch[[#This Row],[OwnerEmail]])</f>
        <v>zongx.li@intel.com</v>
      </c>
      <c r="R739" s="7" t="str">
        <f>_xlfn.IFNA(VLOOKUP(patch[[#This Row],[tmp-owner.email]],OrgTree!$A:$K, 11, 0), "not ICG SWFW")</f>
        <v>BJ And dev</v>
      </c>
      <c r="S739" s="7" t="str">
        <f>IF(patch[[#This Row],[reviewer]]=patch[[#This Row],[tmp-owner.email]], "author", _xlfn.IFNA(VLOOKUP(patch[[#This Row],[reviewer]],OrgTree!$A:$K, 11, 0), "not ICG SWFW"))</f>
        <v>BJ And dev</v>
      </c>
      <c r="T739" s="7" t="str">
        <f>IF(ISBLANK(patch[[#This Row],[mergeDate]]), "", MID(YEAR(patch[[#This Row],[mergeDate]]), 3,2)&amp;"'ww"&amp;WEEKNUM(patch[[#This Row],[mergeDate]]))</f>
        <v>16'ww39</v>
      </c>
      <c r="U739" s="7" t="str">
        <f>IF(ISBLANK(patch[[#This Row],[mergeDate]]), U738, MID(YEAR(patch[[#This Row],[mergeDate]]), 3,2)&amp;"'m"&amp;MONTH(patch[[#This Row],[mergeDate]]))</f>
        <v>16'm9</v>
      </c>
      <c r="V739" s="7" t="str">
        <f>IF(ISBLANK(patch[[#This Row],[project]]), "",SUM(patch[[#This Row],[BJ -1 num]:[SH -1 num]]))</f>
        <v/>
      </c>
      <c r="W739" s="7" t="str">
        <f>IF(ISBLANK(patch[[#This Row],[project]]), "",COUNTIFS($A:$A,patch[[#This Row],[number]],$S:$S, "BJ And dev",$AC:$AC, "Review-1"))</f>
        <v/>
      </c>
      <c r="X739" s="7" t="str">
        <f>IF(ISBLANK(patch[[#This Row],[project]]), "",COUNTIFS($A:$A,patch[[#This Row],[number]],$S:$S, "FL And dev",$AC:$AC, "Review-1"))</f>
        <v/>
      </c>
      <c r="Y739" s="7" t="str">
        <f>IF(ISBLANK(patch[[#This Row],[project]]), "",COUNTIFS($A:$A,patch[[#This Row],[number]],$S:$S, "SH And dev",$AC:$AC, "Review-1"))</f>
        <v/>
      </c>
      <c r="Z739" s="7" t="str">
        <f>IF(ISBLANK(patch[[#This Row],[project]]), "",COUNTIFS($A:$A,patch[[#This Row],[number]],$S:$S, "BJ And dev",$AD:$AD, "&lt;&gt;IntegratorValidationComment"))</f>
        <v/>
      </c>
      <c r="AA739" s="7" t="str">
        <f>IF(ISBLANK(patch[[#This Row],[project]]), "",COUNTIFS($A:$A,patch[[#This Row],[number]],$S:$S, "FL And dev",$AD:$AD, "&lt;&gt;IntegratorValidationComment"))</f>
        <v/>
      </c>
      <c r="AB739" s="7" t="str">
        <f>IF(ISBLANK(patch[[#This Row],[project]]), "",COUNTIFS($A:$A,patch[[#This Row],[number]],$S:$S, "SH And dev",$AD:$AD, "&lt;&gt;IntegratorValidationComment"))</f>
        <v/>
      </c>
      <c r="AC739" s="7" t="str">
        <f>IF(OR(ISNUMBER(FIND("Review-1", patch[[#This Row],[comments]])), ISNUMBER(FIND("Approver-1", patch[[#This Row],[comments]]))), "Review-1", "")</f>
        <v/>
      </c>
      <c r="AD7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39" s="7">
        <f>IF(ISBLANK(patch[[#This Row],[number]]),AE738,patch[[#This Row],[ifCommon]])</f>
        <v>0</v>
      </c>
    </row>
    <row r="740" spans="1:31">
      <c r="A740" s="151">
        <v>147042</v>
      </c>
      <c r="B740" s="151"/>
      <c r="C740" s="151"/>
      <c r="D740" s="151"/>
      <c r="E740" s="151"/>
      <c r="F740" s="151"/>
      <c r="G740" s="151"/>
      <c r="H740" s="151"/>
      <c r="I740" s="151"/>
      <c r="J740" s="152">
        <v>42635.712719907409</v>
      </c>
      <c r="K740" s="151"/>
      <c r="L740" s="151" t="s">
        <v>59</v>
      </c>
      <c r="M740" s="152">
        <v>42634.702905092592</v>
      </c>
      <c r="N740" s="151" t="s">
        <v>2985</v>
      </c>
      <c r="O740" s="151"/>
      <c r="P740" s="151"/>
      <c r="Q740" s="7" t="str">
        <f>IF(ISBLANK(patch[[#This Row],[OwnerEmail]]),Q739,patch[[#This Row],[OwnerEmail]])</f>
        <v>zongx.li@intel.com</v>
      </c>
      <c r="R740" s="7" t="str">
        <f>_xlfn.IFNA(VLOOKUP(patch[[#This Row],[tmp-owner.email]],OrgTree!$A:$K, 11, 0), "not ICG SWFW")</f>
        <v>BJ And dev</v>
      </c>
      <c r="S740" s="7" t="str">
        <f>IF(patch[[#This Row],[reviewer]]=patch[[#This Row],[tmp-owner.email]], "author", _xlfn.IFNA(VLOOKUP(patch[[#This Row],[reviewer]],OrgTree!$A:$K, 11, 0), "not ICG SWFW"))</f>
        <v>BJ And dev</v>
      </c>
      <c r="T740" s="7" t="str">
        <f>IF(ISBLANK(patch[[#This Row],[mergeDate]]), "", MID(YEAR(patch[[#This Row],[mergeDate]]), 3,2)&amp;"'ww"&amp;WEEKNUM(patch[[#This Row],[mergeDate]]))</f>
        <v>16'ww39</v>
      </c>
      <c r="U740" s="7" t="str">
        <f>IF(ISBLANK(patch[[#This Row],[mergeDate]]), U739, MID(YEAR(patch[[#This Row],[mergeDate]]), 3,2)&amp;"'m"&amp;MONTH(patch[[#This Row],[mergeDate]]))</f>
        <v>16'm9</v>
      </c>
      <c r="V740" s="7" t="str">
        <f>IF(ISBLANK(patch[[#This Row],[project]]), "",SUM(patch[[#This Row],[BJ -1 num]:[SH -1 num]]))</f>
        <v/>
      </c>
      <c r="W740" s="7" t="str">
        <f>IF(ISBLANK(patch[[#This Row],[project]]), "",COUNTIFS($A:$A,patch[[#This Row],[number]],$S:$S, "BJ And dev",$AC:$AC, "Review-1"))</f>
        <v/>
      </c>
      <c r="X740" s="7" t="str">
        <f>IF(ISBLANK(patch[[#This Row],[project]]), "",COUNTIFS($A:$A,patch[[#This Row],[number]],$S:$S, "FL And dev",$AC:$AC, "Review-1"))</f>
        <v/>
      </c>
      <c r="Y740" s="7" t="str">
        <f>IF(ISBLANK(patch[[#This Row],[project]]), "",COUNTIFS($A:$A,patch[[#This Row],[number]],$S:$S, "SH And dev",$AC:$AC, "Review-1"))</f>
        <v/>
      </c>
      <c r="Z740" s="7" t="str">
        <f>IF(ISBLANK(patch[[#This Row],[project]]), "",COUNTIFS($A:$A,patch[[#This Row],[number]],$S:$S, "BJ And dev",$AD:$AD, "&lt;&gt;IntegratorValidationComment"))</f>
        <v/>
      </c>
      <c r="AA740" s="7" t="str">
        <f>IF(ISBLANK(patch[[#This Row],[project]]), "",COUNTIFS($A:$A,patch[[#This Row],[number]],$S:$S, "FL And dev",$AD:$AD, "&lt;&gt;IntegratorValidationComment"))</f>
        <v/>
      </c>
      <c r="AB740" s="7" t="str">
        <f>IF(ISBLANK(patch[[#This Row],[project]]), "",COUNTIFS($A:$A,patch[[#This Row],[number]],$S:$S, "SH And dev",$AD:$AD, "&lt;&gt;IntegratorValidationComment"))</f>
        <v/>
      </c>
      <c r="AC740" s="7" t="str">
        <f>IF(OR(ISNUMBER(FIND("Review-1", patch[[#This Row],[comments]])), ISNUMBER(FIND("Approver-1", patch[[#This Row],[comments]]))), "Review-1", "")</f>
        <v/>
      </c>
      <c r="AD7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40" s="7">
        <f>IF(ISBLANK(patch[[#This Row],[number]]),AE739,patch[[#This Row],[ifCommon]])</f>
        <v>0</v>
      </c>
    </row>
    <row r="741" spans="1:31">
      <c r="A741" s="151">
        <v>147042</v>
      </c>
      <c r="B741" s="151"/>
      <c r="C741" s="151"/>
      <c r="D741" s="151"/>
      <c r="E741" s="151"/>
      <c r="F741" s="151"/>
      <c r="G741" s="151"/>
      <c r="H741" s="151"/>
      <c r="I741" s="151"/>
      <c r="J741" s="152">
        <v>42635.712719907409</v>
      </c>
      <c r="K741" s="151"/>
      <c r="L741" s="151" t="s">
        <v>59</v>
      </c>
      <c r="M741" s="152">
        <v>42634.703032407408</v>
      </c>
      <c r="N741" s="151" t="s">
        <v>27</v>
      </c>
      <c r="O741" s="151"/>
      <c r="P741" s="151"/>
      <c r="Q741" s="7" t="str">
        <f>IF(ISBLANK(patch[[#This Row],[OwnerEmail]]),Q740,patch[[#This Row],[OwnerEmail]])</f>
        <v>zongx.li@intel.com</v>
      </c>
      <c r="R741" s="7" t="str">
        <f>_xlfn.IFNA(VLOOKUP(patch[[#This Row],[tmp-owner.email]],OrgTree!$A:$K, 11, 0), "not ICG SWFW")</f>
        <v>BJ And dev</v>
      </c>
      <c r="S741" s="7" t="str">
        <f>IF(patch[[#This Row],[reviewer]]=patch[[#This Row],[tmp-owner.email]], "author", _xlfn.IFNA(VLOOKUP(patch[[#This Row],[reviewer]],OrgTree!$A:$K, 11, 0), "not ICG SWFW"))</f>
        <v>BJ And dev</v>
      </c>
      <c r="T741" s="7" t="str">
        <f>IF(ISBLANK(patch[[#This Row],[mergeDate]]), "", MID(YEAR(patch[[#This Row],[mergeDate]]), 3,2)&amp;"'ww"&amp;WEEKNUM(patch[[#This Row],[mergeDate]]))</f>
        <v>16'ww39</v>
      </c>
      <c r="U741" s="7" t="str">
        <f>IF(ISBLANK(patch[[#This Row],[mergeDate]]), U740, MID(YEAR(patch[[#This Row],[mergeDate]]), 3,2)&amp;"'m"&amp;MONTH(patch[[#This Row],[mergeDate]]))</f>
        <v>16'm9</v>
      </c>
      <c r="V741" s="7" t="str">
        <f>IF(ISBLANK(patch[[#This Row],[project]]), "",SUM(patch[[#This Row],[BJ -1 num]:[SH -1 num]]))</f>
        <v/>
      </c>
      <c r="W741" s="7" t="str">
        <f>IF(ISBLANK(patch[[#This Row],[project]]), "",COUNTIFS($A:$A,patch[[#This Row],[number]],$S:$S, "BJ And dev",$AC:$AC, "Review-1"))</f>
        <v/>
      </c>
      <c r="X741" s="7" t="str">
        <f>IF(ISBLANK(patch[[#This Row],[project]]), "",COUNTIFS($A:$A,patch[[#This Row],[number]],$S:$S, "FL And dev",$AC:$AC, "Review-1"))</f>
        <v/>
      </c>
      <c r="Y741" s="7" t="str">
        <f>IF(ISBLANK(patch[[#This Row],[project]]), "",COUNTIFS($A:$A,patch[[#This Row],[number]],$S:$S, "SH And dev",$AC:$AC, "Review-1"))</f>
        <v/>
      </c>
      <c r="Z741" s="7" t="str">
        <f>IF(ISBLANK(patch[[#This Row],[project]]), "",COUNTIFS($A:$A,patch[[#This Row],[number]],$S:$S, "BJ And dev",$AD:$AD, "&lt;&gt;IntegratorValidationComment"))</f>
        <v/>
      </c>
      <c r="AA741" s="7" t="str">
        <f>IF(ISBLANK(patch[[#This Row],[project]]), "",COUNTIFS($A:$A,patch[[#This Row],[number]],$S:$S, "FL And dev",$AD:$AD, "&lt;&gt;IntegratorValidationComment"))</f>
        <v/>
      </c>
      <c r="AB741" s="7" t="str">
        <f>IF(ISBLANK(patch[[#This Row],[project]]), "",COUNTIFS($A:$A,patch[[#This Row],[number]],$S:$S, "SH And dev",$AD:$AD, "&lt;&gt;IntegratorValidationComment"))</f>
        <v/>
      </c>
      <c r="AC741" s="7" t="str">
        <f>IF(OR(ISNUMBER(FIND("Review-1", patch[[#This Row],[comments]])), ISNUMBER(FIND("Approver-1", patch[[#This Row],[comments]]))), "Review-1", "")</f>
        <v/>
      </c>
      <c r="AD7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41" s="7">
        <f>IF(ISBLANK(patch[[#This Row],[number]]),AE740,patch[[#This Row],[ifCommon]])</f>
        <v>0</v>
      </c>
    </row>
    <row r="742" spans="1:31">
      <c r="A742" s="151">
        <v>147042</v>
      </c>
      <c r="B742" s="151"/>
      <c r="C742" s="151"/>
      <c r="D742" s="151"/>
      <c r="E742" s="151"/>
      <c r="F742" s="151"/>
      <c r="G742" s="151"/>
      <c r="H742" s="151"/>
      <c r="I742" s="151"/>
      <c r="J742" s="152">
        <v>42635.712719907409</v>
      </c>
      <c r="K742" s="151"/>
      <c r="L742" s="151" t="s">
        <v>59</v>
      </c>
      <c r="M742" s="152">
        <v>42634.705787037034</v>
      </c>
      <c r="N742" s="151" t="s">
        <v>2986</v>
      </c>
      <c r="O742" s="151"/>
      <c r="P742" s="151"/>
      <c r="Q742" s="7" t="str">
        <f>IF(ISBLANK(patch[[#This Row],[OwnerEmail]]),Q741,patch[[#This Row],[OwnerEmail]])</f>
        <v>zongx.li@intel.com</v>
      </c>
      <c r="R742" s="7" t="str">
        <f>_xlfn.IFNA(VLOOKUP(patch[[#This Row],[tmp-owner.email]],OrgTree!$A:$K, 11, 0), "not ICG SWFW")</f>
        <v>BJ And dev</v>
      </c>
      <c r="S742" s="7" t="str">
        <f>IF(patch[[#This Row],[reviewer]]=patch[[#This Row],[tmp-owner.email]], "author", _xlfn.IFNA(VLOOKUP(patch[[#This Row],[reviewer]],OrgTree!$A:$K, 11, 0), "not ICG SWFW"))</f>
        <v>BJ And dev</v>
      </c>
      <c r="T742" s="7" t="str">
        <f>IF(ISBLANK(patch[[#This Row],[mergeDate]]), "", MID(YEAR(patch[[#This Row],[mergeDate]]), 3,2)&amp;"'ww"&amp;WEEKNUM(patch[[#This Row],[mergeDate]]))</f>
        <v>16'ww39</v>
      </c>
      <c r="U742" s="7" t="str">
        <f>IF(ISBLANK(patch[[#This Row],[mergeDate]]), U741, MID(YEAR(patch[[#This Row],[mergeDate]]), 3,2)&amp;"'m"&amp;MONTH(patch[[#This Row],[mergeDate]]))</f>
        <v>16'm9</v>
      </c>
      <c r="V742" s="7" t="str">
        <f>IF(ISBLANK(patch[[#This Row],[project]]), "",SUM(patch[[#This Row],[BJ -1 num]:[SH -1 num]]))</f>
        <v/>
      </c>
      <c r="W742" s="7" t="str">
        <f>IF(ISBLANK(patch[[#This Row],[project]]), "",COUNTIFS($A:$A,patch[[#This Row],[number]],$S:$S, "BJ And dev",$AC:$AC, "Review-1"))</f>
        <v/>
      </c>
      <c r="X742" s="7" t="str">
        <f>IF(ISBLANK(patch[[#This Row],[project]]), "",COUNTIFS($A:$A,patch[[#This Row],[number]],$S:$S, "FL And dev",$AC:$AC, "Review-1"))</f>
        <v/>
      </c>
      <c r="Y742" s="7" t="str">
        <f>IF(ISBLANK(patch[[#This Row],[project]]), "",COUNTIFS($A:$A,patch[[#This Row],[number]],$S:$S, "SH And dev",$AC:$AC, "Review-1"))</f>
        <v/>
      </c>
      <c r="Z742" s="7" t="str">
        <f>IF(ISBLANK(patch[[#This Row],[project]]), "",COUNTIFS($A:$A,patch[[#This Row],[number]],$S:$S, "BJ And dev",$AD:$AD, "&lt;&gt;IntegratorValidationComment"))</f>
        <v/>
      </c>
      <c r="AA742" s="7" t="str">
        <f>IF(ISBLANK(patch[[#This Row],[project]]), "",COUNTIFS($A:$A,patch[[#This Row],[number]],$S:$S, "FL And dev",$AD:$AD, "&lt;&gt;IntegratorValidationComment"))</f>
        <v/>
      </c>
      <c r="AB742" s="7" t="str">
        <f>IF(ISBLANK(patch[[#This Row],[project]]), "",COUNTIFS($A:$A,patch[[#This Row],[number]],$S:$S, "SH And dev",$AD:$AD, "&lt;&gt;IntegratorValidationComment"))</f>
        <v/>
      </c>
      <c r="AC742" s="7" t="str">
        <f>IF(OR(ISNUMBER(FIND("Review-1", patch[[#This Row],[comments]])), ISNUMBER(FIND("Approver-1", patch[[#This Row],[comments]]))), "Review-1", "")</f>
        <v/>
      </c>
      <c r="AD7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42" s="7">
        <f>IF(ISBLANK(patch[[#This Row],[number]]),AE741,patch[[#This Row],[ifCommon]])</f>
        <v>0</v>
      </c>
    </row>
    <row r="743" spans="1:31">
      <c r="A743" s="151">
        <v>147042</v>
      </c>
      <c r="B743" s="151"/>
      <c r="C743" s="151"/>
      <c r="D743" s="151"/>
      <c r="E743" s="151"/>
      <c r="F743" s="151"/>
      <c r="G743" s="151"/>
      <c r="H743" s="151"/>
      <c r="I743" s="151"/>
      <c r="J743" s="152">
        <v>42635.712719907409</v>
      </c>
      <c r="K743" s="151"/>
      <c r="L743" s="151" t="s">
        <v>55</v>
      </c>
      <c r="M743" s="152">
        <v>42634.946238425917</v>
      </c>
      <c r="N743" s="151" t="s">
        <v>1873</v>
      </c>
      <c r="O743" s="151"/>
      <c r="P743" s="151"/>
      <c r="Q743" s="7" t="str">
        <f>IF(ISBLANK(patch[[#This Row],[OwnerEmail]]),Q742,patch[[#This Row],[OwnerEmail]])</f>
        <v>zongx.li@intel.com</v>
      </c>
      <c r="R743" s="7" t="str">
        <f>_xlfn.IFNA(VLOOKUP(patch[[#This Row],[tmp-owner.email]],OrgTree!$A:$K, 11, 0), "not ICG SWFW")</f>
        <v>BJ And dev</v>
      </c>
      <c r="S743" s="7" t="str">
        <f>IF(patch[[#This Row],[reviewer]]=patch[[#This Row],[tmp-owner.email]], "author", _xlfn.IFNA(VLOOKUP(patch[[#This Row],[reviewer]],OrgTree!$A:$K, 11, 0), "not ICG SWFW"))</f>
        <v>BJ And dev</v>
      </c>
      <c r="T743" s="7" t="str">
        <f>IF(ISBLANK(patch[[#This Row],[mergeDate]]), "", MID(YEAR(patch[[#This Row],[mergeDate]]), 3,2)&amp;"'ww"&amp;WEEKNUM(patch[[#This Row],[mergeDate]]))</f>
        <v>16'ww39</v>
      </c>
      <c r="U743" s="7" t="str">
        <f>IF(ISBLANK(patch[[#This Row],[mergeDate]]), U742, MID(YEAR(patch[[#This Row],[mergeDate]]), 3,2)&amp;"'m"&amp;MONTH(patch[[#This Row],[mergeDate]]))</f>
        <v>16'm9</v>
      </c>
      <c r="V743" s="7" t="str">
        <f>IF(ISBLANK(patch[[#This Row],[project]]), "",SUM(patch[[#This Row],[BJ -1 num]:[SH -1 num]]))</f>
        <v/>
      </c>
      <c r="W743" s="7" t="str">
        <f>IF(ISBLANK(patch[[#This Row],[project]]), "",COUNTIFS($A:$A,patch[[#This Row],[number]],$S:$S, "BJ And dev",$AC:$AC, "Review-1"))</f>
        <v/>
      </c>
      <c r="X743" s="7" t="str">
        <f>IF(ISBLANK(patch[[#This Row],[project]]), "",COUNTIFS($A:$A,patch[[#This Row],[number]],$S:$S, "FL And dev",$AC:$AC, "Review-1"))</f>
        <v/>
      </c>
      <c r="Y743" s="7" t="str">
        <f>IF(ISBLANK(patch[[#This Row],[project]]), "",COUNTIFS($A:$A,patch[[#This Row],[number]],$S:$S, "SH And dev",$AC:$AC, "Review-1"))</f>
        <v/>
      </c>
      <c r="Z743" s="7" t="str">
        <f>IF(ISBLANK(patch[[#This Row],[project]]), "",COUNTIFS($A:$A,patch[[#This Row],[number]],$S:$S, "BJ And dev",$AD:$AD, "&lt;&gt;IntegratorValidationComment"))</f>
        <v/>
      </c>
      <c r="AA743" s="7" t="str">
        <f>IF(ISBLANK(patch[[#This Row],[project]]), "",COUNTIFS($A:$A,patch[[#This Row],[number]],$S:$S, "FL And dev",$AD:$AD, "&lt;&gt;IntegratorValidationComment"))</f>
        <v/>
      </c>
      <c r="AB743" s="7" t="str">
        <f>IF(ISBLANK(patch[[#This Row],[project]]), "",COUNTIFS($A:$A,patch[[#This Row],[number]],$S:$S, "SH And dev",$AD:$AD, "&lt;&gt;IntegratorValidationComment"))</f>
        <v/>
      </c>
      <c r="AC743" s="7" t="str">
        <f>IF(OR(ISNUMBER(FIND("Review-1", patch[[#This Row],[comments]])), ISNUMBER(FIND("Approver-1", patch[[#This Row],[comments]]))), "Review-1", "")</f>
        <v/>
      </c>
      <c r="AD7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43" s="7">
        <f>IF(ISBLANK(patch[[#This Row],[number]]),AE742,patch[[#This Row],[ifCommon]])</f>
        <v>0</v>
      </c>
    </row>
    <row r="744" spans="1:31">
      <c r="A744" s="151">
        <v>147042</v>
      </c>
      <c r="B744" s="151"/>
      <c r="C744" s="151"/>
      <c r="D744" s="151"/>
      <c r="E744" s="151"/>
      <c r="F744" s="151"/>
      <c r="G744" s="151"/>
      <c r="H744" s="151"/>
      <c r="I744" s="152"/>
      <c r="J744" s="152">
        <v>42635.712719907409</v>
      </c>
      <c r="K744" s="151"/>
      <c r="L744" s="151" t="s">
        <v>115</v>
      </c>
      <c r="M744" s="152">
        <v>42635.427719907413</v>
      </c>
      <c r="N744" s="151" t="s">
        <v>2495</v>
      </c>
      <c r="O744" s="151"/>
      <c r="P744" s="151"/>
      <c r="Q744" s="7" t="str">
        <f>IF(ISBLANK(patch[[#This Row],[OwnerEmail]]),Q743,patch[[#This Row],[OwnerEmail]])</f>
        <v>zongx.li@intel.com</v>
      </c>
      <c r="R744" s="7" t="str">
        <f>_xlfn.IFNA(VLOOKUP(patch[[#This Row],[tmp-owner.email]],OrgTree!$A:$K, 11, 0), "not ICG SWFW")</f>
        <v>BJ And dev</v>
      </c>
      <c r="S744" s="7" t="str">
        <f>IF(patch[[#This Row],[reviewer]]=patch[[#This Row],[tmp-owner.email]], "author", _xlfn.IFNA(VLOOKUP(patch[[#This Row],[reviewer]],OrgTree!$A:$K, 11, 0), "not ICG SWFW"))</f>
        <v>Val</v>
      </c>
      <c r="T744" s="7" t="str">
        <f>IF(ISBLANK(patch[[#This Row],[mergeDate]]), "", MID(YEAR(patch[[#This Row],[mergeDate]]), 3,2)&amp;"'ww"&amp;WEEKNUM(patch[[#This Row],[mergeDate]]))</f>
        <v>16'ww39</v>
      </c>
      <c r="U744" s="7" t="str">
        <f>IF(ISBLANK(patch[[#This Row],[mergeDate]]), U743, MID(YEAR(patch[[#This Row],[mergeDate]]), 3,2)&amp;"'m"&amp;MONTH(patch[[#This Row],[mergeDate]]))</f>
        <v>16'm9</v>
      </c>
      <c r="V744" s="7" t="str">
        <f>IF(ISBLANK(patch[[#This Row],[project]]), "",SUM(patch[[#This Row],[BJ -1 num]:[SH -1 num]]))</f>
        <v/>
      </c>
      <c r="W744" s="7" t="str">
        <f>IF(ISBLANK(patch[[#This Row],[project]]), "",COUNTIFS($A:$A,patch[[#This Row],[number]],$S:$S, "BJ And dev",$AC:$AC, "Review-1"))</f>
        <v/>
      </c>
      <c r="X744" s="7" t="str">
        <f>IF(ISBLANK(patch[[#This Row],[project]]), "",COUNTIFS($A:$A,patch[[#This Row],[number]],$S:$S, "FL And dev",$AC:$AC, "Review-1"))</f>
        <v/>
      </c>
      <c r="Y744" s="7" t="str">
        <f>IF(ISBLANK(patch[[#This Row],[project]]), "",COUNTIFS($A:$A,patch[[#This Row],[number]],$S:$S, "SH And dev",$AC:$AC, "Review-1"))</f>
        <v/>
      </c>
      <c r="Z744" s="7" t="str">
        <f>IF(ISBLANK(patch[[#This Row],[project]]), "",COUNTIFS($A:$A,patch[[#This Row],[number]],$S:$S, "BJ And dev",$AD:$AD, "&lt;&gt;IntegratorValidationComment"))</f>
        <v/>
      </c>
      <c r="AA744" s="7" t="str">
        <f>IF(ISBLANK(patch[[#This Row],[project]]), "",COUNTIFS($A:$A,patch[[#This Row],[number]],$S:$S, "FL And dev",$AD:$AD, "&lt;&gt;IntegratorValidationComment"))</f>
        <v/>
      </c>
      <c r="AB744" s="7" t="str">
        <f>IF(ISBLANK(patch[[#This Row],[project]]), "",COUNTIFS($A:$A,patch[[#This Row],[number]],$S:$S, "SH And dev",$AD:$AD, "&lt;&gt;IntegratorValidationComment"))</f>
        <v/>
      </c>
      <c r="AC744" s="7" t="str">
        <f>IF(OR(ISNUMBER(FIND("Review-1", patch[[#This Row],[comments]])), ISNUMBER(FIND("Approver-1", patch[[#This Row],[comments]]))), "Review-1", "")</f>
        <v/>
      </c>
      <c r="AD7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744" s="7">
        <f>IF(ISBLANK(patch[[#This Row],[number]]),AE743,patch[[#This Row],[ifCommon]])</f>
        <v>0</v>
      </c>
    </row>
    <row r="745" spans="1:31">
      <c r="A745" s="151">
        <v>147042</v>
      </c>
      <c r="B745" s="151"/>
      <c r="C745" s="151"/>
      <c r="D745" s="151"/>
      <c r="E745" s="151"/>
      <c r="F745" s="151"/>
      <c r="G745" s="151"/>
      <c r="H745" s="151"/>
      <c r="I745" s="151"/>
      <c r="J745" s="152">
        <v>42635.712719907409</v>
      </c>
      <c r="K745" s="151"/>
      <c r="L745" s="151" t="s">
        <v>115</v>
      </c>
      <c r="M745" s="152">
        <v>42635.431493055563</v>
      </c>
      <c r="N745" s="151" t="s">
        <v>2987</v>
      </c>
      <c r="O745" s="151"/>
      <c r="P745" s="151"/>
      <c r="Q745" s="7" t="str">
        <f>IF(ISBLANK(patch[[#This Row],[OwnerEmail]]),Q744,patch[[#This Row],[OwnerEmail]])</f>
        <v>zongx.li@intel.com</v>
      </c>
      <c r="R745" s="7" t="str">
        <f>_xlfn.IFNA(VLOOKUP(patch[[#This Row],[tmp-owner.email]],OrgTree!$A:$K, 11, 0), "not ICG SWFW")</f>
        <v>BJ And dev</v>
      </c>
      <c r="S745" s="7" t="str">
        <f>IF(patch[[#This Row],[reviewer]]=patch[[#This Row],[tmp-owner.email]], "author", _xlfn.IFNA(VLOOKUP(patch[[#This Row],[reviewer]],OrgTree!$A:$K, 11, 0), "not ICG SWFW"))</f>
        <v>Val</v>
      </c>
      <c r="T745" s="7" t="str">
        <f>IF(ISBLANK(patch[[#This Row],[mergeDate]]), "", MID(YEAR(patch[[#This Row],[mergeDate]]), 3,2)&amp;"'ww"&amp;WEEKNUM(patch[[#This Row],[mergeDate]]))</f>
        <v>16'ww39</v>
      </c>
      <c r="U745" s="7" t="str">
        <f>IF(ISBLANK(patch[[#This Row],[mergeDate]]), U744, MID(YEAR(patch[[#This Row],[mergeDate]]), 3,2)&amp;"'m"&amp;MONTH(patch[[#This Row],[mergeDate]]))</f>
        <v>16'm9</v>
      </c>
      <c r="V745" s="7" t="str">
        <f>IF(ISBLANK(patch[[#This Row],[project]]), "",SUM(patch[[#This Row],[BJ -1 num]:[SH -1 num]]))</f>
        <v/>
      </c>
      <c r="W745" s="7" t="str">
        <f>IF(ISBLANK(patch[[#This Row],[project]]), "",COUNTIFS($A:$A,patch[[#This Row],[number]],$S:$S, "BJ And dev",$AC:$AC, "Review-1"))</f>
        <v/>
      </c>
      <c r="X745" s="7" t="str">
        <f>IF(ISBLANK(patch[[#This Row],[project]]), "",COUNTIFS($A:$A,patch[[#This Row],[number]],$S:$S, "FL And dev",$AC:$AC, "Review-1"))</f>
        <v/>
      </c>
      <c r="Y745" s="7" t="str">
        <f>IF(ISBLANK(patch[[#This Row],[project]]), "",COUNTIFS($A:$A,patch[[#This Row],[number]],$S:$S, "SH And dev",$AC:$AC, "Review-1"))</f>
        <v/>
      </c>
      <c r="Z745" s="7" t="str">
        <f>IF(ISBLANK(patch[[#This Row],[project]]), "",COUNTIFS($A:$A,patch[[#This Row],[number]],$S:$S, "BJ And dev",$AD:$AD, "&lt;&gt;IntegratorValidationComment"))</f>
        <v/>
      </c>
      <c r="AA745" s="7" t="str">
        <f>IF(ISBLANK(patch[[#This Row],[project]]), "",COUNTIFS($A:$A,patch[[#This Row],[number]],$S:$S, "FL And dev",$AD:$AD, "&lt;&gt;IntegratorValidationComment"))</f>
        <v/>
      </c>
      <c r="AB745" s="7" t="str">
        <f>IF(ISBLANK(patch[[#This Row],[project]]), "",COUNTIFS($A:$A,patch[[#This Row],[number]],$S:$S, "SH And dev",$AD:$AD, "&lt;&gt;IntegratorValidationComment"))</f>
        <v/>
      </c>
      <c r="AC745" s="7" t="str">
        <f>IF(OR(ISNUMBER(FIND("Review-1", patch[[#This Row],[comments]])), ISNUMBER(FIND("Approver-1", patch[[#This Row],[comments]]))), "Review-1", "")</f>
        <v/>
      </c>
      <c r="AD7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745" s="7">
        <f>IF(ISBLANK(patch[[#This Row],[number]]),AE744,patch[[#This Row],[ifCommon]])</f>
        <v>0</v>
      </c>
    </row>
    <row r="746" spans="1:31">
      <c r="A746" s="151">
        <v>147042</v>
      </c>
      <c r="B746" s="151"/>
      <c r="C746" s="151"/>
      <c r="D746" s="151"/>
      <c r="E746" s="151"/>
      <c r="F746" s="151"/>
      <c r="G746" s="151"/>
      <c r="H746" s="151"/>
      <c r="I746" s="151"/>
      <c r="J746" s="152">
        <v>42635.712719907409</v>
      </c>
      <c r="K746" s="151"/>
      <c r="L746" s="151" t="s">
        <v>63</v>
      </c>
      <c r="M746" s="152">
        <v>42635.431828703702</v>
      </c>
      <c r="N746" s="151" t="s">
        <v>2450</v>
      </c>
      <c r="O746" s="151"/>
      <c r="P746" s="151"/>
      <c r="Q746" s="7" t="str">
        <f>IF(ISBLANK(patch[[#This Row],[OwnerEmail]]),Q745,patch[[#This Row],[OwnerEmail]])</f>
        <v>zongx.li@intel.com</v>
      </c>
      <c r="R746" s="7" t="str">
        <f>_xlfn.IFNA(VLOOKUP(patch[[#This Row],[tmp-owner.email]],OrgTree!$A:$K, 11, 0), "not ICG SWFW")</f>
        <v>BJ And dev</v>
      </c>
      <c r="S746" s="7" t="str">
        <f>IF(patch[[#This Row],[reviewer]]=patch[[#This Row],[tmp-owner.email]], "author", _xlfn.IFNA(VLOOKUP(patch[[#This Row],[reviewer]],OrgTree!$A:$K, 11, 0), "not ICG SWFW"))</f>
        <v>author</v>
      </c>
      <c r="T746" s="7" t="str">
        <f>IF(ISBLANK(patch[[#This Row],[mergeDate]]), "", MID(YEAR(patch[[#This Row],[mergeDate]]), 3,2)&amp;"'ww"&amp;WEEKNUM(patch[[#This Row],[mergeDate]]))</f>
        <v>16'ww39</v>
      </c>
      <c r="U746" s="7" t="str">
        <f>IF(ISBLANK(patch[[#This Row],[mergeDate]]), U745, MID(YEAR(patch[[#This Row],[mergeDate]]), 3,2)&amp;"'m"&amp;MONTH(patch[[#This Row],[mergeDate]]))</f>
        <v>16'm9</v>
      </c>
      <c r="V746" s="7" t="str">
        <f>IF(ISBLANK(patch[[#This Row],[project]]), "",SUM(patch[[#This Row],[BJ -1 num]:[SH -1 num]]))</f>
        <v/>
      </c>
      <c r="W746" s="7" t="str">
        <f>IF(ISBLANK(patch[[#This Row],[project]]), "",COUNTIFS($A:$A,patch[[#This Row],[number]],$S:$S, "BJ And dev",$AC:$AC, "Review-1"))</f>
        <v/>
      </c>
      <c r="X746" s="7" t="str">
        <f>IF(ISBLANK(patch[[#This Row],[project]]), "",COUNTIFS($A:$A,patch[[#This Row],[number]],$S:$S, "FL And dev",$AC:$AC, "Review-1"))</f>
        <v/>
      </c>
      <c r="Y746" s="7" t="str">
        <f>IF(ISBLANK(patch[[#This Row],[project]]), "",COUNTIFS($A:$A,patch[[#This Row],[number]],$S:$S, "SH And dev",$AC:$AC, "Review-1"))</f>
        <v/>
      </c>
      <c r="Z746" s="7" t="str">
        <f>IF(ISBLANK(patch[[#This Row],[project]]), "",COUNTIFS($A:$A,patch[[#This Row],[number]],$S:$S, "BJ And dev",$AD:$AD, "&lt;&gt;IntegratorValidationComment"))</f>
        <v/>
      </c>
      <c r="AA746" s="7" t="str">
        <f>IF(ISBLANK(patch[[#This Row],[project]]), "",COUNTIFS($A:$A,patch[[#This Row],[number]],$S:$S, "FL And dev",$AD:$AD, "&lt;&gt;IntegratorValidationComment"))</f>
        <v/>
      </c>
      <c r="AB746" s="7" t="str">
        <f>IF(ISBLANK(patch[[#This Row],[project]]), "",COUNTIFS($A:$A,patch[[#This Row],[number]],$S:$S, "SH And dev",$AD:$AD, "&lt;&gt;IntegratorValidationComment"))</f>
        <v/>
      </c>
      <c r="AC746" s="7" t="str">
        <f>IF(OR(ISNUMBER(FIND("Review-1", patch[[#This Row],[comments]])), ISNUMBER(FIND("Approver-1", patch[[#This Row],[comments]]))), "Review-1", "")</f>
        <v/>
      </c>
      <c r="AD7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46" s="7">
        <f>IF(ISBLANK(patch[[#This Row],[number]]),AE745,patch[[#This Row],[ifCommon]])</f>
        <v>0</v>
      </c>
    </row>
    <row r="747" spans="1:31">
      <c r="A747" s="151">
        <v>147042</v>
      </c>
      <c r="B747" s="151"/>
      <c r="C747" s="151"/>
      <c r="D747" s="151"/>
      <c r="E747" s="151"/>
      <c r="F747" s="151"/>
      <c r="G747" s="151"/>
      <c r="H747" s="151"/>
      <c r="I747" s="151"/>
      <c r="J747" s="152">
        <v>42635.712719907409</v>
      </c>
      <c r="K747" s="151"/>
      <c r="L747" s="151" t="s">
        <v>63</v>
      </c>
      <c r="M747" s="152">
        <v>42635.431828703702</v>
      </c>
      <c r="N747" s="151" t="s">
        <v>1829</v>
      </c>
      <c r="O747" s="151"/>
      <c r="P747" s="151"/>
      <c r="Q747" s="7" t="str">
        <f>IF(ISBLANK(patch[[#This Row],[OwnerEmail]]),Q746,patch[[#This Row],[OwnerEmail]])</f>
        <v>zongx.li@intel.com</v>
      </c>
      <c r="R747" s="7" t="str">
        <f>_xlfn.IFNA(VLOOKUP(patch[[#This Row],[tmp-owner.email]],OrgTree!$A:$K, 11, 0), "not ICG SWFW")</f>
        <v>BJ And dev</v>
      </c>
      <c r="S747" s="7" t="str">
        <f>IF(patch[[#This Row],[reviewer]]=patch[[#This Row],[tmp-owner.email]], "author", _xlfn.IFNA(VLOOKUP(patch[[#This Row],[reviewer]],OrgTree!$A:$K, 11, 0), "not ICG SWFW"))</f>
        <v>author</v>
      </c>
      <c r="T747" s="7" t="str">
        <f>IF(ISBLANK(patch[[#This Row],[mergeDate]]), "", MID(YEAR(patch[[#This Row],[mergeDate]]), 3,2)&amp;"'ww"&amp;WEEKNUM(patch[[#This Row],[mergeDate]]))</f>
        <v>16'ww39</v>
      </c>
      <c r="U747" s="7" t="str">
        <f>IF(ISBLANK(patch[[#This Row],[mergeDate]]), U746, MID(YEAR(patch[[#This Row],[mergeDate]]), 3,2)&amp;"'m"&amp;MONTH(patch[[#This Row],[mergeDate]]))</f>
        <v>16'm9</v>
      </c>
      <c r="V747" s="7" t="str">
        <f>IF(ISBLANK(patch[[#This Row],[project]]), "",SUM(patch[[#This Row],[BJ -1 num]:[SH -1 num]]))</f>
        <v/>
      </c>
      <c r="W747" s="7" t="str">
        <f>IF(ISBLANK(patch[[#This Row],[project]]), "",COUNTIFS($A:$A,patch[[#This Row],[number]],$S:$S, "BJ And dev",$AC:$AC, "Review-1"))</f>
        <v/>
      </c>
      <c r="X747" s="7" t="str">
        <f>IF(ISBLANK(patch[[#This Row],[project]]), "",COUNTIFS($A:$A,patch[[#This Row],[number]],$S:$S, "FL And dev",$AC:$AC, "Review-1"))</f>
        <v/>
      </c>
      <c r="Y747" s="7" t="str">
        <f>IF(ISBLANK(patch[[#This Row],[project]]), "",COUNTIFS($A:$A,patch[[#This Row],[number]],$S:$S, "SH And dev",$AC:$AC, "Review-1"))</f>
        <v/>
      </c>
      <c r="Z747" s="7" t="str">
        <f>IF(ISBLANK(patch[[#This Row],[project]]), "",COUNTIFS($A:$A,patch[[#This Row],[number]],$S:$S, "BJ And dev",$AD:$AD, "&lt;&gt;IntegratorValidationComment"))</f>
        <v/>
      </c>
      <c r="AA747" s="7" t="str">
        <f>IF(ISBLANK(patch[[#This Row],[project]]), "",COUNTIFS($A:$A,patch[[#This Row],[number]],$S:$S, "FL And dev",$AD:$AD, "&lt;&gt;IntegratorValidationComment"))</f>
        <v/>
      </c>
      <c r="AB747" s="7" t="str">
        <f>IF(ISBLANK(patch[[#This Row],[project]]), "",COUNTIFS($A:$A,patch[[#This Row],[number]],$S:$S, "SH And dev",$AD:$AD, "&lt;&gt;IntegratorValidationComment"))</f>
        <v/>
      </c>
      <c r="AC747" s="7" t="str">
        <f>IF(OR(ISNUMBER(FIND("Review-1", patch[[#This Row],[comments]])), ISNUMBER(FIND("Approver-1", patch[[#This Row],[comments]]))), "Review-1", "")</f>
        <v/>
      </c>
      <c r="AD7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47" s="7">
        <f>IF(ISBLANK(patch[[#This Row],[number]]),AE746,patch[[#This Row],[ifCommon]])</f>
        <v>0</v>
      </c>
    </row>
    <row r="748" spans="1:31">
      <c r="A748" s="151">
        <v>147042</v>
      </c>
      <c r="B748" s="151"/>
      <c r="C748" s="151"/>
      <c r="D748" s="151"/>
      <c r="E748" s="151"/>
      <c r="F748" s="151"/>
      <c r="G748" s="151"/>
      <c r="H748" s="151"/>
      <c r="I748" s="151"/>
      <c r="J748" s="152">
        <v>42635.712719907409</v>
      </c>
      <c r="K748" s="151"/>
      <c r="L748" s="151" t="s">
        <v>63</v>
      </c>
      <c r="M748" s="152">
        <v>42635.432025462957</v>
      </c>
      <c r="N748" s="151" t="s">
        <v>48</v>
      </c>
      <c r="O748" s="151"/>
      <c r="P748" s="151"/>
      <c r="Q748" s="7" t="str">
        <f>IF(ISBLANK(patch[[#This Row],[OwnerEmail]]),Q747,patch[[#This Row],[OwnerEmail]])</f>
        <v>zongx.li@intel.com</v>
      </c>
      <c r="R748" s="7" t="str">
        <f>_xlfn.IFNA(VLOOKUP(patch[[#This Row],[tmp-owner.email]],OrgTree!$A:$K, 11, 0), "not ICG SWFW")</f>
        <v>BJ And dev</v>
      </c>
      <c r="S748" s="7" t="str">
        <f>IF(patch[[#This Row],[reviewer]]=patch[[#This Row],[tmp-owner.email]], "author", _xlfn.IFNA(VLOOKUP(patch[[#This Row],[reviewer]],OrgTree!$A:$K, 11, 0), "not ICG SWFW"))</f>
        <v>author</v>
      </c>
      <c r="T748" s="7" t="str">
        <f>IF(ISBLANK(patch[[#This Row],[mergeDate]]), "", MID(YEAR(patch[[#This Row],[mergeDate]]), 3,2)&amp;"'ww"&amp;WEEKNUM(patch[[#This Row],[mergeDate]]))</f>
        <v>16'ww39</v>
      </c>
      <c r="U748" s="7" t="str">
        <f>IF(ISBLANK(patch[[#This Row],[mergeDate]]), U747, MID(YEAR(patch[[#This Row],[mergeDate]]), 3,2)&amp;"'m"&amp;MONTH(patch[[#This Row],[mergeDate]]))</f>
        <v>16'm9</v>
      </c>
      <c r="V748" s="7" t="str">
        <f>IF(ISBLANK(patch[[#This Row],[project]]), "",SUM(patch[[#This Row],[BJ -1 num]:[SH -1 num]]))</f>
        <v/>
      </c>
      <c r="W748" s="7" t="str">
        <f>IF(ISBLANK(patch[[#This Row],[project]]), "",COUNTIFS($A:$A,patch[[#This Row],[number]],$S:$S, "BJ And dev",$AC:$AC, "Review-1"))</f>
        <v/>
      </c>
      <c r="X748" s="7" t="str">
        <f>IF(ISBLANK(patch[[#This Row],[project]]), "",COUNTIFS($A:$A,patch[[#This Row],[number]],$S:$S, "FL And dev",$AC:$AC, "Review-1"))</f>
        <v/>
      </c>
      <c r="Y748" s="7" t="str">
        <f>IF(ISBLANK(patch[[#This Row],[project]]), "",COUNTIFS($A:$A,patch[[#This Row],[number]],$S:$S, "SH And dev",$AC:$AC, "Review-1"))</f>
        <v/>
      </c>
      <c r="Z748" s="7" t="str">
        <f>IF(ISBLANK(patch[[#This Row],[project]]), "",COUNTIFS($A:$A,patch[[#This Row],[number]],$S:$S, "BJ And dev",$AD:$AD, "&lt;&gt;IntegratorValidationComment"))</f>
        <v/>
      </c>
      <c r="AA748" s="7" t="str">
        <f>IF(ISBLANK(patch[[#This Row],[project]]), "",COUNTIFS($A:$A,patch[[#This Row],[number]],$S:$S, "FL And dev",$AD:$AD, "&lt;&gt;IntegratorValidationComment"))</f>
        <v/>
      </c>
      <c r="AB748" s="7" t="str">
        <f>IF(ISBLANK(patch[[#This Row],[project]]), "",COUNTIFS($A:$A,patch[[#This Row],[number]],$S:$S, "SH And dev",$AD:$AD, "&lt;&gt;IntegratorValidationComment"))</f>
        <v/>
      </c>
      <c r="AC748" s="7" t="str">
        <f>IF(OR(ISNUMBER(FIND("Review-1", patch[[#This Row],[comments]])), ISNUMBER(FIND("Approver-1", patch[[#This Row],[comments]]))), "Review-1", "")</f>
        <v/>
      </c>
      <c r="AD7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48" s="7">
        <f>IF(ISBLANK(patch[[#This Row],[number]]),AE747,patch[[#This Row],[ifCommon]])</f>
        <v>0</v>
      </c>
    </row>
    <row r="749" spans="1:31">
      <c r="A749" s="151">
        <v>147042</v>
      </c>
      <c r="B749" s="151"/>
      <c r="C749" s="151"/>
      <c r="D749" s="151"/>
      <c r="E749" s="151"/>
      <c r="F749" s="151"/>
      <c r="G749" s="151"/>
      <c r="H749" s="151"/>
      <c r="I749" s="151"/>
      <c r="J749" s="152">
        <v>42635.712719907409</v>
      </c>
      <c r="K749" s="151"/>
      <c r="L749" s="151" t="s">
        <v>115</v>
      </c>
      <c r="M749" s="152">
        <v>42635.434999999998</v>
      </c>
      <c r="N749" s="151" t="s">
        <v>2497</v>
      </c>
      <c r="O749" s="151"/>
      <c r="P749" s="151"/>
      <c r="Q749" s="7" t="str">
        <f>IF(ISBLANK(patch[[#This Row],[OwnerEmail]]),Q748,patch[[#This Row],[OwnerEmail]])</f>
        <v>zongx.li@intel.com</v>
      </c>
      <c r="R749" s="7" t="str">
        <f>_xlfn.IFNA(VLOOKUP(patch[[#This Row],[tmp-owner.email]],OrgTree!$A:$K, 11, 0), "not ICG SWFW")</f>
        <v>BJ And dev</v>
      </c>
      <c r="S749" s="7" t="str">
        <f>IF(patch[[#This Row],[reviewer]]=patch[[#This Row],[tmp-owner.email]], "author", _xlfn.IFNA(VLOOKUP(patch[[#This Row],[reviewer]],OrgTree!$A:$K, 11, 0), "not ICG SWFW"))</f>
        <v>Val</v>
      </c>
      <c r="T749" s="7" t="str">
        <f>IF(ISBLANK(patch[[#This Row],[mergeDate]]), "", MID(YEAR(patch[[#This Row],[mergeDate]]), 3,2)&amp;"'ww"&amp;WEEKNUM(patch[[#This Row],[mergeDate]]))</f>
        <v>16'ww39</v>
      </c>
      <c r="U749" s="7" t="str">
        <f>IF(ISBLANK(patch[[#This Row],[mergeDate]]), U748, MID(YEAR(patch[[#This Row],[mergeDate]]), 3,2)&amp;"'m"&amp;MONTH(patch[[#This Row],[mergeDate]]))</f>
        <v>16'm9</v>
      </c>
      <c r="V749" s="7" t="str">
        <f>IF(ISBLANK(patch[[#This Row],[project]]), "",SUM(patch[[#This Row],[BJ -1 num]:[SH -1 num]]))</f>
        <v/>
      </c>
      <c r="W749" s="7" t="str">
        <f>IF(ISBLANK(patch[[#This Row],[project]]), "",COUNTIFS($A:$A,patch[[#This Row],[number]],$S:$S, "BJ And dev",$AC:$AC, "Review-1"))</f>
        <v/>
      </c>
      <c r="X749" s="7" t="str">
        <f>IF(ISBLANK(patch[[#This Row],[project]]), "",COUNTIFS($A:$A,patch[[#This Row],[number]],$S:$S, "FL And dev",$AC:$AC, "Review-1"))</f>
        <v/>
      </c>
      <c r="Y749" s="7" t="str">
        <f>IF(ISBLANK(patch[[#This Row],[project]]), "",COUNTIFS($A:$A,patch[[#This Row],[number]],$S:$S, "SH And dev",$AC:$AC, "Review-1"))</f>
        <v/>
      </c>
      <c r="Z749" s="7" t="str">
        <f>IF(ISBLANK(patch[[#This Row],[project]]), "",COUNTIFS($A:$A,patch[[#This Row],[number]],$S:$S, "BJ And dev",$AD:$AD, "&lt;&gt;IntegratorValidationComment"))</f>
        <v/>
      </c>
      <c r="AA749" s="7" t="str">
        <f>IF(ISBLANK(patch[[#This Row],[project]]), "",COUNTIFS($A:$A,patch[[#This Row],[number]],$S:$S, "FL And dev",$AD:$AD, "&lt;&gt;IntegratorValidationComment"))</f>
        <v/>
      </c>
      <c r="AB749" s="7" t="str">
        <f>IF(ISBLANK(patch[[#This Row],[project]]), "",COUNTIFS($A:$A,patch[[#This Row],[number]],$S:$S, "SH And dev",$AD:$AD, "&lt;&gt;IntegratorValidationComment"))</f>
        <v/>
      </c>
      <c r="AC749" s="7" t="str">
        <f>IF(OR(ISNUMBER(FIND("Review-1", patch[[#This Row],[comments]])), ISNUMBER(FIND("Approver-1", patch[[#This Row],[comments]]))), "Review-1", "")</f>
        <v/>
      </c>
      <c r="AD7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749" s="7">
        <f>IF(ISBLANK(patch[[#This Row],[number]]),AE748,patch[[#This Row],[ifCommon]])</f>
        <v>0</v>
      </c>
    </row>
    <row r="750" spans="1:31">
      <c r="A750" s="151">
        <v>147042</v>
      </c>
      <c r="B750" s="151"/>
      <c r="C750" s="151"/>
      <c r="D750" s="151"/>
      <c r="E750" s="151"/>
      <c r="F750" s="151"/>
      <c r="G750" s="151"/>
      <c r="H750" s="151"/>
      <c r="I750" s="151"/>
      <c r="J750" s="152">
        <v>42635.712719907409</v>
      </c>
      <c r="K750" s="151"/>
      <c r="L750" s="151" t="s">
        <v>59</v>
      </c>
      <c r="M750" s="152">
        <v>42635.43953703704</v>
      </c>
      <c r="N750" s="151" t="s">
        <v>2988</v>
      </c>
      <c r="O750" s="151"/>
      <c r="P750" s="151"/>
      <c r="Q750" s="7" t="str">
        <f>IF(ISBLANK(patch[[#This Row],[OwnerEmail]]),Q749,patch[[#This Row],[OwnerEmail]])</f>
        <v>zongx.li@intel.com</v>
      </c>
      <c r="R750" s="7" t="str">
        <f>_xlfn.IFNA(VLOOKUP(patch[[#This Row],[tmp-owner.email]],OrgTree!$A:$K, 11, 0), "not ICG SWFW")</f>
        <v>BJ And dev</v>
      </c>
      <c r="S750" s="7" t="str">
        <f>IF(patch[[#This Row],[reviewer]]=patch[[#This Row],[tmp-owner.email]], "author", _xlfn.IFNA(VLOOKUP(patch[[#This Row],[reviewer]],OrgTree!$A:$K, 11, 0), "not ICG SWFW"))</f>
        <v>BJ And dev</v>
      </c>
      <c r="T750" s="7" t="str">
        <f>IF(ISBLANK(patch[[#This Row],[mergeDate]]), "", MID(YEAR(patch[[#This Row],[mergeDate]]), 3,2)&amp;"'ww"&amp;WEEKNUM(patch[[#This Row],[mergeDate]]))</f>
        <v>16'ww39</v>
      </c>
      <c r="U750" s="7" t="str">
        <f>IF(ISBLANK(patch[[#This Row],[mergeDate]]), U749, MID(YEAR(patch[[#This Row],[mergeDate]]), 3,2)&amp;"'m"&amp;MONTH(patch[[#This Row],[mergeDate]]))</f>
        <v>16'm9</v>
      </c>
      <c r="V750" s="7" t="str">
        <f>IF(ISBLANK(patch[[#This Row],[project]]), "",SUM(patch[[#This Row],[BJ -1 num]:[SH -1 num]]))</f>
        <v/>
      </c>
      <c r="W750" s="7" t="str">
        <f>IF(ISBLANK(patch[[#This Row],[project]]), "",COUNTIFS($A:$A,patch[[#This Row],[number]],$S:$S, "BJ And dev",$AC:$AC, "Review-1"))</f>
        <v/>
      </c>
      <c r="X750" s="7" t="str">
        <f>IF(ISBLANK(patch[[#This Row],[project]]), "",COUNTIFS($A:$A,patch[[#This Row],[number]],$S:$S, "FL And dev",$AC:$AC, "Review-1"))</f>
        <v/>
      </c>
      <c r="Y750" s="7" t="str">
        <f>IF(ISBLANK(patch[[#This Row],[project]]), "",COUNTIFS($A:$A,patch[[#This Row],[number]],$S:$S, "SH And dev",$AC:$AC, "Review-1"))</f>
        <v/>
      </c>
      <c r="Z750" s="7" t="str">
        <f>IF(ISBLANK(patch[[#This Row],[project]]), "",COUNTIFS($A:$A,patch[[#This Row],[number]],$S:$S, "BJ And dev",$AD:$AD, "&lt;&gt;IntegratorValidationComment"))</f>
        <v/>
      </c>
      <c r="AA750" s="7" t="str">
        <f>IF(ISBLANK(patch[[#This Row],[project]]), "",COUNTIFS($A:$A,patch[[#This Row],[number]],$S:$S, "FL And dev",$AD:$AD, "&lt;&gt;IntegratorValidationComment"))</f>
        <v/>
      </c>
      <c r="AB750" s="7" t="str">
        <f>IF(ISBLANK(patch[[#This Row],[project]]), "",COUNTIFS($A:$A,patch[[#This Row],[number]],$S:$S, "SH And dev",$AD:$AD, "&lt;&gt;IntegratorValidationComment"))</f>
        <v/>
      </c>
      <c r="AC750" s="7" t="str">
        <f>IF(OR(ISNUMBER(FIND("Review-1", patch[[#This Row],[comments]])), ISNUMBER(FIND("Approver-1", patch[[#This Row],[comments]]))), "Review-1", "")</f>
        <v/>
      </c>
      <c r="AD7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50" s="7">
        <f>IF(ISBLANK(patch[[#This Row],[number]]),AE749,patch[[#This Row],[ifCommon]])</f>
        <v>0</v>
      </c>
    </row>
    <row r="751" spans="1:31">
      <c r="A751" s="151">
        <v>147042</v>
      </c>
      <c r="B751" s="151"/>
      <c r="C751" s="151"/>
      <c r="D751" s="151"/>
      <c r="E751" s="151"/>
      <c r="F751" s="151"/>
      <c r="G751" s="151"/>
      <c r="H751" s="151"/>
      <c r="I751" s="151"/>
      <c r="J751" s="152">
        <v>42635.712719907409</v>
      </c>
      <c r="K751" s="151"/>
      <c r="L751" s="151" t="s">
        <v>59</v>
      </c>
      <c r="M751" s="152">
        <v>42635.442349537043</v>
      </c>
      <c r="N751" s="151" t="s">
        <v>2989</v>
      </c>
      <c r="O751" s="151"/>
      <c r="P751" s="151"/>
      <c r="Q751" s="7" t="str">
        <f>IF(ISBLANK(patch[[#This Row],[OwnerEmail]]),Q750,patch[[#This Row],[OwnerEmail]])</f>
        <v>zongx.li@intel.com</v>
      </c>
      <c r="R751" s="7" t="str">
        <f>_xlfn.IFNA(VLOOKUP(patch[[#This Row],[tmp-owner.email]],OrgTree!$A:$K, 11, 0), "not ICG SWFW")</f>
        <v>BJ And dev</v>
      </c>
      <c r="S751" s="7" t="str">
        <f>IF(patch[[#This Row],[reviewer]]=patch[[#This Row],[tmp-owner.email]], "author", _xlfn.IFNA(VLOOKUP(patch[[#This Row],[reviewer]],OrgTree!$A:$K, 11, 0), "not ICG SWFW"))</f>
        <v>BJ And dev</v>
      </c>
      <c r="T751" s="7" t="str">
        <f>IF(ISBLANK(patch[[#This Row],[mergeDate]]), "", MID(YEAR(patch[[#This Row],[mergeDate]]), 3,2)&amp;"'ww"&amp;WEEKNUM(patch[[#This Row],[mergeDate]]))</f>
        <v>16'ww39</v>
      </c>
      <c r="U751" s="7" t="str">
        <f>IF(ISBLANK(patch[[#This Row],[mergeDate]]), U750, MID(YEAR(patch[[#This Row],[mergeDate]]), 3,2)&amp;"'m"&amp;MONTH(patch[[#This Row],[mergeDate]]))</f>
        <v>16'm9</v>
      </c>
      <c r="V751" s="7" t="str">
        <f>IF(ISBLANK(patch[[#This Row],[project]]), "",SUM(patch[[#This Row],[BJ -1 num]:[SH -1 num]]))</f>
        <v/>
      </c>
      <c r="W751" s="7" t="str">
        <f>IF(ISBLANK(patch[[#This Row],[project]]), "",COUNTIFS($A:$A,patch[[#This Row],[number]],$S:$S, "BJ And dev",$AC:$AC, "Review-1"))</f>
        <v/>
      </c>
      <c r="X751" s="7" t="str">
        <f>IF(ISBLANK(patch[[#This Row],[project]]), "",COUNTIFS($A:$A,patch[[#This Row],[number]],$S:$S, "FL And dev",$AC:$AC, "Review-1"))</f>
        <v/>
      </c>
      <c r="Y751" s="7" t="str">
        <f>IF(ISBLANK(patch[[#This Row],[project]]), "",COUNTIFS($A:$A,patch[[#This Row],[number]],$S:$S, "SH And dev",$AC:$AC, "Review-1"))</f>
        <v/>
      </c>
      <c r="Z751" s="7" t="str">
        <f>IF(ISBLANK(patch[[#This Row],[project]]), "",COUNTIFS($A:$A,patch[[#This Row],[number]],$S:$S, "BJ And dev",$AD:$AD, "&lt;&gt;IntegratorValidationComment"))</f>
        <v/>
      </c>
      <c r="AA751" s="7" t="str">
        <f>IF(ISBLANK(patch[[#This Row],[project]]), "",COUNTIFS($A:$A,patch[[#This Row],[number]],$S:$S, "FL And dev",$AD:$AD, "&lt;&gt;IntegratorValidationComment"))</f>
        <v/>
      </c>
      <c r="AB751" s="7" t="str">
        <f>IF(ISBLANK(patch[[#This Row],[project]]), "",COUNTIFS($A:$A,patch[[#This Row],[number]],$S:$S, "SH And dev",$AD:$AD, "&lt;&gt;IntegratorValidationComment"))</f>
        <v/>
      </c>
      <c r="AC751" s="7" t="str">
        <f>IF(OR(ISNUMBER(FIND("Review-1", patch[[#This Row],[comments]])), ISNUMBER(FIND("Approver-1", patch[[#This Row],[comments]]))), "Review-1", "")</f>
        <v/>
      </c>
      <c r="AD7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51" s="7">
        <f>IF(ISBLANK(patch[[#This Row],[number]]),AE750,patch[[#This Row],[ifCommon]])</f>
        <v>0</v>
      </c>
    </row>
    <row r="752" spans="1:31">
      <c r="A752" s="151">
        <v>147042</v>
      </c>
      <c r="B752" s="151"/>
      <c r="C752" s="151"/>
      <c r="D752" s="151"/>
      <c r="E752" s="151"/>
      <c r="F752" s="151"/>
      <c r="G752" s="151"/>
      <c r="H752" s="151"/>
      <c r="I752" s="151"/>
      <c r="J752" s="152">
        <v>42635.712719907409</v>
      </c>
      <c r="K752" s="151"/>
      <c r="L752" s="151" t="s">
        <v>115</v>
      </c>
      <c r="M752" s="152">
        <v>42635.442824074067</v>
      </c>
      <c r="N752" s="151" t="s">
        <v>2576</v>
      </c>
      <c r="O752" s="151"/>
      <c r="P752" s="151"/>
      <c r="Q752" s="7" t="str">
        <f>IF(ISBLANK(patch[[#This Row],[OwnerEmail]]),Q751,patch[[#This Row],[OwnerEmail]])</f>
        <v>zongx.li@intel.com</v>
      </c>
      <c r="R752" s="7" t="str">
        <f>_xlfn.IFNA(VLOOKUP(patch[[#This Row],[tmp-owner.email]],OrgTree!$A:$K, 11, 0), "not ICG SWFW")</f>
        <v>BJ And dev</v>
      </c>
      <c r="S752" s="7" t="str">
        <f>IF(patch[[#This Row],[reviewer]]=patch[[#This Row],[tmp-owner.email]], "author", _xlfn.IFNA(VLOOKUP(patch[[#This Row],[reviewer]],OrgTree!$A:$K, 11, 0), "not ICG SWFW"))</f>
        <v>Val</v>
      </c>
      <c r="T752" s="7" t="str">
        <f>IF(ISBLANK(patch[[#This Row],[mergeDate]]), "", MID(YEAR(patch[[#This Row],[mergeDate]]), 3,2)&amp;"'ww"&amp;WEEKNUM(patch[[#This Row],[mergeDate]]))</f>
        <v>16'ww39</v>
      </c>
      <c r="U752" s="7" t="str">
        <f>IF(ISBLANK(patch[[#This Row],[mergeDate]]), U751, MID(YEAR(patch[[#This Row],[mergeDate]]), 3,2)&amp;"'m"&amp;MONTH(patch[[#This Row],[mergeDate]]))</f>
        <v>16'm9</v>
      </c>
      <c r="V752" s="7" t="str">
        <f>IF(ISBLANK(patch[[#This Row],[project]]), "",SUM(patch[[#This Row],[BJ -1 num]:[SH -1 num]]))</f>
        <v/>
      </c>
      <c r="W752" s="7" t="str">
        <f>IF(ISBLANK(patch[[#This Row],[project]]), "",COUNTIFS($A:$A,patch[[#This Row],[number]],$S:$S, "BJ And dev",$AC:$AC, "Review-1"))</f>
        <v/>
      </c>
      <c r="X752" s="7" t="str">
        <f>IF(ISBLANK(patch[[#This Row],[project]]), "",COUNTIFS($A:$A,patch[[#This Row],[number]],$S:$S, "FL And dev",$AC:$AC, "Review-1"))</f>
        <v/>
      </c>
      <c r="Y752" s="7" t="str">
        <f>IF(ISBLANK(patch[[#This Row],[project]]), "",COUNTIFS($A:$A,patch[[#This Row],[number]],$S:$S, "SH And dev",$AC:$AC, "Review-1"))</f>
        <v/>
      </c>
      <c r="Z752" s="7" t="str">
        <f>IF(ISBLANK(patch[[#This Row],[project]]), "",COUNTIFS($A:$A,patch[[#This Row],[number]],$S:$S, "BJ And dev",$AD:$AD, "&lt;&gt;IntegratorValidationComment"))</f>
        <v/>
      </c>
      <c r="AA752" s="7" t="str">
        <f>IF(ISBLANK(patch[[#This Row],[project]]), "",COUNTIFS($A:$A,patch[[#This Row],[number]],$S:$S, "FL And dev",$AD:$AD, "&lt;&gt;IntegratorValidationComment"))</f>
        <v/>
      </c>
      <c r="AB752" s="7" t="str">
        <f>IF(ISBLANK(patch[[#This Row],[project]]), "",COUNTIFS($A:$A,patch[[#This Row],[number]],$S:$S, "SH And dev",$AD:$AD, "&lt;&gt;IntegratorValidationComment"))</f>
        <v/>
      </c>
      <c r="AC752" s="7" t="str">
        <f>IF(OR(ISNUMBER(FIND("Review-1", patch[[#This Row],[comments]])), ISNUMBER(FIND("Approver-1", patch[[#This Row],[comments]]))), "Review-1", "")</f>
        <v/>
      </c>
      <c r="AD7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752" s="7">
        <f>IF(ISBLANK(patch[[#This Row],[number]]),AE751,patch[[#This Row],[ifCommon]])</f>
        <v>0</v>
      </c>
    </row>
    <row r="753" spans="1:31">
      <c r="A753" s="151">
        <v>147042</v>
      </c>
      <c r="B753" s="151"/>
      <c r="C753" s="151"/>
      <c r="D753" s="151"/>
      <c r="E753" s="151"/>
      <c r="F753" s="151"/>
      <c r="G753" s="151"/>
      <c r="H753" s="151"/>
      <c r="I753" s="151"/>
      <c r="J753" s="152">
        <v>42635.712719907409</v>
      </c>
      <c r="K753" s="151"/>
      <c r="L753" s="151" t="s">
        <v>115</v>
      </c>
      <c r="M753" s="152">
        <v>42635.449606481481</v>
      </c>
      <c r="N753" s="151" t="s">
        <v>2497</v>
      </c>
      <c r="O753" s="151"/>
      <c r="P753" s="151"/>
      <c r="Q753" s="7" t="str">
        <f>IF(ISBLANK(patch[[#This Row],[OwnerEmail]]),Q752,patch[[#This Row],[OwnerEmail]])</f>
        <v>zongx.li@intel.com</v>
      </c>
      <c r="R753" s="7" t="str">
        <f>_xlfn.IFNA(VLOOKUP(patch[[#This Row],[tmp-owner.email]],OrgTree!$A:$K, 11, 0), "not ICG SWFW")</f>
        <v>BJ And dev</v>
      </c>
      <c r="S753" s="7" t="str">
        <f>IF(patch[[#This Row],[reviewer]]=patch[[#This Row],[tmp-owner.email]], "author", _xlfn.IFNA(VLOOKUP(patch[[#This Row],[reviewer]],OrgTree!$A:$K, 11, 0), "not ICG SWFW"))</f>
        <v>Val</v>
      </c>
      <c r="T753" s="7" t="str">
        <f>IF(ISBLANK(patch[[#This Row],[mergeDate]]), "", MID(YEAR(patch[[#This Row],[mergeDate]]), 3,2)&amp;"'ww"&amp;WEEKNUM(patch[[#This Row],[mergeDate]]))</f>
        <v>16'ww39</v>
      </c>
      <c r="U753" s="7" t="str">
        <f>IF(ISBLANK(patch[[#This Row],[mergeDate]]), U752, MID(YEAR(patch[[#This Row],[mergeDate]]), 3,2)&amp;"'m"&amp;MONTH(patch[[#This Row],[mergeDate]]))</f>
        <v>16'm9</v>
      </c>
      <c r="V753" s="7" t="str">
        <f>IF(ISBLANK(patch[[#This Row],[project]]), "",SUM(patch[[#This Row],[BJ -1 num]:[SH -1 num]]))</f>
        <v/>
      </c>
      <c r="W753" s="7" t="str">
        <f>IF(ISBLANK(patch[[#This Row],[project]]), "",COUNTIFS($A:$A,patch[[#This Row],[number]],$S:$S, "BJ And dev",$AC:$AC, "Review-1"))</f>
        <v/>
      </c>
      <c r="X753" s="7" t="str">
        <f>IF(ISBLANK(patch[[#This Row],[project]]), "",COUNTIFS($A:$A,patch[[#This Row],[number]],$S:$S, "FL And dev",$AC:$AC, "Review-1"))</f>
        <v/>
      </c>
      <c r="Y753" s="7" t="str">
        <f>IF(ISBLANK(patch[[#This Row],[project]]), "",COUNTIFS($A:$A,patch[[#This Row],[number]],$S:$S, "SH And dev",$AC:$AC, "Review-1"))</f>
        <v/>
      </c>
      <c r="Z753" s="7" t="str">
        <f>IF(ISBLANK(patch[[#This Row],[project]]), "",COUNTIFS($A:$A,patch[[#This Row],[number]],$S:$S, "BJ And dev",$AD:$AD, "&lt;&gt;IntegratorValidationComment"))</f>
        <v/>
      </c>
      <c r="AA753" s="7" t="str">
        <f>IF(ISBLANK(patch[[#This Row],[project]]), "",COUNTIFS($A:$A,patch[[#This Row],[number]],$S:$S, "FL And dev",$AD:$AD, "&lt;&gt;IntegratorValidationComment"))</f>
        <v/>
      </c>
      <c r="AB753" s="7" t="str">
        <f>IF(ISBLANK(patch[[#This Row],[project]]), "",COUNTIFS($A:$A,patch[[#This Row],[number]],$S:$S, "SH And dev",$AD:$AD, "&lt;&gt;IntegratorValidationComment"))</f>
        <v/>
      </c>
      <c r="AC753" s="7" t="str">
        <f>IF(OR(ISNUMBER(FIND("Review-1", patch[[#This Row],[comments]])), ISNUMBER(FIND("Approver-1", patch[[#This Row],[comments]]))), "Review-1", "")</f>
        <v/>
      </c>
      <c r="AD7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753" s="7">
        <f>IF(ISBLANK(patch[[#This Row],[number]]),AE752,patch[[#This Row],[ifCommon]])</f>
        <v>0</v>
      </c>
    </row>
    <row r="754" spans="1:31">
      <c r="A754" s="151">
        <v>147042</v>
      </c>
      <c r="B754" s="151"/>
      <c r="C754" s="151"/>
      <c r="D754" s="151"/>
      <c r="E754" s="151"/>
      <c r="F754" s="151"/>
      <c r="G754" s="151"/>
      <c r="H754" s="151"/>
      <c r="I754" s="151"/>
      <c r="J754" s="152">
        <v>42635.712719907409</v>
      </c>
      <c r="K754" s="151"/>
      <c r="L754" s="151" t="s">
        <v>32</v>
      </c>
      <c r="M754" s="152">
        <v>42635.554618055547</v>
      </c>
      <c r="N754" s="151" t="s">
        <v>48</v>
      </c>
      <c r="O754" s="151"/>
      <c r="P754" s="151"/>
      <c r="Q754" s="7" t="str">
        <f>IF(ISBLANK(patch[[#This Row],[OwnerEmail]]),Q753,patch[[#This Row],[OwnerEmail]])</f>
        <v>zongx.li@intel.com</v>
      </c>
      <c r="R754" s="7" t="str">
        <f>_xlfn.IFNA(VLOOKUP(patch[[#This Row],[tmp-owner.email]],OrgTree!$A:$K, 11, 0), "not ICG SWFW")</f>
        <v>BJ And dev</v>
      </c>
      <c r="S754" s="7" t="str">
        <f>IF(patch[[#This Row],[reviewer]]=patch[[#This Row],[tmp-owner.email]], "author", _xlfn.IFNA(VLOOKUP(patch[[#This Row],[reviewer]],OrgTree!$A:$K, 11, 0), "not ICG SWFW"))</f>
        <v>BJ And dev</v>
      </c>
      <c r="T754" s="7" t="str">
        <f>IF(ISBLANK(patch[[#This Row],[mergeDate]]), "", MID(YEAR(patch[[#This Row],[mergeDate]]), 3,2)&amp;"'ww"&amp;WEEKNUM(patch[[#This Row],[mergeDate]]))</f>
        <v>16'ww39</v>
      </c>
      <c r="U754" s="7" t="str">
        <f>IF(ISBLANK(patch[[#This Row],[mergeDate]]), U753, MID(YEAR(patch[[#This Row],[mergeDate]]), 3,2)&amp;"'m"&amp;MONTH(patch[[#This Row],[mergeDate]]))</f>
        <v>16'm9</v>
      </c>
      <c r="V754" s="7" t="str">
        <f>IF(ISBLANK(patch[[#This Row],[project]]), "",SUM(patch[[#This Row],[BJ -1 num]:[SH -1 num]]))</f>
        <v/>
      </c>
      <c r="W754" s="7" t="str">
        <f>IF(ISBLANK(patch[[#This Row],[project]]), "",COUNTIFS($A:$A,patch[[#This Row],[number]],$S:$S, "BJ And dev",$AC:$AC, "Review-1"))</f>
        <v/>
      </c>
      <c r="X754" s="7" t="str">
        <f>IF(ISBLANK(patch[[#This Row],[project]]), "",COUNTIFS($A:$A,patch[[#This Row],[number]],$S:$S, "FL And dev",$AC:$AC, "Review-1"))</f>
        <v/>
      </c>
      <c r="Y754" s="7" t="str">
        <f>IF(ISBLANK(patch[[#This Row],[project]]), "",COUNTIFS($A:$A,patch[[#This Row],[number]],$S:$S, "SH And dev",$AC:$AC, "Review-1"))</f>
        <v/>
      </c>
      <c r="Z754" s="7" t="str">
        <f>IF(ISBLANK(patch[[#This Row],[project]]), "",COUNTIFS($A:$A,patch[[#This Row],[number]],$S:$S, "BJ And dev",$AD:$AD, "&lt;&gt;IntegratorValidationComment"))</f>
        <v/>
      </c>
      <c r="AA754" s="7" t="str">
        <f>IF(ISBLANK(patch[[#This Row],[project]]), "",COUNTIFS($A:$A,patch[[#This Row],[number]],$S:$S, "FL And dev",$AD:$AD, "&lt;&gt;IntegratorValidationComment"))</f>
        <v/>
      </c>
      <c r="AB754" s="7" t="str">
        <f>IF(ISBLANK(patch[[#This Row],[project]]), "",COUNTIFS($A:$A,patch[[#This Row],[number]],$S:$S, "SH And dev",$AD:$AD, "&lt;&gt;IntegratorValidationComment"))</f>
        <v/>
      </c>
      <c r="AC754" s="7" t="str">
        <f>IF(OR(ISNUMBER(FIND("Review-1", patch[[#This Row],[comments]])), ISNUMBER(FIND("Approver-1", patch[[#This Row],[comments]]))), "Review-1", "")</f>
        <v/>
      </c>
      <c r="AD7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54" s="7">
        <f>IF(ISBLANK(patch[[#This Row],[number]]),AE753,patch[[#This Row],[ifCommon]])</f>
        <v>0</v>
      </c>
    </row>
    <row r="755" spans="1:31">
      <c r="A755" s="151">
        <v>147042</v>
      </c>
      <c r="B755" s="151"/>
      <c r="C755" s="151"/>
      <c r="D755" s="151"/>
      <c r="E755" s="151"/>
      <c r="F755" s="151"/>
      <c r="G755" s="151"/>
      <c r="H755" s="151"/>
      <c r="I755" s="151"/>
      <c r="J755" s="152">
        <v>42635.712719907409</v>
      </c>
      <c r="K755" s="151"/>
      <c r="L755" s="151" t="s">
        <v>32</v>
      </c>
      <c r="M755" s="152">
        <v>42635.554826388892</v>
      </c>
      <c r="N755" s="151" t="s">
        <v>2484</v>
      </c>
      <c r="O755" s="151"/>
      <c r="P755" s="151"/>
      <c r="Q755" s="7" t="str">
        <f>IF(ISBLANK(patch[[#This Row],[OwnerEmail]]),Q754,patch[[#This Row],[OwnerEmail]])</f>
        <v>zongx.li@intel.com</v>
      </c>
      <c r="R755" s="7" t="str">
        <f>_xlfn.IFNA(VLOOKUP(patch[[#This Row],[tmp-owner.email]],OrgTree!$A:$K, 11, 0), "not ICG SWFW")</f>
        <v>BJ And dev</v>
      </c>
      <c r="S755" s="7" t="str">
        <f>IF(patch[[#This Row],[reviewer]]=patch[[#This Row],[tmp-owner.email]], "author", _xlfn.IFNA(VLOOKUP(patch[[#This Row],[reviewer]],OrgTree!$A:$K, 11, 0), "not ICG SWFW"))</f>
        <v>BJ And dev</v>
      </c>
      <c r="T755" s="7" t="str">
        <f>IF(ISBLANK(patch[[#This Row],[mergeDate]]), "", MID(YEAR(patch[[#This Row],[mergeDate]]), 3,2)&amp;"'ww"&amp;WEEKNUM(patch[[#This Row],[mergeDate]]))</f>
        <v>16'ww39</v>
      </c>
      <c r="U755" s="7" t="str">
        <f>IF(ISBLANK(patch[[#This Row],[mergeDate]]), U754, MID(YEAR(patch[[#This Row],[mergeDate]]), 3,2)&amp;"'m"&amp;MONTH(patch[[#This Row],[mergeDate]]))</f>
        <v>16'm9</v>
      </c>
      <c r="V755" s="7" t="str">
        <f>IF(ISBLANK(patch[[#This Row],[project]]), "",SUM(patch[[#This Row],[BJ -1 num]:[SH -1 num]]))</f>
        <v/>
      </c>
      <c r="W755" s="7" t="str">
        <f>IF(ISBLANK(patch[[#This Row],[project]]), "",COUNTIFS($A:$A,patch[[#This Row],[number]],$S:$S, "BJ And dev",$AC:$AC, "Review-1"))</f>
        <v/>
      </c>
      <c r="X755" s="7" t="str">
        <f>IF(ISBLANK(patch[[#This Row],[project]]), "",COUNTIFS($A:$A,patch[[#This Row],[number]],$S:$S, "FL And dev",$AC:$AC, "Review-1"))</f>
        <v/>
      </c>
      <c r="Y755" s="7" t="str">
        <f>IF(ISBLANK(patch[[#This Row],[project]]), "",COUNTIFS($A:$A,patch[[#This Row],[number]],$S:$S, "SH And dev",$AC:$AC, "Review-1"))</f>
        <v/>
      </c>
      <c r="Z755" s="7" t="str">
        <f>IF(ISBLANK(patch[[#This Row],[project]]), "",COUNTIFS($A:$A,patch[[#This Row],[number]],$S:$S, "BJ And dev",$AD:$AD, "&lt;&gt;IntegratorValidationComment"))</f>
        <v/>
      </c>
      <c r="AA755" s="7" t="str">
        <f>IF(ISBLANK(patch[[#This Row],[project]]), "",COUNTIFS($A:$A,patch[[#This Row],[number]],$S:$S, "FL And dev",$AD:$AD, "&lt;&gt;IntegratorValidationComment"))</f>
        <v/>
      </c>
      <c r="AB755" s="7" t="str">
        <f>IF(ISBLANK(patch[[#This Row],[project]]), "",COUNTIFS($A:$A,patch[[#This Row],[number]],$S:$S, "SH And dev",$AD:$AD, "&lt;&gt;IntegratorValidationComment"))</f>
        <v/>
      </c>
      <c r="AC755" s="7" t="str">
        <f>IF(OR(ISNUMBER(FIND("Review-1", patch[[#This Row],[comments]])), ISNUMBER(FIND("Approver-1", patch[[#This Row],[comments]]))), "Review-1", "")</f>
        <v/>
      </c>
      <c r="AD7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55" s="7">
        <f>IF(ISBLANK(patch[[#This Row],[number]]),AE754,patch[[#This Row],[ifCommon]])</f>
        <v>0</v>
      </c>
    </row>
    <row r="756" spans="1:31">
      <c r="A756" s="151">
        <v>146691</v>
      </c>
      <c r="B756" s="151" t="s">
        <v>2493</v>
      </c>
      <c r="C756" s="151" t="s">
        <v>2491</v>
      </c>
      <c r="D756" s="151" t="s">
        <v>2903</v>
      </c>
      <c r="E756" s="151" t="s">
        <v>60</v>
      </c>
      <c r="F756" s="151" t="s">
        <v>23</v>
      </c>
      <c r="G756" s="151" t="s">
        <v>2904</v>
      </c>
      <c r="H756" s="151" t="s">
        <v>2905</v>
      </c>
      <c r="I756" s="152">
        <v>42633.874756944453</v>
      </c>
      <c r="J756" s="152">
        <v>42635.71130787037</v>
      </c>
      <c r="K756" s="151" t="s">
        <v>2445</v>
      </c>
      <c r="L756" s="151" t="s">
        <v>60</v>
      </c>
      <c r="M756" s="152">
        <v>42633.874756944453</v>
      </c>
      <c r="N756" s="151" t="s">
        <v>2428</v>
      </c>
      <c r="O756" s="151"/>
      <c r="P756" s="151" t="s">
        <v>2990</v>
      </c>
      <c r="Q756" s="7" t="str">
        <f>IF(ISBLANK(patch[[#This Row],[OwnerEmail]]),Q755,patch[[#This Row],[OwnerEmail]])</f>
        <v>juha.alanen@intel.com</v>
      </c>
      <c r="R756" s="7" t="str">
        <f>_xlfn.IFNA(VLOOKUP(patch[[#This Row],[tmp-owner.email]],OrgTree!$A:$K, 11, 0), "not ICG SWFW")</f>
        <v>FL And dev</v>
      </c>
      <c r="S756" s="7" t="str">
        <f>IF(patch[[#This Row],[reviewer]]=patch[[#This Row],[tmp-owner.email]], "author", _xlfn.IFNA(VLOOKUP(patch[[#This Row],[reviewer]],OrgTree!$A:$K, 11, 0), "not ICG SWFW"))</f>
        <v>author</v>
      </c>
      <c r="T756" s="7" t="str">
        <f>IF(ISBLANK(patch[[#This Row],[mergeDate]]), "", MID(YEAR(patch[[#This Row],[mergeDate]]), 3,2)&amp;"'ww"&amp;WEEKNUM(patch[[#This Row],[mergeDate]]))</f>
        <v>16'ww39</v>
      </c>
      <c r="U756" s="7" t="str">
        <f>IF(ISBLANK(patch[[#This Row],[mergeDate]]), U755, MID(YEAR(patch[[#This Row],[mergeDate]]), 3,2)&amp;"'m"&amp;MONTH(patch[[#This Row],[mergeDate]]))</f>
        <v>16'm9</v>
      </c>
      <c r="V756" s="7">
        <f>IF(ISBLANK(patch[[#This Row],[project]]), "",SUM(patch[[#This Row],[BJ -1 num]:[SH -1 num]]))</f>
        <v>0</v>
      </c>
      <c r="W756" s="7">
        <f>IF(ISBLANK(patch[[#This Row],[project]]), "",COUNTIFS($A:$A,patch[[#This Row],[number]],$S:$S, "BJ And dev",$AC:$AC, "Review-1"))</f>
        <v>0</v>
      </c>
      <c r="X756" s="7">
        <f>IF(ISBLANK(patch[[#This Row],[project]]), "",COUNTIFS($A:$A,patch[[#This Row],[number]],$S:$S, "FL And dev",$AC:$AC, "Review-1"))</f>
        <v>0</v>
      </c>
      <c r="Y756" s="7">
        <f>IF(ISBLANK(patch[[#This Row],[project]]), "",COUNTIFS($A:$A,patch[[#This Row],[number]],$S:$S, "SH And dev",$AC:$AC, "Review-1"))</f>
        <v>0</v>
      </c>
      <c r="Z756" s="7">
        <f>IF(ISBLANK(patch[[#This Row],[project]]), "",COUNTIFS($A:$A,patch[[#This Row],[number]],$S:$S, "BJ And dev",$AD:$AD, "&lt;&gt;IntegratorValidationComment"))</f>
        <v>7</v>
      </c>
      <c r="AA756" s="7">
        <f>IF(ISBLANK(patch[[#This Row],[project]]), "",COUNTIFS($A:$A,patch[[#This Row],[number]],$S:$S, "FL And dev",$AD:$AD, "&lt;&gt;IntegratorValidationComment"))</f>
        <v>1</v>
      </c>
      <c r="AB756" s="7">
        <f>IF(ISBLANK(patch[[#This Row],[project]]), "",COUNTIFS($A:$A,patch[[#This Row],[number]],$S:$S, "SH And dev",$AD:$AD, "&lt;&gt;IntegratorValidationComment"))</f>
        <v>0</v>
      </c>
      <c r="AC756" s="7" t="str">
        <f>IF(OR(ISNUMBER(FIND("Review-1", patch[[#This Row],[comments]])), ISNUMBER(FIND("Approver-1", patch[[#This Row],[comments]]))), "Review-1", "")</f>
        <v/>
      </c>
      <c r="AD7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56" s="7" t="str">
        <f>IF(ISBLANK(patch[[#This Row],[number]]),AE755,patch[[#This Row],[ifCommon]])</f>
        <v>not AndrHAL</v>
      </c>
    </row>
    <row r="757" spans="1:31">
      <c r="A757" s="151">
        <v>146691</v>
      </c>
      <c r="B757" s="151"/>
      <c r="C757" s="151"/>
      <c r="D757" s="151"/>
      <c r="E757" s="151"/>
      <c r="F757" s="151"/>
      <c r="G757" s="151"/>
      <c r="H757" s="151"/>
      <c r="I757" s="151"/>
      <c r="J757" s="152">
        <v>42635.71130787037</v>
      </c>
      <c r="K757" s="151"/>
      <c r="L757" s="151" t="s">
        <v>60</v>
      </c>
      <c r="M757" s="152">
        <v>42633.874756944453</v>
      </c>
      <c r="N757" s="151" t="s">
        <v>25</v>
      </c>
      <c r="O757" s="151"/>
      <c r="P757" s="151"/>
      <c r="Q757" s="7" t="str">
        <f>IF(ISBLANK(patch[[#This Row],[OwnerEmail]]),Q756,patch[[#This Row],[OwnerEmail]])</f>
        <v>juha.alanen@intel.com</v>
      </c>
      <c r="R757" s="7" t="str">
        <f>_xlfn.IFNA(VLOOKUP(patch[[#This Row],[tmp-owner.email]],OrgTree!$A:$K, 11, 0), "not ICG SWFW")</f>
        <v>FL And dev</v>
      </c>
      <c r="S757" s="7" t="str">
        <f>IF(patch[[#This Row],[reviewer]]=patch[[#This Row],[tmp-owner.email]], "author", _xlfn.IFNA(VLOOKUP(patch[[#This Row],[reviewer]],OrgTree!$A:$K, 11, 0), "not ICG SWFW"))</f>
        <v>author</v>
      </c>
      <c r="T757" s="7" t="str">
        <f>IF(ISBLANK(patch[[#This Row],[mergeDate]]), "", MID(YEAR(patch[[#This Row],[mergeDate]]), 3,2)&amp;"'ww"&amp;WEEKNUM(patch[[#This Row],[mergeDate]]))</f>
        <v>16'ww39</v>
      </c>
      <c r="U757" s="7" t="str">
        <f>IF(ISBLANK(patch[[#This Row],[mergeDate]]), U756, MID(YEAR(patch[[#This Row],[mergeDate]]), 3,2)&amp;"'m"&amp;MONTH(patch[[#This Row],[mergeDate]]))</f>
        <v>16'm9</v>
      </c>
      <c r="V757" s="7" t="str">
        <f>IF(ISBLANK(patch[[#This Row],[project]]), "",SUM(patch[[#This Row],[BJ -1 num]:[SH -1 num]]))</f>
        <v/>
      </c>
      <c r="W757" s="7" t="str">
        <f>IF(ISBLANK(patch[[#This Row],[project]]), "",COUNTIFS($A:$A,patch[[#This Row],[number]],$S:$S, "BJ And dev",$AC:$AC, "Review-1"))</f>
        <v/>
      </c>
      <c r="X757" s="7" t="str">
        <f>IF(ISBLANK(patch[[#This Row],[project]]), "",COUNTIFS($A:$A,patch[[#This Row],[number]],$S:$S, "FL And dev",$AC:$AC, "Review-1"))</f>
        <v/>
      </c>
      <c r="Y757" s="7" t="str">
        <f>IF(ISBLANK(patch[[#This Row],[project]]), "",COUNTIFS($A:$A,patch[[#This Row],[number]],$S:$S, "SH And dev",$AC:$AC, "Review-1"))</f>
        <v/>
      </c>
      <c r="Z757" s="7" t="str">
        <f>IF(ISBLANK(patch[[#This Row],[project]]), "",COUNTIFS($A:$A,patch[[#This Row],[number]],$S:$S, "BJ And dev",$AD:$AD, "&lt;&gt;IntegratorValidationComment"))</f>
        <v/>
      </c>
      <c r="AA757" s="7" t="str">
        <f>IF(ISBLANK(patch[[#This Row],[project]]), "",COUNTIFS($A:$A,patch[[#This Row],[number]],$S:$S, "FL And dev",$AD:$AD, "&lt;&gt;IntegratorValidationComment"))</f>
        <v/>
      </c>
      <c r="AB757" s="7" t="str">
        <f>IF(ISBLANK(patch[[#This Row],[project]]), "",COUNTIFS($A:$A,patch[[#This Row],[number]],$S:$S, "SH And dev",$AD:$AD, "&lt;&gt;IntegratorValidationComment"))</f>
        <v/>
      </c>
      <c r="AC757" s="7" t="str">
        <f>IF(OR(ISNUMBER(FIND("Review-1", patch[[#This Row],[comments]])), ISNUMBER(FIND("Approver-1", patch[[#This Row],[comments]]))), "Review-1", "")</f>
        <v/>
      </c>
      <c r="AD7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57" s="7">
        <f>IF(ISBLANK(patch[[#This Row],[number]]),AE756,patch[[#This Row],[ifCommon]])</f>
        <v>0</v>
      </c>
    </row>
    <row r="758" spans="1:31">
      <c r="A758" s="151">
        <v>146691</v>
      </c>
      <c r="B758" s="151"/>
      <c r="C758" s="151"/>
      <c r="D758" s="151"/>
      <c r="E758" s="151"/>
      <c r="F758" s="151"/>
      <c r="G758" s="151"/>
      <c r="H758" s="151"/>
      <c r="I758" s="151"/>
      <c r="J758" s="152">
        <v>42635.71130787037</v>
      </c>
      <c r="K758" s="151"/>
      <c r="L758" s="151" t="s">
        <v>60</v>
      </c>
      <c r="M758" s="152">
        <v>42633.889282407406</v>
      </c>
      <c r="N758" s="151" t="s">
        <v>40</v>
      </c>
      <c r="O758" s="151"/>
      <c r="P758" s="151"/>
      <c r="Q758" s="7" t="str">
        <f>IF(ISBLANK(patch[[#This Row],[OwnerEmail]]),Q757,patch[[#This Row],[OwnerEmail]])</f>
        <v>juha.alanen@intel.com</v>
      </c>
      <c r="R758" s="7" t="str">
        <f>_xlfn.IFNA(VLOOKUP(patch[[#This Row],[tmp-owner.email]],OrgTree!$A:$K, 11, 0), "not ICG SWFW")</f>
        <v>FL And dev</v>
      </c>
      <c r="S758" s="7" t="str">
        <f>IF(patch[[#This Row],[reviewer]]=patch[[#This Row],[tmp-owner.email]], "author", _xlfn.IFNA(VLOOKUP(patch[[#This Row],[reviewer]],OrgTree!$A:$K, 11, 0), "not ICG SWFW"))</f>
        <v>author</v>
      </c>
      <c r="T758" s="7" t="str">
        <f>IF(ISBLANK(patch[[#This Row],[mergeDate]]), "", MID(YEAR(patch[[#This Row],[mergeDate]]), 3,2)&amp;"'ww"&amp;WEEKNUM(patch[[#This Row],[mergeDate]]))</f>
        <v>16'ww39</v>
      </c>
      <c r="U758" s="7" t="str">
        <f>IF(ISBLANK(patch[[#This Row],[mergeDate]]), U757, MID(YEAR(patch[[#This Row],[mergeDate]]), 3,2)&amp;"'m"&amp;MONTH(patch[[#This Row],[mergeDate]]))</f>
        <v>16'm9</v>
      </c>
      <c r="V758" s="7" t="str">
        <f>IF(ISBLANK(patch[[#This Row],[project]]), "",SUM(patch[[#This Row],[BJ -1 num]:[SH -1 num]]))</f>
        <v/>
      </c>
      <c r="W758" s="7" t="str">
        <f>IF(ISBLANK(patch[[#This Row],[project]]), "",COUNTIFS($A:$A,patch[[#This Row],[number]],$S:$S, "BJ And dev",$AC:$AC, "Review-1"))</f>
        <v/>
      </c>
      <c r="X758" s="7" t="str">
        <f>IF(ISBLANK(patch[[#This Row],[project]]), "",COUNTIFS($A:$A,patch[[#This Row],[number]],$S:$S, "FL And dev",$AC:$AC, "Review-1"))</f>
        <v/>
      </c>
      <c r="Y758" s="7" t="str">
        <f>IF(ISBLANK(patch[[#This Row],[project]]), "",COUNTIFS($A:$A,patch[[#This Row],[number]],$S:$S, "SH And dev",$AC:$AC, "Review-1"))</f>
        <v/>
      </c>
      <c r="Z758" s="7" t="str">
        <f>IF(ISBLANK(patch[[#This Row],[project]]), "",COUNTIFS($A:$A,patch[[#This Row],[number]],$S:$S, "BJ And dev",$AD:$AD, "&lt;&gt;IntegratorValidationComment"))</f>
        <v/>
      </c>
      <c r="AA758" s="7" t="str">
        <f>IF(ISBLANK(patch[[#This Row],[project]]), "",COUNTIFS($A:$A,patch[[#This Row],[number]],$S:$S, "FL And dev",$AD:$AD, "&lt;&gt;IntegratorValidationComment"))</f>
        <v/>
      </c>
      <c r="AB758" s="7" t="str">
        <f>IF(ISBLANK(patch[[#This Row],[project]]), "",COUNTIFS($A:$A,patch[[#This Row],[number]],$S:$S, "SH And dev",$AD:$AD, "&lt;&gt;IntegratorValidationComment"))</f>
        <v/>
      </c>
      <c r="AC758" s="7" t="str">
        <f>IF(OR(ISNUMBER(FIND("Review-1", patch[[#This Row],[comments]])), ISNUMBER(FIND("Approver-1", patch[[#This Row],[comments]]))), "Review-1", "")</f>
        <v/>
      </c>
      <c r="AD7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58" s="7">
        <f>IF(ISBLANK(patch[[#This Row],[number]]),AE757,patch[[#This Row],[ifCommon]])</f>
        <v>0</v>
      </c>
    </row>
    <row r="759" spans="1:31">
      <c r="A759" s="151">
        <v>146691</v>
      </c>
      <c r="B759" s="151"/>
      <c r="C759" s="151"/>
      <c r="D759" s="151"/>
      <c r="E759" s="151"/>
      <c r="F759" s="151"/>
      <c r="G759" s="151"/>
      <c r="H759" s="151"/>
      <c r="I759" s="151"/>
      <c r="J759" s="152">
        <v>42635.71130787037</v>
      </c>
      <c r="K759" s="151"/>
      <c r="L759" s="151" t="s">
        <v>59</v>
      </c>
      <c r="M759" s="152">
        <v>42634.375254629631</v>
      </c>
      <c r="N759" s="151" t="s">
        <v>2757</v>
      </c>
      <c r="O759" s="151"/>
      <c r="P759" s="151"/>
      <c r="Q759" s="7" t="str">
        <f>IF(ISBLANK(patch[[#This Row],[OwnerEmail]]),Q758,patch[[#This Row],[OwnerEmail]])</f>
        <v>juha.alanen@intel.com</v>
      </c>
      <c r="R759" s="7" t="str">
        <f>_xlfn.IFNA(VLOOKUP(patch[[#This Row],[tmp-owner.email]],OrgTree!$A:$K, 11, 0), "not ICG SWFW")</f>
        <v>FL And dev</v>
      </c>
      <c r="S759" s="7" t="str">
        <f>IF(patch[[#This Row],[reviewer]]=patch[[#This Row],[tmp-owner.email]], "author", _xlfn.IFNA(VLOOKUP(patch[[#This Row],[reviewer]],OrgTree!$A:$K, 11, 0), "not ICG SWFW"))</f>
        <v>BJ And dev</v>
      </c>
      <c r="T759" s="7" t="str">
        <f>IF(ISBLANK(patch[[#This Row],[mergeDate]]), "", MID(YEAR(patch[[#This Row],[mergeDate]]), 3,2)&amp;"'ww"&amp;WEEKNUM(patch[[#This Row],[mergeDate]]))</f>
        <v>16'ww39</v>
      </c>
      <c r="U759" s="7" t="str">
        <f>IF(ISBLANK(patch[[#This Row],[mergeDate]]), U758, MID(YEAR(patch[[#This Row],[mergeDate]]), 3,2)&amp;"'m"&amp;MONTH(patch[[#This Row],[mergeDate]]))</f>
        <v>16'm9</v>
      </c>
      <c r="V759" s="7" t="str">
        <f>IF(ISBLANK(patch[[#This Row],[project]]), "",SUM(patch[[#This Row],[BJ -1 num]:[SH -1 num]]))</f>
        <v/>
      </c>
      <c r="W759" s="7" t="str">
        <f>IF(ISBLANK(patch[[#This Row],[project]]), "",COUNTIFS($A:$A,patch[[#This Row],[number]],$S:$S, "BJ And dev",$AC:$AC, "Review-1"))</f>
        <v/>
      </c>
      <c r="X759" s="7" t="str">
        <f>IF(ISBLANK(patch[[#This Row],[project]]), "",COUNTIFS($A:$A,patch[[#This Row],[number]],$S:$S, "FL And dev",$AC:$AC, "Review-1"))</f>
        <v/>
      </c>
      <c r="Y759" s="7" t="str">
        <f>IF(ISBLANK(patch[[#This Row],[project]]), "",COUNTIFS($A:$A,patch[[#This Row],[number]],$S:$S, "SH And dev",$AC:$AC, "Review-1"))</f>
        <v/>
      </c>
      <c r="Z759" s="7" t="str">
        <f>IF(ISBLANK(patch[[#This Row],[project]]), "",COUNTIFS($A:$A,patch[[#This Row],[number]],$S:$S, "BJ And dev",$AD:$AD, "&lt;&gt;IntegratorValidationComment"))</f>
        <v/>
      </c>
      <c r="AA759" s="7" t="str">
        <f>IF(ISBLANK(patch[[#This Row],[project]]), "",COUNTIFS($A:$A,patch[[#This Row],[number]],$S:$S, "FL And dev",$AD:$AD, "&lt;&gt;IntegratorValidationComment"))</f>
        <v/>
      </c>
      <c r="AB759" s="7" t="str">
        <f>IF(ISBLANK(patch[[#This Row],[project]]), "",COUNTIFS($A:$A,patch[[#This Row],[number]],$S:$S, "SH And dev",$AD:$AD, "&lt;&gt;IntegratorValidationComment"))</f>
        <v/>
      </c>
      <c r="AC759" s="7" t="str">
        <f>IF(OR(ISNUMBER(FIND("Review-1", patch[[#This Row],[comments]])), ISNUMBER(FIND("Approver-1", patch[[#This Row],[comments]]))), "Review-1", "")</f>
        <v/>
      </c>
      <c r="AD7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59" s="7">
        <f>IF(ISBLANK(patch[[#This Row],[number]]),AE758,patch[[#This Row],[ifCommon]])</f>
        <v>0</v>
      </c>
    </row>
    <row r="760" spans="1:31">
      <c r="A760" s="151">
        <v>146691</v>
      </c>
      <c r="B760" s="151"/>
      <c r="C760" s="151"/>
      <c r="D760" s="151"/>
      <c r="E760" s="151"/>
      <c r="F760" s="151"/>
      <c r="G760" s="151"/>
      <c r="H760" s="151"/>
      <c r="I760" s="151"/>
      <c r="J760" s="152">
        <v>42635.71130787037</v>
      </c>
      <c r="K760" s="151"/>
      <c r="L760" s="151" t="s">
        <v>59</v>
      </c>
      <c r="M760" s="152">
        <v>42634.376099537039</v>
      </c>
      <c r="N760" s="151" t="s">
        <v>2991</v>
      </c>
      <c r="O760" s="151"/>
      <c r="P760" s="151"/>
      <c r="Q760" s="7" t="str">
        <f>IF(ISBLANK(patch[[#This Row],[OwnerEmail]]),Q759,patch[[#This Row],[OwnerEmail]])</f>
        <v>juha.alanen@intel.com</v>
      </c>
      <c r="R760" s="7" t="str">
        <f>_xlfn.IFNA(VLOOKUP(patch[[#This Row],[tmp-owner.email]],OrgTree!$A:$K, 11, 0), "not ICG SWFW")</f>
        <v>FL And dev</v>
      </c>
      <c r="S760" s="7" t="str">
        <f>IF(patch[[#This Row],[reviewer]]=patch[[#This Row],[tmp-owner.email]], "author", _xlfn.IFNA(VLOOKUP(patch[[#This Row],[reviewer]],OrgTree!$A:$K, 11, 0), "not ICG SWFW"))</f>
        <v>BJ And dev</v>
      </c>
      <c r="T760" s="7" t="str">
        <f>IF(ISBLANK(patch[[#This Row],[mergeDate]]), "", MID(YEAR(patch[[#This Row],[mergeDate]]), 3,2)&amp;"'ww"&amp;WEEKNUM(patch[[#This Row],[mergeDate]]))</f>
        <v>16'ww39</v>
      </c>
      <c r="U760" s="7" t="str">
        <f>IF(ISBLANK(patch[[#This Row],[mergeDate]]), U759, MID(YEAR(patch[[#This Row],[mergeDate]]), 3,2)&amp;"'m"&amp;MONTH(patch[[#This Row],[mergeDate]]))</f>
        <v>16'm9</v>
      </c>
      <c r="V760" s="7" t="str">
        <f>IF(ISBLANK(patch[[#This Row],[project]]), "",SUM(patch[[#This Row],[BJ -1 num]:[SH -1 num]]))</f>
        <v/>
      </c>
      <c r="W760" s="7" t="str">
        <f>IF(ISBLANK(patch[[#This Row],[project]]), "",COUNTIFS($A:$A,patch[[#This Row],[number]],$S:$S, "BJ And dev",$AC:$AC, "Review-1"))</f>
        <v/>
      </c>
      <c r="X760" s="7" t="str">
        <f>IF(ISBLANK(patch[[#This Row],[project]]), "",COUNTIFS($A:$A,patch[[#This Row],[number]],$S:$S, "FL And dev",$AC:$AC, "Review-1"))</f>
        <v/>
      </c>
      <c r="Y760" s="7" t="str">
        <f>IF(ISBLANK(patch[[#This Row],[project]]), "",COUNTIFS($A:$A,patch[[#This Row],[number]],$S:$S, "SH And dev",$AC:$AC, "Review-1"))</f>
        <v/>
      </c>
      <c r="Z760" s="7" t="str">
        <f>IF(ISBLANK(patch[[#This Row],[project]]), "",COUNTIFS($A:$A,patch[[#This Row],[number]],$S:$S, "BJ And dev",$AD:$AD, "&lt;&gt;IntegratorValidationComment"))</f>
        <v/>
      </c>
      <c r="AA760" s="7" t="str">
        <f>IF(ISBLANK(patch[[#This Row],[project]]), "",COUNTIFS($A:$A,patch[[#This Row],[number]],$S:$S, "FL And dev",$AD:$AD, "&lt;&gt;IntegratorValidationComment"))</f>
        <v/>
      </c>
      <c r="AB760" s="7" t="str">
        <f>IF(ISBLANK(patch[[#This Row],[project]]), "",COUNTIFS($A:$A,patch[[#This Row],[number]],$S:$S, "SH And dev",$AD:$AD, "&lt;&gt;IntegratorValidationComment"))</f>
        <v/>
      </c>
      <c r="AC760" s="7" t="str">
        <f>IF(OR(ISNUMBER(FIND("Review-1", patch[[#This Row],[comments]])), ISNUMBER(FIND("Approver-1", patch[[#This Row],[comments]]))), "Review-1", "")</f>
        <v/>
      </c>
      <c r="AD7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60" s="7">
        <f>IF(ISBLANK(patch[[#This Row],[number]]),AE759,patch[[#This Row],[ifCommon]])</f>
        <v>0</v>
      </c>
    </row>
    <row r="761" spans="1:31">
      <c r="A761" s="151">
        <v>146691</v>
      </c>
      <c r="B761" s="151"/>
      <c r="C761" s="151"/>
      <c r="D761" s="151"/>
      <c r="E761" s="151"/>
      <c r="F761" s="151"/>
      <c r="G761" s="151"/>
      <c r="H761" s="151"/>
      <c r="I761" s="151"/>
      <c r="J761" s="152">
        <v>42635.71130787037</v>
      </c>
      <c r="K761" s="151"/>
      <c r="L761" s="151" t="s">
        <v>59</v>
      </c>
      <c r="M761" s="152">
        <v>42634.381157407413</v>
      </c>
      <c r="N761" s="151" t="s">
        <v>2992</v>
      </c>
      <c r="O761" s="151"/>
      <c r="P761" s="151"/>
      <c r="Q761" s="7" t="str">
        <f>IF(ISBLANK(patch[[#This Row],[OwnerEmail]]),Q760,patch[[#This Row],[OwnerEmail]])</f>
        <v>juha.alanen@intel.com</v>
      </c>
      <c r="R761" s="7" t="str">
        <f>_xlfn.IFNA(VLOOKUP(patch[[#This Row],[tmp-owner.email]],OrgTree!$A:$K, 11, 0), "not ICG SWFW")</f>
        <v>FL And dev</v>
      </c>
      <c r="S761" s="7" t="str">
        <f>IF(patch[[#This Row],[reviewer]]=patch[[#This Row],[tmp-owner.email]], "author", _xlfn.IFNA(VLOOKUP(patch[[#This Row],[reviewer]],OrgTree!$A:$K, 11, 0), "not ICG SWFW"))</f>
        <v>BJ And dev</v>
      </c>
      <c r="T761" s="7" t="str">
        <f>IF(ISBLANK(patch[[#This Row],[mergeDate]]), "", MID(YEAR(patch[[#This Row],[mergeDate]]), 3,2)&amp;"'ww"&amp;WEEKNUM(patch[[#This Row],[mergeDate]]))</f>
        <v>16'ww39</v>
      </c>
      <c r="U761" s="7" t="str">
        <f>IF(ISBLANK(patch[[#This Row],[mergeDate]]), U760, MID(YEAR(patch[[#This Row],[mergeDate]]), 3,2)&amp;"'m"&amp;MONTH(patch[[#This Row],[mergeDate]]))</f>
        <v>16'm9</v>
      </c>
      <c r="V761" s="7" t="str">
        <f>IF(ISBLANK(patch[[#This Row],[project]]), "",SUM(patch[[#This Row],[BJ -1 num]:[SH -1 num]]))</f>
        <v/>
      </c>
      <c r="W761" s="7" t="str">
        <f>IF(ISBLANK(patch[[#This Row],[project]]), "",COUNTIFS($A:$A,patch[[#This Row],[number]],$S:$S, "BJ And dev",$AC:$AC, "Review-1"))</f>
        <v/>
      </c>
      <c r="X761" s="7" t="str">
        <f>IF(ISBLANK(patch[[#This Row],[project]]), "",COUNTIFS($A:$A,patch[[#This Row],[number]],$S:$S, "FL And dev",$AC:$AC, "Review-1"))</f>
        <v/>
      </c>
      <c r="Y761" s="7" t="str">
        <f>IF(ISBLANK(patch[[#This Row],[project]]), "",COUNTIFS($A:$A,patch[[#This Row],[number]],$S:$S, "SH And dev",$AC:$AC, "Review-1"))</f>
        <v/>
      </c>
      <c r="Z761" s="7" t="str">
        <f>IF(ISBLANK(patch[[#This Row],[project]]), "",COUNTIFS($A:$A,patch[[#This Row],[number]],$S:$S, "BJ And dev",$AD:$AD, "&lt;&gt;IntegratorValidationComment"))</f>
        <v/>
      </c>
      <c r="AA761" s="7" t="str">
        <f>IF(ISBLANK(patch[[#This Row],[project]]), "",COUNTIFS($A:$A,patch[[#This Row],[number]],$S:$S, "FL And dev",$AD:$AD, "&lt;&gt;IntegratorValidationComment"))</f>
        <v/>
      </c>
      <c r="AB761" s="7" t="str">
        <f>IF(ISBLANK(patch[[#This Row],[project]]), "",COUNTIFS($A:$A,patch[[#This Row],[number]],$S:$S, "SH And dev",$AD:$AD, "&lt;&gt;IntegratorValidationComment"))</f>
        <v/>
      </c>
      <c r="AC761" s="7" t="str">
        <f>IF(OR(ISNUMBER(FIND("Review-1", patch[[#This Row],[comments]])), ISNUMBER(FIND("Approver-1", patch[[#This Row],[comments]]))), "Review-1", "")</f>
        <v/>
      </c>
      <c r="AD7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61" s="7">
        <f>IF(ISBLANK(patch[[#This Row],[number]]),AE760,patch[[#This Row],[ifCommon]])</f>
        <v>0</v>
      </c>
    </row>
    <row r="762" spans="1:31">
      <c r="A762" s="151">
        <v>146691</v>
      </c>
      <c r="B762" s="151"/>
      <c r="C762" s="151"/>
      <c r="D762" s="151"/>
      <c r="E762" s="151"/>
      <c r="F762" s="151"/>
      <c r="G762" s="151"/>
      <c r="H762" s="151"/>
      <c r="I762" s="151"/>
      <c r="J762" s="152">
        <v>42635.71130787037</v>
      </c>
      <c r="K762" s="151"/>
      <c r="L762" s="151" t="s">
        <v>60</v>
      </c>
      <c r="M762" s="152">
        <v>42634.642962962957</v>
      </c>
      <c r="N762" s="151" t="s">
        <v>2456</v>
      </c>
      <c r="O762" s="151"/>
      <c r="P762" s="151"/>
      <c r="Q762" s="7" t="str">
        <f>IF(ISBLANK(patch[[#This Row],[OwnerEmail]]),Q761,patch[[#This Row],[OwnerEmail]])</f>
        <v>juha.alanen@intel.com</v>
      </c>
      <c r="R762" s="7" t="str">
        <f>_xlfn.IFNA(VLOOKUP(patch[[#This Row],[tmp-owner.email]],OrgTree!$A:$K, 11, 0), "not ICG SWFW")</f>
        <v>FL And dev</v>
      </c>
      <c r="S762" s="7" t="str">
        <f>IF(patch[[#This Row],[reviewer]]=patch[[#This Row],[tmp-owner.email]], "author", _xlfn.IFNA(VLOOKUP(patch[[#This Row],[reviewer]],OrgTree!$A:$K, 11, 0), "not ICG SWFW"))</f>
        <v>author</v>
      </c>
      <c r="T762" s="7" t="str">
        <f>IF(ISBLANK(patch[[#This Row],[mergeDate]]), "", MID(YEAR(patch[[#This Row],[mergeDate]]), 3,2)&amp;"'ww"&amp;WEEKNUM(patch[[#This Row],[mergeDate]]))</f>
        <v>16'ww39</v>
      </c>
      <c r="U762" s="7" t="str">
        <f>IF(ISBLANK(patch[[#This Row],[mergeDate]]), U761, MID(YEAR(patch[[#This Row],[mergeDate]]), 3,2)&amp;"'m"&amp;MONTH(patch[[#This Row],[mergeDate]]))</f>
        <v>16'm9</v>
      </c>
      <c r="V762" s="7" t="str">
        <f>IF(ISBLANK(patch[[#This Row],[project]]), "",SUM(patch[[#This Row],[BJ -1 num]:[SH -1 num]]))</f>
        <v/>
      </c>
      <c r="W762" s="7" t="str">
        <f>IF(ISBLANK(patch[[#This Row],[project]]), "",COUNTIFS($A:$A,patch[[#This Row],[number]],$S:$S, "BJ And dev",$AC:$AC, "Review-1"))</f>
        <v/>
      </c>
      <c r="X762" s="7" t="str">
        <f>IF(ISBLANK(patch[[#This Row],[project]]), "",COUNTIFS($A:$A,patch[[#This Row],[number]],$S:$S, "FL And dev",$AC:$AC, "Review-1"))</f>
        <v/>
      </c>
      <c r="Y762" s="7" t="str">
        <f>IF(ISBLANK(patch[[#This Row],[project]]), "",COUNTIFS($A:$A,patch[[#This Row],[number]],$S:$S, "SH And dev",$AC:$AC, "Review-1"))</f>
        <v/>
      </c>
      <c r="Z762" s="7" t="str">
        <f>IF(ISBLANK(patch[[#This Row],[project]]), "",COUNTIFS($A:$A,patch[[#This Row],[number]],$S:$S, "BJ And dev",$AD:$AD, "&lt;&gt;IntegratorValidationComment"))</f>
        <v/>
      </c>
      <c r="AA762" s="7" t="str">
        <f>IF(ISBLANK(patch[[#This Row],[project]]), "",COUNTIFS($A:$A,patch[[#This Row],[number]],$S:$S, "FL And dev",$AD:$AD, "&lt;&gt;IntegratorValidationComment"))</f>
        <v/>
      </c>
      <c r="AB762" s="7" t="str">
        <f>IF(ISBLANK(patch[[#This Row],[project]]), "",COUNTIFS($A:$A,patch[[#This Row],[number]],$S:$S, "SH And dev",$AD:$AD, "&lt;&gt;IntegratorValidationComment"))</f>
        <v/>
      </c>
      <c r="AC762" s="7" t="str">
        <f>IF(OR(ISNUMBER(FIND("Review-1", patch[[#This Row],[comments]])), ISNUMBER(FIND("Approver-1", patch[[#This Row],[comments]]))), "Review-1", "")</f>
        <v/>
      </c>
      <c r="AD7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62" s="7">
        <f>IF(ISBLANK(patch[[#This Row],[number]]),AE761,patch[[#This Row],[ifCommon]])</f>
        <v>0</v>
      </c>
    </row>
    <row r="763" spans="1:31">
      <c r="A763" s="151">
        <v>146691</v>
      </c>
      <c r="B763" s="151"/>
      <c r="C763" s="151"/>
      <c r="D763" s="151"/>
      <c r="E763" s="151"/>
      <c r="F763" s="151"/>
      <c r="G763" s="151"/>
      <c r="H763" s="151"/>
      <c r="I763" s="151"/>
      <c r="J763" s="152">
        <v>42635.71130787037</v>
      </c>
      <c r="K763" s="151"/>
      <c r="L763" s="151" t="s">
        <v>60</v>
      </c>
      <c r="M763" s="152">
        <v>42634.64298611111</v>
      </c>
      <c r="N763" s="151" t="s">
        <v>2429</v>
      </c>
      <c r="O763" s="151"/>
      <c r="P763" s="151"/>
      <c r="Q763" s="7" t="str">
        <f>IF(ISBLANK(patch[[#This Row],[OwnerEmail]]),Q762,patch[[#This Row],[OwnerEmail]])</f>
        <v>juha.alanen@intel.com</v>
      </c>
      <c r="R763" s="7" t="str">
        <f>_xlfn.IFNA(VLOOKUP(patch[[#This Row],[tmp-owner.email]],OrgTree!$A:$K, 11, 0), "not ICG SWFW")</f>
        <v>FL And dev</v>
      </c>
      <c r="S763" s="7" t="str">
        <f>IF(patch[[#This Row],[reviewer]]=patch[[#This Row],[tmp-owner.email]], "author", _xlfn.IFNA(VLOOKUP(patch[[#This Row],[reviewer]],OrgTree!$A:$K, 11, 0), "not ICG SWFW"))</f>
        <v>author</v>
      </c>
      <c r="T763" s="7" t="str">
        <f>IF(ISBLANK(patch[[#This Row],[mergeDate]]), "", MID(YEAR(patch[[#This Row],[mergeDate]]), 3,2)&amp;"'ww"&amp;WEEKNUM(patch[[#This Row],[mergeDate]]))</f>
        <v>16'ww39</v>
      </c>
      <c r="U763" s="7" t="str">
        <f>IF(ISBLANK(patch[[#This Row],[mergeDate]]), U762, MID(YEAR(patch[[#This Row],[mergeDate]]), 3,2)&amp;"'m"&amp;MONTH(patch[[#This Row],[mergeDate]]))</f>
        <v>16'm9</v>
      </c>
      <c r="V763" s="7" t="str">
        <f>IF(ISBLANK(patch[[#This Row],[project]]), "",SUM(patch[[#This Row],[BJ -1 num]:[SH -1 num]]))</f>
        <v/>
      </c>
      <c r="W763" s="7" t="str">
        <f>IF(ISBLANK(patch[[#This Row],[project]]), "",COUNTIFS($A:$A,patch[[#This Row],[number]],$S:$S, "BJ And dev",$AC:$AC, "Review-1"))</f>
        <v/>
      </c>
      <c r="X763" s="7" t="str">
        <f>IF(ISBLANK(patch[[#This Row],[project]]), "",COUNTIFS($A:$A,patch[[#This Row],[number]],$S:$S, "FL And dev",$AC:$AC, "Review-1"))</f>
        <v/>
      </c>
      <c r="Y763" s="7" t="str">
        <f>IF(ISBLANK(patch[[#This Row],[project]]), "",COUNTIFS($A:$A,patch[[#This Row],[number]],$S:$S, "SH And dev",$AC:$AC, "Review-1"))</f>
        <v/>
      </c>
      <c r="Z763" s="7" t="str">
        <f>IF(ISBLANK(patch[[#This Row],[project]]), "",COUNTIFS($A:$A,patch[[#This Row],[number]],$S:$S, "BJ And dev",$AD:$AD, "&lt;&gt;IntegratorValidationComment"))</f>
        <v/>
      </c>
      <c r="AA763" s="7" t="str">
        <f>IF(ISBLANK(patch[[#This Row],[project]]), "",COUNTIFS($A:$A,patch[[#This Row],[number]],$S:$S, "FL And dev",$AD:$AD, "&lt;&gt;IntegratorValidationComment"))</f>
        <v/>
      </c>
      <c r="AB763" s="7" t="str">
        <f>IF(ISBLANK(patch[[#This Row],[project]]), "",COUNTIFS($A:$A,patch[[#This Row],[number]],$S:$S, "SH And dev",$AD:$AD, "&lt;&gt;IntegratorValidationComment"))</f>
        <v/>
      </c>
      <c r="AC763" s="7" t="str">
        <f>IF(OR(ISNUMBER(FIND("Review-1", patch[[#This Row],[comments]])), ISNUMBER(FIND("Approver-1", patch[[#This Row],[comments]]))), "Review-1", "")</f>
        <v/>
      </c>
      <c r="AD7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63" s="7">
        <f>IF(ISBLANK(patch[[#This Row],[number]]),AE762,patch[[#This Row],[ifCommon]])</f>
        <v>0</v>
      </c>
    </row>
    <row r="764" spans="1:31">
      <c r="A764" s="151">
        <v>146691</v>
      </c>
      <c r="B764" s="151"/>
      <c r="C764" s="151"/>
      <c r="D764" s="151"/>
      <c r="E764" s="151"/>
      <c r="F764" s="151"/>
      <c r="G764" s="151"/>
      <c r="H764" s="151"/>
      <c r="I764" s="151"/>
      <c r="J764" s="152">
        <v>42635.71130787037</v>
      </c>
      <c r="K764" s="151"/>
      <c r="L764" s="151" t="s">
        <v>59</v>
      </c>
      <c r="M764" s="152">
        <v>42634.646527777782</v>
      </c>
      <c r="N764" s="151" t="s">
        <v>2993</v>
      </c>
      <c r="O764" s="151"/>
      <c r="P764" s="151"/>
      <c r="Q764" s="7" t="str">
        <f>IF(ISBLANK(patch[[#This Row],[OwnerEmail]]),Q763,patch[[#This Row],[OwnerEmail]])</f>
        <v>juha.alanen@intel.com</v>
      </c>
      <c r="R764" s="7" t="str">
        <f>_xlfn.IFNA(VLOOKUP(patch[[#This Row],[tmp-owner.email]],OrgTree!$A:$K, 11, 0), "not ICG SWFW")</f>
        <v>FL And dev</v>
      </c>
      <c r="S764" s="7" t="str">
        <f>IF(patch[[#This Row],[reviewer]]=patch[[#This Row],[tmp-owner.email]], "author", _xlfn.IFNA(VLOOKUP(patch[[#This Row],[reviewer]],OrgTree!$A:$K, 11, 0), "not ICG SWFW"))</f>
        <v>BJ And dev</v>
      </c>
      <c r="T764" s="7" t="str">
        <f>IF(ISBLANK(patch[[#This Row],[mergeDate]]), "", MID(YEAR(patch[[#This Row],[mergeDate]]), 3,2)&amp;"'ww"&amp;WEEKNUM(patch[[#This Row],[mergeDate]]))</f>
        <v>16'ww39</v>
      </c>
      <c r="U764" s="7" t="str">
        <f>IF(ISBLANK(patch[[#This Row],[mergeDate]]), U763, MID(YEAR(patch[[#This Row],[mergeDate]]), 3,2)&amp;"'m"&amp;MONTH(patch[[#This Row],[mergeDate]]))</f>
        <v>16'm9</v>
      </c>
      <c r="V764" s="7" t="str">
        <f>IF(ISBLANK(patch[[#This Row],[project]]), "",SUM(patch[[#This Row],[BJ -1 num]:[SH -1 num]]))</f>
        <v/>
      </c>
      <c r="W764" s="7" t="str">
        <f>IF(ISBLANK(patch[[#This Row],[project]]), "",COUNTIFS($A:$A,patch[[#This Row],[number]],$S:$S, "BJ And dev",$AC:$AC, "Review-1"))</f>
        <v/>
      </c>
      <c r="X764" s="7" t="str">
        <f>IF(ISBLANK(patch[[#This Row],[project]]), "",COUNTIFS($A:$A,patch[[#This Row],[number]],$S:$S, "FL And dev",$AC:$AC, "Review-1"))</f>
        <v/>
      </c>
      <c r="Y764" s="7" t="str">
        <f>IF(ISBLANK(patch[[#This Row],[project]]), "",COUNTIFS($A:$A,patch[[#This Row],[number]],$S:$S, "SH And dev",$AC:$AC, "Review-1"))</f>
        <v/>
      </c>
      <c r="Z764" s="7" t="str">
        <f>IF(ISBLANK(patch[[#This Row],[project]]), "",COUNTIFS($A:$A,patch[[#This Row],[number]],$S:$S, "BJ And dev",$AD:$AD, "&lt;&gt;IntegratorValidationComment"))</f>
        <v/>
      </c>
      <c r="AA764" s="7" t="str">
        <f>IF(ISBLANK(patch[[#This Row],[project]]), "",COUNTIFS($A:$A,patch[[#This Row],[number]],$S:$S, "FL And dev",$AD:$AD, "&lt;&gt;IntegratorValidationComment"))</f>
        <v/>
      </c>
      <c r="AB764" s="7" t="str">
        <f>IF(ISBLANK(patch[[#This Row],[project]]), "",COUNTIFS($A:$A,patch[[#This Row],[number]],$S:$S, "SH And dev",$AD:$AD, "&lt;&gt;IntegratorValidationComment"))</f>
        <v/>
      </c>
      <c r="AC764" s="7" t="str">
        <f>IF(OR(ISNUMBER(FIND("Review-1", patch[[#This Row],[comments]])), ISNUMBER(FIND("Approver-1", patch[[#This Row],[comments]]))), "Review-1", "")</f>
        <v/>
      </c>
      <c r="AD7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64" s="7">
        <f>IF(ISBLANK(patch[[#This Row],[number]]),AE763,patch[[#This Row],[ifCommon]])</f>
        <v>0</v>
      </c>
    </row>
    <row r="765" spans="1:31">
      <c r="A765" s="151">
        <v>146691</v>
      </c>
      <c r="B765" s="151"/>
      <c r="C765" s="151"/>
      <c r="D765" s="151"/>
      <c r="E765" s="151"/>
      <c r="F765" s="151"/>
      <c r="G765" s="151"/>
      <c r="H765" s="151"/>
      <c r="I765" s="152"/>
      <c r="J765" s="152">
        <v>42635.71130787037</v>
      </c>
      <c r="K765" s="151"/>
      <c r="L765" s="151" t="s">
        <v>33</v>
      </c>
      <c r="M765" s="152">
        <v>42634.648726851847</v>
      </c>
      <c r="N765" s="151" t="s">
        <v>27</v>
      </c>
      <c r="O765" s="151"/>
      <c r="P765" s="151"/>
      <c r="Q765" s="7" t="str">
        <f>IF(ISBLANK(patch[[#This Row],[OwnerEmail]]),Q764,patch[[#This Row],[OwnerEmail]])</f>
        <v>juha.alanen@intel.com</v>
      </c>
      <c r="R765" s="7" t="str">
        <f>_xlfn.IFNA(VLOOKUP(patch[[#This Row],[tmp-owner.email]],OrgTree!$A:$K, 11, 0), "not ICG SWFW")</f>
        <v>FL And dev</v>
      </c>
      <c r="S765" s="7" t="str">
        <f>IF(patch[[#This Row],[reviewer]]=patch[[#This Row],[tmp-owner.email]], "author", _xlfn.IFNA(VLOOKUP(patch[[#This Row],[reviewer]],OrgTree!$A:$K, 11, 0), "not ICG SWFW"))</f>
        <v>FL And dev</v>
      </c>
      <c r="T765" s="7" t="str">
        <f>IF(ISBLANK(patch[[#This Row],[mergeDate]]), "", MID(YEAR(patch[[#This Row],[mergeDate]]), 3,2)&amp;"'ww"&amp;WEEKNUM(patch[[#This Row],[mergeDate]]))</f>
        <v>16'ww39</v>
      </c>
      <c r="U765" s="7" t="str">
        <f>IF(ISBLANK(patch[[#This Row],[mergeDate]]), U764, MID(YEAR(patch[[#This Row],[mergeDate]]), 3,2)&amp;"'m"&amp;MONTH(patch[[#This Row],[mergeDate]]))</f>
        <v>16'm9</v>
      </c>
      <c r="V765" s="7" t="str">
        <f>IF(ISBLANK(patch[[#This Row],[project]]), "",SUM(patch[[#This Row],[BJ -1 num]:[SH -1 num]]))</f>
        <v/>
      </c>
      <c r="W765" s="7" t="str">
        <f>IF(ISBLANK(patch[[#This Row],[project]]), "",COUNTIFS($A:$A,patch[[#This Row],[number]],$S:$S, "BJ And dev",$AC:$AC, "Review-1"))</f>
        <v/>
      </c>
      <c r="X765" s="7" t="str">
        <f>IF(ISBLANK(patch[[#This Row],[project]]), "",COUNTIFS($A:$A,patch[[#This Row],[number]],$S:$S, "FL And dev",$AC:$AC, "Review-1"))</f>
        <v/>
      </c>
      <c r="Y765" s="7" t="str">
        <f>IF(ISBLANK(patch[[#This Row],[project]]), "",COUNTIFS($A:$A,patch[[#This Row],[number]],$S:$S, "SH And dev",$AC:$AC, "Review-1"))</f>
        <v/>
      </c>
      <c r="Z765" s="7" t="str">
        <f>IF(ISBLANK(patch[[#This Row],[project]]), "",COUNTIFS($A:$A,patch[[#This Row],[number]],$S:$S, "BJ And dev",$AD:$AD, "&lt;&gt;IntegratorValidationComment"))</f>
        <v/>
      </c>
      <c r="AA765" s="7" t="str">
        <f>IF(ISBLANK(patch[[#This Row],[project]]), "",COUNTIFS($A:$A,patch[[#This Row],[number]],$S:$S, "FL And dev",$AD:$AD, "&lt;&gt;IntegratorValidationComment"))</f>
        <v/>
      </c>
      <c r="AB765" s="7" t="str">
        <f>IF(ISBLANK(patch[[#This Row],[project]]), "",COUNTIFS($A:$A,patch[[#This Row],[number]],$S:$S, "SH And dev",$AD:$AD, "&lt;&gt;IntegratorValidationComment"))</f>
        <v/>
      </c>
      <c r="AC765" s="7" t="str">
        <f>IF(OR(ISNUMBER(FIND("Review-1", patch[[#This Row],[comments]])), ISNUMBER(FIND("Approver-1", patch[[#This Row],[comments]]))), "Review-1", "")</f>
        <v/>
      </c>
      <c r="AD7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65" s="7">
        <f>IF(ISBLANK(patch[[#This Row],[number]]),AE764,patch[[#This Row],[ifCommon]])</f>
        <v>0</v>
      </c>
    </row>
    <row r="766" spans="1:31">
      <c r="A766" s="151">
        <v>146691</v>
      </c>
      <c r="B766" s="151"/>
      <c r="C766" s="151"/>
      <c r="D766" s="151"/>
      <c r="E766" s="151"/>
      <c r="F766" s="151"/>
      <c r="G766" s="151"/>
      <c r="H766" s="151"/>
      <c r="I766" s="151"/>
      <c r="J766" s="152">
        <v>42635.71130787037</v>
      </c>
      <c r="K766" s="151"/>
      <c r="L766" s="151" t="s">
        <v>59</v>
      </c>
      <c r="M766" s="152">
        <v>42634.649756944447</v>
      </c>
      <c r="N766" s="151" t="s">
        <v>2994</v>
      </c>
      <c r="O766" s="151"/>
      <c r="P766" s="151"/>
      <c r="Q766" s="7" t="str">
        <f>IF(ISBLANK(patch[[#This Row],[OwnerEmail]]),Q765,patch[[#This Row],[OwnerEmail]])</f>
        <v>juha.alanen@intel.com</v>
      </c>
      <c r="R766" s="7" t="str">
        <f>_xlfn.IFNA(VLOOKUP(patch[[#This Row],[tmp-owner.email]],OrgTree!$A:$K, 11, 0), "not ICG SWFW")</f>
        <v>FL And dev</v>
      </c>
      <c r="S766" s="7" t="str">
        <f>IF(patch[[#This Row],[reviewer]]=patch[[#This Row],[tmp-owner.email]], "author", _xlfn.IFNA(VLOOKUP(patch[[#This Row],[reviewer]],OrgTree!$A:$K, 11, 0), "not ICG SWFW"))</f>
        <v>BJ And dev</v>
      </c>
      <c r="T766" s="7" t="str">
        <f>IF(ISBLANK(patch[[#This Row],[mergeDate]]), "", MID(YEAR(patch[[#This Row],[mergeDate]]), 3,2)&amp;"'ww"&amp;WEEKNUM(patch[[#This Row],[mergeDate]]))</f>
        <v>16'ww39</v>
      </c>
      <c r="U766" s="7" t="str">
        <f>IF(ISBLANK(patch[[#This Row],[mergeDate]]), U765, MID(YEAR(patch[[#This Row],[mergeDate]]), 3,2)&amp;"'m"&amp;MONTH(patch[[#This Row],[mergeDate]]))</f>
        <v>16'm9</v>
      </c>
      <c r="V766" s="7" t="str">
        <f>IF(ISBLANK(patch[[#This Row],[project]]), "",SUM(patch[[#This Row],[BJ -1 num]:[SH -1 num]]))</f>
        <v/>
      </c>
      <c r="W766" s="7" t="str">
        <f>IF(ISBLANK(patch[[#This Row],[project]]), "",COUNTIFS($A:$A,patch[[#This Row],[number]],$S:$S, "BJ And dev",$AC:$AC, "Review-1"))</f>
        <v/>
      </c>
      <c r="X766" s="7" t="str">
        <f>IF(ISBLANK(patch[[#This Row],[project]]), "",COUNTIFS($A:$A,patch[[#This Row],[number]],$S:$S, "FL And dev",$AC:$AC, "Review-1"))</f>
        <v/>
      </c>
      <c r="Y766" s="7" t="str">
        <f>IF(ISBLANK(patch[[#This Row],[project]]), "",COUNTIFS($A:$A,patch[[#This Row],[number]],$S:$S, "SH And dev",$AC:$AC, "Review-1"))</f>
        <v/>
      </c>
      <c r="Z766" s="7" t="str">
        <f>IF(ISBLANK(patch[[#This Row],[project]]), "",COUNTIFS($A:$A,patch[[#This Row],[number]],$S:$S, "BJ And dev",$AD:$AD, "&lt;&gt;IntegratorValidationComment"))</f>
        <v/>
      </c>
      <c r="AA766" s="7" t="str">
        <f>IF(ISBLANK(patch[[#This Row],[project]]), "",COUNTIFS($A:$A,patch[[#This Row],[number]],$S:$S, "FL And dev",$AD:$AD, "&lt;&gt;IntegratorValidationComment"))</f>
        <v/>
      </c>
      <c r="AB766" s="7" t="str">
        <f>IF(ISBLANK(patch[[#This Row],[project]]), "",COUNTIFS($A:$A,patch[[#This Row],[number]],$S:$S, "SH And dev",$AD:$AD, "&lt;&gt;IntegratorValidationComment"))</f>
        <v/>
      </c>
      <c r="AC766" s="7" t="str">
        <f>IF(OR(ISNUMBER(FIND("Review-1", patch[[#This Row],[comments]])), ISNUMBER(FIND("Approver-1", patch[[#This Row],[comments]]))), "Review-1", "")</f>
        <v/>
      </c>
      <c r="AD7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66" s="7">
        <f>IF(ISBLANK(patch[[#This Row],[number]]),AE765,patch[[#This Row],[ifCommon]])</f>
        <v>0</v>
      </c>
    </row>
    <row r="767" spans="1:31">
      <c r="A767" s="151">
        <v>146691</v>
      </c>
      <c r="B767" s="151"/>
      <c r="C767" s="151"/>
      <c r="D767" s="151"/>
      <c r="E767" s="151"/>
      <c r="F767" s="151"/>
      <c r="G767" s="151"/>
      <c r="H767" s="151"/>
      <c r="I767" s="151"/>
      <c r="J767" s="152">
        <v>42635.71130787037</v>
      </c>
      <c r="K767" s="151"/>
      <c r="L767" s="151" t="s">
        <v>59</v>
      </c>
      <c r="M767" s="152">
        <v>42634.695636574077</v>
      </c>
      <c r="N767" s="151" t="s">
        <v>27</v>
      </c>
      <c r="O767" s="151"/>
      <c r="P767" s="151"/>
      <c r="Q767" s="7" t="str">
        <f>IF(ISBLANK(patch[[#This Row],[OwnerEmail]]),Q766,patch[[#This Row],[OwnerEmail]])</f>
        <v>juha.alanen@intel.com</v>
      </c>
      <c r="R767" s="7" t="str">
        <f>_xlfn.IFNA(VLOOKUP(patch[[#This Row],[tmp-owner.email]],OrgTree!$A:$K, 11, 0), "not ICG SWFW")</f>
        <v>FL And dev</v>
      </c>
      <c r="S767" s="7" t="str">
        <f>IF(patch[[#This Row],[reviewer]]=patch[[#This Row],[tmp-owner.email]], "author", _xlfn.IFNA(VLOOKUP(patch[[#This Row],[reviewer]],OrgTree!$A:$K, 11, 0), "not ICG SWFW"))</f>
        <v>BJ And dev</v>
      </c>
      <c r="T767" s="7" t="str">
        <f>IF(ISBLANK(patch[[#This Row],[mergeDate]]), "", MID(YEAR(patch[[#This Row],[mergeDate]]), 3,2)&amp;"'ww"&amp;WEEKNUM(patch[[#This Row],[mergeDate]]))</f>
        <v>16'ww39</v>
      </c>
      <c r="U767" s="7" t="str">
        <f>IF(ISBLANK(patch[[#This Row],[mergeDate]]), U766, MID(YEAR(patch[[#This Row],[mergeDate]]), 3,2)&amp;"'m"&amp;MONTH(patch[[#This Row],[mergeDate]]))</f>
        <v>16'm9</v>
      </c>
      <c r="V767" s="7" t="str">
        <f>IF(ISBLANK(patch[[#This Row],[project]]), "",SUM(patch[[#This Row],[BJ -1 num]:[SH -1 num]]))</f>
        <v/>
      </c>
      <c r="W767" s="7" t="str">
        <f>IF(ISBLANK(patch[[#This Row],[project]]), "",COUNTIFS($A:$A,patch[[#This Row],[number]],$S:$S, "BJ And dev",$AC:$AC, "Review-1"))</f>
        <v/>
      </c>
      <c r="X767" s="7" t="str">
        <f>IF(ISBLANK(patch[[#This Row],[project]]), "",COUNTIFS($A:$A,patch[[#This Row],[number]],$S:$S, "FL And dev",$AC:$AC, "Review-1"))</f>
        <v/>
      </c>
      <c r="Y767" s="7" t="str">
        <f>IF(ISBLANK(patch[[#This Row],[project]]), "",COUNTIFS($A:$A,patch[[#This Row],[number]],$S:$S, "SH And dev",$AC:$AC, "Review-1"))</f>
        <v/>
      </c>
      <c r="Z767" s="7" t="str">
        <f>IF(ISBLANK(patch[[#This Row],[project]]), "",COUNTIFS($A:$A,patch[[#This Row],[number]],$S:$S, "BJ And dev",$AD:$AD, "&lt;&gt;IntegratorValidationComment"))</f>
        <v/>
      </c>
      <c r="AA767" s="7" t="str">
        <f>IF(ISBLANK(patch[[#This Row],[project]]), "",COUNTIFS($A:$A,patch[[#This Row],[number]],$S:$S, "FL And dev",$AD:$AD, "&lt;&gt;IntegratorValidationComment"))</f>
        <v/>
      </c>
      <c r="AB767" s="7" t="str">
        <f>IF(ISBLANK(patch[[#This Row],[project]]), "",COUNTIFS($A:$A,patch[[#This Row],[number]],$S:$S, "SH And dev",$AD:$AD, "&lt;&gt;IntegratorValidationComment"))</f>
        <v/>
      </c>
      <c r="AC767" s="7" t="str">
        <f>IF(OR(ISNUMBER(FIND("Review-1", patch[[#This Row],[comments]])), ISNUMBER(FIND("Approver-1", patch[[#This Row],[comments]]))), "Review-1", "")</f>
        <v/>
      </c>
      <c r="AD7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67" s="7">
        <f>IF(ISBLANK(patch[[#This Row],[number]]),AE766,patch[[#This Row],[ifCommon]])</f>
        <v>0</v>
      </c>
    </row>
    <row r="768" spans="1:31">
      <c r="A768" s="151">
        <v>146691</v>
      </c>
      <c r="B768" s="151"/>
      <c r="C768" s="151"/>
      <c r="D768" s="151"/>
      <c r="E768" s="151"/>
      <c r="F768" s="151"/>
      <c r="G768" s="151"/>
      <c r="H768" s="151"/>
      <c r="I768" s="151"/>
      <c r="J768" s="152">
        <v>42635.71130787037</v>
      </c>
      <c r="K768" s="151"/>
      <c r="L768" s="151" t="s">
        <v>1203</v>
      </c>
      <c r="M768" s="152">
        <v>42634.922986111109</v>
      </c>
      <c r="N768" s="151" t="s">
        <v>1873</v>
      </c>
      <c r="O768" s="151"/>
      <c r="P768" s="151"/>
      <c r="Q768" s="7" t="str">
        <f>IF(ISBLANK(patch[[#This Row],[OwnerEmail]]),Q767,patch[[#This Row],[OwnerEmail]])</f>
        <v>juha.alanen@intel.com</v>
      </c>
      <c r="R768" s="7" t="str">
        <f>_xlfn.IFNA(VLOOKUP(patch[[#This Row],[tmp-owner.email]],OrgTree!$A:$K, 11, 0), "not ICG SWFW")</f>
        <v>FL And dev</v>
      </c>
      <c r="S768" s="7" t="str">
        <f>IF(patch[[#This Row],[reviewer]]=patch[[#This Row],[tmp-owner.email]], "author", _xlfn.IFNA(VLOOKUP(patch[[#This Row],[reviewer]],OrgTree!$A:$K, 11, 0), "not ICG SWFW"))</f>
        <v>BJ And dev</v>
      </c>
      <c r="T768" s="7" t="str">
        <f>IF(ISBLANK(patch[[#This Row],[mergeDate]]), "", MID(YEAR(patch[[#This Row],[mergeDate]]), 3,2)&amp;"'ww"&amp;WEEKNUM(patch[[#This Row],[mergeDate]]))</f>
        <v>16'ww39</v>
      </c>
      <c r="U768" s="7" t="str">
        <f>IF(ISBLANK(patch[[#This Row],[mergeDate]]), U767, MID(YEAR(patch[[#This Row],[mergeDate]]), 3,2)&amp;"'m"&amp;MONTH(patch[[#This Row],[mergeDate]]))</f>
        <v>16'm9</v>
      </c>
      <c r="V768" s="7" t="str">
        <f>IF(ISBLANK(patch[[#This Row],[project]]), "",SUM(patch[[#This Row],[BJ -1 num]:[SH -1 num]]))</f>
        <v/>
      </c>
      <c r="W768" s="7" t="str">
        <f>IF(ISBLANK(patch[[#This Row],[project]]), "",COUNTIFS($A:$A,patch[[#This Row],[number]],$S:$S, "BJ And dev",$AC:$AC, "Review-1"))</f>
        <v/>
      </c>
      <c r="X768" s="7" t="str">
        <f>IF(ISBLANK(patch[[#This Row],[project]]), "",COUNTIFS($A:$A,patch[[#This Row],[number]],$S:$S, "FL And dev",$AC:$AC, "Review-1"))</f>
        <v/>
      </c>
      <c r="Y768" s="7" t="str">
        <f>IF(ISBLANK(patch[[#This Row],[project]]), "",COUNTIFS($A:$A,patch[[#This Row],[number]],$S:$S, "SH And dev",$AC:$AC, "Review-1"))</f>
        <v/>
      </c>
      <c r="Z768" s="7" t="str">
        <f>IF(ISBLANK(patch[[#This Row],[project]]), "",COUNTIFS($A:$A,patch[[#This Row],[number]],$S:$S, "BJ And dev",$AD:$AD, "&lt;&gt;IntegratorValidationComment"))</f>
        <v/>
      </c>
      <c r="AA768" s="7" t="str">
        <f>IF(ISBLANK(patch[[#This Row],[project]]), "",COUNTIFS($A:$A,patch[[#This Row],[number]],$S:$S, "FL And dev",$AD:$AD, "&lt;&gt;IntegratorValidationComment"))</f>
        <v/>
      </c>
      <c r="AB768" s="7" t="str">
        <f>IF(ISBLANK(patch[[#This Row],[project]]), "",COUNTIFS($A:$A,patch[[#This Row],[number]],$S:$S, "SH And dev",$AD:$AD, "&lt;&gt;IntegratorValidationComment"))</f>
        <v/>
      </c>
      <c r="AC768" s="7" t="str">
        <f>IF(OR(ISNUMBER(FIND("Review-1", patch[[#This Row],[comments]])), ISNUMBER(FIND("Approver-1", patch[[#This Row],[comments]]))), "Review-1", "")</f>
        <v/>
      </c>
      <c r="AD7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68" s="7">
        <f>IF(ISBLANK(patch[[#This Row],[number]]),AE767,patch[[#This Row],[ifCommon]])</f>
        <v>0</v>
      </c>
    </row>
    <row r="769" spans="1:31">
      <c r="A769" s="151">
        <v>146691</v>
      </c>
      <c r="B769" s="151"/>
      <c r="C769" s="151"/>
      <c r="D769" s="151"/>
      <c r="E769" s="151"/>
      <c r="F769" s="151"/>
      <c r="G769" s="151"/>
      <c r="H769" s="151"/>
      <c r="I769" s="151"/>
      <c r="J769" s="152">
        <v>42635.71130787037</v>
      </c>
      <c r="K769" s="151"/>
      <c r="L769" s="151" t="s">
        <v>115</v>
      </c>
      <c r="M769" s="152">
        <v>42635.42832175926</v>
      </c>
      <c r="N769" s="151" t="s">
        <v>2495</v>
      </c>
      <c r="O769" s="151"/>
      <c r="P769" s="151"/>
      <c r="Q769" s="7" t="str">
        <f>IF(ISBLANK(patch[[#This Row],[OwnerEmail]]),Q768,patch[[#This Row],[OwnerEmail]])</f>
        <v>juha.alanen@intel.com</v>
      </c>
      <c r="R769" s="7" t="str">
        <f>_xlfn.IFNA(VLOOKUP(patch[[#This Row],[tmp-owner.email]],OrgTree!$A:$K, 11, 0), "not ICG SWFW")</f>
        <v>FL And dev</v>
      </c>
      <c r="S769" s="7" t="str">
        <f>IF(patch[[#This Row],[reviewer]]=patch[[#This Row],[tmp-owner.email]], "author", _xlfn.IFNA(VLOOKUP(patch[[#This Row],[reviewer]],OrgTree!$A:$K, 11, 0), "not ICG SWFW"))</f>
        <v>Val</v>
      </c>
      <c r="T769" s="7" t="str">
        <f>IF(ISBLANK(patch[[#This Row],[mergeDate]]), "", MID(YEAR(patch[[#This Row],[mergeDate]]), 3,2)&amp;"'ww"&amp;WEEKNUM(patch[[#This Row],[mergeDate]]))</f>
        <v>16'ww39</v>
      </c>
      <c r="U769" s="7" t="str">
        <f>IF(ISBLANK(patch[[#This Row],[mergeDate]]), U768, MID(YEAR(patch[[#This Row],[mergeDate]]), 3,2)&amp;"'m"&amp;MONTH(patch[[#This Row],[mergeDate]]))</f>
        <v>16'm9</v>
      </c>
      <c r="V769" s="7" t="str">
        <f>IF(ISBLANK(patch[[#This Row],[project]]), "",SUM(patch[[#This Row],[BJ -1 num]:[SH -1 num]]))</f>
        <v/>
      </c>
      <c r="W769" s="7" t="str">
        <f>IF(ISBLANK(patch[[#This Row],[project]]), "",COUNTIFS($A:$A,patch[[#This Row],[number]],$S:$S, "BJ And dev",$AC:$AC, "Review-1"))</f>
        <v/>
      </c>
      <c r="X769" s="7" t="str">
        <f>IF(ISBLANK(patch[[#This Row],[project]]), "",COUNTIFS($A:$A,patch[[#This Row],[number]],$S:$S, "FL And dev",$AC:$AC, "Review-1"))</f>
        <v/>
      </c>
      <c r="Y769" s="7" t="str">
        <f>IF(ISBLANK(patch[[#This Row],[project]]), "",COUNTIFS($A:$A,patch[[#This Row],[number]],$S:$S, "SH And dev",$AC:$AC, "Review-1"))</f>
        <v/>
      </c>
      <c r="Z769" s="7" t="str">
        <f>IF(ISBLANK(patch[[#This Row],[project]]), "",COUNTIFS($A:$A,patch[[#This Row],[number]],$S:$S, "BJ And dev",$AD:$AD, "&lt;&gt;IntegratorValidationComment"))</f>
        <v/>
      </c>
      <c r="AA769" s="7" t="str">
        <f>IF(ISBLANK(patch[[#This Row],[project]]), "",COUNTIFS($A:$A,patch[[#This Row],[number]],$S:$S, "FL And dev",$AD:$AD, "&lt;&gt;IntegratorValidationComment"))</f>
        <v/>
      </c>
      <c r="AB769" s="7" t="str">
        <f>IF(ISBLANK(patch[[#This Row],[project]]), "",COUNTIFS($A:$A,patch[[#This Row],[number]],$S:$S, "SH And dev",$AD:$AD, "&lt;&gt;IntegratorValidationComment"))</f>
        <v/>
      </c>
      <c r="AC769" s="7" t="str">
        <f>IF(OR(ISNUMBER(FIND("Review-1", patch[[#This Row],[comments]])), ISNUMBER(FIND("Approver-1", patch[[#This Row],[comments]]))), "Review-1", "")</f>
        <v/>
      </c>
      <c r="AD7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769" s="7">
        <f>IF(ISBLANK(patch[[#This Row],[number]]),AE768,patch[[#This Row],[ifCommon]])</f>
        <v>0</v>
      </c>
    </row>
    <row r="770" spans="1:31">
      <c r="A770" s="151">
        <v>146598</v>
      </c>
      <c r="B770" s="151" t="s">
        <v>2490</v>
      </c>
      <c r="C770" s="151" t="s">
        <v>2491</v>
      </c>
      <c r="D770" s="151" t="s">
        <v>2879</v>
      </c>
      <c r="E770" s="151" t="s">
        <v>59</v>
      </c>
      <c r="F770" s="151" t="s">
        <v>23</v>
      </c>
      <c r="G770" s="151" t="s">
        <v>2880</v>
      </c>
      <c r="H770" s="151" t="s">
        <v>2881</v>
      </c>
      <c r="I770" s="152">
        <v>42633.738599537042</v>
      </c>
      <c r="J770" s="152">
        <v>42635.711261574077</v>
      </c>
      <c r="K770" s="151" t="s">
        <v>2445</v>
      </c>
      <c r="L770" s="151" t="s">
        <v>59</v>
      </c>
      <c r="M770" s="152">
        <v>42633.738599537042</v>
      </c>
      <c r="N770" s="151" t="s">
        <v>2428</v>
      </c>
      <c r="O770" s="151"/>
      <c r="P770" s="151" t="s">
        <v>2995</v>
      </c>
      <c r="Q770" s="7" t="str">
        <f>IF(ISBLANK(patch[[#This Row],[OwnerEmail]]),Q769,patch[[#This Row],[OwnerEmail]])</f>
        <v>xiaozhou.liu@intel.com</v>
      </c>
      <c r="R770" s="7" t="str">
        <f>_xlfn.IFNA(VLOOKUP(patch[[#This Row],[tmp-owner.email]],OrgTree!$A:$K, 11, 0), "not ICG SWFW")</f>
        <v>BJ And dev</v>
      </c>
      <c r="S770" s="7" t="str">
        <f>IF(patch[[#This Row],[reviewer]]=patch[[#This Row],[tmp-owner.email]], "author", _xlfn.IFNA(VLOOKUP(patch[[#This Row],[reviewer]],OrgTree!$A:$K, 11, 0), "not ICG SWFW"))</f>
        <v>author</v>
      </c>
      <c r="T770" s="7" t="str">
        <f>IF(ISBLANK(patch[[#This Row],[mergeDate]]), "", MID(YEAR(patch[[#This Row],[mergeDate]]), 3,2)&amp;"'ww"&amp;WEEKNUM(patch[[#This Row],[mergeDate]]))</f>
        <v>16'ww39</v>
      </c>
      <c r="U770" s="7" t="str">
        <f>IF(ISBLANK(patch[[#This Row],[mergeDate]]), U769, MID(YEAR(patch[[#This Row],[mergeDate]]), 3,2)&amp;"'m"&amp;MONTH(patch[[#This Row],[mergeDate]]))</f>
        <v>16'm9</v>
      </c>
      <c r="V770" s="7">
        <f>IF(ISBLANK(patch[[#This Row],[project]]), "",SUM(patch[[#This Row],[BJ -1 num]:[SH -1 num]]))</f>
        <v>0</v>
      </c>
      <c r="W770" s="7">
        <f>IF(ISBLANK(patch[[#This Row],[project]]), "",COUNTIFS($A:$A,patch[[#This Row],[number]],$S:$S, "BJ And dev",$AC:$AC, "Review-1"))</f>
        <v>0</v>
      </c>
      <c r="X770" s="7">
        <f>IF(ISBLANK(patch[[#This Row],[project]]), "",COUNTIFS($A:$A,patch[[#This Row],[number]],$S:$S, "FL And dev",$AC:$AC, "Review-1"))</f>
        <v>0</v>
      </c>
      <c r="Y770" s="7">
        <f>IF(ISBLANK(patch[[#This Row],[project]]), "",COUNTIFS($A:$A,patch[[#This Row],[number]],$S:$S, "SH And dev",$AC:$AC, "Review-1"))</f>
        <v>0</v>
      </c>
      <c r="Z770" s="7">
        <f>IF(ISBLANK(patch[[#This Row],[project]]), "",COUNTIFS($A:$A,patch[[#This Row],[number]],$S:$S, "BJ And dev",$AD:$AD, "&lt;&gt;IntegratorValidationComment"))</f>
        <v>2</v>
      </c>
      <c r="AA770" s="7">
        <f>IF(ISBLANK(patch[[#This Row],[project]]), "",COUNTIFS($A:$A,patch[[#This Row],[number]],$S:$S, "FL And dev",$AD:$AD, "&lt;&gt;IntegratorValidationComment"))</f>
        <v>0</v>
      </c>
      <c r="AB770" s="7">
        <f>IF(ISBLANK(patch[[#This Row],[project]]), "",COUNTIFS($A:$A,patch[[#This Row],[number]],$S:$S, "SH And dev",$AD:$AD, "&lt;&gt;IntegratorValidationComment"))</f>
        <v>0</v>
      </c>
      <c r="AC770" s="7" t="str">
        <f>IF(OR(ISNUMBER(FIND("Review-1", patch[[#This Row],[comments]])), ISNUMBER(FIND("Approver-1", patch[[#This Row],[comments]]))), "Review-1", "")</f>
        <v/>
      </c>
      <c r="AD7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70" s="7" t="str">
        <f>IF(ISBLANK(patch[[#This Row],[number]]),AE769,patch[[#This Row],[ifCommon]])</f>
        <v>not AndrHAL</v>
      </c>
    </row>
    <row r="771" spans="1:31">
      <c r="A771" s="151">
        <v>146598</v>
      </c>
      <c r="B771" s="151"/>
      <c r="C771" s="151"/>
      <c r="D771" s="151"/>
      <c r="E771" s="151"/>
      <c r="F771" s="151"/>
      <c r="G771" s="151"/>
      <c r="H771" s="151"/>
      <c r="I771" s="151"/>
      <c r="J771" s="152">
        <v>42635.711261574077</v>
      </c>
      <c r="K771" s="151"/>
      <c r="L771" s="151" t="s">
        <v>59</v>
      </c>
      <c r="M771" s="152">
        <v>42633.738599537042</v>
      </c>
      <c r="N771" s="151" t="s">
        <v>25</v>
      </c>
      <c r="O771" s="151"/>
      <c r="P771" s="151"/>
      <c r="Q771" s="7" t="str">
        <f>IF(ISBLANK(patch[[#This Row],[OwnerEmail]]),Q770,patch[[#This Row],[OwnerEmail]])</f>
        <v>xiaozhou.liu@intel.com</v>
      </c>
      <c r="R771" s="7" t="str">
        <f>_xlfn.IFNA(VLOOKUP(patch[[#This Row],[tmp-owner.email]],OrgTree!$A:$K, 11, 0), "not ICG SWFW")</f>
        <v>BJ And dev</v>
      </c>
      <c r="S771" s="7" t="str">
        <f>IF(patch[[#This Row],[reviewer]]=patch[[#This Row],[tmp-owner.email]], "author", _xlfn.IFNA(VLOOKUP(patch[[#This Row],[reviewer]],OrgTree!$A:$K, 11, 0), "not ICG SWFW"))</f>
        <v>author</v>
      </c>
      <c r="T771" s="7" t="str">
        <f>IF(ISBLANK(patch[[#This Row],[mergeDate]]), "", MID(YEAR(patch[[#This Row],[mergeDate]]), 3,2)&amp;"'ww"&amp;WEEKNUM(patch[[#This Row],[mergeDate]]))</f>
        <v>16'ww39</v>
      </c>
      <c r="U771" s="7" t="str">
        <f>IF(ISBLANK(patch[[#This Row],[mergeDate]]), U770, MID(YEAR(patch[[#This Row],[mergeDate]]), 3,2)&amp;"'m"&amp;MONTH(patch[[#This Row],[mergeDate]]))</f>
        <v>16'm9</v>
      </c>
      <c r="V771" s="7" t="str">
        <f>IF(ISBLANK(patch[[#This Row],[project]]), "",SUM(patch[[#This Row],[BJ -1 num]:[SH -1 num]]))</f>
        <v/>
      </c>
      <c r="W771" s="7" t="str">
        <f>IF(ISBLANK(patch[[#This Row],[project]]), "",COUNTIFS($A:$A,patch[[#This Row],[number]],$S:$S, "BJ And dev",$AC:$AC, "Review-1"))</f>
        <v/>
      </c>
      <c r="X771" s="7" t="str">
        <f>IF(ISBLANK(patch[[#This Row],[project]]), "",COUNTIFS($A:$A,patch[[#This Row],[number]],$S:$S, "FL And dev",$AC:$AC, "Review-1"))</f>
        <v/>
      </c>
      <c r="Y771" s="7" t="str">
        <f>IF(ISBLANK(patch[[#This Row],[project]]), "",COUNTIFS($A:$A,patch[[#This Row],[number]],$S:$S, "SH And dev",$AC:$AC, "Review-1"))</f>
        <v/>
      </c>
      <c r="Z771" s="7" t="str">
        <f>IF(ISBLANK(patch[[#This Row],[project]]), "",COUNTIFS($A:$A,patch[[#This Row],[number]],$S:$S, "BJ And dev",$AD:$AD, "&lt;&gt;IntegratorValidationComment"))</f>
        <v/>
      </c>
      <c r="AA771" s="7" t="str">
        <f>IF(ISBLANK(patch[[#This Row],[project]]), "",COUNTIFS($A:$A,patch[[#This Row],[number]],$S:$S, "FL And dev",$AD:$AD, "&lt;&gt;IntegratorValidationComment"))</f>
        <v/>
      </c>
      <c r="AB771" s="7" t="str">
        <f>IF(ISBLANK(patch[[#This Row],[project]]), "",COUNTIFS($A:$A,patch[[#This Row],[number]],$S:$S, "SH And dev",$AD:$AD, "&lt;&gt;IntegratorValidationComment"))</f>
        <v/>
      </c>
      <c r="AC771" s="7" t="str">
        <f>IF(OR(ISNUMBER(FIND("Review-1", patch[[#This Row],[comments]])), ISNUMBER(FIND("Approver-1", patch[[#This Row],[comments]]))), "Review-1", "")</f>
        <v/>
      </c>
      <c r="AD7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71" s="7">
        <f>IF(ISBLANK(patch[[#This Row],[number]]),AE770,patch[[#This Row],[ifCommon]])</f>
        <v>0</v>
      </c>
    </row>
    <row r="772" spans="1:31">
      <c r="A772" s="151">
        <v>146598</v>
      </c>
      <c r="B772" s="151"/>
      <c r="C772" s="151"/>
      <c r="D772" s="151"/>
      <c r="E772" s="151"/>
      <c r="F772" s="151"/>
      <c r="G772" s="151"/>
      <c r="H772" s="151"/>
      <c r="I772" s="151"/>
      <c r="J772" s="152">
        <v>42635.711261574077</v>
      </c>
      <c r="K772" s="151"/>
      <c r="L772" s="151" t="s">
        <v>59</v>
      </c>
      <c r="M772" s="152">
        <v>42633.740023148152</v>
      </c>
      <c r="N772" s="151" t="s">
        <v>40</v>
      </c>
      <c r="O772" s="151"/>
      <c r="P772" s="151"/>
      <c r="Q772" s="7" t="str">
        <f>IF(ISBLANK(patch[[#This Row],[OwnerEmail]]),Q771,patch[[#This Row],[OwnerEmail]])</f>
        <v>xiaozhou.liu@intel.com</v>
      </c>
      <c r="R772" s="7" t="str">
        <f>_xlfn.IFNA(VLOOKUP(patch[[#This Row],[tmp-owner.email]],OrgTree!$A:$K, 11, 0), "not ICG SWFW")</f>
        <v>BJ And dev</v>
      </c>
      <c r="S772" s="7" t="str">
        <f>IF(patch[[#This Row],[reviewer]]=patch[[#This Row],[tmp-owner.email]], "author", _xlfn.IFNA(VLOOKUP(patch[[#This Row],[reviewer]],OrgTree!$A:$K, 11, 0), "not ICG SWFW"))</f>
        <v>author</v>
      </c>
      <c r="T772" s="7" t="str">
        <f>IF(ISBLANK(patch[[#This Row],[mergeDate]]), "", MID(YEAR(patch[[#This Row],[mergeDate]]), 3,2)&amp;"'ww"&amp;WEEKNUM(patch[[#This Row],[mergeDate]]))</f>
        <v>16'ww39</v>
      </c>
      <c r="U772" s="7" t="str">
        <f>IF(ISBLANK(patch[[#This Row],[mergeDate]]), U771, MID(YEAR(patch[[#This Row],[mergeDate]]), 3,2)&amp;"'m"&amp;MONTH(patch[[#This Row],[mergeDate]]))</f>
        <v>16'm9</v>
      </c>
      <c r="V772" s="7" t="str">
        <f>IF(ISBLANK(patch[[#This Row],[project]]), "",SUM(patch[[#This Row],[BJ -1 num]:[SH -1 num]]))</f>
        <v/>
      </c>
      <c r="W772" s="7" t="str">
        <f>IF(ISBLANK(patch[[#This Row],[project]]), "",COUNTIFS($A:$A,patch[[#This Row],[number]],$S:$S, "BJ And dev",$AC:$AC, "Review-1"))</f>
        <v/>
      </c>
      <c r="X772" s="7" t="str">
        <f>IF(ISBLANK(patch[[#This Row],[project]]), "",COUNTIFS($A:$A,patch[[#This Row],[number]],$S:$S, "FL And dev",$AC:$AC, "Review-1"))</f>
        <v/>
      </c>
      <c r="Y772" s="7" t="str">
        <f>IF(ISBLANK(patch[[#This Row],[project]]), "",COUNTIFS($A:$A,patch[[#This Row],[number]],$S:$S, "SH And dev",$AC:$AC, "Review-1"))</f>
        <v/>
      </c>
      <c r="Z772" s="7" t="str">
        <f>IF(ISBLANK(patch[[#This Row],[project]]), "",COUNTIFS($A:$A,patch[[#This Row],[number]],$S:$S, "BJ And dev",$AD:$AD, "&lt;&gt;IntegratorValidationComment"))</f>
        <v/>
      </c>
      <c r="AA772" s="7" t="str">
        <f>IF(ISBLANK(patch[[#This Row],[project]]), "",COUNTIFS($A:$A,patch[[#This Row],[number]],$S:$S, "FL And dev",$AD:$AD, "&lt;&gt;IntegratorValidationComment"))</f>
        <v/>
      </c>
      <c r="AB772" s="7" t="str">
        <f>IF(ISBLANK(patch[[#This Row],[project]]), "",COUNTIFS($A:$A,patch[[#This Row],[number]],$S:$S, "SH And dev",$AD:$AD, "&lt;&gt;IntegratorValidationComment"))</f>
        <v/>
      </c>
      <c r="AC772" s="7" t="str">
        <f>IF(OR(ISNUMBER(FIND("Review-1", patch[[#This Row],[comments]])), ISNUMBER(FIND("Approver-1", patch[[#This Row],[comments]]))), "Review-1", "")</f>
        <v/>
      </c>
      <c r="AD7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72" s="7">
        <f>IF(ISBLANK(patch[[#This Row],[number]]),AE771,patch[[#This Row],[ifCommon]])</f>
        <v>0</v>
      </c>
    </row>
    <row r="773" spans="1:31">
      <c r="A773" s="151">
        <v>146598</v>
      </c>
      <c r="B773" s="151"/>
      <c r="C773" s="151"/>
      <c r="D773" s="151"/>
      <c r="E773" s="151"/>
      <c r="F773" s="151"/>
      <c r="G773" s="151"/>
      <c r="H773" s="151"/>
      <c r="I773" s="151"/>
      <c r="J773" s="152">
        <v>42635.711261574077</v>
      </c>
      <c r="K773" s="151"/>
      <c r="L773" s="151" t="s">
        <v>59</v>
      </c>
      <c r="M773" s="152">
        <v>42633.741539351853</v>
      </c>
      <c r="N773" s="151" t="s">
        <v>2996</v>
      </c>
      <c r="O773" s="151"/>
      <c r="P773" s="151"/>
      <c r="Q773" s="7" t="str">
        <f>IF(ISBLANK(patch[[#This Row],[OwnerEmail]]),Q772,patch[[#This Row],[OwnerEmail]])</f>
        <v>xiaozhou.liu@intel.com</v>
      </c>
      <c r="R773" s="7" t="str">
        <f>_xlfn.IFNA(VLOOKUP(patch[[#This Row],[tmp-owner.email]],OrgTree!$A:$K, 11, 0), "not ICG SWFW")</f>
        <v>BJ And dev</v>
      </c>
      <c r="S773" s="7" t="str">
        <f>IF(patch[[#This Row],[reviewer]]=patch[[#This Row],[tmp-owner.email]], "author", _xlfn.IFNA(VLOOKUP(patch[[#This Row],[reviewer]],OrgTree!$A:$K, 11, 0), "not ICG SWFW"))</f>
        <v>author</v>
      </c>
      <c r="T773" s="7" t="str">
        <f>IF(ISBLANK(patch[[#This Row],[mergeDate]]), "", MID(YEAR(patch[[#This Row],[mergeDate]]), 3,2)&amp;"'ww"&amp;WEEKNUM(patch[[#This Row],[mergeDate]]))</f>
        <v>16'ww39</v>
      </c>
      <c r="U773" s="7" t="str">
        <f>IF(ISBLANK(patch[[#This Row],[mergeDate]]), U772, MID(YEAR(patch[[#This Row],[mergeDate]]), 3,2)&amp;"'m"&amp;MONTH(patch[[#This Row],[mergeDate]]))</f>
        <v>16'm9</v>
      </c>
      <c r="V773" s="7" t="str">
        <f>IF(ISBLANK(patch[[#This Row],[project]]), "",SUM(patch[[#This Row],[BJ -1 num]:[SH -1 num]]))</f>
        <v/>
      </c>
      <c r="W773" s="7" t="str">
        <f>IF(ISBLANK(patch[[#This Row],[project]]), "",COUNTIFS($A:$A,patch[[#This Row],[number]],$S:$S, "BJ And dev",$AC:$AC, "Review-1"))</f>
        <v/>
      </c>
      <c r="X773" s="7" t="str">
        <f>IF(ISBLANK(patch[[#This Row],[project]]), "",COUNTIFS($A:$A,patch[[#This Row],[number]],$S:$S, "FL And dev",$AC:$AC, "Review-1"))</f>
        <v/>
      </c>
      <c r="Y773" s="7" t="str">
        <f>IF(ISBLANK(patch[[#This Row],[project]]), "",COUNTIFS($A:$A,patch[[#This Row],[number]],$S:$S, "SH And dev",$AC:$AC, "Review-1"))</f>
        <v/>
      </c>
      <c r="Z773" s="7" t="str">
        <f>IF(ISBLANK(patch[[#This Row],[project]]), "",COUNTIFS($A:$A,patch[[#This Row],[number]],$S:$S, "BJ And dev",$AD:$AD, "&lt;&gt;IntegratorValidationComment"))</f>
        <v/>
      </c>
      <c r="AA773" s="7" t="str">
        <f>IF(ISBLANK(patch[[#This Row],[project]]), "",COUNTIFS($A:$A,patch[[#This Row],[number]],$S:$S, "FL And dev",$AD:$AD, "&lt;&gt;IntegratorValidationComment"))</f>
        <v/>
      </c>
      <c r="AB773" s="7" t="str">
        <f>IF(ISBLANK(patch[[#This Row],[project]]), "",COUNTIFS($A:$A,patch[[#This Row],[number]],$S:$S, "SH And dev",$AD:$AD, "&lt;&gt;IntegratorValidationComment"))</f>
        <v/>
      </c>
      <c r="AC773" s="7" t="str">
        <f>IF(OR(ISNUMBER(FIND("Review-1", patch[[#This Row],[comments]])), ISNUMBER(FIND("Approver-1", patch[[#This Row],[comments]]))), "Review-1", "")</f>
        <v/>
      </c>
      <c r="AD7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73" s="7">
        <f>IF(ISBLANK(patch[[#This Row],[number]]),AE772,patch[[#This Row],[ifCommon]])</f>
        <v>0</v>
      </c>
    </row>
    <row r="774" spans="1:31">
      <c r="A774" s="151">
        <v>146598</v>
      </c>
      <c r="B774" s="151"/>
      <c r="C774" s="151"/>
      <c r="D774" s="151"/>
      <c r="E774" s="151"/>
      <c r="F774" s="151"/>
      <c r="G774" s="151"/>
      <c r="H774" s="151"/>
      <c r="I774" s="151"/>
      <c r="J774" s="152">
        <v>42635.711261574077</v>
      </c>
      <c r="K774" s="151"/>
      <c r="L774" s="151" t="s">
        <v>59</v>
      </c>
      <c r="M774" s="152">
        <v>42633.744733796288</v>
      </c>
      <c r="N774" s="151" t="s">
        <v>2505</v>
      </c>
      <c r="O774" s="151"/>
      <c r="P774" s="151"/>
      <c r="Q774" s="7" t="str">
        <f>IF(ISBLANK(patch[[#This Row],[OwnerEmail]]),Q773,patch[[#This Row],[OwnerEmail]])</f>
        <v>xiaozhou.liu@intel.com</v>
      </c>
      <c r="R774" s="7" t="str">
        <f>_xlfn.IFNA(VLOOKUP(patch[[#This Row],[tmp-owner.email]],OrgTree!$A:$K, 11, 0), "not ICG SWFW")</f>
        <v>BJ And dev</v>
      </c>
      <c r="S774" s="7" t="str">
        <f>IF(patch[[#This Row],[reviewer]]=patch[[#This Row],[tmp-owner.email]], "author", _xlfn.IFNA(VLOOKUP(patch[[#This Row],[reviewer]],OrgTree!$A:$K, 11, 0), "not ICG SWFW"))</f>
        <v>author</v>
      </c>
      <c r="T774" s="7" t="str">
        <f>IF(ISBLANK(patch[[#This Row],[mergeDate]]), "", MID(YEAR(patch[[#This Row],[mergeDate]]), 3,2)&amp;"'ww"&amp;WEEKNUM(patch[[#This Row],[mergeDate]]))</f>
        <v>16'ww39</v>
      </c>
      <c r="U774" s="7" t="str">
        <f>IF(ISBLANK(patch[[#This Row],[mergeDate]]), U773, MID(YEAR(patch[[#This Row],[mergeDate]]), 3,2)&amp;"'m"&amp;MONTH(patch[[#This Row],[mergeDate]]))</f>
        <v>16'm9</v>
      </c>
      <c r="V774" s="7" t="str">
        <f>IF(ISBLANK(patch[[#This Row],[project]]), "",SUM(patch[[#This Row],[BJ -1 num]:[SH -1 num]]))</f>
        <v/>
      </c>
      <c r="W774" s="7" t="str">
        <f>IF(ISBLANK(patch[[#This Row],[project]]), "",COUNTIFS($A:$A,patch[[#This Row],[number]],$S:$S, "BJ And dev",$AC:$AC, "Review-1"))</f>
        <v/>
      </c>
      <c r="X774" s="7" t="str">
        <f>IF(ISBLANK(patch[[#This Row],[project]]), "",COUNTIFS($A:$A,patch[[#This Row],[number]],$S:$S, "FL And dev",$AC:$AC, "Review-1"))</f>
        <v/>
      </c>
      <c r="Y774" s="7" t="str">
        <f>IF(ISBLANK(patch[[#This Row],[project]]), "",COUNTIFS($A:$A,patch[[#This Row],[number]],$S:$S, "SH And dev",$AC:$AC, "Review-1"))</f>
        <v/>
      </c>
      <c r="Z774" s="7" t="str">
        <f>IF(ISBLANK(patch[[#This Row],[project]]), "",COUNTIFS($A:$A,patch[[#This Row],[number]],$S:$S, "BJ And dev",$AD:$AD, "&lt;&gt;IntegratorValidationComment"))</f>
        <v/>
      </c>
      <c r="AA774" s="7" t="str">
        <f>IF(ISBLANK(patch[[#This Row],[project]]), "",COUNTIFS($A:$A,patch[[#This Row],[number]],$S:$S, "FL And dev",$AD:$AD, "&lt;&gt;IntegratorValidationComment"))</f>
        <v/>
      </c>
      <c r="AB774" s="7" t="str">
        <f>IF(ISBLANK(patch[[#This Row],[project]]), "",COUNTIFS($A:$A,patch[[#This Row],[number]],$S:$S, "SH And dev",$AD:$AD, "&lt;&gt;IntegratorValidationComment"))</f>
        <v/>
      </c>
      <c r="AC774" s="7" t="str">
        <f>IF(OR(ISNUMBER(FIND("Review-1", patch[[#This Row],[comments]])), ISNUMBER(FIND("Approver-1", patch[[#This Row],[comments]]))), "Review-1", "")</f>
        <v/>
      </c>
      <c r="AD7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74" s="7">
        <f>IF(ISBLANK(patch[[#This Row],[number]]),AE773,patch[[#This Row],[ifCommon]])</f>
        <v>0</v>
      </c>
    </row>
    <row r="775" spans="1:31">
      <c r="A775" s="151">
        <v>146598</v>
      </c>
      <c r="B775" s="151"/>
      <c r="C775" s="151"/>
      <c r="D775" s="151"/>
      <c r="E775" s="151"/>
      <c r="F775" s="151"/>
      <c r="G775" s="151"/>
      <c r="H775" s="151"/>
      <c r="I775" s="151"/>
      <c r="J775" s="152">
        <v>42635.711261574077</v>
      </c>
      <c r="K775" s="151"/>
      <c r="L775" s="151" t="s">
        <v>59</v>
      </c>
      <c r="M775" s="152">
        <v>42633.744733796288</v>
      </c>
      <c r="N775" s="151" t="s">
        <v>2429</v>
      </c>
      <c r="O775" s="151"/>
      <c r="P775" s="151"/>
      <c r="Q775" s="7" t="str">
        <f>IF(ISBLANK(patch[[#This Row],[OwnerEmail]]),Q774,patch[[#This Row],[OwnerEmail]])</f>
        <v>xiaozhou.liu@intel.com</v>
      </c>
      <c r="R775" s="7" t="str">
        <f>_xlfn.IFNA(VLOOKUP(patch[[#This Row],[tmp-owner.email]],OrgTree!$A:$K, 11, 0), "not ICG SWFW")</f>
        <v>BJ And dev</v>
      </c>
      <c r="S775" s="7" t="str">
        <f>IF(patch[[#This Row],[reviewer]]=patch[[#This Row],[tmp-owner.email]], "author", _xlfn.IFNA(VLOOKUP(patch[[#This Row],[reviewer]],OrgTree!$A:$K, 11, 0), "not ICG SWFW"))</f>
        <v>author</v>
      </c>
      <c r="T775" s="7" t="str">
        <f>IF(ISBLANK(patch[[#This Row],[mergeDate]]), "", MID(YEAR(patch[[#This Row],[mergeDate]]), 3,2)&amp;"'ww"&amp;WEEKNUM(patch[[#This Row],[mergeDate]]))</f>
        <v>16'ww39</v>
      </c>
      <c r="U775" s="7" t="str">
        <f>IF(ISBLANK(patch[[#This Row],[mergeDate]]), U774, MID(YEAR(patch[[#This Row],[mergeDate]]), 3,2)&amp;"'m"&amp;MONTH(patch[[#This Row],[mergeDate]]))</f>
        <v>16'm9</v>
      </c>
      <c r="V775" s="7" t="str">
        <f>IF(ISBLANK(patch[[#This Row],[project]]), "",SUM(patch[[#This Row],[BJ -1 num]:[SH -1 num]]))</f>
        <v/>
      </c>
      <c r="W775" s="7" t="str">
        <f>IF(ISBLANK(patch[[#This Row],[project]]), "",COUNTIFS($A:$A,patch[[#This Row],[number]],$S:$S, "BJ And dev",$AC:$AC, "Review-1"))</f>
        <v/>
      </c>
      <c r="X775" s="7" t="str">
        <f>IF(ISBLANK(patch[[#This Row],[project]]), "",COUNTIFS($A:$A,patch[[#This Row],[number]],$S:$S, "FL And dev",$AC:$AC, "Review-1"))</f>
        <v/>
      </c>
      <c r="Y775" s="7" t="str">
        <f>IF(ISBLANK(patch[[#This Row],[project]]), "",COUNTIFS($A:$A,patch[[#This Row],[number]],$S:$S, "SH And dev",$AC:$AC, "Review-1"))</f>
        <v/>
      </c>
      <c r="Z775" s="7" t="str">
        <f>IF(ISBLANK(patch[[#This Row],[project]]), "",COUNTIFS($A:$A,patch[[#This Row],[number]],$S:$S, "BJ And dev",$AD:$AD, "&lt;&gt;IntegratorValidationComment"))</f>
        <v/>
      </c>
      <c r="AA775" s="7" t="str">
        <f>IF(ISBLANK(patch[[#This Row],[project]]), "",COUNTIFS($A:$A,patch[[#This Row],[number]],$S:$S, "FL And dev",$AD:$AD, "&lt;&gt;IntegratorValidationComment"))</f>
        <v/>
      </c>
      <c r="AB775" s="7" t="str">
        <f>IF(ISBLANK(patch[[#This Row],[project]]), "",COUNTIFS($A:$A,patch[[#This Row],[number]],$S:$S, "SH And dev",$AD:$AD, "&lt;&gt;IntegratorValidationComment"))</f>
        <v/>
      </c>
      <c r="AC775" s="7" t="str">
        <f>IF(OR(ISNUMBER(FIND("Review-1", patch[[#This Row],[comments]])), ISNUMBER(FIND("Approver-1", patch[[#This Row],[comments]]))), "Review-1", "")</f>
        <v/>
      </c>
      <c r="AD7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75" s="7">
        <f>IF(ISBLANK(patch[[#This Row],[number]]),AE774,patch[[#This Row],[ifCommon]])</f>
        <v>0</v>
      </c>
    </row>
    <row r="776" spans="1:31">
      <c r="A776" s="151">
        <v>146598</v>
      </c>
      <c r="B776" s="151"/>
      <c r="C776" s="151"/>
      <c r="D776" s="151"/>
      <c r="E776" s="151"/>
      <c r="F776" s="151"/>
      <c r="G776" s="151"/>
      <c r="H776" s="151"/>
      <c r="I776" s="151"/>
      <c r="J776" s="152">
        <v>42635.711261574077</v>
      </c>
      <c r="K776" s="151"/>
      <c r="L776" s="151" t="s">
        <v>59</v>
      </c>
      <c r="M776" s="152">
        <v>42633.760706018518</v>
      </c>
      <c r="N776" s="151" t="s">
        <v>2997</v>
      </c>
      <c r="O776" s="151"/>
      <c r="P776" s="151"/>
      <c r="Q776" s="7" t="str">
        <f>IF(ISBLANK(patch[[#This Row],[OwnerEmail]]),Q775,patch[[#This Row],[OwnerEmail]])</f>
        <v>xiaozhou.liu@intel.com</v>
      </c>
      <c r="R776" s="7" t="str">
        <f>_xlfn.IFNA(VLOOKUP(patch[[#This Row],[tmp-owner.email]],OrgTree!$A:$K, 11, 0), "not ICG SWFW")</f>
        <v>BJ And dev</v>
      </c>
      <c r="S776" s="7" t="str">
        <f>IF(patch[[#This Row],[reviewer]]=patch[[#This Row],[tmp-owner.email]], "author", _xlfn.IFNA(VLOOKUP(patch[[#This Row],[reviewer]],OrgTree!$A:$K, 11, 0), "not ICG SWFW"))</f>
        <v>author</v>
      </c>
      <c r="T776" s="7" t="str">
        <f>IF(ISBLANK(patch[[#This Row],[mergeDate]]), "", MID(YEAR(patch[[#This Row],[mergeDate]]), 3,2)&amp;"'ww"&amp;WEEKNUM(patch[[#This Row],[mergeDate]]))</f>
        <v>16'ww39</v>
      </c>
      <c r="U776" s="7" t="str">
        <f>IF(ISBLANK(patch[[#This Row],[mergeDate]]), U775, MID(YEAR(patch[[#This Row],[mergeDate]]), 3,2)&amp;"'m"&amp;MONTH(patch[[#This Row],[mergeDate]]))</f>
        <v>16'm9</v>
      </c>
      <c r="V776" s="7" t="str">
        <f>IF(ISBLANK(patch[[#This Row],[project]]), "",SUM(patch[[#This Row],[BJ -1 num]:[SH -1 num]]))</f>
        <v/>
      </c>
      <c r="W776" s="7" t="str">
        <f>IF(ISBLANK(patch[[#This Row],[project]]), "",COUNTIFS($A:$A,patch[[#This Row],[number]],$S:$S, "BJ And dev",$AC:$AC, "Review-1"))</f>
        <v/>
      </c>
      <c r="X776" s="7" t="str">
        <f>IF(ISBLANK(patch[[#This Row],[project]]), "",COUNTIFS($A:$A,patch[[#This Row],[number]],$S:$S, "FL And dev",$AC:$AC, "Review-1"))</f>
        <v/>
      </c>
      <c r="Y776" s="7" t="str">
        <f>IF(ISBLANK(patch[[#This Row],[project]]), "",COUNTIFS($A:$A,patch[[#This Row],[number]],$S:$S, "SH And dev",$AC:$AC, "Review-1"))</f>
        <v/>
      </c>
      <c r="Z776" s="7" t="str">
        <f>IF(ISBLANK(patch[[#This Row],[project]]), "",COUNTIFS($A:$A,patch[[#This Row],[number]],$S:$S, "BJ And dev",$AD:$AD, "&lt;&gt;IntegratorValidationComment"))</f>
        <v/>
      </c>
      <c r="AA776" s="7" t="str">
        <f>IF(ISBLANK(patch[[#This Row],[project]]), "",COUNTIFS($A:$A,patch[[#This Row],[number]],$S:$S, "FL And dev",$AD:$AD, "&lt;&gt;IntegratorValidationComment"))</f>
        <v/>
      </c>
      <c r="AB776" s="7" t="str">
        <f>IF(ISBLANK(patch[[#This Row],[project]]), "",COUNTIFS($A:$A,patch[[#This Row],[number]],$S:$S, "SH And dev",$AD:$AD, "&lt;&gt;IntegratorValidationComment"))</f>
        <v/>
      </c>
      <c r="AC776" s="7" t="str">
        <f>IF(OR(ISNUMBER(FIND("Review-1", patch[[#This Row],[comments]])), ISNUMBER(FIND("Approver-1", patch[[#This Row],[comments]]))), "Review-1", "")</f>
        <v/>
      </c>
      <c r="AD7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76" s="7">
        <f>IF(ISBLANK(patch[[#This Row],[number]]),AE775,patch[[#This Row],[ifCommon]])</f>
        <v>0</v>
      </c>
    </row>
    <row r="777" spans="1:31">
      <c r="A777" s="151">
        <v>146598</v>
      </c>
      <c r="B777" s="151"/>
      <c r="C777" s="151"/>
      <c r="D777" s="151"/>
      <c r="E777" s="151"/>
      <c r="F777" s="151"/>
      <c r="G777" s="151"/>
      <c r="H777" s="151"/>
      <c r="I777" s="151"/>
      <c r="J777" s="152">
        <v>42635.711261574077</v>
      </c>
      <c r="K777" s="151"/>
      <c r="L777" s="151" t="s">
        <v>59</v>
      </c>
      <c r="M777" s="152">
        <v>42633.763969907413</v>
      </c>
      <c r="N777" s="151" t="s">
        <v>2998</v>
      </c>
      <c r="O777" s="151"/>
      <c r="P777" s="151"/>
      <c r="Q777" s="7" t="str">
        <f>IF(ISBLANK(patch[[#This Row],[OwnerEmail]]),Q776,patch[[#This Row],[OwnerEmail]])</f>
        <v>xiaozhou.liu@intel.com</v>
      </c>
      <c r="R777" s="7" t="str">
        <f>_xlfn.IFNA(VLOOKUP(patch[[#This Row],[tmp-owner.email]],OrgTree!$A:$K, 11, 0), "not ICG SWFW")</f>
        <v>BJ And dev</v>
      </c>
      <c r="S777" s="7" t="str">
        <f>IF(patch[[#This Row],[reviewer]]=patch[[#This Row],[tmp-owner.email]], "author", _xlfn.IFNA(VLOOKUP(patch[[#This Row],[reviewer]],OrgTree!$A:$K, 11, 0), "not ICG SWFW"))</f>
        <v>author</v>
      </c>
      <c r="T777" s="7" t="str">
        <f>IF(ISBLANK(patch[[#This Row],[mergeDate]]), "", MID(YEAR(patch[[#This Row],[mergeDate]]), 3,2)&amp;"'ww"&amp;WEEKNUM(patch[[#This Row],[mergeDate]]))</f>
        <v>16'ww39</v>
      </c>
      <c r="U777" s="7" t="str">
        <f>IF(ISBLANK(patch[[#This Row],[mergeDate]]), U776, MID(YEAR(patch[[#This Row],[mergeDate]]), 3,2)&amp;"'m"&amp;MONTH(patch[[#This Row],[mergeDate]]))</f>
        <v>16'm9</v>
      </c>
      <c r="V777" s="7" t="str">
        <f>IF(ISBLANK(patch[[#This Row],[project]]), "",SUM(patch[[#This Row],[BJ -1 num]:[SH -1 num]]))</f>
        <v/>
      </c>
      <c r="W777" s="7" t="str">
        <f>IF(ISBLANK(patch[[#This Row],[project]]), "",COUNTIFS($A:$A,patch[[#This Row],[number]],$S:$S, "BJ And dev",$AC:$AC, "Review-1"))</f>
        <v/>
      </c>
      <c r="X777" s="7" t="str">
        <f>IF(ISBLANK(patch[[#This Row],[project]]), "",COUNTIFS($A:$A,patch[[#This Row],[number]],$S:$S, "FL And dev",$AC:$AC, "Review-1"))</f>
        <v/>
      </c>
      <c r="Y777" s="7" t="str">
        <f>IF(ISBLANK(patch[[#This Row],[project]]), "",COUNTIFS($A:$A,patch[[#This Row],[number]],$S:$S, "SH And dev",$AC:$AC, "Review-1"))</f>
        <v/>
      </c>
      <c r="Z777" s="7" t="str">
        <f>IF(ISBLANK(patch[[#This Row],[project]]), "",COUNTIFS($A:$A,patch[[#This Row],[number]],$S:$S, "BJ And dev",$AD:$AD, "&lt;&gt;IntegratorValidationComment"))</f>
        <v/>
      </c>
      <c r="AA777" s="7" t="str">
        <f>IF(ISBLANK(patch[[#This Row],[project]]), "",COUNTIFS($A:$A,patch[[#This Row],[number]],$S:$S, "FL And dev",$AD:$AD, "&lt;&gt;IntegratorValidationComment"))</f>
        <v/>
      </c>
      <c r="AB777" s="7" t="str">
        <f>IF(ISBLANK(patch[[#This Row],[project]]), "",COUNTIFS($A:$A,patch[[#This Row],[number]],$S:$S, "SH And dev",$AD:$AD, "&lt;&gt;IntegratorValidationComment"))</f>
        <v/>
      </c>
      <c r="AC777" s="7" t="str">
        <f>IF(OR(ISNUMBER(FIND("Review-1", patch[[#This Row],[comments]])), ISNUMBER(FIND("Approver-1", patch[[#This Row],[comments]]))), "Review-1", "")</f>
        <v/>
      </c>
      <c r="AD7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77" s="7">
        <f>IF(ISBLANK(patch[[#This Row],[number]]),AE776,patch[[#This Row],[ifCommon]])</f>
        <v>0</v>
      </c>
    </row>
    <row r="778" spans="1:31">
      <c r="A778" s="151">
        <v>146598</v>
      </c>
      <c r="B778" s="151"/>
      <c r="C778" s="151"/>
      <c r="D778" s="151"/>
      <c r="E778" s="151"/>
      <c r="F778" s="151"/>
      <c r="G778" s="151"/>
      <c r="H778" s="151"/>
      <c r="I778" s="151"/>
      <c r="J778" s="152">
        <v>42635.711261574077</v>
      </c>
      <c r="K778" s="151"/>
      <c r="L778" s="151" t="s">
        <v>32</v>
      </c>
      <c r="M778" s="152">
        <v>42634.445787037039</v>
      </c>
      <c r="N778" s="151" t="s">
        <v>27</v>
      </c>
      <c r="O778" s="151"/>
      <c r="P778" s="151"/>
      <c r="Q778" s="7" t="str">
        <f>IF(ISBLANK(patch[[#This Row],[OwnerEmail]]),Q777,patch[[#This Row],[OwnerEmail]])</f>
        <v>xiaozhou.liu@intel.com</v>
      </c>
      <c r="R778" s="7" t="str">
        <f>_xlfn.IFNA(VLOOKUP(patch[[#This Row],[tmp-owner.email]],OrgTree!$A:$K, 11, 0), "not ICG SWFW")</f>
        <v>BJ And dev</v>
      </c>
      <c r="S778" s="7" t="str">
        <f>IF(patch[[#This Row],[reviewer]]=patch[[#This Row],[tmp-owner.email]], "author", _xlfn.IFNA(VLOOKUP(patch[[#This Row],[reviewer]],OrgTree!$A:$K, 11, 0), "not ICG SWFW"))</f>
        <v>BJ And dev</v>
      </c>
      <c r="T778" s="7" t="str">
        <f>IF(ISBLANK(patch[[#This Row],[mergeDate]]), "", MID(YEAR(patch[[#This Row],[mergeDate]]), 3,2)&amp;"'ww"&amp;WEEKNUM(patch[[#This Row],[mergeDate]]))</f>
        <v>16'ww39</v>
      </c>
      <c r="U778" s="7" t="str">
        <f>IF(ISBLANK(patch[[#This Row],[mergeDate]]), U777, MID(YEAR(patch[[#This Row],[mergeDate]]), 3,2)&amp;"'m"&amp;MONTH(patch[[#This Row],[mergeDate]]))</f>
        <v>16'm9</v>
      </c>
      <c r="V778" s="7" t="str">
        <f>IF(ISBLANK(patch[[#This Row],[project]]), "",SUM(patch[[#This Row],[BJ -1 num]:[SH -1 num]]))</f>
        <v/>
      </c>
      <c r="W778" s="7" t="str">
        <f>IF(ISBLANK(patch[[#This Row],[project]]), "",COUNTIFS($A:$A,patch[[#This Row],[number]],$S:$S, "BJ And dev",$AC:$AC, "Review-1"))</f>
        <v/>
      </c>
      <c r="X778" s="7" t="str">
        <f>IF(ISBLANK(patch[[#This Row],[project]]), "",COUNTIFS($A:$A,patch[[#This Row],[number]],$S:$S, "FL And dev",$AC:$AC, "Review-1"))</f>
        <v/>
      </c>
      <c r="Y778" s="7" t="str">
        <f>IF(ISBLANK(patch[[#This Row],[project]]), "",COUNTIFS($A:$A,patch[[#This Row],[number]],$S:$S, "SH And dev",$AC:$AC, "Review-1"))</f>
        <v/>
      </c>
      <c r="Z778" s="7" t="str">
        <f>IF(ISBLANK(patch[[#This Row],[project]]), "",COUNTIFS($A:$A,patch[[#This Row],[number]],$S:$S, "BJ And dev",$AD:$AD, "&lt;&gt;IntegratorValidationComment"))</f>
        <v/>
      </c>
      <c r="AA778" s="7" t="str">
        <f>IF(ISBLANK(patch[[#This Row],[project]]), "",COUNTIFS($A:$A,patch[[#This Row],[number]],$S:$S, "FL And dev",$AD:$AD, "&lt;&gt;IntegratorValidationComment"))</f>
        <v/>
      </c>
      <c r="AB778" s="7" t="str">
        <f>IF(ISBLANK(patch[[#This Row],[project]]), "",COUNTIFS($A:$A,patch[[#This Row],[number]],$S:$S, "SH And dev",$AD:$AD, "&lt;&gt;IntegratorValidationComment"))</f>
        <v/>
      </c>
      <c r="AC778" s="7" t="str">
        <f>IF(OR(ISNUMBER(FIND("Review-1", patch[[#This Row],[comments]])), ISNUMBER(FIND("Approver-1", patch[[#This Row],[comments]]))), "Review-1", "")</f>
        <v/>
      </c>
      <c r="AD7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78" s="7">
        <f>IF(ISBLANK(patch[[#This Row],[number]]),AE777,patch[[#This Row],[ifCommon]])</f>
        <v>0</v>
      </c>
    </row>
    <row r="779" spans="1:31">
      <c r="A779" s="151">
        <v>146598</v>
      </c>
      <c r="B779" s="151"/>
      <c r="C779" s="151"/>
      <c r="D779" s="151"/>
      <c r="E779" s="151"/>
      <c r="F779" s="151"/>
      <c r="G779" s="151"/>
      <c r="H779" s="151"/>
      <c r="I779" s="151"/>
      <c r="J779" s="152">
        <v>42635.711261574077</v>
      </c>
      <c r="K779" s="151"/>
      <c r="L779" s="151" t="s">
        <v>55</v>
      </c>
      <c r="M779" s="152">
        <v>42634.653796296298</v>
      </c>
      <c r="N779" s="151" t="s">
        <v>1873</v>
      </c>
      <c r="O779" s="151"/>
      <c r="P779" s="151"/>
      <c r="Q779" s="7" t="str">
        <f>IF(ISBLANK(patch[[#This Row],[OwnerEmail]]),Q778,patch[[#This Row],[OwnerEmail]])</f>
        <v>xiaozhou.liu@intel.com</v>
      </c>
      <c r="R779" s="7" t="str">
        <f>_xlfn.IFNA(VLOOKUP(patch[[#This Row],[tmp-owner.email]],OrgTree!$A:$K, 11, 0), "not ICG SWFW")</f>
        <v>BJ And dev</v>
      </c>
      <c r="S779" s="7" t="str">
        <f>IF(patch[[#This Row],[reviewer]]=patch[[#This Row],[tmp-owner.email]], "author", _xlfn.IFNA(VLOOKUP(patch[[#This Row],[reviewer]],OrgTree!$A:$K, 11, 0), "not ICG SWFW"))</f>
        <v>BJ And dev</v>
      </c>
      <c r="T779" s="7" t="str">
        <f>IF(ISBLANK(patch[[#This Row],[mergeDate]]), "", MID(YEAR(patch[[#This Row],[mergeDate]]), 3,2)&amp;"'ww"&amp;WEEKNUM(patch[[#This Row],[mergeDate]]))</f>
        <v>16'ww39</v>
      </c>
      <c r="U779" s="7" t="str">
        <f>IF(ISBLANK(patch[[#This Row],[mergeDate]]), U778, MID(YEAR(patch[[#This Row],[mergeDate]]), 3,2)&amp;"'m"&amp;MONTH(patch[[#This Row],[mergeDate]]))</f>
        <v>16'm9</v>
      </c>
      <c r="V779" s="7" t="str">
        <f>IF(ISBLANK(patch[[#This Row],[project]]), "",SUM(patch[[#This Row],[BJ -1 num]:[SH -1 num]]))</f>
        <v/>
      </c>
      <c r="W779" s="7" t="str">
        <f>IF(ISBLANK(patch[[#This Row],[project]]), "",COUNTIFS($A:$A,patch[[#This Row],[number]],$S:$S, "BJ And dev",$AC:$AC, "Review-1"))</f>
        <v/>
      </c>
      <c r="X779" s="7" t="str">
        <f>IF(ISBLANK(patch[[#This Row],[project]]), "",COUNTIFS($A:$A,patch[[#This Row],[number]],$S:$S, "FL And dev",$AC:$AC, "Review-1"))</f>
        <v/>
      </c>
      <c r="Y779" s="7" t="str">
        <f>IF(ISBLANK(patch[[#This Row],[project]]), "",COUNTIFS($A:$A,patch[[#This Row],[number]],$S:$S, "SH And dev",$AC:$AC, "Review-1"))</f>
        <v/>
      </c>
      <c r="Z779" s="7" t="str">
        <f>IF(ISBLANK(patch[[#This Row],[project]]), "",COUNTIFS($A:$A,patch[[#This Row],[number]],$S:$S, "BJ And dev",$AD:$AD, "&lt;&gt;IntegratorValidationComment"))</f>
        <v/>
      </c>
      <c r="AA779" s="7" t="str">
        <f>IF(ISBLANK(patch[[#This Row],[project]]), "",COUNTIFS($A:$A,patch[[#This Row],[number]],$S:$S, "FL And dev",$AD:$AD, "&lt;&gt;IntegratorValidationComment"))</f>
        <v/>
      </c>
      <c r="AB779" s="7" t="str">
        <f>IF(ISBLANK(patch[[#This Row],[project]]), "",COUNTIFS($A:$A,patch[[#This Row],[number]],$S:$S, "SH And dev",$AD:$AD, "&lt;&gt;IntegratorValidationComment"))</f>
        <v/>
      </c>
      <c r="AC779" s="7" t="str">
        <f>IF(OR(ISNUMBER(FIND("Review-1", patch[[#This Row],[comments]])), ISNUMBER(FIND("Approver-1", patch[[#This Row],[comments]]))), "Review-1", "")</f>
        <v/>
      </c>
      <c r="AD7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79" s="7">
        <f>IF(ISBLANK(patch[[#This Row],[number]]),AE778,patch[[#This Row],[ifCommon]])</f>
        <v>0</v>
      </c>
    </row>
    <row r="780" spans="1:31">
      <c r="A780" s="151">
        <v>146598</v>
      </c>
      <c r="B780" s="151"/>
      <c r="C780" s="151"/>
      <c r="D780" s="151"/>
      <c r="E780" s="151"/>
      <c r="F780" s="151"/>
      <c r="G780" s="151"/>
      <c r="H780" s="151"/>
      <c r="I780" s="151"/>
      <c r="J780" s="152">
        <v>42635.711261574077</v>
      </c>
      <c r="K780" s="151"/>
      <c r="L780" s="151" t="s">
        <v>115</v>
      </c>
      <c r="M780" s="152">
        <v>42635.428229166668</v>
      </c>
      <c r="N780" s="151" t="s">
        <v>2495</v>
      </c>
      <c r="O780" s="151"/>
      <c r="P780" s="151"/>
      <c r="Q780" s="7" t="str">
        <f>IF(ISBLANK(patch[[#This Row],[OwnerEmail]]),Q779,patch[[#This Row],[OwnerEmail]])</f>
        <v>xiaozhou.liu@intel.com</v>
      </c>
      <c r="R780" s="7" t="str">
        <f>_xlfn.IFNA(VLOOKUP(patch[[#This Row],[tmp-owner.email]],OrgTree!$A:$K, 11, 0), "not ICG SWFW")</f>
        <v>BJ And dev</v>
      </c>
      <c r="S780" s="7" t="str">
        <f>IF(patch[[#This Row],[reviewer]]=patch[[#This Row],[tmp-owner.email]], "author", _xlfn.IFNA(VLOOKUP(patch[[#This Row],[reviewer]],OrgTree!$A:$K, 11, 0), "not ICG SWFW"))</f>
        <v>Val</v>
      </c>
      <c r="T780" s="7" t="str">
        <f>IF(ISBLANK(patch[[#This Row],[mergeDate]]), "", MID(YEAR(patch[[#This Row],[mergeDate]]), 3,2)&amp;"'ww"&amp;WEEKNUM(patch[[#This Row],[mergeDate]]))</f>
        <v>16'ww39</v>
      </c>
      <c r="U780" s="7" t="str">
        <f>IF(ISBLANK(patch[[#This Row],[mergeDate]]), U779, MID(YEAR(patch[[#This Row],[mergeDate]]), 3,2)&amp;"'m"&amp;MONTH(patch[[#This Row],[mergeDate]]))</f>
        <v>16'm9</v>
      </c>
      <c r="V780" s="7" t="str">
        <f>IF(ISBLANK(patch[[#This Row],[project]]), "",SUM(patch[[#This Row],[BJ -1 num]:[SH -1 num]]))</f>
        <v/>
      </c>
      <c r="W780" s="7" t="str">
        <f>IF(ISBLANK(patch[[#This Row],[project]]), "",COUNTIFS($A:$A,patch[[#This Row],[number]],$S:$S, "BJ And dev",$AC:$AC, "Review-1"))</f>
        <v/>
      </c>
      <c r="X780" s="7" t="str">
        <f>IF(ISBLANK(patch[[#This Row],[project]]), "",COUNTIFS($A:$A,patch[[#This Row],[number]],$S:$S, "FL And dev",$AC:$AC, "Review-1"))</f>
        <v/>
      </c>
      <c r="Y780" s="7" t="str">
        <f>IF(ISBLANK(patch[[#This Row],[project]]), "",COUNTIFS($A:$A,patch[[#This Row],[number]],$S:$S, "SH And dev",$AC:$AC, "Review-1"))</f>
        <v/>
      </c>
      <c r="Z780" s="7" t="str">
        <f>IF(ISBLANK(patch[[#This Row],[project]]), "",COUNTIFS($A:$A,patch[[#This Row],[number]],$S:$S, "BJ And dev",$AD:$AD, "&lt;&gt;IntegratorValidationComment"))</f>
        <v/>
      </c>
      <c r="AA780" s="7" t="str">
        <f>IF(ISBLANK(patch[[#This Row],[project]]), "",COUNTIFS($A:$A,patch[[#This Row],[number]],$S:$S, "FL And dev",$AD:$AD, "&lt;&gt;IntegratorValidationComment"))</f>
        <v/>
      </c>
      <c r="AB780" s="7" t="str">
        <f>IF(ISBLANK(patch[[#This Row],[project]]), "",COUNTIFS($A:$A,patch[[#This Row],[number]],$S:$S, "SH And dev",$AD:$AD, "&lt;&gt;IntegratorValidationComment"))</f>
        <v/>
      </c>
      <c r="AC780" s="7" t="str">
        <f>IF(OR(ISNUMBER(FIND("Review-1", patch[[#This Row],[comments]])), ISNUMBER(FIND("Approver-1", patch[[#This Row],[comments]]))), "Review-1", "")</f>
        <v/>
      </c>
      <c r="AD7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780" s="7">
        <f>IF(ISBLANK(patch[[#This Row],[number]]),AE779,patch[[#This Row],[ifCommon]])</f>
        <v>0</v>
      </c>
    </row>
    <row r="781" spans="1:31">
      <c r="A781" s="151">
        <v>146679</v>
      </c>
      <c r="B781" s="151" t="s">
        <v>2490</v>
      </c>
      <c r="C781" s="151" t="s">
        <v>2491</v>
      </c>
      <c r="D781" s="151" t="s">
        <v>2884</v>
      </c>
      <c r="E781" s="151" t="s">
        <v>61</v>
      </c>
      <c r="F781" s="151" t="s">
        <v>23</v>
      </c>
      <c r="G781" s="151" t="s">
        <v>2885</v>
      </c>
      <c r="H781" s="151" t="s">
        <v>2886</v>
      </c>
      <c r="I781" s="152">
        <v>42633.846678240741</v>
      </c>
      <c r="J781" s="152">
        <v>42635.711226851847</v>
      </c>
      <c r="K781" s="151" t="s">
        <v>2445</v>
      </c>
      <c r="L781" s="151" t="s">
        <v>61</v>
      </c>
      <c r="M781" s="152">
        <v>42633.846678240741</v>
      </c>
      <c r="N781" s="151" t="s">
        <v>2428</v>
      </c>
      <c r="O781" s="151"/>
      <c r="P781" s="151" t="s">
        <v>2553</v>
      </c>
      <c r="Q781" s="7" t="str">
        <f>IF(ISBLANK(patch[[#This Row],[OwnerEmail]]),Q780,patch[[#This Row],[OwnerEmail]])</f>
        <v>john.mathew@intel.com</v>
      </c>
      <c r="R781" s="7" t="str">
        <f>_xlfn.IFNA(VLOOKUP(patch[[#This Row],[tmp-owner.email]],OrgTree!$A:$K, 11, 0), "not ICG SWFW")</f>
        <v>FL And dev</v>
      </c>
      <c r="S781" s="7" t="str">
        <f>IF(patch[[#This Row],[reviewer]]=patch[[#This Row],[tmp-owner.email]], "author", _xlfn.IFNA(VLOOKUP(patch[[#This Row],[reviewer]],OrgTree!$A:$K, 11, 0), "not ICG SWFW"))</f>
        <v>author</v>
      </c>
      <c r="T781" s="7" t="str">
        <f>IF(ISBLANK(patch[[#This Row],[mergeDate]]), "", MID(YEAR(patch[[#This Row],[mergeDate]]), 3,2)&amp;"'ww"&amp;WEEKNUM(patch[[#This Row],[mergeDate]]))</f>
        <v>16'ww39</v>
      </c>
      <c r="U781" s="7" t="str">
        <f>IF(ISBLANK(patch[[#This Row],[mergeDate]]), U780, MID(YEAR(patch[[#This Row],[mergeDate]]), 3,2)&amp;"'m"&amp;MONTH(patch[[#This Row],[mergeDate]]))</f>
        <v>16'm9</v>
      </c>
      <c r="V781" s="7">
        <f>IF(ISBLANK(patch[[#This Row],[project]]), "",SUM(patch[[#This Row],[BJ -1 num]:[SH -1 num]]))</f>
        <v>0</v>
      </c>
      <c r="W781" s="7">
        <f>IF(ISBLANK(patch[[#This Row],[project]]), "",COUNTIFS($A:$A,patch[[#This Row],[number]],$S:$S, "BJ And dev",$AC:$AC, "Review-1"))</f>
        <v>0</v>
      </c>
      <c r="X781" s="7">
        <f>IF(ISBLANK(patch[[#This Row],[project]]), "",COUNTIFS($A:$A,patch[[#This Row],[number]],$S:$S, "FL And dev",$AC:$AC, "Review-1"))</f>
        <v>0</v>
      </c>
      <c r="Y781" s="7">
        <f>IF(ISBLANK(patch[[#This Row],[project]]), "",COUNTIFS($A:$A,patch[[#This Row],[number]],$S:$S, "SH And dev",$AC:$AC, "Review-1"))</f>
        <v>0</v>
      </c>
      <c r="Z781" s="7">
        <f>IF(ISBLANK(patch[[#This Row],[project]]), "",COUNTIFS($A:$A,patch[[#This Row],[number]],$S:$S, "BJ And dev",$AD:$AD, "&lt;&gt;IntegratorValidationComment"))</f>
        <v>11</v>
      </c>
      <c r="AA781" s="7">
        <f>IF(ISBLANK(patch[[#This Row],[project]]), "",COUNTIFS($A:$A,patch[[#This Row],[number]],$S:$S, "FL And dev",$AD:$AD, "&lt;&gt;IntegratorValidationComment"))</f>
        <v>0</v>
      </c>
      <c r="AB781" s="7">
        <f>IF(ISBLANK(patch[[#This Row],[project]]), "",COUNTIFS($A:$A,patch[[#This Row],[number]],$S:$S, "SH And dev",$AD:$AD, "&lt;&gt;IntegratorValidationComment"))</f>
        <v>0</v>
      </c>
      <c r="AC781" s="7" t="str">
        <f>IF(OR(ISNUMBER(FIND("Review-1", patch[[#This Row],[comments]])), ISNUMBER(FIND("Approver-1", patch[[#This Row],[comments]]))), "Review-1", "")</f>
        <v/>
      </c>
      <c r="AD7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81" s="7" t="str">
        <f>IF(ISBLANK(patch[[#This Row],[number]]),AE780,patch[[#This Row],[ifCommon]])</f>
        <v>not AndrHAL</v>
      </c>
    </row>
    <row r="782" spans="1:31">
      <c r="A782" s="151">
        <v>146679</v>
      </c>
      <c r="B782" s="151"/>
      <c r="C782" s="151"/>
      <c r="D782" s="151"/>
      <c r="E782" s="151"/>
      <c r="F782" s="151"/>
      <c r="G782" s="151"/>
      <c r="H782" s="151"/>
      <c r="I782" s="151"/>
      <c r="J782" s="152">
        <v>42635.711226851847</v>
      </c>
      <c r="K782" s="151"/>
      <c r="L782" s="151" t="s">
        <v>61</v>
      </c>
      <c r="M782" s="152">
        <v>42633.846678240741</v>
      </c>
      <c r="N782" s="151" t="s">
        <v>25</v>
      </c>
      <c r="O782" s="151"/>
      <c r="P782" s="151"/>
      <c r="Q782" s="7" t="str">
        <f>IF(ISBLANK(patch[[#This Row],[OwnerEmail]]),Q781,patch[[#This Row],[OwnerEmail]])</f>
        <v>john.mathew@intel.com</v>
      </c>
      <c r="R782" s="7" t="str">
        <f>_xlfn.IFNA(VLOOKUP(patch[[#This Row],[tmp-owner.email]],OrgTree!$A:$K, 11, 0), "not ICG SWFW")</f>
        <v>FL And dev</v>
      </c>
      <c r="S782" s="7" t="str">
        <f>IF(patch[[#This Row],[reviewer]]=patch[[#This Row],[tmp-owner.email]], "author", _xlfn.IFNA(VLOOKUP(patch[[#This Row],[reviewer]],OrgTree!$A:$K, 11, 0), "not ICG SWFW"))</f>
        <v>author</v>
      </c>
      <c r="T782" s="7" t="str">
        <f>IF(ISBLANK(patch[[#This Row],[mergeDate]]), "", MID(YEAR(patch[[#This Row],[mergeDate]]), 3,2)&amp;"'ww"&amp;WEEKNUM(patch[[#This Row],[mergeDate]]))</f>
        <v>16'ww39</v>
      </c>
      <c r="U782" s="7" t="str">
        <f>IF(ISBLANK(patch[[#This Row],[mergeDate]]), U781, MID(YEAR(patch[[#This Row],[mergeDate]]), 3,2)&amp;"'m"&amp;MONTH(patch[[#This Row],[mergeDate]]))</f>
        <v>16'm9</v>
      </c>
      <c r="V782" s="7" t="str">
        <f>IF(ISBLANK(patch[[#This Row],[project]]), "",SUM(patch[[#This Row],[BJ -1 num]:[SH -1 num]]))</f>
        <v/>
      </c>
      <c r="W782" s="7" t="str">
        <f>IF(ISBLANK(patch[[#This Row],[project]]), "",COUNTIFS($A:$A,patch[[#This Row],[number]],$S:$S, "BJ And dev",$AC:$AC, "Review-1"))</f>
        <v/>
      </c>
      <c r="X782" s="7" t="str">
        <f>IF(ISBLANK(patch[[#This Row],[project]]), "",COUNTIFS($A:$A,patch[[#This Row],[number]],$S:$S, "FL And dev",$AC:$AC, "Review-1"))</f>
        <v/>
      </c>
      <c r="Y782" s="7" t="str">
        <f>IF(ISBLANK(patch[[#This Row],[project]]), "",COUNTIFS($A:$A,patch[[#This Row],[number]],$S:$S, "SH And dev",$AC:$AC, "Review-1"))</f>
        <v/>
      </c>
      <c r="Z782" s="7" t="str">
        <f>IF(ISBLANK(patch[[#This Row],[project]]), "",COUNTIFS($A:$A,patch[[#This Row],[number]],$S:$S, "BJ And dev",$AD:$AD, "&lt;&gt;IntegratorValidationComment"))</f>
        <v/>
      </c>
      <c r="AA782" s="7" t="str">
        <f>IF(ISBLANK(patch[[#This Row],[project]]), "",COUNTIFS($A:$A,patch[[#This Row],[number]],$S:$S, "FL And dev",$AD:$AD, "&lt;&gt;IntegratorValidationComment"))</f>
        <v/>
      </c>
      <c r="AB782" s="7" t="str">
        <f>IF(ISBLANK(patch[[#This Row],[project]]), "",COUNTIFS($A:$A,patch[[#This Row],[number]],$S:$S, "SH And dev",$AD:$AD, "&lt;&gt;IntegratorValidationComment"))</f>
        <v/>
      </c>
      <c r="AC782" s="7" t="str">
        <f>IF(OR(ISNUMBER(FIND("Review-1", patch[[#This Row],[comments]])), ISNUMBER(FIND("Approver-1", patch[[#This Row],[comments]]))), "Review-1", "")</f>
        <v/>
      </c>
      <c r="AD7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82" s="7">
        <f>IF(ISBLANK(patch[[#This Row],[number]]),AE781,patch[[#This Row],[ifCommon]])</f>
        <v>0</v>
      </c>
    </row>
    <row r="783" spans="1:31">
      <c r="A783" s="151">
        <v>146679</v>
      </c>
      <c r="B783" s="151"/>
      <c r="C783" s="151"/>
      <c r="D783" s="151"/>
      <c r="E783" s="151"/>
      <c r="F783" s="151"/>
      <c r="G783" s="151"/>
      <c r="H783" s="151"/>
      <c r="I783" s="151"/>
      <c r="J783" s="152">
        <v>42635.711226851847</v>
      </c>
      <c r="K783" s="151"/>
      <c r="L783" s="151" t="s">
        <v>61</v>
      </c>
      <c r="M783" s="152">
        <v>42633.846921296303</v>
      </c>
      <c r="N783" s="151" t="s">
        <v>40</v>
      </c>
      <c r="O783" s="151"/>
      <c r="P783" s="151"/>
      <c r="Q783" s="7" t="str">
        <f>IF(ISBLANK(patch[[#This Row],[OwnerEmail]]),Q782,patch[[#This Row],[OwnerEmail]])</f>
        <v>john.mathew@intel.com</v>
      </c>
      <c r="R783" s="7" t="str">
        <f>_xlfn.IFNA(VLOOKUP(patch[[#This Row],[tmp-owner.email]],OrgTree!$A:$K, 11, 0), "not ICG SWFW")</f>
        <v>FL And dev</v>
      </c>
      <c r="S783" s="7" t="str">
        <f>IF(patch[[#This Row],[reviewer]]=patch[[#This Row],[tmp-owner.email]], "author", _xlfn.IFNA(VLOOKUP(patch[[#This Row],[reviewer]],OrgTree!$A:$K, 11, 0), "not ICG SWFW"))</f>
        <v>author</v>
      </c>
      <c r="T783" s="7" t="str">
        <f>IF(ISBLANK(patch[[#This Row],[mergeDate]]), "", MID(YEAR(patch[[#This Row],[mergeDate]]), 3,2)&amp;"'ww"&amp;WEEKNUM(patch[[#This Row],[mergeDate]]))</f>
        <v>16'ww39</v>
      </c>
      <c r="U783" s="7" t="str">
        <f>IF(ISBLANK(patch[[#This Row],[mergeDate]]), U782, MID(YEAR(patch[[#This Row],[mergeDate]]), 3,2)&amp;"'m"&amp;MONTH(patch[[#This Row],[mergeDate]]))</f>
        <v>16'm9</v>
      </c>
      <c r="V783" s="7" t="str">
        <f>IF(ISBLANK(patch[[#This Row],[project]]), "",SUM(patch[[#This Row],[BJ -1 num]:[SH -1 num]]))</f>
        <v/>
      </c>
      <c r="W783" s="7" t="str">
        <f>IF(ISBLANK(patch[[#This Row],[project]]), "",COUNTIFS($A:$A,patch[[#This Row],[number]],$S:$S, "BJ And dev",$AC:$AC, "Review-1"))</f>
        <v/>
      </c>
      <c r="X783" s="7" t="str">
        <f>IF(ISBLANK(patch[[#This Row],[project]]), "",COUNTIFS($A:$A,patch[[#This Row],[number]],$S:$S, "FL And dev",$AC:$AC, "Review-1"))</f>
        <v/>
      </c>
      <c r="Y783" s="7" t="str">
        <f>IF(ISBLANK(patch[[#This Row],[project]]), "",COUNTIFS($A:$A,patch[[#This Row],[number]],$S:$S, "SH And dev",$AC:$AC, "Review-1"))</f>
        <v/>
      </c>
      <c r="Z783" s="7" t="str">
        <f>IF(ISBLANK(patch[[#This Row],[project]]), "",COUNTIFS($A:$A,patch[[#This Row],[number]],$S:$S, "BJ And dev",$AD:$AD, "&lt;&gt;IntegratorValidationComment"))</f>
        <v/>
      </c>
      <c r="AA783" s="7" t="str">
        <f>IF(ISBLANK(patch[[#This Row],[project]]), "",COUNTIFS($A:$A,patch[[#This Row],[number]],$S:$S, "FL And dev",$AD:$AD, "&lt;&gt;IntegratorValidationComment"))</f>
        <v/>
      </c>
      <c r="AB783" s="7" t="str">
        <f>IF(ISBLANK(patch[[#This Row],[project]]), "",COUNTIFS($A:$A,patch[[#This Row],[number]],$S:$S, "SH And dev",$AD:$AD, "&lt;&gt;IntegratorValidationComment"))</f>
        <v/>
      </c>
      <c r="AC783" s="7" t="str">
        <f>IF(OR(ISNUMBER(FIND("Review-1", patch[[#This Row],[comments]])), ISNUMBER(FIND("Approver-1", patch[[#This Row],[comments]]))), "Review-1", "")</f>
        <v/>
      </c>
      <c r="AD7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83" s="7">
        <f>IF(ISBLANK(patch[[#This Row],[number]]),AE782,patch[[#This Row],[ifCommon]])</f>
        <v>0</v>
      </c>
    </row>
    <row r="784" spans="1:31">
      <c r="A784" s="151">
        <v>146679</v>
      </c>
      <c r="B784" s="151"/>
      <c r="C784" s="151"/>
      <c r="D784" s="151"/>
      <c r="E784" s="151"/>
      <c r="F784" s="151"/>
      <c r="G784" s="151"/>
      <c r="H784" s="151"/>
      <c r="I784" s="151"/>
      <c r="J784" s="152">
        <v>42635.711226851847</v>
      </c>
      <c r="K784" s="151"/>
      <c r="L784" s="151" t="s">
        <v>32</v>
      </c>
      <c r="M784" s="152">
        <v>42633.914131944453</v>
      </c>
      <c r="N784" s="151" t="s">
        <v>40</v>
      </c>
      <c r="O784" s="151"/>
      <c r="P784" s="151"/>
      <c r="Q784" s="7" t="str">
        <f>IF(ISBLANK(patch[[#This Row],[OwnerEmail]]),Q783,patch[[#This Row],[OwnerEmail]])</f>
        <v>john.mathew@intel.com</v>
      </c>
      <c r="R784" s="7" t="str">
        <f>_xlfn.IFNA(VLOOKUP(patch[[#This Row],[tmp-owner.email]],OrgTree!$A:$K, 11, 0), "not ICG SWFW")</f>
        <v>FL And dev</v>
      </c>
      <c r="S784" s="7" t="str">
        <f>IF(patch[[#This Row],[reviewer]]=patch[[#This Row],[tmp-owner.email]], "author", _xlfn.IFNA(VLOOKUP(patch[[#This Row],[reviewer]],OrgTree!$A:$K, 11, 0), "not ICG SWFW"))</f>
        <v>BJ And dev</v>
      </c>
      <c r="T784" s="7" t="str">
        <f>IF(ISBLANK(patch[[#This Row],[mergeDate]]), "", MID(YEAR(patch[[#This Row],[mergeDate]]), 3,2)&amp;"'ww"&amp;WEEKNUM(patch[[#This Row],[mergeDate]]))</f>
        <v>16'ww39</v>
      </c>
      <c r="U784" s="7" t="str">
        <f>IF(ISBLANK(patch[[#This Row],[mergeDate]]), U783, MID(YEAR(patch[[#This Row],[mergeDate]]), 3,2)&amp;"'m"&amp;MONTH(patch[[#This Row],[mergeDate]]))</f>
        <v>16'm9</v>
      </c>
      <c r="V784" s="7" t="str">
        <f>IF(ISBLANK(patch[[#This Row],[project]]), "",SUM(patch[[#This Row],[BJ -1 num]:[SH -1 num]]))</f>
        <v/>
      </c>
      <c r="W784" s="7" t="str">
        <f>IF(ISBLANK(patch[[#This Row],[project]]), "",COUNTIFS($A:$A,patch[[#This Row],[number]],$S:$S, "BJ And dev",$AC:$AC, "Review-1"))</f>
        <v/>
      </c>
      <c r="X784" s="7" t="str">
        <f>IF(ISBLANK(patch[[#This Row],[project]]), "",COUNTIFS($A:$A,patch[[#This Row],[number]],$S:$S, "FL And dev",$AC:$AC, "Review-1"))</f>
        <v/>
      </c>
      <c r="Y784" s="7" t="str">
        <f>IF(ISBLANK(patch[[#This Row],[project]]), "",COUNTIFS($A:$A,patch[[#This Row],[number]],$S:$S, "SH And dev",$AC:$AC, "Review-1"))</f>
        <v/>
      </c>
      <c r="Z784" s="7" t="str">
        <f>IF(ISBLANK(patch[[#This Row],[project]]), "",COUNTIFS($A:$A,patch[[#This Row],[number]],$S:$S, "BJ And dev",$AD:$AD, "&lt;&gt;IntegratorValidationComment"))</f>
        <v/>
      </c>
      <c r="AA784" s="7" t="str">
        <f>IF(ISBLANK(patch[[#This Row],[project]]), "",COUNTIFS($A:$A,patch[[#This Row],[number]],$S:$S, "FL And dev",$AD:$AD, "&lt;&gt;IntegratorValidationComment"))</f>
        <v/>
      </c>
      <c r="AB784" s="7" t="str">
        <f>IF(ISBLANK(patch[[#This Row],[project]]), "",COUNTIFS($A:$A,patch[[#This Row],[number]],$S:$S, "SH And dev",$AD:$AD, "&lt;&gt;IntegratorValidationComment"))</f>
        <v/>
      </c>
      <c r="AC784" s="7" t="str">
        <f>IF(OR(ISNUMBER(FIND("Review-1", patch[[#This Row],[comments]])), ISNUMBER(FIND("Approver-1", patch[[#This Row],[comments]]))), "Review-1", "")</f>
        <v/>
      </c>
      <c r="AD7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84" s="7">
        <f>IF(ISBLANK(patch[[#This Row],[number]]),AE783,patch[[#This Row],[ifCommon]])</f>
        <v>0</v>
      </c>
    </row>
    <row r="785" spans="1:31">
      <c r="A785" s="151">
        <v>146679</v>
      </c>
      <c r="B785" s="151"/>
      <c r="C785" s="151"/>
      <c r="D785" s="151"/>
      <c r="E785" s="151"/>
      <c r="F785" s="151"/>
      <c r="G785" s="151"/>
      <c r="H785" s="151"/>
      <c r="I785" s="151"/>
      <c r="J785" s="152">
        <v>42635.711226851847</v>
      </c>
      <c r="K785" s="151"/>
      <c r="L785" s="151" t="s">
        <v>59</v>
      </c>
      <c r="M785" s="152">
        <v>42634.376006944447</v>
      </c>
      <c r="N785" s="151" t="s">
        <v>2999</v>
      </c>
      <c r="O785" s="151"/>
      <c r="P785" s="151"/>
      <c r="Q785" s="7" t="str">
        <f>IF(ISBLANK(patch[[#This Row],[OwnerEmail]]),Q784,patch[[#This Row],[OwnerEmail]])</f>
        <v>john.mathew@intel.com</v>
      </c>
      <c r="R785" s="7" t="str">
        <f>_xlfn.IFNA(VLOOKUP(patch[[#This Row],[tmp-owner.email]],OrgTree!$A:$K, 11, 0), "not ICG SWFW")</f>
        <v>FL And dev</v>
      </c>
      <c r="S785" s="7" t="str">
        <f>IF(patch[[#This Row],[reviewer]]=patch[[#This Row],[tmp-owner.email]], "author", _xlfn.IFNA(VLOOKUP(patch[[#This Row],[reviewer]],OrgTree!$A:$K, 11, 0), "not ICG SWFW"))</f>
        <v>BJ And dev</v>
      </c>
      <c r="T785" s="7" t="str">
        <f>IF(ISBLANK(patch[[#This Row],[mergeDate]]), "", MID(YEAR(patch[[#This Row],[mergeDate]]), 3,2)&amp;"'ww"&amp;WEEKNUM(patch[[#This Row],[mergeDate]]))</f>
        <v>16'ww39</v>
      </c>
      <c r="U785" s="7" t="str">
        <f>IF(ISBLANK(patch[[#This Row],[mergeDate]]), U784, MID(YEAR(patch[[#This Row],[mergeDate]]), 3,2)&amp;"'m"&amp;MONTH(patch[[#This Row],[mergeDate]]))</f>
        <v>16'm9</v>
      </c>
      <c r="V785" s="7" t="str">
        <f>IF(ISBLANK(patch[[#This Row],[project]]), "",SUM(patch[[#This Row],[BJ -1 num]:[SH -1 num]]))</f>
        <v/>
      </c>
      <c r="W785" s="7" t="str">
        <f>IF(ISBLANK(patch[[#This Row],[project]]), "",COUNTIFS($A:$A,patch[[#This Row],[number]],$S:$S, "BJ And dev",$AC:$AC, "Review-1"))</f>
        <v/>
      </c>
      <c r="X785" s="7" t="str">
        <f>IF(ISBLANK(patch[[#This Row],[project]]), "",COUNTIFS($A:$A,patch[[#This Row],[number]],$S:$S, "FL And dev",$AC:$AC, "Review-1"))</f>
        <v/>
      </c>
      <c r="Y785" s="7" t="str">
        <f>IF(ISBLANK(patch[[#This Row],[project]]), "",COUNTIFS($A:$A,patch[[#This Row],[number]],$S:$S, "SH And dev",$AC:$AC, "Review-1"))</f>
        <v/>
      </c>
      <c r="Z785" s="7" t="str">
        <f>IF(ISBLANK(patch[[#This Row],[project]]), "",COUNTIFS($A:$A,patch[[#This Row],[number]],$S:$S, "BJ And dev",$AD:$AD, "&lt;&gt;IntegratorValidationComment"))</f>
        <v/>
      </c>
      <c r="AA785" s="7" t="str">
        <f>IF(ISBLANK(patch[[#This Row],[project]]), "",COUNTIFS($A:$A,patch[[#This Row],[number]],$S:$S, "FL And dev",$AD:$AD, "&lt;&gt;IntegratorValidationComment"))</f>
        <v/>
      </c>
      <c r="AB785" s="7" t="str">
        <f>IF(ISBLANK(patch[[#This Row],[project]]), "",COUNTIFS($A:$A,patch[[#This Row],[number]],$S:$S, "SH And dev",$AD:$AD, "&lt;&gt;IntegratorValidationComment"))</f>
        <v/>
      </c>
      <c r="AC785" s="7" t="str">
        <f>IF(OR(ISNUMBER(FIND("Review-1", patch[[#This Row],[comments]])), ISNUMBER(FIND("Approver-1", patch[[#This Row],[comments]]))), "Review-1", "")</f>
        <v/>
      </c>
      <c r="AD7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85" s="7">
        <f>IF(ISBLANK(patch[[#This Row],[number]]),AE784,patch[[#This Row],[ifCommon]])</f>
        <v>0</v>
      </c>
    </row>
    <row r="786" spans="1:31">
      <c r="A786" s="151">
        <v>146679</v>
      </c>
      <c r="B786" s="151"/>
      <c r="C786" s="151"/>
      <c r="D786" s="151"/>
      <c r="E786" s="151"/>
      <c r="F786" s="151"/>
      <c r="G786" s="151"/>
      <c r="H786" s="151"/>
      <c r="I786" s="151"/>
      <c r="J786" s="152">
        <v>42635.711226851847</v>
      </c>
      <c r="K786" s="151"/>
      <c r="L786" s="151" t="s">
        <v>59</v>
      </c>
      <c r="M786" s="152">
        <v>42634.376597222217</v>
      </c>
      <c r="N786" s="151" t="s">
        <v>3000</v>
      </c>
      <c r="O786" s="151"/>
      <c r="P786" s="151"/>
      <c r="Q786" s="7" t="str">
        <f>IF(ISBLANK(patch[[#This Row],[OwnerEmail]]),Q785,patch[[#This Row],[OwnerEmail]])</f>
        <v>john.mathew@intel.com</v>
      </c>
      <c r="R786" s="7" t="str">
        <f>_xlfn.IFNA(VLOOKUP(patch[[#This Row],[tmp-owner.email]],OrgTree!$A:$K, 11, 0), "not ICG SWFW")</f>
        <v>FL And dev</v>
      </c>
      <c r="S786" s="7" t="str">
        <f>IF(patch[[#This Row],[reviewer]]=patch[[#This Row],[tmp-owner.email]], "author", _xlfn.IFNA(VLOOKUP(patch[[#This Row],[reviewer]],OrgTree!$A:$K, 11, 0), "not ICG SWFW"))</f>
        <v>BJ And dev</v>
      </c>
      <c r="T786" s="7" t="str">
        <f>IF(ISBLANK(patch[[#This Row],[mergeDate]]), "", MID(YEAR(patch[[#This Row],[mergeDate]]), 3,2)&amp;"'ww"&amp;WEEKNUM(patch[[#This Row],[mergeDate]]))</f>
        <v>16'ww39</v>
      </c>
      <c r="U786" s="7" t="str">
        <f>IF(ISBLANK(patch[[#This Row],[mergeDate]]), U785, MID(YEAR(patch[[#This Row],[mergeDate]]), 3,2)&amp;"'m"&amp;MONTH(patch[[#This Row],[mergeDate]]))</f>
        <v>16'm9</v>
      </c>
      <c r="V786" s="7" t="str">
        <f>IF(ISBLANK(patch[[#This Row],[project]]), "",SUM(patch[[#This Row],[BJ -1 num]:[SH -1 num]]))</f>
        <v/>
      </c>
      <c r="W786" s="7" t="str">
        <f>IF(ISBLANK(patch[[#This Row],[project]]), "",COUNTIFS($A:$A,patch[[#This Row],[number]],$S:$S, "BJ And dev",$AC:$AC, "Review-1"))</f>
        <v/>
      </c>
      <c r="X786" s="7" t="str">
        <f>IF(ISBLANK(patch[[#This Row],[project]]), "",COUNTIFS($A:$A,patch[[#This Row],[number]],$S:$S, "FL And dev",$AC:$AC, "Review-1"))</f>
        <v/>
      </c>
      <c r="Y786" s="7" t="str">
        <f>IF(ISBLANK(patch[[#This Row],[project]]), "",COUNTIFS($A:$A,patch[[#This Row],[number]],$S:$S, "SH And dev",$AC:$AC, "Review-1"))</f>
        <v/>
      </c>
      <c r="Z786" s="7" t="str">
        <f>IF(ISBLANK(patch[[#This Row],[project]]), "",COUNTIFS($A:$A,patch[[#This Row],[number]],$S:$S, "BJ And dev",$AD:$AD, "&lt;&gt;IntegratorValidationComment"))</f>
        <v/>
      </c>
      <c r="AA786" s="7" t="str">
        <f>IF(ISBLANK(patch[[#This Row],[project]]), "",COUNTIFS($A:$A,patch[[#This Row],[number]],$S:$S, "FL And dev",$AD:$AD, "&lt;&gt;IntegratorValidationComment"))</f>
        <v/>
      </c>
      <c r="AB786" s="7" t="str">
        <f>IF(ISBLANK(patch[[#This Row],[project]]), "",COUNTIFS($A:$A,patch[[#This Row],[number]],$S:$S, "SH And dev",$AD:$AD, "&lt;&gt;IntegratorValidationComment"))</f>
        <v/>
      </c>
      <c r="AC786" s="7" t="str">
        <f>IF(OR(ISNUMBER(FIND("Review-1", patch[[#This Row],[comments]])), ISNUMBER(FIND("Approver-1", patch[[#This Row],[comments]]))), "Review-1", "")</f>
        <v/>
      </c>
      <c r="AD7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86" s="7">
        <f>IF(ISBLANK(patch[[#This Row],[number]]),AE785,patch[[#This Row],[ifCommon]])</f>
        <v>0</v>
      </c>
    </row>
    <row r="787" spans="1:31">
      <c r="A787" s="151">
        <v>146679</v>
      </c>
      <c r="B787" s="151"/>
      <c r="C787" s="151"/>
      <c r="D787" s="151"/>
      <c r="E787" s="151"/>
      <c r="F787" s="151"/>
      <c r="G787" s="151"/>
      <c r="H787" s="151"/>
      <c r="I787" s="151"/>
      <c r="J787" s="152">
        <v>42635.711226851847</v>
      </c>
      <c r="K787" s="151"/>
      <c r="L787" s="151" t="s">
        <v>61</v>
      </c>
      <c r="M787" s="152">
        <v>42634.579062500001</v>
      </c>
      <c r="N787" s="151" t="s">
        <v>2429</v>
      </c>
      <c r="O787" s="151"/>
      <c r="P787" s="151"/>
      <c r="Q787" s="7" t="str">
        <f>IF(ISBLANK(patch[[#This Row],[OwnerEmail]]),Q786,patch[[#This Row],[OwnerEmail]])</f>
        <v>john.mathew@intel.com</v>
      </c>
      <c r="R787" s="7" t="str">
        <f>_xlfn.IFNA(VLOOKUP(patch[[#This Row],[tmp-owner.email]],OrgTree!$A:$K, 11, 0), "not ICG SWFW")</f>
        <v>FL And dev</v>
      </c>
      <c r="S787" s="7" t="str">
        <f>IF(patch[[#This Row],[reviewer]]=patch[[#This Row],[tmp-owner.email]], "author", _xlfn.IFNA(VLOOKUP(patch[[#This Row],[reviewer]],OrgTree!$A:$K, 11, 0), "not ICG SWFW"))</f>
        <v>author</v>
      </c>
      <c r="T787" s="7" t="str">
        <f>IF(ISBLANK(patch[[#This Row],[mergeDate]]), "", MID(YEAR(patch[[#This Row],[mergeDate]]), 3,2)&amp;"'ww"&amp;WEEKNUM(patch[[#This Row],[mergeDate]]))</f>
        <v>16'ww39</v>
      </c>
      <c r="U787" s="7" t="str">
        <f>IF(ISBLANK(patch[[#This Row],[mergeDate]]), U786, MID(YEAR(patch[[#This Row],[mergeDate]]), 3,2)&amp;"'m"&amp;MONTH(patch[[#This Row],[mergeDate]]))</f>
        <v>16'm9</v>
      </c>
      <c r="V787" s="7" t="str">
        <f>IF(ISBLANK(patch[[#This Row],[project]]), "",SUM(patch[[#This Row],[BJ -1 num]:[SH -1 num]]))</f>
        <v/>
      </c>
      <c r="W787" s="7" t="str">
        <f>IF(ISBLANK(patch[[#This Row],[project]]), "",COUNTIFS($A:$A,patch[[#This Row],[number]],$S:$S, "BJ And dev",$AC:$AC, "Review-1"))</f>
        <v/>
      </c>
      <c r="X787" s="7" t="str">
        <f>IF(ISBLANK(patch[[#This Row],[project]]), "",COUNTIFS($A:$A,patch[[#This Row],[number]],$S:$S, "FL And dev",$AC:$AC, "Review-1"))</f>
        <v/>
      </c>
      <c r="Y787" s="7" t="str">
        <f>IF(ISBLANK(patch[[#This Row],[project]]), "",COUNTIFS($A:$A,patch[[#This Row],[number]],$S:$S, "SH And dev",$AC:$AC, "Review-1"))</f>
        <v/>
      </c>
      <c r="Z787" s="7" t="str">
        <f>IF(ISBLANK(patch[[#This Row],[project]]), "",COUNTIFS($A:$A,patch[[#This Row],[number]],$S:$S, "BJ And dev",$AD:$AD, "&lt;&gt;IntegratorValidationComment"))</f>
        <v/>
      </c>
      <c r="AA787" s="7" t="str">
        <f>IF(ISBLANK(patch[[#This Row],[project]]), "",COUNTIFS($A:$A,patch[[#This Row],[number]],$S:$S, "FL And dev",$AD:$AD, "&lt;&gt;IntegratorValidationComment"))</f>
        <v/>
      </c>
      <c r="AB787" s="7" t="str">
        <f>IF(ISBLANK(patch[[#This Row],[project]]), "",COUNTIFS($A:$A,patch[[#This Row],[number]],$S:$S, "SH And dev",$AD:$AD, "&lt;&gt;IntegratorValidationComment"))</f>
        <v/>
      </c>
      <c r="AC787" s="7" t="str">
        <f>IF(OR(ISNUMBER(FIND("Review-1", patch[[#This Row],[comments]])), ISNUMBER(FIND("Approver-1", patch[[#This Row],[comments]]))), "Review-1", "")</f>
        <v/>
      </c>
      <c r="AD7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87" s="7">
        <f>IF(ISBLANK(patch[[#This Row],[number]]),AE786,patch[[#This Row],[ifCommon]])</f>
        <v>0</v>
      </c>
    </row>
    <row r="788" spans="1:31">
      <c r="A788" s="151">
        <v>146679</v>
      </c>
      <c r="B788" s="151"/>
      <c r="C788" s="151"/>
      <c r="D788" s="151"/>
      <c r="E788" s="151"/>
      <c r="F788" s="151"/>
      <c r="G788" s="151"/>
      <c r="H788" s="151"/>
      <c r="I788" s="151"/>
      <c r="J788" s="152">
        <v>42635.711226851847</v>
      </c>
      <c r="K788" s="151"/>
      <c r="L788" s="151" t="s">
        <v>61</v>
      </c>
      <c r="M788" s="152">
        <v>42634.579062500001</v>
      </c>
      <c r="N788" s="151" t="s">
        <v>2460</v>
      </c>
      <c r="O788" s="151"/>
      <c r="P788" s="151"/>
      <c r="Q788" s="7" t="str">
        <f>IF(ISBLANK(patch[[#This Row],[OwnerEmail]]),Q787,patch[[#This Row],[OwnerEmail]])</f>
        <v>john.mathew@intel.com</v>
      </c>
      <c r="R788" s="7" t="str">
        <f>_xlfn.IFNA(VLOOKUP(patch[[#This Row],[tmp-owner.email]],OrgTree!$A:$K, 11, 0), "not ICG SWFW")</f>
        <v>FL And dev</v>
      </c>
      <c r="S788" s="7" t="str">
        <f>IF(patch[[#This Row],[reviewer]]=patch[[#This Row],[tmp-owner.email]], "author", _xlfn.IFNA(VLOOKUP(patch[[#This Row],[reviewer]],OrgTree!$A:$K, 11, 0), "not ICG SWFW"))</f>
        <v>author</v>
      </c>
      <c r="T788" s="7" t="str">
        <f>IF(ISBLANK(patch[[#This Row],[mergeDate]]), "", MID(YEAR(patch[[#This Row],[mergeDate]]), 3,2)&amp;"'ww"&amp;WEEKNUM(patch[[#This Row],[mergeDate]]))</f>
        <v>16'ww39</v>
      </c>
      <c r="U788" s="7" t="str">
        <f>IF(ISBLANK(patch[[#This Row],[mergeDate]]), U787, MID(YEAR(patch[[#This Row],[mergeDate]]), 3,2)&amp;"'m"&amp;MONTH(patch[[#This Row],[mergeDate]]))</f>
        <v>16'm9</v>
      </c>
      <c r="V788" s="7" t="str">
        <f>IF(ISBLANK(patch[[#This Row],[project]]), "",SUM(patch[[#This Row],[BJ -1 num]:[SH -1 num]]))</f>
        <v/>
      </c>
      <c r="W788" s="7" t="str">
        <f>IF(ISBLANK(patch[[#This Row],[project]]), "",COUNTIFS($A:$A,patch[[#This Row],[number]],$S:$S, "BJ And dev",$AC:$AC, "Review-1"))</f>
        <v/>
      </c>
      <c r="X788" s="7" t="str">
        <f>IF(ISBLANK(patch[[#This Row],[project]]), "",COUNTIFS($A:$A,patch[[#This Row],[number]],$S:$S, "FL And dev",$AC:$AC, "Review-1"))</f>
        <v/>
      </c>
      <c r="Y788" s="7" t="str">
        <f>IF(ISBLANK(patch[[#This Row],[project]]), "",COUNTIFS($A:$A,patch[[#This Row],[number]],$S:$S, "SH And dev",$AC:$AC, "Review-1"))</f>
        <v/>
      </c>
      <c r="Z788" s="7" t="str">
        <f>IF(ISBLANK(patch[[#This Row],[project]]), "",COUNTIFS($A:$A,patch[[#This Row],[number]],$S:$S, "BJ And dev",$AD:$AD, "&lt;&gt;IntegratorValidationComment"))</f>
        <v/>
      </c>
      <c r="AA788" s="7" t="str">
        <f>IF(ISBLANK(patch[[#This Row],[project]]), "",COUNTIFS($A:$A,patch[[#This Row],[number]],$S:$S, "FL And dev",$AD:$AD, "&lt;&gt;IntegratorValidationComment"))</f>
        <v/>
      </c>
      <c r="AB788" s="7" t="str">
        <f>IF(ISBLANK(patch[[#This Row],[project]]), "",COUNTIFS($A:$A,patch[[#This Row],[number]],$S:$S, "SH And dev",$AD:$AD, "&lt;&gt;IntegratorValidationComment"))</f>
        <v/>
      </c>
      <c r="AC788" s="7" t="str">
        <f>IF(OR(ISNUMBER(FIND("Review-1", patch[[#This Row],[comments]])), ISNUMBER(FIND("Approver-1", patch[[#This Row],[comments]]))), "Review-1", "")</f>
        <v/>
      </c>
      <c r="AD7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88" s="7">
        <f>IF(ISBLANK(patch[[#This Row],[number]]),AE787,patch[[#This Row],[ifCommon]])</f>
        <v>0</v>
      </c>
    </row>
    <row r="789" spans="1:31">
      <c r="A789" s="151">
        <v>146679</v>
      </c>
      <c r="B789" s="151"/>
      <c r="C789" s="151"/>
      <c r="D789" s="151"/>
      <c r="E789" s="151"/>
      <c r="F789" s="151"/>
      <c r="G789" s="151"/>
      <c r="H789" s="151"/>
      <c r="I789" s="151"/>
      <c r="J789" s="152">
        <v>42635.711226851847</v>
      </c>
      <c r="K789" s="151"/>
      <c r="L789" s="151" t="s">
        <v>59</v>
      </c>
      <c r="M789" s="152">
        <v>42634.585335648153</v>
      </c>
      <c r="N789" s="151" t="s">
        <v>3001</v>
      </c>
      <c r="O789" s="151"/>
      <c r="P789" s="151"/>
      <c r="Q789" s="7" t="str">
        <f>IF(ISBLANK(patch[[#This Row],[OwnerEmail]]),Q788,patch[[#This Row],[OwnerEmail]])</f>
        <v>john.mathew@intel.com</v>
      </c>
      <c r="R789" s="7" t="str">
        <f>_xlfn.IFNA(VLOOKUP(patch[[#This Row],[tmp-owner.email]],OrgTree!$A:$K, 11, 0), "not ICG SWFW")</f>
        <v>FL And dev</v>
      </c>
      <c r="S789" s="7" t="str">
        <f>IF(patch[[#This Row],[reviewer]]=patch[[#This Row],[tmp-owner.email]], "author", _xlfn.IFNA(VLOOKUP(patch[[#This Row],[reviewer]],OrgTree!$A:$K, 11, 0), "not ICG SWFW"))</f>
        <v>BJ And dev</v>
      </c>
      <c r="T789" s="7" t="str">
        <f>IF(ISBLANK(patch[[#This Row],[mergeDate]]), "", MID(YEAR(patch[[#This Row],[mergeDate]]), 3,2)&amp;"'ww"&amp;WEEKNUM(patch[[#This Row],[mergeDate]]))</f>
        <v>16'ww39</v>
      </c>
      <c r="U789" s="7" t="str">
        <f>IF(ISBLANK(patch[[#This Row],[mergeDate]]), U788, MID(YEAR(patch[[#This Row],[mergeDate]]), 3,2)&amp;"'m"&amp;MONTH(patch[[#This Row],[mergeDate]]))</f>
        <v>16'm9</v>
      </c>
      <c r="V789" s="7" t="str">
        <f>IF(ISBLANK(patch[[#This Row],[project]]), "",SUM(patch[[#This Row],[BJ -1 num]:[SH -1 num]]))</f>
        <v/>
      </c>
      <c r="W789" s="7" t="str">
        <f>IF(ISBLANK(patch[[#This Row],[project]]), "",COUNTIFS($A:$A,patch[[#This Row],[number]],$S:$S, "BJ And dev",$AC:$AC, "Review-1"))</f>
        <v/>
      </c>
      <c r="X789" s="7" t="str">
        <f>IF(ISBLANK(patch[[#This Row],[project]]), "",COUNTIFS($A:$A,patch[[#This Row],[number]],$S:$S, "FL And dev",$AC:$AC, "Review-1"))</f>
        <v/>
      </c>
      <c r="Y789" s="7" t="str">
        <f>IF(ISBLANK(patch[[#This Row],[project]]), "",COUNTIFS($A:$A,patch[[#This Row],[number]],$S:$S, "SH And dev",$AC:$AC, "Review-1"))</f>
        <v/>
      </c>
      <c r="Z789" s="7" t="str">
        <f>IF(ISBLANK(patch[[#This Row],[project]]), "",COUNTIFS($A:$A,patch[[#This Row],[number]],$S:$S, "BJ And dev",$AD:$AD, "&lt;&gt;IntegratorValidationComment"))</f>
        <v/>
      </c>
      <c r="AA789" s="7" t="str">
        <f>IF(ISBLANK(patch[[#This Row],[project]]), "",COUNTIFS($A:$A,patch[[#This Row],[number]],$S:$S, "FL And dev",$AD:$AD, "&lt;&gt;IntegratorValidationComment"))</f>
        <v/>
      </c>
      <c r="AB789" s="7" t="str">
        <f>IF(ISBLANK(patch[[#This Row],[project]]), "",COUNTIFS($A:$A,patch[[#This Row],[number]],$S:$S, "SH And dev",$AD:$AD, "&lt;&gt;IntegratorValidationComment"))</f>
        <v/>
      </c>
      <c r="AC789" s="7" t="str">
        <f>IF(OR(ISNUMBER(FIND("Review-1", patch[[#This Row],[comments]])), ISNUMBER(FIND("Approver-1", patch[[#This Row],[comments]]))), "Review-1", "")</f>
        <v/>
      </c>
      <c r="AD7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89" s="7">
        <f>IF(ISBLANK(patch[[#This Row],[number]]),AE788,patch[[#This Row],[ifCommon]])</f>
        <v>0</v>
      </c>
    </row>
    <row r="790" spans="1:31">
      <c r="A790" s="151">
        <v>146679</v>
      </c>
      <c r="B790" s="151"/>
      <c r="C790" s="151"/>
      <c r="D790" s="151"/>
      <c r="E790" s="151"/>
      <c r="F790" s="151"/>
      <c r="G790" s="151"/>
      <c r="H790" s="151"/>
      <c r="I790" s="151"/>
      <c r="J790" s="152">
        <v>42635.711226851847</v>
      </c>
      <c r="K790" s="151"/>
      <c r="L790" s="151" t="s">
        <v>59</v>
      </c>
      <c r="M790" s="152">
        <v>42634.588680555556</v>
      </c>
      <c r="N790" s="151" t="s">
        <v>3002</v>
      </c>
      <c r="O790" s="151"/>
      <c r="P790" s="151"/>
      <c r="Q790" s="7" t="str">
        <f>IF(ISBLANK(patch[[#This Row],[OwnerEmail]]),Q789,patch[[#This Row],[OwnerEmail]])</f>
        <v>john.mathew@intel.com</v>
      </c>
      <c r="R790" s="7" t="str">
        <f>_xlfn.IFNA(VLOOKUP(patch[[#This Row],[tmp-owner.email]],OrgTree!$A:$K, 11, 0), "not ICG SWFW")</f>
        <v>FL And dev</v>
      </c>
      <c r="S790" s="7" t="str">
        <f>IF(patch[[#This Row],[reviewer]]=patch[[#This Row],[tmp-owner.email]], "author", _xlfn.IFNA(VLOOKUP(patch[[#This Row],[reviewer]],OrgTree!$A:$K, 11, 0), "not ICG SWFW"))</f>
        <v>BJ And dev</v>
      </c>
      <c r="T790" s="7" t="str">
        <f>IF(ISBLANK(patch[[#This Row],[mergeDate]]), "", MID(YEAR(patch[[#This Row],[mergeDate]]), 3,2)&amp;"'ww"&amp;WEEKNUM(patch[[#This Row],[mergeDate]]))</f>
        <v>16'ww39</v>
      </c>
      <c r="U790" s="7" t="str">
        <f>IF(ISBLANK(patch[[#This Row],[mergeDate]]), U789, MID(YEAR(patch[[#This Row],[mergeDate]]), 3,2)&amp;"'m"&amp;MONTH(patch[[#This Row],[mergeDate]]))</f>
        <v>16'm9</v>
      </c>
      <c r="V790" s="7" t="str">
        <f>IF(ISBLANK(patch[[#This Row],[project]]), "",SUM(patch[[#This Row],[BJ -1 num]:[SH -1 num]]))</f>
        <v/>
      </c>
      <c r="W790" s="7" t="str">
        <f>IF(ISBLANK(patch[[#This Row],[project]]), "",COUNTIFS($A:$A,patch[[#This Row],[number]],$S:$S, "BJ And dev",$AC:$AC, "Review-1"))</f>
        <v/>
      </c>
      <c r="X790" s="7" t="str">
        <f>IF(ISBLANK(patch[[#This Row],[project]]), "",COUNTIFS($A:$A,patch[[#This Row],[number]],$S:$S, "FL And dev",$AC:$AC, "Review-1"))</f>
        <v/>
      </c>
      <c r="Y790" s="7" t="str">
        <f>IF(ISBLANK(patch[[#This Row],[project]]), "",COUNTIFS($A:$A,patch[[#This Row],[number]],$S:$S, "SH And dev",$AC:$AC, "Review-1"))</f>
        <v/>
      </c>
      <c r="Z790" s="7" t="str">
        <f>IF(ISBLANK(patch[[#This Row],[project]]), "",COUNTIFS($A:$A,patch[[#This Row],[number]],$S:$S, "BJ And dev",$AD:$AD, "&lt;&gt;IntegratorValidationComment"))</f>
        <v/>
      </c>
      <c r="AA790" s="7" t="str">
        <f>IF(ISBLANK(patch[[#This Row],[project]]), "",COUNTIFS($A:$A,patch[[#This Row],[number]],$S:$S, "FL And dev",$AD:$AD, "&lt;&gt;IntegratorValidationComment"))</f>
        <v/>
      </c>
      <c r="AB790" s="7" t="str">
        <f>IF(ISBLANK(patch[[#This Row],[project]]), "",COUNTIFS($A:$A,patch[[#This Row],[number]],$S:$S, "SH And dev",$AD:$AD, "&lt;&gt;IntegratorValidationComment"))</f>
        <v/>
      </c>
      <c r="AC790" s="7" t="str">
        <f>IF(OR(ISNUMBER(FIND("Review-1", patch[[#This Row],[comments]])), ISNUMBER(FIND("Approver-1", patch[[#This Row],[comments]]))), "Review-1", "")</f>
        <v/>
      </c>
      <c r="AD7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90" s="7">
        <f>IF(ISBLANK(patch[[#This Row],[number]]),AE789,patch[[#This Row],[ifCommon]])</f>
        <v>0</v>
      </c>
    </row>
    <row r="791" spans="1:31">
      <c r="A791" s="151">
        <v>146679</v>
      </c>
      <c r="B791" s="151"/>
      <c r="C791" s="151"/>
      <c r="D791" s="151"/>
      <c r="E791" s="151"/>
      <c r="F791" s="151"/>
      <c r="G791" s="151"/>
      <c r="H791" s="151"/>
      <c r="I791" s="151"/>
      <c r="J791" s="152">
        <v>42635.711226851847</v>
      </c>
      <c r="K791" s="151"/>
      <c r="L791" s="151" t="s">
        <v>61</v>
      </c>
      <c r="M791" s="152">
        <v>42634.7028125</v>
      </c>
      <c r="N791" s="151" t="s">
        <v>1829</v>
      </c>
      <c r="O791" s="151"/>
      <c r="P791" s="151"/>
      <c r="Q791" s="7" t="str">
        <f>IF(ISBLANK(patch[[#This Row],[OwnerEmail]]),Q790,patch[[#This Row],[OwnerEmail]])</f>
        <v>john.mathew@intel.com</v>
      </c>
      <c r="R791" s="7" t="str">
        <f>_xlfn.IFNA(VLOOKUP(patch[[#This Row],[tmp-owner.email]],OrgTree!$A:$K, 11, 0), "not ICG SWFW")</f>
        <v>FL And dev</v>
      </c>
      <c r="S791" s="7" t="str">
        <f>IF(patch[[#This Row],[reviewer]]=patch[[#This Row],[tmp-owner.email]], "author", _xlfn.IFNA(VLOOKUP(patch[[#This Row],[reviewer]],OrgTree!$A:$K, 11, 0), "not ICG SWFW"))</f>
        <v>author</v>
      </c>
      <c r="T791" s="7" t="str">
        <f>IF(ISBLANK(patch[[#This Row],[mergeDate]]), "", MID(YEAR(patch[[#This Row],[mergeDate]]), 3,2)&amp;"'ww"&amp;WEEKNUM(patch[[#This Row],[mergeDate]]))</f>
        <v>16'ww39</v>
      </c>
      <c r="U791" s="7" t="str">
        <f>IF(ISBLANK(patch[[#This Row],[mergeDate]]), U790, MID(YEAR(patch[[#This Row],[mergeDate]]), 3,2)&amp;"'m"&amp;MONTH(patch[[#This Row],[mergeDate]]))</f>
        <v>16'm9</v>
      </c>
      <c r="V791" s="7" t="str">
        <f>IF(ISBLANK(patch[[#This Row],[project]]), "",SUM(patch[[#This Row],[BJ -1 num]:[SH -1 num]]))</f>
        <v/>
      </c>
      <c r="W791" s="7" t="str">
        <f>IF(ISBLANK(patch[[#This Row],[project]]), "",COUNTIFS($A:$A,patch[[#This Row],[number]],$S:$S, "BJ And dev",$AC:$AC, "Review-1"))</f>
        <v/>
      </c>
      <c r="X791" s="7" t="str">
        <f>IF(ISBLANK(patch[[#This Row],[project]]), "",COUNTIFS($A:$A,patch[[#This Row],[number]],$S:$S, "FL And dev",$AC:$AC, "Review-1"))</f>
        <v/>
      </c>
      <c r="Y791" s="7" t="str">
        <f>IF(ISBLANK(patch[[#This Row],[project]]), "",COUNTIFS($A:$A,patch[[#This Row],[number]],$S:$S, "SH And dev",$AC:$AC, "Review-1"))</f>
        <v/>
      </c>
      <c r="Z791" s="7" t="str">
        <f>IF(ISBLANK(patch[[#This Row],[project]]), "",COUNTIFS($A:$A,patch[[#This Row],[number]],$S:$S, "BJ And dev",$AD:$AD, "&lt;&gt;IntegratorValidationComment"))</f>
        <v/>
      </c>
      <c r="AA791" s="7" t="str">
        <f>IF(ISBLANK(patch[[#This Row],[project]]), "",COUNTIFS($A:$A,patch[[#This Row],[number]],$S:$S, "FL And dev",$AD:$AD, "&lt;&gt;IntegratorValidationComment"))</f>
        <v/>
      </c>
      <c r="AB791" s="7" t="str">
        <f>IF(ISBLANK(patch[[#This Row],[project]]), "",COUNTIFS($A:$A,patch[[#This Row],[number]],$S:$S, "SH And dev",$AD:$AD, "&lt;&gt;IntegratorValidationComment"))</f>
        <v/>
      </c>
      <c r="AC791" s="7" t="str">
        <f>IF(OR(ISNUMBER(FIND("Review-1", patch[[#This Row],[comments]])), ISNUMBER(FIND("Approver-1", patch[[#This Row],[comments]]))), "Review-1", "")</f>
        <v/>
      </c>
      <c r="AD7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91" s="7">
        <f>IF(ISBLANK(patch[[#This Row],[number]]),AE790,patch[[#This Row],[ifCommon]])</f>
        <v>0</v>
      </c>
    </row>
    <row r="792" spans="1:31">
      <c r="A792" s="151">
        <v>146679</v>
      </c>
      <c r="B792" s="151"/>
      <c r="C792" s="151"/>
      <c r="D792" s="151"/>
      <c r="E792" s="151"/>
      <c r="F792" s="151"/>
      <c r="G792" s="151"/>
      <c r="H792" s="151"/>
      <c r="I792" s="151"/>
      <c r="J792" s="152">
        <v>42635.711226851847</v>
      </c>
      <c r="K792" s="151"/>
      <c r="L792" s="151" t="s">
        <v>61</v>
      </c>
      <c r="M792" s="152">
        <v>42634.7028125</v>
      </c>
      <c r="N792" s="151" t="s">
        <v>2450</v>
      </c>
      <c r="O792" s="151"/>
      <c r="P792" s="151"/>
      <c r="Q792" s="7" t="str">
        <f>IF(ISBLANK(patch[[#This Row],[OwnerEmail]]),Q791,patch[[#This Row],[OwnerEmail]])</f>
        <v>john.mathew@intel.com</v>
      </c>
      <c r="R792" s="7" t="str">
        <f>_xlfn.IFNA(VLOOKUP(patch[[#This Row],[tmp-owner.email]],OrgTree!$A:$K, 11, 0), "not ICG SWFW")</f>
        <v>FL And dev</v>
      </c>
      <c r="S792" s="7" t="str">
        <f>IF(patch[[#This Row],[reviewer]]=patch[[#This Row],[tmp-owner.email]], "author", _xlfn.IFNA(VLOOKUP(patch[[#This Row],[reviewer]],OrgTree!$A:$K, 11, 0), "not ICG SWFW"))</f>
        <v>author</v>
      </c>
      <c r="T792" s="7" t="str">
        <f>IF(ISBLANK(patch[[#This Row],[mergeDate]]), "", MID(YEAR(patch[[#This Row],[mergeDate]]), 3,2)&amp;"'ww"&amp;WEEKNUM(patch[[#This Row],[mergeDate]]))</f>
        <v>16'ww39</v>
      </c>
      <c r="U792" s="7" t="str">
        <f>IF(ISBLANK(patch[[#This Row],[mergeDate]]), U791, MID(YEAR(patch[[#This Row],[mergeDate]]), 3,2)&amp;"'m"&amp;MONTH(patch[[#This Row],[mergeDate]]))</f>
        <v>16'm9</v>
      </c>
      <c r="V792" s="7" t="str">
        <f>IF(ISBLANK(patch[[#This Row],[project]]), "",SUM(patch[[#This Row],[BJ -1 num]:[SH -1 num]]))</f>
        <v/>
      </c>
      <c r="W792" s="7" t="str">
        <f>IF(ISBLANK(patch[[#This Row],[project]]), "",COUNTIFS($A:$A,patch[[#This Row],[number]],$S:$S, "BJ And dev",$AC:$AC, "Review-1"))</f>
        <v/>
      </c>
      <c r="X792" s="7" t="str">
        <f>IF(ISBLANK(patch[[#This Row],[project]]), "",COUNTIFS($A:$A,patch[[#This Row],[number]],$S:$S, "FL And dev",$AC:$AC, "Review-1"))</f>
        <v/>
      </c>
      <c r="Y792" s="7" t="str">
        <f>IF(ISBLANK(patch[[#This Row],[project]]), "",COUNTIFS($A:$A,patch[[#This Row],[number]],$S:$S, "SH And dev",$AC:$AC, "Review-1"))</f>
        <v/>
      </c>
      <c r="Z792" s="7" t="str">
        <f>IF(ISBLANK(patch[[#This Row],[project]]), "",COUNTIFS($A:$A,patch[[#This Row],[number]],$S:$S, "BJ And dev",$AD:$AD, "&lt;&gt;IntegratorValidationComment"))</f>
        <v/>
      </c>
      <c r="AA792" s="7" t="str">
        <f>IF(ISBLANK(patch[[#This Row],[project]]), "",COUNTIFS($A:$A,patch[[#This Row],[number]],$S:$S, "FL And dev",$AD:$AD, "&lt;&gt;IntegratorValidationComment"))</f>
        <v/>
      </c>
      <c r="AB792" s="7" t="str">
        <f>IF(ISBLANK(patch[[#This Row],[project]]), "",COUNTIFS($A:$A,patch[[#This Row],[number]],$S:$S, "SH And dev",$AD:$AD, "&lt;&gt;IntegratorValidationComment"))</f>
        <v/>
      </c>
      <c r="AC792" s="7" t="str">
        <f>IF(OR(ISNUMBER(FIND("Review-1", patch[[#This Row],[comments]])), ISNUMBER(FIND("Approver-1", patch[[#This Row],[comments]]))), "Review-1", "")</f>
        <v/>
      </c>
      <c r="AD7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92" s="7">
        <f>IF(ISBLANK(patch[[#This Row],[number]]),AE791,patch[[#This Row],[ifCommon]])</f>
        <v>0</v>
      </c>
    </row>
    <row r="793" spans="1:31">
      <c r="A793" s="151">
        <v>146679</v>
      </c>
      <c r="B793" s="151"/>
      <c r="C793" s="151"/>
      <c r="D793" s="151"/>
      <c r="E793" s="151"/>
      <c r="F793" s="151"/>
      <c r="G793" s="151"/>
      <c r="H793" s="151"/>
      <c r="I793" s="151"/>
      <c r="J793" s="152">
        <v>42635.711226851847</v>
      </c>
      <c r="K793" s="151"/>
      <c r="L793" s="151" t="s">
        <v>61</v>
      </c>
      <c r="M793" s="152">
        <v>42634.703043981477</v>
      </c>
      <c r="N793" s="151" t="s">
        <v>48</v>
      </c>
      <c r="O793" s="151"/>
      <c r="P793" s="151"/>
      <c r="Q793" s="7" t="str">
        <f>IF(ISBLANK(patch[[#This Row],[OwnerEmail]]),Q792,patch[[#This Row],[OwnerEmail]])</f>
        <v>john.mathew@intel.com</v>
      </c>
      <c r="R793" s="7" t="str">
        <f>_xlfn.IFNA(VLOOKUP(patch[[#This Row],[tmp-owner.email]],OrgTree!$A:$K, 11, 0), "not ICG SWFW")</f>
        <v>FL And dev</v>
      </c>
      <c r="S793" s="7" t="str">
        <f>IF(patch[[#This Row],[reviewer]]=patch[[#This Row],[tmp-owner.email]], "author", _xlfn.IFNA(VLOOKUP(patch[[#This Row],[reviewer]],OrgTree!$A:$K, 11, 0), "not ICG SWFW"))</f>
        <v>author</v>
      </c>
      <c r="T793" s="7" t="str">
        <f>IF(ISBLANK(patch[[#This Row],[mergeDate]]), "", MID(YEAR(patch[[#This Row],[mergeDate]]), 3,2)&amp;"'ww"&amp;WEEKNUM(patch[[#This Row],[mergeDate]]))</f>
        <v>16'ww39</v>
      </c>
      <c r="U793" s="7" t="str">
        <f>IF(ISBLANK(patch[[#This Row],[mergeDate]]), U792, MID(YEAR(patch[[#This Row],[mergeDate]]), 3,2)&amp;"'m"&amp;MONTH(patch[[#This Row],[mergeDate]]))</f>
        <v>16'm9</v>
      </c>
      <c r="V793" s="7" t="str">
        <f>IF(ISBLANK(patch[[#This Row],[project]]), "",SUM(patch[[#This Row],[BJ -1 num]:[SH -1 num]]))</f>
        <v/>
      </c>
      <c r="W793" s="7" t="str">
        <f>IF(ISBLANK(patch[[#This Row],[project]]), "",COUNTIFS($A:$A,patch[[#This Row],[number]],$S:$S, "BJ And dev",$AC:$AC, "Review-1"))</f>
        <v/>
      </c>
      <c r="X793" s="7" t="str">
        <f>IF(ISBLANK(patch[[#This Row],[project]]), "",COUNTIFS($A:$A,patch[[#This Row],[number]],$S:$S, "FL And dev",$AC:$AC, "Review-1"))</f>
        <v/>
      </c>
      <c r="Y793" s="7" t="str">
        <f>IF(ISBLANK(patch[[#This Row],[project]]), "",COUNTIFS($A:$A,patch[[#This Row],[number]],$S:$S, "SH And dev",$AC:$AC, "Review-1"))</f>
        <v/>
      </c>
      <c r="Z793" s="7" t="str">
        <f>IF(ISBLANK(patch[[#This Row],[project]]), "",COUNTIFS($A:$A,patch[[#This Row],[number]],$S:$S, "BJ And dev",$AD:$AD, "&lt;&gt;IntegratorValidationComment"))</f>
        <v/>
      </c>
      <c r="AA793" s="7" t="str">
        <f>IF(ISBLANK(patch[[#This Row],[project]]), "",COUNTIFS($A:$A,patch[[#This Row],[number]],$S:$S, "FL And dev",$AD:$AD, "&lt;&gt;IntegratorValidationComment"))</f>
        <v/>
      </c>
      <c r="AB793" s="7" t="str">
        <f>IF(ISBLANK(patch[[#This Row],[project]]), "",COUNTIFS($A:$A,patch[[#This Row],[number]],$S:$S, "SH And dev",$AD:$AD, "&lt;&gt;IntegratorValidationComment"))</f>
        <v/>
      </c>
      <c r="AC793" s="7" t="str">
        <f>IF(OR(ISNUMBER(FIND("Review-1", patch[[#This Row],[comments]])), ISNUMBER(FIND("Approver-1", patch[[#This Row],[comments]]))), "Review-1", "")</f>
        <v/>
      </c>
      <c r="AD7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93" s="7">
        <f>IF(ISBLANK(patch[[#This Row],[number]]),AE792,patch[[#This Row],[ifCommon]])</f>
        <v>0</v>
      </c>
    </row>
    <row r="794" spans="1:31">
      <c r="A794" s="151">
        <v>146679</v>
      </c>
      <c r="B794" s="151"/>
      <c r="C794" s="151"/>
      <c r="D794" s="151"/>
      <c r="E794" s="151"/>
      <c r="F794" s="151"/>
      <c r="G794" s="151"/>
      <c r="H794" s="151"/>
      <c r="I794" s="151"/>
      <c r="J794" s="152">
        <v>42635.711226851847</v>
      </c>
      <c r="K794" s="151"/>
      <c r="L794" s="151" t="s">
        <v>59</v>
      </c>
      <c r="M794" s="152">
        <v>42634.710023148153</v>
      </c>
      <c r="N794" s="151" t="s">
        <v>3003</v>
      </c>
      <c r="O794" s="151"/>
      <c r="P794" s="151"/>
      <c r="Q794" s="7" t="str">
        <f>IF(ISBLANK(patch[[#This Row],[OwnerEmail]]),Q793,patch[[#This Row],[OwnerEmail]])</f>
        <v>john.mathew@intel.com</v>
      </c>
      <c r="R794" s="7" t="str">
        <f>_xlfn.IFNA(VLOOKUP(patch[[#This Row],[tmp-owner.email]],OrgTree!$A:$K, 11, 0), "not ICG SWFW")</f>
        <v>FL And dev</v>
      </c>
      <c r="S794" s="7" t="str">
        <f>IF(patch[[#This Row],[reviewer]]=patch[[#This Row],[tmp-owner.email]], "author", _xlfn.IFNA(VLOOKUP(patch[[#This Row],[reviewer]],OrgTree!$A:$K, 11, 0), "not ICG SWFW"))</f>
        <v>BJ And dev</v>
      </c>
      <c r="T794" s="7" t="str">
        <f>IF(ISBLANK(patch[[#This Row],[mergeDate]]), "", MID(YEAR(patch[[#This Row],[mergeDate]]), 3,2)&amp;"'ww"&amp;WEEKNUM(patch[[#This Row],[mergeDate]]))</f>
        <v>16'ww39</v>
      </c>
      <c r="U794" s="7" t="str">
        <f>IF(ISBLANK(patch[[#This Row],[mergeDate]]), U793, MID(YEAR(patch[[#This Row],[mergeDate]]), 3,2)&amp;"'m"&amp;MONTH(patch[[#This Row],[mergeDate]]))</f>
        <v>16'm9</v>
      </c>
      <c r="V794" s="7" t="str">
        <f>IF(ISBLANK(patch[[#This Row],[project]]), "",SUM(patch[[#This Row],[BJ -1 num]:[SH -1 num]]))</f>
        <v/>
      </c>
      <c r="W794" s="7" t="str">
        <f>IF(ISBLANK(patch[[#This Row],[project]]), "",COUNTIFS($A:$A,patch[[#This Row],[number]],$S:$S, "BJ And dev",$AC:$AC, "Review-1"))</f>
        <v/>
      </c>
      <c r="X794" s="7" t="str">
        <f>IF(ISBLANK(patch[[#This Row],[project]]), "",COUNTIFS($A:$A,patch[[#This Row],[number]],$S:$S, "FL And dev",$AC:$AC, "Review-1"))</f>
        <v/>
      </c>
      <c r="Y794" s="7" t="str">
        <f>IF(ISBLANK(patch[[#This Row],[project]]), "",COUNTIFS($A:$A,patch[[#This Row],[number]],$S:$S, "SH And dev",$AC:$AC, "Review-1"))</f>
        <v/>
      </c>
      <c r="Z794" s="7" t="str">
        <f>IF(ISBLANK(patch[[#This Row],[project]]), "",COUNTIFS($A:$A,patch[[#This Row],[number]],$S:$S, "BJ And dev",$AD:$AD, "&lt;&gt;IntegratorValidationComment"))</f>
        <v/>
      </c>
      <c r="AA794" s="7" t="str">
        <f>IF(ISBLANK(patch[[#This Row],[project]]), "",COUNTIFS($A:$A,patch[[#This Row],[number]],$S:$S, "FL And dev",$AD:$AD, "&lt;&gt;IntegratorValidationComment"))</f>
        <v/>
      </c>
      <c r="AB794" s="7" t="str">
        <f>IF(ISBLANK(patch[[#This Row],[project]]), "",COUNTIFS($A:$A,patch[[#This Row],[number]],$S:$S, "SH And dev",$AD:$AD, "&lt;&gt;IntegratorValidationComment"))</f>
        <v/>
      </c>
      <c r="AC794" s="7" t="str">
        <f>IF(OR(ISNUMBER(FIND("Review-1", patch[[#This Row],[comments]])), ISNUMBER(FIND("Approver-1", patch[[#This Row],[comments]]))), "Review-1", "")</f>
        <v/>
      </c>
      <c r="AD7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94" s="7">
        <f>IF(ISBLANK(patch[[#This Row],[number]]),AE793,patch[[#This Row],[ifCommon]])</f>
        <v>0</v>
      </c>
    </row>
    <row r="795" spans="1:31">
      <c r="A795" s="151">
        <v>146679</v>
      </c>
      <c r="B795" s="151"/>
      <c r="C795" s="151"/>
      <c r="D795" s="151"/>
      <c r="E795" s="151"/>
      <c r="F795" s="151"/>
      <c r="G795" s="151"/>
      <c r="H795" s="151"/>
      <c r="I795" s="151"/>
      <c r="J795" s="152">
        <v>42635.711226851847</v>
      </c>
      <c r="K795" s="151"/>
      <c r="L795" s="151" t="s">
        <v>59</v>
      </c>
      <c r="M795" s="152">
        <v>42634.712407407409</v>
      </c>
      <c r="N795" s="151" t="s">
        <v>3004</v>
      </c>
      <c r="O795" s="151"/>
      <c r="P795" s="151"/>
      <c r="Q795" s="7" t="str">
        <f>IF(ISBLANK(patch[[#This Row],[OwnerEmail]]),Q794,patch[[#This Row],[OwnerEmail]])</f>
        <v>john.mathew@intel.com</v>
      </c>
      <c r="R795" s="7" t="str">
        <f>_xlfn.IFNA(VLOOKUP(patch[[#This Row],[tmp-owner.email]],OrgTree!$A:$K, 11, 0), "not ICG SWFW")</f>
        <v>FL And dev</v>
      </c>
      <c r="S795" s="7" t="str">
        <f>IF(patch[[#This Row],[reviewer]]=patch[[#This Row],[tmp-owner.email]], "author", _xlfn.IFNA(VLOOKUP(patch[[#This Row],[reviewer]],OrgTree!$A:$K, 11, 0), "not ICG SWFW"))</f>
        <v>BJ And dev</v>
      </c>
      <c r="T795" s="7" t="str">
        <f>IF(ISBLANK(patch[[#This Row],[mergeDate]]), "", MID(YEAR(patch[[#This Row],[mergeDate]]), 3,2)&amp;"'ww"&amp;WEEKNUM(patch[[#This Row],[mergeDate]]))</f>
        <v>16'ww39</v>
      </c>
      <c r="U795" s="7" t="str">
        <f>IF(ISBLANK(patch[[#This Row],[mergeDate]]), U794, MID(YEAR(patch[[#This Row],[mergeDate]]), 3,2)&amp;"'m"&amp;MONTH(patch[[#This Row],[mergeDate]]))</f>
        <v>16'm9</v>
      </c>
      <c r="V795" s="7" t="str">
        <f>IF(ISBLANK(patch[[#This Row],[project]]), "",SUM(patch[[#This Row],[BJ -1 num]:[SH -1 num]]))</f>
        <v/>
      </c>
      <c r="W795" s="7" t="str">
        <f>IF(ISBLANK(patch[[#This Row],[project]]), "",COUNTIFS($A:$A,patch[[#This Row],[number]],$S:$S, "BJ And dev",$AC:$AC, "Review-1"))</f>
        <v/>
      </c>
      <c r="X795" s="7" t="str">
        <f>IF(ISBLANK(patch[[#This Row],[project]]), "",COUNTIFS($A:$A,patch[[#This Row],[number]],$S:$S, "FL And dev",$AC:$AC, "Review-1"))</f>
        <v/>
      </c>
      <c r="Y795" s="7" t="str">
        <f>IF(ISBLANK(patch[[#This Row],[project]]), "",COUNTIFS($A:$A,patch[[#This Row],[number]],$S:$S, "SH And dev",$AC:$AC, "Review-1"))</f>
        <v/>
      </c>
      <c r="Z795" s="7" t="str">
        <f>IF(ISBLANK(patch[[#This Row],[project]]), "",COUNTIFS($A:$A,patch[[#This Row],[number]],$S:$S, "BJ And dev",$AD:$AD, "&lt;&gt;IntegratorValidationComment"))</f>
        <v/>
      </c>
      <c r="AA795" s="7" t="str">
        <f>IF(ISBLANK(patch[[#This Row],[project]]), "",COUNTIFS($A:$A,patch[[#This Row],[number]],$S:$S, "FL And dev",$AD:$AD, "&lt;&gt;IntegratorValidationComment"))</f>
        <v/>
      </c>
      <c r="AB795" s="7" t="str">
        <f>IF(ISBLANK(patch[[#This Row],[project]]), "",COUNTIFS($A:$A,patch[[#This Row],[number]],$S:$S, "SH And dev",$AD:$AD, "&lt;&gt;IntegratorValidationComment"))</f>
        <v/>
      </c>
      <c r="AC795" s="7" t="str">
        <f>IF(OR(ISNUMBER(FIND("Review-1", patch[[#This Row],[comments]])), ISNUMBER(FIND("Approver-1", patch[[#This Row],[comments]]))), "Review-1", "")</f>
        <v/>
      </c>
      <c r="AD7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95" s="7">
        <f>IF(ISBLANK(patch[[#This Row],[number]]),AE794,patch[[#This Row],[ifCommon]])</f>
        <v>0</v>
      </c>
    </row>
    <row r="796" spans="1:31">
      <c r="A796" s="151">
        <v>146679</v>
      </c>
      <c r="B796" s="151"/>
      <c r="C796" s="151"/>
      <c r="D796" s="151"/>
      <c r="E796" s="151"/>
      <c r="F796" s="151"/>
      <c r="G796" s="151"/>
      <c r="H796" s="151"/>
      <c r="I796" s="151"/>
      <c r="J796" s="152">
        <v>42635.711226851847</v>
      </c>
      <c r="K796" s="151"/>
      <c r="L796" s="151" t="s">
        <v>32</v>
      </c>
      <c r="M796" s="152">
        <v>42634.716736111113</v>
      </c>
      <c r="N796" s="151" t="s">
        <v>48</v>
      </c>
      <c r="O796" s="151"/>
      <c r="P796" s="151"/>
      <c r="Q796" s="7" t="str">
        <f>IF(ISBLANK(patch[[#This Row],[OwnerEmail]]),Q795,patch[[#This Row],[OwnerEmail]])</f>
        <v>john.mathew@intel.com</v>
      </c>
      <c r="R796" s="7" t="str">
        <f>_xlfn.IFNA(VLOOKUP(patch[[#This Row],[tmp-owner.email]],OrgTree!$A:$K, 11, 0), "not ICG SWFW")</f>
        <v>FL And dev</v>
      </c>
      <c r="S796" s="7" t="str">
        <f>IF(patch[[#This Row],[reviewer]]=patch[[#This Row],[tmp-owner.email]], "author", _xlfn.IFNA(VLOOKUP(patch[[#This Row],[reviewer]],OrgTree!$A:$K, 11, 0), "not ICG SWFW"))</f>
        <v>BJ And dev</v>
      </c>
      <c r="T796" s="7" t="str">
        <f>IF(ISBLANK(patch[[#This Row],[mergeDate]]), "", MID(YEAR(patch[[#This Row],[mergeDate]]), 3,2)&amp;"'ww"&amp;WEEKNUM(patch[[#This Row],[mergeDate]]))</f>
        <v>16'ww39</v>
      </c>
      <c r="U796" s="7" t="str">
        <f>IF(ISBLANK(patch[[#This Row],[mergeDate]]), U795, MID(YEAR(patch[[#This Row],[mergeDate]]), 3,2)&amp;"'m"&amp;MONTH(patch[[#This Row],[mergeDate]]))</f>
        <v>16'm9</v>
      </c>
      <c r="V796" s="7" t="str">
        <f>IF(ISBLANK(patch[[#This Row],[project]]), "",SUM(patch[[#This Row],[BJ -1 num]:[SH -1 num]]))</f>
        <v/>
      </c>
      <c r="W796" s="7" t="str">
        <f>IF(ISBLANK(patch[[#This Row],[project]]), "",COUNTIFS($A:$A,patch[[#This Row],[number]],$S:$S, "BJ And dev",$AC:$AC, "Review-1"))</f>
        <v/>
      </c>
      <c r="X796" s="7" t="str">
        <f>IF(ISBLANK(patch[[#This Row],[project]]), "",COUNTIFS($A:$A,patch[[#This Row],[number]],$S:$S, "FL And dev",$AC:$AC, "Review-1"))</f>
        <v/>
      </c>
      <c r="Y796" s="7" t="str">
        <f>IF(ISBLANK(patch[[#This Row],[project]]), "",COUNTIFS($A:$A,patch[[#This Row],[number]],$S:$S, "SH And dev",$AC:$AC, "Review-1"))</f>
        <v/>
      </c>
      <c r="Z796" s="7" t="str">
        <f>IF(ISBLANK(patch[[#This Row],[project]]), "",COUNTIFS($A:$A,patch[[#This Row],[number]],$S:$S, "BJ And dev",$AD:$AD, "&lt;&gt;IntegratorValidationComment"))</f>
        <v/>
      </c>
      <c r="AA796" s="7" t="str">
        <f>IF(ISBLANK(patch[[#This Row],[project]]), "",COUNTIFS($A:$A,patch[[#This Row],[number]],$S:$S, "FL And dev",$AD:$AD, "&lt;&gt;IntegratorValidationComment"))</f>
        <v/>
      </c>
      <c r="AB796" s="7" t="str">
        <f>IF(ISBLANK(patch[[#This Row],[project]]), "",COUNTIFS($A:$A,patch[[#This Row],[number]],$S:$S, "SH And dev",$AD:$AD, "&lt;&gt;IntegratorValidationComment"))</f>
        <v/>
      </c>
      <c r="AC796" s="7" t="str">
        <f>IF(OR(ISNUMBER(FIND("Review-1", patch[[#This Row],[comments]])), ISNUMBER(FIND("Approver-1", patch[[#This Row],[comments]]))), "Review-1", "")</f>
        <v/>
      </c>
      <c r="AD7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96" s="7">
        <f>IF(ISBLANK(patch[[#This Row],[number]]),AE795,patch[[#This Row],[ifCommon]])</f>
        <v>0</v>
      </c>
    </row>
    <row r="797" spans="1:31">
      <c r="A797" s="151">
        <v>146679</v>
      </c>
      <c r="B797" s="151"/>
      <c r="C797" s="151"/>
      <c r="D797" s="151"/>
      <c r="E797" s="151"/>
      <c r="F797" s="151"/>
      <c r="G797" s="151"/>
      <c r="H797" s="151"/>
      <c r="I797" s="151"/>
      <c r="J797" s="152">
        <v>42635.711226851847</v>
      </c>
      <c r="K797" s="151"/>
      <c r="L797" s="151" t="s">
        <v>59</v>
      </c>
      <c r="M797" s="152">
        <v>42634.722766203697</v>
      </c>
      <c r="N797" s="151" t="s">
        <v>3005</v>
      </c>
      <c r="O797" s="151"/>
      <c r="P797" s="151"/>
      <c r="Q797" s="7" t="str">
        <f>IF(ISBLANK(patch[[#This Row],[OwnerEmail]]),Q796,patch[[#This Row],[OwnerEmail]])</f>
        <v>john.mathew@intel.com</v>
      </c>
      <c r="R797" s="7" t="str">
        <f>_xlfn.IFNA(VLOOKUP(patch[[#This Row],[tmp-owner.email]],OrgTree!$A:$K, 11, 0), "not ICG SWFW")</f>
        <v>FL And dev</v>
      </c>
      <c r="S797" s="7" t="str">
        <f>IF(patch[[#This Row],[reviewer]]=patch[[#This Row],[tmp-owner.email]], "author", _xlfn.IFNA(VLOOKUP(patch[[#This Row],[reviewer]],OrgTree!$A:$K, 11, 0), "not ICG SWFW"))</f>
        <v>BJ And dev</v>
      </c>
      <c r="T797" s="7" t="str">
        <f>IF(ISBLANK(patch[[#This Row],[mergeDate]]), "", MID(YEAR(patch[[#This Row],[mergeDate]]), 3,2)&amp;"'ww"&amp;WEEKNUM(patch[[#This Row],[mergeDate]]))</f>
        <v>16'ww39</v>
      </c>
      <c r="U797" s="7" t="str">
        <f>IF(ISBLANK(patch[[#This Row],[mergeDate]]), U796, MID(YEAR(patch[[#This Row],[mergeDate]]), 3,2)&amp;"'m"&amp;MONTH(patch[[#This Row],[mergeDate]]))</f>
        <v>16'm9</v>
      </c>
      <c r="V797" s="7" t="str">
        <f>IF(ISBLANK(patch[[#This Row],[project]]), "",SUM(patch[[#This Row],[BJ -1 num]:[SH -1 num]]))</f>
        <v/>
      </c>
      <c r="W797" s="7" t="str">
        <f>IF(ISBLANK(patch[[#This Row],[project]]), "",COUNTIFS($A:$A,patch[[#This Row],[number]],$S:$S, "BJ And dev",$AC:$AC, "Review-1"))</f>
        <v/>
      </c>
      <c r="X797" s="7" t="str">
        <f>IF(ISBLANK(patch[[#This Row],[project]]), "",COUNTIFS($A:$A,patch[[#This Row],[number]],$S:$S, "FL And dev",$AC:$AC, "Review-1"))</f>
        <v/>
      </c>
      <c r="Y797" s="7" t="str">
        <f>IF(ISBLANK(patch[[#This Row],[project]]), "",COUNTIFS($A:$A,patch[[#This Row],[number]],$S:$S, "SH And dev",$AC:$AC, "Review-1"))</f>
        <v/>
      </c>
      <c r="Z797" s="7" t="str">
        <f>IF(ISBLANK(patch[[#This Row],[project]]), "",COUNTIFS($A:$A,patch[[#This Row],[number]],$S:$S, "BJ And dev",$AD:$AD, "&lt;&gt;IntegratorValidationComment"))</f>
        <v/>
      </c>
      <c r="AA797" s="7" t="str">
        <f>IF(ISBLANK(patch[[#This Row],[project]]), "",COUNTIFS($A:$A,patch[[#This Row],[number]],$S:$S, "FL And dev",$AD:$AD, "&lt;&gt;IntegratorValidationComment"))</f>
        <v/>
      </c>
      <c r="AB797" s="7" t="str">
        <f>IF(ISBLANK(patch[[#This Row],[project]]), "",COUNTIFS($A:$A,patch[[#This Row],[number]],$S:$S, "SH And dev",$AD:$AD, "&lt;&gt;IntegratorValidationComment"))</f>
        <v/>
      </c>
      <c r="AC797" s="7" t="str">
        <f>IF(OR(ISNUMBER(FIND("Review-1", patch[[#This Row],[comments]])), ISNUMBER(FIND("Approver-1", patch[[#This Row],[comments]]))), "Review-1", "")</f>
        <v/>
      </c>
      <c r="AD7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97" s="7">
        <f>IF(ISBLANK(patch[[#This Row],[number]]),AE796,patch[[#This Row],[ifCommon]])</f>
        <v>0</v>
      </c>
    </row>
    <row r="798" spans="1:31">
      <c r="A798" s="151">
        <v>146679</v>
      </c>
      <c r="B798" s="151"/>
      <c r="C798" s="151"/>
      <c r="D798" s="151"/>
      <c r="E798" s="151"/>
      <c r="F798" s="151"/>
      <c r="G798" s="151"/>
      <c r="H798" s="151"/>
      <c r="I798" s="151"/>
      <c r="J798" s="152">
        <v>42635.711226851847</v>
      </c>
      <c r="K798" s="151"/>
      <c r="L798" s="151" t="s">
        <v>59</v>
      </c>
      <c r="M798" s="152">
        <v>42634.722951388889</v>
      </c>
      <c r="N798" s="151" t="s">
        <v>48</v>
      </c>
      <c r="O798" s="151"/>
      <c r="P798" s="151"/>
      <c r="Q798" s="7" t="str">
        <f>IF(ISBLANK(patch[[#This Row],[OwnerEmail]]),Q797,patch[[#This Row],[OwnerEmail]])</f>
        <v>john.mathew@intel.com</v>
      </c>
      <c r="R798" s="7" t="str">
        <f>_xlfn.IFNA(VLOOKUP(patch[[#This Row],[tmp-owner.email]],OrgTree!$A:$K, 11, 0), "not ICG SWFW")</f>
        <v>FL And dev</v>
      </c>
      <c r="S798" s="7" t="str">
        <f>IF(patch[[#This Row],[reviewer]]=patch[[#This Row],[tmp-owner.email]], "author", _xlfn.IFNA(VLOOKUP(patch[[#This Row],[reviewer]],OrgTree!$A:$K, 11, 0), "not ICG SWFW"))</f>
        <v>BJ And dev</v>
      </c>
      <c r="T798" s="7" t="str">
        <f>IF(ISBLANK(patch[[#This Row],[mergeDate]]), "", MID(YEAR(patch[[#This Row],[mergeDate]]), 3,2)&amp;"'ww"&amp;WEEKNUM(patch[[#This Row],[mergeDate]]))</f>
        <v>16'ww39</v>
      </c>
      <c r="U798" s="7" t="str">
        <f>IF(ISBLANK(patch[[#This Row],[mergeDate]]), U797, MID(YEAR(patch[[#This Row],[mergeDate]]), 3,2)&amp;"'m"&amp;MONTH(patch[[#This Row],[mergeDate]]))</f>
        <v>16'm9</v>
      </c>
      <c r="V798" s="7" t="str">
        <f>IF(ISBLANK(patch[[#This Row],[project]]), "",SUM(patch[[#This Row],[BJ -1 num]:[SH -1 num]]))</f>
        <v/>
      </c>
      <c r="W798" s="7" t="str">
        <f>IF(ISBLANK(patch[[#This Row],[project]]), "",COUNTIFS($A:$A,patch[[#This Row],[number]],$S:$S, "BJ And dev",$AC:$AC, "Review-1"))</f>
        <v/>
      </c>
      <c r="X798" s="7" t="str">
        <f>IF(ISBLANK(patch[[#This Row],[project]]), "",COUNTIFS($A:$A,patch[[#This Row],[number]],$S:$S, "FL And dev",$AC:$AC, "Review-1"))</f>
        <v/>
      </c>
      <c r="Y798" s="7" t="str">
        <f>IF(ISBLANK(patch[[#This Row],[project]]), "",COUNTIFS($A:$A,patch[[#This Row],[number]],$S:$S, "SH And dev",$AC:$AC, "Review-1"))</f>
        <v/>
      </c>
      <c r="Z798" s="7" t="str">
        <f>IF(ISBLANK(patch[[#This Row],[project]]), "",COUNTIFS($A:$A,patch[[#This Row],[number]],$S:$S, "BJ And dev",$AD:$AD, "&lt;&gt;IntegratorValidationComment"))</f>
        <v/>
      </c>
      <c r="AA798" s="7" t="str">
        <f>IF(ISBLANK(patch[[#This Row],[project]]), "",COUNTIFS($A:$A,patch[[#This Row],[number]],$S:$S, "FL And dev",$AD:$AD, "&lt;&gt;IntegratorValidationComment"))</f>
        <v/>
      </c>
      <c r="AB798" s="7" t="str">
        <f>IF(ISBLANK(patch[[#This Row],[project]]), "",COUNTIFS($A:$A,patch[[#This Row],[number]],$S:$S, "SH And dev",$AD:$AD, "&lt;&gt;IntegratorValidationComment"))</f>
        <v/>
      </c>
      <c r="AC798" s="7" t="str">
        <f>IF(OR(ISNUMBER(FIND("Review-1", patch[[#This Row],[comments]])), ISNUMBER(FIND("Approver-1", patch[[#This Row],[comments]]))), "Review-1", "")</f>
        <v/>
      </c>
      <c r="AD7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98" s="7">
        <f>IF(ISBLANK(patch[[#This Row],[number]]),AE797,patch[[#This Row],[ifCommon]])</f>
        <v>0</v>
      </c>
    </row>
    <row r="799" spans="1:31">
      <c r="A799" s="151">
        <v>146679</v>
      </c>
      <c r="B799" s="151"/>
      <c r="C799" s="151"/>
      <c r="D799" s="151"/>
      <c r="E799" s="151"/>
      <c r="F799" s="151"/>
      <c r="G799" s="151"/>
      <c r="H799" s="151"/>
      <c r="I799" s="151"/>
      <c r="J799" s="152">
        <v>42635.711226851847</v>
      </c>
      <c r="K799" s="151"/>
      <c r="L799" s="151" t="s">
        <v>32</v>
      </c>
      <c r="M799" s="152">
        <v>42634.723252314812</v>
      </c>
      <c r="N799" s="151" t="s">
        <v>2484</v>
      </c>
      <c r="O799" s="151"/>
      <c r="P799" s="151"/>
      <c r="Q799" s="7" t="str">
        <f>IF(ISBLANK(patch[[#This Row],[OwnerEmail]]),Q798,patch[[#This Row],[OwnerEmail]])</f>
        <v>john.mathew@intel.com</v>
      </c>
      <c r="R799" s="7" t="str">
        <f>_xlfn.IFNA(VLOOKUP(patch[[#This Row],[tmp-owner.email]],OrgTree!$A:$K, 11, 0), "not ICG SWFW")</f>
        <v>FL And dev</v>
      </c>
      <c r="S799" s="7" t="str">
        <f>IF(patch[[#This Row],[reviewer]]=patch[[#This Row],[tmp-owner.email]], "author", _xlfn.IFNA(VLOOKUP(patch[[#This Row],[reviewer]],OrgTree!$A:$K, 11, 0), "not ICG SWFW"))</f>
        <v>BJ And dev</v>
      </c>
      <c r="T799" s="7" t="str">
        <f>IF(ISBLANK(patch[[#This Row],[mergeDate]]), "", MID(YEAR(patch[[#This Row],[mergeDate]]), 3,2)&amp;"'ww"&amp;WEEKNUM(patch[[#This Row],[mergeDate]]))</f>
        <v>16'ww39</v>
      </c>
      <c r="U799" s="7" t="str">
        <f>IF(ISBLANK(patch[[#This Row],[mergeDate]]), U798, MID(YEAR(patch[[#This Row],[mergeDate]]), 3,2)&amp;"'m"&amp;MONTH(patch[[#This Row],[mergeDate]]))</f>
        <v>16'm9</v>
      </c>
      <c r="V799" s="7" t="str">
        <f>IF(ISBLANK(patch[[#This Row],[project]]), "",SUM(patch[[#This Row],[BJ -1 num]:[SH -1 num]]))</f>
        <v/>
      </c>
      <c r="W799" s="7" t="str">
        <f>IF(ISBLANK(patch[[#This Row],[project]]), "",COUNTIFS($A:$A,patch[[#This Row],[number]],$S:$S, "BJ And dev",$AC:$AC, "Review-1"))</f>
        <v/>
      </c>
      <c r="X799" s="7" t="str">
        <f>IF(ISBLANK(patch[[#This Row],[project]]), "",COUNTIFS($A:$A,patch[[#This Row],[number]],$S:$S, "FL And dev",$AC:$AC, "Review-1"))</f>
        <v/>
      </c>
      <c r="Y799" s="7" t="str">
        <f>IF(ISBLANK(patch[[#This Row],[project]]), "",COUNTIFS($A:$A,patch[[#This Row],[number]],$S:$S, "SH And dev",$AC:$AC, "Review-1"))</f>
        <v/>
      </c>
      <c r="Z799" s="7" t="str">
        <f>IF(ISBLANK(patch[[#This Row],[project]]), "",COUNTIFS($A:$A,patch[[#This Row],[number]],$S:$S, "BJ And dev",$AD:$AD, "&lt;&gt;IntegratorValidationComment"))</f>
        <v/>
      </c>
      <c r="AA799" s="7" t="str">
        <f>IF(ISBLANK(patch[[#This Row],[project]]), "",COUNTIFS($A:$A,patch[[#This Row],[number]],$S:$S, "FL And dev",$AD:$AD, "&lt;&gt;IntegratorValidationComment"))</f>
        <v/>
      </c>
      <c r="AB799" s="7" t="str">
        <f>IF(ISBLANK(patch[[#This Row],[project]]), "",COUNTIFS($A:$A,patch[[#This Row],[number]],$S:$S, "SH And dev",$AD:$AD, "&lt;&gt;IntegratorValidationComment"))</f>
        <v/>
      </c>
      <c r="AC799" s="7" t="str">
        <f>IF(OR(ISNUMBER(FIND("Review-1", patch[[#This Row],[comments]])), ISNUMBER(FIND("Approver-1", patch[[#This Row],[comments]]))), "Review-1", "")</f>
        <v/>
      </c>
      <c r="AD7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799" s="7">
        <f>IF(ISBLANK(patch[[#This Row],[number]]),AE798,patch[[#This Row],[ifCommon]])</f>
        <v>0</v>
      </c>
    </row>
    <row r="800" spans="1:31">
      <c r="A800" s="151">
        <v>146679</v>
      </c>
      <c r="B800" s="151"/>
      <c r="C800" s="151"/>
      <c r="D800" s="151"/>
      <c r="E800" s="151"/>
      <c r="F800" s="151"/>
      <c r="G800" s="151"/>
      <c r="H800" s="151"/>
      <c r="I800" s="151"/>
      <c r="J800" s="152">
        <v>42635.711226851847</v>
      </c>
      <c r="K800" s="151"/>
      <c r="L800" s="151" t="s">
        <v>115</v>
      </c>
      <c r="M800" s="152">
        <v>42635.428090277783</v>
      </c>
      <c r="N800" s="151" t="s">
        <v>2497</v>
      </c>
      <c r="O800" s="151"/>
      <c r="P800" s="151"/>
      <c r="Q800" s="7" t="str">
        <f>IF(ISBLANK(patch[[#This Row],[OwnerEmail]]),Q799,patch[[#This Row],[OwnerEmail]])</f>
        <v>john.mathew@intel.com</v>
      </c>
      <c r="R800" s="7" t="str">
        <f>_xlfn.IFNA(VLOOKUP(patch[[#This Row],[tmp-owner.email]],OrgTree!$A:$K, 11, 0), "not ICG SWFW")</f>
        <v>FL And dev</v>
      </c>
      <c r="S800" s="7" t="str">
        <f>IF(patch[[#This Row],[reviewer]]=patch[[#This Row],[tmp-owner.email]], "author", _xlfn.IFNA(VLOOKUP(patch[[#This Row],[reviewer]],OrgTree!$A:$K, 11, 0), "not ICG SWFW"))</f>
        <v>Val</v>
      </c>
      <c r="T800" s="7" t="str">
        <f>IF(ISBLANK(patch[[#This Row],[mergeDate]]), "", MID(YEAR(patch[[#This Row],[mergeDate]]), 3,2)&amp;"'ww"&amp;WEEKNUM(patch[[#This Row],[mergeDate]]))</f>
        <v>16'ww39</v>
      </c>
      <c r="U800" s="7" t="str">
        <f>IF(ISBLANK(patch[[#This Row],[mergeDate]]), U799, MID(YEAR(patch[[#This Row],[mergeDate]]), 3,2)&amp;"'m"&amp;MONTH(patch[[#This Row],[mergeDate]]))</f>
        <v>16'm9</v>
      </c>
      <c r="V800" s="7" t="str">
        <f>IF(ISBLANK(patch[[#This Row],[project]]), "",SUM(patch[[#This Row],[BJ -1 num]:[SH -1 num]]))</f>
        <v/>
      </c>
      <c r="W800" s="7" t="str">
        <f>IF(ISBLANK(patch[[#This Row],[project]]), "",COUNTIFS($A:$A,patch[[#This Row],[number]],$S:$S, "BJ And dev",$AC:$AC, "Review-1"))</f>
        <v/>
      </c>
      <c r="X800" s="7" t="str">
        <f>IF(ISBLANK(patch[[#This Row],[project]]), "",COUNTIFS($A:$A,patch[[#This Row],[number]],$S:$S, "FL And dev",$AC:$AC, "Review-1"))</f>
        <v/>
      </c>
      <c r="Y800" s="7" t="str">
        <f>IF(ISBLANK(patch[[#This Row],[project]]), "",COUNTIFS($A:$A,patch[[#This Row],[number]],$S:$S, "SH And dev",$AC:$AC, "Review-1"))</f>
        <v/>
      </c>
      <c r="Z800" s="7" t="str">
        <f>IF(ISBLANK(patch[[#This Row],[project]]), "",COUNTIFS($A:$A,patch[[#This Row],[number]],$S:$S, "BJ And dev",$AD:$AD, "&lt;&gt;IntegratorValidationComment"))</f>
        <v/>
      </c>
      <c r="AA800" s="7" t="str">
        <f>IF(ISBLANK(patch[[#This Row],[project]]), "",COUNTIFS($A:$A,patch[[#This Row],[number]],$S:$S, "FL And dev",$AD:$AD, "&lt;&gt;IntegratorValidationComment"))</f>
        <v/>
      </c>
      <c r="AB800" s="7" t="str">
        <f>IF(ISBLANK(patch[[#This Row],[project]]), "",COUNTIFS($A:$A,patch[[#This Row],[number]],$S:$S, "SH And dev",$AD:$AD, "&lt;&gt;IntegratorValidationComment"))</f>
        <v/>
      </c>
      <c r="AC800" s="7" t="str">
        <f>IF(OR(ISNUMBER(FIND("Review-1", patch[[#This Row],[comments]])), ISNUMBER(FIND("Approver-1", patch[[#This Row],[comments]]))), "Review-1", "")</f>
        <v/>
      </c>
      <c r="AD8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800" s="7">
        <f>IF(ISBLANK(patch[[#This Row],[number]]),AE799,patch[[#This Row],[ifCommon]])</f>
        <v>0</v>
      </c>
    </row>
    <row r="801" spans="1:31">
      <c r="A801" s="151">
        <v>143629</v>
      </c>
      <c r="B801" s="151" t="s">
        <v>2490</v>
      </c>
      <c r="C801" s="151" t="s">
        <v>2491</v>
      </c>
      <c r="D801" s="151" t="s">
        <v>2894</v>
      </c>
      <c r="E801" s="151" t="s">
        <v>61</v>
      </c>
      <c r="F801" s="151" t="s">
        <v>23</v>
      </c>
      <c r="G801" s="151" t="s">
        <v>2895</v>
      </c>
      <c r="H801" s="151" t="s">
        <v>2896</v>
      </c>
      <c r="I801" s="152">
        <v>42619.891296296293</v>
      </c>
      <c r="J801" s="152">
        <v>42635.711226851847</v>
      </c>
      <c r="K801" s="151" t="s">
        <v>2445</v>
      </c>
      <c r="L801" s="151" t="s">
        <v>61</v>
      </c>
      <c r="M801" s="152">
        <v>42619.891296296293</v>
      </c>
      <c r="N801" s="151" t="s">
        <v>25</v>
      </c>
      <c r="O801" s="151"/>
      <c r="P801" s="151" t="s">
        <v>2553</v>
      </c>
      <c r="Q801" s="7" t="str">
        <f>IF(ISBLANK(patch[[#This Row],[OwnerEmail]]),Q800,patch[[#This Row],[OwnerEmail]])</f>
        <v>john.mathew@intel.com</v>
      </c>
      <c r="R801" s="7" t="str">
        <f>_xlfn.IFNA(VLOOKUP(patch[[#This Row],[tmp-owner.email]],OrgTree!$A:$K, 11, 0), "not ICG SWFW")</f>
        <v>FL And dev</v>
      </c>
      <c r="S801" s="7" t="str">
        <f>IF(patch[[#This Row],[reviewer]]=patch[[#This Row],[tmp-owner.email]], "author", _xlfn.IFNA(VLOOKUP(patch[[#This Row],[reviewer]],OrgTree!$A:$K, 11, 0), "not ICG SWFW"))</f>
        <v>author</v>
      </c>
      <c r="T801" s="7" t="str">
        <f>IF(ISBLANK(patch[[#This Row],[mergeDate]]), "", MID(YEAR(patch[[#This Row],[mergeDate]]), 3,2)&amp;"'ww"&amp;WEEKNUM(patch[[#This Row],[mergeDate]]))</f>
        <v>16'ww39</v>
      </c>
      <c r="U801" s="7" t="str">
        <f>IF(ISBLANK(patch[[#This Row],[mergeDate]]), U800, MID(YEAR(patch[[#This Row],[mergeDate]]), 3,2)&amp;"'m"&amp;MONTH(patch[[#This Row],[mergeDate]]))</f>
        <v>16'm9</v>
      </c>
      <c r="V801" s="7">
        <f>IF(ISBLANK(patch[[#This Row],[project]]), "",SUM(patch[[#This Row],[BJ -1 num]:[SH -1 num]]))</f>
        <v>0</v>
      </c>
      <c r="W801" s="7">
        <f>IF(ISBLANK(patch[[#This Row],[project]]), "",COUNTIFS($A:$A,patch[[#This Row],[number]],$S:$S, "BJ And dev",$AC:$AC, "Review-1"))</f>
        <v>0</v>
      </c>
      <c r="X801" s="7">
        <f>IF(ISBLANK(patch[[#This Row],[project]]), "",COUNTIFS($A:$A,patch[[#This Row],[number]],$S:$S, "FL And dev",$AC:$AC, "Review-1"))</f>
        <v>0</v>
      </c>
      <c r="Y801" s="7">
        <f>IF(ISBLANK(patch[[#This Row],[project]]), "",COUNTIFS($A:$A,patch[[#This Row],[number]],$S:$S, "SH And dev",$AC:$AC, "Review-1"))</f>
        <v>0</v>
      </c>
      <c r="Z801" s="7">
        <f>IF(ISBLANK(patch[[#This Row],[project]]), "",COUNTIFS($A:$A,patch[[#This Row],[number]],$S:$S, "BJ And dev",$AD:$AD, "&lt;&gt;IntegratorValidationComment"))</f>
        <v>8</v>
      </c>
      <c r="AA801" s="7">
        <f>IF(ISBLANK(patch[[#This Row],[project]]), "",COUNTIFS($A:$A,patch[[#This Row],[number]],$S:$S, "FL And dev",$AD:$AD, "&lt;&gt;IntegratorValidationComment"))</f>
        <v>0</v>
      </c>
      <c r="AB801" s="7">
        <f>IF(ISBLANK(patch[[#This Row],[project]]), "",COUNTIFS($A:$A,patch[[#This Row],[number]],$S:$S, "SH And dev",$AD:$AD, "&lt;&gt;IntegratorValidationComment"))</f>
        <v>0</v>
      </c>
      <c r="AC801" s="7" t="str">
        <f>IF(OR(ISNUMBER(FIND("Review-1", patch[[#This Row],[comments]])), ISNUMBER(FIND("Approver-1", patch[[#This Row],[comments]]))), "Review-1", "")</f>
        <v/>
      </c>
      <c r="AD8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01" s="7" t="str">
        <f>IF(ISBLANK(patch[[#This Row],[number]]),AE800,patch[[#This Row],[ifCommon]])</f>
        <v>not AndrHAL</v>
      </c>
    </row>
    <row r="802" spans="1:31">
      <c r="A802" s="151">
        <v>143629</v>
      </c>
      <c r="B802" s="151"/>
      <c r="C802" s="151"/>
      <c r="D802" s="151"/>
      <c r="E802" s="151"/>
      <c r="F802" s="151"/>
      <c r="G802" s="151"/>
      <c r="H802" s="151"/>
      <c r="I802" s="151"/>
      <c r="J802" s="152">
        <v>42635.711226851847</v>
      </c>
      <c r="K802" s="151"/>
      <c r="L802" s="151" t="s">
        <v>61</v>
      </c>
      <c r="M802" s="152">
        <v>42619.891296296293</v>
      </c>
      <c r="N802" s="151" t="s">
        <v>2458</v>
      </c>
      <c r="O802" s="151"/>
      <c r="P802" s="151"/>
      <c r="Q802" s="7" t="str">
        <f>IF(ISBLANK(patch[[#This Row],[OwnerEmail]]),Q801,patch[[#This Row],[OwnerEmail]])</f>
        <v>john.mathew@intel.com</v>
      </c>
      <c r="R802" s="7" t="str">
        <f>_xlfn.IFNA(VLOOKUP(patch[[#This Row],[tmp-owner.email]],OrgTree!$A:$K, 11, 0), "not ICG SWFW")</f>
        <v>FL And dev</v>
      </c>
      <c r="S802" s="7" t="str">
        <f>IF(patch[[#This Row],[reviewer]]=patch[[#This Row],[tmp-owner.email]], "author", _xlfn.IFNA(VLOOKUP(patch[[#This Row],[reviewer]],OrgTree!$A:$K, 11, 0), "not ICG SWFW"))</f>
        <v>author</v>
      </c>
      <c r="T802" s="7" t="str">
        <f>IF(ISBLANK(patch[[#This Row],[mergeDate]]), "", MID(YEAR(patch[[#This Row],[mergeDate]]), 3,2)&amp;"'ww"&amp;WEEKNUM(patch[[#This Row],[mergeDate]]))</f>
        <v>16'ww39</v>
      </c>
      <c r="U802" s="7" t="str">
        <f>IF(ISBLANK(patch[[#This Row],[mergeDate]]), U801, MID(YEAR(patch[[#This Row],[mergeDate]]), 3,2)&amp;"'m"&amp;MONTH(patch[[#This Row],[mergeDate]]))</f>
        <v>16'm9</v>
      </c>
      <c r="V802" s="7" t="str">
        <f>IF(ISBLANK(patch[[#This Row],[project]]), "",SUM(patch[[#This Row],[BJ -1 num]:[SH -1 num]]))</f>
        <v/>
      </c>
      <c r="W802" s="7" t="str">
        <f>IF(ISBLANK(patch[[#This Row],[project]]), "",COUNTIFS($A:$A,patch[[#This Row],[number]],$S:$S, "BJ And dev",$AC:$AC, "Review-1"))</f>
        <v/>
      </c>
      <c r="X802" s="7" t="str">
        <f>IF(ISBLANK(patch[[#This Row],[project]]), "",COUNTIFS($A:$A,patch[[#This Row],[number]],$S:$S, "FL And dev",$AC:$AC, "Review-1"))</f>
        <v/>
      </c>
      <c r="Y802" s="7" t="str">
        <f>IF(ISBLANK(patch[[#This Row],[project]]), "",COUNTIFS($A:$A,patch[[#This Row],[number]],$S:$S, "SH And dev",$AC:$AC, "Review-1"))</f>
        <v/>
      </c>
      <c r="Z802" s="7" t="str">
        <f>IF(ISBLANK(patch[[#This Row],[project]]), "",COUNTIFS($A:$A,patch[[#This Row],[number]],$S:$S, "BJ And dev",$AD:$AD, "&lt;&gt;IntegratorValidationComment"))</f>
        <v/>
      </c>
      <c r="AA802" s="7" t="str">
        <f>IF(ISBLANK(patch[[#This Row],[project]]), "",COUNTIFS($A:$A,patch[[#This Row],[number]],$S:$S, "FL And dev",$AD:$AD, "&lt;&gt;IntegratorValidationComment"))</f>
        <v/>
      </c>
      <c r="AB802" s="7" t="str">
        <f>IF(ISBLANK(patch[[#This Row],[project]]), "",COUNTIFS($A:$A,patch[[#This Row],[number]],$S:$S, "SH And dev",$AD:$AD, "&lt;&gt;IntegratorValidationComment"))</f>
        <v/>
      </c>
      <c r="AC802" s="7" t="str">
        <f>IF(OR(ISNUMBER(FIND("Review-1", patch[[#This Row],[comments]])), ISNUMBER(FIND("Approver-1", patch[[#This Row],[comments]]))), "Review-1", "")</f>
        <v/>
      </c>
      <c r="AD8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02" s="7">
        <f>IF(ISBLANK(patch[[#This Row],[number]]),AE801,patch[[#This Row],[ifCommon]])</f>
        <v>0</v>
      </c>
    </row>
    <row r="803" spans="1:31">
      <c r="A803" s="151">
        <v>143629</v>
      </c>
      <c r="B803" s="151"/>
      <c r="C803" s="151"/>
      <c r="D803" s="151"/>
      <c r="E803" s="151"/>
      <c r="F803" s="151"/>
      <c r="G803" s="151"/>
      <c r="H803" s="151"/>
      <c r="I803" s="152"/>
      <c r="J803" s="152">
        <v>42635.711226851847</v>
      </c>
      <c r="K803" s="151"/>
      <c r="L803" s="151" t="s">
        <v>61</v>
      </c>
      <c r="M803" s="152">
        <v>42627.961655092593</v>
      </c>
      <c r="N803" s="151" t="s">
        <v>2461</v>
      </c>
      <c r="O803" s="151"/>
      <c r="P803" s="151"/>
      <c r="Q803" s="7" t="str">
        <f>IF(ISBLANK(patch[[#This Row],[OwnerEmail]]),Q802,patch[[#This Row],[OwnerEmail]])</f>
        <v>john.mathew@intel.com</v>
      </c>
      <c r="R803" s="7" t="str">
        <f>_xlfn.IFNA(VLOOKUP(patch[[#This Row],[tmp-owner.email]],OrgTree!$A:$K, 11, 0), "not ICG SWFW")</f>
        <v>FL And dev</v>
      </c>
      <c r="S803" s="7" t="str">
        <f>IF(patch[[#This Row],[reviewer]]=patch[[#This Row],[tmp-owner.email]], "author", _xlfn.IFNA(VLOOKUP(patch[[#This Row],[reviewer]],OrgTree!$A:$K, 11, 0), "not ICG SWFW"))</f>
        <v>author</v>
      </c>
      <c r="T803" s="7" t="str">
        <f>IF(ISBLANK(patch[[#This Row],[mergeDate]]), "", MID(YEAR(patch[[#This Row],[mergeDate]]), 3,2)&amp;"'ww"&amp;WEEKNUM(patch[[#This Row],[mergeDate]]))</f>
        <v>16'ww39</v>
      </c>
      <c r="U803" s="7" t="str">
        <f>IF(ISBLANK(patch[[#This Row],[mergeDate]]), U802, MID(YEAR(patch[[#This Row],[mergeDate]]), 3,2)&amp;"'m"&amp;MONTH(patch[[#This Row],[mergeDate]]))</f>
        <v>16'm9</v>
      </c>
      <c r="V803" s="7" t="str">
        <f>IF(ISBLANK(patch[[#This Row],[project]]), "",SUM(patch[[#This Row],[BJ -1 num]:[SH -1 num]]))</f>
        <v/>
      </c>
      <c r="W803" s="7" t="str">
        <f>IF(ISBLANK(patch[[#This Row],[project]]), "",COUNTIFS($A:$A,patch[[#This Row],[number]],$S:$S, "BJ And dev",$AC:$AC, "Review-1"))</f>
        <v/>
      </c>
      <c r="X803" s="7" t="str">
        <f>IF(ISBLANK(patch[[#This Row],[project]]), "",COUNTIFS($A:$A,patch[[#This Row],[number]],$S:$S, "FL And dev",$AC:$AC, "Review-1"))</f>
        <v/>
      </c>
      <c r="Y803" s="7" t="str">
        <f>IF(ISBLANK(patch[[#This Row],[project]]), "",COUNTIFS($A:$A,patch[[#This Row],[number]],$S:$S, "SH And dev",$AC:$AC, "Review-1"))</f>
        <v/>
      </c>
      <c r="Z803" s="7" t="str">
        <f>IF(ISBLANK(patch[[#This Row],[project]]), "",COUNTIFS($A:$A,patch[[#This Row],[number]],$S:$S, "BJ And dev",$AD:$AD, "&lt;&gt;IntegratorValidationComment"))</f>
        <v/>
      </c>
      <c r="AA803" s="7" t="str">
        <f>IF(ISBLANK(patch[[#This Row],[project]]), "",COUNTIFS($A:$A,patch[[#This Row],[number]],$S:$S, "FL And dev",$AD:$AD, "&lt;&gt;IntegratorValidationComment"))</f>
        <v/>
      </c>
      <c r="AB803" s="7" t="str">
        <f>IF(ISBLANK(patch[[#This Row],[project]]), "",COUNTIFS($A:$A,patch[[#This Row],[number]],$S:$S, "SH And dev",$AD:$AD, "&lt;&gt;IntegratorValidationComment"))</f>
        <v/>
      </c>
      <c r="AC803" s="7" t="str">
        <f>IF(OR(ISNUMBER(FIND("Review-1", patch[[#This Row],[comments]])), ISNUMBER(FIND("Approver-1", patch[[#This Row],[comments]]))), "Review-1", "")</f>
        <v/>
      </c>
      <c r="AD8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03" s="7">
        <f>IF(ISBLANK(patch[[#This Row],[number]]),AE802,patch[[#This Row],[ifCommon]])</f>
        <v>0</v>
      </c>
    </row>
    <row r="804" spans="1:31">
      <c r="A804" s="151">
        <v>143629</v>
      </c>
      <c r="B804" s="151"/>
      <c r="C804" s="151"/>
      <c r="D804" s="151"/>
      <c r="E804" s="151"/>
      <c r="F804" s="151"/>
      <c r="G804" s="151"/>
      <c r="H804" s="151"/>
      <c r="I804" s="151"/>
      <c r="J804" s="152">
        <v>42635.711226851847</v>
      </c>
      <c r="K804" s="151"/>
      <c r="L804" s="151" t="s">
        <v>61</v>
      </c>
      <c r="M804" s="152">
        <v>42627.961655092593</v>
      </c>
      <c r="N804" s="151" t="s">
        <v>29</v>
      </c>
      <c r="O804" s="151"/>
      <c r="P804" s="151"/>
      <c r="Q804" s="7" t="str">
        <f>IF(ISBLANK(patch[[#This Row],[OwnerEmail]]),Q803,patch[[#This Row],[OwnerEmail]])</f>
        <v>john.mathew@intel.com</v>
      </c>
      <c r="R804" s="7" t="str">
        <f>_xlfn.IFNA(VLOOKUP(patch[[#This Row],[tmp-owner.email]],OrgTree!$A:$K, 11, 0), "not ICG SWFW")</f>
        <v>FL And dev</v>
      </c>
      <c r="S804" s="7" t="str">
        <f>IF(patch[[#This Row],[reviewer]]=patch[[#This Row],[tmp-owner.email]], "author", _xlfn.IFNA(VLOOKUP(patch[[#This Row],[reviewer]],OrgTree!$A:$K, 11, 0), "not ICG SWFW"))</f>
        <v>author</v>
      </c>
      <c r="T804" s="7" t="str">
        <f>IF(ISBLANK(patch[[#This Row],[mergeDate]]), "", MID(YEAR(patch[[#This Row],[mergeDate]]), 3,2)&amp;"'ww"&amp;WEEKNUM(patch[[#This Row],[mergeDate]]))</f>
        <v>16'ww39</v>
      </c>
      <c r="U804" s="7" t="str">
        <f>IF(ISBLANK(patch[[#This Row],[mergeDate]]), U803, MID(YEAR(patch[[#This Row],[mergeDate]]), 3,2)&amp;"'m"&amp;MONTH(patch[[#This Row],[mergeDate]]))</f>
        <v>16'm9</v>
      </c>
      <c r="V804" s="7" t="str">
        <f>IF(ISBLANK(patch[[#This Row],[project]]), "",SUM(patch[[#This Row],[BJ -1 num]:[SH -1 num]]))</f>
        <v/>
      </c>
      <c r="W804" s="7" t="str">
        <f>IF(ISBLANK(patch[[#This Row],[project]]), "",COUNTIFS($A:$A,patch[[#This Row],[number]],$S:$S, "BJ And dev",$AC:$AC, "Review-1"))</f>
        <v/>
      </c>
      <c r="X804" s="7" t="str">
        <f>IF(ISBLANK(patch[[#This Row],[project]]), "",COUNTIFS($A:$A,patch[[#This Row],[number]],$S:$S, "FL And dev",$AC:$AC, "Review-1"))</f>
        <v/>
      </c>
      <c r="Y804" s="7" t="str">
        <f>IF(ISBLANK(patch[[#This Row],[project]]), "",COUNTIFS($A:$A,patch[[#This Row],[number]],$S:$S, "SH And dev",$AC:$AC, "Review-1"))</f>
        <v/>
      </c>
      <c r="Z804" s="7" t="str">
        <f>IF(ISBLANK(patch[[#This Row],[project]]), "",COUNTIFS($A:$A,patch[[#This Row],[number]],$S:$S, "BJ And dev",$AD:$AD, "&lt;&gt;IntegratorValidationComment"))</f>
        <v/>
      </c>
      <c r="AA804" s="7" t="str">
        <f>IF(ISBLANK(patch[[#This Row],[project]]), "",COUNTIFS($A:$A,patch[[#This Row],[number]],$S:$S, "FL And dev",$AD:$AD, "&lt;&gt;IntegratorValidationComment"))</f>
        <v/>
      </c>
      <c r="AB804" s="7" t="str">
        <f>IF(ISBLANK(patch[[#This Row],[project]]), "",COUNTIFS($A:$A,patch[[#This Row],[number]],$S:$S, "SH And dev",$AD:$AD, "&lt;&gt;IntegratorValidationComment"))</f>
        <v/>
      </c>
      <c r="AC804" s="7" t="str">
        <f>IF(OR(ISNUMBER(FIND("Review-1", patch[[#This Row],[comments]])), ISNUMBER(FIND("Approver-1", patch[[#This Row],[comments]]))), "Review-1", "")</f>
        <v/>
      </c>
      <c r="AD8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04" s="7">
        <f>IF(ISBLANK(patch[[#This Row],[number]]),AE803,patch[[#This Row],[ifCommon]])</f>
        <v>0</v>
      </c>
    </row>
    <row r="805" spans="1:31">
      <c r="A805" s="151">
        <v>143629</v>
      </c>
      <c r="B805" s="151"/>
      <c r="C805" s="151"/>
      <c r="D805" s="151"/>
      <c r="E805" s="151"/>
      <c r="F805" s="151"/>
      <c r="G805" s="151"/>
      <c r="H805" s="151"/>
      <c r="I805" s="151"/>
      <c r="J805" s="152">
        <v>42635.711226851847</v>
      </c>
      <c r="K805" s="151"/>
      <c r="L805" s="151" t="s">
        <v>61</v>
      </c>
      <c r="M805" s="152">
        <v>42633.846678240741</v>
      </c>
      <c r="N805" s="151" t="s">
        <v>1829</v>
      </c>
      <c r="O805" s="151"/>
      <c r="P805" s="151"/>
      <c r="Q805" s="7" t="str">
        <f>IF(ISBLANK(patch[[#This Row],[OwnerEmail]]),Q804,patch[[#This Row],[OwnerEmail]])</f>
        <v>john.mathew@intel.com</v>
      </c>
      <c r="R805" s="7" t="str">
        <f>_xlfn.IFNA(VLOOKUP(patch[[#This Row],[tmp-owner.email]],OrgTree!$A:$K, 11, 0), "not ICG SWFW")</f>
        <v>FL And dev</v>
      </c>
      <c r="S805" s="7" t="str">
        <f>IF(patch[[#This Row],[reviewer]]=patch[[#This Row],[tmp-owner.email]], "author", _xlfn.IFNA(VLOOKUP(patch[[#This Row],[reviewer]],OrgTree!$A:$K, 11, 0), "not ICG SWFW"))</f>
        <v>author</v>
      </c>
      <c r="T805" s="7" t="str">
        <f>IF(ISBLANK(patch[[#This Row],[mergeDate]]), "", MID(YEAR(patch[[#This Row],[mergeDate]]), 3,2)&amp;"'ww"&amp;WEEKNUM(patch[[#This Row],[mergeDate]]))</f>
        <v>16'ww39</v>
      </c>
      <c r="U805" s="7" t="str">
        <f>IF(ISBLANK(patch[[#This Row],[mergeDate]]), U804, MID(YEAR(patch[[#This Row],[mergeDate]]), 3,2)&amp;"'m"&amp;MONTH(patch[[#This Row],[mergeDate]]))</f>
        <v>16'm9</v>
      </c>
      <c r="V805" s="7" t="str">
        <f>IF(ISBLANK(patch[[#This Row],[project]]), "",SUM(patch[[#This Row],[BJ -1 num]:[SH -1 num]]))</f>
        <v/>
      </c>
      <c r="W805" s="7" t="str">
        <f>IF(ISBLANK(patch[[#This Row],[project]]), "",COUNTIFS($A:$A,patch[[#This Row],[number]],$S:$S, "BJ And dev",$AC:$AC, "Review-1"))</f>
        <v/>
      </c>
      <c r="X805" s="7" t="str">
        <f>IF(ISBLANK(patch[[#This Row],[project]]), "",COUNTIFS($A:$A,patch[[#This Row],[number]],$S:$S, "FL And dev",$AC:$AC, "Review-1"))</f>
        <v/>
      </c>
      <c r="Y805" s="7" t="str">
        <f>IF(ISBLANK(patch[[#This Row],[project]]), "",COUNTIFS($A:$A,patch[[#This Row],[number]],$S:$S, "SH And dev",$AC:$AC, "Review-1"))</f>
        <v/>
      </c>
      <c r="Z805" s="7" t="str">
        <f>IF(ISBLANK(patch[[#This Row],[project]]), "",COUNTIFS($A:$A,patch[[#This Row],[number]],$S:$S, "BJ And dev",$AD:$AD, "&lt;&gt;IntegratorValidationComment"))</f>
        <v/>
      </c>
      <c r="AA805" s="7" t="str">
        <f>IF(ISBLANK(patch[[#This Row],[project]]), "",COUNTIFS($A:$A,patch[[#This Row],[number]],$S:$S, "FL And dev",$AD:$AD, "&lt;&gt;IntegratorValidationComment"))</f>
        <v/>
      </c>
      <c r="AB805" s="7" t="str">
        <f>IF(ISBLANK(patch[[#This Row],[project]]), "",COUNTIFS($A:$A,patch[[#This Row],[number]],$S:$S, "SH And dev",$AD:$AD, "&lt;&gt;IntegratorValidationComment"))</f>
        <v/>
      </c>
      <c r="AC805" s="7" t="str">
        <f>IF(OR(ISNUMBER(FIND("Review-1", patch[[#This Row],[comments]])), ISNUMBER(FIND("Approver-1", patch[[#This Row],[comments]]))), "Review-1", "")</f>
        <v/>
      </c>
      <c r="AD8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05" s="7">
        <f>IF(ISBLANK(patch[[#This Row],[number]]),AE804,patch[[#This Row],[ifCommon]])</f>
        <v>0</v>
      </c>
    </row>
    <row r="806" spans="1:31">
      <c r="A806" s="151">
        <v>143629</v>
      </c>
      <c r="B806" s="151"/>
      <c r="C806" s="151"/>
      <c r="D806" s="151"/>
      <c r="E806" s="151"/>
      <c r="F806" s="151"/>
      <c r="G806" s="151"/>
      <c r="H806" s="151"/>
      <c r="I806" s="151"/>
      <c r="J806" s="152">
        <v>42635.711226851847</v>
      </c>
      <c r="K806" s="151"/>
      <c r="L806" s="151" t="s">
        <v>61</v>
      </c>
      <c r="M806" s="152">
        <v>42633.846678240741</v>
      </c>
      <c r="N806" s="151" t="s">
        <v>2450</v>
      </c>
      <c r="O806" s="151"/>
      <c r="P806" s="151"/>
      <c r="Q806" s="7" t="str">
        <f>IF(ISBLANK(patch[[#This Row],[OwnerEmail]]),Q805,patch[[#This Row],[OwnerEmail]])</f>
        <v>john.mathew@intel.com</v>
      </c>
      <c r="R806" s="7" t="str">
        <f>_xlfn.IFNA(VLOOKUP(patch[[#This Row],[tmp-owner.email]],OrgTree!$A:$K, 11, 0), "not ICG SWFW")</f>
        <v>FL And dev</v>
      </c>
      <c r="S806" s="7" t="str">
        <f>IF(patch[[#This Row],[reviewer]]=patch[[#This Row],[tmp-owner.email]], "author", _xlfn.IFNA(VLOOKUP(patch[[#This Row],[reviewer]],OrgTree!$A:$K, 11, 0), "not ICG SWFW"))</f>
        <v>author</v>
      </c>
      <c r="T806" s="7" t="str">
        <f>IF(ISBLANK(patch[[#This Row],[mergeDate]]), "", MID(YEAR(patch[[#This Row],[mergeDate]]), 3,2)&amp;"'ww"&amp;WEEKNUM(patch[[#This Row],[mergeDate]]))</f>
        <v>16'ww39</v>
      </c>
      <c r="U806" s="7" t="str">
        <f>IF(ISBLANK(patch[[#This Row],[mergeDate]]), U805, MID(YEAR(patch[[#This Row],[mergeDate]]), 3,2)&amp;"'m"&amp;MONTH(patch[[#This Row],[mergeDate]]))</f>
        <v>16'm9</v>
      </c>
      <c r="V806" s="7" t="str">
        <f>IF(ISBLANK(patch[[#This Row],[project]]), "",SUM(patch[[#This Row],[BJ -1 num]:[SH -1 num]]))</f>
        <v/>
      </c>
      <c r="W806" s="7" t="str">
        <f>IF(ISBLANK(patch[[#This Row],[project]]), "",COUNTIFS($A:$A,patch[[#This Row],[number]],$S:$S, "BJ And dev",$AC:$AC, "Review-1"))</f>
        <v/>
      </c>
      <c r="X806" s="7" t="str">
        <f>IF(ISBLANK(patch[[#This Row],[project]]), "",COUNTIFS($A:$A,patch[[#This Row],[number]],$S:$S, "FL And dev",$AC:$AC, "Review-1"))</f>
        <v/>
      </c>
      <c r="Y806" s="7" t="str">
        <f>IF(ISBLANK(patch[[#This Row],[project]]), "",COUNTIFS($A:$A,patch[[#This Row],[number]],$S:$S, "SH And dev",$AC:$AC, "Review-1"))</f>
        <v/>
      </c>
      <c r="Z806" s="7" t="str">
        <f>IF(ISBLANK(patch[[#This Row],[project]]), "",COUNTIFS($A:$A,patch[[#This Row],[number]],$S:$S, "BJ And dev",$AD:$AD, "&lt;&gt;IntegratorValidationComment"))</f>
        <v/>
      </c>
      <c r="AA806" s="7" t="str">
        <f>IF(ISBLANK(patch[[#This Row],[project]]), "",COUNTIFS($A:$A,patch[[#This Row],[number]],$S:$S, "FL And dev",$AD:$AD, "&lt;&gt;IntegratorValidationComment"))</f>
        <v/>
      </c>
      <c r="AB806" s="7" t="str">
        <f>IF(ISBLANK(patch[[#This Row],[project]]), "",COUNTIFS($A:$A,patch[[#This Row],[number]],$S:$S, "SH And dev",$AD:$AD, "&lt;&gt;IntegratorValidationComment"))</f>
        <v/>
      </c>
      <c r="AC806" s="7" t="str">
        <f>IF(OR(ISNUMBER(FIND("Review-1", patch[[#This Row],[comments]])), ISNUMBER(FIND("Approver-1", patch[[#This Row],[comments]]))), "Review-1", "")</f>
        <v/>
      </c>
      <c r="AD8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06" s="7">
        <f>IF(ISBLANK(patch[[#This Row],[number]]),AE805,patch[[#This Row],[ifCommon]])</f>
        <v>0</v>
      </c>
    </row>
    <row r="807" spans="1:31">
      <c r="A807" s="151">
        <v>143629</v>
      </c>
      <c r="B807" s="151"/>
      <c r="C807" s="151"/>
      <c r="D807" s="151"/>
      <c r="E807" s="151"/>
      <c r="F807" s="151"/>
      <c r="G807" s="151"/>
      <c r="H807" s="151"/>
      <c r="I807" s="151"/>
      <c r="J807" s="152">
        <v>42635.711226851847</v>
      </c>
      <c r="K807" s="151"/>
      <c r="L807" s="151" t="s">
        <v>61</v>
      </c>
      <c r="M807" s="152">
        <v>42633.84684027778</v>
      </c>
      <c r="N807" s="151" t="s">
        <v>48</v>
      </c>
      <c r="O807" s="151"/>
      <c r="P807" s="151"/>
      <c r="Q807" s="7" t="str">
        <f>IF(ISBLANK(patch[[#This Row],[OwnerEmail]]),Q806,patch[[#This Row],[OwnerEmail]])</f>
        <v>john.mathew@intel.com</v>
      </c>
      <c r="R807" s="7" t="str">
        <f>_xlfn.IFNA(VLOOKUP(patch[[#This Row],[tmp-owner.email]],OrgTree!$A:$K, 11, 0), "not ICG SWFW")</f>
        <v>FL And dev</v>
      </c>
      <c r="S807" s="7" t="str">
        <f>IF(patch[[#This Row],[reviewer]]=patch[[#This Row],[tmp-owner.email]], "author", _xlfn.IFNA(VLOOKUP(patch[[#This Row],[reviewer]],OrgTree!$A:$K, 11, 0), "not ICG SWFW"))</f>
        <v>author</v>
      </c>
      <c r="T807" s="7" t="str">
        <f>IF(ISBLANK(patch[[#This Row],[mergeDate]]), "", MID(YEAR(patch[[#This Row],[mergeDate]]), 3,2)&amp;"'ww"&amp;WEEKNUM(patch[[#This Row],[mergeDate]]))</f>
        <v>16'ww39</v>
      </c>
      <c r="U807" s="7" t="str">
        <f>IF(ISBLANK(patch[[#This Row],[mergeDate]]), U806, MID(YEAR(patch[[#This Row],[mergeDate]]), 3,2)&amp;"'m"&amp;MONTH(patch[[#This Row],[mergeDate]]))</f>
        <v>16'm9</v>
      </c>
      <c r="V807" s="7" t="str">
        <f>IF(ISBLANK(patch[[#This Row],[project]]), "",SUM(patch[[#This Row],[BJ -1 num]:[SH -1 num]]))</f>
        <v/>
      </c>
      <c r="W807" s="7" t="str">
        <f>IF(ISBLANK(patch[[#This Row],[project]]), "",COUNTIFS($A:$A,patch[[#This Row],[number]],$S:$S, "BJ And dev",$AC:$AC, "Review-1"))</f>
        <v/>
      </c>
      <c r="X807" s="7" t="str">
        <f>IF(ISBLANK(patch[[#This Row],[project]]), "",COUNTIFS($A:$A,patch[[#This Row],[number]],$S:$S, "FL And dev",$AC:$AC, "Review-1"))</f>
        <v/>
      </c>
      <c r="Y807" s="7" t="str">
        <f>IF(ISBLANK(patch[[#This Row],[project]]), "",COUNTIFS($A:$A,patch[[#This Row],[number]],$S:$S, "SH And dev",$AC:$AC, "Review-1"))</f>
        <v/>
      </c>
      <c r="Z807" s="7" t="str">
        <f>IF(ISBLANK(patch[[#This Row],[project]]), "",COUNTIFS($A:$A,patch[[#This Row],[number]],$S:$S, "BJ And dev",$AD:$AD, "&lt;&gt;IntegratorValidationComment"))</f>
        <v/>
      </c>
      <c r="AA807" s="7" t="str">
        <f>IF(ISBLANK(patch[[#This Row],[project]]), "",COUNTIFS($A:$A,patch[[#This Row],[number]],$S:$S, "FL And dev",$AD:$AD, "&lt;&gt;IntegratorValidationComment"))</f>
        <v/>
      </c>
      <c r="AB807" s="7" t="str">
        <f>IF(ISBLANK(patch[[#This Row],[project]]), "",COUNTIFS($A:$A,patch[[#This Row],[number]],$S:$S, "SH And dev",$AD:$AD, "&lt;&gt;IntegratorValidationComment"))</f>
        <v/>
      </c>
      <c r="AC807" s="7" t="str">
        <f>IF(OR(ISNUMBER(FIND("Review-1", patch[[#This Row],[comments]])), ISNUMBER(FIND("Approver-1", patch[[#This Row],[comments]]))), "Review-1", "")</f>
        <v/>
      </c>
      <c r="AD8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07" s="7">
        <f>IF(ISBLANK(patch[[#This Row],[number]]),AE806,patch[[#This Row],[ifCommon]])</f>
        <v>0</v>
      </c>
    </row>
    <row r="808" spans="1:31">
      <c r="A808" s="151">
        <v>143629</v>
      </c>
      <c r="B808" s="151"/>
      <c r="C808" s="151"/>
      <c r="D808" s="151"/>
      <c r="E808" s="151"/>
      <c r="F808" s="151"/>
      <c r="G808" s="151"/>
      <c r="H808" s="151"/>
      <c r="I808" s="151"/>
      <c r="J808" s="152">
        <v>42635.711226851847</v>
      </c>
      <c r="K808" s="151"/>
      <c r="L808" s="151" t="s">
        <v>32</v>
      </c>
      <c r="M808" s="152">
        <v>42633.916203703702</v>
      </c>
      <c r="N808" s="151" t="s">
        <v>48</v>
      </c>
      <c r="O808" s="151"/>
      <c r="P808" s="151"/>
      <c r="Q808" s="7" t="str">
        <f>IF(ISBLANK(patch[[#This Row],[OwnerEmail]]),Q807,patch[[#This Row],[OwnerEmail]])</f>
        <v>john.mathew@intel.com</v>
      </c>
      <c r="R808" s="7" t="str">
        <f>_xlfn.IFNA(VLOOKUP(patch[[#This Row],[tmp-owner.email]],OrgTree!$A:$K, 11, 0), "not ICG SWFW")</f>
        <v>FL And dev</v>
      </c>
      <c r="S808" s="7" t="str">
        <f>IF(patch[[#This Row],[reviewer]]=patch[[#This Row],[tmp-owner.email]], "author", _xlfn.IFNA(VLOOKUP(patch[[#This Row],[reviewer]],OrgTree!$A:$K, 11, 0), "not ICG SWFW"))</f>
        <v>BJ And dev</v>
      </c>
      <c r="T808" s="7" t="str">
        <f>IF(ISBLANK(patch[[#This Row],[mergeDate]]), "", MID(YEAR(patch[[#This Row],[mergeDate]]), 3,2)&amp;"'ww"&amp;WEEKNUM(patch[[#This Row],[mergeDate]]))</f>
        <v>16'ww39</v>
      </c>
      <c r="U808" s="7" t="str">
        <f>IF(ISBLANK(patch[[#This Row],[mergeDate]]), U807, MID(YEAR(patch[[#This Row],[mergeDate]]), 3,2)&amp;"'m"&amp;MONTH(patch[[#This Row],[mergeDate]]))</f>
        <v>16'm9</v>
      </c>
      <c r="V808" s="7" t="str">
        <f>IF(ISBLANK(patch[[#This Row],[project]]), "",SUM(patch[[#This Row],[BJ -1 num]:[SH -1 num]]))</f>
        <v/>
      </c>
      <c r="W808" s="7" t="str">
        <f>IF(ISBLANK(patch[[#This Row],[project]]), "",COUNTIFS($A:$A,patch[[#This Row],[number]],$S:$S, "BJ And dev",$AC:$AC, "Review-1"))</f>
        <v/>
      </c>
      <c r="X808" s="7" t="str">
        <f>IF(ISBLANK(patch[[#This Row],[project]]), "",COUNTIFS($A:$A,patch[[#This Row],[number]],$S:$S, "FL And dev",$AC:$AC, "Review-1"))</f>
        <v/>
      </c>
      <c r="Y808" s="7" t="str">
        <f>IF(ISBLANK(patch[[#This Row],[project]]), "",COUNTIFS($A:$A,patch[[#This Row],[number]],$S:$S, "SH And dev",$AC:$AC, "Review-1"))</f>
        <v/>
      </c>
      <c r="Z808" s="7" t="str">
        <f>IF(ISBLANK(patch[[#This Row],[project]]), "",COUNTIFS($A:$A,patch[[#This Row],[number]],$S:$S, "BJ And dev",$AD:$AD, "&lt;&gt;IntegratorValidationComment"))</f>
        <v/>
      </c>
      <c r="AA808" s="7" t="str">
        <f>IF(ISBLANK(patch[[#This Row],[project]]), "",COUNTIFS($A:$A,patch[[#This Row],[number]],$S:$S, "FL And dev",$AD:$AD, "&lt;&gt;IntegratorValidationComment"))</f>
        <v/>
      </c>
      <c r="AB808" s="7" t="str">
        <f>IF(ISBLANK(patch[[#This Row],[project]]), "",COUNTIFS($A:$A,patch[[#This Row],[number]],$S:$S, "SH And dev",$AD:$AD, "&lt;&gt;IntegratorValidationComment"))</f>
        <v/>
      </c>
      <c r="AC808" s="7" t="str">
        <f>IF(OR(ISNUMBER(FIND("Review-1", patch[[#This Row],[comments]])), ISNUMBER(FIND("Approver-1", patch[[#This Row],[comments]]))), "Review-1", "")</f>
        <v/>
      </c>
      <c r="AD8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08" s="7">
        <f>IF(ISBLANK(patch[[#This Row],[number]]),AE807,patch[[#This Row],[ifCommon]])</f>
        <v>0</v>
      </c>
    </row>
    <row r="809" spans="1:31">
      <c r="A809" s="151">
        <v>143629</v>
      </c>
      <c r="B809" s="151"/>
      <c r="C809" s="151"/>
      <c r="D809" s="151"/>
      <c r="E809" s="151"/>
      <c r="F809" s="151"/>
      <c r="G809" s="151"/>
      <c r="H809" s="151"/>
      <c r="I809" s="151"/>
      <c r="J809" s="152">
        <v>42635.711226851847</v>
      </c>
      <c r="K809" s="151"/>
      <c r="L809" s="151" t="s">
        <v>59</v>
      </c>
      <c r="M809" s="152">
        <v>42634.376006944447</v>
      </c>
      <c r="N809" s="151" t="s">
        <v>3006</v>
      </c>
      <c r="O809" s="151"/>
      <c r="P809" s="151"/>
      <c r="Q809" s="7" t="str">
        <f>IF(ISBLANK(patch[[#This Row],[OwnerEmail]]),Q808,patch[[#This Row],[OwnerEmail]])</f>
        <v>john.mathew@intel.com</v>
      </c>
      <c r="R809" s="7" t="str">
        <f>_xlfn.IFNA(VLOOKUP(patch[[#This Row],[tmp-owner.email]],OrgTree!$A:$K, 11, 0), "not ICG SWFW")</f>
        <v>FL And dev</v>
      </c>
      <c r="S809" s="7" t="str">
        <f>IF(patch[[#This Row],[reviewer]]=patch[[#This Row],[tmp-owner.email]], "author", _xlfn.IFNA(VLOOKUP(patch[[#This Row],[reviewer]],OrgTree!$A:$K, 11, 0), "not ICG SWFW"))</f>
        <v>BJ And dev</v>
      </c>
      <c r="T809" s="7" t="str">
        <f>IF(ISBLANK(patch[[#This Row],[mergeDate]]), "", MID(YEAR(patch[[#This Row],[mergeDate]]), 3,2)&amp;"'ww"&amp;WEEKNUM(patch[[#This Row],[mergeDate]]))</f>
        <v>16'ww39</v>
      </c>
      <c r="U809" s="7" t="str">
        <f>IF(ISBLANK(patch[[#This Row],[mergeDate]]), U808, MID(YEAR(patch[[#This Row],[mergeDate]]), 3,2)&amp;"'m"&amp;MONTH(patch[[#This Row],[mergeDate]]))</f>
        <v>16'm9</v>
      </c>
      <c r="V809" s="7" t="str">
        <f>IF(ISBLANK(patch[[#This Row],[project]]), "",SUM(patch[[#This Row],[BJ -1 num]:[SH -1 num]]))</f>
        <v/>
      </c>
      <c r="W809" s="7" t="str">
        <f>IF(ISBLANK(patch[[#This Row],[project]]), "",COUNTIFS($A:$A,patch[[#This Row],[number]],$S:$S, "BJ And dev",$AC:$AC, "Review-1"))</f>
        <v/>
      </c>
      <c r="X809" s="7" t="str">
        <f>IF(ISBLANK(patch[[#This Row],[project]]), "",COUNTIFS($A:$A,patch[[#This Row],[number]],$S:$S, "FL And dev",$AC:$AC, "Review-1"))</f>
        <v/>
      </c>
      <c r="Y809" s="7" t="str">
        <f>IF(ISBLANK(patch[[#This Row],[project]]), "",COUNTIFS($A:$A,patch[[#This Row],[number]],$S:$S, "SH And dev",$AC:$AC, "Review-1"))</f>
        <v/>
      </c>
      <c r="Z809" s="7" t="str">
        <f>IF(ISBLANK(patch[[#This Row],[project]]), "",COUNTIFS($A:$A,patch[[#This Row],[number]],$S:$S, "BJ And dev",$AD:$AD, "&lt;&gt;IntegratorValidationComment"))</f>
        <v/>
      </c>
      <c r="AA809" s="7" t="str">
        <f>IF(ISBLANK(patch[[#This Row],[project]]), "",COUNTIFS($A:$A,patch[[#This Row],[number]],$S:$S, "FL And dev",$AD:$AD, "&lt;&gt;IntegratorValidationComment"))</f>
        <v/>
      </c>
      <c r="AB809" s="7" t="str">
        <f>IF(ISBLANK(patch[[#This Row],[project]]), "",COUNTIFS($A:$A,patch[[#This Row],[number]],$S:$S, "SH And dev",$AD:$AD, "&lt;&gt;IntegratorValidationComment"))</f>
        <v/>
      </c>
      <c r="AC809" s="7" t="str">
        <f>IF(OR(ISNUMBER(FIND("Review-1", patch[[#This Row],[comments]])), ISNUMBER(FIND("Approver-1", patch[[#This Row],[comments]]))), "Review-1", "")</f>
        <v/>
      </c>
      <c r="AD8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09" s="7">
        <f>IF(ISBLANK(patch[[#This Row],[number]]),AE808,patch[[#This Row],[ifCommon]])</f>
        <v>0</v>
      </c>
    </row>
    <row r="810" spans="1:31">
      <c r="A810" s="151">
        <v>143629</v>
      </c>
      <c r="B810" s="151"/>
      <c r="C810" s="151"/>
      <c r="D810" s="151"/>
      <c r="E810" s="151"/>
      <c r="F810" s="151"/>
      <c r="G810" s="151"/>
      <c r="H810" s="151"/>
      <c r="I810" s="151"/>
      <c r="J810" s="152">
        <v>42635.711226851847</v>
      </c>
      <c r="K810" s="151"/>
      <c r="L810" s="151" t="s">
        <v>59</v>
      </c>
      <c r="M810" s="152">
        <v>42634.377743055556</v>
      </c>
      <c r="N810" s="151" t="s">
        <v>3007</v>
      </c>
      <c r="O810" s="151"/>
      <c r="P810" s="151"/>
      <c r="Q810" s="7" t="str">
        <f>IF(ISBLANK(patch[[#This Row],[OwnerEmail]]),Q809,patch[[#This Row],[OwnerEmail]])</f>
        <v>john.mathew@intel.com</v>
      </c>
      <c r="R810" s="7" t="str">
        <f>_xlfn.IFNA(VLOOKUP(patch[[#This Row],[tmp-owner.email]],OrgTree!$A:$K, 11, 0), "not ICG SWFW")</f>
        <v>FL And dev</v>
      </c>
      <c r="S810" s="7" t="str">
        <f>IF(patch[[#This Row],[reviewer]]=patch[[#This Row],[tmp-owner.email]], "author", _xlfn.IFNA(VLOOKUP(patch[[#This Row],[reviewer]],OrgTree!$A:$K, 11, 0), "not ICG SWFW"))</f>
        <v>BJ And dev</v>
      </c>
      <c r="T810" s="7" t="str">
        <f>IF(ISBLANK(patch[[#This Row],[mergeDate]]), "", MID(YEAR(patch[[#This Row],[mergeDate]]), 3,2)&amp;"'ww"&amp;WEEKNUM(patch[[#This Row],[mergeDate]]))</f>
        <v>16'ww39</v>
      </c>
      <c r="U810" s="7" t="str">
        <f>IF(ISBLANK(patch[[#This Row],[mergeDate]]), U809, MID(YEAR(patch[[#This Row],[mergeDate]]), 3,2)&amp;"'m"&amp;MONTH(patch[[#This Row],[mergeDate]]))</f>
        <v>16'm9</v>
      </c>
      <c r="V810" s="7" t="str">
        <f>IF(ISBLANK(patch[[#This Row],[project]]), "",SUM(patch[[#This Row],[BJ -1 num]:[SH -1 num]]))</f>
        <v/>
      </c>
      <c r="W810" s="7" t="str">
        <f>IF(ISBLANK(patch[[#This Row],[project]]), "",COUNTIFS($A:$A,patch[[#This Row],[number]],$S:$S, "BJ And dev",$AC:$AC, "Review-1"))</f>
        <v/>
      </c>
      <c r="X810" s="7" t="str">
        <f>IF(ISBLANK(patch[[#This Row],[project]]), "",COUNTIFS($A:$A,patch[[#This Row],[number]],$S:$S, "FL And dev",$AC:$AC, "Review-1"))</f>
        <v/>
      </c>
      <c r="Y810" s="7" t="str">
        <f>IF(ISBLANK(patch[[#This Row],[project]]), "",COUNTIFS($A:$A,patch[[#This Row],[number]],$S:$S, "SH And dev",$AC:$AC, "Review-1"))</f>
        <v/>
      </c>
      <c r="Z810" s="7" t="str">
        <f>IF(ISBLANK(patch[[#This Row],[project]]), "",COUNTIFS($A:$A,patch[[#This Row],[number]],$S:$S, "BJ And dev",$AD:$AD, "&lt;&gt;IntegratorValidationComment"))</f>
        <v/>
      </c>
      <c r="AA810" s="7" t="str">
        <f>IF(ISBLANK(patch[[#This Row],[project]]), "",COUNTIFS($A:$A,patch[[#This Row],[number]],$S:$S, "FL And dev",$AD:$AD, "&lt;&gt;IntegratorValidationComment"))</f>
        <v/>
      </c>
      <c r="AB810" s="7" t="str">
        <f>IF(ISBLANK(patch[[#This Row],[project]]), "",COUNTIFS($A:$A,patch[[#This Row],[number]],$S:$S, "SH And dev",$AD:$AD, "&lt;&gt;IntegratorValidationComment"))</f>
        <v/>
      </c>
      <c r="AC810" s="7" t="str">
        <f>IF(OR(ISNUMBER(FIND("Review-1", patch[[#This Row],[comments]])), ISNUMBER(FIND("Approver-1", patch[[#This Row],[comments]]))), "Review-1", "")</f>
        <v/>
      </c>
      <c r="AD8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10" s="7">
        <f>IF(ISBLANK(patch[[#This Row],[number]]),AE809,patch[[#This Row],[ifCommon]])</f>
        <v>0</v>
      </c>
    </row>
    <row r="811" spans="1:31">
      <c r="A811" s="151">
        <v>143629</v>
      </c>
      <c r="B811" s="151"/>
      <c r="C811" s="151"/>
      <c r="D811" s="151"/>
      <c r="E811" s="151"/>
      <c r="F811" s="151"/>
      <c r="G811" s="151"/>
      <c r="H811" s="151"/>
      <c r="I811" s="151"/>
      <c r="J811" s="152">
        <v>42635.711226851847</v>
      </c>
      <c r="K811" s="151"/>
      <c r="L811" s="151" t="s">
        <v>61</v>
      </c>
      <c r="M811" s="152">
        <v>42634.579062500001</v>
      </c>
      <c r="N811" s="151" t="s">
        <v>2451</v>
      </c>
      <c r="O811" s="151"/>
      <c r="P811" s="151"/>
      <c r="Q811" s="7" t="str">
        <f>IF(ISBLANK(patch[[#This Row],[OwnerEmail]]),Q810,patch[[#This Row],[OwnerEmail]])</f>
        <v>john.mathew@intel.com</v>
      </c>
      <c r="R811" s="7" t="str">
        <f>_xlfn.IFNA(VLOOKUP(patch[[#This Row],[tmp-owner.email]],OrgTree!$A:$K, 11, 0), "not ICG SWFW")</f>
        <v>FL And dev</v>
      </c>
      <c r="S811" s="7" t="str">
        <f>IF(patch[[#This Row],[reviewer]]=patch[[#This Row],[tmp-owner.email]], "author", _xlfn.IFNA(VLOOKUP(patch[[#This Row],[reviewer]],OrgTree!$A:$K, 11, 0), "not ICG SWFW"))</f>
        <v>author</v>
      </c>
      <c r="T811" s="7" t="str">
        <f>IF(ISBLANK(patch[[#This Row],[mergeDate]]), "", MID(YEAR(patch[[#This Row],[mergeDate]]), 3,2)&amp;"'ww"&amp;WEEKNUM(patch[[#This Row],[mergeDate]]))</f>
        <v>16'ww39</v>
      </c>
      <c r="U811" s="7" t="str">
        <f>IF(ISBLANK(patch[[#This Row],[mergeDate]]), U810, MID(YEAR(patch[[#This Row],[mergeDate]]), 3,2)&amp;"'m"&amp;MONTH(patch[[#This Row],[mergeDate]]))</f>
        <v>16'm9</v>
      </c>
      <c r="V811" s="7" t="str">
        <f>IF(ISBLANK(patch[[#This Row],[project]]), "",SUM(patch[[#This Row],[BJ -1 num]:[SH -1 num]]))</f>
        <v/>
      </c>
      <c r="W811" s="7" t="str">
        <f>IF(ISBLANK(patch[[#This Row],[project]]), "",COUNTIFS($A:$A,patch[[#This Row],[number]],$S:$S, "BJ And dev",$AC:$AC, "Review-1"))</f>
        <v/>
      </c>
      <c r="X811" s="7" t="str">
        <f>IF(ISBLANK(patch[[#This Row],[project]]), "",COUNTIFS($A:$A,patch[[#This Row],[number]],$S:$S, "FL And dev",$AC:$AC, "Review-1"))</f>
        <v/>
      </c>
      <c r="Y811" s="7" t="str">
        <f>IF(ISBLANK(patch[[#This Row],[project]]), "",COUNTIFS($A:$A,patch[[#This Row],[number]],$S:$S, "SH And dev",$AC:$AC, "Review-1"))</f>
        <v/>
      </c>
      <c r="Z811" s="7" t="str">
        <f>IF(ISBLANK(patch[[#This Row],[project]]), "",COUNTIFS($A:$A,patch[[#This Row],[number]],$S:$S, "BJ And dev",$AD:$AD, "&lt;&gt;IntegratorValidationComment"))</f>
        <v/>
      </c>
      <c r="AA811" s="7" t="str">
        <f>IF(ISBLANK(patch[[#This Row],[project]]), "",COUNTIFS($A:$A,patch[[#This Row],[number]],$S:$S, "FL And dev",$AD:$AD, "&lt;&gt;IntegratorValidationComment"))</f>
        <v/>
      </c>
      <c r="AB811" s="7" t="str">
        <f>IF(ISBLANK(patch[[#This Row],[project]]), "",COUNTIFS($A:$A,patch[[#This Row],[number]],$S:$S, "SH And dev",$AD:$AD, "&lt;&gt;IntegratorValidationComment"))</f>
        <v/>
      </c>
      <c r="AC811" s="7" t="str">
        <f>IF(OR(ISNUMBER(FIND("Review-1", patch[[#This Row],[comments]])), ISNUMBER(FIND("Approver-1", patch[[#This Row],[comments]]))), "Review-1", "")</f>
        <v/>
      </c>
      <c r="AD8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11" s="7">
        <f>IF(ISBLANK(patch[[#This Row],[number]]),AE810,patch[[#This Row],[ifCommon]])</f>
        <v>0</v>
      </c>
    </row>
    <row r="812" spans="1:31">
      <c r="A812" s="151">
        <v>143629</v>
      </c>
      <c r="B812" s="151"/>
      <c r="C812" s="151"/>
      <c r="D812" s="151"/>
      <c r="E812" s="151"/>
      <c r="F812" s="151"/>
      <c r="G812" s="151"/>
      <c r="H812" s="151"/>
      <c r="I812" s="151"/>
      <c r="J812" s="152">
        <v>42635.711226851847</v>
      </c>
      <c r="K812" s="151"/>
      <c r="L812" s="151" t="s">
        <v>61</v>
      </c>
      <c r="M812" s="152">
        <v>42634.579062500001</v>
      </c>
      <c r="N812" s="151" t="s">
        <v>49</v>
      </c>
      <c r="O812" s="151"/>
      <c r="P812" s="151"/>
      <c r="Q812" s="7" t="str">
        <f>IF(ISBLANK(patch[[#This Row],[OwnerEmail]]),Q811,patch[[#This Row],[OwnerEmail]])</f>
        <v>john.mathew@intel.com</v>
      </c>
      <c r="R812" s="7" t="str">
        <f>_xlfn.IFNA(VLOOKUP(patch[[#This Row],[tmp-owner.email]],OrgTree!$A:$K, 11, 0), "not ICG SWFW")</f>
        <v>FL And dev</v>
      </c>
      <c r="S812" s="7" t="str">
        <f>IF(patch[[#This Row],[reviewer]]=patch[[#This Row],[tmp-owner.email]], "author", _xlfn.IFNA(VLOOKUP(patch[[#This Row],[reviewer]],OrgTree!$A:$K, 11, 0), "not ICG SWFW"))</f>
        <v>author</v>
      </c>
      <c r="T812" s="7" t="str">
        <f>IF(ISBLANK(patch[[#This Row],[mergeDate]]), "", MID(YEAR(patch[[#This Row],[mergeDate]]), 3,2)&amp;"'ww"&amp;WEEKNUM(patch[[#This Row],[mergeDate]]))</f>
        <v>16'ww39</v>
      </c>
      <c r="U812" s="7" t="str">
        <f>IF(ISBLANK(patch[[#This Row],[mergeDate]]), U811, MID(YEAR(patch[[#This Row],[mergeDate]]), 3,2)&amp;"'m"&amp;MONTH(patch[[#This Row],[mergeDate]]))</f>
        <v>16'm9</v>
      </c>
      <c r="V812" s="7" t="str">
        <f>IF(ISBLANK(patch[[#This Row],[project]]), "",SUM(patch[[#This Row],[BJ -1 num]:[SH -1 num]]))</f>
        <v/>
      </c>
      <c r="W812" s="7" t="str">
        <f>IF(ISBLANK(patch[[#This Row],[project]]), "",COUNTIFS($A:$A,patch[[#This Row],[number]],$S:$S, "BJ And dev",$AC:$AC, "Review-1"))</f>
        <v/>
      </c>
      <c r="X812" s="7" t="str">
        <f>IF(ISBLANK(patch[[#This Row],[project]]), "",COUNTIFS($A:$A,patch[[#This Row],[number]],$S:$S, "FL And dev",$AC:$AC, "Review-1"))</f>
        <v/>
      </c>
      <c r="Y812" s="7" t="str">
        <f>IF(ISBLANK(patch[[#This Row],[project]]), "",COUNTIFS($A:$A,patch[[#This Row],[number]],$S:$S, "SH And dev",$AC:$AC, "Review-1"))</f>
        <v/>
      </c>
      <c r="Z812" s="7" t="str">
        <f>IF(ISBLANK(patch[[#This Row],[project]]), "",COUNTIFS($A:$A,patch[[#This Row],[number]],$S:$S, "BJ And dev",$AD:$AD, "&lt;&gt;IntegratorValidationComment"))</f>
        <v/>
      </c>
      <c r="AA812" s="7" t="str">
        <f>IF(ISBLANK(patch[[#This Row],[project]]), "",COUNTIFS($A:$A,patch[[#This Row],[number]],$S:$S, "FL And dev",$AD:$AD, "&lt;&gt;IntegratorValidationComment"))</f>
        <v/>
      </c>
      <c r="AB812" s="7" t="str">
        <f>IF(ISBLANK(patch[[#This Row],[project]]), "",COUNTIFS($A:$A,patch[[#This Row],[number]],$S:$S, "SH And dev",$AD:$AD, "&lt;&gt;IntegratorValidationComment"))</f>
        <v/>
      </c>
      <c r="AC812" s="7" t="str">
        <f>IF(OR(ISNUMBER(FIND("Review-1", patch[[#This Row],[comments]])), ISNUMBER(FIND("Approver-1", patch[[#This Row],[comments]]))), "Review-1", "")</f>
        <v/>
      </c>
      <c r="AD8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12" s="7">
        <f>IF(ISBLANK(patch[[#This Row],[number]]),AE811,patch[[#This Row],[ifCommon]])</f>
        <v>0</v>
      </c>
    </row>
    <row r="813" spans="1:31">
      <c r="A813" s="151">
        <v>143629</v>
      </c>
      <c r="B813" s="151"/>
      <c r="C813" s="151"/>
      <c r="D813" s="151"/>
      <c r="E813" s="151"/>
      <c r="F813" s="151"/>
      <c r="G813" s="151"/>
      <c r="H813" s="151"/>
      <c r="I813" s="151"/>
      <c r="J813" s="152">
        <v>42635.711226851847</v>
      </c>
      <c r="K813" s="151"/>
      <c r="L813" s="151" t="s">
        <v>61</v>
      </c>
      <c r="M813" s="152">
        <v>42634.579270833332</v>
      </c>
      <c r="N813" s="151" t="s">
        <v>31</v>
      </c>
      <c r="O813" s="151"/>
      <c r="P813" s="151"/>
      <c r="Q813" s="7" t="str">
        <f>IF(ISBLANK(patch[[#This Row],[OwnerEmail]]),Q812,patch[[#This Row],[OwnerEmail]])</f>
        <v>john.mathew@intel.com</v>
      </c>
      <c r="R813" s="7" t="str">
        <f>_xlfn.IFNA(VLOOKUP(patch[[#This Row],[tmp-owner.email]],OrgTree!$A:$K, 11, 0), "not ICG SWFW")</f>
        <v>FL And dev</v>
      </c>
      <c r="S813" s="7" t="str">
        <f>IF(patch[[#This Row],[reviewer]]=patch[[#This Row],[tmp-owner.email]], "author", _xlfn.IFNA(VLOOKUP(patch[[#This Row],[reviewer]],OrgTree!$A:$K, 11, 0), "not ICG SWFW"))</f>
        <v>author</v>
      </c>
      <c r="T813" s="7" t="str">
        <f>IF(ISBLANK(patch[[#This Row],[mergeDate]]), "", MID(YEAR(patch[[#This Row],[mergeDate]]), 3,2)&amp;"'ww"&amp;WEEKNUM(patch[[#This Row],[mergeDate]]))</f>
        <v>16'ww39</v>
      </c>
      <c r="U813" s="7" t="str">
        <f>IF(ISBLANK(patch[[#This Row],[mergeDate]]), U812, MID(YEAR(patch[[#This Row],[mergeDate]]), 3,2)&amp;"'m"&amp;MONTH(patch[[#This Row],[mergeDate]]))</f>
        <v>16'm9</v>
      </c>
      <c r="V813" s="7" t="str">
        <f>IF(ISBLANK(patch[[#This Row],[project]]), "",SUM(patch[[#This Row],[BJ -1 num]:[SH -1 num]]))</f>
        <v/>
      </c>
      <c r="W813" s="7" t="str">
        <f>IF(ISBLANK(patch[[#This Row],[project]]), "",COUNTIFS($A:$A,patch[[#This Row],[number]],$S:$S, "BJ And dev",$AC:$AC, "Review-1"))</f>
        <v/>
      </c>
      <c r="X813" s="7" t="str">
        <f>IF(ISBLANK(patch[[#This Row],[project]]), "",COUNTIFS($A:$A,patch[[#This Row],[number]],$S:$S, "FL And dev",$AC:$AC, "Review-1"))</f>
        <v/>
      </c>
      <c r="Y813" s="7" t="str">
        <f>IF(ISBLANK(patch[[#This Row],[project]]), "",COUNTIFS($A:$A,patch[[#This Row],[number]],$S:$S, "SH And dev",$AC:$AC, "Review-1"))</f>
        <v/>
      </c>
      <c r="Z813" s="7" t="str">
        <f>IF(ISBLANK(patch[[#This Row],[project]]), "",COUNTIFS($A:$A,patch[[#This Row],[number]],$S:$S, "BJ And dev",$AD:$AD, "&lt;&gt;IntegratorValidationComment"))</f>
        <v/>
      </c>
      <c r="AA813" s="7" t="str">
        <f>IF(ISBLANK(patch[[#This Row],[project]]), "",COUNTIFS($A:$A,patch[[#This Row],[number]],$S:$S, "FL And dev",$AD:$AD, "&lt;&gt;IntegratorValidationComment"))</f>
        <v/>
      </c>
      <c r="AB813" s="7" t="str">
        <f>IF(ISBLANK(patch[[#This Row],[project]]), "",COUNTIFS($A:$A,patch[[#This Row],[number]],$S:$S, "SH And dev",$AD:$AD, "&lt;&gt;IntegratorValidationComment"))</f>
        <v/>
      </c>
      <c r="AC813" s="7" t="str">
        <f>IF(OR(ISNUMBER(FIND("Review-1", patch[[#This Row],[comments]])), ISNUMBER(FIND("Approver-1", patch[[#This Row],[comments]]))), "Review-1", "")</f>
        <v/>
      </c>
      <c r="AD8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13" s="7">
        <f>IF(ISBLANK(patch[[#This Row],[number]]),AE812,patch[[#This Row],[ifCommon]])</f>
        <v>0</v>
      </c>
    </row>
    <row r="814" spans="1:31">
      <c r="A814" s="151">
        <v>143629</v>
      </c>
      <c r="B814" s="151"/>
      <c r="C814" s="151"/>
      <c r="D814" s="151"/>
      <c r="E814" s="151"/>
      <c r="F814" s="151"/>
      <c r="G814" s="151"/>
      <c r="H814" s="151"/>
      <c r="I814" s="151"/>
      <c r="J814" s="152">
        <v>42635.711226851847</v>
      </c>
      <c r="K814" s="151"/>
      <c r="L814" s="151" t="s">
        <v>59</v>
      </c>
      <c r="M814" s="152">
        <v>42634.585277777784</v>
      </c>
      <c r="N814" s="151" t="s">
        <v>3008</v>
      </c>
      <c r="O814" s="151"/>
      <c r="P814" s="151"/>
      <c r="Q814" s="7" t="str">
        <f>IF(ISBLANK(patch[[#This Row],[OwnerEmail]]),Q813,patch[[#This Row],[OwnerEmail]])</f>
        <v>john.mathew@intel.com</v>
      </c>
      <c r="R814" s="7" t="str">
        <f>_xlfn.IFNA(VLOOKUP(patch[[#This Row],[tmp-owner.email]],OrgTree!$A:$K, 11, 0), "not ICG SWFW")</f>
        <v>FL And dev</v>
      </c>
      <c r="S814" s="7" t="str">
        <f>IF(patch[[#This Row],[reviewer]]=patch[[#This Row],[tmp-owner.email]], "author", _xlfn.IFNA(VLOOKUP(patch[[#This Row],[reviewer]],OrgTree!$A:$K, 11, 0), "not ICG SWFW"))</f>
        <v>BJ And dev</v>
      </c>
      <c r="T814" s="7" t="str">
        <f>IF(ISBLANK(patch[[#This Row],[mergeDate]]), "", MID(YEAR(patch[[#This Row],[mergeDate]]), 3,2)&amp;"'ww"&amp;WEEKNUM(patch[[#This Row],[mergeDate]]))</f>
        <v>16'ww39</v>
      </c>
      <c r="U814" s="7" t="str">
        <f>IF(ISBLANK(patch[[#This Row],[mergeDate]]), U813, MID(YEAR(patch[[#This Row],[mergeDate]]), 3,2)&amp;"'m"&amp;MONTH(patch[[#This Row],[mergeDate]]))</f>
        <v>16'm9</v>
      </c>
      <c r="V814" s="7" t="str">
        <f>IF(ISBLANK(patch[[#This Row],[project]]), "",SUM(patch[[#This Row],[BJ -1 num]:[SH -1 num]]))</f>
        <v/>
      </c>
      <c r="W814" s="7" t="str">
        <f>IF(ISBLANK(patch[[#This Row],[project]]), "",COUNTIFS($A:$A,patch[[#This Row],[number]],$S:$S, "BJ And dev",$AC:$AC, "Review-1"))</f>
        <v/>
      </c>
      <c r="X814" s="7" t="str">
        <f>IF(ISBLANK(patch[[#This Row],[project]]), "",COUNTIFS($A:$A,patch[[#This Row],[number]],$S:$S, "FL And dev",$AC:$AC, "Review-1"))</f>
        <v/>
      </c>
      <c r="Y814" s="7" t="str">
        <f>IF(ISBLANK(patch[[#This Row],[project]]), "",COUNTIFS($A:$A,patch[[#This Row],[number]],$S:$S, "SH And dev",$AC:$AC, "Review-1"))</f>
        <v/>
      </c>
      <c r="Z814" s="7" t="str">
        <f>IF(ISBLANK(patch[[#This Row],[project]]), "",COUNTIFS($A:$A,patch[[#This Row],[number]],$S:$S, "BJ And dev",$AD:$AD, "&lt;&gt;IntegratorValidationComment"))</f>
        <v/>
      </c>
      <c r="AA814" s="7" t="str">
        <f>IF(ISBLANK(patch[[#This Row],[project]]), "",COUNTIFS($A:$A,patch[[#This Row],[number]],$S:$S, "FL And dev",$AD:$AD, "&lt;&gt;IntegratorValidationComment"))</f>
        <v/>
      </c>
      <c r="AB814" s="7" t="str">
        <f>IF(ISBLANK(patch[[#This Row],[project]]), "",COUNTIFS($A:$A,patch[[#This Row],[number]],$S:$S, "SH And dev",$AD:$AD, "&lt;&gt;IntegratorValidationComment"))</f>
        <v/>
      </c>
      <c r="AC814" s="7" t="str">
        <f>IF(OR(ISNUMBER(FIND("Review-1", patch[[#This Row],[comments]])), ISNUMBER(FIND("Approver-1", patch[[#This Row],[comments]]))), "Review-1", "")</f>
        <v/>
      </c>
      <c r="AD8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14" s="7">
        <f>IF(ISBLANK(patch[[#This Row],[number]]),AE813,patch[[#This Row],[ifCommon]])</f>
        <v>0</v>
      </c>
    </row>
    <row r="815" spans="1:31">
      <c r="A815" s="151">
        <v>143629</v>
      </c>
      <c r="B815" s="151"/>
      <c r="C815" s="151"/>
      <c r="D815" s="151"/>
      <c r="E815" s="151"/>
      <c r="F815" s="151"/>
      <c r="G815" s="151"/>
      <c r="H815" s="151"/>
      <c r="I815" s="151"/>
      <c r="J815" s="152">
        <v>42635.711226851847</v>
      </c>
      <c r="K815" s="151"/>
      <c r="L815" s="151" t="s">
        <v>59</v>
      </c>
      <c r="M815" s="152">
        <v>42634.591643518521</v>
      </c>
      <c r="N815" s="151" t="s">
        <v>3009</v>
      </c>
      <c r="O815" s="151"/>
      <c r="P815" s="151"/>
      <c r="Q815" s="7" t="str">
        <f>IF(ISBLANK(patch[[#This Row],[OwnerEmail]]),Q814,patch[[#This Row],[OwnerEmail]])</f>
        <v>john.mathew@intel.com</v>
      </c>
      <c r="R815" s="7" t="str">
        <f>_xlfn.IFNA(VLOOKUP(patch[[#This Row],[tmp-owner.email]],OrgTree!$A:$K, 11, 0), "not ICG SWFW")</f>
        <v>FL And dev</v>
      </c>
      <c r="S815" s="7" t="str">
        <f>IF(patch[[#This Row],[reviewer]]=patch[[#This Row],[tmp-owner.email]], "author", _xlfn.IFNA(VLOOKUP(patch[[#This Row],[reviewer]],OrgTree!$A:$K, 11, 0), "not ICG SWFW"))</f>
        <v>BJ And dev</v>
      </c>
      <c r="T815" s="7" t="str">
        <f>IF(ISBLANK(patch[[#This Row],[mergeDate]]), "", MID(YEAR(patch[[#This Row],[mergeDate]]), 3,2)&amp;"'ww"&amp;WEEKNUM(patch[[#This Row],[mergeDate]]))</f>
        <v>16'ww39</v>
      </c>
      <c r="U815" s="7" t="str">
        <f>IF(ISBLANK(patch[[#This Row],[mergeDate]]), U814, MID(YEAR(patch[[#This Row],[mergeDate]]), 3,2)&amp;"'m"&amp;MONTH(patch[[#This Row],[mergeDate]]))</f>
        <v>16'm9</v>
      </c>
      <c r="V815" s="7" t="str">
        <f>IF(ISBLANK(patch[[#This Row],[project]]), "",SUM(patch[[#This Row],[BJ -1 num]:[SH -1 num]]))</f>
        <v/>
      </c>
      <c r="W815" s="7" t="str">
        <f>IF(ISBLANK(patch[[#This Row],[project]]), "",COUNTIFS($A:$A,patch[[#This Row],[number]],$S:$S, "BJ And dev",$AC:$AC, "Review-1"))</f>
        <v/>
      </c>
      <c r="X815" s="7" t="str">
        <f>IF(ISBLANK(patch[[#This Row],[project]]), "",COUNTIFS($A:$A,patch[[#This Row],[number]],$S:$S, "FL And dev",$AC:$AC, "Review-1"))</f>
        <v/>
      </c>
      <c r="Y815" s="7" t="str">
        <f>IF(ISBLANK(patch[[#This Row],[project]]), "",COUNTIFS($A:$A,patch[[#This Row],[number]],$S:$S, "SH And dev",$AC:$AC, "Review-1"))</f>
        <v/>
      </c>
      <c r="Z815" s="7" t="str">
        <f>IF(ISBLANK(patch[[#This Row],[project]]), "",COUNTIFS($A:$A,patch[[#This Row],[number]],$S:$S, "BJ And dev",$AD:$AD, "&lt;&gt;IntegratorValidationComment"))</f>
        <v/>
      </c>
      <c r="AA815" s="7" t="str">
        <f>IF(ISBLANK(patch[[#This Row],[project]]), "",COUNTIFS($A:$A,patch[[#This Row],[number]],$S:$S, "FL And dev",$AD:$AD, "&lt;&gt;IntegratorValidationComment"))</f>
        <v/>
      </c>
      <c r="AB815" s="7" t="str">
        <f>IF(ISBLANK(patch[[#This Row],[project]]), "",COUNTIFS($A:$A,patch[[#This Row],[number]],$S:$S, "SH And dev",$AD:$AD, "&lt;&gt;IntegratorValidationComment"))</f>
        <v/>
      </c>
      <c r="AC815" s="7" t="str">
        <f>IF(OR(ISNUMBER(FIND("Review-1", patch[[#This Row],[comments]])), ISNUMBER(FIND("Approver-1", patch[[#This Row],[comments]]))), "Review-1", "")</f>
        <v/>
      </c>
      <c r="AD8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15" s="7">
        <f>IF(ISBLANK(patch[[#This Row],[number]]),AE814,patch[[#This Row],[ifCommon]])</f>
        <v>0</v>
      </c>
    </row>
    <row r="816" spans="1:31">
      <c r="A816" s="151">
        <v>143629</v>
      </c>
      <c r="B816" s="151"/>
      <c r="C816" s="151"/>
      <c r="D816" s="151"/>
      <c r="E816" s="151"/>
      <c r="F816" s="151"/>
      <c r="G816" s="151"/>
      <c r="H816" s="151"/>
      <c r="I816" s="151"/>
      <c r="J816" s="152">
        <v>42635.711226851847</v>
      </c>
      <c r="K816" s="151"/>
      <c r="L816" s="151" t="s">
        <v>32</v>
      </c>
      <c r="M816" s="152">
        <v>42634.716840277782</v>
      </c>
      <c r="N816" s="151" t="s">
        <v>31</v>
      </c>
      <c r="O816" s="151"/>
      <c r="P816" s="151"/>
      <c r="Q816" s="7" t="str">
        <f>IF(ISBLANK(patch[[#This Row],[OwnerEmail]]),Q815,patch[[#This Row],[OwnerEmail]])</f>
        <v>john.mathew@intel.com</v>
      </c>
      <c r="R816" s="7" t="str">
        <f>_xlfn.IFNA(VLOOKUP(patch[[#This Row],[tmp-owner.email]],OrgTree!$A:$K, 11, 0), "not ICG SWFW")</f>
        <v>FL And dev</v>
      </c>
      <c r="S816" s="7" t="str">
        <f>IF(patch[[#This Row],[reviewer]]=patch[[#This Row],[tmp-owner.email]], "author", _xlfn.IFNA(VLOOKUP(patch[[#This Row],[reviewer]],OrgTree!$A:$K, 11, 0), "not ICG SWFW"))</f>
        <v>BJ And dev</v>
      </c>
      <c r="T816" s="7" t="str">
        <f>IF(ISBLANK(patch[[#This Row],[mergeDate]]), "", MID(YEAR(patch[[#This Row],[mergeDate]]), 3,2)&amp;"'ww"&amp;WEEKNUM(patch[[#This Row],[mergeDate]]))</f>
        <v>16'ww39</v>
      </c>
      <c r="U816" s="7" t="str">
        <f>IF(ISBLANK(patch[[#This Row],[mergeDate]]), U815, MID(YEAR(patch[[#This Row],[mergeDate]]), 3,2)&amp;"'m"&amp;MONTH(patch[[#This Row],[mergeDate]]))</f>
        <v>16'm9</v>
      </c>
      <c r="V816" s="7" t="str">
        <f>IF(ISBLANK(patch[[#This Row],[project]]), "",SUM(patch[[#This Row],[BJ -1 num]:[SH -1 num]]))</f>
        <v/>
      </c>
      <c r="W816" s="7" t="str">
        <f>IF(ISBLANK(patch[[#This Row],[project]]), "",COUNTIFS($A:$A,patch[[#This Row],[number]],$S:$S, "BJ And dev",$AC:$AC, "Review-1"))</f>
        <v/>
      </c>
      <c r="X816" s="7" t="str">
        <f>IF(ISBLANK(patch[[#This Row],[project]]), "",COUNTIFS($A:$A,patch[[#This Row],[number]],$S:$S, "FL And dev",$AC:$AC, "Review-1"))</f>
        <v/>
      </c>
      <c r="Y816" s="7" t="str">
        <f>IF(ISBLANK(patch[[#This Row],[project]]), "",COUNTIFS($A:$A,patch[[#This Row],[number]],$S:$S, "SH And dev",$AC:$AC, "Review-1"))</f>
        <v/>
      </c>
      <c r="Z816" s="7" t="str">
        <f>IF(ISBLANK(patch[[#This Row],[project]]), "",COUNTIFS($A:$A,patch[[#This Row],[number]],$S:$S, "BJ And dev",$AD:$AD, "&lt;&gt;IntegratorValidationComment"))</f>
        <v/>
      </c>
      <c r="AA816" s="7" t="str">
        <f>IF(ISBLANK(patch[[#This Row],[project]]), "",COUNTIFS($A:$A,patch[[#This Row],[number]],$S:$S, "FL And dev",$AD:$AD, "&lt;&gt;IntegratorValidationComment"))</f>
        <v/>
      </c>
      <c r="AB816" s="7" t="str">
        <f>IF(ISBLANK(patch[[#This Row],[project]]), "",COUNTIFS($A:$A,patch[[#This Row],[number]],$S:$S, "SH And dev",$AD:$AD, "&lt;&gt;IntegratorValidationComment"))</f>
        <v/>
      </c>
      <c r="AC816" s="7" t="str">
        <f>IF(OR(ISNUMBER(FIND("Review-1", patch[[#This Row],[comments]])), ISNUMBER(FIND("Approver-1", patch[[#This Row],[comments]]))), "Review-1", "")</f>
        <v/>
      </c>
      <c r="AD8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16" s="7">
        <f>IF(ISBLANK(patch[[#This Row],[number]]),AE815,patch[[#This Row],[ifCommon]])</f>
        <v>0</v>
      </c>
    </row>
    <row r="817" spans="1:31">
      <c r="A817" s="151">
        <v>143629</v>
      </c>
      <c r="B817" s="151"/>
      <c r="C817" s="151"/>
      <c r="D817" s="151"/>
      <c r="E817" s="151"/>
      <c r="F817" s="151"/>
      <c r="G817" s="151"/>
      <c r="H817" s="151"/>
      <c r="I817" s="151"/>
      <c r="J817" s="152">
        <v>42635.711226851847</v>
      </c>
      <c r="K817" s="151"/>
      <c r="L817" s="151" t="s">
        <v>59</v>
      </c>
      <c r="M817" s="152">
        <v>42634.722905092603</v>
      </c>
      <c r="N817" s="151" t="s">
        <v>31</v>
      </c>
      <c r="O817" s="151"/>
      <c r="P817" s="151"/>
      <c r="Q817" s="7" t="str">
        <f>IF(ISBLANK(patch[[#This Row],[OwnerEmail]]),Q816,patch[[#This Row],[OwnerEmail]])</f>
        <v>john.mathew@intel.com</v>
      </c>
      <c r="R817" s="7" t="str">
        <f>_xlfn.IFNA(VLOOKUP(patch[[#This Row],[tmp-owner.email]],OrgTree!$A:$K, 11, 0), "not ICG SWFW")</f>
        <v>FL And dev</v>
      </c>
      <c r="S817" s="7" t="str">
        <f>IF(patch[[#This Row],[reviewer]]=patch[[#This Row],[tmp-owner.email]], "author", _xlfn.IFNA(VLOOKUP(patch[[#This Row],[reviewer]],OrgTree!$A:$K, 11, 0), "not ICG SWFW"))</f>
        <v>BJ And dev</v>
      </c>
      <c r="T817" s="7" t="str">
        <f>IF(ISBLANK(patch[[#This Row],[mergeDate]]), "", MID(YEAR(patch[[#This Row],[mergeDate]]), 3,2)&amp;"'ww"&amp;WEEKNUM(patch[[#This Row],[mergeDate]]))</f>
        <v>16'ww39</v>
      </c>
      <c r="U817" s="7" t="str">
        <f>IF(ISBLANK(patch[[#This Row],[mergeDate]]), U816, MID(YEAR(patch[[#This Row],[mergeDate]]), 3,2)&amp;"'m"&amp;MONTH(patch[[#This Row],[mergeDate]]))</f>
        <v>16'm9</v>
      </c>
      <c r="V817" s="7" t="str">
        <f>IF(ISBLANK(patch[[#This Row],[project]]), "",SUM(patch[[#This Row],[BJ -1 num]:[SH -1 num]]))</f>
        <v/>
      </c>
      <c r="W817" s="7" t="str">
        <f>IF(ISBLANK(patch[[#This Row],[project]]), "",COUNTIFS($A:$A,patch[[#This Row],[number]],$S:$S, "BJ And dev",$AC:$AC, "Review-1"))</f>
        <v/>
      </c>
      <c r="X817" s="7" t="str">
        <f>IF(ISBLANK(patch[[#This Row],[project]]), "",COUNTIFS($A:$A,patch[[#This Row],[number]],$S:$S, "FL And dev",$AC:$AC, "Review-1"))</f>
        <v/>
      </c>
      <c r="Y817" s="7" t="str">
        <f>IF(ISBLANK(patch[[#This Row],[project]]), "",COUNTIFS($A:$A,patch[[#This Row],[number]],$S:$S, "SH And dev",$AC:$AC, "Review-1"))</f>
        <v/>
      </c>
      <c r="Z817" s="7" t="str">
        <f>IF(ISBLANK(patch[[#This Row],[project]]), "",COUNTIFS($A:$A,patch[[#This Row],[number]],$S:$S, "BJ And dev",$AD:$AD, "&lt;&gt;IntegratorValidationComment"))</f>
        <v/>
      </c>
      <c r="AA817" s="7" t="str">
        <f>IF(ISBLANK(patch[[#This Row],[project]]), "",COUNTIFS($A:$A,patch[[#This Row],[number]],$S:$S, "FL And dev",$AD:$AD, "&lt;&gt;IntegratorValidationComment"))</f>
        <v/>
      </c>
      <c r="AB817" s="7" t="str">
        <f>IF(ISBLANK(patch[[#This Row],[project]]), "",COUNTIFS($A:$A,patch[[#This Row],[number]],$S:$S, "SH And dev",$AD:$AD, "&lt;&gt;IntegratorValidationComment"))</f>
        <v/>
      </c>
      <c r="AC817" s="7" t="str">
        <f>IF(OR(ISNUMBER(FIND("Review-1", patch[[#This Row],[comments]])), ISNUMBER(FIND("Approver-1", patch[[#This Row],[comments]]))), "Review-1", "")</f>
        <v/>
      </c>
      <c r="AD8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17" s="7">
        <f>IF(ISBLANK(patch[[#This Row],[number]]),AE816,patch[[#This Row],[ifCommon]])</f>
        <v>0</v>
      </c>
    </row>
    <row r="818" spans="1:31">
      <c r="A818" s="151">
        <v>143629</v>
      </c>
      <c r="B818" s="151"/>
      <c r="C818" s="151"/>
      <c r="D818" s="151"/>
      <c r="E818" s="151"/>
      <c r="F818" s="151"/>
      <c r="G818" s="151"/>
      <c r="H818" s="151"/>
      <c r="I818" s="151"/>
      <c r="J818" s="152">
        <v>42635.711226851847</v>
      </c>
      <c r="K818" s="151"/>
      <c r="L818" s="151" t="s">
        <v>32</v>
      </c>
      <c r="M818" s="152">
        <v>42634.723171296297</v>
      </c>
      <c r="N818" s="151" t="s">
        <v>1898</v>
      </c>
      <c r="O818" s="151"/>
      <c r="P818" s="151"/>
      <c r="Q818" s="7" t="str">
        <f>IF(ISBLANK(patch[[#This Row],[OwnerEmail]]),Q817,patch[[#This Row],[OwnerEmail]])</f>
        <v>john.mathew@intel.com</v>
      </c>
      <c r="R818" s="7" t="str">
        <f>_xlfn.IFNA(VLOOKUP(patch[[#This Row],[tmp-owner.email]],OrgTree!$A:$K, 11, 0), "not ICG SWFW")</f>
        <v>FL And dev</v>
      </c>
      <c r="S818" s="7" t="str">
        <f>IF(patch[[#This Row],[reviewer]]=patch[[#This Row],[tmp-owner.email]], "author", _xlfn.IFNA(VLOOKUP(patch[[#This Row],[reviewer]],OrgTree!$A:$K, 11, 0), "not ICG SWFW"))</f>
        <v>BJ And dev</v>
      </c>
      <c r="T818" s="7" t="str">
        <f>IF(ISBLANK(patch[[#This Row],[mergeDate]]), "", MID(YEAR(patch[[#This Row],[mergeDate]]), 3,2)&amp;"'ww"&amp;WEEKNUM(patch[[#This Row],[mergeDate]]))</f>
        <v>16'ww39</v>
      </c>
      <c r="U818" s="7" t="str">
        <f>IF(ISBLANK(patch[[#This Row],[mergeDate]]), U817, MID(YEAR(patch[[#This Row],[mergeDate]]), 3,2)&amp;"'m"&amp;MONTH(patch[[#This Row],[mergeDate]]))</f>
        <v>16'm9</v>
      </c>
      <c r="V818" s="7" t="str">
        <f>IF(ISBLANK(patch[[#This Row],[project]]), "",SUM(patch[[#This Row],[BJ -1 num]:[SH -1 num]]))</f>
        <v/>
      </c>
      <c r="W818" s="7" t="str">
        <f>IF(ISBLANK(patch[[#This Row],[project]]), "",COUNTIFS($A:$A,patch[[#This Row],[number]],$S:$S, "BJ And dev",$AC:$AC, "Review-1"))</f>
        <v/>
      </c>
      <c r="X818" s="7" t="str">
        <f>IF(ISBLANK(patch[[#This Row],[project]]), "",COUNTIFS($A:$A,patch[[#This Row],[number]],$S:$S, "FL And dev",$AC:$AC, "Review-1"))</f>
        <v/>
      </c>
      <c r="Y818" s="7" t="str">
        <f>IF(ISBLANK(patch[[#This Row],[project]]), "",COUNTIFS($A:$A,patch[[#This Row],[number]],$S:$S, "SH And dev",$AC:$AC, "Review-1"))</f>
        <v/>
      </c>
      <c r="Z818" s="7" t="str">
        <f>IF(ISBLANK(patch[[#This Row],[project]]), "",COUNTIFS($A:$A,patch[[#This Row],[number]],$S:$S, "BJ And dev",$AD:$AD, "&lt;&gt;IntegratorValidationComment"))</f>
        <v/>
      </c>
      <c r="AA818" s="7" t="str">
        <f>IF(ISBLANK(patch[[#This Row],[project]]), "",COUNTIFS($A:$A,patch[[#This Row],[number]],$S:$S, "FL And dev",$AD:$AD, "&lt;&gt;IntegratorValidationComment"))</f>
        <v/>
      </c>
      <c r="AB818" s="7" t="str">
        <f>IF(ISBLANK(patch[[#This Row],[project]]), "",COUNTIFS($A:$A,patch[[#This Row],[number]],$S:$S, "SH And dev",$AD:$AD, "&lt;&gt;IntegratorValidationComment"))</f>
        <v/>
      </c>
      <c r="AC818" s="7" t="str">
        <f>IF(OR(ISNUMBER(FIND("Review-1", patch[[#This Row],[comments]])), ISNUMBER(FIND("Approver-1", patch[[#This Row],[comments]]))), "Review-1", "")</f>
        <v/>
      </c>
      <c r="AD8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18" s="7">
        <f>IF(ISBLANK(patch[[#This Row],[number]]),AE817,patch[[#This Row],[ifCommon]])</f>
        <v>0</v>
      </c>
    </row>
    <row r="819" spans="1:31">
      <c r="A819" s="151">
        <v>143629</v>
      </c>
      <c r="B819" s="151"/>
      <c r="C819" s="151"/>
      <c r="D819" s="151"/>
      <c r="E819" s="151"/>
      <c r="F819" s="151"/>
      <c r="G819" s="151"/>
      <c r="H819" s="151"/>
      <c r="I819" s="151"/>
      <c r="J819" s="152">
        <v>42635.711226851847</v>
      </c>
      <c r="K819" s="151"/>
      <c r="L819" s="151" t="s">
        <v>115</v>
      </c>
      <c r="M819" s="152">
        <v>42635.428159722222</v>
      </c>
      <c r="N819" s="151" t="s">
        <v>2496</v>
      </c>
      <c r="O819" s="151"/>
      <c r="P819" s="151"/>
      <c r="Q819" s="7" t="str">
        <f>IF(ISBLANK(patch[[#This Row],[OwnerEmail]]),Q818,patch[[#This Row],[OwnerEmail]])</f>
        <v>john.mathew@intel.com</v>
      </c>
      <c r="R819" s="7" t="str">
        <f>_xlfn.IFNA(VLOOKUP(patch[[#This Row],[tmp-owner.email]],OrgTree!$A:$K, 11, 0), "not ICG SWFW")</f>
        <v>FL And dev</v>
      </c>
      <c r="S819" s="7" t="str">
        <f>IF(patch[[#This Row],[reviewer]]=patch[[#This Row],[tmp-owner.email]], "author", _xlfn.IFNA(VLOOKUP(patch[[#This Row],[reviewer]],OrgTree!$A:$K, 11, 0), "not ICG SWFW"))</f>
        <v>Val</v>
      </c>
      <c r="T819" s="7" t="str">
        <f>IF(ISBLANK(patch[[#This Row],[mergeDate]]), "", MID(YEAR(patch[[#This Row],[mergeDate]]), 3,2)&amp;"'ww"&amp;WEEKNUM(patch[[#This Row],[mergeDate]]))</f>
        <v>16'ww39</v>
      </c>
      <c r="U819" s="7" t="str">
        <f>IF(ISBLANK(patch[[#This Row],[mergeDate]]), U818, MID(YEAR(patch[[#This Row],[mergeDate]]), 3,2)&amp;"'m"&amp;MONTH(patch[[#This Row],[mergeDate]]))</f>
        <v>16'm9</v>
      </c>
      <c r="V819" s="7" t="str">
        <f>IF(ISBLANK(patch[[#This Row],[project]]), "",SUM(patch[[#This Row],[BJ -1 num]:[SH -1 num]]))</f>
        <v/>
      </c>
      <c r="W819" s="7" t="str">
        <f>IF(ISBLANK(patch[[#This Row],[project]]), "",COUNTIFS($A:$A,patch[[#This Row],[number]],$S:$S, "BJ And dev",$AC:$AC, "Review-1"))</f>
        <v/>
      </c>
      <c r="X819" s="7" t="str">
        <f>IF(ISBLANK(patch[[#This Row],[project]]), "",COUNTIFS($A:$A,patch[[#This Row],[number]],$S:$S, "FL And dev",$AC:$AC, "Review-1"))</f>
        <v/>
      </c>
      <c r="Y819" s="7" t="str">
        <f>IF(ISBLANK(patch[[#This Row],[project]]), "",COUNTIFS($A:$A,patch[[#This Row],[number]],$S:$S, "SH And dev",$AC:$AC, "Review-1"))</f>
        <v/>
      </c>
      <c r="Z819" s="7" t="str">
        <f>IF(ISBLANK(patch[[#This Row],[project]]), "",COUNTIFS($A:$A,patch[[#This Row],[number]],$S:$S, "BJ And dev",$AD:$AD, "&lt;&gt;IntegratorValidationComment"))</f>
        <v/>
      </c>
      <c r="AA819" s="7" t="str">
        <f>IF(ISBLANK(patch[[#This Row],[project]]), "",COUNTIFS($A:$A,patch[[#This Row],[number]],$S:$S, "FL And dev",$AD:$AD, "&lt;&gt;IntegratorValidationComment"))</f>
        <v/>
      </c>
      <c r="AB819" s="7" t="str">
        <f>IF(ISBLANK(patch[[#This Row],[project]]), "",COUNTIFS($A:$A,patch[[#This Row],[number]],$S:$S, "SH And dev",$AD:$AD, "&lt;&gt;IntegratorValidationComment"))</f>
        <v/>
      </c>
      <c r="AC819" s="7" t="str">
        <f>IF(OR(ISNUMBER(FIND("Review-1", patch[[#This Row],[comments]])), ISNUMBER(FIND("Approver-1", patch[[#This Row],[comments]]))), "Review-1", "")</f>
        <v/>
      </c>
      <c r="AD8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819" s="7">
        <f>IF(ISBLANK(patch[[#This Row],[number]]),AE818,patch[[#This Row],[ifCommon]])</f>
        <v>0</v>
      </c>
    </row>
    <row r="820" spans="1:31">
      <c r="A820" s="151">
        <v>146597</v>
      </c>
      <c r="B820" s="151" t="s">
        <v>2490</v>
      </c>
      <c r="C820" s="151" t="s">
        <v>2491</v>
      </c>
      <c r="D820" s="151" t="s">
        <v>2898</v>
      </c>
      <c r="E820" s="151" t="s">
        <v>59</v>
      </c>
      <c r="F820" s="151" t="s">
        <v>23</v>
      </c>
      <c r="G820" s="151" t="s">
        <v>2899</v>
      </c>
      <c r="H820" s="151" t="s">
        <v>2900</v>
      </c>
      <c r="I820" s="152">
        <v>42633.738599537042</v>
      </c>
      <c r="J820" s="152">
        <v>42635.711134259262</v>
      </c>
      <c r="K820" s="151" t="s">
        <v>2445</v>
      </c>
      <c r="L820" s="151" t="s">
        <v>59</v>
      </c>
      <c r="M820" s="152">
        <v>42633.738599537042</v>
      </c>
      <c r="N820" s="151" t="s">
        <v>2428</v>
      </c>
      <c r="O820" s="151"/>
      <c r="P820" s="151" t="s">
        <v>2995</v>
      </c>
      <c r="Q820" s="7" t="str">
        <f>IF(ISBLANK(patch[[#This Row],[OwnerEmail]]),Q819,patch[[#This Row],[OwnerEmail]])</f>
        <v>xiaozhou.liu@intel.com</v>
      </c>
      <c r="R820" s="7" t="str">
        <f>_xlfn.IFNA(VLOOKUP(patch[[#This Row],[tmp-owner.email]],OrgTree!$A:$K, 11, 0), "not ICG SWFW")</f>
        <v>BJ And dev</v>
      </c>
      <c r="S820" s="7" t="str">
        <f>IF(patch[[#This Row],[reviewer]]=patch[[#This Row],[tmp-owner.email]], "author", _xlfn.IFNA(VLOOKUP(patch[[#This Row],[reviewer]],OrgTree!$A:$K, 11, 0), "not ICG SWFW"))</f>
        <v>author</v>
      </c>
      <c r="T820" s="7" t="str">
        <f>IF(ISBLANK(patch[[#This Row],[mergeDate]]), "", MID(YEAR(patch[[#This Row],[mergeDate]]), 3,2)&amp;"'ww"&amp;WEEKNUM(patch[[#This Row],[mergeDate]]))</f>
        <v>16'ww39</v>
      </c>
      <c r="U820" s="7" t="str">
        <f>IF(ISBLANK(patch[[#This Row],[mergeDate]]), U819, MID(YEAR(patch[[#This Row],[mergeDate]]), 3,2)&amp;"'m"&amp;MONTH(patch[[#This Row],[mergeDate]]))</f>
        <v>16'm9</v>
      </c>
      <c r="V820" s="7">
        <f>IF(ISBLANK(patch[[#This Row],[project]]), "",SUM(patch[[#This Row],[BJ -1 num]:[SH -1 num]]))</f>
        <v>0</v>
      </c>
      <c r="W820" s="7">
        <f>IF(ISBLANK(patch[[#This Row],[project]]), "",COUNTIFS($A:$A,patch[[#This Row],[number]],$S:$S, "BJ And dev",$AC:$AC, "Review-1"))</f>
        <v>0</v>
      </c>
      <c r="X820" s="7">
        <f>IF(ISBLANK(patch[[#This Row],[project]]), "",COUNTIFS($A:$A,patch[[#This Row],[number]],$S:$S, "FL And dev",$AC:$AC, "Review-1"))</f>
        <v>0</v>
      </c>
      <c r="Y820" s="7">
        <f>IF(ISBLANK(patch[[#This Row],[project]]), "",COUNTIFS($A:$A,patch[[#This Row],[number]],$S:$S, "SH And dev",$AC:$AC, "Review-1"))</f>
        <v>0</v>
      </c>
      <c r="Z820" s="7">
        <f>IF(ISBLANK(patch[[#This Row],[project]]), "",COUNTIFS($A:$A,patch[[#This Row],[number]],$S:$S, "BJ And dev",$AD:$AD, "&lt;&gt;IntegratorValidationComment"))</f>
        <v>4</v>
      </c>
      <c r="AA820" s="7">
        <f>IF(ISBLANK(patch[[#This Row],[project]]), "",COUNTIFS($A:$A,patch[[#This Row],[number]],$S:$S, "FL And dev",$AD:$AD, "&lt;&gt;IntegratorValidationComment"))</f>
        <v>0</v>
      </c>
      <c r="AB820" s="7">
        <f>IF(ISBLANK(patch[[#This Row],[project]]), "",COUNTIFS($A:$A,patch[[#This Row],[number]],$S:$S, "SH And dev",$AD:$AD, "&lt;&gt;IntegratorValidationComment"))</f>
        <v>0</v>
      </c>
      <c r="AC820" s="7" t="str">
        <f>IF(OR(ISNUMBER(FIND("Review-1", patch[[#This Row],[comments]])), ISNUMBER(FIND("Approver-1", patch[[#This Row],[comments]]))), "Review-1", "")</f>
        <v/>
      </c>
      <c r="AD8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20" s="7" t="str">
        <f>IF(ISBLANK(patch[[#This Row],[number]]),AE819,patch[[#This Row],[ifCommon]])</f>
        <v>not AndrHAL</v>
      </c>
    </row>
    <row r="821" spans="1:31">
      <c r="A821" s="151">
        <v>146597</v>
      </c>
      <c r="B821" s="151"/>
      <c r="C821" s="151"/>
      <c r="D821" s="151"/>
      <c r="E821" s="151"/>
      <c r="F821" s="151"/>
      <c r="G821" s="151"/>
      <c r="H821" s="151"/>
      <c r="I821" s="151"/>
      <c r="J821" s="152">
        <v>42635.711134259262</v>
      </c>
      <c r="K821" s="151"/>
      <c r="L821" s="151" t="s">
        <v>59</v>
      </c>
      <c r="M821" s="152">
        <v>42633.738599537042</v>
      </c>
      <c r="N821" s="151" t="s">
        <v>25</v>
      </c>
      <c r="O821" s="151"/>
      <c r="P821" s="151"/>
      <c r="Q821" s="7" t="str">
        <f>IF(ISBLANK(patch[[#This Row],[OwnerEmail]]),Q820,patch[[#This Row],[OwnerEmail]])</f>
        <v>xiaozhou.liu@intel.com</v>
      </c>
      <c r="R821" s="7" t="str">
        <f>_xlfn.IFNA(VLOOKUP(patch[[#This Row],[tmp-owner.email]],OrgTree!$A:$K, 11, 0), "not ICG SWFW")</f>
        <v>BJ And dev</v>
      </c>
      <c r="S821" s="7" t="str">
        <f>IF(patch[[#This Row],[reviewer]]=patch[[#This Row],[tmp-owner.email]], "author", _xlfn.IFNA(VLOOKUP(patch[[#This Row],[reviewer]],OrgTree!$A:$K, 11, 0), "not ICG SWFW"))</f>
        <v>author</v>
      </c>
      <c r="T821" s="7" t="str">
        <f>IF(ISBLANK(patch[[#This Row],[mergeDate]]), "", MID(YEAR(patch[[#This Row],[mergeDate]]), 3,2)&amp;"'ww"&amp;WEEKNUM(patch[[#This Row],[mergeDate]]))</f>
        <v>16'ww39</v>
      </c>
      <c r="U821" s="7" t="str">
        <f>IF(ISBLANK(patch[[#This Row],[mergeDate]]), U820, MID(YEAR(patch[[#This Row],[mergeDate]]), 3,2)&amp;"'m"&amp;MONTH(patch[[#This Row],[mergeDate]]))</f>
        <v>16'm9</v>
      </c>
      <c r="V821" s="7" t="str">
        <f>IF(ISBLANK(patch[[#This Row],[project]]), "",SUM(patch[[#This Row],[BJ -1 num]:[SH -1 num]]))</f>
        <v/>
      </c>
      <c r="W821" s="7" t="str">
        <f>IF(ISBLANK(patch[[#This Row],[project]]), "",COUNTIFS($A:$A,patch[[#This Row],[number]],$S:$S, "BJ And dev",$AC:$AC, "Review-1"))</f>
        <v/>
      </c>
      <c r="X821" s="7" t="str">
        <f>IF(ISBLANK(patch[[#This Row],[project]]), "",COUNTIFS($A:$A,patch[[#This Row],[number]],$S:$S, "FL And dev",$AC:$AC, "Review-1"))</f>
        <v/>
      </c>
      <c r="Y821" s="7" t="str">
        <f>IF(ISBLANK(patch[[#This Row],[project]]), "",COUNTIFS($A:$A,patch[[#This Row],[number]],$S:$S, "SH And dev",$AC:$AC, "Review-1"))</f>
        <v/>
      </c>
      <c r="Z821" s="7" t="str">
        <f>IF(ISBLANK(patch[[#This Row],[project]]), "",COUNTIFS($A:$A,patch[[#This Row],[number]],$S:$S, "BJ And dev",$AD:$AD, "&lt;&gt;IntegratorValidationComment"))</f>
        <v/>
      </c>
      <c r="AA821" s="7" t="str">
        <f>IF(ISBLANK(patch[[#This Row],[project]]), "",COUNTIFS($A:$A,patch[[#This Row],[number]],$S:$S, "FL And dev",$AD:$AD, "&lt;&gt;IntegratorValidationComment"))</f>
        <v/>
      </c>
      <c r="AB821" s="7" t="str">
        <f>IF(ISBLANK(patch[[#This Row],[project]]), "",COUNTIFS($A:$A,patch[[#This Row],[number]],$S:$S, "SH And dev",$AD:$AD, "&lt;&gt;IntegratorValidationComment"))</f>
        <v/>
      </c>
      <c r="AC821" s="7" t="str">
        <f>IF(OR(ISNUMBER(FIND("Review-1", patch[[#This Row],[comments]])), ISNUMBER(FIND("Approver-1", patch[[#This Row],[comments]]))), "Review-1", "")</f>
        <v/>
      </c>
      <c r="AD8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21" s="7">
        <f>IF(ISBLANK(patch[[#This Row],[number]]),AE820,patch[[#This Row],[ifCommon]])</f>
        <v>0</v>
      </c>
    </row>
    <row r="822" spans="1:31">
      <c r="A822" s="151">
        <v>146597</v>
      </c>
      <c r="B822" s="151"/>
      <c r="C822" s="151"/>
      <c r="D822" s="151"/>
      <c r="E822" s="151"/>
      <c r="F822" s="151"/>
      <c r="G822" s="151"/>
      <c r="H822" s="151"/>
      <c r="I822" s="151"/>
      <c r="J822" s="152">
        <v>42635.711134259262</v>
      </c>
      <c r="K822" s="151"/>
      <c r="L822" s="151" t="s">
        <v>59</v>
      </c>
      <c r="M822" s="152">
        <v>42633.739791666667</v>
      </c>
      <c r="N822" s="151" t="s">
        <v>40</v>
      </c>
      <c r="O822" s="151"/>
      <c r="P822" s="151"/>
      <c r="Q822" s="7" t="str">
        <f>IF(ISBLANK(patch[[#This Row],[OwnerEmail]]),Q821,patch[[#This Row],[OwnerEmail]])</f>
        <v>xiaozhou.liu@intel.com</v>
      </c>
      <c r="R822" s="7" t="str">
        <f>_xlfn.IFNA(VLOOKUP(patch[[#This Row],[tmp-owner.email]],OrgTree!$A:$K, 11, 0), "not ICG SWFW")</f>
        <v>BJ And dev</v>
      </c>
      <c r="S822" s="7" t="str">
        <f>IF(patch[[#This Row],[reviewer]]=patch[[#This Row],[tmp-owner.email]], "author", _xlfn.IFNA(VLOOKUP(patch[[#This Row],[reviewer]],OrgTree!$A:$K, 11, 0), "not ICG SWFW"))</f>
        <v>author</v>
      </c>
      <c r="T822" s="7" t="str">
        <f>IF(ISBLANK(patch[[#This Row],[mergeDate]]), "", MID(YEAR(patch[[#This Row],[mergeDate]]), 3,2)&amp;"'ww"&amp;WEEKNUM(patch[[#This Row],[mergeDate]]))</f>
        <v>16'ww39</v>
      </c>
      <c r="U822" s="7" t="str">
        <f>IF(ISBLANK(patch[[#This Row],[mergeDate]]), U821, MID(YEAR(patch[[#This Row],[mergeDate]]), 3,2)&amp;"'m"&amp;MONTH(patch[[#This Row],[mergeDate]]))</f>
        <v>16'm9</v>
      </c>
      <c r="V822" s="7" t="str">
        <f>IF(ISBLANK(patch[[#This Row],[project]]), "",SUM(patch[[#This Row],[BJ -1 num]:[SH -1 num]]))</f>
        <v/>
      </c>
      <c r="W822" s="7" t="str">
        <f>IF(ISBLANK(patch[[#This Row],[project]]), "",COUNTIFS($A:$A,patch[[#This Row],[number]],$S:$S, "BJ And dev",$AC:$AC, "Review-1"))</f>
        <v/>
      </c>
      <c r="X822" s="7" t="str">
        <f>IF(ISBLANK(patch[[#This Row],[project]]), "",COUNTIFS($A:$A,patch[[#This Row],[number]],$S:$S, "FL And dev",$AC:$AC, "Review-1"))</f>
        <v/>
      </c>
      <c r="Y822" s="7" t="str">
        <f>IF(ISBLANK(patch[[#This Row],[project]]), "",COUNTIFS($A:$A,patch[[#This Row],[number]],$S:$S, "SH And dev",$AC:$AC, "Review-1"))</f>
        <v/>
      </c>
      <c r="Z822" s="7" t="str">
        <f>IF(ISBLANK(patch[[#This Row],[project]]), "",COUNTIFS($A:$A,patch[[#This Row],[number]],$S:$S, "BJ And dev",$AD:$AD, "&lt;&gt;IntegratorValidationComment"))</f>
        <v/>
      </c>
      <c r="AA822" s="7" t="str">
        <f>IF(ISBLANK(patch[[#This Row],[project]]), "",COUNTIFS($A:$A,patch[[#This Row],[number]],$S:$S, "FL And dev",$AD:$AD, "&lt;&gt;IntegratorValidationComment"))</f>
        <v/>
      </c>
      <c r="AB822" s="7" t="str">
        <f>IF(ISBLANK(patch[[#This Row],[project]]), "",COUNTIFS($A:$A,patch[[#This Row],[number]],$S:$S, "SH And dev",$AD:$AD, "&lt;&gt;IntegratorValidationComment"))</f>
        <v/>
      </c>
      <c r="AC822" s="7" t="str">
        <f>IF(OR(ISNUMBER(FIND("Review-1", patch[[#This Row],[comments]])), ISNUMBER(FIND("Approver-1", patch[[#This Row],[comments]]))), "Review-1", "")</f>
        <v/>
      </c>
      <c r="AD8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22" s="7">
        <f>IF(ISBLANK(patch[[#This Row],[number]]),AE821,patch[[#This Row],[ifCommon]])</f>
        <v>0</v>
      </c>
    </row>
    <row r="823" spans="1:31">
      <c r="A823" s="151">
        <v>146597</v>
      </c>
      <c r="B823" s="151"/>
      <c r="C823" s="151"/>
      <c r="D823" s="151"/>
      <c r="E823" s="151"/>
      <c r="F823" s="151"/>
      <c r="G823" s="151"/>
      <c r="H823" s="151"/>
      <c r="I823" s="151"/>
      <c r="J823" s="152">
        <v>42635.711134259262</v>
      </c>
      <c r="K823" s="151"/>
      <c r="L823" s="151" t="s">
        <v>59</v>
      </c>
      <c r="M823" s="152">
        <v>42633.741562499999</v>
      </c>
      <c r="N823" s="151" t="s">
        <v>3010</v>
      </c>
      <c r="O823" s="151"/>
      <c r="P823" s="151"/>
      <c r="Q823" s="7" t="str">
        <f>IF(ISBLANK(patch[[#This Row],[OwnerEmail]]),Q822,patch[[#This Row],[OwnerEmail]])</f>
        <v>xiaozhou.liu@intel.com</v>
      </c>
      <c r="R823" s="7" t="str">
        <f>_xlfn.IFNA(VLOOKUP(patch[[#This Row],[tmp-owner.email]],OrgTree!$A:$K, 11, 0), "not ICG SWFW")</f>
        <v>BJ And dev</v>
      </c>
      <c r="S823" s="7" t="str">
        <f>IF(patch[[#This Row],[reviewer]]=patch[[#This Row],[tmp-owner.email]], "author", _xlfn.IFNA(VLOOKUP(patch[[#This Row],[reviewer]],OrgTree!$A:$K, 11, 0), "not ICG SWFW"))</f>
        <v>author</v>
      </c>
      <c r="T823" s="7" t="str">
        <f>IF(ISBLANK(patch[[#This Row],[mergeDate]]), "", MID(YEAR(patch[[#This Row],[mergeDate]]), 3,2)&amp;"'ww"&amp;WEEKNUM(patch[[#This Row],[mergeDate]]))</f>
        <v>16'ww39</v>
      </c>
      <c r="U823" s="7" t="str">
        <f>IF(ISBLANK(patch[[#This Row],[mergeDate]]), U822, MID(YEAR(patch[[#This Row],[mergeDate]]), 3,2)&amp;"'m"&amp;MONTH(patch[[#This Row],[mergeDate]]))</f>
        <v>16'm9</v>
      </c>
      <c r="V823" s="7" t="str">
        <f>IF(ISBLANK(patch[[#This Row],[project]]), "",SUM(patch[[#This Row],[BJ -1 num]:[SH -1 num]]))</f>
        <v/>
      </c>
      <c r="W823" s="7" t="str">
        <f>IF(ISBLANK(patch[[#This Row],[project]]), "",COUNTIFS($A:$A,patch[[#This Row],[number]],$S:$S, "BJ And dev",$AC:$AC, "Review-1"))</f>
        <v/>
      </c>
      <c r="X823" s="7" t="str">
        <f>IF(ISBLANK(patch[[#This Row],[project]]), "",COUNTIFS($A:$A,patch[[#This Row],[number]],$S:$S, "FL And dev",$AC:$AC, "Review-1"))</f>
        <v/>
      </c>
      <c r="Y823" s="7" t="str">
        <f>IF(ISBLANK(patch[[#This Row],[project]]), "",COUNTIFS($A:$A,patch[[#This Row],[number]],$S:$S, "SH And dev",$AC:$AC, "Review-1"))</f>
        <v/>
      </c>
      <c r="Z823" s="7" t="str">
        <f>IF(ISBLANK(patch[[#This Row],[project]]), "",COUNTIFS($A:$A,patch[[#This Row],[number]],$S:$S, "BJ And dev",$AD:$AD, "&lt;&gt;IntegratorValidationComment"))</f>
        <v/>
      </c>
      <c r="AA823" s="7" t="str">
        <f>IF(ISBLANK(patch[[#This Row],[project]]), "",COUNTIFS($A:$A,patch[[#This Row],[number]],$S:$S, "FL And dev",$AD:$AD, "&lt;&gt;IntegratorValidationComment"))</f>
        <v/>
      </c>
      <c r="AB823" s="7" t="str">
        <f>IF(ISBLANK(patch[[#This Row],[project]]), "",COUNTIFS($A:$A,patch[[#This Row],[number]],$S:$S, "SH And dev",$AD:$AD, "&lt;&gt;IntegratorValidationComment"))</f>
        <v/>
      </c>
      <c r="AC823" s="7" t="str">
        <f>IF(OR(ISNUMBER(FIND("Review-1", patch[[#This Row],[comments]])), ISNUMBER(FIND("Approver-1", patch[[#This Row],[comments]]))), "Review-1", "")</f>
        <v/>
      </c>
      <c r="AD8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23" s="7">
        <f>IF(ISBLANK(patch[[#This Row],[number]]),AE822,patch[[#This Row],[ifCommon]])</f>
        <v>0</v>
      </c>
    </row>
    <row r="824" spans="1:31">
      <c r="A824" s="151">
        <v>146597</v>
      </c>
      <c r="B824" s="151"/>
      <c r="C824" s="151"/>
      <c r="D824" s="151"/>
      <c r="E824" s="151"/>
      <c r="F824" s="151"/>
      <c r="G824" s="151"/>
      <c r="H824" s="151"/>
      <c r="I824" s="151"/>
      <c r="J824" s="152">
        <v>42635.711134259262</v>
      </c>
      <c r="K824" s="151"/>
      <c r="L824" s="151" t="s">
        <v>59</v>
      </c>
      <c r="M824" s="152">
        <v>42633.758819444447</v>
      </c>
      <c r="N824" s="151" t="s">
        <v>3011</v>
      </c>
      <c r="O824" s="151"/>
      <c r="P824" s="151"/>
      <c r="Q824" s="7" t="str">
        <f>IF(ISBLANK(patch[[#This Row],[OwnerEmail]]),Q823,patch[[#This Row],[OwnerEmail]])</f>
        <v>xiaozhou.liu@intel.com</v>
      </c>
      <c r="R824" s="7" t="str">
        <f>_xlfn.IFNA(VLOOKUP(patch[[#This Row],[tmp-owner.email]],OrgTree!$A:$K, 11, 0), "not ICG SWFW")</f>
        <v>BJ And dev</v>
      </c>
      <c r="S824" s="7" t="str">
        <f>IF(patch[[#This Row],[reviewer]]=patch[[#This Row],[tmp-owner.email]], "author", _xlfn.IFNA(VLOOKUP(patch[[#This Row],[reviewer]],OrgTree!$A:$K, 11, 0), "not ICG SWFW"))</f>
        <v>author</v>
      </c>
      <c r="T824" s="7" t="str">
        <f>IF(ISBLANK(patch[[#This Row],[mergeDate]]), "", MID(YEAR(patch[[#This Row],[mergeDate]]), 3,2)&amp;"'ww"&amp;WEEKNUM(patch[[#This Row],[mergeDate]]))</f>
        <v>16'ww39</v>
      </c>
      <c r="U824" s="7" t="str">
        <f>IF(ISBLANK(patch[[#This Row],[mergeDate]]), U823, MID(YEAR(patch[[#This Row],[mergeDate]]), 3,2)&amp;"'m"&amp;MONTH(patch[[#This Row],[mergeDate]]))</f>
        <v>16'm9</v>
      </c>
      <c r="V824" s="7" t="str">
        <f>IF(ISBLANK(patch[[#This Row],[project]]), "",SUM(patch[[#This Row],[BJ -1 num]:[SH -1 num]]))</f>
        <v/>
      </c>
      <c r="W824" s="7" t="str">
        <f>IF(ISBLANK(patch[[#This Row],[project]]), "",COUNTIFS($A:$A,patch[[#This Row],[number]],$S:$S, "BJ And dev",$AC:$AC, "Review-1"))</f>
        <v/>
      </c>
      <c r="X824" s="7" t="str">
        <f>IF(ISBLANK(patch[[#This Row],[project]]), "",COUNTIFS($A:$A,patch[[#This Row],[number]],$S:$S, "FL And dev",$AC:$AC, "Review-1"))</f>
        <v/>
      </c>
      <c r="Y824" s="7" t="str">
        <f>IF(ISBLANK(patch[[#This Row],[project]]), "",COUNTIFS($A:$A,patch[[#This Row],[number]],$S:$S, "SH And dev",$AC:$AC, "Review-1"))</f>
        <v/>
      </c>
      <c r="Z824" s="7" t="str">
        <f>IF(ISBLANK(patch[[#This Row],[project]]), "",COUNTIFS($A:$A,patch[[#This Row],[number]],$S:$S, "BJ And dev",$AD:$AD, "&lt;&gt;IntegratorValidationComment"))</f>
        <v/>
      </c>
      <c r="AA824" s="7" t="str">
        <f>IF(ISBLANK(patch[[#This Row],[project]]), "",COUNTIFS($A:$A,patch[[#This Row],[number]],$S:$S, "FL And dev",$AD:$AD, "&lt;&gt;IntegratorValidationComment"))</f>
        <v/>
      </c>
      <c r="AB824" s="7" t="str">
        <f>IF(ISBLANK(patch[[#This Row],[project]]), "",COUNTIFS($A:$A,patch[[#This Row],[number]],$S:$S, "SH And dev",$AD:$AD, "&lt;&gt;IntegratorValidationComment"))</f>
        <v/>
      </c>
      <c r="AC824" s="7" t="str">
        <f>IF(OR(ISNUMBER(FIND("Review-1", patch[[#This Row],[comments]])), ISNUMBER(FIND("Approver-1", patch[[#This Row],[comments]]))), "Review-1", "")</f>
        <v/>
      </c>
      <c r="AD8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24" s="7">
        <f>IF(ISBLANK(patch[[#This Row],[number]]),AE823,patch[[#This Row],[ifCommon]])</f>
        <v>0</v>
      </c>
    </row>
    <row r="825" spans="1:31">
      <c r="A825" s="151">
        <v>146597</v>
      </c>
      <c r="B825" s="151"/>
      <c r="C825" s="151"/>
      <c r="D825" s="151"/>
      <c r="E825" s="151"/>
      <c r="F825" s="151"/>
      <c r="G825" s="151"/>
      <c r="H825" s="151"/>
      <c r="I825" s="151"/>
      <c r="J825" s="152">
        <v>42635.711134259262</v>
      </c>
      <c r="K825" s="151"/>
      <c r="L825" s="151" t="s">
        <v>32</v>
      </c>
      <c r="M825" s="152">
        <v>42634.447974537034</v>
      </c>
      <c r="N825" s="151" t="s">
        <v>40</v>
      </c>
      <c r="O825" s="151"/>
      <c r="P825" s="151"/>
      <c r="Q825" s="7" t="str">
        <f>IF(ISBLANK(patch[[#This Row],[OwnerEmail]]),Q824,patch[[#This Row],[OwnerEmail]])</f>
        <v>xiaozhou.liu@intel.com</v>
      </c>
      <c r="R825" s="7" t="str">
        <f>_xlfn.IFNA(VLOOKUP(patch[[#This Row],[tmp-owner.email]],OrgTree!$A:$K, 11, 0), "not ICG SWFW")</f>
        <v>BJ And dev</v>
      </c>
      <c r="S825" s="7" t="str">
        <f>IF(patch[[#This Row],[reviewer]]=patch[[#This Row],[tmp-owner.email]], "author", _xlfn.IFNA(VLOOKUP(patch[[#This Row],[reviewer]],OrgTree!$A:$K, 11, 0), "not ICG SWFW"))</f>
        <v>BJ And dev</v>
      </c>
      <c r="T825" s="7" t="str">
        <f>IF(ISBLANK(patch[[#This Row],[mergeDate]]), "", MID(YEAR(patch[[#This Row],[mergeDate]]), 3,2)&amp;"'ww"&amp;WEEKNUM(patch[[#This Row],[mergeDate]]))</f>
        <v>16'ww39</v>
      </c>
      <c r="U825" s="7" t="str">
        <f>IF(ISBLANK(patch[[#This Row],[mergeDate]]), U824, MID(YEAR(patch[[#This Row],[mergeDate]]), 3,2)&amp;"'m"&amp;MONTH(patch[[#This Row],[mergeDate]]))</f>
        <v>16'm9</v>
      </c>
      <c r="V825" s="7" t="str">
        <f>IF(ISBLANK(patch[[#This Row],[project]]), "",SUM(patch[[#This Row],[BJ -1 num]:[SH -1 num]]))</f>
        <v/>
      </c>
      <c r="W825" s="7" t="str">
        <f>IF(ISBLANK(patch[[#This Row],[project]]), "",COUNTIFS($A:$A,patch[[#This Row],[number]],$S:$S, "BJ And dev",$AC:$AC, "Review-1"))</f>
        <v/>
      </c>
      <c r="X825" s="7" t="str">
        <f>IF(ISBLANK(patch[[#This Row],[project]]), "",COUNTIFS($A:$A,patch[[#This Row],[number]],$S:$S, "FL And dev",$AC:$AC, "Review-1"))</f>
        <v/>
      </c>
      <c r="Y825" s="7" t="str">
        <f>IF(ISBLANK(patch[[#This Row],[project]]), "",COUNTIFS($A:$A,patch[[#This Row],[number]],$S:$S, "SH And dev",$AC:$AC, "Review-1"))</f>
        <v/>
      </c>
      <c r="Z825" s="7" t="str">
        <f>IF(ISBLANK(patch[[#This Row],[project]]), "",COUNTIFS($A:$A,patch[[#This Row],[number]],$S:$S, "BJ And dev",$AD:$AD, "&lt;&gt;IntegratorValidationComment"))</f>
        <v/>
      </c>
      <c r="AA825" s="7" t="str">
        <f>IF(ISBLANK(patch[[#This Row],[project]]), "",COUNTIFS($A:$A,patch[[#This Row],[number]],$S:$S, "FL And dev",$AD:$AD, "&lt;&gt;IntegratorValidationComment"))</f>
        <v/>
      </c>
      <c r="AB825" s="7" t="str">
        <f>IF(ISBLANK(patch[[#This Row],[project]]), "",COUNTIFS($A:$A,patch[[#This Row],[number]],$S:$S, "SH And dev",$AD:$AD, "&lt;&gt;IntegratorValidationComment"))</f>
        <v/>
      </c>
      <c r="AC825" s="7" t="str">
        <f>IF(OR(ISNUMBER(FIND("Review-1", patch[[#This Row],[comments]])), ISNUMBER(FIND("Approver-1", patch[[#This Row],[comments]]))), "Review-1", "")</f>
        <v/>
      </c>
      <c r="AD8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25" s="7">
        <f>IF(ISBLANK(patch[[#This Row],[number]]),AE824,patch[[#This Row],[ifCommon]])</f>
        <v>0</v>
      </c>
    </row>
    <row r="826" spans="1:31">
      <c r="A826" s="151">
        <v>146597</v>
      </c>
      <c r="B826" s="151"/>
      <c r="C826" s="151"/>
      <c r="D826" s="151"/>
      <c r="E826" s="151"/>
      <c r="F826" s="151"/>
      <c r="G826" s="151"/>
      <c r="H826" s="151"/>
      <c r="I826" s="151"/>
      <c r="J826" s="152">
        <v>42635.711134259262</v>
      </c>
      <c r="K826" s="151"/>
      <c r="L826" s="151" t="s">
        <v>55</v>
      </c>
      <c r="M826" s="152">
        <v>42634.652037037027</v>
      </c>
      <c r="N826" s="151" t="s">
        <v>1880</v>
      </c>
      <c r="O826" s="151"/>
      <c r="P826" s="151"/>
      <c r="Q826" s="7" t="str">
        <f>IF(ISBLANK(patch[[#This Row],[OwnerEmail]]),Q825,patch[[#This Row],[OwnerEmail]])</f>
        <v>xiaozhou.liu@intel.com</v>
      </c>
      <c r="R826" s="7" t="str">
        <f>_xlfn.IFNA(VLOOKUP(patch[[#This Row],[tmp-owner.email]],OrgTree!$A:$K, 11, 0), "not ICG SWFW")</f>
        <v>BJ And dev</v>
      </c>
      <c r="S826" s="7" t="str">
        <f>IF(patch[[#This Row],[reviewer]]=patch[[#This Row],[tmp-owner.email]], "author", _xlfn.IFNA(VLOOKUP(patch[[#This Row],[reviewer]],OrgTree!$A:$K, 11, 0), "not ICG SWFW"))</f>
        <v>BJ And dev</v>
      </c>
      <c r="T826" s="7" t="str">
        <f>IF(ISBLANK(patch[[#This Row],[mergeDate]]), "", MID(YEAR(patch[[#This Row],[mergeDate]]), 3,2)&amp;"'ww"&amp;WEEKNUM(patch[[#This Row],[mergeDate]]))</f>
        <v>16'ww39</v>
      </c>
      <c r="U826" s="7" t="str">
        <f>IF(ISBLANK(patch[[#This Row],[mergeDate]]), U825, MID(YEAR(patch[[#This Row],[mergeDate]]), 3,2)&amp;"'m"&amp;MONTH(patch[[#This Row],[mergeDate]]))</f>
        <v>16'm9</v>
      </c>
      <c r="V826" s="7" t="str">
        <f>IF(ISBLANK(patch[[#This Row],[project]]), "",SUM(patch[[#This Row],[BJ -1 num]:[SH -1 num]]))</f>
        <v/>
      </c>
      <c r="W826" s="7" t="str">
        <f>IF(ISBLANK(patch[[#This Row],[project]]), "",COUNTIFS($A:$A,patch[[#This Row],[number]],$S:$S, "BJ And dev",$AC:$AC, "Review-1"))</f>
        <v/>
      </c>
      <c r="X826" s="7" t="str">
        <f>IF(ISBLANK(patch[[#This Row],[project]]), "",COUNTIFS($A:$A,patch[[#This Row],[number]],$S:$S, "FL And dev",$AC:$AC, "Review-1"))</f>
        <v/>
      </c>
      <c r="Y826" s="7" t="str">
        <f>IF(ISBLANK(patch[[#This Row],[project]]), "",COUNTIFS($A:$A,patch[[#This Row],[number]],$S:$S, "SH And dev",$AC:$AC, "Review-1"))</f>
        <v/>
      </c>
      <c r="Z826" s="7" t="str">
        <f>IF(ISBLANK(patch[[#This Row],[project]]), "",COUNTIFS($A:$A,patch[[#This Row],[number]],$S:$S, "BJ And dev",$AD:$AD, "&lt;&gt;IntegratorValidationComment"))</f>
        <v/>
      </c>
      <c r="AA826" s="7" t="str">
        <f>IF(ISBLANK(patch[[#This Row],[project]]), "",COUNTIFS($A:$A,patch[[#This Row],[number]],$S:$S, "FL And dev",$AD:$AD, "&lt;&gt;IntegratorValidationComment"))</f>
        <v/>
      </c>
      <c r="AB826" s="7" t="str">
        <f>IF(ISBLANK(patch[[#This Row],[project]]), "",COUNTIFS($A:$A,patch[[#This Row],[number]],$S:$S, "SH And dev",$AD:$AD, "&lt;&gt;IntegratorValidationComment"))</f>
        <v/>
      </c>
      <c r="AC826" s="7" t="str">
        <f>IF(OR(ISNUMBER(FIND("Review-1", patch[[#This Row],[comments]])), ISNUMBER(FIND("Approver-1", patch[[#This Row],[comments]]))), "Review-1", "")</f>
        <v/>
      </c>
      <c r="AD8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26" s="7">
        <f>IF(ISBLANK(patch[[#This Row],[number]]),AE825,patch[[#This Row],[ifCommon]])</f>
        <v>0</v>
      </c>
    </row>
    <row r="827" spans="1:31">
      <c r="A827" s="151">
        <v>146597</v>
      </c>
      <c r="B827" s="151"/>
      <c r="C827" s="151"/>
      <c r="D827" s="151"/>
      <c r="E827" s="151"/>
      <c r="F827" s="151"/>
      <c r="G827" s="151"/>
      <c r="H827" s="151"/>
      <c r="I827" s="151"/>
      <c r="J827" s="152">
        <v>42635.711134259262</v>
      </c>
      <c r="K827" s="151"/>
      <c r="L827" s="151" t="s">
        <v>55</v>
      </c>
      <c r="M827" s="152">
        <v>42634.733229166668</v>
      </c>
      <c r="N827" s="151" t="s">
        <v>2460</v>
      </c>
      <c r="O827" s="151"/>
      <c r="P827" s="151"/>
      <c r="Q827" s="7" t="str">
        <f>IF(ISBLANK(patch[[#This Row],[OwnerEmail]]),Q826,patch[[#This Row],[OwnerEmail]])</f>
        <v>xiaozhou.liu@intel.com</v>
      </c>
      <c r="R827" s="7" t="str">
        <f>_xlfn.IFNA(VLOOKUP(patch[[#This Row],[tmp-owner.email]],OrgTree!$A:$K, 11, 0), "not ICG SWFW")</f>
        <v>BJ And dev</v>
      </c>
      <c r="S827" s="7" t="str">
        <f>IF(patch[[#This Row],[reviewer]]=patch[[#This Row],[tmp-owner.email]], "author", _xlfn.IFNA(VLOOKUP(patch[[#This Row],[reviewer]],OrgTree!$A:$K, 11, 0), "not ICG SWFW"))</f>
        <v>BJ And dev</v>
      </c>
      <c r="T827" s="7" t="str">
        <f>IF(ISBLANK(patch[[#This Row],[mergeDate]]), "", MID(YEAR(patch[[#This Row],[mergeDate]]), 3,2)&amp;"'ww"&amp;WEEKNUM(patch[[#This Row],[mergeDate]]))</f>
        <v>16'ww39</v>
      </c>
      <c r="U827" s="7" t="str">
        <f>IF(ISBLANK(patch[[#This Row],[mergeDate]]), U826, MID(YEAR(patch[[#This Row],[mergeDate]]), 3,2)&amp;"'m"&amp;MONTH(patch[[#This Row],[mergeDate]]))</f>
        <v>16'm9</v>
      </c>
      <c r="V827" s="7" t="str">
        <f>IF(ISBLANK(patch[[#This Row],[project]]), "",SUM(patch[[#This Row],[BJ -1 num]:[SH -1 num]]))</f>
        <v/>
      </c>
      <c r="W827" s="7" t="str">
        <f>IF(ISBLANK(patch[[#This Row],[project]]), "",COUNTIFS($A:$A,patch[[#This Row],[number]],$S:$S, "BJ And dev",$AC:$AC, "Review-1"))</f>
        <v/>
      </c>
      <c r="X827" s="7" t="str">
        <f>IF(ISBLANK(patch[[#This Row],[project]]), "",COUNTIFS($A:$A,patch[[#This Row],[number]],$S:$S, "FL And dev",$AC:$AC, "Review-1"))</f>
        <v/>
      </c>
      <c r="Y827" s="7" t="str">
        <f>IF(ISBLANK(patch[[#This Row],[project]]), "",COUNTIFS($A:$A,patch[[#This Row],[number]],$S:$S, "SH And dev",$AC:$AC, "Review-1"))</f>
        <v/>
      </c>
      <c r="Z827" s="7" t="str">
        <f>IF(ISBLANK(patch[[#This Row],[project]]), "",COUNTIFS($A:$A,patch[[#This Row],[number]],$S:$S, "BJ And dev",$AD:$AD, "&lt;&gt;IntegratorValidationComment"))</f>
        <v/>
      </c>
      <c r="AA827" s="7" t="str">
        <f>IF(ISBLANK(patch[[#This Row],[project]]), "",COUNTIFS($A:$A,patch[[#This Row],[number]],$S:$S, "FL And dev",$AD:$AD, "&lt;&gt;IntegratorValidationComment"))</f>
        <v/>
      </c>
      <c r="AB827" s="7" t="str">
        <f>IF(ISBLANK(patch[[#This Row],[project]]), "",COUNTIFS($A:$A,patch[[#This Row],[number]],$S:$S, "SH And dev",$AD:$AD, "&lt;&gt;IntegratorValidationComment"))</f>
        <v/>
      </c>
      <c r="AC827" s="7" t="str">
        <f>IF(OR(ISNUMBER(FIND("Review-1", patch[[#This Row],[comments]])), ISNUMBER(FIND("Approver-1", patch[[#This Row],[comments]]))), "Review-1", "")</f>
        <v/>
      </c>
      <c r="AD8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27" s="7">
        <f>IF(ISBLANK(patch[[#This Row],[number]]),AE826,patch[[#This Row],[ifCommon]])</f>
        <v>0</v>
      </c>
    </row>
    <row r="828" spans="1:31">
      <c r="A828" s="151">
        <v>146597</v>
      </c>
      <c r="B828" s="151"/>
      <c r="C828" s="151"/>
      <c r="D828" s="151"/>
      <c r="E828" s="151"/>
      <c r="F828" s="151"/>
      <c r="G828" s="151"/>
      <c r="H828" s="151"/>
      <c r="I828" s="151"/>
      <c r="J828" s="152">
        <v>42635.711134259262</v>
      </c>
      <c r="K828" s="151"/>
      <c r="L828" s="151" t="s">
        <v>55</v>
      </c>
      <c r="M828" s="152">
        <v>42634.733240740738</v>
      </c>
      <c r="N828" s="151" t="s">
        <v>2429</v>
      </c>
      <c r="O828" s="151"/>
      <c r="P828" s="151"/>
      <c r="Q828" s="7" t="str">
        <f>IF(ISBLANK(patch[[#This Row],[OwnerEmail]]),Q827,patch[[#This Row],[OwnerEmail]])</f>
        <v>xiaozhou.liu@intel.com</v>
      </c>
      <c r="R828" s="7" t="str">
        <f>_xlfn.IFNA(VLOOKUP(patch[[#This Row],[tmp-owner.email]],OrgTree!$A:$K, 11, 0), "not ICG SWFW")</f>
        <v>BJ And dev</v>
      </c>
      <c r="S828" s="7" t="str">
        <f>IF(patch[[#This Row],[reviewer]]=patch[[#This Row],[tmp-owner.email]], "author", _xlfn.IFNA(VLOOKUP(patch[[#This Row],[reviewer]],OrgTree!$A:$K, 11, 0), "not ICG SWFW"))</f>
        <v>BJ And dev</v>
      </c>
      <c r="T828" s="7" t="str">
        <f>IF(ISBLANK(patch[[#This Row],[mergeDate]]), "", MID(YEAR(patch[[#This Row],[mergeDate]]), 3,2)&amp;"'ww"&amp;WEEKNUM(patch[[#This Row],[mergeDate]]))</f>
        <v>16'ww39</v>
      </c>
      <c r="U828" s="7" t="str">
        <f>IF(ISBLANK(patch[[#This Row],[mergeDate]]), U827, MID(YEAR(patch[[#This Row],[mergeDate]]), 3,2)&amp;"'m"&amp;MONTH(patch[[#This Row],[mergeDate]]))</f>
        <v>16'm9</v>
      </c>
      <c r="V828" s="7" t="str">
        <f>IF(ISBLANK(patch[[#This Row],[project]]), "",SUM(patch[[#This Row],[BJ -1 num]:[SH -1 num]]))</f>
        <v/>
      </c>
      <c r="W828" s="7" t="str">
        <f>IF(ISBLANK(patch[[#This Row],[project]]), "",COUNTIFS($A:$A,patch[[#This Row],[number]],$S:$S, "BJ And dev",$AC:$AC, "Review-1"))</f>
        <v/>
      </c>
      <c r="X828" s="7" t="str">
        <f>IF(ISBLANK(patch[[#This Row],[project]]), "",COUNTIFS($A:$A,patch[[#This Row],[number]],$S:$S, "FL And dev",$AC:$AC, "Review-1"))</f>
        <v/>
      </c>
      <c r="Y828" s="7" t="str">
        <f>IF(ISBLANK(patch[[#This Row],[project]]), "",COUNTIFS($A:$A,patch[[#This Row],[number]],$S:$S, "SH And dev",$AC:$AC, "Review-1"))</f>
        <v/>
      </c>
      <c r="Z828" s="7" t="str">
        <f>IF(ISBLANK(patch[[#This Row],[project]]), "",COUNTIFS($A:$A,patch[[#This Row],[number]],$S:$S, "BJ And dev",$AD:$AD, "&lt;&gt;IntegratorValidationComment"))</f>
        <v/>
      </c>
      <c r="AA828" s="7" t="str">
        <f>IF(ISBLANK(patch[[#This Row],[project]]), "",COUNTIFS($A:$A,patch[[#This Row],[number]],$S:$S, "FL And dev",$AD:$AD, "&lt;&gt;IntegratorValidationComment"))</f>
        <v/>
      </c>
      <c r="AB828" s="7" t="str">
        <f>IF(ISBLANK(patch[[#This Row],[project]]), "",COUNTIFS($A:$A,patch[[#This Row],[number]],$S:$S, "SH And dev",$AD:$AD, "&lt;&gt;IntegratorValidationComment"))</f>
        <v/>
      </c>
      <c r="AC828" s="7" t="str">
        <f>IF(OR(ISNUMBER(FIND("Review-1", patch[[#This Row],[comments]])), ISNUMBER(FIND("Approver-1", patch[[#This Row],[comments]]))), "Review-1", "")</f>
        <v/>
      </c>
      <c r="AD8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28" s="7">
        <f>IF(ISBLANK(patch[[#This Row],[number]]),AE827,patch[[#This Row],[ifCommon]])</f>
        <v>0</v>
      </c>
    </row>
    <row r="829" spans="1:31">
      <c r="A829" s="151">
        <v>146597</v>
      </c>
      <c r="B829" s="151"/>
      <c r="C829" s="151"/>
      <c r="D829" s="151"/>
      <c r="E829" s="151"/>
      <c r="F829" s="151"/>
      <c r="G829" s="151"/>
      <c r="H829" s="151"/>
      <c r="I829" s="152"/>
      <c r="J829" s="152">
        <v>42635.711134259262</v>
      </c>
      <c r="K829" s="151"/>
      <c r="L829" s="151" t="s">
        <v>59</v>
      </c>
      <c r="M829" s="152">
        <v>42634.738541666673</v>
      </c>
      <c r="N829" s="151" t="s">
        <v>3012</v>
      </c>
      <c r="O829" s="151"/>
      <c r="P829" s="151"/>
      <c r="Q829" s="7" t="str">
        <f>IF(ISBLANK(patch[[#This Row],[OwnerEmail]]),Q828,patch[[#This Row],[OwnerEmail]])</f>
        <v>xiaozhou.liu@intel.com</v>
      </c>
      <c r="R829" s="7" t="str">
        <f>_xlfn.IFNA(VLOOKUP(patch[[#This Row],[tmp-owner.email]],OrgTree!$A:$K, 11, 0), "not ICG SWFW")</f>
        <v>BJ And dev</v>
      </c>
      <c r="S829" s="7" t="str">
        <f>IF(patch[[#This Row],[reviewer]]=patch[[#This Row],[tmp-owner.email]], "author", _xlfn.IFNA(VLOOKUP(patch[[#This Row],[reviewer]],OrgTree!$A:$K, 11, 0), "not ICG SWFW"))</f>
        <v>author</v>
      </c>
      <c r="T829" s="7" t="str">
        <f>IF(ISBLANK(patch[[#This Row],[mergeDate]]), "", MID(YEAR(patch[[#This Row],[mergeDate]]), 3,2)&amp;"'ww"&amp;WEEKNUM(patch[[#This Row],[mergeDate]]))</f>
        <v>16'ww39</v>
      </c>
      <c r="U829" s="7" t="str">
        <f>IF(ISBLANK(patch[[#This Row],[mergeDate]]), U828, MID(YEAR(patch[[#This Row],[mergeDate]]), 3,2)&amp;"'m"&amp;MONTH(patch[[#This Row],[mergeDate]]))</f>
        <v>16'm9</v>
      </c>
      <c r="V829" s="7" t="str">
        <f>IF(ISBLANK(patch[[#This Row],[project]]), "",SUM(patch[[#This Row],[BJ -1 num]:[SH -1 num]]))</f>
        <v/>
      </c>
      <c r="W829" s="7" t="str">
        <f>IF(ISBLANK(patch[[#This Row],[project]]), "",COUNTIFS($A:$A,patch[[#This Row],[number]],$S:$S, "BJ And dev",$AC:$AC, "Review-1"))</f>
        <v/>
      </c>
      <c r="X829" s="7" t="str">
        <f>IF(ISBLANK(patch[[#This Row],[project]]), "",COUNTIFS($A:$A,patch[[#This Row],[number]],$S:$S, "FL And dev",$AC:$AC, "Review-1"))</f>
        <v/>
      </c>
      <c r="Y829" s="7" t="str">
        <f>IF(ISBLANK(patch[[#This Row],[project]]), "",COUNTIFS($A:$A,patch[[#This Row],[number]],$S:$S, "SH And dev",$AC:$AC, "Review-1"))</f>
        <v/>
      </c>
      <c r="Z829" s="7" t="str">
        <f>IF(ISBLANK(patch[[#This Row],[project]]), "",COUNTIFS($A:$A,patch[[#This Row],[number]],$S:$S, "BJ And dev",$AD:$AD, "&lt;&gt;IntegratorValidationComment"))</f>
        <v/>
      </c>
      <c r="AA829" s="7" t="str">
        <f>IF(ISBLANK(patch[[#This Row],[project]]), "",COUNTIFS($A:$A,patch[[#This Row],[number]],$S:$S, "FL And dev",$AD:$AD, "&lt;&gt;IntegratorValidationComment"))</f>
        <v/>
      </c>
      <c r="AB829" s="7" t="str">
        <f>IF(ISBLANK(patch[[#This Row],[project]]), "",COUNTIFS($A:$A,patch[[#This Row],[number]],$S:$S, "SH And dev",$AD:$AD, "&lt;&gt;IntegratorValidationComment"))</f>
        <v/>
      </c>
      <c r="AC829" s="7" t="str">
        <f>IF(OR(ISNUMBER(FIND("Review-1", patch[[#This Row],[comments]])), ISNUMBER(FIND("Approver-1", patch[[#This Row],[comments]]))), "Review-1", "")</f>
        <v/>
      </c>
      <c r="AD8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29" s="7">
        <f>IF(ISBLANK(patch[[#This Row],[number]]),AE828,patch[[#This Row],[ifCommon]])</f>
        <v>0</v>
      </c>
    </row>
    <row r="830" spans="1:31">
      <c r="A830" s="151">
        <v>146597</v>
      </c>
      <c r="B830" s="151"/>
      <c r="C830" s="151"/>
      <c r="D830" s="151"/>
      <c r="E830" s="151"/>
      <c r="F830" s="151"/>
      <c r="G830" s="151"/>
      <c r="H830" s="151"/>
      <c r="I830" s="151"/>
      <c r="J830" s="152">
        <v>42635.711134259262</v>
      </c>
      <c r="K830" s="151"/>
      <c r="L830" s="151" t="s">
        <v>59</v>
      </c>
      <c r="M830" s="152">
        <v>42634.743449074071</v>
      </c>
      <c r="N830" s="151" t="s">
        <v>3013</v>
      </c>
      <c r="O830" s="151"/>
      <c r="P830" s="151"/>
      <c r="Q830" s="7" t="str">
        <f>IF(ISBLANK(patch[[#This Row],[OwnerEmail]]),Q829,patch[[#This Row],[OwnerEmail]])</f>
        <v>xiaozhou.liu@intel.com</v>
      </c>
      <c r="R830" s="7" t="str">
        <f>_xlfn.IFNA(VLOOKUP(patch[[#This Row],[tmp-owner.email]],OrgTree!$A:$K, 11, 0), "not ICG SWFW")</f>
        <v>BJ And dev</v>
      </c>
      <c r="S830" s="7" t="str">
        <f>IF(patch[[#This Row],[reviewer]]=patch[[#This Row],[tmp-owner.email]], "author", _xlfn.IFNA(VLOOKUP(patch[[#This Row],[reviewer]],OrgTree!$A:$K, 11, 0), "not ICG SWFW"))</f>
        <v>author</v>
      </c>
      <c r="T830" s="7" t="str">
        <f>IF(ISBLANK(patch[[#This Row],[mergeDate]]), "", MID(YEAR(patch[[#This Row],[mergeDate]]), 3,2)&amp;"'ww"&amp;WEEKNUM(patch[[#This Row],[mergeDate]]))</f>
        <v>16'ww39</v>
      </c>
      <c r="U830" s="7" t="str">
        <f>IF(ISBLANK(patch[[#This Row],[mergeDate]]), U829, MID(YEAR(patch[[#This Row],[mergeDate]]), 3,2)&amp;"'m"&amp;MONTH(patch[[#This Row],[mergeDate]]))</f>
        <v>16'm9</v>
      </c>
      <c r="V830" s="7" t="str">
        <f>IF(ISBLANK(patch[[#This Row],[project]]), "",SUM(patch[[#This Row],[BJ -1 num]:[SH -1 num]]))</f>
        <v/>
      </c>
      <c r="W830" s="7" t="str">
        <f>IF(ISBLANK(patch[[#This Row],[project]]), "",COUNTIFS($A:$A,patch[[#This Row],[number]],$S:$S, "BJ And dev",$AC:$AC, "Review-1"))</f>
        <v/>
      </c>
      <c r="X830" s="7" t="str">
        <f>IF(ISBLANK(patch[[#This Row],[project]]), "",COUNTIFS($A:$A,patch[[#This Row],[number]],$S:$S, "FL And dev",$AC:$AC, "Review-1"))</f>
        <v/>
      </c>
      <c r="Y830" s="7" t="str">
        <f>IF(ISBLANK(patch[[#This Row],[project]]), "",COUNTIFS($A:$A,patch[[#This Row],[number]],$S:$S, "SH And dev",$AC:$AC, "Review-1"))</f>
        <v/>
      </c>
      <c r="Z830" s="7" t="str">
        <f>IF(ISBLANK(patch[[#This Row],[project]]), "",COUNTIFS($A:$A,patch[[#This Row],[number]],$S:$S, "BJ And dev",$AD:$AD, "&lt;&gt;IntegratorValidationComment"))</f>
        <v/>
      </c>
      <c r="AA830" s="7" t="str">
        <f>IF(ISBLANK(patch[[#This Row],[project]]), "",COUNTIFS($A:$A,patch[[#This Row],[number]],$S:$S, "FL And dev",$AD:$AD, "&lt;&gt;IntegratorValidationComment"))</f>
        <v/>
      </c>
      <c r="AB830" s="7" t="str">
        <f>IF(ISBLANK(patch[[#This Row],[project]]), "",COUNTIFS($A:$A,patch[[#This Row],[number]],$S:$S, "SH And dev",$AD:$AD, "&lt;&gt;IntegratorValidationComment"))</f>
        <v/>
      </c>
      <c r="AC830" s="7" t="str">
        <f>IF(OR(ISNUMBER(FIND("Review-1", patch[[#This Row],[comments]])), ISNUMBER(FIND("Approver-1", patch[[#This Row],[comments]]))), "Review-1", "")</f>
        <v/>
      </c>
      <c r="AD8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30" s="7">
        <f>IF(ISBLANK(patch[[#This Row],[number]]),AE829,patch[[#This Row],[ifCommon]])</f>
        <v>0</v>
      </c>
    </row>
    <row r="831" spans="1:31">
      <c r="A831" s="151">
        <v>146597</v>
      </c>
      <c r="B831" s="151"/>
      <c r="C831" s="151"/>
      <c r="D831" s="151"/>
      <c r="E831" s="151"/>
      <c r="F831" s="151"/>
      <c r="G831" s="151"/>
      <c r="H831" s="151"/>
      <c r="I831" s="151"/>
      <c r="J831" s="152">
        <v>42635.711134259262</v>
      </c>
      <c r="K831" s="151"/>
      <c r="L831" s="151" t="s">
        <v>115</v>
      </c>
      <c r="M831" s="152">
        <v>42635.427789351852</v>
      </c>
      <c r="N831" s="151" t="s">
        <v>2495</v>
      </c>
      <c r="O831" s="151"/>
      <c r="P831" s="151"/>
      <c r="Q831" s="7" t="str">
        <f>IF(ISBLANK(patch[[#This Row],[OwnerEmail]]),Q830,patch[[#This Row],[OwnerEmail]])</f>
        <v>xiaozhou.liu@intel.com</v>
      </c>
      <c r="R831" s="7" t="str">
        <f>_xlfn.IFNA(VLOOKUP(patch[[#This Row],[tmp-owner.email]],OrgTree!$A:$K, 11, 0), "not ICG SWFW")</f>
        <v>BJ And dev</v>
      </c>
      <c r="S831" s="7" t="str">
        <f>IF(patch[[#This Row],[reviewer]]=patch[[#This Row],[tmp-owner.email]], "author", _xlfn.IFNA(VLOOKUP(patch[[#This Row],[reviewer]],OrgTree!$A:$K, 11, 0), "not ICG SWFW"))</f>
        <v>Val</v>
      </c>
      <c r="T831" s="7" t="str">
        <f>IF(ISBLANK(patch[[#This Row],[mergeDate]]), "", MID(YEAR(patch[[#This Row],[mergeDate]]), 3,2)&amp;"'ww"&amp;WEEKNUM(patch[[#This Row],[mergeDate]]))</f>
        <v>16'ww39</v>
      </c>
      <c r="U831" s="7" t="str">
        <f>IF(ISBLANK(patch[[#This Row],[mergeDate]]), U830, MID(YEAR(patch[[#This Row],[mergeDate]]), 3,2)&amp;"'m"&amp;MONTH(patch[[#This Row],[mergeDate]]))</f>
        <v>16'm9</v>
      </c>
      <c r="V831" s="7" t="str">
        <f>IF(ISBLANK(patch[[#This Row],[project]]), "",SUM(patch[[#This Row],[BJ -1 num]:[SH -1 num]]))</f>
        <v/>
      </c>
      <c r="W831" s="7" t="str">
        <f>IF(ISBLANK(patch[[#This Row],[project]]), "",COUNTIFS($A:$A,patch[[#This Row],[number]],$S:$S, "BJ And dev",$AC:$AC, "Review-1"))</f>
        <v/>
      </c>
      <c r="X831" s="7" t="str">
        <f>IF(ISBLANK(patch[[#This Row],[project]]), "",COUNTIFS($A:$A,patch[[#This Row],[number]],$S:$S, "FL And dev",$AC:$AC, "Review-1"))</f>
        <v/>
      </c>
      <c r="Y831" s="7" t="str">
        <f>IF(ISBLANK(patch[[#This Row],[project]]), "",COUNTIFS($A:$A,patch[[#This Row],[number]],$S:$S, "SH And dev",$AC:$AC, "Review-1"))</f>
        <v/>
      </c>
      <c r="Z831" s="7" t="str">
        <f>IF(ISBLANK(patch[[#This Row],[project]]), "",COUNTIFS($A:$A,patch[[#This Row],[number]],$S:$S, "BJ And dev",$AD:$AD, "&lt;&gt;IntegratorValidationComment"))</f>
        <v/>
      </c>
      <c r="AA831" s="7" t="str">
        <f>IF(ISBLANK(patch[[#This Row],[project]]), "",COUNTIFS($A:$A,patch[[#This Row],[number]],$S:$S, "FL And dev",$AD:$AD, "&lt;&gt;IntegratorValidationComment"))</f>
        <v/>
      </c>
      <c r="AB831" s="7" t="str">
        <f>IF(ISBLANK(patch[[#This Row],[project]]), "",COUNTIFS($A:$A,patch[[#This Row],[number]],$S:$S, "SH And dev",$AD:$AD, "&lt;&gt;IntegratorValidationComment"))</f>
        <v/>
      </c>
      <c r="AC831" s="7" t="str">
        <f>IF(OR(ISNUMBER(FIND("Review-1", patch[[#This Row],[comments]])), ISNUMBER(FIND("Approver-1", patch[[#This Row],[comments]]))), "Review-1", "")</f>
        <v/>
      </c>
      <c r="AD8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831" s="7">
        <f>IF(ISBLANK(patch[[#This Row],[number]]),AE830,patch[[#This Row],[ifCommon]])</f>
        <v>0</v>
      </c>
    </row>
    <row r="832" spans="1:31">
      <c r="A832" s="151">
        <v>146597</v>
      </c>
      <c r="B832" s="151"/>
      <c r="C832" s="151"/>
      <c r="D832" s="151"/>
      <c r="E832" s="151"/>
      <c r="F832" s="151"/>
      <c r="G832" s="151"/>
      <c r="H832" s="151"/>
      <c r="I832" s="151"/>
      <c r="J832" s="152">
        <v>42635.711134259262</v>
      </c>
      <c r="K832" s="151"/>
      <c r="L832" s="151" t="s">
        <v>59</v>
      </c>
      <c r="M832" s="152">
        <v>42635.467199074083</v>
      </c>
      <c r="N832" s="151" t="s">
        <v>3014</v>
      </c>
      <c r="O832" s="151"/>
      <c r="P832" s="151"/>
      <c r="Q832" s="7" t="str">
        <f>IF(ISBLANK(patch[[#This Row],[OwnerEmail]]),Q831,patch[[#This Row],[OwnerEmail]])</f>
        <v>xiaozhou.liu@intel.com</v>
      </c>
      <c r="R832" s="7" t="str">
        <f>_xlfn.IFNA(VLOOKUP(patch[[#This Row],[tmp-owner.email]],OrgTree!$A:$K, 11, 0), "not ICG SWFW")</f>
        <v>BJ And dev</v>
      </c>
      <c r="S832" s="7" t="str">
        <f>IF(patch[[#This Row],[reviewer]]=patch[[#This Row],[tmp-owner.email]], "author", _xlfn.IFNA(VLOOKUP(patch[[#This Row],[reviewer]],OrgTree!$A:$K, 11, 0), "not ICG SWFW"))</f>
        <v>author</v>
      </c>
      <c r="T832" s="7" t="str">
        <f>IF(ISBLANK(patch[[#This Row],[mergeDate]]), "", MID(YEAR(patch[[#This Row],[mergeDate]]), 3,2)&amp;"'ww"&amp;WEEKNUM(patch[[#This Row],[mergeDate]]))</f>
        <v>16'ww39</v>
      </c>
      <c r="U832" s="7" t="str">
        <f>IF(ISBLANK(patch[[#This Row],[mergeDate]]), U831, MID(YEAR(patch[[#This Row],[mergeDate]]), 3,2)&amp;"'m"&amp;MONTH(patch[[#This Row],[mergeDate]]))</f>
        <v>16'm9</v>
      </c>
      <c r="V832" s="7" t="str">
        <f>IF(ISBLANK(patch[[#This Row],[project]]), "",SUM(patch[[#This Row],[BJ -1 num]:[SH -1 num]]))</f>
        <v/>
      </c>
      <c r="W832" s="7" t="str">
        <f>IF(ISBLANK(patch[[#This Row],[project]]), "",COUNTIFS($A:$A,patch[[#This Row],[number]],$S:$S, "BJ And dev",$AC:$AC, "Review-1"))</f>
        <v/>
      </c>
      <c r="X832" s="7" t="str">
        <f>IF(ISBLANK(patch[[#This Row],[project]]), "",COUNTIFS($A:$A,patch[[#This Row],[number]],$S:$S, "FL And dev",$AC:$AC, "Review-1"))</f>
        <v/>
      </c>
      <c r="Y832" s="7" t="str">
        <f>IF(ISBLANK(patch[[#This Row],[project]]), "",COUNTIFS($A:$A,patch[[#This Row],[number]],$S:$S, "SH And dev",$AC:$AC, "Review-1"))</f>
        <v/>
      </c>
      <c r="Z832" s="7" t="str">
        <f>IF(ISBLANK(patch[[#This Row],[project]]), "",COUNTIFS($A:$A,patch[[#This Row],[number]],$S:$S, "BJ And dev",$AD:$AD, "&lt;&gt;IntegratorValidationComment"))</f>
        <v/>
      </c>
      <c r="AA832" s="7" t="str">
        <f>IF(ISBLANK(patch[[#This Row],[project]]), "",COUNTIFS($A:$A,patch[[#This Row],[number]],$S:$S, "FL And dev",$AD:$AD, "&lt;&gt;IntegratorValidationComment"))</f>
        <v/>
      </c>
      <c r="AB832" s="7" t="str">
        <f>IF(ISBLANK(patch[[#This Row],[project]]), "",COUNTIFS($A:$A,patch[[#This Row],[number]],$S:$S, "SH And dev",$AD:$AD, "&lt;&gt;IntegratorValidationComment"))</f>
        <v/>
      </c>
      <c r="AC832" s="7" t="str">
        <f>IF(OR(ISNUMBER(FIND("Review-1", patch[[#This Row],[comments]])), ISNUMBER(FIND("Approver-1", patch[[#This Row],[comments]]))), "Review-1", "")</f>
        <v/>
      </c>
      <c r="AD8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32" s="7">
        <f>IF(ISBLANK(patch[[#This Row],[number]]),AE831,patch[[#This Row],[ifCommon]])</f>
        <v>0</v>
      </c>
    </row>
    <row r="833" spans="1:31">
      <c r="A833" s="151">
        <v>146597</v>
      </c>
      <c r="B833" s="151"/>
      <c r="C833" s="151"/>
      <c r="D833" s="151"/>
      <c r="E833" s="151"/>
      <c r="F833" s="151"/>
      <c r="G833" s="151"/>
      <c r="H833" s="151"/>
      <c r="I833" s="151"/>
      <c r="J833" s="152">
        <v>42635.711134259262</v>
      </c>
      <c r="K833" s="151"/>
      <c r="L833" s="151" t="s">
        <v>59</v>
      </c>
      <c r="M833" s="152">
        <v>42635.605949074074</v>
      </c>
      <c r="N833" s="151" t="s">
        <v>3015</v>
      </c>
      <c r="O833" s="151"/>
      <c r="P833" s="151"/>
      <c r="Q833" s="7" t="str">
        <f>IF(ISBLANK(patch[[#This Row],[OwnerEmail]]),Q832,patch[[#This Row],[OwnerEmail]])</f>
        <v>xiaozhou.liu@intel.com</v>
      </c>
      <c r="R833" s="7" t="str">
        <f>_xlfn.IFNA(VLOOKUP(patch[[#This Row],[tmp-owner.email]],OrgTree!$A:$K, 11, 0), "not ICG SWFW")</f>
        <v>BJ And dev</v>
      </c>
      <c r="S833" s="7" t="str">
        <f>IF(patch[[#This Row],[reviewer]]=patch[[#This Row],[tmp-owner.email]], "author", _xlfn.IFNA(VLOOKUP(patch[[#This Row],[reviewer]],OrgTree!$A:$K, 11, 0), "not ICG SWFW"))</f>
        <v>author</v>
      </c>
      <c r="T833" s="7" t="str">
        <f>IF(ISBLANK(patch[[#This Row],[mergeDate]]), "", MID(YEAR(patch[[#This Row],[mergeDate]]), 3,2)&amp;"'ww"&amp;WEEKNUM(patch[[#This Row],[mergeDate]]))</f>
        <v>16'ww39</v>
      </c>
      <c r="U833" s="7" t="str">
        <f>IF(ISBLANK(patch[[#This Row],[mergeDate]]), U832, MID(YEAR(patch[[#This Row],[mergeDate]]), 3,2)&amp;"'m"&amp;MONTH(patch[[#This Row],[mergeDate]]))</f>
        <v>16'm9</v>
      </c>
      <c r="V833" s="7" t="str">
        <f>IF(ISBLANK(patch[[#This Row],[project]]), "",SUM(patch[[#This Row],[BJ -1 num]:[SH -1 num]]))</f>
        <v/>
      </c>
      <c r="W833" s="7" t="str">
        <f>IF(ISBLANK(patch[[#This Row],[project]]), "",COUNTIFS($A:$A,patch[[#This Row],[number]],$S:$S, "BJ And dev",$AC:$AC, "Review-1"))</f>
        <v/>
      </c>
      <c r="X833" s="7" t="str">
        <f>IF(ISBLANK(patch[[#This Row],[project]]), "",COUNTIFS($A:$A,patch[[#This Row],[number]],$S:$S, "FL And dev",$AC:$AC, "Review-1"))</f>
        <v/>
      </c>
      <c r="Y833" s="7" t="str">
        <f>IF(ISBLANK(patch[[#This Row],[project]]), "",COUNTIFS($A:$A,patch[[#This Row],[number]],$S:$S, "SH And dev",$AC:$AC, "Review-1"))</f>
        <v/>
      </c>
      <c r="Z833" s="7" t="str">
        <f>IF(ISBLANK(patch[[#This Row],[project]]), "",COUNTIFS($A:$A,patch[[#This Row],[number]],$S:$S, "BJ And dev",$AD:$AD, "&lt;&gt;IntegratorValidationComment"))</f>
        <v/>
      </c>
      <c r="AA833" s="7" t="str">
        <f>IF(ISBLANK(patch[[#This Row],[project]]), "",COUNTIFS($A:$A,patch[[#This Row],[number]],$S:$S, "FL And dev",$AD:$AD, "&lt;&gt;IntegratorValidationComment"))</f>
        <v/>
      </c>
      <c r="AB833" s="7" t="str">
        <f>IF(ISBLANK(patch[[#This Row],[project]]), "",COUNTIFS($A:$A,patch[[#This Row],[number]],$S:$S, "SH And dev",$AD:$AD, "&lt;&gt;IntegratorValidationComment"))</f>
        <v/>
      </c>
      <c r="AC833" s="7" t="str">
        <f>IF(OR(ISNUMBER(FIND("Review-1", patch[[#This Row],[comments]])), ISNUMBER(FIND("Approver-1", patch[[#This Row],[comments]]))), "Review-1", "")</f>
        <v/>
      </c>
      <c r="AD8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33" s="7">
        <f>IF(ISBLANK(patch[[#This Row],[number]]),AE832,patch[[#This Row],[ifCommon]])</f>
        <v>0</v>
      </c>
    </row>
    <row r="834" spans="1:31">
      <c r="A834" s="151">
        <v>146215</v>
      </c>
      <c r="B834" s="151" t="s">
        <v>2490</v>
      </c>
      <c r="C834" s="151" t="s">
        <v>2491</v>
      </c>
      <c r="D834" s="151" t="s">
        <v>2908</v>
      </c>
      <c r="E834" s="151" t="s">
        <v>59</v>
      </c>
      <c r="F834" s="151" t="s">
        <v>23</v>
      </c>
      <c r="G834" s="151" t="s">
        <v>2909</v>
      </c>
      <c r="H834" s="151" t="s">
        <v>2910</v>
      </c>
      <c r="I834" s="152">
        <v>42632.518229166657</v>
      </c>
      <c r="J834" s="152">
        <v>42635.711134259262</v>
      </c>
      <c r="K834" s="151" t="s">
        <v>2445</v>
      </c>
      <c r="L834" s="151" t="s">
        <v>59</v>
      </c>
      <c r="M834" s="152">
        <v>42632.518229166657</v>
      </c>
      <c r="N834" s="151" t="s">
        <v>2428</v>
      </c>
      <c r="O834" s="151"/>
      <c r="P834" s="151" t="s">
        <v>2995</v>
      </c>
      <c r="Q834" s="7" t="str">
        <f>IF(ISBLANK(patch[[#This Row],[OwnerEmail]]),Q833,patch[[#This Row],[OwnerEmail]])</f>
        <v>xiaozhou.liu@intel.com</v>
      </c>
      <c r="R834" s="7" t="str">
        <f>_xlfn.IFNA(VLOOKUP(patch[[#This Row],[tmp-owner.email]],OrgTree!$A:$K, 11, 0), "not ICG SWFW")</f>
        <v>BJ And dev</v>
      </c>
      <c r="S834" s="7" t="str">
        <f>IF(patch[[#This Row],[reviewer]]=patch[[#This Row],[tmp-owner.email]], "author", _xlfn.IFNA(VLOOKUP(patch[[#This Row],[reviewer]],OrgTree!$A:$K, 11, 0), "not ICG SWFW"))</f>
        <v>author</v>
      </c>
      <c r="T834" s="7" t="str">
        <f>IF(ISBLANK(patch[[#This Row],[mergeDate]]), "", MID(YEAR(patch[[#This Row],[mergeDate]]), 3,2)&amp;"'ww"&amp;WEEKNUM(patch[[#This Row],[mergeDate]]))</f>
        <v>16'ww39</v>
      </c>
      <c r="U834" s="7" t="str">
        <f>IF(ISBLANK(patch[[#This Row],[mergeDate]]), U833, MID(YEAR(patch[[#This Row],[mergeDate]]), 3,2)&amp;"'m"&amp;MONTH(patch[[#This Row],[mergeDate]]))</f>
        <v>16'm9</v>
      </c>
      <c r="V834" s="7">
        <f>IF(ISBLANK(patch[[#This Row],[project]]), "",SUM(patch[[#This Row],[BJ -1 num]:[SH -1 num]]))</f>
        <v>0</v>
      </c>
      <c r="W834" s="7">
        <f>IF(ISBLANK(patch[[#This Row],[project]]), "",COUNTIFS($A:$A,patch[[#This Row],[number]],$S:$S, "BJ And dev",$AC:$AC, "Review-1"))</f>
        <v>0</v>
      </c>
      <c r="X834" s="7">
        <f>IF(ISBLANK(patch[[#This Row],[project]]), "",COUNTIFS($A:$A,patch[[#This Row],[number]],$S:$S, "FL And dev",$AC:$AC, "Review-1"))</f>
        <v>0</v>
      </c>
      <c r="Y834" s="7">
        <f>IF(ISBLANK(patch[[#This Row],[project]]), "",COUNTIFS($A:$A,patch[[#This Row],[number]],$S:$S, "SH And dev",$AC:$AC, "Review-1"))</f>
        <v>0</v>
      </c>
      <c r="Z834" s="7">
        <f>IF(ISBLANK(patch[[#This Row],[project]]), "",COUNTIFS($A:$A,patch[[#This Row],[number]],$S:$S, "BJ And dev",$AD:$AD, "&lt;&gt;IntegratorValidationComment"))</f>
        <v>4</v>
      </c>
      <c r="AA834" s="7">
        <f>IF(ISBLANK(patch[[#This Row],[project]]), "",COUNTIFS($A:$A,patch[[#This Row],[number]],$S:$S, "FL And dev",$AD:$AD, "&lt;&gt;IntegratorValidationComment"))</f>
        <v>0</v>
      </c>
      <c r="AB834" s="7">
        <f>IF(ISBLANK(patch[[#This Row],[project]]), "",COUNTIFS($A:$A,patch[[#This Row],[number]],$S:$S, "SH And dev",$AD:$AD, "&lt;&gt;IntegratorValidationComment"))</f>
        <v>0</v>
      </c>
      <c r="AC834" s="7" t="str">
        <f>IF(OR(ISNUMBER(FIND("Review-1", patch[[#This Row],[comments]])), ISNUMBER(FIND("Approver-1", patch[[#This Row],[comments]]))), "Review-1", "")</f>
        <v/>
      </c>
      <c r="AD8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34" s="7" t="str">
        <f>IF(ISBLANK(patch[[#This Row],[number]]),AE833,patch[[#This Row],[ifCommon]])</f>
        <v>not AndrHAL</v>
      </c>
    </row>
    <row r="835" spans="1:31">
      <c r="A835" s="151">
        <v>146215</v>
      </c>
      <c r="B835" s="151"/>
      <c r="C835" s="151"/>
      <c r="D835" s="151"/>
      <c r="E835" s="151"/>
      <c r="F835" s="151"/>
      <c r="G835" s="151"/>
      <c r="H835" s="151"/>
      <c r="I835" s="151"/>
      <c r="J835" s="152">
        <v>42635.711134259262</v>
      </c>
      <c r="K835" s="151"/>
      <c r="L835" s="151" t="s">
        <v>59</v>
      </c>
      <c r="M835" s="152">
        <v>42632.518229166657</v>
      </c>
      <c r="N835" s="151" t="s">
        <v>25</v>
      </c>
      <c r="O835" s="151"/>
      <c r="P835" s="151"/>
      <c r="Q835" s="7" t="str">
        <f>IF(ISBLANK(patch[[#This Row],[OwnerEmail]]),Q834,patch[[#This Row],[OwnerEmail]])</f>
        <v>xiaozhou.liu@intel.com</v>
      </c>
      <c r="R835" s="7" t="str">
        <f>_xlfn.IFNA(VLOOKUP(patch[[#This Row],[tmp-owner.email]],OrgTree!$A:$K, 11, 0), "not ICG SWFW")</f>
        <v>BJ And dev</v>
      </c>
      <c r="S835" s="7" t="str">
        <f>IF(patch[[#This Row],[reviewer]]=patch[[#This Row],[tmp-owner.email]], "author", _xlfn.IFNA(VLOOKUP(patch[[#This Row],[reviewer]],OrgTree!$A:$K, 11, 0), "not ICG SWFW"))</f>
        <v>author</v>
      </c>
      <c r="T835" s="7" t="str">
        <f>IF(ISBLANK(patch[[#This Row],[mergeDate]]), "", MID(YEAR(patch[[#This Row],[mergeDate]]), 3,2)&amp;"'ww"&amp;WEEKNUM(patch[[#This Row],[mergeDate]]))</f>
        <v>16'ww39</v>
      </c>
      <c r="U835" s="7" t="str">
        <f>IF(ISBLANK(patch[[#This Row],[mergeDate]]), U834, MID(YEAR(patch[[#This Row],[mergeDate]]), 3,2)&amp;"'m"&amp;MONTH(patch[[#This Row],[mergeDate]]))</f>
        <v>16'm9</v>
      </c>
      <c r="V835" s="7" t="str">
        <f>IF(ISBLANK(patch[[#This Row],[project]]), "",SUM(patch[[#This Row],[BJ -1 num]:[SH -1 num]]))</f>
        <v/>
      </c>
      <c r="W835" s="7" t="str">
        <f>IF(ISBLANK(patch[[#This Row],[project]]), "",COUNTIFS($A:$A,patch[[#This Row],[number]],$S:$S, "BJ And dev",$AC:$AC, "Review-1"))</f>
        <v/>
      </c>
      <c r="X835" s="7" t="str">
        <f>IF(ISBLANK(patch[[#This Row],[project]]), "",COUNTIFS($A:$A,patch[[#This Row],[number]],$S:$S, "FL And dev",$AC:$AC, "Review-1"))</f>
        <v/>
      </c>
      <c r="Y835" s="7" t="str">
        <f>IF(ISBLANK(patch[[#This Row],[project]]), "",COUNTIFS($A:$A,patch[[#This Row],[number]],$S:$S, "SH And dev",$AC:$AC, "Review-1"))</f>
        <v/>
      </c>
      <c r="Z835" s="7" t="str">
        <f>IF(ISBLANK(patch[[#This Row],[project]]), "",COUNTIFS($A:$A,patch[[#This Row],[number]],$S:$S, "BJ And dev",$AD:$AD, "&lt;&gt;IntegratorValidationComment"))</f>
        <v/>
      </c>
      <c r="AA835" s="7" t="str">
        <f>IF(ISBLANK(patch[[#This Row],[project]]), "",COUNTIFS($A:$A,patch[[#This Row],[number]],$S:$S, "FL And dev",$AD:$AD, "&lt;&gt;IntegratorValidationComment"))</f>
        <v/>
      </c>
      <c r="AB835" s="7" t="str">
        <f>IF(ISBLANK(patch[[#This Row],[project]]), "",COUNTIFS($A:$A,patch[[#This Row],[number]],$S:$S, "SH And dev",$AD:$AD, "&lt;&gt;IntegratorValidationComment"))</f>
        <v/>
      </c>
      <c r="AC835" s="7" t="str">
        <f>IF(OR(ISNUMBER(FIND("Review-1", patch[[#This Row],[comments]])), ISNUMBER(FIND("Approver-1", patch[[#This Row],[comments]]))), "Review-1", "")</f>
        <v/>
      </c>
      <c r="AD8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35" s="7">
        <f>IF(ISBLANK(patch[[#This Row],[number]]),AE834,patch[[#This Row],[ifCommon]])</f>
        <v>0</v>
      </c>
    </row>
    <row r="836" spans="1:31">
      <c r="A836" s="151">
        <v>146215</v>
      </c>
      <c r="B836" s="151"/>
      <c r="C836" s="151"/>
      <c r="D836" s="151"/>
      <c r="E836" s="151"/>
      <c r="F836" s="151"/>
      <c r="G836" s="151"/>
      <c r="H836" s="151"/>
      <c r="I836" s="151"/>
      <c r="J836" s="152">
        <v>42635.711134259262</v>
      </c>
      <c r="K836" s="151"/>
      <c r="L836" s="151" t="s">
        <v>59</v>
      </c>
      <c r="M836" s="152">
        <v>42632.522650462961</v>
      </c>
      <c r="N836" s="151" t="s">
        <v>3016</v>
      </c>
      <c r="O836" s="151"/>
      <c r="P836" s="151"/>
      <c r="Q836" s="7" t="str">
        <f>IF(ISBLANK(patch[[#This Row],[OwnerEmail]]),Q835,patch[[#This Row],[OwnerEmail]])</f>
        <v>xiaozhou.liu@intel.com</v>
      </c>
      <c r="R836" s="7" t="str">
        <f>_xlfn.IFNA(VLOOKUP(patch[[#This Row],[tmp-owner.email]],OrgTree!$A:$K, 11, 0), "not ICG SWFW")</f>
        <v>BJ And dev</v>
      </c>
      <c r="S836" s="7" t="str">
        <f>IF(patch[[#This Row],[reviewer]]=patch[[#This Row],[tmp-owner.email]], "author", _xlfn.IFNA(VLOOKUP(patch[[#This Row],[reviewer]],OrgTree!$A:$K, 11, 0), "not ICG SWFW"))</f>
        <v>author</v>
      </c>
      <c r="T836" s="7" t="str">
        <f>IF(ISBLANK(patch[[#This Row],[mergeDate]]), "", MID(YEAR(patch[[#This Row],[mergeDate]]), 3,2)&amp;"'ww"&amp;WEEKNUM(patch[[#This Row],[mergeDate]]))</f>
        <v>16'ww39</v>
      </c>
      <c r="U836" s="7" t="str">
        <f>IF(ISBLANK(patch[[#This Row],[mergeDate]]), U835, MID(YEAR(patch[[#This Row],[mergeDate]]), 3,2)&amp;"'m"&amp;MONTH(patch[[#This Row],[mergeDate]]))</f>
        <v>16'm9</v>
      </c>
      <c r="V836" s="7" t="str">
        <f>IF(ISBLANK(patch[[#This Row],[project]]), "",SUM(patch[[#This Row],[BJ -1 num]:[SH -1 num]]))</f>
        <v/>
      </c>
      <c r="W836" s="7" t="str">
        <f>IF(ISBLANK(patch[[#This Row],[project]]), "",COUNTIFS($A:$A,patch[[#This Row],[number]],$S:$S, "BJ And dev",$AC:$AC, "Review-1"))</f>
        <v/>
      </c>
      <c r="X836" s="7" t="str">
        <f>IF(ISBLANK(patch[[#This Row],[project]]), "",COUNTIFS($A:$A,patch[[#This Row],[number]],$S:$S, "FL And dev",$AC:$AC, "Review-1"))</f>
        <v/>
      </c>
      <c r="Y836" s="7" t="str">
        <f>IF(ISBLANK(patch[[#This Row],[project]]), "",COUNTIFS($A:$A,patch[[#This Row],[number]],$S:$S, "SH And dev",$AC:$AC, "Review-1"))</f>
        <v/>
      </c>
      <c r="Z836" s="7" t="str">
        <f>IF(ISBLANK(patch[[#This Row],[project]]), "",COUNTIFS($A:$A,patch[[#This Row],[number]],$S:$S, "BJ And dev",$AD:$AD, "&lt;&gt;IntegratorValidationComment"))</f>
        <v/>
      </c>
      <c r="AA836" s="7" t="str">
        <f>IF(ISBLANK(patch[[#This Row],[project]]), "",COUNTIFS($A:$A,patch[[#This Row],[number]],$S:$S, "FL And dev",$AD:$AD, "&lt;&gt;IntegratorValidationComment"))</f>
        <v/>
      </c>
      <c r="AB836" s="7" t="str">
        <f>IF(ISBLANK(patch[[#This Row],[project]]), "",COUNTIFS($A:$A,patch[[#This Row],[number]],$S:$S, "SH And dev",$AD:$AD, "&lt;&gt;IntegratorValidationComment"))</f>
        <v/>
      </c>
      <c r="AC836" s="7" t="str">
        <f>IF(OR(ISNUMBER(FIND("Review-1", patch[[#This Row],[comments]])), ISNUMBER(FIND("Approver-1", patch[[#This Row],[comments]]))), "Review-1", "")</f>
        <v/>
      </c>
      <c r="AD8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36" s="7">
        <f>IF(ISBLANK(patch[[#This Row],[number]]),AE835,patch[[#This Row],[ifCommon]])</f>
        <v>0</v>
      </c>
    </row>
    <row r="837" spans="1:31">
      <c r="A837" s="151">
        <v>146215</v>
      </c>
      <c r="B837" s="151"/>
      <c r="C837" s="151"/>
      <c r="D837" s="151"/>
      <c r="E837" s="151"/>
      <c r="F837" s="151"/>
      <c r="G837" s="151"/>
      <c r="H837" s="151"/>
      <c r="I837" s="152"/>
      <c r="J837" s="152">
        <v>42635.711134259262</v>
      </c>
      <c r="K837" s="151"/>
      <c r="L837" s="151" t="s">
        <v>59</v>
      </c>
      <c r="M837" s="152">
        <v>42632.528020833342</v>
      </c>
      <c r="N837" s="151" t="s">
        <v>3017</v>
      </c>
      <c r="O837" s="151"/>
      <c r="P837" s="151"/>
      <c r="Q837" s="7" t="str">
        <f>IF(ISBLANK(patch[[#This Row],[OwnerEmail]]),Q836,patch[[#This Row],[OwnerEmail]])</f>
        <v>xiaozhou.liu@intel.com</v>
      </c>
      <c r="R837" s="7" t="str">
        <f>_xlfn.IFNA(VLOOKUP(patch[[#This Row],[tmp-owner.email]],OrgTree!$A:$K, 11, 0), "not ICG SWFW")</f>
        <v>BJ And dev</v>
      </c>
      <c r="S837" s="7" t="str">
        <f>IF(patch[[#This Row],[reviewer]]=patch[[#This Row],[tmp-owner.email]], "author", _xlfn.IFNA(VLOOKUP(patch[[#This Row],[reviewer]],OrgTree!$A:$K, 11, 0), "not ICG SWFW"))</f>
        <v>author</v>
      </c>
      <c r="T837" s="7" t="str">
        <f>IF(ISBLANK(patch[[#This Row],[mergeDate]]), "", MID(YEAR(patch[[#This Row],[mergeDate]]), 3,2)&amp;"'ww"&amp;WEEKNUM(patch[[#This Row],[mergeDate]]))</f>
        <v>16'ww39</v>
      </c>
      <c r="U837" s="7" t="str">
        <f>IF(ISBLANK(patch[[#This Row],[mergeDate]]), U836, MID(YEAR(patch[[#This Row],[mergeDate]]), 3,2)&amp;"'m"&amp;MONTH(patch[[#This Row],[mergeDate]]))</f>
        <v>16'm9</v>
      </c>
      <c r="V837" s="7" t="str">
        <f>IF(ISBLANK(patch[[#This Row],[project]]), "",SUM(patch[[#This Row],[BJ -1 num]:[SH -1 num]]))</f>
        <v/>
      </c>
      <c r="W837" s="7" t="str">
        <f>IF(ISBLANK(patch[[#This Row],[project]]), "",COUNTIFS($A:$A,patch[[#This Row],[number]],$S:$S, "BJ And dev",$AC:$AC, "Review-1"))</f>
        <v/>
      </c>
      <c r="X837" s="7" t="str">
        <f>IF(ISBLANK(patch[[#This Row],[project]]), "",COUNTIFS($A:$A,patch[[#This Row],[number]],$S:$S, "FL And dev",$AC:$AC, "Review-1"))</f>
        <v/>
      </c>
      <c r="Y837" s="7" t="str">
        <f>IF(ISBLANK(patch[[#This Row],[project]]), "",COUNTIFS($A:$A,patch[[#This Row],[number]],$S:$S, "SH And dev",$AC:$AC, "Review-1"))</f>
        <v/>
      </c>
      <c r="Z837" s="7" t="str">
        <f>IF(ISBLANK(patch[[#This Row],[project]]), "",COUNTIFS($A:$A,patch[[#This Row],[number]],$S:$S, "BJ And dev",$AD:$AD, "&lt;&gt;IntegratorValidationComment"))</f>
        <v/>
      </c>
      <c r="AA837" s="7" t="str">
        <f>IF(ISBLANK(patch[[#This Row],[project]]), "",COUNTIFS($A:$A,patch[[#This Row],[number]],$S:$S, "FL And dev",$AD:$AD, "&lt;&gt;IntegratorValidationComment"))</f>
        <v/>
      </c>
      <c r="AB837" s="7" t="str">
        <f>IF(ISBLANK(patch[[#This Row],[project]]), "",COUNTIFS($A:$A,patch[[#This Row],[number]],$S:$S, "SH And dev",$AD:$AD, "&lt;&gt;IntegratorValidationComment"))</f>
        <v/>
      </c>
      <c r="AC837" s="7" t="str">
        <f>IF(OR(ISNUMBER(FIND("Review-1", patch[[#This Row],[comments]])), ISNUMBER(FIND("Approver-1", patch[[#This Row],[comments]]))), "Review-1", "")</f>
        <v/>
      </c>
      <c r="AD8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37" s="7">
        <f>IF(ISBLANK(patch[[#This Row],[number]]),AE836,patch[[#This Row],[ifCommon]])</f>
        <v>0</v>
      </c>
    </row>
    <row r="838" spans="1:31">
      <c r="A838" s="151">
        <v>146215</v>
      </c>
      <c r="B838" s="151"/>
      <c r="C838" s="151"/>
      <c r="D838" s="151"/>
      <c r="E838" s="151"/>
      <c r="F838" s="151"/>
      <c r="G838" s="151"/>
      <c r="H838" s="151"/>
      <c r="I838" s="151"/>
      <c r="J838" s="152">
        <v>42635.711134259262</v>
      </c>
      <c r="K838" s="151"/>
      <c r="L838" s="151" t="s">
        <v>59</v>
      </c>
      <c r="M838" s="152">
        <v>42633.738599537042</v>
      </c>
      <c r="N838" s="151" t="s">
        <v>2429</v>
      </c>
      <c r="O838" s="151"/>
      <c r="P838" s="151"/>
      <c r="Q838" s="7" t="str">
        <f>IF(ISBLANK(patch[[#This Row],[OwnerEmail]]),Q837,patch[[#This Row],[OwnerEmail]])</f>
        <v>xiaozhou.liu@intel.com</v>
      </c>
      <c r="R838" s="7" t="str">
        <f>_xlfn.IFNA(VLOOKUP(patch[[#This Row],[tmp-owner.email]],OrgTree!$A:$K, 11, 0), "not ICG SWFW")</f>
        <v>BJ And dev</v>
      </c>
      <c r="S838" s="7" t="str">
        <f>IF(patch[[#This Row],[reviewer]]=patch[[#This Row],[tmp-owner.email]], "author", _xlfn.IFNA(VLOOKUP(patch[[#This Row],[reviewer]],OrgTree!$A:$K, 11, 0), "not ICG SWFW"))</f>
        <v>author</v>
      </c>
      <c r="T838" s="7" t="str">
        <f>IF(ISBLANK(patch[[#This Row],[mergeDate]]), "", MID(YEAR(patch[[#This Row],[mergeDate]]), 3,2)&amp;"'ww"&amp;WEEKNUM(patch[[#This Row],[mergeDate]]))</f>
        <v>16'ww39</v>
      </c>
      <c r="U838" s="7" t="str">
        <f>IF(ISBLANK(patch[[#This Row],[mergeDate]]), U837, MID(YEAR(patch[[#This Row],[mergeDate]]), 3,2)&amp;"'m"&amp;MONTH(patch[[#This Row],[mergeDate]]))</f>
        <v>16'm9</v>
      </c>
      <c r="V838" s="7" t="str">
        <f>IF(ISBLANK(patch[[#This Row],[project]]), "",SUM(patch[[#This Row],[BJ -1 num]:[SH -1 num]]))</f>
        <v/>
      </c>
      <c r="W838" s="7" t="str">
        <f>IF(ISBLANK(patch[[#This Row],[project]]), "",COUNTIFS($A:$A,patch[[#This Row],[number]],$S:$S, "BJ And dev",$AC:$AC, "Review-1"))</f>
        <v/>
      </c>
      <c r="X838" s="7" t="str">
        <f>IF(ISBLANK(patch[[#This Row],[project]]), "",COUNTIFS($A:$A,patch[[#This Row],[number]],$S:$S, "FL And dev",$AC:$AC, "Review-1"))</f>
        <v/>
      </c>
      <c r="Y838" s="7" t="str">
        <f>IF(ISBLANK(patch[[#This Row],[project]]), "",COUNTIFS($A:$A,patch[[#This Row],[number]],$S:$S, "SH And dev",$AC:$AC, "Review-1"))</f>
        <v/>
      </c>
      <c r="Z838" s="7" t="str">
        <f>IF(ISBLANK(patch[[#This Row],[project]]), "",COUNTIFS($A:$A,patch[[#This Row],[number]],$S:$S, "BJ And dev",$AD:$AD, "&lt;&gt;IntegratorValidationComment"))</f>
        <v/>
      </c>
      <c r="AA838" s="7" t="str">
        <f>IF(ISBLANK(patch[[#This Row],[project]]), "",COUNTIFS($A:$A,patch[[#This Row],[number]],$S:$S, "FL And dev",$AD:$AD, "&lt;&gt;IntegratorValidationComment"))</f>
        <v/>
      </c>
      <c r="AB838" s="7" t="str">
        <f>IF(ISBLANK(patch[[#This Row],[project]]), "",COUNTIFS($A:$A,patch[[#This Row],[number]],$S:$S, "SH And dev",$AD:$AD, "&lt;&gt;IntegratorValidationComment"))</f>
        <v/>
      </c>
      <c r="AC838" s="7" t="str">
        <f>IF(OR(ISNUMBER(FIND("Review-1", patch[[#This Row],[comments]])), ISNUMBER(FIND("Approver-1", patch[[#This Row],[comments]]))), "Review-1", "")</f>
        <v/>
      </c>
      <c r="AD8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38" s="7">
        <f>IF(ISBLANK(patch[[#This Row],[number]]),AE837,patch[[#This Row],[ifCommon]])</f>
        <v>0</v>
      </c>
    </row>
    <row r="839" spans="1:31">
      <c r="A839" s="151">
        <v>146215</v>
      </c>
      <c r="B839" s="151"/>
      <c r="C839" s="151"/>
      <c r="D839" s="151"/>
      <c r="E839" s="151"/>
      <c r="F839" s="151"/>
      <c r="G839" s="151"/>
      <c r="H839" s="151"/>
      <c r="I839" s="151"/>
      <c r="J839" s="152">
        <v>42635.711134259262</v>
      </c>
      <c r="K839" s="151"/>
      <c r="L839" s="151" t="s">
        <v>59</v>
      </c>
      <c r="M839" s="152">
        <v>42633.738599537042</v>
      </c>
      <c r="N839" s="151" t="s">
        <v>29</v>
      </c>
      <c r="O839" s="151"/>
      <c r="P839" s="151"/>
      <c r="Q839" s="7" t="str">
        <f>IF(ISBLANK(patch[[#This Row],[OwnerEmail]]),Q838,patch[[#This Row],[OwnerEmail]])</f>
        <v>xiaozhou.liu@intel.com</v>
      </c>
      <c r="R839" s="7" t="str">
        <f>_xlfn.IFNA(VLOOKUP(patch[[#This Row],[tmp-owner.email]],OrgTree!$A:$K, 11, 0), "not ICG SWFW")</f>
        <v>BJ And dev</v>
      </c>
      <c r="S839" s="7" t="str">
        <f>IF(patch[[#This Row],[reviewer]]=patch[[#This Row],[tmp-owner.email]], "author", _xlfn.IFNA(VLOOKUP(patch[[#This Row],[reviewer]],OrgTree!$A:$K, 11, 0), "not ICG SWFW"))</f>
        <v>author</v>
      </c>
      <c r="T839" s="7" t="str">
        <f>IF(ISBLANK(patch[[#This Row],[mergeDate]]), "", MID(YEAR(patch[[#This Row],[mergeDate]]), 3,2)&amp;"'ww"&amp;WEEKNUM(patch[[#This Row],[mergeDate]]))</f>
        <v>16'ww39</v>
      </c>
      <c r="U839" s="7" t="str">
        <f>IF(ISBLANK(patch[[#This Row],[mergeDate]]), U838, MID(YEAR(patch[[#This Row],[mergeDate]]), 3,2)&amp;"'m"&amp;MONTH(patch[[#This Row],[mergeDate]]))</f>
        <v>16'm9</v>
      </c>
      <c r="V839" s="7" t="str">
        <f>IF(ISBLANK(patch[[#This Row],[project]]), "",SUM(patch[[#This Row],[BJ -1 num]:[SH -1 num]]))</f>
        <v/>
      </c>
      <c r="W839" s="7" t="str">
        <f>IF(ISBLANK(patch[[#This Row],[project]]), "",COUNTIFS($A:$A,patch[[#This Row],[number]],$S:$S, "BJ And dev",$AC:$AC, "Review-1"))</f>
        <v/>
      </c>
      <c r="X839" s="7" t="str">
        <f>IF(ISBLANK(patch[[#This Row],[project]]), "",COUNTIFS($A:$A,patch[[#This Row],[number]],$S:$S, "FL And dev",$AC:$AC, "Review-1"))</f>
        <v/>
      </c>
      <c r="Y839" s="7" t="str">
        <f>IF(ISBLANK(patch[[#This Row],[project]]), "",COUNTIFS($A:$A,patch[[#This Row],[number]],$S:$S, "SH And dev",$AC:$AC, "Review-1"))</f>
        <v/>
      </c>
      <c r="Z839" s="7" t="str">
        <f>IF(ISBLANK(patch[[#This Row],[project]]), "",COUNTIFS($A:$A,patch[[#This Row],[number]],$S:$S, "BJ And dev",$AD:$AD, "&lt;&gt;IntegratorValidationComment"))</f>
        <v/>
      </c>
      <c r="AA839" s="7" t="str">
        <f>IF(ISBLANK(patch[[#This Row],[project]]), "",COUNTIFS($A:$A,patch[[#This Row],[number]],$S:$S, "FL And dev",$AD:$AD, "&lt;&gt;IntegratorValidationComment"))</f>
        <v/>
      </c>
      <c r="AB839" s="7" t="str">
        <f>IF(ISBLANK(patch[[#This Row],[project]]), "",COUNTIFS($A:$A,patch[[#This Row],[number]],$S:$S, "SH And dev",$AD:$AD, "&lt;&gt;IntegratorValidationComment"))</f>
        <v/>
      </c>
      <c r="AC839" s="7" t="str">
        <f>IF(OR(ISNUMBER(FIND("Review-1", patch[[#This Row],[comments]])), ISNUMBER(FIND("Approver-1", patch[[#This Row],[comments]]))), "Review-1", "")</f>
        <v/>
      </c>
      <c r="AD8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39" s="7">
        <f>IF(ISBLANK(patch[[#This Row],[number]]),AE838,patch[[#This Row],[ifCommon]])</f>
        <v>0</v>
      </c>
    </row>
    <row r="840" spans="1:31">
      <c r="A840" s="151">
        <v>146215</v>
      </c>
      <c r="B840" s="151"/>
      <c r="C840" s="151"/>
      <c r="D840" s="151"/>
      <c r="E840" s="151"/>
      <c r="F840" s="151"/>
      <c r="G840" s="151"/>
      <c r="H840" s="151"/>
      <c r="I840" s="151"/>
      <c r="J840" s="152">
        <v>42635.711134259262</v>
      </c>
      <c r="K840" s="151"/>
      <c r="L840" s="151" t="s">
        <v>59</v>
      </c>
      <c r="M840" s="152">
        <v>42633.739537037043</v>
      </c>
      <c r="N840" s="151" t="s">
        <v>27</v>
      </c>
      <c r="O840" s="151"/>
      <c r="P840" s="151"/>
      <c r="Q840" s="7" t="str">
        <f>IF(ISBLANK(patch[[#This Row],[OwnerEmail]]),Q839,patch[[#This Row],[OwnerEmail]])</f>
        <v>xiaozhou.liu@intel.com</v>
      </c>
      <c r="R840" s="7" t="str">
        <f>_xlfn.IFNA(VLOOKUP(patch[[#This Row],[tmp-owner.email]],OrgTree!$A:$K, 11, 0), "not ICG SWFW")</f>
        <v>BJ And dev</v>
      </c>
      <c r="S840" s="7" t="str">
        <f>IF(patch[[#This Row],[reviewer]]=patch[[#This Row],[tmp-owner.email]], "author", _xlfn.IFNA(VLOOKUP(patch[[#This Row],[reviewer]],OrgTree!$A:$K, 11, 0), "not ICG SWFW"))</f>
        <v>author</v>
      </c>
      <c r="T840" s="7" t="str">
        <f>IF(ISBLANK(patch[[#This Row],[mergeDate]]), "", MID(YEAR(patch[[#This Row],[mergeDate]]), 3,2)&amp;"'ww"&amp;WEEKNUM(patch[[#This Row],[mergeDate]]))</f>
        <v>16'ww39</v>
      </c>
      <c r="U840" s="7" t="str">
        <f>IF(ISBLANK(patch[[#This Row],[mergeDate]]), U839, MID(YEAR(patch[[#This Row],[mergeDate]]), 3,2)&amp;"'m"&amp;MONTH(patch[[#This Row],[mergeDate]]))</f>
        <v>16'm9</v>
      </c>
      <c r="V840" s="7" t="str">
        <f>IF(ISBLANK(patch[[#This Row],[project]]), "",SUM(patch[[#This Row],[BJ -1 num]:[SH -1 num]]))</f>
        <v/>
      </c>
      <c r="W840" s="7" t="str">
        <f>IF(ISBLANK(patch[[#This Row],[project]]), "",COUNTIFS($A:$A,patch[[#This Row],[number]],$S:$S, "BJ And dev",$AC:$AC, "Review-1"))</f>
        <v/>
      </c>
      <c r="X840" s="7" t="str">
        <f>IF(ISBLANK(patch[[#This Row],[project]]), "",COUNTIFS($A:$A,patch[[#This Row],[number]],$S:$S, "FL And dev",$AC:$AC, "Review-1"))</f>
        <v/>
      </c>
      <c r="Y840" s="7" t="str">
        <f>IF(ISBLANK(patch[[#This Row],[project]]), "",COUNTIFS($A:$A,patch[[#This Row],[number]],$S:$S, "SH And dev",$AC:$AC, "Review-1"))</f>
        <v/>
      </c>
      <c r="Z840" s="7" t="str">
        <f>IF(ISBLANK(patch[[#This Row],[project]]), "",COUNTIFS($A:$A,patch[[#This Row],[number]],$S:$S, "BJ And dev",$AD:$AD, "&lt;&gt;IntegratorValidationComment"))</f>
        <v/>
      </c>
      <c r="AA840" s="7" t="str">
        <f>IF(ISBLANK(patch[[#This Row],[project]]), "",COUNTIFS($A:$A,patch[[#This Row],[number]],$S:$S, "FL And dev",$AD:$AD, "&lt;&gt;IntegratorValidationComment"))</f>
        <v/>
      </c>
      <c r="AB840" s="7" t="str">
        <f>IF(ISBLANK(patch[[#This Row],[project]]), "",COUNTIFS($A:$A,patch[[#This Row],[number]],$S:$S, "SH And dev",$AD:$AD, "&lt;&gt;IntegratorValidationComment"))</f>
        <v/>
      </c>
      <c r="AC840" s="7" t="str">
        <f>IF(OR(ISNUMBER(FIND("Review-1", patch[[#This Row],[comments]])), ISNUMBER(FIND("Approver-1", patch[[#This Row],[comments]]))), "Review-1", "")</f>
        <v/>
      </c>
      <c r="AD8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40" s="7">
        <f>IF(ISBLANK(patch[[#This Row],[number]]),AE839,patch[[#This Row],[ifCommon]])</f>
        <v>0</v>
      </c>
    </row>
    <row r="841" spans="1:31">
      <c r="A841" s="151">
        <v>146215</v>
      </c>
      <c r="B841" s="151"/>
      <c r="C841" s="151"/>
      <c r="D841" s="151"/>
      <c r="E841" s="151"/>
      <c r="F841" s="151"/>
      <c r="G841" s="151"/>
      <c r="H841" s="151"/>
      <c r="I841" s="151"/>
      <c r="J841" s="152">
        <v>42635.711134259262</v>
      </c>
      <c r="K841" s="151"/>
      <c r="L841" s="151" t="s">
        <v>59</v>
      </c>
      <c r="M841" s="152">
        <v>42633.741539351853</v>
      </c>
      <c r="N841" s="151" t="s">
        <v>3018</v>
      </c>
      <c r="O841" s="151"/>
      <c r="P841" s="151"/>
      <c r="Q841" s="7" t="str">
        <f>IF(ISBLANK(patch[[#This Row],[OwnerEmail]]),Q840,patch[[#This Row],[OwnerEmail]])</f>
        <v>xiaozhou.liu@intel.com</v>
      </c>
      <c r="R841" s="7" t="str">
        <f>_xlfn.IFNA(VLOOKUP(patch[[#This Row],[tmp-owner.email]],OrgTree!$A:$K, 11, 0), "not ICG SWFW")</f>
        <v>BJ And dev</v>
      </c>
      <c r="S841" s="7" t="str">
        <f>IF(patch[[#This Row],[reviewer]]=patch[[#This Row],[tmp-owner.email]], "author", _xlfn.IFNA(VLOOKUP(patch[[#This Row],[reviewer]],OrgTree!$A:$K, 11, 0), "not ICG SWFW"))</f>
        <v>author</v>
      </c>
      <c r="T841" s="7" t="str">
        <f>IF(ISBLANK(patch[[#This Row],[mergeDate]]), "", MID(YEAR(patch[[#This Row],[mergeDate]]), 3,2)&amp;"'ww"&amp;WEEKNUM(patch[[#This Row],[mergeDate]]))</f>
        <v>16'ww39</v>
      </c>
      <c r="U841" s="7" t="str">
        <f>IF(ISBLANK(patch[[#This Row],[mergeDate]]), U840, MID(YEAR(patch[[#This Row],[mergeDate]]), 3,2)&amp;"'m"&amp;MONTH(patch[[#This Row],[mergeDate]]))</f>
        <v>16'm9</v>
      </c>
      <c r="V841" s="7" t="str">
        <f>IF(ISBLANK(patch[[#This Row],[project]]), "",SUM(patch[[#This Row],[BJ -1 num]:[SH -1 num]]))</f>
        <v/>
      </c>
      <c r="W841" s="7" t="str">
        <f>IF(ISBLANK(patch[[#This Row],[project]]), "",COUNTIFS($A:$A,patch[[#This Row],[number]],$S:$S, "BJ And dev",$AC:$AC, "Review-1"))</f>
        <v/>
      </c>
      <c r="X841" s="7" t="str">
        <f>IF(ISBLANK(patch[[#This Row],[project]]), "",COUNTIFS($A:$A,patch[[#This Row],[number]],$S:$S, "FL And dev",$AC:$AC, "Review-1"))</f>
        <v/>
      </c>
      <c r="Y841" s="7" t="str">
        <f>IF(ISBLANK(patch[[#This Row],[project]]), "",COUNTIFS($A:$A,patch[[#This Row],[number]],$S:$S, "SH And dev",$AC:$AC, "Review-1"))</f>
        <v/>
      </c>
      <c r="Z841" s="7" t="str">
        <f>IF(ISBLANK(patch[[#This Row],[project]]), "",COUNTIFS($A:$A,patch[[#This Row],[number]],$S:$S, "BJ And dev",$AD:$AD, "&lt;&gt;IntegratorValidationComment"))</f>
        <v/>
      </c>
      <c r="AA841" s="7" t="str">
        <f>IF(ISBLANK(patch[[#This Row],[project]]), "",COUNTIFS($A:$A,patch[[#This Row],[number]],$S:$S, "FL And dev",$AD:$AD, "&lt;&gt;IntegratorValidationComment"))</f>
        <v/>
      </c>
      <c r="AB841" s="7" t="str">
        <f>IF(ISBLANK(patch[[#This Row],[project]]), "",COUNTIFS($A:$A,patch[[#This Row],[number]],$S:$S, "SH And dev",$AD:$AD, "&lt;&gt;IntegratorValidationComment"))</f>
        <v/>
      </c>
      <c r="AC841" s="7" t="str">
        <f>IF(OR(ISNUMBER(FIND("Review-1", patch[[#This Row],[comments]])), ISNUMBER(FIND("Approver-1", patch[[#This Row],[comments]]))), "Review-1", "")</f>
        <v/>
      </c>
      <c r="AD8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41" s="7">
        <f>IF(ISBLANK(patch[[#This Row],[number]]),AE840,patch[[#This Row],[ifCommon]])</f>
        <v>0</v>
      </c>
    </row>
    <row r="842" spans="1:31">
      <c r="A842" s="151">
        <v>146215</v>
      </c>
      <c r="B842" s="151"/>
      <c r="C842" s="151"/>
      <c r="D842" s="151"/>
      <c r="E842" s="151"/>
      <c r="F842" s="151"/>
      <c r="G842" s="151"/>
      <c r="H842" s="151"/>
      <c r="I842" s="151"/>
      <c r="J842" s="152">
        <v>42635.711134259262</v>
      </c>
      <c r="K842" s="151"/>
      <c r="L842" s="151" t="s">
        <v>59</v>
      </c>
      <c r="M842" s="152">
        <v>42633.745868055557</v>
      </c>
      <c r="N842" s="151" t="s">
        <v>3019</v>
      </c>
      <c r="O842" s="151"/>
      <c r="P842" s="151"/>
      <c r="Q842" s="7" t="str">
        <f>IF(ISBLANK(patch[[#This Row],[OwnerEmail]]),Q841,patch[[#This Row],[OwnerEmail]])</f>
        <v>xiaozhou.liu@intel.com</v>
      </c>
      <c r="R842" s="7" t="str">
        <f>_xlfn.IFNA(VLOOKUP(patch[[#This Row],[tmp-owner.email]],OrgTree!$A:$K, 11, 0), "not ICG SWFW")</f>
        <v>BJ And dev</v>
      </c>
      <c r="S842" s="7" t="str">
        <f>IF(patch[[#This Row],[reviewer]]=patch[[#This Row],[tmp-owner.email]], "author", _xlfn.IFNA(VLOOKUP(patch[[#This Row],[reviewer]],OrgTree!$A:$K, 11, 0), "not ICG SWFW"))</f>
        <v>author</v>
      </c>
      <c r="T842" s="7" t="str">
        <f>IF(ISBLANK(patch[[#This Row],[mergeDate]]), "", MID(YEAR(patch[[#This Row],[mergeDate]]), 3,2)&amp;"'ww"&amp;WEEKNUM(patch[[#This Row],[mergeDate]]))</f>
        <v>16'ww39</v>
      </c>
      <c r="U842" s="7" t="str">
        <f>IF(ISBLANK(patch[[#This Row],[mergeDate]]), U841, MID(YEAR(patch[[#This Row],[mergeDate]]), 3,2)&amp;"'m"&amp;MONTH(patch[[#This Row],[mergeDate]]))</f>
        <v>16'm9</v>
      </c>
      <c r="V842" s="7" t="str">
        <f>IF(ISBLANK(patch[[#This Row],[project]]), "",SUM(patch[[#This Row],[BJ -1 num]:[SH -1 num]]))</f>
        <v/>
      </c>
      <c r="W842" s="7" t="str">
        <f>IF(ISBLANK(patch[[#This Row],[project]]), "",COUNTIFS($A:$A,patch[[#This Row],[number]],$S:$S, "BJ And dev",$AC:$AC, "Review-1"))</f>
        <v/>
      </c>
      <c r="X842" s="7" t="str">
        <f>IF(ISBLANK(patch[[#This Row],[project]]), "",COUNTIFS($A:$A,patch[[#This Row],[number]],$S:$S, "FL And dev",$AC:$AC, "Review-1"))</f>
        <v/>
      </c>
      <c r="Y842" s="7" t="str">
        <f>IF(ISBLANK(patch[[#This Row],[project]]), "",COUNTIFS($A:$A,patch[[#This Row],[number]],$S:$S, "SH And dev",$AC:$AC, "Review-1"))</f>
        <v/>
      </c>
      <c r="Z842" s="7" t="str">
        <f>IF(ISBLANK(patch[[#This Row],[project]]), "",COUNTIFS($A:$A,patch[[#This Row],[number]],$S:$S, "BJ And dev",$AD:$AD, "&lt;&gt;IntegratorValidationComment"))</f>
        <v/>
      </c>
      <c r="AA842" s="7" t="str">
        <f>IF(ISBLANK(patch[[#This Row],[project]]), "",COUNTIFS($A:$A,patch[[#This Row],[number]],$S:$S, "FL And dev",$AD:$AD, "&lt;&gt;IntegratorValidationComment"))</f>
        <v/>
      </c>
      <c r="AB842" s="7" t="str">
        <f>IF(ISBLANK(patch[[#This Row],[project]]), "",COUNTIFS($A:$A,patch[[#This Row],[number]],$S:$S, "SH And dev",$AD:$AD, "&lt;&gt;IntegratorValidationComment"))</f>
        <v/>
      </c>
      <c r="AC842" s="7" t="str">
        <f>IF(OR(ISNUMBER(FIND("Review-1", patch[[#This Row],[comments]])), ISNUMBER(FIND("Approver-1", patch[[#This Row],[comments]]))), "Review-1", "")</f>
        <v/>
      </c>
      <c r="AD8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42" s="7">
        <f>IF(ISBLANK(patch[[#This Row],[number]]),AE841,patch[[#This Row],[ifCommon]])</f>
        <v>0</v>
      </c>
    </row>
    <row r="843" spans="1:31">
      <c r="A843" s="151">
        <v>146215</v>
      </c>
      <c r="B843" s="151"/>
      <c r="C843" s="151"/>
      <c r="D843" s="151"/>
      <c r="E843" s="151"/>
      <c r="F843" s="151"/>
      <c r="G843" s="151"/>
      <c r="H843" s="151"/>
      <c r="I843" s="151"/>
      <c r="J843" s="152">
        <v>42635.711134259262</v>
      </c>
      <c r="K843" s="151"/>
      <c r="L843" s="151" t="s">
        <v>32</v>
      </c>
      <c r="M843" s="152">
        <v>42634.448495370372</v>
      </c>
      <c r="N843" s="151" t="s">
        <v>27</v>
      </c>
      <c r="O843" s="151"/>
      <c r="P843" s="151"/>
      <c r="Q843" s="7" t="str">
        <f>IF(ISBLANK(patch[[#This Row],[OwnerEmail]]),Q842,patch[[#This Row],[OwnerEmail]])</f>
        <v>xiaozhou.liu@intel.com</v>
      </c>
      <c r="R843" s="7" t="str">
        <f>_xlfn.IFNA(VLOOKUP(patch[[#This Row],[tmp-owner.email]],OrgTree!$A:$K, 11, 0), "not ICG SWFW")</f>
        <v>BJ And dev</v>
      </c>
      <c r="S843" s="7" t="str">
        <f>IF(patch[[#This Row],[reviewer]]=patch[[#This Row],[tmp-owner.email]], "author", _xlfn.IFNA(VLOOKUP(patch[[#This Row],[reviewer]],OrgTree!$A:$K, 11, 0), "not ICG SWFW"))</f>
        <v>BJ And dev</v>
      </c>
      <c r="T843" s="7" t="str">
        <f>IF(ISBLANK(patch[[#This Row],[mergeDate]]), "", MID(YEAR(patch[[#This Row],[mergeDate]]), 3,2)&amp;"'ww"&amp;WEEKNUM(patch[[#This Row],[mergeDate]]))</f>
        <v>16'ww39</v>
      </c>
      <c r="U843" s="7" t="str">
        <f>IF(ISBLANK(patch[[#This Row],[mergeDate]]), U842, MID(YEAR(patch[[#This Row],[mergeDate]]), 3,2)&amp;"'m"&amp;MONTH(patch[[#This Row],[mergeDate]]))</f>
        <v>16'm9</v>
      </c>
      <c r="V843" s="7" t="str">
        <f>IF(ISBLANK(patch[[#This Row],[project]]), "",SUM(patch[[#This Row],[BJ -1 num]:[SH -1 num]]))</f>
        <v/>
      </c>
      <c r="W843" s="7" t="str">
        <f>IF(ISBLANK(patch[[#This Row],[project]]), "",COUNTIFS($A:$A,patch[[#This Row],[number]],$S:$S, "BJ And dev",$AC:$AC, "Review-1"))</f>
        <v/>
      </c>
      <c r="X843" s="7" t="str">
        <f>IF(ISBLANK(patch[[#This Row],[project]]), "",COUNTIFS($A:$A,patch[[#This Row],[number]],$S:$S, "FL And dev",$AC:$AC, "Review-1"))</f>
        <v/>
      </c>
      <c r="Y843" s="7" t="str">
        <f>IF(ISBLANK(patch[[#This Row],[project]]), "",COUNTIFS($A:$A,patch[[#This Row],[number]],$S:$S, "SH And dev",$AC:$AC, "Review-1"))</f>
        <v/>
      </c>
      <c r="Z843" s="7" t="str">
        <f>IF(ISBLANK(patch[[#This Row],[project]]), "",COUNTIFS($A:$A,patch[[#This Row],[number]],$S:$S, "BJ And dev",$AD:$AD, "&lt;&gt;IntegratorValidationComment"))</f>
        <v/>
      </c>
      <c r="AA843" s="7" t="str">
        <f>IF(ISBLANK(patch[[#This Row],[project]]), "",COUNTIFS($A:$A,patch[[#This Row],[number]],$S:$S, "FL And dev",$AD:$AD, "&lt;&gt;IntegratorValidationComment"))</f>
        <v/>
      </c>
      <c r="AB843" s="7" t="str">
        <f>IF(ISBLANK(patch[[#This Row],[project]]), "",COUNTIFS($A:$A,patch[[#This Row],[number]],$S:$S, "SH And dev",$AD:$AD, "&lt;&gt;IntegratorValidationComment"))</f>
        <v/>
      </c>
      <c r="AC843" s="7" t="str">
        <f>IF(OR(ISNUMBER(FIND("Review-1", patch[[#This Row],[comments]])), ISNUMBER(FIND("Approver-1", patch[[#This Row],[comments]]))), "Review-1", "")</f>
        <v/>
      </c>
      <c r="AD8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43" s="7">
        <f>IF(ISBLANK(patch[[#This Row],[number]]),AE842,patch[[#This Row],[ifCommon]])</f>
        <v>0</v>
      </c>
    </row>
    <row r="844" spans="1:31">
      <c r="A844" s="151">
        <v>146215</v>
      </c>
      <c r="B844" s="151"/>
      <c r="C844" s="151"/>
      <c r="D844" s="151"/>
      <c r="E844" s="151"/>
      <c r="F844" s="151"/>
      <c r="G844" s="151"/>
      <c r="H844" s="151"/>
      <c r="I844" s="151"/>
      <c r="J844" s="152">
        <v>42635.711134259262</v>
      </c>
      <c r="K844" s="151"/>
      <c r="L844" s="151" t="s">
        <v>55</v>
      </c>
      <c r="M844" s="152">
        <v>42634.650243055563</v>
      </c>
      <c r="N844" s="151" t="s">
        <v>1873</v>
      </c>
      <c r="O844" s="151"/>
      <c r="P844" s="151"/>
      <c r="Q844" s="7" t="str">
        <f>IF(ISBLANK(patch[[#This Row],[OwnerEmail]]),Q843,patch[[#This Row],[OwnerEmail]])</f>
        <v>xiaozhou.liu@intel.com</v>
      </c>
      <c r="R844" s="7" t="str">
        <f>_xlfn.IFNA(VLOOKUP(patch[[#This Row],[tmp-owner.email]],OrgTree!$A:$K, 11, 0), "not ICG SWFW")</f>
        <v>BJ And dev</v>
      </c>
      <c r="S844" s="7" t="str">
        <f>IF(patch[[#This Row],[reviewer]]=patch[[#This Row],[tmp-owner.email]], "author", _xlfn.IFNA(VLOOKUP(patch[[#This Row],[reviewer]],OrgTree!$A:$K, 11, 0), "not ICG SWFW"))</f>
        <v>BJ And dev</v>
      </c>
      <c r="T844" s="7" t="str">
        <f>IF(ISBLANK(patch[[#This Row],[mergeDate]]), "", MID(YEAR(patch[[#This Row],[mergeDate]]), 3,2)&amp;"'ww"&amp;WEEKNUM(patch[[#This Row],[mergeDate]]))</f>
        <v>16'ww39</v>
      </c>
      <c r="U844" s="7" t="str">
        <f>IF(ISBLANK(patch[[#This Row],[mergeDate]]), U843, MID(YEAR(patch[[#This Row],[mergeDate]]), 3,2)&amp;"'m"&amp;MONTH(patch[[#This Row],[mergeDate]]))</f>
        <v>16'm9</v>
      </c>
      <c r="V844" s="7" t="str">
        <f>IF(ISBLANK(patch[[#This Row],[project]]), "",SUM(patch[[#This Row],[BJ -1 num]:[SH -1 num]]))</f>
        <v/>
      </c>
      <c r="W844" s="7" t="str">
        <f>IF(ISBLANK(patch[[#This Row],[project]]), "",COUNTIFS($A:$A,patch[[#This Row],[number]],$S:$S, "BJ And dev",$AC:$AC, "Review-1"))</f>
        <v/>
      </c>
      <c r="X844" s="7" t="str">
        <f>IF(ISBLANK(patch[[#This Row],[project]]), "",COUNTIFS($A:$A,patch[[#This Row],[number]],$S:$S, "FL And dev",$AC:$AC, "Review-1"))</f>
        <v/>
      </c>
      <c r="Y844" s="7" t="str">
        <f>IF(ISBLANK(patch[[#This Row],[project]]), "",COUNTIFS($A:$A,patch[[#This Row],[number]],$S:$S, "SH And dev",$AC:$AC, "Review-1"))</f>
        <v/>
      </c>
      <c r="Z844" s="7" t="str">
        <f>IF(ISBLANK(patch[[#This Row],[project]]), "",COUNTIFS($A:$A,patch[[#This Row],[number]],$S:$S, "BJ And dev",$AD:$AD, "&lt;&gt;IntegratorValidationComment"))</f>
        <v/>
      </c>
      <c r="AA844" s="7" t="str">
        <f>IF(ISBLANK(patch[[#This Row],[project]]), "",COUNTIFS($A:$A,patch[[#This Row],[number]],$S:$S, "FL And dev",$AD:$AD, "&lt;&gt;IntegratorValidationComment"))</f>
        <v/>
      </c>
      <c r="AB844" s="7" t="str">
        <f>IF(ISBLANK(patch[[#This Row],[project]]), "",COUNTIFS($A:$A,patch[[#This Row],[number]],$S:$S, "SH And dev",$AD:$AD, "&lt;&gt;IntegratorValidationComment"))</f>
        <v/>
      </c>
      <c r="AC844" s="7" t="str">
        <f>IF(OR(ISNUMBER(FIND("Review-1", patch[[#This Row],[comments]])), ISNUMBER(FIND("Approver-1", patch[[#This Row],[comments]]))), "Review-1", "")</f>
        <v/>
      </c>
      <c r="AD8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44" s="7">
        <f>IF(ISBLANK(patch[[#This Row],[number]]),AE843,patch[[#This Row],[ifCommon]])</f>
        <v>0</v>
      </c>
    </row>
    <row r="845" spans="1:31">
      <c r="A845" s="151">
        <v>146215</v>
      </c>
      <c r="B845" s="151"/>
      <c r="C845" s="151"/>
      <c r="D845" s="151"/>
      <c r="E845" s="151"/>
      <c r="F845" s="151"/>
      <c r="G845" s="151"/>
      <c r="H845" s="151"/>
      <c r="I845" s="151"/>
      <c r="J845" s="152">
        <v>42635.711134259262</v>
      </c>
      <c r="K845" s="151"/>
      <c r="L845" s="151" t="s">
        <v>55</v>
      </c>
      <c r="M845" s="152">
        <v>42634.733229166668</v>
      </c>
      <c r="N845" s="151" t="s">
        <v>2450</v>
      </c>
      <c r="O845" s="151"/>
      <c r="P845" s="151"/>
      <c r="Q845" s="7" t="str">
        <f>IF(ISBLANK(patch[[#This Row],[OwnerEmail]]),Q844,patch[[#This Row],[OwnerEmail]])</f>
        <v>xiaozhou.liu@intel.com</v>
      </c>
      <c r="R845" s="7" t="str">
        <f>_xlfn.IFNA(VLOOKUP(patch[[#This Row],[tmp-owner.email]],OrgTree!$A:$K, 11, 0), "not ICG SWFW")</f>
        <v>BJ And dev</v>
      </c>
      <c r="S845" s="7" t="str">
        <f>IF(patch[[#This Row],[reviewer]]=patch[[#This Row],[tmp-owner.email]], "author", _xlfn.IFNA(VLOOKUP(patch[[#This Row],[reviewer]],OrgTree!$A:$K, 11, 0), "not ICG SWFW"))</f>
        <v>BJ And dev</v>
      </c>
      <c r="T845" s="7" t="str">
        <f>IF(ISBLANK(patch[[#This Row],[mergeDate]]), "", MID(YEAR(patch[[#This Row],[mergeDate]]), 3,2)&amp;"'ww"&amp;WEEKNUM(patch[[#This Row],[mergeDate]]))</f>
        <v>16'ww39</v>
      </c>
      <c r="U845" s="7" t="str">
        <f>IF(ISBLANK(patch[[#This Row],[mergeDate]]), U844, MID(YEAR(patch[[#This Row],[mergeDate]]), 3,2)&amp;"'m"&amp;MONTH(patch[[#This Row],[mergeDate]]))</f>
        <v>16'm9</v>
      </c>
      <c r="V845" s="7" t="str">
        <f>IF(ISBLANK(patch[[#This Row],[project]]), "",SUM(patch[[#This Row],[BJ -1 num]:[SH -1 num]]))</f>
        <v/>
      </c>
      <c r="W845" s="7" t="str">
        <f>IF(ISBLANK(patch[[#This Row],[project]]), "",COUNTIFS($A:$A,patch[[#This Row],[number]],$S:$S, "BJ And dev",$AC:$AC, "Review-1"))</f>
        <v/>
      </c>
      <c r="X845" s="7" t="str">
        <f>IF(ISBLANK(patch[[#This Row],[project]]), "",COUNTIFS($A:$A,patch[[#This Row],[number]],$S:$S, "FL And dev",$AC:$AC, "Review-1"))</f>
        <v/>
      </c>
      <c r="Y845" s="7" t="str">
        <f>IF(ISBLANK(patch[[#This Row],[project]]), "",COUNTIFS($A:$A,patch[[#This Row],[number]],$S:$S, "SH And dev",$AC:$AC, "Review-1"))</f>
        <v/>
      </c>
      <c r="Z845" s="7" t="str">
        <f>IF(ISBLANK(patch[[#This Row],[project]]), "",COUNTIFS($A:$A,patch[[#This Row],[number]],$S:$S, "BJ And dev",$AD:$AD, "&lt;&gt;IntegratorValidationComment"))</f>
        <v/>
      </c>
      <c r="AA845" s="7" t="str">
        <f>IF(ISBLANK(patch[[#This Row],[project]]), "",COUNTIFS($A:$A,patch[[#This Row],[number]],$S:$S, "FL And dev",$AD:$AD, "&lt;&gt;IntegratorValidationComment"))</f>
        <v/>
      </c>
      <c r="AB845" s="7" t="str">
        <f>IF(ISBLANK(patch[[#This Row],[project]]), "",COUNTIFS($A:$A,patch[[#This Row],[number]],$S:$S, "SH And dev",$AD:$AD, "&lt;&gt;IntegratorValidationComment"))</f>
        <v/>
      </c>
      <c r="AC845" s="7" t="str">
        <f>IF(OR(ISNUMBER(FIND("Review-1", patch[[#This Row],[comments]])), ISNUMBER(FIND("Approver-1", patch[[#This Row],[comments]]))), "Review-1", "")</f>
        <v/>
      </c>
      <c r="AD8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45" s="7">
        <f>IF(ISBLANK(patch[[#This Row],[number]]),AE844,patch[[#This Row],[ifCommon]])</f>
        <v>0</v>
      </c>
    </row>
    <row r="846" spans="1:31">
      <c r="A846" s="151">
        <v>146215</v>
      </c>
      <c r="B846" s="151"/>
      <c r="C846" s="151"/>
      <c r="D846" s="151"/>
      <c r="E846" s="151"/>
      <c r="F846" s="151"/>
      <c r="G846" s="151"/>
      <c r="H846" s="151"/>
      <c r="I846" s="151"/>
      <c r="J846" s="152">
        <v>42635.711134259262</v>
      </c>
      <c r="K846" s="151"/>
      <c r="L846" s="151" t="s">
        <v>55</v>
      </c>
      <c r="M846" s="152">
        <v>42634.733229166668</v>
      </c>
      <c r="N846" s="151" t="s">
        <v>47</v>
      </c>
      <c r="O846" s="151"/>
      <c r="P846" s="151"/>
      <c r="Q846" s="7" t="str">
        <f>IF(ISBLANK(patch[[#This Row],[OwnerEmail]]),Q845,patch[[#This Row],[OwnerEmail]])</f>
        <v>xiaozhou.liu@intel.com</v>
      </c>
      <c r="R846" s="7" t="str">
        <f>_xlfn.IFNA(VLOOKUP(patch[[#This Row],[tmp-owner.email]],OrgTree!$A:$K, 11, 0), "not ICG SWFW")</f>
        <v>BJ And dev</v>
      </c>
      <c r="S846" s="7" t="str">
        <f>IF(patch[[#This Row],[reviewer]]=patch[[#This Row],[tmp-owner.email]], "author", _xlfn.IFNA(VLOOKUP(patch[[#This Row],[reviewer]],OrgTree!$A:$K, 11, 0), "not ICG SWFW"))</f>
        <v>BJ And dev</v>
      </c>
      <c r="T846" s="7" t="str">
        <f>IF(ISBLANK(patch[[#This Row],[mergeDate]]), "", MID(YEAR(patch[[#This Row],[mergeDate]]), 3,2)&amp;"'ww"&amp;WEEKNUM(patch[[#This Row],[mergeDate]]))</f>
        <v>16'ww39</v>
      </c>
      <c r="U846" s="7" t="str">
        <f>IF(ISBLANK(patch[[#This Row],[mergeDate]]), U845, MID(YEAR(patch[[#This Row],[mergeDate]]), 3,2)&amp;"'m"&amp;MONTH(patch[[#This Row],[mergeDate]]))</f>
        <v>16'm9</v>
      </c>
      <c r="V846" s="7" t="str">
        <f>IF(ISBLANK(patch[[#This Row],[project]]), "",SUM(patch[[#This Row],[BJ -1 num]:[SH -1 num]]))</f>
        <v/>
      </c>
      <c r="W846" s="7" t="str">
        <f>IF(ISBLANK(patch[[#This Row],[project]]), "",COUNTIFS($A:$A,patch[[#This Row],[number]],$S:$S, "BJ And dev",$AC:$AC, "Review-1"))</f>
        <v/>
      </c>
      <c r="X846" s="7" t="str">
        <f>IF(ISBLANK(patch[[#This Row],[project]]), "",COUNTIFS($A:$A,patch[[#This Row],[number]],$S:$S, "FL And dev",$AC:$AC, "Review-1"))</f>
        <v/>
      </c>
      <c r="Y846" s="7" t="str">
        <f>IF(ISBLANK(patch[[#This Row],[project]]), "",COUNTIFS($A:$A,patch[[#This Row],[number]],$S:$S, "SH And dev",$AC:$AC, "Review-1"))</f>
        <v/>
      </c>
      <c r="Z846" s="7" t="str">
        <f>IF(ISBLANK(patch[[#This Row],[project]]), "",COUNTIFS($A:$A,patch[[#This Row],[number]],$S:$S, "BJ And dev",$AD:$AD, "&lt;&gt;IntegratorValidationComment"))</f>
        <v/>
      </c>
      <c r="AA846" s="7" t="str">
        <f>IF(ISBLANK(patch[[#This Row],[project]]), "",COUNTIFS($A:$A,patch[[#This Row],[number]],$S:$S, "FL And dev",$AD:$AD, "&lt;&gt;IntegratorValidationComment"))</f>
        <v/>
      </c>
      <c r="AB846" s="7" t="str">
        <f>IF(ISBLANK(patch[[#This Row],[project]]), "",COUNTIFS($A:$A,patch[[#This Row],[number]],$S:$S, "SH And dev",$AD:$AD, "&lt;&gt;IntegratorValidationComment"))</f>
        <v/>
      </c>
      <c r="AC846" s="7" t="str">
        <f>IF(OR(ISNUMBER(FIND("Review-1", patch[[#This Row],[comments]])), ISNUMBER(FIND("Approver-1", patch[[#This Row],[comments]]))), "Review-1", "")</f>
        <v/>
      </c>
      <c r="AD8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46" s="7">
        <f>IF(ISBLANK(patch[[#This Row],[number]]),AE845,patch[[#This Row],[ifCommon]])</f>
        <v>0</v>
      </c>
    </row>
    <row r="847" spans="1:31">
      <c r="A847" s="151">
        <v>146215</v>
      </c>
      <c r="B847" s="151"/>
      <c r="C847" s="151"/>
      <c r="D847" s="151"/>
      <c r="E847" s="151"/>
      <c r="F847" s="151"/>
      <c r="G847" s="151"/>
      <c r="H847" s="151"/>
      <c r="I847" s="151"/>
      <c r="J847" s="152">
        <v>42635.711134259262</v>
      </c>
      <c r="K847" s="151"/>
      <c r="L847" s="151" t="s">
        <v>59</v>
      </c>
      <c r="M847" s="152">
        <v>42634.738761574074</v>
      </c>
      <c r="N847" s="151" t="s">
        <v>3020</v>
      </c>
      <c r="O847" s="151"/>
      <c r="P847" s="151"/>
      <c r="Q847" s="7" t="str">
        <f>IF(ISBLANK(patch[[#This Row],[OwnerEmail]]),Q846,patch[[#This Row],[OwnerEmail]])</f>
        <v>xiaozhou.liu@intel.com</v>
      </c>
      <c r="R847" s="7" t="str">
        <f>_xlfn.IFNA(VLOOKUP(patch[[#This Row],[tmp-owner.email]],OrgTree!$A:$K, 11, 0), "not ICG SWFW")</f>
        <v>BJ And dev</v>
      </c>
      <c r="S847" s="7" t="str">
        <f>IF(patch[[#This Row],[reviewer]]=patch[[#This Row],[tmp-owner.email]], "author", _xlfn.IFNA(VLOOKUP(patch[[#This Row],[reviewer]],OrgTree!$A:$K, 11, 0), "not ICG SWFW"))</f>
        <v>author</v>
      </c>
      <c r="T847" s="7" t="str">
        <f>IF(ISBLANK(patch[[#This Row],[mergeDate]]), "", MID(YEAR(patch[[#This Row],[mergeDate]]), 3,2)&amp;"'ww"&amp;WEEKNUM(patch[[#This Row],[mergeDate]]))</f>
        <v>16'ww39</v>
      </c>
      <c r="U847" s="7" t="str">
        <f>IF(ISBLANK(patch[[#This Row],[mergeDate]]), U846, MID(YEAR(patch[[#This Row],[mergeDate]]), 3,2)&amp;"'m"&amp;MONTH(patch[[#This Row],[mergeDate]]))</f>
        <v>16'm9</v>
      </c>
      <c r="V847" s="7" t="str">
        <f>IF(ISBLANK(patch[[#This Row],[project]]), "",SUM(patch[[#This Row],[BJ -1 num]:[SH -1 num]]))</f>
        <v/>
      </c>
      <c r="W847" s="7" t="str">
        <f>IF(ISBLANK(patch[[#This Row],[project]]), "",COUNTIFS($A:$A,patch[[#This Row],[number]],$S:$S, "BJ And dev",$AC:$AC, "Review-1"))</f>
        <v/>
      </c>
      <c r="X847" s="7" t="str">
        <f>IF(ISBLANK(patch[[#This Row],[project]]), "",COUNTIFS($A:$A,patch[[#This Row],[number]],$S:$S, "FL And dev",$AC:$AC, "Review-1"))</f>
        <v/>
      </c>
      <c r="Y847" s="7" t="str">
        <f>IF(ISBLANK(patch[[#This Row],[project]]), "",COUNTIFS($A:$A,patch[[#This Row],[number]],$S:$S, "SH And dev",$AC:$AC, "Review-1"))</f>
        <v/>
      </c>
      <c r="Z847" s="7" t="str">
        <f>IF(ISBLANK(patch[[#This Row],[project]]), "",COUNTIFS($A:$A,patch[[#This Row],[number]],$S:$S, "BJ And dev",$AD:$AD, "&lt;&gt;IntegratorValidationComment"))</f>
        <v/>
      </c>
      <c r="AA847" s="7" t="str">
        <f>IF(ISBLANK(patch[[#This Row],[project]]), "",COUNTIFS($A:$A,patch[[#This Row],[number]],$S:$S, "FL And dev",$AD:$AD, "&lt;&gt;IntegratorValidationComment"))</f>
        <v/>
      </c>
      <c r="AB847" s="7" t="str">
        <f>IF(ISBLANK(patch[[#This Row],[project]]), "",COUNTIFS($A:$A,patch[[#This Row],[number]],$S:$S, "SH And dev",$AD:$AD, "&lt;&gt;IntegratorValidationComment"))</f>
        <v/>
      </c>
      <c r="AC847" s="7" t="str">
        <f>IF(OR(ISNUMBER(FIND("Review-1", patch[[#This Row],[comments]])), ISNUMBER(FIND("Approver-1", patch[[#This Row],[comments]]))), "Review-1", "")</f>
        <v/>
      </c>
      <c r="AD8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47" s="7">
        <f>IF(ISBLANK(patch[[#This Row],[number]]),AE846,patch[[#This Row],[ifCommon]])</f>
        <v>0</v>
      </c>
    </row>
    <row r="848" spans="1:31">
      <c r="A848" s="151">
        <v>146215</v>
      </c>
      <c r="B848" s="151"/>
      <c r="C848" s="151"/>
      <c r="D848" s="151"/>
      <c r="E848" s="151"/>
      <c r="F848" s="151"/>
      <c r="G848" s="151"/>
      <c r="H848" s="151"/>
      <c r="I848" s="151"/>
      <c r="J848" s="152">
        <v>42635.711134259262</v>
      </c>
      <c r="K848" s="151"/>
      <c r="L848" s="151" t="s">
        <v>59</v>
      </c>
      <c r="M848" s="152">
        <v>42634.746053240742</v>
      </c>
      <c r="N848" s="151" t="s">
        <v>3021</v>
      </c>
      <c r="O848" s="151"/>
      <c r="P848" s="151"/>
      <c r="Q848" s="7" t="str">
        <f>IF(ISBLANK(patch[[#This Row],[OwnerEmail]]),Q847,patch[[#This Row],[OwnerEmail]])</f>
        <v>xiaozhou.liu@intel.com</v>
      </c>
      <c r="R848" s="7" t="str">
        <f>_xlfn.IFNA(VLOOKUP(patch[[#This Row],[tmp-owner.email]],OrgTree!$A:$K, 11, 0), "not ICG SWFW")</f>
        <v>BJ And dev</v>
      </c>
      <c r="S848" s="7" t="str">
        <f>IF(patch[[#This Row],[reviewer]]=patch[[#This Row],[tmp-owner.email]], "author", _xlfn.IFNA(VLOOKUP(patch[[#This Row],[reviewer]],OrgTree!$A:$K, 11, 0), "not ICG SWFW"))</f>
        <v>author</v>
      </c>
      <c r="T848" s="7" t="str">
        <f>IF(ISBLANK(patch[[#This Row],[mergeDate]]), "", MID(YEAR(patch[[#This Row],[mergeDate]]), 3,2)&amp;"'ww"&amp;WEEKNUM(patch[[#This Row],[mergeDate]]))</f>
        <v>16'ww39</v>
      </c>
      <c r="U848" s="7" t="str">
        <f>IF(ISBLANK(patch[[#This Row],[mergeDate]]), U847, MID(YEAR(patch[[#This Row],[mergeDate]]), 3,2)&amp;"'m"&amp;MONTH(patch[[#This Row],[mergeDate]]))</f>
        <v>16'm9</v>
      </c>
      <c r="V848" s="7" t="str">
        <f>IF(ISBLANK(patch[[#This Row],[project]]), "",SUM(patch[[#This Row],[BJ -1 num]:[SH -1 num]]))</f>
        <v/>
      </c>
      <c r="W848" s="7" t="str">
        <f>IF(ISBLANK(patch[[#This Row],[project]]), "",COUNTIFS($A:$A,patch[[#This Row],[number]],$S:$S, "BJ And dev",$AC:$AC, "Review-1"))</f>
        <v/>
      </c>
      <c r="X848" s="7" t="str">
        <f>IF(ISBLANK(patch[[#This Row],[project]]), "",COUNTIFS($A:$A,patch[[#This Row],[number]],$S:$S, "FL And dev",$AC:$AC, "Review-1"))</f>
        <v/>
      </c>
      <c r="Y848" s="7" t="str">
        <f>IF(ISBLANK(patch[[#This Row],[project]]), "",COUNTIFS($A:$A,patch[[#This Row],[number]],$S:$S, "SH And dev",$AC:$AC, "Review-1"))</f>
        <v/>
      </c>
      <c r="Z848" s="7" t="str">
        <f>IF(ISBLANK(patch[[#This Row],[project]]), "",COUNTIFS($A:$A,patch[[#This Row],[number]],$S:$S, "BJ And dev",$AD:$AD, "&lt;&gt;IntegratorValidationComment"))</f>
        <v/>
      </c>
      <c r="AA848" s="7" t="str">
        <f>IF(ISBLANK(patch[[#This Row],[project]]), "",COUNTIFS($A:$A,patch[[#This Row],[number]],$S:$S, "FL And dev",$AD:$AD, "&lt;&gt;IntegratorValidationComment"))</f>
        <v/>
      </c>
      <c r="AB848" s="7" t="str">
        <f>IF(ISBLANK(patch[[#This Row],[project]]), "",COUNTIFS($A:$A,patch[[#This Row],[number]],$S:$S, "SH And dev",$AD:$AD, "&lt;&gt;IntegratorValidationComment"))</f>
        <v/>
      </c>
      <c r="AC848" s="7" t="str">
        <f>IF(OR(ISNUMBER(FIND("Review-1", patch[[#This Row],[comments]])), ISNUMBER(FIND("Approver-1", patch[[#This Row],[comments]]))), "Review-1", "")</f>
        <v/>
      </c>
      <c r="AD8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48" s="7">
        <f>IF(ISBLANK(patch[[#This Row],[number]]),AE847,patch[[#This Row],[ifCommon]])</f>
        <v>0</v>
      </c>
    </row>
    <row r="849" spans="1:31">
      <c r="A849" s="151">
        <v>146215</v>
      </c>
      <c r="B849" s="151"/>
      <c r="C849" s="151"/>
      <c r="D849" s="151"/>
      <c r="E849" s="151"/>
      <c r="F849" s="151"/>
      <c r="G849" s="151"/>
      <c r="H849" s="151"/>
      <c r="I849" s="151"/>
      <c r="J849" s="152">
        <v>42635.711134259262</v>
      </c>
      <c r="K849" s="151"/>
      <c r="L849" s="151" t="s">
        <v>115</v>
      </c>
      <c r="M849" s="152">
        <v>42635.427986111114</v>
      </c>
      <c r="N849" s="151" t="s">
        <v>2497</v>
      </c>
      <c r="O849" s="151"/>
      <c r="P849" s="151"/>
      <c r="Q849" s="7" t="str">
        <f>IF(ISBLANK(patch[[#This Row],[OwnerEmail]]),Q848,patch[[#This Row],[OwnerEmail]])</f>
        <v>xiaozhou.liu@intel.com</v>
      </c>
      <c r="R849" s="7" t="str">
        <f>_xlfn.IFNA(VLOOKUP(patch[[#This Row],[tmp-owner.email]],OrgTree!$A:$K, 11, 0), "not ICG SWFW")</f>
        <v>BJ And dev</v>
      </c>
      <c r="S849" s="7" t="str">
        <f>IF(patch[[#This Row],[reviewer]]=patch[[#This Row],[tmp-owner.email]], "author", _xlfn.IFNA(VLOOKUP(patch[[#This Row],[reviewer]],OrgTree!$A:$K, 11, 0), "not ICG SWFW"))</f>
        <v>Val</v>
      </c>
      <c r="T849" s="7" t="str">
        <f>IF(ISBLANK(patch[[#This Row],[mergeDate]]), "", MID(YEAR(patch[[#This Row],[mergeDate]]), 3,2)&amp;"'ww"&amp;WEEKNUM(patch[[#This Row],[mergeDate]]))</f>
        <v>16'ww39</v>
      </c>
      <c r="U849" s="7" t="str">
        <f>IF(ISBLANK(patch[[#This Row],[mergeDate]]), U848, MID(YEAR(patch[[#This Row],[mergeDate]]), 3,2)&amp;"'m"&amp;MONTH(patch[[#This Row],[mergeDate]]))</f>
        <v>16'm9</v>
      </c>
      <c r="V849" s="7" t="str">
        <f>IF(ISBLANK(patch[[#This Row],[project]]), "",SUM(patch[[#This Row],[BJ -1 num]:[SH -1 num]]))</f>
        <v/>
      </c>
      <c r="W849" s="7" t="str">
        <f>IF(ISBLANK(patch[[#This Row],[project]]), "",COUNTIFS($A:$A,patch[[#This Row],[number]],$S:$S, "BJ And dev",$AC:$AC, "Review-1"))</f>
        <v/>
      </c>
      <c r="X849" s="7" t="str">
        <f>IF(ISBLANK(patch[[#This Row],[project]]), "",COUNTIFS($A:$A,patch[[#This Row],[number]],$S:$S, "FL And dev",$AC:$AC, "Review-1"))</f>
        <v/>
      </c>
      <c r="Y849" s="7" t="str">
        <f>IF(ISBLANK(patch[[#This Row],[project]]), "",COUNTIFS($A:$A,patch[[#This Row],[number]],$S:$S, "SH And dev",$AC:$AC, "Review-1"))</f>
        <v/>
      </c>
      <c r="Z849" s="7" t="str">
        <f>IF(ISBLANK(patch[[#This Row],[project]]), "",COUNTIFS($A:$A,patch[[#This Row],[number]],$S:$S, "BJ And dev",$AD:$AD, "&lt;&gt;IntegratorValidationComment"))</f>
        <v/>
      </c>
      <c r="AA849" s="7" t="str">
        <f>IF(ISBLANK(patch[[#This Row],[project]]), "",COUNTIFS($A:$A,patch[[#This Row],[number]],$S:$S, "FL And dev",$AD:$AD, "&lt;&gt;IntegratorValidationComment"))</f>
        <v/>
      </c>
      <c r="AB849" s="7" t="str">
        <f>IF(ISBLANK(patch[[#This Row],[project]]), "",COUNTIFS($A:$A,patch[[#This Row],[number]],$S:$S, "SH And dev",$AD:$AD, "&lt;&gt;IntegratorValidationComment"))</f>
        <v/>
      </c>
      <c r="AC849" s="7" t="str">
        <f>IF(OR(ISNUMBER(FIND("Review-1", patch[[#This Row],[comments]])), ISNUMBER(FIND("Approver-1", patch[[#This Row],[comments]]))), "Review-1", "")</f>
        <v/>
      </c>
      <c r="AD8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849" s="7">
        <f>IF(ISBLANK(patch[[#This Row],[number]]),AE848,patch[[#This Row],[ifCommon]])</f>
        <v>0</v>
      </c>
    </row>
    <row r="850" spans="1:31">
      <c r="A850" s="151">
        <v>146596</v>
      </c>
      <c r="B850" s="151" t="s">
        <v>2490</v>
      </c>
      <c r="C850" s="151" t="s">
        <v>2491</v>
      </c>
      <c r="D850" s="151" t="s">
        <v>2913</v>
      </c>
      <c r="E850" s="151" t="s">
        <v>59</v>
      </c>
      <c r="F850" s="151" t="s">
        <v>23</v>
      </c>
      <c r="G850" s="151" t="s">
        <v>2914</v>
      </c>
      <c r="H850" s="151" t="s">
        <v>2915</v>
      </c>
      <c r="I850" s="152">
        <v>42633.738599537042</v>
      </c>
      <c r="J850" s="152">
        <v>42635.711099537039</v>
      </c>
      <c r="K850" s="151" t="s">
        <v>2445</v>
      </c>
      <c r="L850" s="151" t="s">
        <v>59</v>
      </c>
      <c r="M850" s="152">
        <v>42633.738599537042</v>
      </c>
      <c r="N850" s="151" t="s">
        <v>2428</v>
      </c>
      <c r="O850" s="151"/>
      <c r="P850" s="151" t="s">
        <v>2995</v>
      </c>
      <c r="Q850" s="7" t="str">
        <f>IF(ISBLANK(patch[[#This Row],[OwnerEmail]]),Q849,patch[[#This Row],[OwnerEmail]])</f>
        <v>xiaozhou.liu@intel.com</v>
      </c>
      <c r="R850" s="7" t="str">
        <f>_xlfn.IFNA(VLOOKUP(patch[[#This Row],[tmp-owner.email]],OrgTree!$A:$K, 11, 0), "not ICG SWFW")</f>
        <v>BJ And dev</v>
      </c>
      <c r="S850" s="7" t="str">
        <f>IF(patch[[#This Row],[reviewer]]=patch[[#This Row],[tmp-owner.email]], "author", _xlfn.IFNA(VLOOKUP(patch[[#This Row],[reviewer]],OrgTree!$A:$K, 11, 0), "not ICG SWFW"))</f>
        <v>author</v>
      </c>
      <c r="T850" s="7" t="str">
        <f>IF(ISBLANK(patch[[#This Row],[mergeDate]]), "", MID(YEAR(patch[[#This Row],[mergeDate]]), 3,2)&amp;"'ww"&amp;WEEKNUM(patch[[#This Row],[mergeDate]]))</f>
        <v>16'ww39</v>
      </c>
      <c r="U850" s="7" t="str">
        <f>IF(ISBLANK(patch[[#This Row],[mergeDate]]), U849, MID(YEAR(patch[[#This Row],[mergeDate]]), 3,2)&amp;"'m"&amp;MONTH(patch[[#This Row],[mergeDate]]))</f>
        <v>16'm9</v>
      </c>
      <c r="V850" s="7">
        <f>IF(ISBLANK(patch[[#This Row],[project]]), "",SUM(patch[[#This Row],[BJ -1 num]:[SH -1 num]]))</f>
        <v>0</v>
      </c>
      <c r="W850" s="7">
        <f>IF(ISBLANK(patch[[#This Row],[project]]), "",COUNTIFS($A:$A,patch[[#This Row],[number]],$S:$S, "BJ And dev",$AC:$AC, "Review-1"))</f>
        <v>0</v>
      </c>
      <c r="X850" s="7">
        <f>IF(ISBLANK(patch[[#This Row],[project]]), "",COUNTIFS($A:$A,patch[[#This Row],[number]],$S:$S, "FL And dev",$AC:$AC, "Review-1"))</f>
        <v>0</v>
      </c>
      <c r="Y850" s="7">
        <f>IF(ISBLANK(patch[[#This Row],[project]]), "",COUNTIFS($A:$A,patch[[#This Row],[number]],$S:$S, "SH And dev",$AC:$AC, "Review-1"))</f>
        <v>0</v>
      </c>
      <c r="Z850" s="7">
        <f>IF(ISBLANK(patch[[#This Row],[project]]), "",COUNTIFS($A:$A,patch[[#This Row],[number]],$S:$S, "BJ And dev",$AD:$AD, "&lt;&gt;IntegratorValidationComment"))</f>
        <v>4</v>
      </c>
      <c r="AA850" s="7">
        <f>IF(ISBLANK(patch[[#This Row],[project]]), "",COUNTIFS($A:$A,patch[[#This Row],[number]],$S:$S, "FL And dev",$AD:$AD, "&lt;&gt;IntegratorValidationComment"))</f>
        <v>0</v>
      </c>
      <c r="AB850" s="7">
        <f>IF(ISBLANK(patch[[#This Row],[project]]), "",COUNTIFS($A:$A,patch[[#This Row],[number]],$S:$S, "SH And dev",$AD:$AD, "&lt;&gt;IntegratorValidationComment"))</f>
        <v>0</v>
      </c>
      <c r="AC850" s="7" t="str">
        <f>IF(OR(ISNUMBER(FIND("Review-1", patch[[#This Row],[comments]])), ISNUMBER(FIND("Approver-1", patch[[#This Row],[comments]]))), "Review-1", "")</f>
        <v/>
      </c>
      <c r="AD8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50" s="7" t="str">
        <f>IF(ISBLANK(patch[[#This Row],[number]]),AE849,patch[[#This Row],[ifCommon]])</f>
        <v>not AndrHAL</v>
      </c>
    </row>
    <row r="851" spans="1:31">
      <c r="A851" s="151">
        <v>146596</v>
      </c>
      <c r="B851" s="151"/>
      <c r="C851" s="151"/>
      <c r="D851" s="151"/>
      <c r="E851" s="151"/>
      <c r="F851" s="151"/>
      <c r="G851" s="151"/>
      <c r="H851" s="151"/>
      <c r="I851" s="151"/>
      <c r="J851" s="152">
        <v>42635.711099537039</v>
      </c>
      <c r="K851" s="151"/>
      <c r="L851" s="151" t="s">
        <v>59</v>
      </c>
      <c r="M851" s="152">
        <v>42633.738599537042</v>
      </c>
      <c r="N851" s="151" t="s">
        <v>25</v>
      </c>
      <c r="O851" s="151"/>
      <c r="P851" s="151"/>
      <c r="Q851" s="7" t="str">
        <f>IF(ISBLANK(patch[[#This Row],[OwnerEmail]]),Q850,patch[[#This Row],[OwnerEmail]])</f>
        <v>xiaozhou.liu@intel.com</v>
      </c>
      <c r="R851" s="7" t="str">
        <f>_xlfn.IFNA(VLOOKUP(patch[[#This Row],[tmp-owner.email]],OrgTree!$A:$K, 11, 0), "not ICG SWFW")</f>
        <v>BJ And dev</v>
      </c>
      <c r="S851" s="7" t="str">
        <f>IF(patch[[#This Row],[reviewer]]=patch[[#This Row],[tmp-owner.email]], "author", _xlfn.IFNA(VLOOKUP(patch[[#This Row],[reviewer]],OrgTree!$A:$K, 11, 0), "not ICG SWFW"))</f>
        <v>author</v>
      </c>
      <c r="T851" s="7" t="str">
        <f>IF(ISBLANK(patch[[#This Row],[mergeDate]]), "", MID(YEAR(patch[[#This Row],[mergeDate]]), 3,2)&amp;"'ww"&amp;WEEKNUM(patch[[#This Row],[mergeDate]]))</f>
        <v>16'ww39</v>
      </c>
      <c r="U851" s="7" t="str">
        <f>IF(ISBLANK(patch[[#This Row],[mergeDate]]), U850, MID(YEAR(patch[[#This Row],[mergeDate]]), 3,2)&amp;"'m"&amp;MONTH(patch[[#This Row],[mergeDate]]))</f>
        <v>16'm9</v>
      </c>
      <c r="V851" s="7" t="str">
        <f>IF(ISBLANK(patch[[#This Row],[project]]), "",SUM(patch[[#This Row],[BJ -1 num]:[SH -1 num]]))</f>
        <v/>
      </c>
      <c r="W851" s="7" t="str">
        <f>IF(ISBLANK(patch[[#This Row],[project]]), "",COUNTIFS($A:$A,patch[[#This Row],[number]],$S:$S, "BJ And dev",$AC:$AC, "Review-1"))</f>
        <v/>
      </c>
      <c r="X851" s="7" t="str">
        <f>IF(ISBLANK(patch[[#This Row],[project]]), "",COUNTIFS($A:$A,patch[[#This Row],[number]],$S:$S, "FL And dev",$AC:$AC, "Review-1"))</f>
        <v/>
      </c>
      <c r="Y851" s="7" t="str">
        <f>IF(ISBLANK(patch[[#This Row],[project]]), "",COUNTIFS($A:$A,patch[[#This Row],[number]],$S:$S, "SH And dev",$AC:$AC, "Review-1"))</f>
        <v/>
      </c>
      <c r="Z851" s="7" t="str">
        <f>IF(ISBLANK(patch[[#This Row],[project]]), "",COUNTIFS($A:$A,patch[[#This Row],[number]],$S:$S, "BJ And dev",$AD:$AD, "&lt;&gt;IntegratorValidationComment"))</f>
        <v/>
      </c>
      <c r="AA851" s="7" t="str">
        <f>IF(ISBLANK(patch[[#This Row],[project]]), "",COUNTIFS($A:$A,patch[[#This Row],[number]],$S:$S, "FL And dev",$AD:$AD, "&lt;&gt;IntegratorValidationComment"))</f>
        <v/>
      </c>
      <c r="AB851" s="7" t="str">
        <f>IF(ISBLANK(patch[[#This Row],[project]]), "",COUNTIFS($A:$A,patch[[#This Row],[number]],$S:$S, "SH And dev",$AD:$AD, "&lt;&gt;IntegratorValidationComment"))</f>
        <v/>
      </c>
      <c r="AC851" s="7" t="str">
        <f>IF(OR(ISNUMBER(FIND("Review-1", patch[[#This Row],[comments]])), ISNUMBER(FIND("Approver-1", patch[[#This Row],[comments]]))), "Review-1", "")</f>
        <v/>
      </c>
      <c r="AD8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51" s="7">
        <f>IF(ISBLANK(patch[[#This Row],[number]]),AE850,patch[[#This Row],[ifCommon]])</f>
        <v>0</v>
      </c>
    </row>
    <row r="852" spans="1:31">
      <c r="A852" s="151">
        <v>146596</v>
      </c>
      <c r="B852" s="151"/>
      <c r="C852" s="151"/>
      <c r="D852" s="151"/>
      <c r="E852" s="151"/>
      <c r="F852" s="151"/>
      <c r="G852" s="151"/>
      <c r="H852" s="151"/>
      <c r="I852" s="151"/>
      <c r="J852" s="152">
        <v>42635.711099537039</v>
      </c>
      <c r="K852" s="151"/>
      <c r="L852" s="151" t="s">
        <v>59</v>
      </c>
      <c r="M852" s="152">
        <v>42633.739270833343</v>
      </c>
      <c r="N852" s="151" t="s">
        <v>40</v>
      </c>
      <c r="O852" s="151"/>
      <c r="P852" s="151"/>
      <c r="Q852" s="7" t="str">
        <f>IF(ISBLANK(patch[[#This Row],[OwnerEmail]]),Q851,patch[[#This Row],[OwnerEmail]])</f>
        <v>xiaozhou.liu@intel.com</v>
      </c>
      <c r="R852" s="7" t="str">
        <f>_xlfn.IFNA(VLOOKUP(patch[[#This Row],[tmp-owner.email]],OrgTree!$A:$K, 11, 0), "not ICG SWFW")</f>
        <v>BJ And dev</v>
      </c>
      <c r="S852" s="7" t="str">
        <f>IF(patch[[#This Row],[reviewer]]=patch[[#This Row],[tmp-owner.email]], "author", _xlfn.IFNA(VLOOKUP(patch[[#This Row],[reviewer]],OrgTree!$A:$K, 11, 0), "not ICG SWFW"))</f>
        <v>author</v>
      </c>
      <c r="T852" s="7" t="str">
        <f>IF(ISBLANK(patch[[#This Row],[mergeDate]]), "", MID(YEAR(patch[[#This Row],[mergeDate]]), 3,2)&amp;"'ww"&amp;WEEKNUM(patch[[#This Row],[mergeDate]]))</f>
        <v>16'ww39</v>
      </c>
      <c r="U852" s="7" t="str">
        <f>IF(ISBLANK(patch[[#This Row],[mergeDate]]), U851, MID(YEAR(patch[[#This Row],[mergeDate]]), 3,2)&amp;"'m"&amp;MONTH(patch[[#This Row],[mergeDate]]))</f>
        <v>16'm9</v>
      </c>
      <c r="V852" s="7" t="str">
        <f>IF(ISBLANK(patch[[#This Row],[project]]), "",SUM(patch[[#This Row],[BJ -1 num]:[SH -1 num]]))</f>
        <v/>
      </c>
      <c r="W852" s="7" t="str">
        <f>IF(ISBLANK(patch[[#This Row],[project]]), "",COUNTIFS($A:$A,patch[[#This Row],[number]],$S:$S, "BJ And dev",$AC:$AC, "Review-1"))</f>
        <v/>
      </c>
      <c r="X852" s="7" t="str">
        <f>IF(ISBLANK(patch[[#This Row],[project]]), "",COUNTIFS($A:$A,patch[[#This Row],[number]],$S:$S, "FL And dev",$AC:$AC, "Review-1"))</f>
        <v/>
      </c>
      <c r="Y852" s="7" t="str">
        <f>IF(ISBLANK(patch[[#This Row],[project]]), "",COUNTIFS($A:$A,patch[[#This Row],[number]],$S:$S, "SH And dev",$AC:$AC, "Review-1"))</f>
        <v/>
      </c>
      <c r="Z852" s="7" t="str">
        <f>IF(ISBLANK(patch[[#This Row],[project]]), "",COUNTIFS($A:$A,patch[[#This Row],[number]],$S:$S, "BJ And dev",$AD:$AD, "&lt;&gt;IntegratorValidationComment"))</f>
        <v/>
      </c>
      <c r="AA852" s="7" t="str">
        <f>IF(ISBLANK(patch[[#This Row],[project]]), "",COUNTIFS($A:$A,patch[[#This Row],[number]],$S:$S, "FL And dev",$AD:$AD, "&lt;&gt;IntegratorValidationComment"))</f>
        <v/>
      </c>
      <c r="AB852" s="7" t="str">
        <f>IF(ISBLANK(patch[[#This Row],[project]]), "",COUNTIFS($A:$A,patch[[#This Row],[number]],$S:$S, "SH And dev",$AD:$AD, "&lt;&gt;IntegratorValidationComment"))</f>
        <v/>
      </c>
      <c r="AC852" s="7" t="str">
        <f>IF(OR(ISNUMBER(FIND("Review-1", patch[[#This Row],[comments]])), ISNUMBER(FIND("Approver-1", patch[[#This Row],[comments]]))), "Review-1", "")</f>
        <v/>
      </c>
      <c r="AD8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52" s="7">
        <f>IF(ISBLANK(patch[[#This Row],[number]]),AE851,patch[[#This Row],[ifCommon]])</f>
        <v>0</v>
      </c>
    </row>
    <row r="853" spans="1:31">
      <c r="A853" s="151">
        <v>146596</v>
      </c>
      <c r="B853" s="151"/>
      <c r="C853" s="151"/>
      <c r="D853" s="151"/>
      <c r="E853" s="151"/>
      <c r="F853" s="151"/>
      <c r="G853" s="151"/>
      <c r="H853" s="151"/>
      <c r="I853" s="151"/>
      <c r="J853" s="152">
        <v>42635.711099537039</v>
      </c>
      <c r="K853" s="151"/>
      <c r="L853" s="151" t="s">
        <v>59</v>
      </c>
      <c r="M853" s="152">
        <v>42633.741550925923</v>
      </c>
      <c r="N853" s="151" t="s">
        <v>3022</v>
      </c>
      <c r="O853" s="151"/>
      <c r="P853" s="151"/>
      <c r="Q853" s="7" t="str">
        <f>IF(ISBLANK(patch[[#This Row],[OwnerEmail]]),Q852,patch[[#This Row],[OwnerEmail]])</f>
        <v>xiaozhou.liu@intel.com</v>
      </c>
      <c r="R853" s="7" t="str">
        <f>_xlfn.IFNA(VLOOKUP(patch[[#This Row],[tmp-owner.email]],OrgTree!$A:$K, 11, 0), "not ICG SWFW")</f>
        <v>BJ And dev</v>
      </c>
      <c r="S853" s="7" t="str">
        <f>IF(patch[[#This Row],[reviewer]]=patch[[#This Row],[tmp-owner.email]], "author", _xlfn.IFNA(VLOOKUP(patch[[#This Row],[reviewer]],OrgTree!$A:$K, 11, 0), "not ICG SWFW"))</f>
        <v>author</v>
      </c>
      <c r="T853" s="7" t="str">
        <f>IF(ISBLANK(patch[[#This Row],[mergeDate]]), "", MID(YEAR(patch[[#This Row],[mergeDate]]), 3,2)&amp;"'ww"&amp;WEEKNUM(patch[[#This Row],[mergeDate]]))</f>
        <v>16'ww39</v>
      </c>
      <c r="U853" s="7" t="str">
        <f>IF(ISBLANK(patch[[#This Row],[mergeDate]]), U852, MID(YEAR(patch[[#This Row],[mergeDate]]), 3,2)&amp;"'m"&amp;MONTH(patch[[#This Row],[mergeDate]]))</f>
        <v>16'm9</v>
      </c>
      <c r="V853" s="7" t="str">
        <f>IF(ISBLANK(patch[[#This Row],[project]]), "",SUM(patch[[#This Row],[BJ -1 num]:[SH -1 num]]))</f>
        <v/>
      </c>
      <c r="W853" s="7" t="str">
        <f>IF(ISBLANK(patch[[#This Row],[project]]), "",COUNTIFS($A:$A,patch[[#This Row],[number]],$S:$S, "BJ And dev",$AC:$AC, "Review-1"))</f>
        <v/>
      </c>
      <c r="X853" s="7" t="str">
        <f>IF(ISBLANK(patch[[#This Row],[project]]), "",COUNTIFS($A:$A,patch[[#This Row],[number]],$S:$S, "FL And dev",$AC:$AC, "Review-1"))</f>
        <v/>
      </c>
      <c r="Y853" s="7" t="str">
        <f>IF(ISBLANK(patch[[#This Row],[project]]), "",COUNTIFS($A:$A,patch[[#This Row],[number]],$S:$S, "SH And dev",$AC:$AC, "Review-1"))</f>
        <v/>
      </c>
      <c r="Z853" s="7" t="str">
        <f>IF(ISBLANK(patch[[#This Row],[project]]), "",COUNTIFS($A:$A,patch[[#This Row],[number]],$S:$S, "BJ And dev",$AD:$AD, "&lt;&gt;IntegratorValidationComment"))</f>
        <v/>
      </c>
      <c r="AA853" s="7" t="str">
        <f>IF(ISBLANK(patch[[#This Row],[project]]), "",COUNTIFS($A:$A,patch[[#This Row],[number]],$S:$S, "FL And dev",$AD:$AD, "&lt;&gt;IntegratorValidationComment"))</f>
        <v/>
      </c>
      <c r="AB853" s="7" t="str">
        <f>IF(ISBLANK(patch[[#This Row],[project]]), "",COUNTIFS($A:$A,patch[[#This Row],[number]],$S:$S, "SH And dev",$AD:$AD, "&lt;&gt;IntegratorValidationComment"))</f>
        <v/>
      </c>
      <c r="AC853" s="7" t="str">
        <f>IF(OR(ISNUMBER(FIND("Review-1", patch[[#This Row],[comments]])), ISNUMBER(FIND("Approver-1", patch[[#This Row],[comments]]))), "Review-1", "")</f>
        <v/>
      </c>
      <c r="AD8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53" s="7">
        <f>IF(ISBLANK(patch[[#This Row],[number]]),AE852,patch[[#This Row],[ifCommon]])</f>
        <v>0</v>
      </c>
    </row>
    <row r="854" spans="1:31">
      <c r="A854" s="151">
        <v>146596</v>
      </c>
      <c r="B854" s="151"/>
      <c r="C854" s="151"/>
      <c r="D854" s="151"/>
      <c r="E854" s="151"/>
      <c r="F854" s="151"/>
      <c r="G854" s="151"/>
      <c r="H854" s="151"/>
      <c r="I854" s="151"/>
      <c r="J854" s="152">
        <v>42635.711099537039</v>
      </c>
      <c r="K854" s="151"/>
      <c r="L854" s="151" t="s">
        <v>59</v>
      </c>
      <c r="M854" s="152">
        <v>42633.762083333328</v>
      </c>
      <c r="N854" s="151" t="s">
        <v>3023</v>
      </c>
      <c r="O854" s="151"/>
      <c r="P854" s="151"/>
      <c r="Q854" s="7" t="str">
        <f>IF(ISBLANK(patch[[#This Row],[OwnerEmail]]),Q853,patch[[#This Row],[OwnerEmail]])</f>
        <v>xiaozhou.liu@intel.com</v>
      </c>
      <c r="R854" s="7" t="str">
        <f>_xlfn.IFNA(VLOOKUP(patch[[#This Row],[tmp-owner.email]],OrgTree!$A:$K, 11, 0), "not ICG SWFW")</f>
        <v>BJ And dev</v>
      </c>
      <c r="S854" s="7" t="str">
        <f>IF(patch[[#This Row],[reviewer]]=patch[[#This Row],[tmp-owner.email]], "author", _xlfn.IFNA(VLOOKUP(patch[[#This Row],[reviewer]],OrgTree!$A:$K, 11, 0), "not ICG SWFW"))</f>
        <v>author</v>
      </c>
      <c r="T854" s="7" t="str">
        <f>IF(ISBLANK(patch[[#This Row],[mergeDate]]), "", MID(YEAR(patch[[#This Row],[mergeDate]]), 3,2)&amp;"'ww"&amp;WEEKNUM(patch[[#This Row],[mergeDate]]))</f>
        <v>16'ww39</v>
      </c>
      <c r="U854" s="7" t="str">
        <f>IF(ISBLANK(patch[[#This Row],[mergeDate]]), U853, MID(YEAR(patch[[#This Row],[mergeDate]]), 3,2)&amp;"'m"&amp;MONTH(patch[[#This Row],[mergeDate]]))</f>
        <v>16'm9</v>
      </c>
      <c r="V854" s="7" t="str">
        <f>IF(ISBLANK(patch[[#This Row],[project]]), "",SUM(patch[[#This Row],[BJ -1 num]:[SH -1 num]]))</f>
        <v/>
      </c>
      <c r="W854" s="7" t="str">
        <f>IF(ISBLANK(patch[[#This Row],[project]]), "",COUNTIFS($A:$A,patch[[#This Row],[number]],$S:$S, "BJ And dev",$AC:$AC, "Review-1"))</f>
        <v/>
      </c>
      <c r="X854" s="7" t="str">
        <f>IF(ISBLANK(patch[[#This Row],[project]]), "",COUNTIFS($A:$A,patch[[#This Row],[number]],$S:$S, "FL And dev",$AC:$AC, "Review-1"))</f>
        <v/>
      </c>
      <c r="Y854" s="7" t="str">
        <f>IF(ISBLANK(patch[[#This Row],[project]]), "",COUNTIFS($A:$A,patch[[#This Row],[number]],$S:$S, "SH And dev",$AC:$AC, "Review-1"))</f>
        <v/>
      </c>
      <c r="Z854" s="7" t="str">
        <f>IF(ISBLANK(patch[[#This Row],[project]]), "",COUNTIFS($A:$A,patch[[#This Row],[number]],$S:$S, "BJ And dev",$AD:$AD, "&lt;&gt;IntegratorValidationComment"))</f>
        <v/>
      </c>
      <c r="AA854" s="7" t="str">
        <f>IF(ISBLANK(patch[[#This Row],[project]]), "",COUNTIFS($A:$A,patch[[#This Row],[number]],$S:$S, "FL And dev",$AD:$AD, "&lt;&gt;IntegratorValidationComment"))</f>
        <v/>
      </c>
      <c r="AB854" s="7" t="str">
        <f>IF(ISBLANK(patch[[#This Row],[project]]), "",COUNTIFS($A:$A,patch[[#This Row],[number]],$S:$S, "SH And dev",$AD:$AD, "&lt;&gt;IntegratorValidationComment"))</f>
        <v/>
      </c>
      <c r="AC854" s="7" t="str">
        <f>IF(OR(ISNUMBER(FIND("Review-1", patch[[#This Row],[comments]])), ISNUMBER(FIND("Approver-1", patch[[#This Row],[comments]]))), "Review-1", "")</f>
        <v/>
      </c>
      <c r="AD8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54" s="7">
        <f>IF(ISBLANK(patch[[#This Row],[number]]),AE853,patch[[#This Row],[ifCommon]])</f>
        <v>0</v>
      </c>
    </row>
    <row r="855" spans="1:31">
      <c r="A855" s="151">
        <v>146596</v>
      </c>
      <c r="B855" s="151"/>
      <c r="C855" s="151"/>
      <c r="D855" s="151"/>
      <c r="E855" s="151"/>
      <c r="F855" s="151"/>
      <c r="G855" s="151"/>
      <c r="H855" s="151"/>
      <c r="I855" s="151"/>
      <c r="J855" s="152">
        <v>42635.711099537039</v>
      </c>
      <c r="K855" s="151"/>
      <c r="L855" s="151" t="s">
        <v>32</v>
      </c>
      <c r="M855" s="152">
        <v>42634.448935185188</v>
      </c>
      <c r="N855" s="151" t="s">
        <v>40</v>
      </c>
      <c r="O855" s="151"/>
      <c r="P855" s="151"/>
      <c r="Q855" s="7" t="str">
        <f>IF(ISBLANK(patch[[#This Row],[OwnerEmail]]),Q854,patch[[#This Row],[OwnerEmail]])</f>
        <v>xiaozhou.liu@intel.com</v>
      </c>
      <c r="R855" s="7" t="str">
        <f>_xlfn.IFNA(VLOOKUP(patch[[#This Row],[tmp-owner.email]],OrgTree!$A:$K, 11, 0), "not ICG SWFW")</f>
        <v>BJ And dev</v>
      </c>
      <c r="S855" s="7" t="str">
        <f>IF(patch[[#This Row],[reviewer]]=patch[[#This Row],[tmp-owner.email]], "author", _xlfn.IFNA(VLOOKUP(patch[[#This Row],[reviewer]],OrgTree!$A:$K, 11, 0), "not ICG SWFW"))</f>
        <v>BJ And dev</v>
      </c>
      <c r="T855" s="7" t="str">
        <f>IF(ISBLANK(patch[[#This Row],[mergeDate]]), "", MID(YEAR(patch[[#This Row],[mergeDate]]), 3,2)&amp;"'ww"&amp;WEEKNUM(patch[[#This Row],[mergeDate]]))</f>
        <v>16'ww39</v>
      </c>
      <c r="U855" s="7" t="str">
        <f>IF(ISBLANK(patch[[#This Row],[mergeDate]]), U854, MID(YEAR(patch[[#This Row],[mergeDate]]), 3,2)&amp;"'m"&amp;MONTH(patch[[#This Row],[mergeDate]]))</f>
        <v>16'm9</v>
      </c>
      <c r="V855" s="7" t="str">
        <f>IF(ISBLANK(patch[[#This Row],[project]]), "",SUM(patch[[#This Row],[BJ -1 num]:[SH -1 num]]))</f>
        <v/>
      </c>
      <c r="W855" s="7" t="str">
        <f>IF(ISBLANK(patch[[#This Row],[project]]), "",COUNTIFS($A:$A,patch[[#This Row],[number]],$S:$S, "BJ And dev",$AC:$AC, "Review-1"))</f>
        <v/>
      </c>
      <c r="X855" s="7" t="str">
        <f>IF(ISBLANK(patch[[#This Row],[project]]), "",COUNTIFS($A:$A,patch[[#This Row],[number]],$S:$S, "FL And dev",$AC:$AC, "Review-1"))</f>
        <v/>
      </c>
      <c r="Y855" s="7" t="str">
        <f>IF(ISBLANK(patch[[#This Row],[project]]), "",COUNTIFS($A:$A,patch[[#This Row],[number]],$S:$S, "SH And dev",$AC:$AC, "Review-1"))</f>
        <v/>
      </c>
      <c r="Z855" s="7" t="str">
        <f>IF(ISBLANK(patch[[#This Row],[project]]), "",COUNTIFS($A:$A,patch[[#This Row],[number]],$S:$S, "BJ And dev",$AD:$AD, "&lt;&gt;IntegratorValidationComment"))</f>
        <v/>
      </c>
      <c r="AA855" s="7" t="str">
        <f>IF(ISBLANK(patch[[#This Row],[project]]), "",COUNTIFS($A:$A,patch[[#This Row],[number]],$S:$S, "FL And dev",$AD:$AD, "&lt;&gt;IntegratorValidationComment"))</f>
        <v/>
      </c>
      <c r="AB855" s="7" t="str">
        <f>IF(ISBLANK(patch[[#This Row],[project]]), "",COUNTIFS($A:$A,patch[[#This Row],[number]],$S:$S, "SH And dev",$AD:$AD, "&lt;&gt;IntegratorValidationComment"))</f>
        <v/>
      </c>
      <c r="AC855" s="7" t="str">
        <f>IF(OR(ISNUMBER(FIND("Review-1", patch[[#This Row],[comments]])), ISNUMBER(FIND("Approver-1", patch[[#This Row],[comments]]))), "Review-1", "")</f>
        <v/>
      </c>
      <c r="AD8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55" s="7">
        <f>IF(ISBLANK(patch[[#This Row],[number]]),AE854,patch[[#This Row],[ifCommon]])</f>
        <v>0</v>
      </c>
    </row>
    <row r="856" spans="1:31">
      <c r="A856" s="151">
        <v>146596</v>
      </c>
      <c r="B856" s="151"/>
      <c r="C856" s="151"/>
      <c r="D856" s="151"/>
      <c r="E856" s="151"/>
      <c r="F856" s="151"/>
      <c r="G856" s="151"/>
      <c r="H856" s="151"/>
      <c r="I856" s="151"/>
      <c r="J856" s="152">
        <v>42635.711099537039</v>
      </c>
      <c r="K856" s="151"/>
      <c r="L856" s="151" t="s">
        <v>55</v>
      </c>
      <c r="M856" s="152">
        <v>42634.649201388893</v>
      </c>
      <c r="N856" s="151" t="s">
        <v>1880</v>
      </c>
      <c r="O856" s="151"/>
      <c r="P856" s="151"/>
      <c r="Q856" s="7" t="str">
        <f>IF(ISBLANK(patch[[#This Row],[OwnerEmail]]),Q855,patch[[#This Row],[OwnerEmail]])</f>
        <v>xiaozhou.liu@intel.com</v>
      </c>
      <c r="R856" s="7" t="str">
        <f>_xlfn.IFNA(VLOOKUP(patch[[#This Row],[tmp-owner.email]],OrgTree!$A:$K, 11, 0), "not ICG SWFW")</f>
        <v>BJ And dev</v>
      </c>
      <c r="S856" s="7" t="str">
        <f>IF(patch[[#This Row],[reviewer]]=patch[[#This Row],[tmp-owner.email]], "author", _xlfn.IFNA(VLOOKUP(patch[[#This Row],[reviewer]],OrgTree!$A:$K, 11, 0), "not ICG SWFW"))</f>
        <v>BJ And dev</v>
      </c>
      <c r="T856" s="7" t="str">
        <f>IF(ISBLANK(patch[[#This Row],[mergeDate]]), "", MID(YEAR(patch[[#This Row],[mergeDate]]), 3,2)&amp;"'ww"&amp;WEEKNUM(patch[[#This Row],[mergeDate]]))</f>
        <v>16'ww39</v>
      </c>
      <c r="U856" s="7" t="str">
        <f>IF(ISBLANK(patch[[#This Row],[mergeDate]]), U855, MID(YEAR(patch[[#This Row],[mergeDate]]), 3,2)&amp;"'m"&amp;MONTH(patch[[#This Row],[mergeDate]]))</f>
        <v>16'm9</v>
      </c>
      <c r="V856" s="7" t="str">
        <f>IF(ISBLANK(patch[[#This Row],[project]]), "",SUM(patch[[#This Row],[BJ -1 num]:[SH -1 num]]))</f>
        <v/>
      </c>
      <c r="W856" s="7" t="str">
        <f>IF(ISBLANK(patch[[#This Row],[project]]), "",COUNTIFS($A:$A,patch[[#This Row],[number]],$S:$S, "BJ And dev",$AC:$AC, "Review-1"))</f>
        <v/>
      </c>
      <c r="X856" s="7" t="str">
        <f>IF(ISBLANK(patch[[#This Row],[project]]), "",COUNTIFS($A:$A,patch[[#This Row],[number]],$S:$S, "FL And dev",$AC:$AC, "Review-1"))</f>
        <v/>
      </c>
      <c r="Y856" s="7" t="str">
        <f>IF(ISBLANK(patch[[#This Row],[project]]), "",COUNTIFS($A:$A,patch[[#This Row],[number]],$S:$S, "SH And dev",$AC:$AC, "Review-1"))</f>
        <v/>
      </c>
      <c r="Z856" s="7" t="str">
        <f>IF(ISBLANK(patch[[#This Row],[project]]), "",COUNTIFS($A:$A,patch[[#This Row],[number]],$S:$S, "BJ And dev",$AD:$AD, "&lt;&gt;IntegratorValidationComment"))</f>
        <v/>
      </c>
      <c r="AA856" s="7" t="str">
        <f>IF(ISBLANK(patch[[#This Row],[project]]), "",COUNTIFS($A:$A,patch[[#This Row],[number]],$S:$S, "FL And dev",$AD:$AD, "&lt;&gt;IntegratorValidationComment"))</f>
        <v/>
      </c>
      <c r="AB856" s="7" t="str">
        <f>IF(ISBLANK(patch[[#This Row],[project]]), "",COUNTIFS($A:$A,patch[[#This Row],[number]],$S:$S, "SH And dev",$AD:$AD, "&lt;&gt;IntegratorValidationComment"))</f>
        <v/>
      </c>
      <c r="AC856" s="7" t="str">
        <f>IF(OR(ISNUMBER(FIND("Review-1", patch[[#This Row],[comments]])), ISNUMBER(FIND("Approver-1", patch[[#This Row],[comments]]))), "Review-1", "")</f>
        <v/>
      </c>
      <c r="AD8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56" s="7">
        <f>IF(ISBLANK(patch[[#This Row],[number]]),AE855,patch[[#This Row],[ifCommon]])</f>
        <v>0</v>
      </c>
    </row>
    <row r="857" spans="1:31">
      <c r="A857" s="151">
        <v>146596</v>
      </c>
      <c r="B857" s="151"/>
      <c r="C857" s="151"/>
      <c r="D857" s="151"/>
      <c r="E857" s="151"/>
      <c r="F857" s="151"/>
      <c r="G857" s="151"/>
      <c r="H857" s="151"/>
      <c r="I857" s="151"/>
      <c r="J857" s="152">
        <v>42635.711099537039</v>
      </c>
      <c r="K857" s="151"/>
      <c r="L857" s="151" t="s">
        <v>55</v>
      </c>
      <c r="M857" s="152">
        <v>42634.733229166668</v>
      </c>
      <c r="N857" s="151" t="s">
        <v>65</v>
      </c>
      <c r="O857" s="151"/>
      <c r="P857" s="151"/>
      <c r="Q857" s="7" t="str">
        <f>IF(ISBLANK(patch[[#This Row],[OwnerEmail]]),Q856,patch[[#This Row],[OwnerEmail]])</f>
        <v>xiaozhou.liu@intel.com</v>
      </c>
      <c r="R857" s="7" t="str">
        <f>_xlfn.IFNA(VLOOKUP(patch[[#This Row],[tmp-owner.email]],OrgTree!$A:$K, 11, 0), "not ICG SWFW")</f>
        <v>BJ And dev</v>
      </c>
      <c r="S857" s="7" t="str">
        <f>IF(patch[[#This Row],[reviewer]]=patch[[#This Row],[tmp-owner.email]], "author", _xlfn.IFNA(VLOOKUP(patch[[#This Row],[reviewer]],OrgTree!$A:$K, 11, 0), "not ICG SWFW"))</f>
        <v>BJ And dev</v>
      </c>
      <c r="T857" s="7" t="str">
        <f>IF(ISBLANK(patch[[#This Row],[mergeDate]]), "", MID(YEAR(patch[[#This Row],[mergeDate]]), 3,2)&amp;"'ww"&amp;WEEKNUM(patch[[#This Row],[mergeDate]]))</f>
        <v>16'ww39</v>
      </c>
      <c r="U857" s="7" t="str">
        <f>IF(ISBLANK(patch[[#This Row],[mergeDate]]), U856, MID(YEAR(patch[[#This Row],[mergeDate]]), 3,2)&amp;"'m"&amp;MONTH(patch[[#This Row],[mergeDate]]))</f>
        <v>16'm9</v>
      </c>
      <c r="V857" s="7" t="str">
        <f>IF(ISBLANK(patch[[#This Row],[project]]), "",SUM(patch[[#This Row],[BJ -1 num]:[SH -1 num]]))</f>
        <v/>
      </c>
      <c r="W857" s="7" t="str">
        <f>IF(ISBLANK(patch[[#This Row],[project]]), "",COUNTIFS($A:$A,patch[[#This Row],[number]],$S:$S, "BJ And dev",$AC:$AC, "Review-1"))</f>
        <v/>
      </c>
      <c r="X857" s="7" t="str">
        <f>IF(ISBLANK(patch[[#This Row],[project]]), "",COUNTIFS($A:$A,patch[[#This Row],[number]],$S:$S, "FL And dev",$AC:$AC, "Review-1"))</f>
        <v/>
      </c>
      <c r="Y857" s="7" t="str">
        <f>IF(ISBLANK(patch[[#This Row],[project]]), "",COUNTIFS($A:$A,patch[[#This Row],[number]],$S:$S, "SH And dev",$AC:$AC, "Review-1"))</f>
        <v/>
      </c>
      <c r="Z857" s="7" t="str">
        <f>IF(ISBLANK(patch[[#This Row],[project]]), "",COUNTIFS($A:$A,patch[[#This Row],[number]],$S:$S, "BJ And dev",$AD:$AD, "&lt;&gt;IntegratorValidationComment"))</f>
        <v/>
      </c>
      <c r="AA857" s="7" t="str">
        <f>IF(ISBLANK(patch[[#This Row],[project]]), "",COUNTIFS($A:$A,patch[[#This Row],[number]],$S:$S, "FL And dev",$AD:$AD, "&lt;&gt;IntegratorValidationComment"))</f>
        <v/>
      </c>
      <c r="AB857" s="7" t="str">
        <f>IF(ISBLANK(patch[[#This Row],[project]]), "",COUNTIFS($A:$A,patch[[#This Row],[number]],$S:$S, "SH And dev",$AD:$AD, "&lt;&gt;IntegratorValidationComment"))</f>
        <v/>
      </c>
      <c r="AC857" s="7" t="str">
        <f>IF(OR(ISNUMBER(FIND("Review-1", patch[[#This Row],[comments]])), ISNUMBER(FIND("Approver-1", patch[[#This Row],[comments]]))), "Review-1", "")</f>
        <v/>
      </c>
      <c r="AD8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57" s="7">
        <f>IF(ISBLANK(patch[[#This Row],[number]]),AE856,patch[[#This Row],[ifCommon]])</f>
        <v>0</v>
      </c>
    </row>
    <row r="858" spans="1:31">
      <c r="A858" s="151">
        <v>146596</v>
      </c>
      <c r="B858" s="151"/>
      <c r="C858" s="151"/>
      <c r="D858" s="151"/>
      <c r="E858" s="151"/>
      <c r="F858" s="151"/>
      <c r="G858" s="151"/>
      <c r="H858" s="151"/>
      <c r="I858" s="151"/>
      <c r="J858" s="152">
        <v>42635.711099537039</v>
      </c>
      <c r="K858" s="151"/>
      <c r="L858" s="151" t="s">
        <v>55</v>
      </c>
      <c r="M858" s="152">
        <v>42634.733229166668</v>
      </c>
      <c r="N858" s="151" t="s">
        <v>2429</v>
      </c>
      <c r="O858" s="151"/>
      <c r="P858" s="151"/>
      <c r="Q858" s="7" t="str">
        <f>IF(ISBLANK(patch[[#This Row],[OwnerEmail]]),Q857,patch[[#This Row],[OwnerEmail]])</f>
        <v>xiaozhou.liu@intel.com</v>
      </c>
      <c r="R858" s="7" t="str">
        <f>_xlfn.IFNA(VLOOKUP(patch[[#This Row],[tmp-owner.email]],OrgTree!$A:$K, 11, 0), "not ICG SWFW")</f>
        <v>BJ And dev</v>
      </c>
      <c r="S858" s="7" t="str">
        <f>IF(patch[[#This Row],[reviewer]]=patch[[#This Row],[tmp-owner.email]], "author", _xlfn.IFNA(VLOOKUP(patch[[#This Row],[reviewer]],OrgTree!$A:$K, 11, 0), "not ICG SWFW"))</f>
        <v>BJ And dev</v>
      </c>
      <c r="T858" s="7" t="str">
        <f>IF(ISBLANK(patch[[#This Row],[mergeDate]]), "", MID(YEAR(patch[[#This Row],[mergeDate]]), 3,2)&amp;"'ww"&amp;WEEKNUM(patch[[#This Row],[mergeDate]]))</f>
        <v>16'ww39</v>
      </c>
      <c r="U858" s="7" t="str">
        <f>IF(ISBLANK(patch[[#This Row],[mergeDate]]), U857, MID(YEAR(patch[[#This Row],[mergeDate]]), 3,2)&amp;"'m"&amp;MONTH(patch[[#This Row],[mergeDate]]))</f>
        <v>16'm9</v>
      </c>
      <c r="V858" s="7" t="str">
        <f>IF(ISBLANK(patch[[#This Row],[project]]), "",SUM(patch[[#This Row],[BJ -1 num]:[SH -1 num]]))</f>
        <v/>
      </c>
      <c r="W858" s="7" t="str">
        <f>IF(ISBLANK(patch[[#This Row],[project]]), "",COUNTIFS($A:$A,patch[[#This Row],[number]],$S:$S, "BJ And dev",$AC:$AC, "Review-1"))</f>
        <v/>
      </c>
      <c r="X858" s="7" t="str">
        <f>IF(ISBLANK(patch[[#This Row],[project]]), "",COUNTIFS($A:$A,patch[[#This Row],[number]],$S:$S, "FL And dev",$AC:$AC, "Review-1"))</f>
        <v/>
      </c>
      <c r="Y858" s="7" t="str">
        <f>IF(ISBLANK(patch[[#This Row],[project]]), "",COUNTIFS($A:$A,patch[[#This Row],[number]],$S:$S, "SH And dev",$AC:$AC, "Review-1"))</f>
        <v/>
      </c>
      <c r="Z858" s="7" t="str">
        <f>IF(ISBLANK(patch[[#This Row],[project]]), "",COUNTIFS($A:$A,patch[[#This Row],[number]],$S:$S, "BJ And dev",$AD:$AD, "&lt;&gt;IntegratorValidationComment"))</f>
        <v/>
      </c>
      <c r="AA858" s="7" t="str">
        <f>IF(ISBLANK(patch[[#This Row],[project]]), "",COUNTIFS($A:$A,patch[[#This Row],[number]],$S:$S, "FL And dev",$AD:$AD, "&lt;&gt;IntegratorValidationComment"))</f>
        <v/>
      </c>
      <c r="AB858" s="7" t="str">
        <f>IF(ISBLANK(patch[[#This Row],[project]]), "",COUNTIFS($A:$A,patch[[#This Row],[number]],$S:$S, "SH And dev",$AD:$AD, "&lt;&gt;IntegratorValidationComment"))</f>
        <v/>
      </c>
      <c r="AC858" s="7" t="str">
        <f>IF(OR(ISNUMBER(FIND("Review-1", patch[[#This Row],[comments]])), ISNUMBER(FIND("Approver-1", patch[[#This Row],[comments]]))), "Review-1", "")</f>
        <v/>
      </c>
      <c r="AD8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58" s="7">
        <f>IF(ISBLANK(patch[[#This Row],[number]]),AE857,patch[[#This Row],[ifCommon]])</f>
        <v>0</v>
      </c>
    </row>
    <row r="859" spans="1:31">
      <c r="A859" s="151">
        <v>146596</v>
      </c>
      <c r="B859" s="151"/>
      <c r="C859" s="151"/>
      <c r="D859" s="151"/>
      <c r="E859" s="151"/>
      <c r="F859" s="151"/>
      <c r="G859" s="151"/>
      <c r="H859" s="151"/>
      <c r="I859" s="151"/>
      <c r="J859" s="152">
        <v>42635.711099537039</v>
      </c>
      <c r="K859" s="151"/>
      <c r="L859" s="151" t="s">
        <v>59</v>
      </c>
      <c r="M859" s="152">
        <v>42634.738761574074</v>
      </c>
      <c r="N859" s="151" t="s">
        <v>3024</v>
      </c>
      <c r="O859" s="151"/>
      <c r="P859" s="151"/>
      <c r="Q859" s="7" t="str">
        <f>IF(ISBLANK(patch[[#This Row],[OwnerEmail]]),Q858,patch[[#This Row],[OwnerEmail]])</f>
        <v>xiaozhou.liu@intel.com</v>
      </c>
      <c r="R859" s="7" t="str">
        <f>_xlfn.IFNA(VLOOKUP(patch[[#This Row],[tmp-owner.email]],OrgTree!$A:$K, 11, 0), "not ICG SWFW")</f>
        <v>BJ And dev</v>
      </c>
      <c r="S859" s="7" t="str">
        <f>IF(patch[[#This Row],[reviewer]]=patch[[#This Row],[tmp-owner.email]], "author", _xlfn.IFNA(VLOOKUP(patch[[#This Row],[reviewer]],OrgTree!$A:$K, 11, 0), "not ICG SWFW"))</f>
        <v>author</v>
      </c>
      <c r="T859" s="7" t="str">
        <f>IF(ISBLANK(patch[[#This Row],[mergeDate]]), "", MID(YEAR(patch[[#This Row],[mergeDate]]), 3,2)&amp;"'ww"&amp;WEEKNUM(patch[[#This Row],[mergeDate]]))</f>
        <v>16'ww39</v>
      </c>
      <c r="U859" s="7" t="str">
        <f>IF(ISBLANK(patch[[#This Row],[mergeDate]]), U858, MID(YEAR(patch[[#This Row],[mergeDate]]), 3,2)&amp;"'m"&amp;MONTH(patch[[#This Row],[mergeDate]]))</f>
        <v>16'm9</v>
      </c>
      <c r="V859" s="7" t="str">
        <f>IF(ISBLANK(patch[[#This Row],[project]]), "",SUM(patch[[#This Row],[BJ -1 num]:[SH -1 num]]))</f>
        <v/>
      </c>
      <c r="W859" s="7" t="str">
        <f>IF(ISBLANK(patch[[#This Row],[project]]), "",COUNTIFS($A:$A,patch[[#This Row],[number]],$S:$S, "BJ And dev",$AC:$AC, "Review-1"))</f>
        <v/>
      </c>
      <c r="X859" s="7" t="str">
        <f>IF(ISBLANK(patch[[#This Row],[project]]), "",COUNTIFS($A:$A,patch[[#This Row],[number]],$S:$S, "FL And dev",$AC:$AC, "Review-1"))</f>
        <v/>
      </c>
      <c r="Y859" s="7" t="str">
        <f>IF(ISBLANK(patch[[#This Row],[project]]), "",COUNTIFS($A:$A,patch[[#This Row],[number]],$S:$S, "SH And dev",$AC:$AC, "Review-1"))</f>
        <v/>
      </c>
      <c r="Z859" s="7" t="str">
        <f>IF(ISBLANK(patch[[#This Row],[project]]), "",COUNTIFS($A:$A,patch[[#This Row],[number]],$S:$S, "BJ And dev",$AD:$AD, "&lt;&gt;IntegratorValidationComment"))</f>
        <v/>
      </c>
      <c r="AA859" s="7" t="str">
        <f>IF(ISBLANK(patch[[#This Row],[project]]), "",COUNTIFS($A:$A,patch[[#This Row],[number]],$S:$S, "FL And dev",$AD:$AD, "&lt;&gt;IntegratorValidationComment"))</f>
        <v/>
      </c>
      <c r="AB859" s="7" t="str">
        <f>IF(ISBLANK(patch[[#This Row],[project]]), "",COUNTIFS($A:$A,patch[[#This Row],[number]],$S:$S, "SH And dev",$AD:$AD, "&lt;&gt;IntegratorValidationComment"))</f>
        <v/>
      </c>
      <c r="AC859" s="7" t="str">
        <f>IF(OR(ISNUMBER(FIND("Review-1", patch[[#This Row],[comments]])), ISNUMBER(FIND("Approver-1", patch[[#This Row],[comments]]))), "Review-1", "")</f>
        <v/>
      </c>
      <c r="AD8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59" s="7">
        <f>IF(ISBLANK(patch[[#This Row],[number]]),AE858,patch[[#This Row],[ifCommon]])</f>
        <v>0</v>
      </c>
    </row>
    <row r="860" spans="1:31">
      <c r="A860" s="151">
        <v>146596</v>
      </c>
      <c r="B860" s="151"/>
      <c r="C860" s="151"/>
      <c r="D860" s="151"/>
      <c r="E860" s="151"/>
      <c r="F860" s="151"/>
      <c r="G860" s="151"/>
      <c r="H860" s="151"/>
      <c r="I860" s="151"/>
      <c r="J860" s="152">
        <v>42635.711099537039</v>
      </c>
      <c r="K860" s="151"/>
      <c r="L860" s="151" t="s">
        <v>59</v>
      </c>
      <c r="M860" s="152">
        <v>42634.748368055552</v>
      </c>
      <c r="N860" s="151" t="s">
        <v>3025</v>
      </c>
      <c r="O860" s="151"/>
      <c r="P860" s="151"/>
      <c r="Q860" s="7" t="str">
        <f>IF(ISBLANK(patch[[#This Row],[OwnerEmail]]),Q859,patch[[#This Row],[OwnerEmail]])</f>
        <v>xiaozhou.liu@intel.com</v>
      </c>
      <c r="R860" s="7" t="str">
        <f>_xlfn.IFNA(VLOOKUP(patch[[#This Row],[tmp-owner.email]],OrgTree!$A:$K, 11, 0), "not ICG SWFW")</f>
        <v>BJ And dev</v>
      </c>
      <c r="S860" s="7" t="str">
        <f>IF(patch[[#This Row],[reviewer]]=patch[[#This Row],[tmp-owner.email]], "author", _xlfn.IFNA(VLOOKUP(patch[[#This Row],[reviewer]],OrgTree!$A:$K, 11, 0), "not ICG SWFW"))</f>
        <v>author</v>
      </c>
      <c r="T860" s="7" t="str">
        <f>IF(ISBLANK(patch[[#This Row],[mergeDate]]), "", MID(YEAR(patch[[#This Row],[mergeDate]]), 3,2)&amp;"'ww"&amp;WEEKNUM(patch[[#This Row],[mergeDate]]))</f>
        <v>16'ww39</v>
      </c>
      <c r="U860" s="7" t="str">
        <f>IF(ISBLANK(patch[[#This Row],[mergeDate]]), U859, MID(YEAR(patch[[#This Row],[mergeDate]]), 3,2)&amp;"'m"&amp;MONTH(patch[[#This Row],[mergeDate]]))</f>
        <v>16'm9</v>
      </c>
      <c r="V860" s="7" t="str">
        <f>IF(ISBLANK(patch[[#This Row],[project]]), "",SUM(patch[[#This Row],[BJ -1 num]:[SH -1 num]]))</f>
        <v/>
      </c>
      <c r="W860" s="7" t="str">
        <f>IF(ISBLANK(patch[[#This Row],[project]]), "",COUNTIFS($A:$A,patch[[#This Row],[number]],$S:$S, "BJ And dev",$AC:$AC, "Review-1"))</f>
        <v/>
      </c>
      <c r="X860" s="7" t="str">
        <f>IF(ISBLANK(patch[[#This Row],[project]]), "",COUNTIFS($A:$A,patch[[#This Row],[number]],$S:$S, "FL And dev",$AC:$AC, "Review-1"))</f>
        <v/>
      </c>
      <c r="Y860" s="7" t="str">
        <f>IF(ISBLANK(patch[[#This Row],[project]]), "",COUNTIFS($A:$A,patch[[#This Row],[number]],$S:$S, "SH And dev",$AC:$AC, "Review-1"))</f>
        <v/>
      </c>
      <c r="Z860" s="7" t="str">
        <f>IF(ISBLANK(patch[[#This Row],[project]]), "",COUNTIFS($A:$A,patch[[#This Row],[number]],$S:$S, "BJ And dev",$AD:$AD, "&lt;&gt;IntegratorValidationComment"))</f>
        <v/>
      </c>
      <c r="AA860" s="7" t="str">
        <f>IF(ISBLANK(patch[[#This Row],[project]]), "",COUNTIFS($A:$A,patch[[#This Row],[number]],$S:$S, "FL And dev",$AD:$AD, "&lt;&gt;IntegratorValidationComment"))</f>
        <v/>
      </c>
      <c r="AB860" s="7" t="str">
        <f>IF(ISBLANK(patch[[#This Row],[project]]), "",COUNTIFS($A:$A,patch[[#This Row],[number]],$S:$S, "SH And dev",$AD:$AD, "&lt;&gt;IntegratorValidationComment"))</f>
        <v/>
      </c>
      <c r="AC860" s="7" t="str">
        <f>IF(OR(ISNUMBER(FIND("Review-1", patch[[#This Row],[comments]])), ISNUMBER(FIND("Approver-1", patch[[#This Row],[comments]]))), "Review-1", "")</f>
        <v/>
      </c>
      <c r="AD8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60" s="7">
        <f>IF(ISBLANK(patch[[#This Row],[number]]),AE859,patch[[#This Row],[ifCommon]])</f>
        <v>0</v>
      </c>
    </row>
    <row r="861" spans="1:31">
      <c r="A861" s="151">
        <v>146596</v>
      </c>
      <c r="B861" s="151"/>
      <c r="C861" s="151"/>
      <c r="D861" s="151"/>
      <c r="E861" s="151"/>
      <c r="F861" s="151"/>
      <c r="G861" s="151"/>
      <c r="H861" s="151"/>
      <c r="I861" s="151"/>
      <c r="J861" s="152">
        <v>42635.711099537039</v>
      </c>
      <c r="K861" s="151"/>
      <c r="L861" s="151" t="s">
        <v>115</v>
      </c>
      <c r="M861" s="152">
        <v>42635.427905092591</v>
      </c>
      <c r="N861" s="151" t="s">
        <v>2495</v>
      </c>
      <c r="O861" s="151"/>
      <c r="P861" s="151"/>
      <c r="Q861" s="7" t="str">
        <f>IF(ISBLANK(patch[[#This Row],[OwnerEmail]]),Q860,patch[[#This Row],[OwnerEmail]])</f>
        <v>xiaozhou.liu@intel.com</v>
      </c>
      <c r="R861" s="7" t="str">
        <f>_xlfn.IFNA(VLOOKUP(patch[[#This Row],[tmp-owner.email]],OrgTree!$A:$K, 11, 0), "not ICG SWFW")</f>
        <v>BJ And dev</v>
      </c>
      <c r="S861" s="7" t="str">
        <f>IF(patch[[#This Row],[reviewer]]=patch[[#This Row],[tmp-owner.email]], "author", _xlfn.IFNA(VLOOKUP(patch[[#This Row],[reviewer]],OrgTree!$A:$K, 11, 0), "not ICG SWFW"))</f>
        <v>Val</v>
      </c>
      <c r="T861" s="7" t="str">
        <f>IF(ISBLANK(patch[[#This Row],[mergeDate]]), "", MID(YEAR(patch[[#This Row],[mergeDate]]), 3,2)&amp;"'ww"&amp;WEEKNUM(patch[[#This Row],[mergeDate]]))</f>
        <v>16'ww39</v>
      </c>
      <c r="U861" s="7" t="str">
        <f>IF(ISBLANK(patch[[#This Row],[mergeDate]]), U860, MID(YEAR(patch[[#This Row],[mergeDate]]), 3,2)&amp;"'m"&amp;MONTH(patch[[#This Row],[mergeDate]]))</f>
        <v>16'm9</v>
      </c>
      <c r="V861" s="7" t="str">
        <f>IF(ISBLANK(patch[[#This Row],[project]]), "",SUM(patch[[#This Row],[BJ -1 num]:[SH -1 num]]))</f>
        <v/>
      </c>
      <c r="W861" s="7" t="str">
        <f>IF(ISBLANK(patch[[#This Row],[project]]), "",COUNTIFS($A:$A,patch[[#This Row],[number]],$S:$S, "BJ And dev",$AC:$AC, "Review-1"))</f>
        <v/>
      </c>
      <c r="X861" s="7" t="str">
        <f>IF(ISBLANK(patch[[#This Row],[project]]), "",COUNTIFS($A:$A,patch[[#This Row],[number]],$S:$S, "FL And dev",$AC:$AC, "Review-1"))</f>
        <v/>
      </c>
      <c r="Y861" s="7" t="str">
        <f>IF(ISBLANK(patch[[#This Row],[project]]), "",COUNTIFS($A:$A,patch[[#This Row],[number]],$S:$S, "SH And dev",$AC:$AC, "Review-1"))</f>
        <v/>
      </c>
      <c r="Z861" s="7" t="str">
        <f>IF(ISBLANK(patch[[#This Row],[project]]), "",COUNTIFS($A:$A,patch[[#This Row],[number]],$S:$S, "BJ And dev",$AD:$AD, "&lt;&gt;IntegratorValidationComment"))</f>
        <v/>
      </c>
      <c r="AA861" s="7" t="str">
        <f>IF(ISBLANK(patch[[#This Row],[project]]), "",COUNTIFS($A:$A,patch[[#This Row],[number]],$S:$S, "FL And dev",$AD:$AD, "&lt;&gt;IntegratorValidationComment"))</f>
        <v/>
      </c>
      <c r="AB861" s="7" t="str">
        <f>IF(ISBLANK(patch[[#This Row],[project]]), "",COUNTIFS($A:$A,patch[[#This Row],[number]],$S:$S, "SH And dev",$AD:$AD, "&lt;&gt;IntegratorValidationComment"))</f>
        <v/>
      </c>
      <c r="AC861" s="7" t="str">
        <f>IF(OR(ISNUMBER(FIND("Review-1", patch[[#This Row],[comments]])), ISNUMBER(FIND("Approver-1", patch[[#This Row],[comments]]))), "Review-1", "")</f>
        <v/>
      </c>
      <c r="AD8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861" s="7">
        <f>IF(ISBLANK(patch[[#This Row],[number]]),AE860,patch[[#This Row],[ifCommon]])</f>
        <v>0</v>
      </c>
    </row>
    <row r="862" spans="1:31">
      <c r="A862" s="151">
        <v>146618</v>
      </c>
      <c r="B862" s="151" t="s">
        <v>2490</v>
      </c>
      <c r="C862" s="151" t="s">
        <v>2795</v>
      </c>
      <c r="D862" s="151" t="s">
        <v>3026</v>
      </c>
      <c r="E862" s="151" t="s">
        <v>677</v>
      </c>
      <c r="F862" s="151" t="s">
        <v>23</v>
      </c>
      <c r="G862" s="151" t="s">
        <v>3027</v>
      </c>
      <c r="H862" s="151" t="s">
        <v>3028</v>
      </c>
      <c r="I862" s="152">
        <v>42633.740081018521</v>
      </c>
      <c r="J862" s="152">
        <v>42634.76353009259</v>
      </c>
      <c r="K862" s="151" t="s">
        <v>2445</v>
      </c>
      <c r="L862" s="151" t="s">
        <v>677</v>
      </c>
      <c r="M862" s="152">
        <v>42633.740081018521</v>
      </c>
      <c r="N862" s="151" t="s">
        <v>25</v>
      </c>
      <c r="O862" s="151"/>
      <c r="P862" s="151" t="s">
        <v>59</v>
      </c>
      <c r="Q862" s="7" t="str">
        <f>IF(ISBLANK(patch[[#This Row],[OwnerEmail]]),Q861,patch[[#This Row],[OwnerEmail]])</f>
        <v>lipingx.xu@intel.com</v>
      </c>
      <c r="R862" s="7" t="str">
        <f>_xlfn.IFNA(VLOOKUP(patch[[#This Row],[tmp-owner.email]],OrgTree!$A:$K, 11, 0), "not ICG SWFW")</f>
        <v>BJ And dev</v>
      </c>
      <c r="S862" s="7" t="str">
        <f>IF(patch[[#This Row],[reviewer]]=patch[[#This Row],[tmp-owner.email]], "author", _xlfn.IFNA(VLOOKUP(patch[[#This Row],[reviewer]],OrgTree!$A:$K, 11, 0), "not ICG SWFW"))</f>
        <v>author</v>
      </c>
      <c r="T862" s="7" t="str">
        <f>IF(ISBLANK(patch[[#This Row],[mergeDate]]), "", MID(YEAR(patch[[#This Row],[mergeDate]]), 3,2)&amp;"'ww"&amp;WEEKNUM(patch[[#This Row],[mergeDate]]))</f>
        <v>16'ww39</v>
      </c>
      <c r="U862" s="7" t="str">
        <f>IF(ISBLANK(patch[[#This Row],[mergeDate]]), U861, MID(YEAR(patch[[#This Row],[mergeDate]]), 3,2)&amp;"'m"&amp;MONTH(patch[[#This Row],[mergeDate]]))</f>
        <v>16'm9</v>
      </c>
      <c r="V862" s="7">
        <f>IF(ISBLANK(patch[[#This Row],[project]]), "",SUM(patch[[#This Row],[BJ -1 num]:[SH -1 num]]))</f>
        <v>0</v>
      </c>
      <c r="W862" s="7">
        <f>IF(ISBLANK(patch[[#This Row],[project]]), "",COUNTIFS($A:$A,patch[[#This Row],[number]],$S:$S, "BJ And dev",$AC:$AC, "Review-1"))</f>
        <v>0</v>
      </c>
      <c r="X862" s="7">
        <f>IF(ISBLANK(patch[[#This Row],[project]]), "",COUNTIFS($A:$A,patch[[#This Row],[number]],$S:$S, "FL And dev",$AC:$AC, "Review-1"))</f>
        <v>0</v>
      </c>
      <c r="Y862" s="7">
        <f>IF(ISBLANK(patch[[#This Row],[project]]), "",COUNTIFS($A:$A,patch[[#This Row],[number]],$S:$S, "SH And dev",$AC:$AC, "Review-1"))</f>
        <v>0</v>
      </c>
      <c r="Z862" s="7">
        <f>IF(ISBLANK(patch[[#This Row],[project]]), "",COUNTIFS($A:$A,patch[[#This Row],[number]],$S:$S, "BJ And dev",$AD:$AD, "&lt;&gt;IntegratorValidationComment"))</f>
        <v>2</v>
      </c>
      <c r="AA862" s="7">
        <f>IF(ISBLANK(patch[[#This Row],[project]]), "",COUNTIFS($A:$A,patch[[#This Row],[number]],$S:$S, "FL And dev",$AD:$AD, "&lt;&gt;IntegratorValidationComment"))</f>
        <v>0</v>
      </c>
      <c r="AB862" s="7">
        <f>IF(ISBLANK(patch[[#This Row],[project]]), "",COUNTIFS($A:$A,patch[[#This Row],[number]],$S:$S, "SH And dev",$AD:$AD, "&lt;&gt;IntegratorValidationComment"))</f>
        <v>0</v>
      </c>
      <c r="AC862" s="7" t="str">
        <f>IF(OR(ISNUMBER(FIND("Review-1", patch[[#This Row],[comments]])), ISNUMBER(FIND("Approver-1", patch[[#This Row],[comments]]))), "Review-1", "")</f>
        <v/>
      </c>
      <c r="AD8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62" s="7" t="str">
        <f>IF(ISBLANK(patch[[#This Row],[number]]),AE861,patch[[#This Row],[ifCommon]])</f>
        <v>not AndrHAL</v>
      </c>
    </row>
    <row r="863" spans="1:31">
      <c r="A863" s="151">
        <v>146618</v>
      </c>
      <c r="B863" s="151"/>
      <c r="C863" s="151"/>
      <c r="D863" s="151"/>
      <c r="E863" s="151"/>
      <c r="F863" s="151"/>
      <c r="G863" s="151"/>
      <c r="H863" s="151"/>
      <c r="I863" s="151"/>
      <c r="J863" s="152">
        <v>42634.76353009259</v>
      </c>
      <c r="K863" s="151"/>
      <c r="L863" s="151" t="s">
        <v>677</v>
      </c>
      <c r="M863" s="152">
        <v>42633.740208333344</v>
      </c>
      <c r="N863" s="151" t="s">
        <v>2428</v>
      </c>
      <c r="O863" s="151"/>
      <c r="P863" s="151"/>
      <c r="Q863" s="7" t="str">
        <f>IF(ISBLANK(patch[[#This Row],[OwnerEmail]]),Q862,patch[[#This Row],[OwnerEmail]])</f>
        <v>lipingx.xu@intel.com</v>
      </c>
      <c r="R863" s="7" t="str">
        <f>_xlfn.IFNA(VLOOKUP(patch[[#This Row],[tmp-owner.email]],OrgTree!$A:$K, 11, 0), "not ICG SWFW")</f>
        <v>BJ And dev</v>
      </c>
      <c r="S863" s="7" t="str">
        <f>IF(patch[[#This Row],[reviewer]]=patch[[#This Row],[tmp-owner.email]], "author", _xlfn.IFNA(VLOOKUP(patch[[#This Row],[reviewer]],OrgTree!$A:$K, 11, 0), "not ICG SWFW"))</f>
        <v>author</v>
      </c>
      <c r="T863" s="7" t="str">
        <f>IF(ISBLANK(patch[[#This Row],[mergeDate]]), "", MID(YEAR(patch[[#This Row],[mergeDate]]), 3,2)&amp;"'ww"&amp;WEEKNUM(patch[[#This Row],[mergeDate]]))</f>
        <v>16'ww39</v>
      </c>
      <c r="U863" s="7" t="str">
        <f>IF(ISBLANK(patch[[#This Row],[mergeDate]]), U862, MID(YEAR(patch[[#This Row],[mergeDate]]), 3,2)&amp;"'m"&amp;MONTH(patch[[#This Row],[mergeDate]]))</f>
        <v>16'm9</v>
      </c>
      <c r="V863" s="7" t="str">
        <f>IF(ISBLANK(patch[[#This Row],[project]]), "",SUM(patch[[#This Row],[BJ -1 num]:[SH -1 num]]))</f>
        <v/>
      </c>
      <c r="W863" s="7" t="str">
        <f>IF(ISBLANK(patch[[#This Row],[project]]), "",COUNTIFS($A:$A,patch[[#This Row],[number]],$S:$S, "BJ And dev",$AC:$AC, "Review-1"))</f>
        <v/>
      </c>
      <c r="X863" s="7" t="str">
        <f>IF(ISBLANK(patch[[#This Row],[project]]), "",COUNTIFS($A:$A,patch[[#This Row],[number]],$S:$S, "FL And dev",$AC:$AC, "Review-1"))</f>
        <v/>
      </c>
      <c r="Y863" s="7" t="str">
        <f>IF(ISBLANK(patch[[#This Row],[project]]), "",COUNTIFS($A:$A,patch[[#This Row],[number]],$S:$S, "SH And dev",$AC:$AC, "Review-1"))</f>
        <v/>
      </c>
      <c r="Z863" s="7" t="str">
        <f>IF(ISBLANK(patch[[#This Row],[project]]), "",COUNTIFS($A:$A,patch[[#This Row],[number]],$S:$S, "BJ And dev",$AD:$AD, "&lt;&gt;IntegratorValidationComment"))</f>
        <v/>
      </c>
      <c r="AA863" s="7" t="str">
        <f>IF(ISBLANK(patch[[#This Row],[project]]), "",COUNTIFS($A:$A,patch[[#This Row],[number]],$S:$S, "FL And dev",$AD:$AD, "&lt;&gt;IntegratorValidationComment"))</f>
        <v/>
      </c>
      <c r="AB863" s="7" t="str">
        <f>IF(ISBLANK(patch[[#This Row],[project]]), "",COUNTIFS($A:$A,patch[[#This Row],[number]],$S:$S, "SH And dev",$AD:$AD, "&lt;&gt;IntegratorValidationComment"))</f>
        <v/>
      </c>
      <c r="AC863" s="7" t="str">
        <f>IF(OR(ISNUMBER(FIND("Review-1", patch[[#This Row],[comments]])), ISNUMBER(FIND("Approver-1", patch[[#This Row],[comments]]))), "Review-1", "")</f>
        <v/>
      </c>
      <c r="AD8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63" s="7">
        <f>IF(ISBLANK(patch[[#This Row],[number]]),AE862,patch[[#This Row],[ifCommon]])</f>
        <v>0</v>
      </c>
    </row>
    <row r="864" spans="1:31">
      <c r="A864" s="151">
        <v>146618</v>
      </c>
      <c r="B864" s="151"/>
      <c r="C864" s="151"/>
      <c r="D864" s="151"/>
      <c r="E864" s="151"/>
      <c r="F864" s="151"/>
      <c r="G864" s="151"/>
      <c r="H864" s="151"/>
      <c r="I864" s="152"/>
      <c r="J864" s="152">
        <v>42634.76353009259</v>
      </c>
      <c r="K864" s="151"/>
      <c r="L864" s="151" t="s">
        <v>677</v>
      </c>
      <c r="M864" s="152">
        <v>42633.74417824074</v>
      </c>
      <c r="N864" s="151" t="s">
        <v>40</v>
      </c>
      <c r="O864" s="151"/>
      <c r="P864" s="151"/>
      <c r="Q864" s="7" t="str">
        <f>IF(ISBLANK(patch[[#This Row],[OwnerEmail]]),Q863,patch[[#This Row],[OwnerEmail]])</f>
        <v>lipingx.xu@intel.com</v>
      </c>
      <c r="R864" s="7" t="str">
        <f>_xlfn.IFNA(VLOOKUP(patch[[#This Row],[tmp-owner.email]],OrgTree!$A:$K, 11, 0), "not ICG SWFW")</f>
        <v>BJ And dev</v>
      </c>
      <c r="S864" s="7" t="str">
        <f>IF(patch[[#This Row],[reviewer]]=patch[[#This Row],[tmp-owner.email]], "author", _xlfn.IFNA(VLOOKUP(patch[[#This Row],[reviewer]],OrgTree!$A:$K, 11, 0), "not ICG SWFW"))</f>
        <v>author</v>
      </c>
      <c r="T864" s="7" t="str">
        <f>IF(ISBLANK(patch[[#This Row],[mergeDate]]), "", MID(YEAR(patch[[#This Row],[mergeDate]]), 3,2)&amp;"'ww"&amp;WEEKNUM(patch[[#This Row],[mergeDate]]))</f>
        <v>16'ww39</v>
      </c>
      <c r="U864" s="7" t="str">
        <f>IF(ISBLANK(patch[[#This Row],[mergeDate]]), U863, MID(YEAR(patch[[#This Row],[mergeDate]]), 3,2)&amp;"'m"&amp;MONTH(patch[[#This Row],[mergeDate]]))</f>
        <v>16'm9</v>
      </c>
      <c r="V864" s="7" t="str">
        <f>IF(ISBLANK(patch[[#This Row],[project]]), "",SUM(patch[[#This Row],[BJ -1 num]:[SH -1 num]]))</f>
        <v/>
      </c>
      <c r="W864" s="7" t="str">
        <f>IF(ISBLANK(patch[[#This Row],[project]]), "",COUNTIFS($A:$A,patch[[#This Row],[number]],$S:$S, "BJ And dev",$AC:$AC, "Review-1"))</f>
        <v/>
      </c>
      <c r="X864" s="7" t="str">
        <f>IF(ISBLANK(patch[[#This Row],[project]]), "",COUNTIFS($A:$A,patch[[#This Row],[number]],$S:$S, "FL And dev",$AC:$AC, "Review-1"))</f>
        <v/>
      </c>
      <c r="Y864" s="7" t="str">
        <f>IF(ISBLANK(patch[[#This Row],[project]]), "",COUNTIFS($A:$A,patch[[#This Row],[number]],$S:$S, "SH And dev",$AC:$AC, "Review-1"))</f>
        <v/>
      </c>
      <c r="Z864" s="7" t="str">
        <f>IF(ISBLANK(patch[[#This Row],[project]]), "",COUNTIFS($A:$A,patch[[#This Row],[number]],$S:$S, "BJ And dev",$AD:$AD, "&lt;&gt;IntegratorValidationComment"))</f>
        <v/>
      </c>
      <c r="AA864" s="7" t="str">
        <f>IF(ISBLANK(patch[[#This Row],[project]]), "",COUNTIFS($A:$A,patch[[#This Row],[number]],$S:$S, "FL And dev",$AD:$AD, "&lt;&gt;IntegratorValidationComment"))</f>
        <v/>
      </c>
      <c r="AB864" s="7" t="str">
        <f>IF(ISBLANK(patch[[#This Row],[project]]), "",COUNTIFS($A:$A,patch[[#This Row],[number]],$S:$S, "SH And dev",$AD:$AD, "&lt;&gt;IntegratorValidationComment"))</f>
        <v/>
      </c>
      <c r="AC864" s="7" t="str">
        <f>IF(OR(ISNUMBER(FIND("Review-1", patch[[#This Row],[comments]])), ISNUMBER(FIND("Approver-1", patch[[#This Row],[comments]]))), "Review-1", "")</f>
        <v/>
      </c>
      <c r="AD8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64" s="7">
        <f>IF(ISBLANK(patch[[#This Row],[number]]),AE863,patch[[#This Row],[ifCommon]])</f>
        <v>0</v>
      </c>
    </row>
    <row r="865" spans="1:31">
      <c r="A865" s="151">
        <v>146618</v>
      </c>
      <c r="B865" s="151"/>
      <c r="C865" s="151"/>
      <c r="D865" s="151"/>
      <c r="E865" s="151"/>
      <c r="F865" s="151"/>
      <c r="G865" s="151"/>
      <c r="H865" s="151"/>
      <c r="I865" s="151"/>
      <c r="J865" s="152">
        <v>42634.76353009259</v>
      </c>
      <c r="K865" s="151"/>
      <c r="L865" s="151" t="s">
        <v>59</v>
      </c>
      <c r="M865" s="152">
        <v>42633.757048611107</v>
      </c>
      <c r="N865" s="151" t="s">
        <v>3029</v>
      </c>
      <c r="O865" s="151"/>
      <c r="P865" s="151"/>
      <c r="Q865" s="7" t="str">
        <f>IF(ISBLANK(patch[[#This Row],[OwnerEmail]]),Q864,patch[[#This Row],[OwnerEmail]])</f>
        <v>lipingx.xu@intel.com</v>
      </c>
      <c r="R865" s="7" t="str">
        <f>_xlfn.IFNA(VLOOKUP(patch[[#This Row],[tmp-owner.email]],OrgTree!$A:$K, 11, 0), "not ICG SWFW")</f>
        <v>BJ And dev</v>
      </c>
      <c r="S865" s="7" t="str">
        <f>IF(patch[[#This Row],[reviewer]]=patch[[#This Row],[tmp-owner.email]], "author", _xlfn.IFNA(VLOOKUP(patch[[#This Row],[reviewer]],OrgTree!$A:$K, 11, 0), "not ICG SWFW"))</f>
        <v>BJ And dev</v>
      </c>
      <c r="T865" s="7" t="str">
        <f>IF(ISBLANK(patch[[#This Row],[mergeDate]]), "", MID(YEAR(patch[[#This Row],[mergeDate]]), 3,2)&amp;"'ww"&amp;WEEKNUM(patch[[#This Row],[mergeDate]]))</f>
        <v>16'ww39</v>
      </c>
      <c r="U865" s="7" t="str">
        <f>IF(ISBLANK(patch[[#This Row],[mergeDate]]), U864, MID(YEAR(patch[[#This Row],[mergeDate]]), 3,2)&amp;"'m"&amp;MONTH(patch[[#This Row],[mergeDate]]))</f>
        <v>16'm9</v>
      </c>
      <c r="V865" s="7" t="str">
        <f>IF(ISBLANK(patch[[#This Row],[project]]), "",SUM(patch[[#This Row],[BJ -1 num]:[SH -1 num]]))</f>
        <v/>
      </c>
      <c r="W865" s="7" t="str">
        <f>IF(ISBLANK(patch[[#This Row],[project]]), "",COUNTIFS($A:$A,patch[[#This Row],[number]],$S:$S, "BJ And dev",$AC:$AC, "Review-1"))</f>
        <v/>
      </c>
      <c r="X865" s="7" t="str">
        <f>IF(ISBLANK(patch[[#This Row],[project]]), "",COUNTIFS($A:$A,patch[[#This Row],[number]],$S:$S, "FL And dev",$AC:$AC, "Review-1"))</f>
        <v/>
      </c>
      <c r="Y865" s="7" t="str">
        <f>IF(ISBLANK(patch[[#This Row],[project]]), "",COUNTIFS($A:$A,patch[[#This Row],[number]],$S:$S, "SH And dev",$AC:$AC, "Review-1"))</f>
        <v/>
      </c>
      <c r="Z865" s="7" t="str">
        <f>IF(ISBLANK(patch[[#This Row],[project]]), "",COUNTIFS($A:$A,patch[[#This Row],[number]],$S:$S, "BJ And dev",$AD:$AD, "&lt;&gt;IntegratorValidationComment"))</f>
        <v/>
      </c>
      <c r="AA865" s="7" t="str">
        <f>IF(ISBLANK(patch[[#This Row],[project]]), "",COUNTIFS($A:$A,patch[[#This Row],[number]],$S:$S, "FL And dev",$AD:$AD, "&lt;&gt;IntegratorValidationComment"))</f>
        <v/>
      </c>
      <c r="AB865" s="7" t="str">
        <f>IF(ISBLANK(patch[[#This Row],[project]]), "",COUNTIFS($A:$A,patch[[#This Row],[number]],$S:$S, "SH And dev",$AD:$AD, "&lt;&gt;IntegratorValidationComment"))</f>
        <v/>
      </c>
      <c r="AC865" s="7" t="str">
        <f>IF(OR(ISNUMBER(FIND("Review-1", patch[[#This Row],[comments]])), ISNUMBER(FIND("Approver-1", patch[[#This Row],[comments]]))), "Review-1", "")</f>
        <v/>
      </c>
      <c r="AD8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65" s="7">
        <f>IF(ISBLANK(patch[[#This Row],[number]]),AE864,patch[[#This Row],[ifCommon]])</f>
        <v>0</v>
      </c>
    </row>
    <row r="866" spans="1:31">
      <c r="A866" s="151">
        <v>146618</v>
      </c>
      <c r="B866" s="151"/>
      <c r="C866" s="151"/>
      <c r="D866" s="151"/>
      <c r="E866" s="151"/>
      <c r="F866" s="151"/>
      <c r="G866" s="151"/>
      <c r="H866" s="151"/>
      <c r="I866" s="151"/>
      <c r="J866" s="152">
        <v>42634.76353009259</v>
      </c>
      <c r="K866" s="151"/>
      <c r="L866" s="151" t="s">
        <v>59</v>
      </c>
      <c r="M866" s="152">
        <v>42633.758148148147</v>
      </c>
      <c r="N866" s="151" t="s">
        <v>1880</v>
      </c>
      <c r="O866" s="151"/>
      <c r="P866" s="151"/>
      <c r="Q866" s="7" t="str">
        <f>IF(ISBLANK(patch[[#This Row],[OwnerEmail]]),Q865,patch[[#This Row],[OwnerEmail]])</f>
        <v>lipingx.xu@intel.com</v>
      </c>
      <c r="R866" s="7" t="str">
        <f>_xlfn.IFNA(VLOOKUP(patch[[#This Row],[tmp-owner.email]],OrgTree!$A:$K, 11, 0), "not ICG SWFW")</f>
        <v>BJ And dev</v>
      </c>
      <c r="S866" s="7" t="str">
        <f>IF(patch[[#This Row],[reviewer]]=patch[[#This Row],[tmp-owner.email]], "author", _xlfn.IFNA(VLOOKUP(patch[[#This Row],[reviewer]],OrgTree!$A:$K, 11, 0), "not ICG SWFW"))</f>
        <v>BJ And dev</v>
      </c>
      <c r="T866" s="7" t="str">
        <f>IF(ISBLANK(patch[[#This Row],[mergeDate]]), "", MID(YEAR(patch[[#This Row],[mergeDate]]), 3,2)&amp;"'ww"&amp;WEEKNUM(patch[[#This Row],[mergeDate]]))</f>
        <v>16'ww39</v>
      </c>
      <c r="U866" s="7" t="str">
        <f>IF(ISBLANK(patch[[#This Row],[mergeDate]]), U865, MID(YEAR(patch[[#This Row],[mergeDate]]), 3,2)&amp;"'m"&amp;MONTH(patch[[#This Row],[mergeDate]]))</f>
        <v>16'm9</v>
      </c>
      <c r="V866" s="7" t="str">
        <f>IF(ISBLANK(patch[[#This Row],[project]]), "",SUM(patch[[#This Row],[BJ -1 num]:[SH -1 num]]))</f>
        <v/>
      </c>
      <c r="W866" s="7" t="str">
        <f>IF(ISBLANK(patch[[#This Row],[project]]), "",COUNTIFS($A:$A,patch[[#This Row],[number]],$S:$S, "BJ And dev",$AC:$AC, "Review-1"))</f>
        <v/>
      </c>
      <c r="X866" s="7" t="str">
        <f>IF(ISBLANK(patch[[#This Row],[project]]), "",COUNTIFS($A:$A,patch[[#This Row],[number]],$S:$S, "FL And dev",$AC:$AC, "Review-1"))</f>
        <v/>
      </c>
      <c r="Y866" s="7" t="str">
        <f>IF(ISBLANK(patch[[#This Row],[project]]), "",COUNTIFS($A:$A,patch[[#This Row],[number]],$S:$S, "SH And dev",$AC:$AC, "Review-1"))</f>
        <v/>
      </c>
      <c r="Z866" s="7" t="str">
        <f>IF(ISBLANK(patch[[#This Row],[project]]), "",COUNTIFS($A:$A,patch[[#This Row],[number]],$S:$S, "BJ And dev",$AD:$AD, "&lt;&gt;IntegratorValidationComment"))</f>
        <v/>
      </c>
      <c r="AA866" s="7" t="str">
        <f>IF(ISBLANK(patch[[#This Row],[project]]), "",COUNTIFS($A:$A,patch[[#This Row],[number]],$S:$S, "FL And dev",$AD:$AD, "&lt;&gt;IntegratorValidationComment"))</f>
        <v/>
      </c>
      <c r="AB866" s="7" t="str">
        <f>IF(ISBLANK(patch[[#This Row],[project]]), "",COUNTIFS($A:$A,patch[[#This Row],[number]],$S:$S, "SH And dev",$AD:$AD, "&lt;&gt;IntegratorValidationComment"))</f>
        <v/>
      </c>
      <c r="AC866" s="7" t="str">
        <f>IF(OR(ISNUMBER(FIND("Review-1", patch[[#This Row],[comments]])), ISNUMBER(FIND("Approver-1", patch[[#This Row],[comments]]))), "Review-1", "")</f>
        <v/>
      </c>
      <c r="AD8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66" s="7">
        <f>IF(ISBLANK(patch[[#This Row],[number]]),AE865,patch[[#This Row],[ifCommon]])</f>
        <v>0</v>
      </c>
    </row>
    <row r="867" spans="1:31">
      <c r="A867" s="151">
        <v>146618</v>
      </c>
      <c r="B867" s="151"/>
      <c r="C867" s="151"/>
      <c r="D867" s="151"/>
      <c r="E867" s="151"/>
      <c r="F867" s="151"/>
      <c r="G867" s="151"/>
      <c r="H867" s="151"/>
      <c r="I867" s="151"/>
      <c r="J867" s="152">
        <v>42634.76353009259</v>
      </c>
      <c r="K867" s="151"/>
      <c r="L867" s="151" t="s">
        <v>115</v>
      </c>
      <c r="M867" s="152">
        <v>42634.559907407413</v>
      </c>
      <c r="N867" s="151" t="s">
        <v>2494</v>
      </c>
      <c r="O867" s="151"/>
      <c r="P867" s="151"/>
      <c r="Q867" s="7" t="str">
        <f>IF(ISBLANK(patch[[#This Row],[OwnerEmail]]),Q866,patch[[#This Row],[OwnerEmail]])</f>
        <v>lipingx.xu@intel.com</v>
      </c>
      <c r="R867" s="7" t="str">
        <f>_xlfn.IFNA(VLOOKUP(patch[[#This Row],[tmp-owner.email]],OrgTree!$A:$K, 11, 0), "not ICG SWFW")</f>
        <v>BJ And dev</v>
      </c>
      <c r="S867" s="7" t="str">
        <f>IF(patch[[#This Row],[reviewer]]=patch[[#This Row],[tmp-owner.email]], "author", _xlfn.IFNA(VLOOKUP(patch[[#This Row],[reviewer]],OrgTree!$A:$K, 11, 0), "not ICG SWFW"))</f>
        <v>Val</v>
      </c>
      <c r="T867" s="7" t="str">
        <f>IF(ISBLANK(patch[[#This Row],[mergeDate]]), "", MID(YEAR(patch[[#This Row],[mergeDate]]), 3,2)&amp;"'ww"&amp;WEEKNUM(patch[[#This Row],[mergeDate]]))</f>
        <v>16'ww39</v>
      </c>
      <c r="U867" s="7" t="str">
        <f>IF(ISBLANK(patch[[#This Row],[mergeDate]]), U866, MID(YEAR(patch[[#This Row],[mergeDate]]), 3,2)&amp;"'m"&amp;MONTH(patch[[#This Row],[mergeDate]]))</f>
        <v>16'm9</v>
      </c>
      <c r="V867" s="7" t="str">
        <f>IF(ISBLANK(patch[[#This Row],[project]]), "",SUM(patch[[#This Row],[BJ -1 num]:[SH -1 num]]))</f>
        <v/>
      </c>
      <c r="W867" s="7" t="str">
        <f>IF(ISBLANK(patch[[#This Row],[project]]), "",COUNTIFS($A:$A,patch[[#This Row],[number]],$S:$S, "BJ And dev",$AC:$AC, "Review-1"))</f>
        <v/>
      </c>
      <c r="X867" s="7" t="str">
        <f>IF(ISBLANK(patch[[#This Row],[project]]), "",COUNTIFS($A:$A,patch[[#This Row],[number]],$S:$S, "FL And dev",$AC:$AC, "Review-1"))</f>
        <v/>
      </c>
      <c r="Y867" s="7" t="str">
        <f>IF(ISBLANK(patch[[#This Row],[project]]), "",COUNTIFS($A:$A,patch[[#This Row],[number]],$S:$S, "SH And dev",$AC:$AC, "Review-1"))</f>
        <v/>
      </c>
      <c r="Z867" s="7" t="str">
        <f>IF(ISBLANK(patch[[#This Row],[project]]), "",COUNTIFS($A:$A,patch[[#This Row],[number]],$S:$S, "BJ And dev",$AD:$AD, "&lt;&gt;IntegratorValidationComment"))</f>
        <v/>
      </c>
      <c r="AA867" s="7" t="str">
        <f>IF(ISBLANK(patch[[#This Row],[project]]), "",COUNTIFS($A:$A,patch[[#This Row],[number]],$S:$S, "FL And dev",$AD:$AD, "&lt;&gt;IntegratorValidationComment"))</f>
        <v/>
      </c>
      <c r="AB867" s="7" t="str">
        <f>IF(ISBLANK(patch[[#This Row],[project]]), "",COUNTIFS($A:$A,patch[[#This Row],[number]],$S:$S, "SH And dev",$AD:$AD, "&lt;&gt;IntegratorValidationComment"))</f>
        <v/>
      </c>
      <c r="AC867" s="7" t="str">
        <f>IF(OR(ISNUMBER(FIND("Review-1", patch[[#This Row],[comments]])), ISNUMBER(FIND("Approver-1", patch[[#This Row],[comments]]))), "Review-1", "")</f>
        <v/>
      </c>
      <c r="AD8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867" s="7">
        <f>IF(ISBLANK(patch[[#This Row],[number]]),AE866,patch[[#This Row],[ifCommon]])</f>
        <v>0</v>
      </c>
    </row>
    <row r="868" spans="1:31">
      <c r="A868" s="151">
        <v>146617</v>
      </c>
      <c r="B868" s="151" t="s">
        <v>2490</v>
      </c>
      <c r="C868" s="151" t="s">
        <v>2795</v>
      </c>
      <c r="D868" s="151" t="s">
        <v>3030</v>
      </c>
      <c r="E868" s="151" t="s">
        <v>677</v>
      </c>
      <c r="F868" s="151" t="s">
        <v>23</v>
      </c>
      <c r="G868" s="151" t="s">
        <v>3031</v>
      </c>
      <c r="H868" s="151" t="s">
        <v>3032</v>
      </c>
      <c r="I868" s="152">
        <v>42633.740081018521</v>
      </c>
      <c r="J868" s="152">
        <v>42634.763495370367</v>
      </c>
      <c r="K868" s="151" t="s">
        <v>2445</v>
      </c>
      <c r="L868" s="151" t="s">
        <v>677</v>
      </c>
      <c r="M868" s="152">
        <v>42633.740081018521</v>
      </c>
      <c r="N868" s="151" t="s">
        <v>25</v>
      </c>
      <c r="O868" s="151"/>
      <c r="P868" s="151" t="s">
        <v>59</v>
      </c>
      <c r="Q868" s="7" t="str">
        <f>IF(ISBLANK(patch[[#This Row],[OwnerEmail]]),Q867,patch[[#This Row],[OwnerEmail]])</f>
        <v>lipingx.xu@intel.com</v>
      </c>
      <c r="R868" s="7" t="str">
        <f>_xlfn.IFNA(VLOOKUP(patch[[#This Row],[tmp-owner.email]],OrgTree!$A:$K, 11, 0), "not ICG SWFW")</f>
        <v>BJ And dev</v>
      </c>
      <c r="S868" s="7" t="str">
        <f>IF(patch[[#This Row],[reviewer]]=patch[[#This Row],[tmp-owner.email]], "author", _xlfn.IFNA(VLOOKUP(patch[[#This Row],[reviewer]],OrgTree!$A:$K, 11, 0), "not ICG SWFW"))</f>
        <v>author</v>
      </c>
      <c r="T868" s="7" t="str">
        <f>IF(ISBLANK(patch[[#This Row],[mergeDate]]), "", MID(YEAR(patch[[#This Row],[mergeDate]]), 3,2)&amp;"'ww"&amp;WEEKNUM(patch[[#This Row],[mergeDate]]))</f>
        <v>16'ww39</v>
      </c>
      <c r="U868" s="7" t="str">
        <f>IF(ISBLANK(patch[[#This Row],[mergeDate]]), U867, MID(YEAR(patch[[#This Row],[mergeDate]]), 3,2)&amp;"'m"&amp;MONTH(patch[[#This Row],[mergeDate]]))</f>
        <v>16'm9</v>
      </c>
      <c r="V868" s="7">
        <f>IF(ISBLANK(patch[[#This Row],[project]]), "",SUM(patch[[#This Row],[BJ -1 num]:[SH -1 num]]))</f>
        <v>0</v>
      </c>
      <c r="W868" s="7">
        <f>IF(ISBLANK(patch[[#This Row],[project]]), "",COUNTIFS($A:$A,patch[[#This Row],[number]],$S:$S, "BJ And dev",$AC:$AC, "Review-1"))</f>
        <v>0</v>
      </c>
      <c r="X868" s="7">
        <f>IF(ISBLANK(patch[[#This Row],[project]]), "",COUNTIFS($A:$A,patch[[#This Row],[number]],$S:$S, "FL And dev",$AC:$AC, "Review-1"))</f>
        <v>0</v>
      </c>
      <c r="Y868" s="7">
        <f>IF(ISBLANK(patch[[#This Row],[project]]), "",COUNTIFS($A:$A,patch[[#This Row],[number]],$S:$S, "SH And dev",$AC:$AC, "Review-1"))</f>
        <v>0</v>
      </c>
      <c r="Z868" s="7">
        <f>IF(ISBLANK(patch[[#This Row],[project]]), "",COUNTIFS($A:$A,patch[[#This Row],[number]],$S:$S, "BJ And dev",$AD:$AD, "&lt;&gt;IntegratorValidationComment"))</f>
        <v>2</v>
      </c>
      <c r="AA868" s="7">
        <f>IF(ISBLANK(patch[[#This Row],[project]]), "",COUNTIFS($A:$A,patch[[#This Row],[number]],$S:$S, "FL And dev",$AD:$AD, "&lt;&gt;IntegratorValidationComment"))</f>
        <v>0</v>
      </c>
      <c r="AB868" s="7">
        <f>IF(ISBLANK(patch[[#This Row],[project]]), "",COUNTIFS($A:$A,patch[[#This Row],[number]],$S:$S, "SH And dev",$AD:$AD, "&lt;&gt;IntegratorValidationComment"))</f>
        <v>0</v>
      </c>
      <c r="AC868" s="7" t="str">
        <f>IF(OR(ISNUMBER(FIND("Review-1", patch[[#This Row],[comments]])), ISNUMBER(FIND("Approver-1", patch[[#This Row],[comments]]))), "Review-1", "")</f>
        <v/>
      </c>
      <c r="AD8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68" s="7" t="str">
        <f>IF(ISBLANK(patch[[#This Row],[number]]),AE867,patch[[#This Row],[ifCommon]])</f>
        <v>not AndrHAL</v>
      </c>
    </row>
    <row r="869" spans="1:31">
      <c r="A869" s="151">
        <v>146617</v>
      </c>
      <c r="B869" s="151"/>
      <c r="C869" s="151"/>
      <c r="D869" s="151"/>
      <c r="E869" s="151"/>
      <c r="F869" s="151"/>
      <c r="G869" s="151"/>
      <c r="H869" s="151"/>
      <c r="I869" s="151"/>
      <c r="J869" s="152">
        <v>42634.763495370367</v>
      </c>
      <c r="K869" s="151"/>
      <c r="L869" s="151" t="s">
        <v>677</v>
      </c>
      <c r="M869" s="152">
        <v>42633.74019675926</v>
      </c>
      <c r="N869" s="151" t="s">
        <v>2428</v>
      </c>
      <c r="O869" s="151"/>
      <c r="P869" s="151"/>
      <c r="Q869" s="7" t="str">
        <f>IF(ISBLANK(patch[[#This Row],[OwnerEmail]]),Q868,patch[[#This Row],[OwnerEmail]])</f>
        <v>lipingx.xu@intel.com</v>
      </c>
      <c r="R869" s="7" t="str">
        <f>_xlfn.IFNA(VLOOKUP(patch[[#This Row],[tmp-owner.email]],OrgTree!$A:$K, 11, 0), "not ICG SWFW")</f>
        <v>BJ And dev</v>
      </c>
      <c r="S869" s="7" t="str">
        <f>IF(patch[[#This Row],[reviewer]]=patch[[#This Row],[tmp-owner.email]], "author", _xlfn.IFNA(VLOOKUP(patch[[#This Row],[reviewer]],OrgTree!$A:$K, 11, 0), "not ICG SWFW"))</f>
        <v>author</v>
      </c>
      <c r="T869" s="7" t="str">
        <f>IF(ISBLANK(patch[[#This Row],[mergeDate]]), "", MID(YEAR(patch[[#This Row],[mergeDate]]), 3,2)&amp;"'ww"&amp;WEEKNUM(patch[[#This Row],[mergeDate]]))</f>
        <v>16'ww39</v>
      </c>
      <c r="U869" s="7" t="str">
        <f>IF(ISBLANK(patch[[#This Row],[mergeDate]]), U868, MID(YEAR(patch[[#This Row],[mergeDate]]), 3,2)&amp;"'m"&amp;MONTH(patch[[#This Row],[mergeDate]]))</f>
        <v>16'm9</v>
      </c>
      <c r="V869" s="7" t="str">
        <f>IF(ISBLANK(patch[[#This Row],[project]]), "",SUM(patch[[#This Row],[BJ -1 num]:[SH -1 num]]))</f>
        <v/>
      </c>
      <c r="W869" s="7" t="str">
        <f>IF(ISBLANK(patch[[#This Row],[project]]), "",COUNTIFS($A:$A,patch[[#This Row],[number]],$S:$S, "BJ And dev",$AC:$AC, "Review-1"))</f>
        <v/>
      </c>
      <c r="X869" s="7" t="str">
        <f>IF(ISBLANK(patch[[#This Row],[project]]), "",COUNTIFS($A:$A,patch[[#This Row],[number]],$S:$S, "FL And dev",$AC:$AC, "Review-1"))</f>
        <v/>
      </c>
      <c r="Y869" s="7" t="str">
        <f>IF(ISBLANK(patch[[#This Row],[project]]), "",COUNTIFS($A:$A,patch[[#This Row],[number]],$S:$S, "SH And dev",$AC:$AC, "Review-1"))</f>
        <v/>
      </c>
      <c r="Z869" s="7" t="str">
        <f>IF(ISBLANK(patch[[#This Row],[project]]), "",COUNTIFS($A:$A,patch[[#This Row],[number]],$S:$S, "BJ And dev",$AD:$AD, "&lt;&gt;IntegratorValidationComment"))</f>
        <v/>
      </c>
      <c r="AA869" s="7" t="str">
        <f>IF(ISBLANK(patch[[#This Row],[project]]), "",COUNTIFS($A:$A,patch[[#This Row],[number]],$S:$S, "FL And dev",$AD:$AD, "&lt;&gt;IntegratorValidationComment"))</f>
        <v/>
      </c>
      <c r="AB869" s="7" t="str">
        <f>IF(ISBLANK(patch[[#This Row],[project]]), "",COUNTIFS($A:$A,patch[[#This Row],[number]],$S:$S, "SH And dev",$AD:$AD, "&lt;&gt;IntegratorValidationComment"))</f>
        <v/>
      </c>
      <c r="AC869" s="7" t="str">
        <f>IF(OR(ISNUMBER(FIND("Review-1", patch[[#This Row],[comments]])), ISNUMBER(FIND("Approver-1", patch[[#This Row],[comments]]))), "Review-1", "")</f>
        <v/>
      </c>
      <c r="AD8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69" s="7">
        <f>IF(ISBLANK(patch[[#This Row],[number]]),AE868,patch[[#This Row],[ifCommon]])</f>
        <v>0</v>
      </c>
    </row>
    <row r="870" spans="1:31">
      <c r="A870" s="151">
        <v>146617</v>
      </c>
      <c r="B870" s="151"/>
      <c r="C870" s="151"/>
      <c r="D870" s="151"/>
      <c r="E870" s="151"/>
      <c r="F870" s="151"/>
      <c r="G870" s="151"/>
      <c r="H870" s="151"/>
      <c r="I870" s="151"/>
      <c r="J870" s="152">
        <v>42634.763495370367</v>
      </c>
      <c r="K870" s="151"/>
      <c r="L870" s="151" t="s">
        <v>677</v>
      </c>
      <c r="M870" s="152">
        <v>42633.744062500002</v>
      </c>
      <c r="N870" s="151" t="s">
        <v>40</v>
      </c>
      <c r="O870" s="151"/>
      <c r="P870" s="151"/>
      <c r="Q870" s="7" t="str">
        <f>IF(ISBLANK(patch[[#This Row],[OwnerEmail]]),Q869,patch[[#This Row],[OwnerEmail]])</f>
        <v>lipingx.xu@intel.com</v>
      </c>
      <c r="R870" s="7" t="str">
        <f>_xlfn.IFNA(VLOOKUP(patch[[#This Row],[tmp-owner.email]],OrgTree!$A:$K, 11, 0), "not ICG SWFW")</f>
        <v>BJ And dev</v>
      </c>
      <c r="S870" s="7" t="str">
        <f>IF(patch[[#This Row],[reviewer]]=patch[[#This Row],[tmp-owner.email]], "author", _xlfn.IFNA(VLOOKUP(patch[[#This Row],[reviewer]],OrgTree!$A:$K, 11, 0), "not ICG SWFW"))</f>
        <v>author</v>
      </c>
      <c r="T870" s="7" t="str">
        <f>IF(ISBLANK(patch[[#This Row],[mergeDate]]), "", MID(YEAR(patch[[#This Row],[mergeDate]]), 3,2)&amp;"'ww"&amp;WEEKNUM(patch[[#This Row],[mergeDate]]))</f>
        <v>16'ww39</v>
      </c>
      <c r="U870" s="7" t="str">
        <f>IF(ISBLANK(patch[[#This Row],[mergeDate]]), U869, MID(YEAR(patch[[#This Row],[mergeDate]]), 3,2)&amp;"'m"&amp;MONTH(patch[[#This Row],[mergeDate]]))</f>
        <v>16'm9</v>
      </c>
      <c r="V870" s="7" t="str">
        <f>IF(ISBLANK(patch[[#This Row],[project]]), "",SUM(patch[[#This Row],[BJ -1 num]:[SH -1 num]]))</f>
        <v/>
      </c>
      <c r="W870" s="7" t="str">
        <f>IF(ISBLANK(patch[[#This Row],[project]]), "",COUNTIFS($A:$A,patch[[#This Row],[number]],$S:$S, "BJ And dev",$AC:$AC, "Review-1"))</f>
        <v/>
      </c>
      <c r="X870" s="7" t="str">
        <f>IF(ISBLANK(patch[[#This Row],[project]]), "",COUNTIFS($A:$A,patch[[#This Row],[number]],$S:$S, "FL And dev",$AC:$AC, "Review-1"))</f>
        <v/>
      </c>
      <c r="Y870" s="7" t="str">
        <f>IF(ISBLANK(patch[[#This Row],[project]]), "",COUNTIFS($A:$A,patch[[#This Row],[number]],$S:$S, "SH And dev",$AC:$AC, "Review-1"))</f>
        <v/>
      </c>
      <c r="Z870" s="7" t="str">
        <f>IF(ISBLANK(patch[[#This Row],[project]]), "",COUNTIFS($A:$A,patch[[#This Row],[number]],$S:$S, "BJ And dev",$AD:$AD, "&lt;&gt;IntegratorValidationComment"))</f>
        <v/>
      </c>
      <c r="AA870" s="7" t="str">
        <f>IF(ISBLANK(patch[[#This Row],[project]]), "",COUNTIFS($A:$A,patch[[#This Row],[number]],$S:$S, "FL And dev",$AD:$AD, "&lt;&gt;IntegratorValidationComment"))</f>
        <v/>
      </c>
      <c r="AB870" s="7" t="str">
        <f>IF(ISBLANK(patch[[#This Row],[project]]), "",COUNTIFS($A:$A,patch[[#This Row],[number]],$S:$S, "SH And dev",$AD:$AD, "&lt;&gt;IntegratorValidationComment"))</f>
        <v/>
      </c>
      <c r="AC870" s="7" t="str">
        <f>IF(OR(ISNUMBER(FIND("Review-1", patch[[#This Row],[comments]])), ISNUMBER(FIND("Approver-1", patch[[#This Row],[comments]]))), "Review-1", "")</f>
        <v/>
      </c>
      <c r="AD8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70" s="7">
        <f>IF(ISBLANK(patch[[#This Row],[number]]),AE869,patch[[#This Row],[ifCommon]])</f>
        <v>0</v>
      </c>
    </row>
    <row r="871" spans="1:31">
      <c r="A871" s="151">
        <v>146617</v>
      </c>
      <c r="B871" s="151"/>
      <c r="C871" s="151"/>
      <c r="D871" s="151"/>
      <c r="E871" s="151"/>
      <c r="F871" s="151"/>
      <c r="G871" s="151"/>
      <c r="H871" s="151"/>
      <c r="I871" s="151"/>
      <c r="J871" s="152">
        <v>42634.763495370367</v>
      </c>
      <c r="K871" s="151"/>
      <c r="L871" s="151" t="s">
        <v>59</v>
      </c>
      <c r="M871" s="152">
        <v>42633.753391203703</v>
      </c>
      <c r="N871" s="151" t="s">
        <v>3033</v>
      </c>
      <c r="O871" s="151"/>
      <c r="P871" s="151"/>
      <c r="Q871" s="7" t="str">
        <f>IF(ISBLANK(patch[[#This Row],[OwnerEmail]]),Q870,patch[[#This Row],[OwnerEmail]])</f>
        <v>lipingx.xu@intel.com</v>
      </c>
      <c r="R871" s="7" t="str">
        <f>_xlfn.IFNA(VLOOKUP(patch[[#This Row],[tmp-owner.email]],OrgTree!$A:$K, 11, 0), "not ICG SWFW")</f>
        <v>BJ And dev</v>
      </c>
      <c r="S871" s="7" t="str">
        <f>IF(patch[[#This Row],[reviewer]]=patch[[#This Row],[tmp-owner.email]], "author", _xlfn.IFNA(VLOOKUP(patch[[#This Row],[reviewer]],OrgTree!$A:$K, 11, 0), "not ICG SWFW"))</f>
        <v>BJ And dev</v>
      </c>
      <c r="T871" s="7" t="str">
        <f>IF(ISBLANK(patch[[#This Row],[mergeDate]]), "", MID(YEAR(patch[[#This Row],[mergeDate]]), 3,2)&amp;"'ww"&amp;WEEKNUM(patch[[#This Row],[mergeDate]]))</f>
        <v>16'ww39</v>
      </c>
      <c r="U871" s="7" t="str">
        <f>IF(ISBLANK(patch[[#This Row],[mergeDate]]), U870, MID(YEAR(patch[[#This Row],[mergeDate]]), 3,2)&amp;"'m"&amp;MONTH(patch[[#This Row],[mergeDate]]))</f>
        <v>16'm9</v>
      </c>
      <c r="V871" s="7" t="str">
        <f>IF(ISBLANK(patch[[#This Row],[project]]), "",SUM(patch[[#This Row],[BJ -1 num]:[SH -1 num]]))</f>
        <v/>
      </c>
      <c r="W871" s="7" t="str">
        <f>IF(ISBLANK(patch[[#This Row],[project]]), "",COUNTIFS($A:$A,patch[[#This Row],[number]],$S:$S, "BJ And dev",$AC:$AC, "Review-1"))</f>
        <v/>
      </c>
      <c r="X871" s="7" t="str">
        <f>IF(ISBLANK(patch[[#This Row],[project]]), "",COUNTIFS($A:$A,patch[[#This Row],[number]],$S:$S, "FL And dev",$AC:$AC, "Review-1"))</f>
        <v/>
      </c>
      <c r="Y871" s="7" t="str">
        <f>IF(ISBLANK(patch[[#This Row],[project]]), "",COUNTIFS($A:$A,patch[[#This Row],[number]],$S:$S, "SH And dev",$AC:$AC, "Review-1"))</f>
        <v/>
      </c>
      <c r="Z871" s="7" t="str">
        <f>IF(ISBLANK(patch[[#This Row],[project]]), "",COUNTIFS($A:$A,patch[[#This Row],[number]],$S:$S, "BJ And dev",$AD:$AD, "&lt;&gt;IntegratorValidationComment"))</f>
        <v/>
      </c>
      <c r="AA871" s="7" t="str">
        <f>IF(ISBLANK(patch[[#This Row],[project]]), "",COUNTIFS($A:$A,patch[[#This Row],[number]],$S:$S, "FL And dev",$AD:$AD, "&lt;&gt;IntegratorValidationComment"))</f>
        <v/>
      </c>
      <c r="AB871" s="7" t="str">
        <f>IF(ISBLANK(patch[[#This Row],[project]]), "",COUNTIFS($A:$A,patch[[#This Row],[number]],$S:$S, "SH And dev",$AD:$AD, "&lt;&gt;IntegratorValidationComment"))</f>
        <v/>
      </c>
      <c r="AC871" s="7" t="str">
        <f>IF(OR(ISNUMBER(FIND("Review-1", patch[[#This Row],[comments]])), ISNUMBER(FIND("Approver-1", patch[[#This Row],[comments]]))), "Review-1", "")</f>
        <v/>
      </c>
      <c r="AD8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71" s="7">
        <f>IF(ISBLANK(patch[[#This Row],[number]]),AE870,patch[[#This Row],[ifCommon]])</f>
        <v>0</v>
      </c>
    </row>
    <row r="872" spans="1:31">
      <c r="A872" s="151">
        <v>146617</v>
      </c>
      <c r="B872" s="151"/>
      <c r="C872" s="151"/>
      <c r="D872" s="151"/>
      <c r="E872" s="151"/>
      <c r="F872" s="151"/>
      <c r="G872" s="151"/>
      <c r="H872" s="151"/>
      <c r="I872" s="151"/>
      <c r="J872" s="152">
        <v>42634.763495370367</v>
      </c>
      <c r="K872" s="151"/>
      <c r="L872" s="151" t="s">
        <v>59</v>
      </c>
      <c r="M872" s="152">
        <v>42633.759004629632</v>
      </c>
      <c r="N872" s="151" t="s">
        <v>1880</v>
      </c>
      <c r="O872" s="151"/>
      <c r="P872" s="151"/>
      <c r="Q872" s="7" t="str">
        <f>IF(ISBLANK(patch[[#This Row],[OwnerEmail]]),Q871,patch[[#This Row],[OwnerEmail]])</f>
        <v>lipingx.xu@intel.com</v>
      </c>
      <c r="R872" s="7" t="str">
        <f>_xlfn.IFNA(VLOOKUP(patch[[#This Row],[tmp-owner.email]],OrgTree!$A:$K, 11, 0), "not ICG SWFW")</f>
        <v>BJ And dev</v>
      </c>
      <c r="S872" s="7" t="str">
        <f>IF(patch[[#This Row],[reviewer]]=patch[[#This Row],[tmp-owner.email]], "author", _xlfn.IFNA(VLOOKUP(patch[[#This Row],[reviewer]],OrgTree!$A:$K, 11, 0), "not ICG SWFW"))</f>
        <v>BJ And dev</v>
      </c>
      <c r="T872" s="7" t="str">
        <f>IF(ISBLANK(patch[[#This Row],[mergeDate]]), "", MID(YEAR(patch[[#This Row],[mergeDate]]), 3,2)&amp;"'ww"&amp;WEEKNUM(patch[[#This Row],[mergeDate]]))</f>
        <v>16'ww39</v>
      </c>
      <c r="U872" s="7" t="str">
        <f>IF(ISBLANK(patch[[#This Row],[mergeDate]]), U871, MID(YEAR(patch[[#This Row],[mergeDate]]), 3,2)&amp;"'m"&amp;MONTH(patch[[#This Row],[mergeDate]]))</f>
        <v>16'm9</v>
      </c>
      <c r="V872" s="7" t="str">
        <f>IF(ISBLANK(patch[[#This Row],[project]]), "",SUM(patch[[#This Row],[BJ -1 num]:[SH -1 num]]))</f>
        <v/>
      </c>
      <c r="W872" s="7" t="str">
        <f>IF(ISBLANK(patch[[#This Row],[project]]), "",COUNTIFS($A:$A,patch[[#This Row],[number]],$S:$S, "BJ And dev",$AC:$AC, "Review-1"))</f>
        <v/>
      </c>
      <c r="X872" s="7" t="str">
        <f>IF(ISBLANK(patch[[#This Row],[project]]), "",COUNTIFS($A:$A,patch[[#This Row],[number]],$S:$S, "FL And dev",$AC:$AC, "Review-1"))</f>
        <v/>
      </c>
      <c r="Y872" s="7" t="str">
        <f>IF(ISBLANK(patch[[#This Row],[project]]), "",COUNTIFS($A:$A,patch[[#This Row],[number]],$S:$S, "SH And dev",$AC:$AC, "Review-1"))</f>
        <v/>
      </c>
      <c r="Z872" s="7" t="str">
        <f>IF(ISBLANK(patch[[#This Row],[project]]), "",COUNTIFS($A:$A,patch[[#This Row],[number]],$S:$S, "BJ And dev",$AD:$AD, "&lt;&gt;IntegratorValidationComment"))</f>
        <v/>
      </c>
      <c r="AA872" s="7" t="str">
        <f>IF(ISBLANK(patch[[#This Row],[project]]), "",COUNTIFS($A:$A,patch[[#This Row],[number]],$S:$S, "FL And dev",$AD:$AD, "&lt;&gt;IntegratorValidationComment"))</f>
        <v/>
      </c>
      <c r="AB872" s="7" t="str">
        <f>IF(ISBLANK(patch[[#This Row],[project]]), "",COUNTIFS($A:$A,patch[[#This Row],[number]],$S:$S, "SH And dev",$AD:$AD, "&lt;&gt;IntegratorValidationComment"))</f>
        <v/>
      </c>
      <c r="AC872" s="7" t="str">
        <f>IF(OR(ISNUMBER(FIND("Review-1", patch[[#This Row],[comments]])), ISNUMBER(FIND("Approver-1", patch[[#This Row],[comments]]))), "Review-1", "")</f>
        <v/>
      </c>
      <c r="AD8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72" s="7">
        <f>IF(ISBLANK(patch[[#This Row],[number]]),AE871,patch[[#This Row],[ifCommon]])</f>
        <v>0</v>
      </c>
    </row>
    <row r="873" spans="1:31">
      <c r="A873" s="151">
        <v>146617</v>
      </c>
      <c r="B873" s="151"/>
      <c r="C873" s="151"/>
      <c r="D873" s="151"/>
      <c r="E873" s="151"/>
      <c r="F873" s="151"/>
      <c r="G873" s="151"/>
      <c r="H873" s="151"/>
      <c r="I873" s="151"/>
      <c r="J873" s="152">
        <v>42634.763495370367</v>
      </c>
      <c r="K873" s="151"/>
      <c r="L873" s="151" t="s">
        <v>115</v>
      </c>
      <c r="M873" s="152">
        <v>42634.559976851851</v>
      </c>
      <c r="N873" s="151" t="s">
        <v>2494</v>
      </c>
      <c r="O873" s="151"/>
      <c r="P873" s="151"/>
      <c r="Q873" s="7" t="str">
        <f>IF(ISBLANK(patch[[#This Row],[OwnerEmail]]),Q872,patch[[#This Row],[OwnerEmail]])</f>
        <v>lipingx.xu@intel.com</v>
      </c>
      <c r="R873" s="7" t="str">
        <f>_xlfn.IFNA(VLOOKUP(patch[[#This Row],[tmp-owner.email]],OrgTree!$A:$K, 11, 0), "not ICG SWFW")</f>
        <v>BJ And dev</v>
      </c>
      <c r="S873" s="7" t="str">
        <f>IF(patch[[#This Row],[reviewer]]=patch[[#This Row],[tmp-owner.email]], "author", _xlfn.IFNA(VLOOKUP(patch[[#This Row],[reviewer]],OrgTree!$A:$K, 11, 0), "not ICG SWFW"))</f>
        <v>Val</v>
      </c>
      <c r="T873" s="7" t="str">
        <f>IF(ISBLANK(patch[[#This Row],[mergeDate]]), "", MID(YEAR(patch[[#This Row],[mergeDate]]), 3,2)&amp;"'ww"&amp;WEEKNUM(patch[[#This Row],[mergeDate]]))</f>
        <v>16'ww39</v>
      </c>
      <c r="U873" s="7" t="str">
        <f>IF(ISBLANK(patch[[#This Row],[mergeDate]]), U872, MID(YEAR(patch[[#This Row],[mergeDate]]), 3,2)&amp;"'m"&amp;MONTH(patch[[#This Row],[mergeDate]]))</f>
        <v>16'm9</v>
      </c>
      <c r="V873" s="7" t="str">
        <f>IF(ISBLANK(patch[[#This Row],[project]]), "",SUM(patch[[#This Row],[BJ -1 num]:[SH -1 num]]))</f>
        <v/>
      </c>
      <c r="W873" s="7" t="str">
        <f>IF(ISBLANK(patch[[#This Row],[project]]), "",COUNTIFS($A:$A,patch[[#This Row],[number]],$S:$S, "BJ And dev",$AC:$AC, "Review-1"))</f>
        <v/>
      </c>
      <c r="X873" s="7" t="str">
        <f>IF(ISBLANK(patch[[#This Row],[project]]), "",COUNTIFS($A:$A,patch[[#This Row],[number]],$S:$S, "FL And dev",$AC:$AC, "Review-1"))</f>
        <v/>
      </c>
      <c r="Y873" s="7" t="str">
        <f>IF(ISBLANK(patch[[#This Row],[project]]), "",COUNTIFS($A:$A,patch[[#This Row],[number]],$S:$S, "SH And dev",$AC:$AC, "Review-1"))</f>
        <v/>
      </c>
      <c r="Z873" s="7" t="str">
        <f>IF(ISBLANK(patch[[#This Row],[project]]), "",COUNTIFS($A:$A,patch[[#This Row],[number]],$S:$S, "BJ And dev",$AD:$AD, "&lt;&gt;IntegratorValidationComment"))</f>
        <v/>
      </c>
      <c r="AA873" s="7" t="str">
        <f>IF(ISBLANK(patch[[#This Row],[project]]), "",COUNTIFS($A:$A,patch[[#This Row],[number]],$S:$S, "FL And dev",$AD:$AD, "&lt;&gt;IntegratorValidationComment"))</f>
        <v/>
      </c>
      <c r="AB873" s="7" t="str">
        <f>IF(ISBLANK(patch[[#This Row],[project]]), "",COUNTIFS($A:$A,patch[[#This Row],[number]],$S:$S, "SH And dev",$AD:$AD, "&lt;&gt;IntegratorValidationComment"))</f>
        <v/>
      </c>
      <c r="AC873" s="7" t="str">
        <f>IF(OR(ISNUMBER(FIND("Review-1", patch[[#This Row],[comments]])), ISNUMBER(FIND("Approver-1", patch[[#This Row],[comments]]))), "Review-1", "")</f>
        <v/>
      </c>
      <c r="AD8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873" s="7">
        <f>IF(ISBLANK(patch[[#This Row],[number]]),AE872,patch[[#This Row],[ifCommon]])</f>
        <v>0</v>
      </c>
    </row>
    <row r="874" spans="1:31">
      <c r="A874" s="151">
        <v>146616</v>
      </c>
      <c r="B874" s="151" t="s">
        <v>2490</v>
      </c>
      <c r="C874" s="151" t="s">
        <v>2795</v>
      </c>
      <c r="D874" s="151" t="s">
        <v>3034</v>
      </c>
      <c r="E874" s="151" t="s">
        <v>677</v>
      </c>
      <c r="F874" s="151" t="s">
        <v>23</v>
      </c>
      <c r="G874" s="151" t="s">
        <v>3035</v>
      </c>
      <c r="H874" s="151" t="s">
        <v>3036</v>
      </c>
      <c r="I874" s="152">
        <v>42633.740081018521</v>
      </c>
      <c r="J874" s="152">
        <v>42634.763460648152</v>
      </c>
      <c r="K874" s="151" t="s">
        <v>2445</v>
      </c>
      <c r="L874" s="151" t="s">
        <v>677</v>
      </c>
      <c r="M874" s="152">
        <v>42633.740081018521</v>
      </c>
      <c r="N874" s="151" t="s">
        <v>25</v>
      </c>
      <c r="O874" s="151"/>
      <c r="P874" s="151" t="s">
        <v>2498</v>
      </c>
      <c r="Q874" s="7" t="str">
        <f>IF(ISBLANK(patch[[#This Row],[OwnerEmail]]),Q873,patch[[#This Row],[OwnerEmail]])</f>
        <v>lipingx.xu@intel.com</v>
      </c>
      <c r="R874" s="7" t="str">
        <f>_xlfn.IFNA(VLOOKUP(patch[[#This Row],[tmp-owner.email]],OrgTree!$A:$K, 11, 0), "not ICG SWFW")</f>
        <v>BJ And dev</v>
      </c>
      <c r="S874" s="7" t="str">
        <f>IF(patch[[#This Row],[reviewer]]=patch[[#This Row],[tmp-owner.email]], "author", _xlfn.IFNA(VLOOKUP(patch[[#This Row],[reviewer]],OrgTree!$A:$K, 11, 0), "not ICG SWFW"))</f>
        <v>author</v>
      </c>
      <c r="T874" s="7" t="str">
        <f>IF(ISBLANK(patch[[#This Row],[mergeDate]]), "", MID(YEAR(patch[[#This Row],[mergeDate]]), 3,2)&amp;"'ww"&amp;WEEKNUM(patch[[#This Row],[mergeDate]]))</f>
        <v>16'ww39</v>
      </c>
      <c r="U874" s="7" t="str">
        <f>IF(ISBLANK(patch[[#This Row],[mergeDate]]), U873, MID(YEAR(patch[[#This Row],[mergeDate]]), 3,2)&amp;"'m"&amp;MONTH(patch[[#This Row],[mergeDate]]))</f>
        <v>16'm9</v>
      </c>
      <c r="V874" s="7">
        <f>IF(ISBLANK(patch[[#This Row],[project]]), "",SUM(patch[[#This Row],[BJ -1 num]:[SH -1 num]]))</f>
        <v>0</v>
      </c>
      <c r="W874" s="7">
        <f>IF(ISBLANK(patch[[#This Row],[project]]), "",COUNTIFS($A:$A,patch[[#This Row],[number]],$S:$S, "BJ And dev",$AC:$AC, "Review-1"))</f>
        <v>0</v>
      </c>
      <c r="X874" s="7">
        <f>IF(ISBLANK(patch[[#This Row],[project]]), "",COUNTIFS($A:$A,patch[[#This Row],[number]],$S:$S, "FL And dev",$AC:$AC, "Review-1"))</f>
        <v>0</v>
      </c>
      <c r="Y874" s="7">
        <f>IF(ISBLANK(patch[[#This Row],[project]]), "",COUNTIFS($A:$A,patch[[#This Row],[number]],$S:$S, "SH And dev",$AC:$AC, "Review-1"))</f>
        <v>0</v>
      </c>
      <c r="Z874" s="7">
        <f>IF(ISBLANK(patch[[#This Row],[project]]), "",COUNTIFS($A:$A,patch[[#This Row],[number]],$S:$S, "BJ And dev",$AD:$AD, "&lt;&gt;IntegratorValidationComment"))</f>
        <v>3</v>
      </c>
      <c r="AA874" s="7">
        <f>IF(ISBLANK(patch[[#This Row],[project]]), "",COUNTIFS($A:$A,patch[[#This Row],[number]],$S:$S, "FL And dev",$AD:$AD, "&lt;&gt;IntegratorValidationComment"))</f>
        <v>0</v>
      </c>
      <c r="AB874" s="7">
        <f>IF(ISBLANK(patch[[#This Row],[project]]), "",COUNTIFS($A:$A,patch[[#This Row],[number]],$S:$S, "SH And dev",$AD:$AD, "&lt;&gt;IntegratorValidationComment"))</f>
        <v>0</v>
      </c>
      <c r="AC874" s="7" t="str">
        <f>IF(OR(ISNUMBER(FIND("Review-1", patch[[#This Row],[comments]])), ISNUMBER(FIND("Approver-1", patch[[#This Row],[comments]]))), "Review-1", "")</f>
        <v/>
      </c>
      <c r="AD8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74" s="7" t="str">
        <f>IF(ISBLANK(patch[[#This Row],[number]]),AE873,patch[[#This Row],[ifCommon]])</f>
        <v>not AndrHAL</v>
      </c>
    </row>
    <row r="875" spans="1:31">
      <c r="A875" s="151">
        <v>146616</v>
      </c>
      <c r="B875" s="151"/>
      <c r="C875" s="151"/>
      <c r="D875" s="151"/>
      <c r="E875" s="151"/>
      <c r="F875" s="151"/>
      <c r="G875" s="151"/>
      <c r="H875" s="151"/>
      <c r="I875" s="151"/>
      <c r="J875" s="152">
        <v>42634.763460648152</v>
      </c>
      <c r="K875" s="151"/>
      <c r="L875" s="151" t="s">
        <v>677</v>
      </c>
      <c r="M875" s="152">
        <v>42633.74019675926</v>
      </c>
      <c r="N875" s="151" t="s">
        <v>2428</v>
      </c>
      <c r="O875" s="151"/>
      <c r="P875" s="151"/>
      <c r="Q875" s="7" t="str">
        <f>IF(ISBLANK(patch[[#This Row],[OwnerEmail]]),Q874,patch[[#This Row],[OwnerEmail]])</f>
        <v>lipingx.xu@intel.com</v>
      </c>
      <c r="R875" s="7" t="str">
        <f>_xlfn.IFNA(VLOOKUP(patch[[#This Row],[tmp-owner.email]],OrgTree!$A:$K, 11, 0), "not ICG SWFW")</f>
        <v>BJ And dev</v>
      </c>
      <c r="S875" s="7" t="str">
        <f>IF(patch[[#This Row],[reviewer]]=patch[[#This Row],[tmp-owner.email]], "author", _xlfn.IFNA(VLOOKUP(patch[[#This Row],[reviewer]],OrgTree!$A:$K, 11, 0), "not ICG SWFW"))</f>
        <v>author</v>
      </c>
      <c r="T875" s="7" t="str">
        <f>IF(ISBLANK(patch[[#This Row],[mergeDate]]), "", MID(YEAR(patch[[#This Row],[mergeDate]]), 3,2)&amp;"'ww"&amp;WEEKNUM(patch[[#This Row],[mergeDate]]))</f>
        <v>16'ww39</v>
      </c>
      <c r="U875" s="7" t="str">
        <f>IF(ISBLANK(patch[[#This Row],[mergeDate]]), U874, MID(YEAR(patch[[#This Row],[mergeDate]]), 3,2)&amp;"'m"&amp;MONTH(patch[[#This Row],[mergeDate]]))</f>
        <v>16'm9</v>
      </c>
      <c r="V875" s="7" t="str">
        <f>IF(ISBLANK(patch[[#This Row],[project]]), "",SUM(patch[[#This Row],[BJ -1 num]:[SH -1 num]]))</f>
        <v/>
      </c>
      <c r="W875" s="7" t="str">
        <f>IF(ISBLANK(patch[[#This Row],[project]]), "",COUNTIFS($A:$A,patch[[#This Row],[number]],$S:$S, "BJ And dev",$AC:$AC, "Review-1"))</f>
        <v/>
      </c>
      <c r="X875" s="7" t="str">
        <f>IF(ISBLANK(patch[[#This Row],[project]]), "",COUNTIFS($A:$A,patch[[#This Row],[number]],$S:$S, "FL And dev",$AC:$AC, "Review-1"))</f>
        <v/>
      </c>
      <c r="Y875" s="7" t="str">
        <f>IF(ISBLANK(patch[[#This Row],[project]]), "",COUNTIFS($A:$A,patch[[#This Row],[number]],$S:$S, "SH And dev",$AC:$AC, "Review-1"))</f>
        <v/>
      </c>
      <c r="Z875" s="7" t="str">
        <f>IF(ISBLANK(patch[[#This Row],[project]]), "",COUNTIFS($A:$A,patch[[#This Row],[number]],$S:$S, "BJ And dev",$AD:$AD, "&lt;&gt;IntegratorValidationComment"))</f>
        <v/>
      </c>
      <c r="AA875" s="7" t="str">
        <f>IF(ISBLANK(patch[[#This Row],[project]]), "",COUNTIFS($A:$A,patch[[#This Row],[number]],$S:$S, "FL And dev",$AD:$AD, "&lt;&gt;IntegratorValidationComment"))</f>
        <v/>
      </c>
      <c r="AB875" s="7" t="str">
        <f>IF(ISBLANK(patch[[#This Row],[project]]), "",COUNTIFS($A:$A,patch[[#This Row],[number]],$S:$S, "SH And dev",$AD:$AD, "&lt;&gt;IntegratorValidationComment"))</f>
        <v/>
      </c>
      <c r="AC875" s="7" t="str">
        <f>IF(OR(ISNUMBER(FIND("Review-1", patch[[#This Row],[comments]])), ISNUMBER(FIND("Approver-1", patch[[#This Row],[comments]]))), "Review-1", "")</f>
        <v/>
      </c>
      <c r="AD8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75" s="7">
        <f>IF(ISBLANK(patch[[#This Row],[number]]),AE874,patch[[#This Row],[ifCommon]])</f>
        <v>0</v>
      </c>
    </row>
    <row r="876" spans="1:31">
      <c r="A876" s="151">
        <v>146616</v>
      </c>
      <c r="B876" s="151"/>
      <c r="C876" s="151"/>
      <c r="D876" s="151"/>
      <c r="E876" s="151"/>
      <c r="F876" s="151"/>
      <c r="G876" s="151"/>
      <c r="H876" s="151"/>
      <c r="I876" s="151"/>
      <c r="J876" s="152">
        <v>42634.763460648152</v>
      </c>
      <c r="K876" s="151"/>
      <c r="L876" s="151" t="s">
        <v>677</v>
      </c>
      <c r="M876" s="152">
        <v>42633.743969907409</v>
      </c>
      <c r="N876" s="151" t="s">
        <v>40</v>
      </c>
      <c r="O876" s="151"/>
      <c r="P876" s="151"/>
      <c r="Q876" s="7" t="str">
        <f>IF(ISBLANK(patch[[#This Row],[OwnerEmail]]),Q875,patch[[#This Row],[OwnerEmail]])</f>
        <v>lipingx.xu@intel.com</v>
      </c>
      <c r="R876" s="7" t="str">
        <f>_xlfn.IFNA(VLOOKUP(patch[[#This Row],[tmp-owner.email]],OrgTree!$A:$K, 11, 0), "not ICG SWFW")</f>
        <v>BJ And dev</v>
      </c>
      <c r="S876" s="7" t="str">
        <f>IF(patch[[#This Row],[reviewer]]=patch[[#This Row],[tmp-owner.email]], "author", _xlfn.IFNA(VLOOKUP(patch[[#This Row],[reviewer]],OrgTree!$A:$K, 11, 0), "not ICG SWFW"))</f>
        <v>author</v>
      </c>
      <c r="T876" s="7" t="str">
        <f>IF(ISBLANK(patch[[#This Row],[mergeDate]]), "", MID(YEAR(patch[[#This Row],[mergeDate]]), 3,2)&amp;"'ww"&amp;WEEKNUM(patch[[#This Row],[mergeDate]]))</f>
        <v>16'ww39</v>
      </c>
      <c r="U876" s="7" t="str">
        <f>IF(ISBLANK(patch[[#This Row],[mergeDate]]), U875, MID(YEAR(patch[[#This Row],[mergeDate]]), 3,2)&amp;"'m"&amp;MONTH(patch[[#This Row],[mergeDate]]))</f>
        <v>16'm9</v>
      </c>
      <c r="V876" s="7" t="str">
        <f>IF(ISBLANK(patch[[#This Row],[project]]), "",SUM(patch[[#This Row],[BJ -1 num]:[SH -1 num]]))</f>
        <v/>
      </c>
      <c r="W876" s="7" t="str">
        <f>IF(ISBLANK(patch[[#This Row],[project]]), "",COUNTIFS($A:$A,patch[[#This Row],[number]],$S:$S, "BJ And dev",$AC:$AC, "Review-1"))</f>
        <v/>
      </c>
      <c r="X876" s="7" t="str">
        <f>IF(ISBLANK(patch[[#This Row],[project]]), "",COUNTIFS($A:$A,patch[[#This Row],[number]],$S:$S, "FL And dev",$AC:$AC, "Review-1"))</f>
        <v/>
      </c>
      <c r="Y876" s="7" t="str">
        <f>IF(ISBLANK(patch[[#This Row],[project]]), "",COUNTIFS($A:$A,patch[[#This Row],[number]],$S:$S, "SH And dev",$AC:$AC, "Review-1"))</f>
        <v/>
      </c>
      <c r="Z876" s="7" t="str">
        <f>IF(ISBLANK(patch[[#This Row],[project]]), "",COUNTIFS($A:$A,patch[[#This Row],[number]],$S:$S, "BJ And dev",$AD:$AD, "&lt;&gt;IntegratorValidationComment"))</f>
        <v/>
      </c>
      <c r="AA876" s="7" t="str">
        <f>IF(ISBLANK(patch[[#This Row],[project]]), "",COUNTIFS($A:$A,patch[[#This Row],[number]],$S:$S, "FL And dev",$AD:$AD, "&lt;&gt;IntegratorValidationComment"))</f>
        <v/>
      </c>
      <c r="AB876" s="7" t="str">
        <f>IF(ISBLANK(patch[[#This Row],[project]]), "",COUNTIFS($A:$A,patch[[#This Row],[number]],$S:$S, "SH And dev",$AD:$AD, "&lt;&gt;IntegratorValidationComment"))</f>
        <v/>
      </c>
      <c r="AC876" s="7" t="str">
        <f>IF(OR(ISNUMBER(FIND("Review-1", patch[[#This Row],[comments]])), ISNUMBER(FIND("Approver-1", patch[[#This Row],[comments]]))), "Review-1", "")</f>
        <v/>
      </c>
      <c r="AD8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76" s="7">
        <f>IF(ISBLANK(patch[[#This Row],[number]]),AE875,patch[[#This Row],[ifCommon]])</f>
        <v>0</v>
      </c>
    </row>
    <row r="877" spans="1:31">
      <c r="A877" s="151">
        <v>146616</v>
      </c>
      <c r="B877" s="151"/>
      <c r="C877" s="151"/>
      <c r="D877" s="151"/>
      <c r="E877" s="151"/>
      <c r="F877" s="151"/>
      <c r="G877" s="151"/>
      <c r="H877" s="151"/>
      <c r="I877" s="151"/>
      <c r="J877" s="152">
        <v>42634.763460648152</v>
      </c>
      <c r="K877" s="151"/>
      <c r="L877" s="151" t="s">
        <v>59</v>
      </c>
      <c r="M877" s="152">
        <v>42633.752708333333</v>
      </c>
      <c r="N877" s="151" t="s">
        <v>3037</v>
      </c>
      <c r="O877" s="151"/>
      <c r="P877" s="151"/>
      <c r="Q877" s="7" t="str">
        <f>IF(ISBLANK(patch[[#This Row],[OwnerEmail]]),Q876,patch[[#This Row],[OwnerEmail]])</f>
        <v>lipingx.xu@intel.com</v>
      </c>
      <c r="R877" s="7" t="str">
        <f>_xlfn.IFNA(VLOOKUP(patch[[#This Row],[tmp-owner.email]],OrgTree!$A:$K, 11, 0), "not ICG SWFW")</f>
        <v>BJ And dev</v>
      </c>
      <c r="S877" s="7" t="str">
        <f>IF(patch[[#This Row],[reviewer]]=patch[[#This Row],[tmp-owner.email]], "author", _xlfn.IFNA(VLOOKUP(patch[[#This Row],[reviewer]],OrgTree!$A:$K, 11, 0), "not ICG SWFW"))</f>
        <v>BJ And dev</v>
      </c>
      <c r="T877" s="7" t="str">
        <f>IF(ISBLANK(patch[[#This Row],[mergeDate]]), "", MID(YEAR(patch[[#This Row],[mergeDate]]), 3,2)&amp;"'ww"&amp;WEEKNUM(patch[[#This Row],[mergeDate]]))</f>
        <v>16'ww39</v>
      </c>
      <c r="U877" s="7" t="str">
        <f>IF(ISBLANK(patch[[#This Row],[mergeDate]]), U876, MID(YEAR(patch[[#This Row],[mergeDate]]), 3,2)&amp;"'m"&amp;MONTH(patch[[#This Row],[mergeDate]]))</f>
        <v>16'm9</v>
      </c>
      <c r="V877" s="7" t="str">
        <f>IF(ISBLANK(patch[[#This Row],[project]]), "",SUM(patch[[#This Row],[BJ -1 num]:[SH -1 num]]))</f>
        <v/>
      </c>
      <c r="W877" s="7" t="str">
        <f>IF(ISBLANK(patch[[#This Row],[project]]), "",COUNTIFS($A:$A,patch[[#This Row],[number]],$S:$S, "BJ And dev",$AC:$AC, "Review-1"))</f>
        <v/>
      </c>
      <c r="X877" s="7" t="str">
        <f>IF(ISBLANK(patch[[#This Row],[project]]), "",COUNTIFS($A:$A,patch[[#This Row],[number]],$S:$S, "FL And dev",$AC:$AC, "Review-1"))</f>
        <v/>
      </c>
      <c r="Y877" s="7" t="str">
        <f>IF(ISBLANK(patch[[#This Row],[project]]), "",COUNTIFS($A:$A,patch[[#This Row],[number]],$S:$S, "SH And dev",$AC:$AC, "Review-1"))</f>
        <v/>
      </c>
      <c r="Z877" s="7" t="str">
        <f>IF(ISBLANK(patch[[#This Row],[project]]), "",COUNTIFS($A:$A,patch[[#This Row],[number]],$S:$S, "BJ And dev",$AD:$AD, "&lt;&gt;IntegratorValidationComment"))</f>
        <v/>
      </c>
      <c r="AA877" s="7" t="str">
        <f>IF(ISBLANK(patch[[#This Row],[project]]), "",COUNTIFS($A:$A,patch[[#This Row],[number]],$S:$S, "FL And dev",$AD:$AD, "&lt;&gt;IntegratorValidationComment"))</f>
        <v/>
      </c>
      <c r="AB877" s="7" t="str">
        <f>IF(ISBLANK(patch[[#This Row],[project]]), "",COUNTIFS($A:$A,patch[[#This Row],[number]],$S:$S, "SH And dev",$AD:$AD, "&lt;&gt;IntegratorValidationComment"))</f>
        <v/>
      </c>
      <c r="AC877" s="7" t="str">
        <f>IF(OR(ISNUMBER(FIND("Review-1", patch[[#This Row],[comments]])), ISNUMBER(FIND("Approver-1", patch[[#This Row],[comments]]))), "Review-1", "")</f>
        <v/>
      </c>
      <c r="AD8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77" s="7">
        <f>IF(ISBLANK(patch[[#This Row],[number]]),AE876,patch[[#This Row],[ifCommon]])</f>
        <v>0</v>
      </c>
    </row>
    <row r="878" spans="1:31">
      <c r="A878" s="151">
        <v>146616</v>
      </c>
      <c r="B878" s="151"/>
      <c r="C878" s="151"/>
      <c r="D878" s="151"/>
      <c r="E878" s="151"/>
      <c r="F878" s="151"/>
      <c r="G878" s="151"/>
      <c r="H878" s="151"/>
      <c r="I878" s="151"/>
      <c r="J878" s="152">
        <v>42634.763460648152</v>
      </c>
      <c r="K878" s="151"/>
      <c r="L878" s="151" t="s">
        <v>59</v>
      </c>
      <c r="M878" s="152">
        <v>42633.758946759262</v>
      </c>
      <c r="N878" s="151" t="s">
        <v>40</v>
      </c>
      <c r="O878" s="151"/>
      <c r="P878" s="151"/>
      <c r="Q878" s="7" t="str">
        <f>IF(ISBLANK(patch[[#This Row],[OwnerEmail]]),Q877,patch[[#This Row],[OwnerEmail]])</f>
        <v>lipingx.xu@intel.com</v>
      </c>
      <c r="R878" s="7" t="str">
        <f>_xlfn.IFNA(VLOOKUP(patch[[#This Row],[tmp-owner.email]],OrgTree!$A:$K, 11, 0), "not ICG SWFW")</f>
        <v>BJ And dev</v>
      </c>
      <c r="S878" s="7" t="str">
        <f>IF(patch[[#This Row],[reviewer]]=patch[[#This Row],[tmp-owner.email]], "author", _xlfn.IFNA(VLOOKUP(patch[[#This Row],[reviewer]],OrgTree!$A:$K, 11, 0), "not ICG SWFW"))</f>
        <v>BJ And dev</v>
      </c>
      <c r="T878" s="7" t="str">
        <f>IF(ISBLANK(patch[[#This Row],[mergeDate]]), "", MID(YEAR(patch[[#This Row],[mergeDate]]), 3,2)&amp;"'ww"&amp;WEEKNUM(patch[[#This Row],[mergeDate]]))</f>
        <v>16'ww39</v>
      </c>
      <c r="U878" s="7" t="str">
        <f>IF(ISBLANK(patch[[#This Row],[mergeDate]]), U877, MID(YEAR(patch[[#This Row],[mergeDate]]), 3,2)&amp;"'m"&amp;MONTH(patch[[#This Row],[mergeDate]]))</f>
        <v>16'm9</v>
      </c>
      <c r="V878" s="7" t="str">
        <f>IF(ISBLANK(patch[[#This Row],[project]]), "",SUM(patch[[#This Row],[BJ -1 num]:[SH -1 num]]))</f>
        <v/>
      </c>
      <c r="W878" s="7" t="str">
        <f>IF(ISBLANK(patch[[#This Row],[project]]), "",COUNTIFS($A:$A,patch[[#This Row],[number]],$S:$S, "BJ And dev",$AC:$AC, "Review-1"))</f>
        <v/>
      </c>
      <c r="X878" s="7" t="str">
        <f>IF(ISBLANK(patch[[#This Row],[project]]), "",COUNTIFS($A:$A,patch[[#This Row],[number]],$S:$S, "FL And dev",$AC:$AC, "Review-1"))</f>
        <v/>
      </c>
      <c r="Y878" s="7" t="str">
        <f>IF(ISBLANK(patch[[#This Row],[project]]), "",COUNTIFS($A:$A,patch[[#This Row],[number]],$S:$S, "SH And dev",$AC:$AC, "Review-1"))</f>
        <v/>
      </c>
      <c r="Z878" s="7" t="str">
        <f>IF(ISBLANK(patch[[#This Row],[project]]), "",COUNTIFS($A:$A,patch[[#This Row],[number]],$S:$S, "BJ And dev",$AD:$AD, "&lt;&gt;IntegratorValidationComment"))</f>
        <v/>
      </c>
      <c r="AA878" s="7" t="str">
        <f>IF(ISBLANK(patch[[#This Row],[project]]), "",COUNTIFS($A:$A,patch[[#This Row],[number]],$S:$S, "FL And dev",$AD:$AD, "&lt;&gt;IntegratorValidationComment"))</f>
        <v/>
      </c>
      <c r="AB878" s="7" t="str">
        <f>IF(ISBLANK(patch[[#This Row],[project]]), "",COUNTIFS($A:$A,patch[[#This Row],[number]],$S:$S, "SH And dev",$AD:$AD, "&lt;&gt;IntegratorValidationComment"))</f>
        <v/>
      </c>
      <c r="AC878" s="7" t="str">
        <f>IF(OR(ISNUMBER(FIND("Review-1", patch[[#This Row],[comments]])), ISNUMBER(FIND("Approver-1", patch[[#This Row],[comments]]))), "Review-1", "")</f>
        <v/>
      </c>
      <c r="AD8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78" s="7">
        <f>IF(ISBLANK(patch[[#This Row],[number]]),AE877,patch[[#This Row],[ifCommon]])</f>
        <v>0</v>
      </c>
    </row>
    <row r="879" spans="1:31">
      <c r="A879" s="151">
        <v>146616</v>
      </c>
      <c r="B879" s="151"/>
      <c r="C879" s="151"/>
      <c r="D879" s="151"/>
      <c r="E879" s="151"/>
      <c r="F879" s="151"/>
      <c r="G879" s="151"/>
      <c r="H879" s="151"/>
      <c r="I879" s="151"/>
      <c r="J879" s="152">
        <v>42634.763460648152</v>
      </c>
      <c r="K879" s="151"/>
      <c r="L879" s="151" t="s">
        <v>24</v>
      </c>
      <c r="M879" s="152">
        <v>42633.760671296302</v>
      </c>
      <c r="N879" s="151" t="s">
        <v>1880</v>
      </c>
      <c r="O879" s="151"/>
      <c r="P879" s="151"/>
      <c r="Q879" s="7" t="str">
        <f>IF(ISBLANK(patch[[#This Row],[OwnerEmail]]),Q878,patch[[#This Row],[OwnerEmail]])</f>
        <v>lipingx.xu@intel.com</v>
      </c>
      <c r="R879" s="7" t="str">
        <f>_xlfn.IFNA(VLOOKUP(patch[[#This Row],[tmp-owner.email]],OrgTree!$A:$K, 11, 0), "not ICG SWFW")</f>
        <v>BJ And dev</v>
      </c>
      <c r="S879" s="7" t="str">
        <f>IF(patch[[#This Row],[reviewer]]=patch[[#This Row],[tmp-owner.email]], "author", _xlfn.IFNA(VLOOKUP(patch[[#This Row],[reviewer]],OrgTree!$A:$K, 11, 0), "not ICG SWFW"))</f>
        <v>BJ And dev</v>
      </c>
      <c r="T879" s="7" t="str">
        <f>IF(ISBLANK(patch[[#This Row],[mergeDate]]), "", MID(YEAR(patch[[#This Row],[mergeDate]]), 3,2)&amp;"'ww"&amp;WEEKNUM(patch[[#This Row],[mergeDate]]))</f>
        <v>16'ww39</v>
      </c>
      <c r="U879" s="7" t="str">
        <f>IF(ISBLANK(patch[[#This Row],[mergeDate]]), U878, MID(YEAR(patch[[#This Row],[mergeDate]]), 3,2)&amp;"'m"&amp;MONTH(patch[[#This Row],[mergeDate]]))</f>
        <v>16'm9</v>
      </c>
      <c r="V879" s="7" t="str">
        <f>IF(ISBLANK(patch[[#This Row],[project]]), "",SUM(patch[[#This Row],[BJ -1 num]:[SH -1 num]]))</f>
        <v/>
      </c>
      <c r="W879" s="7" t="str">
        <f>IF(ISBLANK(patch[[#This Row],[project]]), "",COUNTIFS($A:$A,patch[[#This Row],[number]],$S:$S, "BJ And dev",$AC:$AC, "Review-1"))</f>
        <v/>
      </c>
      <c r="X879" s="7" t="str">
        <f>IF(ISBLANK(patch[[#This Row],[project]]), "",COUNTIFS($A:$A,patch[[#This Row],[number]],$S:$S, "FL And dev",$AC:$AC, "Review-1"))</f>
        <v/>
      </c>
      <c r="Y879" s="7" t="str">
        <f>IF(ISBLANK(patch[[#This Row],[project]]), "",COUNTIFS($A:$A,patch[[#This Row],[number]],$S:$S, "SH And dev",$AC:$AC, "Review-1"))</f>
        <v/>
      </c>
      <c r="Z879" s="7" t="str">
        <f>IF(ISBLANK(patch[[#This Row],[project]]), "",COUNTIFS($A:$A,patch[[#This Row],[number]],$S:$S, "BJ And dev",$AD:$AD, "&lt;&gt;IntegratorValidationComment"))</f>
        <v/>
      </c>
      <c r="AA879" s="7" t="str">
        <f>IF(ISBLANK(patch[[#This Row],[project]]), "",COUNTIFS($A:$A,patch[[#This Row],[number]],$S:$S, "FL And dev",$AD:$AD, "&lt;&gt;IntegratorValidationComment"))</f>
        <v/>
      </c>
      <c r="AB879" s="7" t="str">
        <f>IF(ISBLANK(patch[[#This Row],[project]]), "",COUNTIFS($A:$A,patch[[#This Row],[number]],$S:$S, "SH And dev",$AD:$AD, "&lt;&gt;IntegratorValidationComment"))</f>
        <v/>
      </c>
      <c r="AC879" s="7" t="str">
        <f>IF(OR(ISNUMBER(FIND("Review-1", patch[[#This Row],[comments]])), ISNUMBER(FIND("Approver-1", patch[[#This Row],[comments]]))), "Review-1", "")</f>
        <v/>
      </c>
      <c r="AD8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79" s="7">
        <f>IF(ISBLANK(patch[[#This Row],[number]]),AE878,patch[[#This Row],[ifCommon]])</f>
        <v>0</v>
      </c>
    </row>
    <row r="880" spans="1:31">
      <c r="A880" s="151">
        <v>146616</v>
      </c>
      <c r="B880" s="151"/>
      <c r="C880" s="151"/>
      <c r="D880" s="151"/>
      <c r="E880" s="151"/>
      <c r="F880" s="151"/>
      <c r="G880" s="151"/>
      <c r="H880" s="151"/>
      <c r="I880" s="151"/>
      <c r="J880" s="152">
        <v>42634.763460648152</v>
      </c>
      <c r="K880" s="151"/>
      <c r="L880" s="151" t="s">
        <v>115</v>
      </c>
      <c r="M880" s="152">
        <v>42634.560034722221</v>
      </c>
      <c r="N880" s="151" t="s">
        <v>2494</v>
      </c>
      <c r="O880" s="151"/>
      <c r="P880" s="151"/>
      <c r="Q880" s="7" t="str">
        <f>IF(ISBLANK(patch[[#This Row],[OwnerEmail]]),Q879,patch[[#This Row],[OwnerEmail]])</f>
        <v>lipingx.xu@intel.com</v>
      </c>
      <c r="R880" s="7" t="str">
        <f>_xlfn.IFNA(VLOOKUP(patch[[#This Row],[tmp-owner.email]],OrgTree!$A:$K, 11, 0), "not ICG SWFW")</f>
        <v>BJ And dev</v>
      </c>
      <c r="S880" s="7" t="str">
        <f>IF(patch[[#This Row],[reviewer]]=patch[[#This Row],[tmp-owner.email]], "author", _xlfn.IFNA(VLOOKUP(patch[[#This Row],[reviewer]],OrgTree!$A:$K, 11, 0), "not ICG SWFW"))</f>
        <v>Val</v>
      </c>
      <c r="T880" s="7" t="str">
        <f>IF(ISBLANK(patch[[#This Row],[mergeDate]]), "", MID(YEAR(patch[[#This Row],[mergeDate]]), 3,2)&amp;"'ww"&amp;WEEKNUM(patch[[#This Row],[mergeDate]]))</f>
        <v>16'ww39</v>
      </c>
      <c r="U880" s="7" t="str">
        <f>IF(ISBLANK(patch[[#This Row],[mergeDate]]), U879, MID(YEAR(patch[[#This Row],[mergeDate]]), 3,2)&amp;"'m"&amp;MONTH(patch[[#This Row],[mergeDate]]))</f>
        <v>16'm9</v>
      </c>
      <c r="V880" s="7" t="str">
        <f>IF(ISBLANK(patch[[#This Row],[project]]), "",SUM(patch[[#This Row],[BJ -1 num]:[SH -1 num]]))</f>
        <v/>
      </c>
      <c r="W880" s="7" t="str">
        <f>IF(ISBLANK(patch[[#This Row],[project]]), "",COUNTIFS($A:$A,patch[[#This Row],[number]],$S:$S, "BJ And dev",$AC:$AC, "Review-1"))</f>
        <v/>
      </c>
      <c r="X880" s="7" t="str">
        <f>IF(ISBLANK(patch[[#This Row],[project]]), "",COUNTIFS($A:$A,patch[[#This Row],[number]],$S:$S, "FL And dev",$AC:$AC, "Review-1"))</f>
        <v/>
      </c>
      <c r="Y880" s="7" t="str">
        <f>IF(ISBLANK(patch[[#This Row],[project]]), "",COUNTIFS($A:$A,patch[[#This Row],[number]],$S:$S, "SH And dev",$AC:$AC, "Review-1"))</f>
        <v/>
      </c>
      <c r="Z880" s="7" t="str">
        <f>IF(ISBLANK(patch[[#This Row],[project]]), "",COUNTIFS($A:$A,patch[[#This Row],[number]],$S:$S, "BJ And dev",$AD:$AD, "&lt;&gt;IntegratorValidationComment"))</f>
        <v/>
      </c>
      <c r="AA880" s="7" t="str">
        <f>IF(ISBLANK(patch[[#This Row],[project]]), "",COUNTIFS($A:$A,patch[[#This Row],[number]],$S:$S, "FL And dev",$AD:$AD, "&lt;&gt;IntegratorValidationComment"))</f>
        <v/>
      </c>
      <c r="AB880" s="7" t="str">
        <f>IF(ISBLANK(patch[[#This Row],[project]]), "",COUNTIFS($A:$A,patch[[#This Row],[number]],$S:$S, "SH And dev",$AD:$AD, "&lt;&gt;IntegratorValidationComment"))</f>
        <v/>
      </c>
      <c r="AC880" s="7" t="str">
        <f>IF(OR(ISNUMBER(FIND("Review-1", patch[[#This Row],[comments]])), ISNUMBER(FIND("Approver-1", patch[[#This Row],[comments]]))), "Review-1", "")</f>
        <v/>
      </c>
      <c r="AD8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880" s="7">
        <f>IF(ISBLANK(patch[[#This Row],[number]]),AE879,patch[[#This Row],[ifCommon]])</f>
        <v>0</v>
      </c>
    </row>
    <row r="881" spans="1:31">
      <c r="A881" s="151">
        <v>146615</v>
      </c>
      <c r="B881" s="151" t="s">
        <v>2490</v>
      </c>
      <c r="C881" s="151" t="s">
        <v>2795</v>
      </c>
      <c r="D881" s="151" t="s">
        <v>3038</v>
      </c>
      <c r="E881" s="151" t="s">
        <v>677</v>
      </c>
      <c r="F881" s="151" t="s">
        <v>23</v>
      </c>
      <c r="G881" s="151" t="s">
        <v>3039</v>
      </c>
      <c r="H881" s="151" t="s">
        <v>3040</v>
      </c>
      <c r="I881" s="152">
        <v>42633.740081018521</v>
      </c>
      <c r="J881" s="152">
        <v>42634.763368055559</v>
      </c>
      <c r="K881" s="151" t="s">
        <v>2445</v>
      </c>
      <c r="L881" s="151" t="s">
        <v>677</v>
      </c>
      <c r="M881" s="152">
        <v>42633.740081018521</v>
      </c>
      <c r="N881" s="151" t="s">
        <v>25</v>
      </c>
      <c r="O881" s="151"/>
      <c r="P881" s="151" t="s">
        <v>59</v>
      </c>
      <c r="Q881" s="7" t="str">
        <f>IF(ISBLANK(patch[[#This Row],[OwnerEmail]]),Q880,patch[[#This Row],[OwnerEmail]])</f>
        <v>lipingx.xu@intel.com</v>
      </c>
      <c r="R881" s="7" t="str">
        <f>_xlfn.IFNA(VLOOKUP(patch[[#This Row],[tmp-owner.email]],OrgTree!$A:$K, 11, 0), "not ICG SWFW")</f>
        <v>BJ And dev</v>
      </c>
      <c r="S881" s="7" t="str">
        <f>IF(patch[[#This Row],[reviewer]]=patch[[#This Row],[tmp-owner.email]], "author", _xlfn.IFNA(VLOOKUP(patch[[#This Row],[reviewer]],OrgTree!$A:$K, 11, 0), "not ICG SWFW"))</f>
        <v>author</v>
      </c>
      <c r="T881" s="7" t="str">
        <f>IF(ISBLANK(patch[[#This Row],[mergeDate]]), "", MID(YEAR(patch[[#This Row],[mergeDate]]), 3,2)&amp;"'ww"&amp;WEEKNUM(patch[[#This Row],[mergeDate]]))</f>
        <v>16'ww39</v>
      </c>
      <c r="U881" s="7" t="str">
        <f>IF(ISBLANK(patch[[#This Row],[mergeDate]]), U880, MID(YEAR(patch[[#This Row],[mergeDate]]), 3,2)&amp;"'m"&amp;MONTH(patch[[#This Row],[mergeDate]]))</f>
        <v>16'm9</v>
      </c>
      <c r="V881" s="7">
        <f>IF(ISBLANK(patch[[#This Row],[project]]), "",SUM(patch[[#This Row],[BJ -1 num]:[SH -1 num]]))</f>
        <v>0</v>
      </c>
      <c r="W881" s="7">
        <f>IF(ISBLANK(patch[[#This Row],[project]]), "",COUNTIFS($A:$A,patch[[#This Row],[number]],$S:$S, "BJ And dev",$AC:$AC, "Review-1"))</f>
        <v>0</v>
      </c>
      <c r="X881" s="7">
        <f>IF(ISBLANK(patch[[#This Row],[project]]), "",COUNTIFS($A:$A,patch[[#This Row],[number]],$S:$S, "FL And dev",$AC:$AC, "Review-1"))</f>
        <v>0</v>
      </c>
      <c r="Y881" s="7">
        <f>IF(ISBLANK(patch[[#This Row],[project]]), "",COUNTIFS($A:$A,patch[[#This Row],[number]],$S:$S, "SH And dev",$AC:$AC, "Review-1"))</f>
        <v>0</v>
      </c>
      <c r="Z881" s="7">
        <f>IF(ISBLANK(patch[[#This Row],[project]]), "",COUNTIFS($A:$A,patch[[#This Row],[number]],$S:$S, "BJ And dev",$AD:$AD, "&lt;&gt;IntegratorValidationComment"))</f>
        <v>2</v>
      </c>
      <c r="AA881" s="7">
        <f>IF(ISBLANK(patch[[#This Row],[project]]), "",COUNTIFS($A:$A,patch[[#This Row],[number]],$S:$S, "FL And dev",$AD:$AD, "&lt;&gt;IntegratorValidationComment"))</f>
        <v>0</v>
      </c>
      <c r="AB881" s="7">
        <f>IF(ISBLANK(patch[[#This Row],[project]]), "",COUNTIFS($A:$A,patch[[#This Row],[number]],$S:$S, "SH And dev",$AD:$AD, "&lt;&gt;IntegratorValidationComment"))</f>
        <v>0</v>
      </c>
      <c r="AC881" s="7" t="str">
        <f>IF(OR(ISNUMBER(FIND("Review-1", patch[[#This Row],[comments]])), ISNUMBER(FIND("Approver-1", patch[[#This Row],[comments]]))), "Review-1", "")</f>
        <v/>
      </c>
      <c r="AD8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81" s="7" t="str">
        <f>IF(ISBLANK(patch[[#This Row],[number]]),AE880,patch[[#This Row],[ifCommon]])</f>
        <v>not AndrHAL</v>
      </c>
    </row>
    <row r="882" spans="1:31">
      <c r="A882" s="151">
        <v>146615</v>
      </c>
      <c r="B882" s="151"/>
      <c r="C882" s="151"/>
      <c r="D882" s="151"/>
      <c r="E882" s="151"/>
      <c r="F882" s="151"/>
      <c r="G882" s="151"/>
      <c r="H882" s="151"/>
      <c r="I882" s="151"/>
      <c r="J882" s="152">
        <v>42634.763368055559</v>
      </c>
      <c r="K882" s="151"/>
      <c r="L882" s="151" t="s">
        <v>677</v>
      </c>
      <c r="M882" s="152">
        <v>42633.740185185183</v>
      </c>
      <c r="N882" s="151" t="s">
        <v>2428</v>
      </c>
      <c r="O882" s="151"/>
      <c r="P882" s="151"/>
      <c r="Q882" s="7" t="str">
        <f>IF(ISBLANK(patch[[#This Row],[OwnerEmail]]),Q881,patch[[#This Row],[OwnerEmail]])</f>
        <v>lipingx.xu@intel.com</v>
      </c>
      <c r="R882" s="7" t="str">
        <f>_xlfn.IFNA(VLOOKUP(patch[[#This Row],[tmp-owner.email]],OrgTree!$A:$K, 11, 0), "not ICG SWFW")</f>
        <v>BJ And dev</v>
      </c>
      <c r="S882" s="7" t="str">
        <f>IF(patch[[#This Row],[reviewer]]=patch[[#This Row],[tmp-owner.email]], "author", _xlfn.IFNA(VLOOKUP(patch[[#This Row],[reviewer]],OrgTree!$A:$K, 11, 0), "not ICG SWFW"))</f>
        <v>author</v>
      </c>
      <c r="T882" s="7" t="str">
        <f>IF(ISBLANK(patch[[#This Row],[mergeDate]]), "", MID(YEAR(patch[[#This Row],[mergeDate]]), 3,2)&amp;"'ww"&amp;WEEKNUM(patch[[#This Row],[mergeDate]]))</f>
        <v>16'ww39</v>
      </c>
      <c r="U882" s="7" t="str">
        <f>IF(ISBLANK(patch[[#This Row],[mergeDate]]), U881, MID(YEAR(patch[[#This Row],[mergeDate]]), 3,2)&amp;"'m"&amp;MONTH(patch[[#This Row],[mergeDate]]))</f>
        <v>16'm9</v>
      </c>
      <c r="V882" s="7" t="str">
        <f>IF(ISBLANK(patch[[#This Row],[project]]), "",SUM(patch[[#This Row],[BJ -1 num]:[SH -1 num]]))</f>
        <v/>
      </c>
      <c r="W882" s="7" t="str">
        <f>IF(ISBLANK(patch[[#This Row],[project]]), "",COUNTIFS($A:$A,patch[[#This Row],[number]],$S:$S, "BJ And dev",$AC:$AC, "Review-1"))</f>
        <v/>
      </c>
      <c r="X882" s="7" t="str">
        <f>IF(ISBLANK(patch[[#This Row],[project]]), "",COUNTIFS($A:$A,patch[[#This Row],[number]],$S:$S, "FL And dev",$AC:$AC, "Review-1"))</f>
        <v/>
      </c>
      <c r="Y882" s="7" t="str">
        <f>IF(ISBLANK(patch[[#This Row],[project]]), "",COUNTIFS($A:$A,patch[[#This Row],[number]],$S:$S, "SH And dev",$AC:$AC, "Review-1"))</f>
        <v/>
      </c>
      <c r="Z882" s="7" t="str">
        <f>IF(ISBLANK(patch[[#This Row],[project]]), "",COUNTIFS($A:$A,patch[[#This Row],[number]],$S:$S, "BJ And dev",$AD:$AD, "&lt;&gt;IntegratorValidationComment"))</f>
        <v/>
      </c>
      <c r="AA882" s="7" t="str">
        <f>IF(ISBLANK(patch[[#This Row],[project]]), "",COUNTIFS($A:$A,patch[[#This Row],[number]],$S:$S, "FL And dev",$AD:$AD, "&lt;&gt;IntegratorValidationComment"))</f>
        <v/>
      </c>
      <c r="AB882" s="7" t="str">
        <f>IF(ISBLANK(patch[[#This Row],[project]]), "",COUNTIFS($A:$A,patch[[#This Row],[number]],$S:$S, "SH And dev",$AD:$AD, "&lt;&gt;IntegratorValidationComment"))</f>
        <v/>
      </c>
      <c r="AC882" s="7" t="str">
        <f>IF(OR(ISNUMBER(FIND("Review-1", patch[[#This Row],[comments]])), ISNUMBER(FIND("Approver-1", patch[[#This Row],[comments]]))), "Review-1", "")</f>
        <v/>
      </c>
      <c r="AD8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82" s="7">
        <f>IF(ISBLANK(patch[[#This Row],[number]]),AE881,patch[[#This Row],[ifCommon]])</f>
        <v>0</v>
      </c>
    </row>
    <row r="883" spans="1:31">
      <c r="A883" s="151">
        <v>146615</v>
      </c>
      <c r="B883" s="151"/>
      <c r="C883" s="151"/>
      <c r="D883" s="151"/>
      <c r="E883" s="151"/>
      <c r="F883" s="151"/>
      <c r="G883" s="151"/>
      <c r="H883" s="151"/>
      <c r="I883" s="152"/>
      <c r="J883" s="152">
        <v>42634.763368055559</v>
      </c>
      <c r="K883" s="151"/>
      <c r="L883" s="151" t="s">
        <v>677</v>
      </c>
      <c r="M883" s="152">
        <v>42633.743888888886</v>
      </c>
      <c r="N883" s="151" t="s">
        <v>40</v>
      </c>
      <c r="O883" s="151"/>
      <c r="P883" s="151"/>
      <c r="Q883" s="7" t="str">
        <f>IF(ISBLANK(patch[[#This Row],[OwnerEmail]]),Q882,patch[[#This Row],[OwnerEmail]])</f>
        <v>lipingx.xu@intel.com</v>
      </c>
      <c r="R883" s="7" t="str">
        <f>_xlfn.IFNA(VLOOKUP(patch[[#This Row],[tmp-owner.email]],OrgTree!$A:$K, 11, 0), "not ICG SWFW")</f>
        <v>BJ And dev</v>
      </c>
      <c r="S883" s="7" t="str">
        <f>IF(patch[[#This Row],[reviewer]]=patch[[#This Row],[tmp-owner.email]], "author", _xlfn.IFNA(VLOOKUP(patch[[#This Row],[reviewer]],OrgTree!$A:$K, 11, 0), "not ICG SWFW"))</f>
        <v>author</v>
      </c>
      <c r="T883" s="7" t="str">
        <f>IF(ISBLANK(patch[[#This Row],[mergeDate]]), "", MID(YEAR(patch[[#This Row],[mergeDate]]), 3,2)&amp;"'ww"&amp;WEEKNUM(patch[[#This Row],[mergeDate]]))</f>
        <v>16'ww39</v>
      </c>
      <c r="U883" s="7" t="str">
        <f>IF(ISBLANK(patch[[#This Row],[mergeDate]]), U882, MID(YEAR(patch[[#This Row],[mergeDate]]), 3,2)&amp;"'m"&amp;MONTH(patch[[#This Row],[mergeDate]]))</f>
        <v>16'm9</v>
      </c>
      <c r="V883" s="7" t="str">
        <f>IF(ISBLANK(patch[[#This Row],[project]]), "",SUM(patch[[#This Row],[BJ -1 num]:[SH -1 num]]))</f>
        <v/>
      </c>
      <c r="W883" s="7" t="str">
        <f>IF(ISBLANK(patch[[#This Row],[project]]), "",COUNTIFS($A:$A,patch[[#This Row],[number]],$S:$S, "BJ And dev",$AC:$AC, "Review-1"))</f>
        <v/>
      </c>
      <c r="X883" s="7" t="str">
        <f>IF(ISBLANK(patch[[#This Row],[project]]), "",COUNTIFS($A:$A,patch[[#This Row],[number]],$S:$S, "FL And dev",$AC:$AC, "Review-1"))</f>
        <v/>
      </c>
      <c r="Y883" s="7" t="str">
        <f>IF(ISBLANK(patch[[#This Row],[project]]), "",COUNTIFS($A:$A,patch[[#This Row],[number]],$S:$S, "SH And dev",$AC:$AC, "Review-1"))</f>
        <v/>
      </c>
      <c r="Z883" s="7" t="str">
        <f>IF(ISBLANK(patch[[#This Row],[project]]), "",COUNTIFS($A:$A,patch[[#This Row],[number]],$S:$S, "BJ And dev",$AD:$AD, "&lt;&gt;IntegratorValidationComment"))</f>
        <v/>
      </c>
      <c r="AA883" s="7" t="str">
        <f>IF(ISBLANK(patch[[#This Row],[project]]), "",COUNTIFS($A:$A,patch[[#This Row],[number]],$S:$S, "FL And dev",$AD:$AD, "&lt;&gt;IntegratorValidationComment"))</f>
        <v/>
      </c>
      <c r="AB883" s="7" t="str">
        <f>IF(ISBLANK(patch[[#This Row],[project]]), "",COUNTIFS($A:$A,patch[[#This Row],[number]],$S:$S, "SH And dev",$AD:$AD, "&lt;&gt;IntegratorValidationComment"))</f>
        <v/>
      </c>
      <c r="AC883" s="7" t="str">
        <f>IF(OR(ISNUMBER(FIND("Review-1", patch[[#This Row],[comments]])), ISNUMBER(FIND("Approver-1", patch[[#This Row],[comments]]))), "Review-1", "")</f>
        <v/>
      </c>
      <c r="AD8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83" s="7">
        <f>IF(ISBLANK(patch[[#This Row],[number]]),AE882,patch[[#This Row],[ifCommon]])</f>
        <v>0</v>
      </c>
    </row>
    <row r="884" spans="1:31">
      <c r="A884" s="151">
        <v>146615</v>
      </c>
      <c r="B884" s="151"/>
      <c r="C884" s="151"/>
      <c r="D884" s="151"/>
      <c r="E884" s="151"/>
      <c r="F884" s="151"/>
      <c r="G884" s="151"/>
      <c r="H884" s="151"/>
      <c r="I884" s="151"/>
      <c r="J884" s="152">
        <v>42634.763368055559</v>
      </c>
      <c r="K884" s="151"/>
      <c r="L884" s="151" t="s">
        <v>59</v>
      </c>
      <c r="M884" s="152">
        <v>42633.757048611107</v>
      </c>
      <c r="N884" s="151" t="s">
        <v>3041</v>
      </c>
      <c r="O884" s="151"/>
      <c r="P884" s="151"/>
      <c r="Q884" s="7" t="str">
        <f>IF(ISBLANK(patch[[#This Row],[OwnerEmail]]),Q883,patch[[#This Row],[OwnerEmail]])</f>
        <v>lipingx.xu@intel.com</v>
      </c>
      <c r="R884" s="7" t="str">
        <f>_xlfn.IFNA(VLOOKUP(patch[[#This Row],[tmp-owner.email]],OrgTree!$A:$K, 11, 0), "not ICG SWFW")</f>
        <v>BJ And dev</v>
      </c>
      <c r="S884" s="7" t="str">
        <f>IF(patch[[#This Row],[reviewer]]=patch[[#This Row],[tmp-owner.email]], "author", _xlfn.IFNA(VLOOKUP(patch[[#This Row],[reviewer]],OrgTree!$A:$K, 11, 0), "not ICG SWFW"))</f>
        <v>BJ And dev</v>
      </c>
      <c r="T884" s="7" t="str">
        <f>IF(ISBLANK(patch[[#This Row],[mergeDate]]), "", MID(YEAR(patch[[#This Row],[mergeDate]]), 3,2)&amp;"'ww"&amp;WEEKNUM(patch[[#This Row],[mergeDate]]))</f>
        <v>16'ww39</v>
      </c>
      <c r="U884" s="7" t="str">
        <f>IF(ISBLANK(patch[[#This Row],[mergeDate]]), U883, MID(YEAR(patch[[#This Row],[mergeDate]]), 3,2)&amp;"'m"&amp;MONTH(patch[[#This Row],[mergeDate]]))</f>
        <v>16'm9</v>
      </c>
      <c r="V884" s="7" t="str">
        <f>IF(ISBLANK(patch[[#This Row],[project]]), "",SUM(patch[[#This Row],[BJ -1 num]:[SH -1 num]]))</f>
        <v/>
      </c>
      <c r="W884" s="7" t="str">
        <f>IF(ISBLANK(patch[[#This Row],[project]]), "",COUNTIFS($A:$A,patch[[#This Row],[number]],$S:$S, "BJ And dev",$AC:$AC, "Review-1"))</f>
        <v/>
      </c>
      <c r="X884" s="7" t="str">
        <f>IF(ISBLANK(patch[[#This Row],[project]]), "",COUNTIFS($A:$A,patch[[#This Row],[number]],$S:$S, "FL And dev",$AC:$AC, "Review-1"))</f>
        <v/>
      </c>
      <c r="Y884" s="7" t="str">
        <f>IF(ISBLANK(patch[[#This Row],[project]]), "",COUNTIFS($A:$A,patch[[#This Row],[number]],$S:$S, "SH And dev",$AC:$AC, "Review-1"))</f>
        <v/>
      </c>
      <c r="Z884" s="7" t="str">
        <f>IF(ISBLANK(patch[[#This Row],[project]]), "",COUNTIFS($A:$A,patch[[#This Row],[number]],$S:$S, "BJ And dev",$AD:$AD, "&lt;&gt;IntegratorValidationComment"))</f>
        <v/>
      </c>
      <c r="AA884" s="7" t="str">
        <f>IF(ISBLANK(patch[[#This Row],[project]]), "",COUNTIFS($A:$A,patch[[#This Row],[number]],$S:$S, "FL And dev",$AD:$AD, "&lt;&gt;IntegratorValidationComment"))</f>
        <v/>
      </c>
      <c r="AB884" s="7" t="str">
        <f>IF(ISBLANK(patch[[#This Row],[project]]), "",COUNTIFS($A:$A,patch[[#This Row],[number]],$S:$S, "SH And dev",$AD:$AD, "&lt;&gt;IntegratorValidationComment"))</f>
        <v/>
      </c>
      <c r="AC884" s="7" t="str">
        <f>IF(OR(ISNUMBER(FIND("Review-1", patch[[#This Row],[comments]])), ISNUMBER(FIND("Approver-1", patch[[#This Row],[comments]]))), "Review-1", "")</f>
        <v/>
      </c>
      <c r="AD8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84" s="7">
        <f>IF(ISBLANK(patch[[#This Row],[number]]),AE883,patch[[#This Row],[ifCommon]])</f>
        <v>0</v>
      </c>
    </row>
    <row r="885" spans="1:31">
      <c r="A885" s="151">
        <v>146615</v>
      </c>
      <c r="B885" s="151"/>
      <c r="C885" s="151"/>
      <c r="D885" s="151"/>
      <c r="E885" s="151"/>
      <c r="F885" s="151"/>
      <c r="G885" s="151"/>
      <c r="H885" s="151"/>
      <c r="I885" s="151"/>
      <c r="J885" s="152">
        <v>42634.763368055559</v>
      </c>
      <c r="K885" s="151"/>
      <c r="L885" s="151" t="s">
        <v>59</v>
      </c>
      <c r="M885" s="152">
        <v>42633.758888888893</v>
      </c>
      <c r="N885" s="151" t="s">
        <v>1880</v>
      </c>
      <c r="O885" s="151"/>
      <c r="P885" s="151"/>
      <c r="Q885" s="7" t="str">
        <f>IF(ISBLANK(patch[[#This Row],[OwnerEmail]]),Q884,patch[[#This Row],[OwnerEmail]])</f>
        <v>lipingx.xu@intel.com</v>
      </c>
      <c r="R885" s="7" t="str">
        <f>_xlfn.IFNA(VLOOKUP(patch[[#This Row],[tmp-owner.email]],OrgTree!$A:$K, 11, 0), "not ICG SWFW")</f>
        <v>BJ And dev</v>
      </c>
      <c r="S885" s="7" t="str">
        <f>IF(patch[[#This Row],[reviewer]]=patch[[#This Row],[tmp-owner.email]], "author", _xlfn.IFNA(VLOOKUP(patch[[#This Row],[reviewer]],OrgTree!$A:$K, 11, 0), "not ICG SWFW"))</f>
        <v>BJ And dev</v>
      </c>
      <c r="T885" s="7" t="str">
        <f>IF(ISBLANK(patch[[#This Row],[mergeDate]]), "", MID(YEAR(patch[[#This Row],[mergeDate]]), 3,2)&amp;"'ww"&amp;WEEKNUM(patch[[#This Row],[mergeDate]]))</f>
        <v>16'ww39</v>
      </c>
      <c r="U885" s="7" t="str">
        <f>IF(ISBLANK(patch[[#This Row],[mergeDate]]), U884, MID(YEAR(patch[[#This Row],[mergeDate]]), 3,2)&amp;"'m"&amp;MONTH(patch[[#This Row],[mergeDate]]))</f>
        <v>16'm9</v>
      </c>
      <c r="V885" s="7" t="str">
        <f>IF(ISBLANK(patch[[#This Row],[project]]), "",SUM(patch[[#This Row],[BJ -1 num]:[SH -1 num]]))</f>
        <v/>
      </c>
      <c r="W885" s="7" t="str">
        <f>IF(ISBLANK(patch[[#This Row],[project]]), "",COUNTIFS($A:$A,patch[[#This Row],[number]],$S:$S, "BJ And dev",$AC:$AC, "Review-1"))</f>
        <v/>
      </c>
      <c r="X885" s="7" t="str">
        <f>IF(ISBLANK(patch[[#This Row],[project]]), "",COUNTIFS($A:$A,patch[[#This Row],[number]],$S:$S, "FL And dev",$AC:$AC, "Review-1"))</f>
        <v/>
      </c>
      <c r="Y885" s="7" t="str">
        <f>IF(ISBLANK(patch[[#This Row],[project]]), "",COUNTIFS($A:$A,patch[[#This Row],[number]],$S:$S, "SH And dev",$AC:$AC, "Review-1"))</f>
        <v/>
      </c>
      <c r="Z885" s="7" t="str">
        <f>IF(ISBLANK(patch[[#This Row],[project]]), "",COUNTIFS($A:$A,patch[[#This Row],[number]],$S:$S, "BJ And dev",$AD:$AD, "&lt;&gt;IntegratorValidationComment"))</f>
        <v/>
      </c>
      <c r="AA885" s="7" t="str">
        <f>IF(ISBLANK(patch[[#This Row],[project]]), "",COUNTIFS($A:$A,patch[[#This Row],[number]],$S:$S, "FL And dev",$AD:$AD, "&lt;&gt;IntegratorValidationComment"))</f>
        <v/>
      </c>
      <c r="AB885" s="7" t="str">
        <f>IF(ISBLANK(patch[[#This Row],[project]]), "",COUNTIFS($A:$A,patch[[#This Row],[number]],$S:$S, "SH And dev",$AD:$AD, "&lt;&gt;IntegratorValidationComment"))</f>
        <v/>
      </c>
      <c r="AC885" s="7" t="str">
        <f>IF(OR(ISNUMBER(FIND("Review-1", patch[[#This Row],[comments]])), ISNUMBER(FIND("Approver-1", patch[[#This Row],[comments]]))), "Review-1", "")</f>
        <v/>
      </c>
      <c r="AD8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85" s="7">
        <f>IF(ISBLANK(patch[[#This Row],[number]]),AE884,patch[[#This Row],[ifCommon]])</f>
        <v>0</v>
      </c>
    </row>
    <row r="886" spans="1:31">
      <c r="A886" s="151">
        <v>146615</v>
      </c>
      <c r="B886" s="151"/>
      <c r="C886" s="151"/>
      <c r="D886" s="151"/>
      <c r="E886" s="151"/>
      <c r="F886" s="151"/>
      <c r="G886" s="151"/>
      <c r="H886" s="151"/>
      <c r="I886" s="151"/>
      <c r="J886" s="152">
        <v>42634.763368055559</v>
      </c>
      <c r="K886" s="151"/>
      <c r="L886" s="151" t="s">
        <v>115</v>
      </c>
      <c r="M886" s="152">
        <v>42634.560104166667</v>
      </c>
      <c r="N886" s="151" t="s">
        <v>2494</v>
      </c>
      <c r="O886" s="151"/>
      <c r="P886" s="151"/>
      <c r="Q886" s="7" t="str">
        <f>IF(ISBLANK(patch[[#This Row],[OwnerEmail]]),Q885,patch[[#This Row],[OwnerEmail]])</f>
        <v>lipingx.xu@intel.com</v>
      </c>
      <c r="R886" s="7" t="str">
        <f>_xlfn.IFNA(VLOOKUP(patch[[#This Row],[tmp-owner.email]],OrgTree!$A:$K, 11, 0), "not ICG SWFW")</f>
        <v>BJ And dev</v>
      </c>
      <c r="S886" s="7" t="str">
        <f>IF(patch[[#This Row],[reviewer]]=patch[[#This Row],[tmp-owner.email]], "author", _xlfn.IFNA(VLOOKUP(patch[[#This Row],[reviewer]],OrgTree!$A:$K, 11, 0), "not ICG SWFW"))</f>
        <v>Val</v>
      </c>
      <c r="T886" s="7" t="str">
        <f>IF(ISBLANK(patch[[#This Row],[mergeDate]]), "", MID(YEAR(patch[[#This Row],[mergeDate]]), 3,2)&amp;"'ww"&amp;WEEKNUM(patch[[#This Row],[mergeDate]]))</f>
        <v>16'ww39</v>
      </c>
      <c r="U886" s="7" t="str">
        <f>IF(ISBLANK(patch[[#This Row],[mergeDate]]), U885, MID(YEAR(patch[[#This Row],[mergeDate]]), 3,2)&amp;"'m"&amp;MONTH(patch[[#This Row],[mergeDate]]))</f>
        <v>16'm9</v>
      </c>
      <c r="V886" s="7" t="str">
        <f>IF(ISBLANK(patch[[#This Row],[project]]), "",SUM(patch[[#This Row],[BJ -1 num]:[SH -1 num]]))</f>
        <v/>
      </c>
      <c r="W886" s="7" t="str">
        <f>IF(ISBLANK(patch[[#This Row],[project]]), "",COUNTIFS($A:$A,patch[[#This Row],[number]],$S:$S, "BJ And dev",$AC:$AC, "Review-1"))</f>
        <v/>
      </c>
      <c r="X886" s="7" t="str">
        <f>IF(ISBLANK(patch[[#This Row],[project]]), "",COUNTIFS($A:$A,patch[[#This Row],[number]],$S:$S, "FL And dev",$AC:$AC, "Review-1"))</f>
        <v/>
      </c>
      <c r="Y886" s="7" t="str">
        <f>IF(ISBLANK(patch[[#This Row],[project]]), "",COUNTIFS($A:$A,patch[[#This Row],[number]],$S:$S, "SH And dev",$AC:$AC, "Review-1"))</f>
        <v/>
      </c>
      <c r="Z886" s="7" t="str">
        <f>IF(ISBLANK(patch[[#This Row],[project]]), "",COUNTIFS($A:$A,patch[[#This Row],[number]],$S:$S, "BJ And dev",$AD:$AD, "&lt;&gt;IntegratorValidationComment"))</f>
        <v/>
      </c>
      <c r="AA886" s="7" t="str">
        <f>IF(ISBLANK(patch[[#This Row],[project]]), "",COUNTIFS($A:$A,patch[[#This Row],[number]],$S:$S, "FL And dev",$AD:$AD, "&lt;&gt;IntegratorValidationComment"))</f>
        <v/>
      </c>
      <c r="AB886" s="7" t="str">
        <f>IF(ISBLANK(patch[[#This Row],[project]]), "",COUNTIFS($A:$A,patch[[#This Row],[number]],$S:$S, "SH And dev",$AD:$AD, "&lt;&gt;IntegratorValidationComment"))</f>
        <v/>
      </c>
      <c r="AC886" s="7" t="str">
        <f>IF(OR(ISNUMBER(FIND("Review-1", patch[[#This Row],[comments]])), ISNUMBER(FIND("Approver-1", patch[[#This Row],[comments]]))), "Review-1", "")</f>
        <v/>
      </c>
      <c r="AD8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886" s="7">
        <f>IF(ISBLANK(patch[[#This Row],[number]]),AE885,patch[[#This Row],[ifCommon]])</f>
        <v>0</v>
      </c>
    </row>
    <row r="887" spans="1:31">
      <c r="A887" s="151">
        <v>146614</v>
      </c>
      <c r="B887" s="151" t="s">
        <v>2490</v>
      </c>
      <c r="C887" s="151" t="s">
        <v>2795</v>
      </c>
      <c r="D887" s="151" t="s">
        <v>3042</v>
      </c>
      <c r="E887" s="151" t="s">
        <v>677</v>
      </c>
      <c r="F887" s="151" t="s">
        <v>23</v>
      </c>
      <c r="G887" s="151" t="s">
        <v>3043</v>
      </c>
      <c r="H887" s="151" t="s">
        <v>3044</v>
      </c>
      <c r="I887" s="152">
        <v>42633.740081018521</v>
      </c>
      <c r="J887" s="152">
        <v>42634.763321759259</v>
      </c>
      <c r="K887" s="151" t="s">
        <v>2445</v>
      </c>
      <c r="L887" s="151" t="s">
        <v>677</v>
      </c>
      <c r="M887" s="152">
        <v>42633.740081018521</v>
      </c>
      <c r="N887" s="151" t="s">
        <v>25</v>
      </c>
      <c r="O887" s="151"/>
      <c r="P887" s="151" t="s">
        <v>2498</v>
      </c>
      <c r="Q887" s="7" t="str">
        <f>IF(ISBLANK(patch[[#This Row],[OwnerEmail]]),Q886,patch[[#This Row],[OwnerEmail]])</f>
        <v>lipingx.xu@intel.com</v>
      </c>
      <c r="R887" s="7" t="str">
        <f>_xlfn.IFNA(VLOOKUP(patch[[#This Row],[tmp-owner.email]],OrgTree!$A:$K, 11, 0), "not ICG SWFW")</f>
        <v>BJ And dev</v>
      </c>
      <c r="S887" s="7" t="str">
        <f>IF(patch[[#This Row],[reviewer]]=patch[[#This Row],[tmp-owner.email]], "author", _xlfn.IFNA(VLOOKUP(patch[[#This Row],[reviewer]],OrgTree!$A:$K, 11, 0), "not ICG SWFW"))</f>
        <v>author</v>
      </c>
      <c r="T887" s="7" t="str">
        <f>IF(ISBLANK(patch[[#This Row],[mergeDate]]), "", MID(YEAR(patch[[#This Row],[mergeDate]]), 3,2)&amp;"'ww"&amp;WEEKNUM(patch[[#This Row],[mergeDate]]))</f>
        <v>16'ww39</v>
      </c>
      <c r="U887" s="7" t="str">
        <f>IF(ISBLANK(patch[[#This Row],[mergeDate]]), U886, MID(YEAR(patch[[#This Row],[mergeDate]]), 3,2)&amp;"'m"&amp;MONTH(patch[[#This Row],[mergeDate]]))</f>
        <v>16'm9</v>
      </c>
      <c r="V887" s="7">
        <f>IF(ISBLANK(patch[[#This Row],[project]]), "",SUM(patch[[#This Row],[BJ -1 num]:[SH -1 num]]))</f>
        <v>0</v>
      </c>
      <c r="W887" s="7">
        <f>IF(ISBLANK(patch[[#This Row],[project]]), "",COUNTIFS($A:$A,patch[[#This Row],[number]],$S:$S, "BJ And dev",$AC:$AC, "Review-1"))</f>
        <v>0</v>
      </c>
      <c r="X887" s="7">
        <f>IF(ISBLANK(patch[[#This Row],[project]]), "",COUNTIFS($A:$A,patch[[#This Row],[number]],$S:$S, "FL And dev",$AC:$AC, "Review-1"))</f>
        <v>0</v>
      </c>
      <c r="Y887" s="7">
        <f>IF(ISBLANK(patch[[#This Row],[project]]), "",COUNTIFS($A:$A,patch[[#This Row],[number]],$S:$S, "SH And dev",$AC:$AC, "Review-1"))</f>
        <v>0</v>
      </c>
      <c r="Z887" s="7">
        <f>IF(ISBLANK(patch[[#This Row],[project]]), "",COUNTIFS($A:$A,patch[[#This Row],[number]],$S:$S, "BJ And dev",$AD:$AD, "&lt;&gt;IntegratorValidationComment"))</f>
        <v>4</v>
      </c>
      <c r="AA887" s="7">
        <f>IF(ISBLANK(patch[[#This Row],[project]]), "",COUNTIFS($A:$A,patch[[#This Row],[number]],$S:$S, "FL And dev",$AD:$AD, "&lt;&gt;IntegratorValidationComment"))</f>
        <v>0</v>
      </c>
      <c r="AB887" s="7">
        <f>IF(ISBLANK(patch[[#This Row],[project]]), "",COUNTIFS($A:$A,patch[[#This Row],[number]],$S:$S, "SH And dev",$AD:$AD, "&lt;&gt;IntegratorValidationComment"))</f>
        <v>0</v>
      </c>
      <c r="AC887" s="7" t="str">
        <f>IF(OR(ISNUMBER(FIND("Review-1", patch[[#This Row],[comments]])), ISNUMBER(FIND("Approver-1", patch[[#This Row],[comments]]))), "Review-1", "")</f>
        <v/>
      </c>
      <c r="AD8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87" s="7" t="str">
        <f>IF(ISBLANK(patch[[#This Row],[number]]),AE886,patch[[#This Row],[ifCommon]])</f>
        <v>not AndrHAL</v>
      </c>
    </row>
    <row r="888" spans="1:31">
      <c r="A888" s="151">
        <v>146614</v>
      </c>
      <c r="B888" s="151"/>
      <c r="C888" s="151"/>
      <c r="D888" s="151"/>
      <c r="E888" s="151"/>
      <c r="F888" s="151"/>
      <c r="G888" s="151"/>
      <c r="H888" s="151"/>
      <c r="I888" s="151"/>
      <c r="J888" s="152">
        <v>42634.763321759259</v>
      </c>
      <c r="K888" s="151"/>
      <c r="L888" s="151" t="s">
        <v>677</v>
      </c>
      <c r="M888" s="152">
        <v>42633.740185185183</v>
      </c>
      <c r="N888" s="151" t="s">
        <v>2428</v>
      </c>
      <c r="O888" s="151"/>
      <c r="P888" s="151"/>
      <c r="Q888" s="7" t="str">
        <f>IF(ISBLANK(patch[[#This Row],[OwnerEmail]]),Q887,patch[[#This Row],[OwnerEmail]])</f>
        <v>lipingx.xu@intel.com</v>
      </c>
      <c r="R888" s="7" t="str">
        <f>_xlfn.IFNA(VLOOKUP(patch[[#This Row],[tmp-owner.email]],OrgTree!$A:$K, 11, 0), "not ICG SWFW")</f>
        <v>BJ And dev</v>
      </c>
      <c r="S888" s="7" t="str">
        <f>IF(patch[[#This Row],[reviewer]]=patch[[#This Row],[tmp-owner.email]], "author", _xlfn.IFNA(VLOOKUP(patch[[#This Row],[reviewer]],OrgTree!$A:$K, 11, 0), "not ICG SWFW"))</f>
        <v>author</v>
      </c>
      <c r="T888" s="7" t="str">
        <f>IF(ISBLANK(patch[[#This Row],[mergeDate]]), "", MID(YEAR(patch[[#This Row],[mergeDate]]), 3,2)&amp;"'ww"&amp;WEEKNUM(patch[[#This Row],[mergeDate]]))</f>
        <v>16'ww39</v>
      </c>
      <c r="U888" s="7" t="str">
        <f>IF(ISBLANK(patch[[#This Row],[mergeDate]]), U887, MID(YEAR(patch[[#This Row],[mergeDate]]), 3,2)&amp;"'m"&amp;MONTH(patch[[#This Row],[mergeDate]]))</f>
        <v>16'm9</v>
      </c>
      <c r="V888" s="7" t="str">
        <f>IF(ISBLANK(patch[[#This Row],[project]]), "",SUM(patch[[#This Row],[BJ -1 num]:[SH -1 num]]))</f>
        <v/>
      </c>
      <c r="W888" s="7" t="str">
        <f>IF(ISBLANK(patch[[#This Row],[project]]), "",COUNTIFS($A:$A,patch[[#This Row],[number]],$S:$S, "BJ And dev",$AC:$AC, "Review-1"))</f>
        <v/>
      </c>
      <c r="X888" s="7" t="str">
        <f>IF(ISBLANK(patch[[#This Row],[project]]), "",COUNTIFS($A:$A,patch[[#This Row],[number]],$S:$S, "FL And dev",$AC:$AC, "Review-1"))</f>
        <v/>
      </c>
      <c r="Y888" s="7" t="str">
        <f>IF(ISBLANK(patch[[#This Row],[project]]), "",COUNTIFS($A:$A,patch[[#This Row],[number]],$S:$S, "SH And dev",$AC:$AC, "Review-1"))</f>
        <v/>
      </c>
      <c r="Z888" s="7" t="str">
        <f>IF(ISBLANK(patch[[#This Row],[project]]), "",COUNTIFS($A:$A,patch[[#This Row],[number]],$S:$S, "BJ And dev",$AD:$AD, "&lt;&gt;IntegratorValidationComment"))</f>
        <v/>
      </c>
      <c r="AA888" s="7" t="str">
        <f>IF(ISBLANK(patch[[#This Row],[project]]), "",COUNTIFS($A:$A,patch[[#This Row],[number]],$S:$S, "FL And dev",$AD:$AD, "&lt;&gt;IntegratorValidationComment"))</f>
        <v/>
      </c>
      <c r="AB888" s="7" t="str">
        <f>IF(ISBLANK(patch[[#This Row],[project]]), "",COUNTIFS($A:$A,patch[[#This Row],[number]],$S:$S, "SH And dev",$AD:$AD, "&lt;&gt;IntegratorValidationComment"))</f>
        <v/>
      </c>
      <c r="AC888" s="7" t="str">
        <f>IF(OR(ISNUMBER(FIND("Review-1", patch[[#This Row],[comments]])), ISNUMBER(FIND("Approver-1", patch[[#This Row],[comments]]))), "Review-1", "")</f>
        <v/>
      </c>
      <c r="AD8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88" s="7">
        <f>IF(ISBLANK(patch[[#This Row],[number]]),AE887,patch[[#This Row],[ifCommon]])</f>
        <v>0</v>
      </c>
    </row>
    <row r="889" spans="1:31">
      <c r="A889" s="151">
        <v>146614</v>
      </c>
      <c r="B889" s="151"/>
      <c r="C889" s="151"/>
      <c r="D889" s="151"/>
      <c r="E889" s="151"/>
      <c r="F889" s="151"/>
      <c r="G889" s="151"/>
      <c r="H889" s="151"/>
      <c r="I889" s="151"/>
      <c r="J889" s="152">
        <v>42634.763321759259</v>
      </c>
      <c r="K889" s="151"/>
      <c r="L889" s="151" t="s">
        <v>677</v>
      </c>
      <c r="M889" s="152">
        <v>42633.743784722217</v>
      </c>
      <c r="N889" s="151" t="s">
        <v>40</v>
      </c>
      <c r="O889" s="151"/>
      <c r="P889" s="151"/>
      <c r="Q889" s="7" t="str">
        <f>IF(ISBLANK(patch[[#This Row],[OwnerEmail]]),Q888,patch[[#This Row],[OwnerEmail]])</f>
        <v>lipingx.xu@intel.com</v>
      </c>
      <c r="R889" s="7" t="str">
        <f>_xlfn.IFNA(VLOOKUP(patch[[#This Row],[tmp-owner.email]],OrgTree!$A:$K, 11, 0), "not ICG SWFW")</f>
        <v>BJ And dev</v>
      </c>
      <c r="S889" s="7" t="str">
        <f>IF(patch[[#This Row],[reviewer]]=patch[[#This Row],[tmp-owner.email]], "author", _xlfn.IFNA(VLOOKUP(patch[[#This Row],[reviewer]],OrgTree!$A:$K, 11, 0), "not ICG SWFW"))</f>
        <v>author</v>
      </c>
      <c r="T889" s="7" t="str">
        <f>IF(ISBLANK(patch[[#This Row],[mergeDate]]), "", MID(YEAR(patch[[#This Row],[mergeDate]]), 3,2)&amp;"'ww"&amp;WEEKNUM(patch[[#This Row],[mergeDate]]))</f>
        <v>16'ww39</v>
      </c>
      <c r="U889" s="7" t="str">
        <f>IF(ISBLANK(patch[[#This Row],[mergeDate]]), U888, MID(YEAR(patch[[#This Row],[mergeDate]]), 3,2)&amp;"'m"&amp;MONTH(patch[[#This Row],[mergeDate]]))</f>
        <v>16'm9</v>
      </c>
      <c r="V889" s="7" t="str">
        <f>IF(ISBLANK(patch[[#This Row],[project]]), "",SUM(patch[[#This Row],[BJ -1 num]:[SH -1 num]]))</f>
        <v/>
      </c>
      <c r="W889" s="7" t="str">
        <f>IF(ISBLANK(patch[[#This Row],[project]]), "",COUNTIFS($A:$A,patch[[#This Row],[number]],$S:$S, "BJ And dev",$AC:$AC, "Review-1"))</f>
        <v/>
      </c>
      <c r="X889" s="7" t="str">
        <f>IF(ISBLANK(patch[[#This Row],[project]]), "",COUNTIFS($A:$A,patch[[#This Row],[number]],$S:$S, "FL And dev",$AC:$AC, "Review-1"))</f>
        <v/>
      </c>
      <c r="Y889" s="7" t="str">
        <f>IF(ISBLANK(patch[[#This Row],[project]]), "",COUNTIFS($A:$A,patch[[#This Row],[number]],$S:$S, "SH And dev",$AC:$AC, "Review-1"))</f>
        <v/>
      </c>
      <c r="Z889" s="7" t="str">
        <f>IF(ISBLANK(patch[[#This Row],[project]]), "",COUNTIFS($A:$A,patch[[#This Row],[number]],$S:$S, "BJ And dev",$AD:$AD, "&lt;&gt;IntegratorValidationComment"))</f>
        <v/>
      </c>
      <c r="AA889" s="7" t="str">
        <f>IF(ISBLANK(patch[[#This Row],[project]]), "",COUNTIFS($A:$A,patch[[#This Row],[number]],$S:$S, "FL And dev",$AD:$AD, "&lt;&gt;IntegratorValidationComment"))</f>
        <v/>
      </c>
      <c r="AB889" s="7" t="str">
        <f>IF(ISBLANK(patch[[#This Row],[project]]), "",COUNTIFS($A:$A,patch[[#This Row],[number]],$S:$S, "SH And dev",$AD:$AD, "&lt;&gt;IntegratorValidationComment"))</f>
        <v/>
      </c>
      <c r="AC889" s="7" t="str">
        <f>IF(OR(ISNUMBER(FIND("Review-1", patch[[#This Row],[comments]])), ISNUMBER(FIND("Approver-1", patch[[#This Row],[comments]]))), "Review-1", "")</f>
        <v/>
      </c>
      <c r="AD8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89" s="7">
        <f>IF(ISBLANK(patch[[#This Row],[number]]),AE888,patch[[#This Row],[ifCommon]])</f>
        <v>0</v>
      </c>
    </row>
    <row r="890" spans="1:31">
      <c r="A890" s="151">
        <v>146614</v>
      </c>
      <c r="B890" s="151"/>
      <c r="C890" s="151"/>
      <c r="D890" s="151"/>
      <c r="E890" s="151"/>
      <c r="F890" s="151"/>
      <c r="G890" s="151"/>
      <c r="H890" s="151"/>
      <c r="I890" s="152"/>
      <c r="J890" s="152">
        <v>42634.763321759259</v>
      </c>
      <c r="K890" s="151"/>
      <c r="L890" s="151" t="s">
        <v>59</v>
      </c>
      <c r="M890" s="152">
        <v>42633.757037037038</v>
      </c>
      <c r="N890" s="151" t="s">
        <v>3045</v>
      </c>
      <c r="O890" s="151"/>
      <c r="P890" s="151"/>
      <c r="Q890" s="7" t="str">
        <f>IF(ISBLANK(patch[[#This Row],[OwnerEmail]]),Q889,patch[[#This Row],[OwnerEmail]])</f>
        <v>lipingx.xu@intel.com</v>
      </c>
      <c r="R890" s="7" t="str">
        <f>_xlfn.IFNA(VLOOKUP(patch[[#This Row],[tmp-owner.email]],OrgTree!$A:$K, 11, 0), "not ICG SWFW")</f>
        <v>BJ And dev</v>
      </c>
      <c r="S890" s="7" t="str">
        <f>IF(patch[[#This Row],[reviewer]]=patch[[#This Row],[tmp-owner.email]], "author", _xlfn.IFNA(VLOOKUP(patch[[#This Row],[reviewer]],OrgTree!$A:$K, 11, 0), "not ICG SWFW"))</f>
        <v>BJ And dev</v>
      </c>
      <c r="T890" s="7" t="str">
        <f>IF(ISBLANK(patch[[#This Row],[mergeDate]]), "", MID(YEAR(patch[[#This Row],[mergeDate]]), 3,2)&amp;"'ww"&amp;WEEKNUM(patch[[#This Row],[mergeDate]]))</f>
        <v>16'ww39</v>
      </c>
      <c r="U890" s="7" t="str">
        <f>IF(ISBLANK(patch[[#This Row],[mergeDate]]), U889, MID(YEAR(patch[[#This Row],[mergeDate]]), 3,2)&amp;"'m"&amp;MONTH(patch[[#This Row],[mergeDate]]))</f>
        <v>16'm9</v>
      </c>
      <c r="V890" s="7" t="str">
        <f>IF(ISBLANK(patch[[#This Row],[project]]), "",SUM(patch[[#This Row],[BJ -1 num]:[SH -1 num]]))</f>
        <v/>
      </c>
      <c r="W890" s="7" t="str">
        <f>IF(ISBLANK(patch[[#This Row],[project]]), "",COUNTIFS($A:$A,patch[[#This Row],[number]],$S:$S, "BJ And dev",$AC:$AC, "Review-1"))</f>
        <v/>
      </c>
      <c r="X890" s="7" t="str">
        <f>IF(ISBLANK(patch[[#This Row],[project]]), "",COUNTIFS($A:$A,patch[[#This Row],[number]],$S:$S, "FL And dev",$AC:$AC, "Review-1"))</f>
        <v/>
      </c>
      <c r="Y890" s="7" t="str">
        <f>IF(ISBLANK(patch[[#This Row],[project]]), "",COUNTIFS($A:$A,patch[[#This Row],[number]],$S:$S, "SH And dev",$AC:$AC, "Review-1"))</f>
        <v/>
      </c>
      <c r="Z890" s="7" t="str">
        <f>IF(ISBLANK(patch[[#This Row],[project]]), "",COUNTIFS($A:$A,patch[[#This Row],[number]],$S:$S, "BJ And dev",$AD:$AD, "&lt;&gt;IntegratorValidationComment"))</f>
        <v/>
      </c>
      <c r="AA890" s="7" t="str">
        <f>IF(ISBLANK(patch[[#This Row],[project]]), "",COUNTIFS($A:$A,patch[[#This Row],[number]],$S:$S, "FL And dev",$AD:$AD, "&lt;&gt;IntegratorValidationComment"))</f>
        <v/>
      </c>
      <c r="AB890" s="7" t="str">
        <f>IF(ISBLANK(patch[[#This Row],[project]]), "",COUNTIFS($A:$A,patch[[#This Row],[number]],$S:$S, "SH And dev",$AD:$AD, "&lt;&gt;IntegratorValidationComment"))</f>
        <v/>
      </c>
      <c r="AC890" s="7" t="str">
        <f>IF(OR(ISNUMBER(FIND("Review-1", patch[[#This Row],[comments]])), ISNUMBER(FIND("Approver-1", patch[[#This Row],[comments]]))), "Review-1", "")</f>
        <v/>
      </c>
      <c r="AD8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90" s="7">
        <f>IF(ISBLANK(patch[[#This Row],[number]]),AE889,patch[[#This Row],[ifCommon]])</f>
        <v>0</v>
      </c>
    </row>
    <row r="891" spans="1:31">
      <c r="A891" s="151">
        <v>146614</v>
      </c>
      <c r="B891" s="151"/>
      <c r="C891" s="151"/>
      <c r="D891" s="151"/>
      <c r="E891" s="151"/>
      <c r="F891" s="151"/>
      <c r="G891" s="151"/>
      <c r="H891" s="151"/>
      <c r="I891" s="151"/>
      <c r="J891" s="152">
        <v>42634.763321759259</v>
      </c>
      <c r="K891" s="151"/>
      <c r="L891" s="151" t="s">
        <v>59</v>
      </c>
      <c r="M891" s="152">
        <v>42633.758761574078</v>
      </c>
      <c r="N891" s="151" t="s">
        <v>1880</v>
      </c>
      <c r="O891" s="151"/>
      <c r="P891" s="151"/>
      <c r="Q891" s="7" t="str">
        <f>IF(ISBLANK(patch[[#This Row],[OwnerEmail]]),Q890,patch[[#This Row],[OwnerEmail]])</f>
        <v>lipingx.xu@intel.com</v>
      </c>
      <c r="R891" s="7" t="str">
        <f>_xlfn.IFNA(VLOOKUP(patch[[#This Row],[tmp-owner.email]],OrgTree!$A:$K, 11, 0), "not ICG SWFW")</f>
        <v>BJ And dev</v>
      </c>
      <c r="S891" s="7" t="str">
        <f>IF(patch[[#This Row],[reviewer]]=patch[[#This Row],[tmp-owner.email]], "author", _xlfn.IFNA(VLOOKUP(patch[[#This Row],[reviewer]],OrgTree!$A:$K, 11, 0), "not ICG SWFW"))</f>
        <v>BJ And dev</v>
      </c>
      <c r="T891" s="7" t="str">
        <f>IF(ISBLANK(patch[[#This Row],[mergeDate]]), "", MID(YEAR(patch[[#This Row],[mergeDate]]), 3,2)&amp;"'ww"&amp;WEEKNUM(patch[[#This Row],[mergeDate]]))</f>
        <v>16'ww39</v>
      </c>
      <c r="U891" s="7" t="str">
        <f>IF(ISBLANK(patch[[#This Row],[mergeDate]]), U890, MID(YEAR(patch[[#This Row],[mergeDate]]), 3,2)&amp;"'m"&amp;MONTH(patch[[#This Row],[mergeDate]]))</f>
        <v>16'm9</v>
      </c>
      <c r="V891" s="7" t="str">
        <f>IF(ISBLANK(patch[[#This Row],[project]]), "",SUM(patch[[#This Row],[BJ -1 num]:[SH -1 num]]))</f>
        <v/>
      </c>
      <c r="W891" s="7" t="str">
        <f>IF(ISBLANK(patch[[#This Row],[project]]), "",COUNTIFS($A:$A,patch[[#This Row],[number]],$S:$S, "BJ And dev",$AC:$AC, "Review-1"))</f>
        <v/>
      </c>
      <c r="X891" s="7" t="str">
        <f>IF(ISBLANK(patch[[#This Row],[project]]), "",COUNTIFS($A:$A,patch[[#This Row],[number]],$S:$S, "FL And dev",$AC:$AC, "Review-1"))</f>
        <v/>
      </c>
      <c r="Y891" s="7" t="str">
        <f>IF(ISBLANK(patch[[#This Row],[project]]), "",COUNTIFS($A:$A,patch[[#This Row],[number]],$S:$S, "SH And dev",$AC:$AC, "Review-1"))</f>
        <v/>
      </c>
      <c r="Z891" s="7" t="str">
        <f>IF(ISBLANK(patch[[#This Row],[project]]), "",COUNTIFS($A:$A,patch[[#This Row],[number]],$S:$S, "BJ And dev",$AD:$AD, "&lt;&gt;IntegratorValidationComment"))</f>
        <v/>
      </c>
      <c r="AA891" s="7" t="str">
        <f>IF(ISBLANK(patch[[#This Row],[project]]), "",COUNTIFS($A:$A,patch[[#This Row],[number]],$S:$S, "FL And dev",$AD:$AD, "&lt;&gt;IntegratorValidationComment"))</f>
        <v/>
      </c>
      <c r="AB891" s="7" t="str">
        <f>IF(ISBLANK(patch[[#This Row],[project]]), "",COUNTIFS($A:$A,patch[[#This Row],[number]],$S:$S, "SH And dev",$AD:$AD, "&lt;&gt;IntegratorValidationComment"))</f>
        <v/>
      </c>
      <c r="AC891" s="7" t="str">
        <f>IF(OR(ISNUMBER(FIND("Review-1", patch[[#This Row],[comments]])), ISNUMBER(FIND("Approver-1", patch[[#This Row],[comments]]))), "Review-1", "")</f>
        <v/>
      </c>
      <c r="AD8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91" s="7">
        <f>IF(ISBLANK(patch[[#This Row],[number]]),AE890,patch[[#This Row],[ifCommon]])</f>
        <v>0</v>
      </c>
    </row>
    <row r="892" spans="1:31">
      <c r="A892" s="151">
        <v>146614</v>
      </c>
      <c r="B892" s="151"/>
      <c r="C892" s="151"/>
      <c r="D892" s="151"/>
      <c r="E892" s="151"/>
      <c r="F892" s="151"/>
      <c r="G892" s="151"/>
      <c r="H892" s="151"/>
      <c r="I892" s="151"/>
      <c r="J892" s="152">
        <v>42634.763321759259</v>
      </c>
      <c r="K892" s="151"/>
      <c r="L892" s="151" t="s">
        <v>59</v>
      </c>
      <c r="M892" s="152">
        <v>42633.758819444447</v>
      </c>
      <c r="N892" s="151" t="s">
        <v>2446</v>
      </c>
      <c r="O892" s="151"/>
      <c r="P892" s="151"/>
      <c r="Q892" s="7" t="str">
        <f>IF(ISBLANK(patch[[#This Row],[OwnerEmail]]),Q891,patch[[#This Row],[OwnerEmail]])</f>
        <v>lipingx.xu@intel.com</v>
      </c>
      <c r="R892" s="7" t="str">
        <f>_xlfn.IFNA(VLOOKUP(patch[[#This Row],[tmp-owner.email]],OrgTree!$A:$K, 11, 0), "not ICG SWFW")</f>
        <v>BJ And dev</v>
      </c>
      <c r="S892" s="7" t="str">
        <f>IF(patch[[#This Row],[reviewer]]=patch[[#This Row],[tmp-owner.email]], "author", _xlfn.IFNA(VLOOKUP(patch[[#This Row],[reviewer]],OrgTree!$A:$K, 11, 0), "not ICG SWFW"))</f>
        <v>BJ And dev</v>
      </c>
      <c r="T892" s="7" t="str">
        <f>IF(ISBLANK(patch[[#This Row],[mergeDate]]), "", MID(YEAR(patch[[#This Row],[mergeDate]]), 3,2)&amp;"'ww"&amp;WEEKNUM(patch[[#This Row],[mergeDate]]))</f>
        <v>16'ww39</v>
      </c>
      <c r="U892" s="7" t="str">
        <f>IF(ISBLANK(patch[[#This Row],[mergeDate]]), U891, MID(YEAR(patch[[#This Row],[mergeDate]]), 3,2)&amp;"'m"&amp;MONTH(patch[[#This Row],[mergeDate]]))</f>
        <v>16'm9</v>
      </c>
      <c r="V892" s="7" t="str">
        <f>IF(ISBLANK(patch[[#This Row],[project]]), "",SUM(patch[[#This Row],[BJ -1 num]:[SH -1 num]]))</f>
        <v/>
      </c>
      <c r="W892" s="7" t="str">
        <f>IF(ISBLANK(patch[[#This Row],[project]]), "",COUNTIFS($A:$A,patch[[#This Row],[number]],$S:$S, "BJ And dev",$AC:$AC, "Review-1"))</f>
        <v/>
      </c>
      <c r="X892" s="7" t="str">
        <f>IF(ISBLANK(patch[[#This Row],[project]]), "",COUNTIFS($A:$A,patch[[#This Row],[number]],$S:$S, "FL And dev",$AC:$AC, "Review-1"))</f>
        <v/>
      </c>
      <c r="Y892" s="7" t="str">
        <f>IF(ISBLANK(patch[[#This Row],[project]]), "",COUNTIFS($A:$A,patch[[#This Row],[number]],$S:$S, "SH And dev",$AC:$AC, "Review-1"))</f>
        <v/>
      </c>
      <c r="Z892" s="7" t="str">
        <f>IF(ISBLANK(patch[[#This Row],[project]]), "",COUNTIFS($A:$A,patch[[#This Row],[number]],$S:$S, "BJ And dev",$AD:$AD, "&lt;&gt;IntegratorValidationComment"))</f>
        <v/>
      </c>
      <c r="AA892" s="7" t="str">
        <f>IF(ISBLANK(patch[[#This Row],[project]]), "",COUNTIFS($A:$A,patch[[#This Row],[number]],$S:$S, "FL And dev",$AD:$AD, "&lt;&gt;IntegratorValidationComment"))</f>
        <v/>
      </c>
      <c r="AB892" s="7" t="str">
        <f>IF(ISBLANK(patch[[#This Row],[project]]), "",COUNTIFS($A:$A,patch[[#This Row],[number]],$S:$S, "SH And dev",$AD:$AD, "&lt;&gt;IntegratorValidationComment"))</f>
        <v/>
      </c>
      <c r="AC892" s="7" t="str">
        <f>IF(OR(ISNUMBER(FIND("Review-1", patch[[#This Row],[comments]])), ISNUMBER(FIND("Approver-1", patch[[#This Row],[comments]]))), "Review-1", "")</f>
        <v/>
      </c>
      <c r="AD8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92" s="7">
        <f>IF(ISBLANK(patch[[#This Row],[number]]),AE891,patch[[#This Row],[ifCommon]])</f>
        <v>0</v>
      </c>
    </row>
    <row r="893" spans="1:31">
      <c r="A893" s="151">
        <v>146614</v>
      </c>
      <c r="B893" s="151"/>
      <c r="C893" s="151"/>
      <c r="D893" s="151"/>
      <c r="E893" s="151"/>
      <c r="F893" s="151"/>
      <c r="G893" s="151"/>
      <c r="H893" s="151"/>
      <c r="I893" s="151"/>
      <c r="J893" s="152">
        <v>42634.763321759259</v>
      </c>
      <c r="K893" s="151"/>
      <c r="L893" s="151" t="s">
        <v>24</v>
      </c>
      <c r="M893" s="152">
        <v>42633.760891203703</v>
      </c>
      <c r="N893" s="151" t="s">
        <v>1880</v>
      </c>
      <c r="O893" s="151"/>
      <c r="P893" s="151"/>
      <c r="Q893" s="7" t="str">
        <f>IF(ISBLANK(patch[[#This Row],[OwnerEmail]]),Q892,patch[[#This Row],[OwnerEmail]])</f>
        <v>lipingx.xu@intel.com</v>
      </c>
      <c r="R893" s="7" t="str">
        <f>_xlfn.IFNA(VLOOKUP(patch[[#This Row],[tmp-owner.email]],OrgTree!$A:$K, 11, 0), "not ICG SWFW")</f>
        <v>BJ And dev</v>
      </c>
      <c r="S893" s="7" t="str">
        <f>IF(patch[[#This Row],[reviewer]]=patch[[#This Row],[tmp-owner.email]], "author", _xlfn.IFNA(VLOOKUP(patch[[#This Row],[reviewer]],OrgTree!$A:$K, 11, 0), "not ICG SWFW"))</f>
        <v>BJ And dev</v>
      </c>
      <c r="T893" s="7" t="str">
        <f>IF(ISBLANK(patch[[#This Row],[mergeDate]]), "", MID(YEAR(patch[[#This Row],[mergeDate]]), 3,2)&amp;"'ww"&amp;WEEKNUM(patch[[#This Row],[mergeDate]]))</f>
        <v>16'ww39</v>
      </c>
      <c r="U893" s="7" t="str">
        <f>IF(ISBLANK(patch[[#This Row],[mergeDate]]), U892, MID(YEAR(patch[[#This Row],[mergeDate]]), 3,2)&amp;"'m"&amp;MONTH(patch[[#This Row],[mergeDate]]))</f>
        <v>16'm9</v>
      </c>
      <c r="V893" s="7" t="str">
        <f>IF(ISBLANK(patch[[#This Row],[project]]), "",SUM(patch[[#This Row],[BJ -1 num]:[SH -1 num]]))</f>
        <v/>
      </c>
      <c r="W893" s="7" t="str">
        <f>IF(ISBLANK(patch[[#This Row],[project]]), "",COUNTIFS($A:$A,patch[[#This Row],[number]],$S:$S, "BJ And dev",$AC:$AC, "Review-1"))</f>
        <v/>
      </c>
      <c r="X893" s="7" t="str">
        <f>IF(ISBLANK(patch[[#This Row],[project]]), "",COUNTIFS($A:$A,patch[[#This Row],[number]],$S:$S, "FL And dev",$AC:$AC, "Review-1"))</f>
        <v/>
      </c>
      <c r="Y893" s="7" t="str">
        <f>IF(ISBLANK(patch[[#This Row],[project]]), "",COUNTIFS($A:$A,patch[[#This Row],[number]],$S:$S, "SH And dev",$AC:$AC, "Review-1"))</f>
        <v/>
      </c>
      <c r="Z893" s="7" t="str">
        <f>IF(ISBLANK(patch[[#This Row],[project]]), "",COUNTIFS($A:$A,patch[[#This Row],[number]],$S:$S, "BJ And dev",$AD:$AD, "&lt;&gt;IntegratorValidationComment"))</f>
        <v/>
      </c>
      <c r="AA893" s="7" t="str">
        <f>IF(ISBLANK(patch[[#This Row],[project]]), "",COUNTIFS($A:$A,patch[[#This Row],[number]],$S:$S, "FL And dev",$AD:$AD, "&lt;&gt;IntegratorValidationComment"))</f>
        <v/>
      </c>
      <c r="AB893" s="7" t="str">
        <f>IF(ISBLANK(patch[[#This Row],[project]]), "",COUNTIFS($A:$A,patch[[#This Row],[number]],$S:$S, "SH And dev",$AD:$AD, "&lt;&gt;IntegratorValidationComment"))</f>
        <v/>
      </c>
      <c r="AC893" s="7" t="str">
        <f>IF(OR(ISNUMBER(FIND("Review-1", patch[[#This Row],[comments]])), ISNUMBER(FIND("Approver-1", patch[[#This Row],[comments]]))), "Review-1", "")</f>
        <v/>
      </c>
      <c r="AD8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93" s="7">
        <f>IF(ISBLANK(patch[[#This Row],[number]]),AE892,patch[[#This Row],[ifCommon]])</f>
        <v>0</v>
      </c>
    </row>
    <row r="894" spans="1:31">
      <c r="A894" s="151">
        <v>146614</v>
      </c>
      <c r="B894" s="151"/>
      <c r="C894" s="151"/>
      <c r="D894" s="151"/>
      <c r="E894" s="151"/>
      <c r="F894" s="151"/>
      <c r="G894" s="151"/>
      <c r="H894" s="151"/>
      <c r="I894" s="151"/>
      <c r="J894" s="152">
        <v>42634.763321759259</v>
      </c>
      <c r="K894" s="151"/>
      <c r="L894" s="151" t="s">
        <v>115</v>
      </c>
      <c r="M894" s="152">
        <v>42634.560173611113</v>
      </c>
      <c r="N894" s="151" t="s">
        <v>2494</v>
      </c>
      <c r="O894" s="151"/>
      <c r="P894" s="151"/>
      <c r="Q894" s="7" t="str">
        <f>IF(ISBLANK(patch[[#This Row],[OwnerEmail]]),Q893,patch[[#This Row],[OwnerEmail]])</f>
        <v>lipingx.xu@intel.com</v>
      </c>
      <c r="R894" s="7" t="str">
        <f>_xlfn.IFNA(VLOOKUP(patch[[#This Row],[tmp-owner.email]],OrgTree!$A:$K, 11, 0), "not ICG SWFW")</f>
        <v>BJ And dev</v>
      </c>
      <c r="S894" s="7" t="str">
        <f>IF(patch[[#This Row],[reviewer]]=patch[[#This Row],[tmp-owner.email]], "author", _xlfn.IFNA(VLOOKUP(patch[[#This Row],[reviewer]],OrgTree!$A:$K, 11, 0), "not ICG SWFW"))</f>
        <v>Val</v>
      </c>
      <c r="T894" s="7" t="str">
        <f>IF(ISBLANK(patch[[#This Row],[mergeDate]]), "", MID(YEAR(patch[[#This Row],[mergeDate]]), 3,2)&amp;"'ww"&amp;WEEKNUM(patch[[#This Row],[mergeDate]]))</f>
        <v>16'ww39</v>
      </c>
      <c r="U894" s="7" t="str">
        <f>IF(ISBLANK(patch[[#This Row],[mergeDate]]), U893, MID(YEAR(patch[[#This Row],[mergeDate]]), 3,2)&amp;"'m"&amp;MONTH(patch[[#This Row],[mergeDate]]))</f>
        <v>16'm9</v>
      </c>
      <c r="V894" s="7" t="str">
        <f>IF(ISBLANK(patch[[#This Row],[project]]), "",SUM(patch[[#This Row],[BJ -1 num]:[SH -1 num]]))</f>
        <v/>
      </c>
      <c r="W894" s="7" t="str">
        <f>IF(ISBLANK(patch[[#This Row],[project]]), "",COUNTIFS($A:$A,patch[[#This Row],[number]],$S:$S, "BJ And dev",$AC:$AC, "Review-1"))</f>
        <v/>
      </c>
      <c r="X894" s="7" t="str">
        <f>IF(ISBLANK(patch[[#This Row],[project]]), "",COUNTIFS($A:$A,patch[[#This Row],[number]],$S:$S, "FL And dev",$AC:$AC, "Review-1"))</f>
        <v/>
      </c>
      <c r="Y894" s="7" t="str">
        <f>IF(ISBLANK(patch[[#This Row],[project]]), "",COUNTIFS($A:$A,patch[[#This Row],[number]],$S:$S, "SH And dev",$AC:$AC, "Review-1"))</f>
        <v/>
      </c>
      <c r="Z894" s="7" t="str">
        <f>IF(ISBLANK(patch[[#This Row],[project]]), "",COUNTIFS($A:$A,patch[[#This Row],[number]],$S:$S, "BJ And dev",$AD:$AD, "&lt;&gt;IntegratorValidationComment"))</f>
        <v/>
      </c>
      <c r="AA894" s="7" t="str">
        <f>IF(ISBLANK(patch[[#This Row],[project]]), "",COUNTIFS($A:$A,patch[[#This Row],[number]],$S:$S, "FL And dev",$AD:$AD, "&lt;&gt;IntegratorValidationComment"))</f>
        <v/>
      </c>
      <c r="AB894" s="7" t="str">
        <f>IF(ISBLANK(patch[[#This Row],[project]]), "",COUNTIFS($A:$A,patch[[#This Row],[number]],$S:$S, "SH And dev",$AD:$AD, "&lt;&gt;IntegratorValidationComment"))</f>
        <v/>
      </c>
      <c r="AC894" s="7" t="str">
        <f>IF(OR(ISNUMBER(FIND("Review-1", patch[[#This Row],[comments]])), ISNUMBER(FIND("Approver-1", patch[[#This Row],[comments]]))), "Review-1", "")</f>
        <v/>
      </c>
      <c r="AD8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894" s="7">
        <f>IF(ISBLANK(patch[[#This Row],[number]]),AE893,patch[[#This Row],[ifCommon]])</f>
        <v>0</v>
      </c>
    </row>
    <row r="895" spans="1:31">
      <c r="A895" s="151">
        <v>146613</v>
      </c>
      <c r="B895" s="151" t="s">
        <v>2490</v>
      </c>
      <c r="C895" s="151" t="s">
        <v>2795</v>
      </c>
      <c r="D895" s="151" t="s">
        <v>3046</v>
      </c>
      <c r="E895" s="151" t="s">
        <v>677</v>
      </c>
      <c r="F895" s="151" t="s">
        <v>23</v>
      </c>
      <c r="G895" s="151" t="s">
        <v>3047</v>
      </c>
      <c r="H895" s="151" t="s">
        <v>3048</v>
      </c>
      <c r="I895" s="152">
        <v>42633.740081018521</v>
      </c>
      <c r="J895" s="152">
        <v>42634.763287037043</v>
      </c>
      <c r="K895" s="151" t="s">
        <v>2445</v>
      </c>
      <c r="L895" s="151" t="s">
        <v>677</v>
      </c>
      <c r="M895" s="152">
        <v>42633.740081018521</v>
      </c>
      <c r="N895" s="151" t="s">
        <v>25</v>
      </c>
      <c r="O895" s="151"/>
      <c r="P895" s="151" t="s">
        <v>3049</v>
      </c>
      <c r="Q895" s="7" t="str">
        <f>IF(ISBLANK(patch[[#This Row],[OwnerEmail]]),Q894,patch[[#This Row],[OwnerEmail]])</f>
        <v>lipingx.xu@intel.com</v>
      </c>
      <c r="R895" s="7" t="str">
        <f>_xlfn.IFNA(VLOOKUP(patch[[#This Row],[tmp-owner.email]],OrgTree!$A:$K, 11, 0), "not ICG SWFW")</f>
        <v>BJ And dev</v>
      </c>
      <c r="S895" s="7" t="str">
        <f>IF(patch[[#This Row],[reviewer]]=patch[[#This Row],[tmp-owner.email]], "author", _xlfn.IFNA(VLOOKUP(patch[[#This Row],[reviewer]],OrgTree!$A:$K, 11, 0), "not ICG SWFW"))</f>
        <v>author</v>
      </c>
      <c r="T895" s="7" t="str">
        <f>IF(ISBLANK(patch[[#This Row],[mergeDate]]), "", MID(YEAR(patch[[#This Row],[mergeDate]]), 3,2)&amp;"'ww"&amp;WEEKNUM(patch[[#This Row],[mergeDate]]))</f>
        <v>16'ww39</v>
      </c>
      <c r="U895" s="7" t="str">
        <f>IF(ISBLANK(patch[[#This Row],[mergeDate]]), U894, MID(YEAR(patch[[#This Row],[mergeDate]]), 3,2)&amp;"'m"&amp;MONTH(patch[[#This Row],[mergeDate]]))</f>
        <v>16'm9</v>
      </c>
      <c r="V895" s="7">
        <f>IF(ISBLANK(patch[[#This Row],[project]]), "",SUM(patch[[#This Row],[BJ -1 num]:[SH -1 num]]))</f>
        <v>0</v>
      </c>
      <c r="W895" s="7">
        <f>IF(ISBLANK(patch[[#This Row],[project]]), "",COUNTIFS($A:$A,patch[[#This Row],[number]],$S:$S, "BJ And dev",$AC:$AC, "Review-1"))</f>
        <v>0</v>
      </c>
      <c r="X895" s="7">
        <f>IF(ISBLANK(patch[[#This Row],[project]]), "",COUNTIFS($A:$A,patch[[#This Row],[number]],$S:$S, "FL And dev",$AC:$AC, "Review-1"))</f>
        <v>0</v>
      </c>
      <c r="Y895" s="7">
        <f>IF(ISBLANK(patch[[#This Row],[project]]), "",COUNTIFS($A:$A,patch[[#This Row],[number]],$S:$S, "SH And dev",$AC:$AC, "Review-1"))</f>
        <v>0</v>
      </c>
      <c r="Z895" s="7">
        <f>IF(ISBLANK(patch[[#This Row],[project]]), "",COUNTIFS($A:$A,patch[[#This Row],[number]],$S:$S, "BJ And dev",$AD:$AD, "&lt;&gt;IntegratorValidationComment"))</f>
        <v>2</v>
      </c>
      <c r="AA895" s="7">
        <f>IF(ISBLANK(patch[[#This Row],[project]]), "",COUNTIFS($A:$A,patch[[#This Row],[number]],$S:$S, "FL And dev",$AD:$AD, "&lt;&gt;IntegratorValidationComment"))</f>
        <v>2</v>
      </c>
      <c r="AB895" s="7">
        <f>IF(ISBLANK(patch[[#This Row],[project]]), "",COUNTIFS($A:$A,patch[[#This Row],[number]],$S:$S, "SH And dev",$AD:$AD, "&lt;&gt;IntegratorValidationComment"))</f>
        <v>0</v>
      </c>
      <c r="AC895" s="7" t="str">
        <f>IF(OR(ISNUMBER(FIND("Review-1", patch[[#This Row],[comments]])), ISNUMBER(FIND("Approver-1", patch[[#This Row],[comments]]))), "Review-1", "")</f>
        <v/>
      </c>
      <c r="AD8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95" s="7" t="str">
        <f>IF(ISBLANK(patch[[#This Row],[number]]),AE894,patch[[#This Row],[ifCommon]])</f>
        <v>not AndrHAL</v>
      </c>
    </row>
    <row r="896" spans="1:31">
      <c r="A896" s="151">
        <v>146613</v>
      </c>
      <c r="B896" s="151"/>
      <c r="C896" s="151"/>
      <c r="D896" s="151"/>
      <c r="E896" s="151"/>
      <c r="F896" s="151"/>
      <c r="G896" s="151"/>
      <c r="H896" s="151"/>
      <c r="I896" s="151"/>
      <c r="J896" s="152">
        <v>42634.763287037043</v>
      </c>
      <c r="K896" s="151"/>
      <c r="L896" s="151" t="s">
        <v>677</v>
      </c>
      <c r="M896" s="152">
        <v>42633.740185185183</v>
      </c>
      <c r="N896" s="151" t="s">
        <v>2428</v>
      </c>
      <c r="O896" s="151"/>
      <c r="P896" s="151"/>
      <c r="Q896" s="7" t="str">
        <f>IF(ISBLANK(patch[[#This Row],[OwnerEmail]]),Q895,patch[[#This Row],[OwnerEmail]])</f>
        <v>lipingx.xu@intel.com</v>
      </c>
      <c r="R896" s="7" t="str">
        <f>_xlfn.IFNA(VLOOKUP(patch[[#This Row],[tmp-owner.email]],OrgTree!$A:$K, 11, 0), "not ICG SWFW")</f>
        <v>BJ And dev</v>
      </c>
      <c r="S896" s="7" t="str">
        <f>IF(patch[[#This Row],[reviewer]]=patch[[#This Row],[tmp-owner.email]], "author", _xlfn.IFNA(VLOOKUP(patch[[#This Row],[reviewer]],OrgTree!$A:$K, 11, 0), "not ICG SWFW"))</f>
        <v>author</v>
      </c>
      <c r="T896" s="7" t="str">
        <f>IF(ISBLANK(patch[[#This Row],[mergeDate]]), "", MID(YEAR(patch[[#This Row],[mergeDate]]), 3,2)&amp;"'ww"&amp;WEEKNUM(patch[[#This Row],[mergeDate]]))</f>
        <v>16'ww39</v>
      </c>
      <c r="U896" s="7" t="str">
        <f>IF(ISBLANK(patch[[#This Row],[mergeDate]]), U895, MID(YEAR(patch[[#This Row],[mergeDate]]), 3,2)&amp;"'m"&amp;MONTH(patch[[#This Row],[mergeDate]]))</f>
        <v>16'm9</v>
      </c>
      <c r="V896" s="7" t="str">
        <f>IF(ISBLANK(patch[[#This Row],[project]]), "",SUM(patch[[#This Row],[BJ -1 num]:[SH -1 num]]))</f>
        <v/>
      </c>
      <c r="W896" s="7" t="str">
        <f>IF(ISBLANK(patch[[#This Row],[project]]), "",COUNTIFS($A:$A,patch[[#This Row],[number]],$S:$S, "BJ And dev",$AC:$AC, "Review-1"))</f>
        <v/>
      </c>
      <c r="X896" s="7" t="str">
        <f>IF(ISBLANK(patch[[#This Row],[project]]), "",COUNTIFS($A:$A,patch[[#This Row],[number]],$S:$S, "FL And dev",$AC:$AC, "Review-1"))</f>
        <v/>
      </c>
      <c r="Y896" s="7" t="str">
        <f>IF(ISBLANK(patch[[#This Row],[project]]), "",COUNTIFS($A:$A,patch[[#This Row],[number]],$S:$S, "SH And dev",$AC:$AC, "Review-1"))</f>
        <v/>
      </c>
      <c r="Z896" s="7" t="str">
        <f>IF(ISBLANK(patch[[#This Row],[project]]), "",COUNTIFS($A:$A,patch[[#This Row],[number]],$S:$S, "BJ And dev",$AD:$AD, "&lt;&gt;IntegratorValidationComment"))</f>
        <v/>
      </c>
      <c r="AA896" s="7" t="str">
        <f>IF(ISBLANK(patch[[#This Row],[project]]), "",COUNTIFS($A:$A,patch[[#This Row],[number]],$S:$S, "FL And dev",$AD:$AD, "&lt;&gt;IntegratorValidationComment"))</f>
        <v/>
      </c>
      <c r="AB896" s="7" t="str">
        <f>IF(ISBLANK(patch[[#This Row],[project]]), "",COUNTIFS($A:$A,patch[[#This Row],[number]],$S:$S, "SH And dev",$AD:$AD, "&lt;&gt;IntegratorValidationComment"))</f>
        <v/>
      </c>
      <c r="AC896" s="7" t="str">
        <f>IF(OR(ISNUMBER(FIND("Review-1", patch[[#This Row],[comments]])), ISNUMBER(FIND("Approver-1", patch[[#This Row],[comments]]))), "Review-1", "")</f>
        <v/>
      </c>
      <c r="AD8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96" s="7">
        <f>IF(ISBLANK(patch[[#This Row],[number]]),AE895,patch[[#This Row],[ifCommon]])</f>
        <v>0</v>
      </c>
    </row>
    <row r="897" spans="1:31">
      <c r="A897" s="151">
        <v>146613</v>
      </c>
      <c r="B897" s="151"/>
      <c r="C897" s="151"/>
      <c r="D897" s="151"/>
      <c r="E897" s="151"/>
      <c r="F897" s="151"/>
      <c r="G897" s="151"/>
      <c r="H897" s="151"/>
      <c r="I897" s="151"/>
      <c r="J897" s="152">
        <v>42634.763287037043</v>
      </c>
      <c r="K897" s="151"/>
      <c r="L897" s="151" t="s">
        <v>677</v>
      </c>
      <c r="M897" s="152">
        <v>42633.743703703702</v>
      </c>
      <c r="N897" s="151" t="s">
        <v>40</v>
      </c>
      <c r="O897" s="151"/>
      <c r="P897" s="151"/>
      <c r="Q897" s="7" t="str">
        <f>IF(ISBLANK(patch[[#This Row],[OwnerEmail]]),Q896,patch[[#This Row],[OwnerEmail]])</f>
        <v>lipingx.xu@intel.com</v>
      </c>
      <c r="R897" s="7" t="str">
        <f>_xlfn.IFNA(VLOOKUP(patch[[#This Row],[tmp-owner.email]],OrgTree!$A:$K, 11, 0), "not ICG SWFW")</f>
        <v>BJ And dev</v>
      </c>
      <c r="S897" s="7" t="str">
        <f>IF(patch[[#This Row],[reviewer]]=patch[[#This Row],[tmp-owner.email]], "author", _xlfn.IFNA(VLOOKUP(patch[[#This Row],[reviewer]],OrgTree!$A:$K, 11, 0), "not ICG SWFW"))</f>
        <v>author</v>
      </c>
      <c r="T897" s="7" t="str">
        <f>IF(ISBLANK(patch[[#This Row],[mergeDate]]), "", MID(YEAR(patch[[#This Row],[mergeDate]]), 3,2)&amp;"'ww"&amp;WEEKNUM(patch[[#This Row],[mergeDate]]))</f>
        <v>16'ww39</v>
      </c>
      <c r="U897" s="7" t="str">
        <f>IF(ISBLANK(patch[[#This Row],[mergeDate]]), U896, MID(YEAR(patch[[#This Row],[mergeDate]]), 3,2)&amp;"'m"&amp;MONTH(patch[[#This Row],[mergeDate]]))</f>
        <v>16'm9</v>
      </c>
      <c r="V897" s="7" t="str">
        <f>IF(ISBLANK(patch[[#This Row],[project]]), "",SUM(patch[[#This Row],[BJ -1 num]:[SH -1 num]]))</f>
        <v/>
      </c>
      <c r="W897" s="7" t="str">
        <f>IF(ISBLANK(patch[[#This Row],[project]]), "",COUNTIFS($A:$A,patch[[#This Row],[number]],$S:$S, "BJ And dev",$AC:$AC, "Review-1"))</f>
        <v/>
      </c>
      <c r="X897" s="7" t="str">
        <f>IF(ISBLANK(patch[[#This Row],[project]]), "",COUNTIFS($A:$A,patch[[#This Row],[number]],$S:$S, "FL And dev",$AC:$AC, "Review-1"))</f>
        <v/>
      </c>
      <c r="Y897" s="7" t="str">
        <f>IF(ISBLANK(patch[[#This Row],[project]]), "",COUNTIFS($A:$A,patch[[#This Row],[number]],$S:$S, "SH And dev",$AC:$AC, "Review-1"))</f>
        <v/>
      </c>
      <c r="Z897" s="7" t="str">
        <f>IF(ISBLANK(patch[[#This Row],[project]]), "",COUNTIFS($A:$A,patch[[#This Row],[number]],$S:$S, "BJ And dev",$AD:$AD, "&lt;&gt;IntegratorValidationComment"))</f>
        <v/>
      </c>
      <c r="AA897" s="7" t="str">
        <f>IF(ISBLANK(patch[[#This Row],[project]]), "",COUNTIFS($A:$A,patch[[#This Row],[number]],$S:$S, "FL And dev",$AD:$AD, "&lt;&gt;IntegratorValidationComment"))</f>
        <v/>
      </c>
      <c r="AB897" s="7" t="str">
        <f>IF(ISBLANK(patch[[#This Row],[project]]), "",COUNTIFS($A:$A,patch[[#This Row],[number]],$S:$S, "SH And dev",$AD:$AD, "&lt;&gt;IntegratorValidationComment"))</f>
        <v/>
      </c>
      <c r="AC897" s="7" t="str">
        <f>IF(OR(ISNUMBER(FIND("Review-1", patch[[#This Row],[comments]])), ISNUMBER(FIND("Approver-1", patch[[#This Row],[comments]]))), "Review-1", "")</f>
        <v/>
      </c>
      <c r="AD8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97" s="7">
        <f>IF(ISBLANK(patch[[#This Row],[number]]),AE896,patch[[#This Row],[ifCommon]])</f>
        <v>0</v>
      </c>
    </row>
    <row r="898" spans="1:31">
      <c r="A898" s="151">
        <v>146613</v>
      </c>
      <c r="B898" s="151"/>
      <c r="C898" s="151"/>
      <c r="D898" s="151"/>
      <c r="E898" s="151"/>
      <c r="F898" s="151"/>
      <c r="G898" s="151"/>
      <c r="H898" s="151"/>
      <c r="I898" s="151"/>
      <c r="J898" s="152">
        <v>42634.763287037043</v>
      </c>
      <c r="K898" s="151"/>
      <c r="L898" s="151" t="s">
        <v>59</v>
      </c>
      <c r="M898" s="152">
        <v>42633.751944444448</v>
      </c>
      <c r="N898" s="151" t="s">
        <v>3050</v>
      </c>
      <c r="O898" s="151"/>
      <c r="P898" s="151"/>
      <c r="Q898" s="7" t="str">
        <f>IF(ISBLANK(patch[[#This Row],[OwnerEmail]]),Q897,patch[[#This Row],[OwnerEmail]])</f>
        <v>lipingx.xu@intel.com</v>
      </c>
      <c r="R898" s="7" t="str">
        <f>_xlfn.IFNA(VLOOKUP(patch[[#This Row],[tmp-owner.email]],OrgTree!$A:$K, 11, 0), "not ICG SWFW")</f>
        <v>BJ And dev</v>
      </c>
      <c r="S898" s="7" t="str">
        <f>IF(patch[[#This Row],[reviewer]]=patch[[#This Row],[tmp-owner.email]], "author", _xlfn.IFNA(VLOOKUP(patch[[#This Row],[reviewer]],OrgTree!$A:$K, 11, 0), "not ICG SWFW"))</f>
        <v>BJ And dev</v>
      </c>
      <c r="T898" s="7" t="str">
        <f>IF(ISBLANK(patch[[#This Row],[mergeDate]]), "", MID(YEAR(patch[[#This Row],[mergeDate]]), 3,2)&amp;"'ww"&amp;WEEKNUM(patch[[#This Row],[mergeDate]]))</f>
        <v>16'ww39</v>
      </c>
      <c r="U898" s="7" t="str">
        <f>IF(ISBLANK(patch[[#This Row],[mergeDate]]), U897, MID(YEAR(patch[[#This Row],[mergeDate]]), 3,2)&amp;"'m"&amp;MONTH(patch[[#This Row],[mergeDate]]))</f>
        <v>16'm9</v>
      </c>
      <c r="V898" s="7" t="str">
        <f>IF(ISBLANK(patch[[#This Row],[project]]), "",SUM(patch[[#This Row],[BJ -1 num]:[SH -1 num]]))</f>
        <v/>
      </c>
      <c r="W898" s="7" t="str">
        <f>IF(ISBLANK(patch[[#This Row],[project]]), "",COUNTIFS($A:$A,patch[[#This Row],[number]],$S:$S, "BJ And dev",$AC:$AC, "Review-1"))</f>
        <v/>
      </c>
      <c r="X898" s="7" t="str">
        <f>IF(ISBLANK(patch[[#This Row],[project]]), "",COUNTIFS($A:$A,patch[[#This Row],[number]],$S:$S, "FL And dev",$AC:$AC, "Review-1"))</f>
        <v/>
      </c>
      <c r="Y898" s="7" t="str">
        <f>IF(ISBLANK(patch[[#This Row],[project]]), "",COUNTIFS($A:$A,patch[[#This Row],[number]],$S:$S, "SH And dev",$AC:$AC, "Review-1"))</f>
        <v/>
      </c>
      <c r="Z898" s="7" t="str">
        <f>IF(ISBLANK(patch[[#This Row],[project]]), "",COUNTIFS($A:$A,patch[[#This Row],[number]],$S:$S, "BJ And dev",$AD:$AD, "&lt;&gt;IntegratorValidationComment"))</f>
        <v/>
      </c>
      <c r="AA898" s="7" t="str">
        <f>IF(ISBLANK(patch[[#This Row],[project]]), "",COUNTIFS($A:$A,patch[[#This Row],[number]],$S:$S, "FL And dev",$AD:$AD, "&lt;&gt;IntegratorValidationComment"))</f>
        <v/>
      </c>
      <c r="AB898" s="7" t="str">
        <f>IF(ISBLANK(patch[[#This Row],[project]]), "",COUNTIFS($A:$A,patch[[#This Row],[number]],$S:$S, "SH And dev",$AD:$AD, "&lt;&gt;IntegratorValidationComment"))</f>
        <v/>
      </c>
      <c r="AC898" s="7" t="str">
        <f>IF(OR(ISNUMBER(FIND("Review-1", patch[[#This Row],[comments]])), ISNUMBER(FIND("Approver-1", patch[[#This Row],[comments]]))), "Review-1", "")</f>
        <v/>
      </c>
      <c r="AD8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98" s="7">
        <f>IF(ISBLANK(patch[[#This Row],[number]]),AE897,patch[[#This Row],[ifCommon]])</f>
        <v>0</v>
      </c>
    </row>
    <row r="899" spans="1:31">
      <c r="A899" s="151">
        <v>146613</v>
      </c>
      <c r="B899" s="151"/>
      <c r="C899" s="151"/>
      <c r="D899" s="151"/>
      <c r="E899" s="151"/>
      <c r="F899" s="151"/>
      <c r="G899" s="151"/>
      <c r="H899" s="151"/>
      <c r="I899" s="151"/>
      <c r="J899" s="152">
        <v>42634.763287037043</v>
      </c>
      <c r="K899" s="151"/>
      <c r="L899" s="151" t="s">
        <v>61</v>
      </c>
      <c r="M899" s="152">
        <v>42633.754675925928</v>
      </c>
      <c r="N899" s="151" t="s">
        <v>58</v>
      </c>
      <c r="O899" s="151"/>
      <c r="P899" s="151"/>
      <c r="Q899" s="7" t="str">
        <f>IF(ISBLANK(patch[[#This Row],[OwnerEmail]]),Q898,patch[[#This Row],[OwnerEmail]])</f>
        <v>lipingx.xu@intel.com</v>
      </c>
      <c r="R899" s="7" t="str">
        <f>_xlfn.IFNA(VLOOKUP(patch[[#This Row],[tmp-owner.email]],OrgTree!$A:$K, 11, 0), "not ICG SWFW")</f>
        <v>BJ And dev</v>
      </c>
      <c r="S899" s="7" t="str">
        <f>IF(patch[[#This Row],[reviewer]]=patch[[#This Row],[tmp-owner.email]], "author", _xlfn.IFNA(VLOOKUP(patch[[#This Row],[reviewer]],OrgTree!$A:$K, 11, 0), "not ICG SWFW"))</f>
        <v>FL And dev</v>
      </c>
      <c r="T899" s="7" t="str">
        <f>IF(ISBLANK(patch[[#This Row],[mergeDate]]), "", MID(YEAR(patch[[#This Row],[mergeDate]]), 3,2)&amp;"'ww"&amp;WEEKNUM(patch[[#This Row],[mergeDate]]))</f>
        <v>16'ww39</v>
      </c>
      <c r="U899" s="7" t="str">
        <f>IF(ISBLANK(patch[[#This Row],[mergeDate]]), U898, MID(YEAR(patch[[#This Row],[mergeDate]]), 3,2)&amp;"'m"&amp;MONTH(patch[[#This Row],[mergeDate]]))</f>
        <v>16'm9</v>
      </c>
      <c r="V899" s="7" t="str">
        <f>IF(ISBLANK(patch[[#This Row],[project]]), "",SUM(patch[[#This Row],[BJ -1 num]:[SH -1 num]]))</f>
        <v/>
      </c>
      <c r="W899" s="7" t="str">
        <f>IF(ISBLANK(patch[[#This Row],[project]]), "",COUNTIFS($A:$A,patch[[#This Row],[number]],$S:$S, "BJ And dev",$AC:$AC, "Review-1"))</f>
        <v/>
      </c>
      <c r="X899" s="7" t="str">
        <f>IF(ISBLANK(patch[[#This Row],[project]]), "",COUNTIFS($A:$A,patch[[#This Row],[number]],$S:$S, "FL And dev",$AC:$AC, "Review-1"))</f>
        <v/>
      </c>
      <c r="Y899" s="7" t="str">
        <f>IF(ISBLANK(patch[[#This Row],[project]]), "",COUNTIFS($A:$A,patch[[#This Row],[number]],$S:$S, "SH And dev",$AC:$AC, "Review-1"))</f>
        <v/>
      </c>
      <c r="Z899" s="7" t="str">
        <f>IF(ISBLANK(patch[[#This Row],[project]]), "",COUNTIFS($A:$A,patch[[#This Row],[number]],$S:$S, "BJ And dev",$AD:$AD, "&lt;&gt;IntegratorValidationComment"))</f>
        <v/>
      </c>
      <c r="AA899" s="7" t="str">
        <f>IF(ISBLANK(patch[[#This Row],[project]]), "",COUNTIFS($A:$A,patch[[#This Row],[number]],$S:$S, "FL And dev",$AD:$AD, "&lt;&gt;IntegratorValidationComment"))</f>
        <v/>
      </c>
      <c r="AB899" s="7" t="str">
        <f>IF(ISBLANK(patch[[#This Row],[project]]), "",COUNTIFS($A:$A,patch[[#This Row],[number]],$S:$S, "SH And dev",$AD:$AD, "&lt;&gt;IntegratorValidationComment"))</f>
        <v/>
      </c>
      <c r="AC899" s="7" t="str">
        <f>IF(OR(ISNUMBER(FIND("Review-1", patch[[#This Row],[comments]])), ISNUMBER(FIND("Approver-1", patch[[#This Row],[comments]]))), "Review-1", "")</f>
        <v/>
      </c>
      <c r="AD8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899" s="7">
        <f>IF(ISBLANK(patch[[#This Row],[number]]),AE898,patch[[#This Row],[ifCommon]])</f>
        <v>0</v>
      </c>
    </row>
    <row r="900" spans="1:31">
      <c r="A900" s="151">
        <v>146613</v>
      </c>
      <c r="B900" s="151"/>
      <c r="C900" s="151"/>
      <c r="D900" s="151"/>
      <c r="E900" s="151"/>
      <c r="F900" s="151"/>
      <c r="G900" s="151"/>
      <c r="H900" s="151"/>
      <c r="I900" s="151"/>
      <c r="J900" s="152">
        <v>42634.763287037043</v>
      </c>
      <c r="K900" s="151"/>
      <c r="L900" s="151" t="s">
        <v>61</v>
      </c>
      <c r="M900" s="152">
        <v>42633.754780092589</v>
      </c>
      <c r="N900" s="151" t="s">
        <v>3051</v>
      </c>
      <c r="O900" s="151"/>
      <c r="P900" s="151"/>
      <c r="Q900" s="7" t="str">
        <f>IF(ISBLANK(patch[[#This Row],[OwnerEmail]]),Q899,patch[[#This Row],[OwnerEmail]])</f>
        <v>lipingx.xu@intel.com</v>
      </c>
      <c r="R900" s="7" t="str">
        <f>_xlfn.IFNA(VLOOKUP(patch[[#This Row],[tmp-owner.email]],OrgTree!$A:$K, 11, 0), "not ICG SWFW")</f>
        <v>BJ And dev</v>
      </c>
      <c r="S900" s="7" t="str">
        <f>IF(patch[[#This Row],[reviewer]]=patch[[#This Row],[tmp-owner.email]], "author", _xlfn.IFNA(VLOOKUP(patch[[#This Row],[reviewer]],OrgTree!$A:$K, 11, 0), "not ICG SWFW"))</f>
        <v>FL And dev</v>
      </c>
      <c r="T900" s="7" t="str">
        <f>IF(ISBLANK(patch[[#This Row],[mergeDate]]), "", MID(YEAR(patch[[#This Row],[mergeDate]]), 3,2)&amp;"'ww"&amp;WEEKNUM(patch[[#This Row],[mergeDate]]))</f>
        <v>16'ww39</v>
      </c>
      <c r="U900" s="7" t="str">
        <f>IF(ISBLANK(patch[[#This Row],[mergeDate]]), U899, MID(YEAR(patch[[#This Row],[mergeDate]]), 3,2)&amp;"'m"&amp;MONTH(patch[[#This Row],[mergeDate]]))</f>
        <v>16'm9</v>
      </c>
      <c r="V900" s="7" t="str">
        <f>IF(ISBLANK(patch[[#This Row],[project]]), "",SUM(patch[[#This Row],[BJ -1 num]:[SH -1 num]]))</f>
        <v/>
      </c>
      <c r="W900" s="7" t="str">
        <f>IF(ISBLANK(patch[[#This Row],[project]]), "",COUNTIFS($A:$A,patch[[#This Row],[number]],$S:$S, "BJ And dev",$AC:$AC, "Review-1"))</f>
        <v/>
      </c>
      <c r="X900" s="7" t="str">
        <f>IF(ISBLANK(patch[[#This Row],[project]]), "",COUNTIFS($A:$A,patch[[#This Row],[number]],$S:$S, "FL And dev",$AC:$AC, "Review-1"))</f>
        <v/>
      </c>
      <c r="Y900" s="7" t="str">
        <f>IF(ISBLANK(patch[[#This Row],[project]]), "",COUNTIFS($A:$A,patch[[#This Row],[number]],$S:$S, "SH And dev",$AC:$AC, "Review-1"))</f>
        <v/>
      </c>
      <c r="Z900" s="7" t="str">
        <f>IF(ISBLANK(patch[[#This Row],[project]]), "",COUNTIFS($A:$A,patch[[#This Row],[number]],$S:$S, "BJ And dev",$AD:$AD, "&lt;&gt;IntegratorValidationComment"))</f>
        <v/>
      </c>
      <c r="AA900" s="7" t="str">
        <f>IF(ISBLANK(patch[[#This Row],[project]]), "",COUNTIFS($A:$A,patch[[#This Row],[number]],$S:$S, "FL And dev",$AD:$AD, "&lt;&gt;IntegratorValidationComment"))</f>
        <v/>
      </c>
      <c r="AB900" s="7" t="str">
        <f>IF(ISBLANK(patch[[#This Row],[project]]), "",COUNTIFS($A:$A,patch[[#This Row],[number]],$S:$S, "SH And dev",$AD:$AD, "&lt;&gt;IntegratorValidationComment"))</f>
        <v/>
      </c>
      <c r="AC900" s="7" t="str">
        <f>IF(OR(ISNUMBER(FIND("Review-1", patch[[#This Row],[comments]])), ISNUMBER(FIND("Approver-1", patch[[#This Row],[comments]]))), "Review-1", "")</f>
        <v/>
      </c>
      <c r="AD9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00" s="7">
        <f>IF(ISBLANK(patch[[#This Row],[number]]),AE899,patch[[#This Row],[ifCommon]])</f>
        <v>0</v>
      </c>
    </row>
    <row r="901" spans="1:31">
      <c r="A901" s="151">
        <v>146613</v>
      </c>
      <c r="B901" s="151"/>
      <c r="C901" s="151"/>
      <c r="D901" s="151"/>
      <c r="E901" s="151"/>
      <c r="F901" s="151"/>
      <c r="G901" s="151"/>
      <c r="H901" s="151"/>
      <c r="I901" s="151"/>
      <c r="J901" s="152">
        <v>42634.763287037043</v>
      </c>
      <c r="K901" s="151"/>
      <c r="L901" s="151" t="s">
        <v>59</v>
      </c>
      <c r="M901" s="152">
        <v>42633.758680555547</v>
      </c>
      <c r="N901" s="151" t="s">
        <v>1880</v>
      </c>
      <c r="O901" s="151"/>
      <c r="P901" s="151"/>
      <c r="Q901" s="7" t="str">
        <f>IF(ISBLANK(patch[[#This Row],[OwnerEmail]]),Q900,patch[[#This Row],[OwnerEmail]])</f>
        <v>lipingx.xu@intel.com</v>
      </c>
      <c r="R901" s="7" t="str">
        <f>_xlfn.IFNA(VLOOKUP(patch[[#This Row],[tmp-owner.email]],OrgTree!$A:$K, 11, 0), "not ICG SWFW")</f>
        <v>BJ And dev</v>
      </c>
      <c r="S901" s="7" t="str">
        <f>IF(patch[[#This Row],[reviewer]]=patch[[#This Row],[tmp-owner.email]], "author", _xlfn.IFNA(VLOOKUP(patch[[#This Row],[reviewer]],OrgTree!$A:$K, 11, 0), "not ICG SWFW"))</f>
        <v>BJ And dev</v>
      </c>
      <c r="T901" s="7" t="str">
        <f>IF(ISBLANK(patch[[#This Row],[mergeDate]]), "", MID(YEAR(patch[[#This Row],[mergeDate]]), 3,2)&amp;"'ww"&amp;WEEKNUM(patch[[#This Row],[mergeDate]]))</f>
        <v>16'ww39</v>
      </c>
      <c r="U901" s="7" t="str">
        <f>IF(ISBLANK(patch[[#This Row],[mergeDate]]), U900, MID(YEAR(patch[[#This Row],[mergeDate]]), 3,2)&amp;"'m"&amp;MONTH(patch[[#This Row],[mergeDate]]))</f>
        <v>16'm9</v>
      </c>
      <c r="V901" s="7" t="str">
        <f>IF(ISBLANK(patch[[#This Row],[project]]), "",SUM(patch[[#This Row],[BJ -1 num]:[SH -1 num]]))</f>
        <v/>
      </c>
      <c r="W901" s="7" t="str">
        <f>IF(ISBLANK(patch[[#This Row],[project]]), "",COUNTIFS($A:$A,patch[[#This Row],[number]],$S:$S, "BJ And dev",$AC:$AC, "Review-1"))</f>
        <v/>
      </c>
      <c r="X901" s="7" t="str">
        <f>IF(ISBLANK(patch[[#This Row],[project]]), "",COUNTIFS($A:$A,patch[[#This Row],[number]],$S:$S, "FL And dev",$AC:$AC, "Review-1"))</f>
        <v/>
      </c>
      <c r="Y901" s="7" t="str">
        <f>IF(ISBLANK(patch[[#This Row],[project]]), "",COUNTIFS($A:$A,patch[[#This Row],[number]],$S:$S, "SH And dev",$AC:$AC, "Review-1"))</f>
        <v/>
      </c>
      <c r="Z901" s="7" t="str">
        <f>IF(ISBLANK(patch[[#This Row],[project]]), "",COUNTIFS($A:$A,patch[[#This Row],[number]],$S:$S, "BJ And dev",$AD:$AD, "&lt;&gt;IntegratorValidationComment"))</f>
        <v/>
      </c>
      <c r="AA901" s="7" t="str">
        <f>IF(ISBLANK(patch[[#This Row],[project]]), "",COUNTIFS($A:$A,patch[[#This Row],[number]],$S:$S, "FL And dev",$AD:$AD, "&lt;&gt;IntegratorValidationComment"))</f>
        <v/>
      </c>
      <c r="AB901" s="7" t="str">
        <f>IF(ISBLANK(patch[[#This Row],[project]]), "",COUNTIFS($A:$A,patch[[#This Row],[number]],$S:$S, "SH And dev",$AD:$AD, "&lt;&gt;IntegratorValidationComment"))</f>
        <v/>
      </c>
      <c r="AC901" s="7" t="str">
        <f>IF(OR(ISNUMBER(FIND("Review-1", patch[[#This Row],[comments]])), ISNUMBER(FIND("Approver-1", patch[[#This Row],[comments]]))), "Review-1", "")</f>
        <v/>
      </c>
      <c r="AD9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01" s="7">
        <f>IF(ISBLANK(patch[[#This Row],[number]]),AE900,patch[[#This Row],[ifCommon]])</f>
        <v>0</v>
      </c>
    </row>
    <row r="902" spans="1:31">
      <c r="A902" s="151">
        <v>146613</v>
      </c>
      <c r="B902" s="151"/>
      <c r="C902" s="151"/>
      <c r="D902" s="151"/>
      <c r="E902" s="151"/>
      <c r="F902" s="151"/>
      <c r="G902" s="151"/>
      <c r="H902" s="151"/>
      <c r="I902" s="151"/>
      <c r="J902" s="152">
        <v>42634.763287037043</v>
      </c>
      <c r="K902" s="151"/>
      <c r="L902" s="151" t="s">
        <v>115</v>
      </c>
      <c r="M902" s="152">
        <v>42634.560231481482</v>
      </c>
      <c r="N902" s="151" t="s">
        <v>2494</v>
      </c>
      <c r="O902" s="151"/>
      <c r="P902" s="151"/>
      <c r="Q902" s="7" t="str">
        <f>IF(ISBLANK(patch[[#This Row],[OwnerEmail]]),Q901,patch[[#This Row],[OwnerEmail]])</f>
        <v>lipingx.xu@intel.com</v>
      </c>
      <c r="R902" s="7" t="str">
        <f>_xlfn.IFNA(VLOOKUP(patch[[#This Row],[tmp-owner.email]],OrgTree!$A:$K, 11, 0), "not ICG SWFW")</f>
        <v>BJ And dev</v>
      </c>
      <c r="S902" s="7" t="str">
        <f>IF(patch[[#This Row],[reviewer]]=patch[[#This Row],[tmp-owner.email]], "author", _xlfn.IFNA(VLOOKUP(patch[[#This Row],[reviewer]],OrgTree!$A:$K, 11, 0), "not ICG SWFW"))</f>
        <v>Val</v>
      </c>
      <c r="T902" s="7" t="str">
        <f>IF(ISBLANK(patch[[#This Row],[mergeDate]]), "", MID(YEAR(patch[[#This Row],[mergeDate]]), 3,2)&amp;"'ww"&amp;WEEKNUM(patch[[#This Row],[mergeDate]]))</f>
        <v>16'ww39</v>
      </c>
      <c r="U902" s="7" t="str">
        <f>IF(ISBLANK(patch[[#This Row],[mergeDate]]), U901, MID(YEAR(patch[[#This Row],[mergeDate]]), 3,2)&amp;"'m"&amp;MONTH(patch[[#This Row],[mergeDate]]))</f>
        <v>16'm9</v>
      </c>
      <c r="V902" s="7" t="str">
        <f>IF(ISBLANK(patch[[#This Row],[project]]), "",SUM(patch[[#This Row],[BJ -1 num]:[SH -1 num]]))</f>
        <v/>
      </c>
      <c r="W902" s="7" t="str">
        <f>IF(ISBLANK(patch[[#This Row],[project]]), "",COUNTIFS($A:$A,patch[[#This Row],[number]],$S:$S, "BJ And dev",$AC:$AC, "Review-1"))</f>
        <v/>
      </c>
      <c r="X902" s="7" t="str">
        <f>IF(ISBLANK(patch[[#This Row],[project]]), "",COUNTIFS($A:$A,patch[[#This Row],[number]],$S:$S, "FL And dev",$AC:$AC, "Review-1"))</f>
        <v/>
      </c>
      <c r="Y902" s="7" t="str">
        <f>IF(ISBLANK(patch[[#This Row],[project]]), "",COUNTIFS($A:$A,patch[[#This Row],[number]],$S:$S, "SH And dev",$AC:$AC, "Review-1"))</f>
        <v/>
      </c>
      <c r="Z902" s="7" t="str">
        <f>IF(ISBLANK(patch[[#This Row],[project]]), "",COUNTIFS($A:$A,patch[[#This Row],[number]],$S:$S, "BJ And dev",$AD:$AD, "&lt;&gt;IntegratorValidationComment"))</f>
        <v/>
      </c>
      <c r="AA902" s="7" t="str">
        <f>IF(ISBLANK(patch[[#This Row],[project]]), "",COUNTIFS($A:$A,patch[[#This Row],[number]],$S:$S, "FL And dev",$AD:$AD, "&lt;&gt;IntegratorValidationComment"))</f>
        <v/>
      </c>
      <c r="AB902" s="7" t="str">
        <f>IF(ISBLANK(patch[[#This Row],[project]]), "",COUNTIFS($A:$A,patch[[#This Row],[number]],$S:$S, "SH And dev",$AD:$AD, "&lt;&gt;IntegratorValidationComment"))</f>
        <v/>
      </c>
      <c r="AC902" s="7" t="str">
        <f>IF(OR(ISNUMBER(FIND("Review-1", patch[[#This Row],[comments]])), ISNUMBER(FIND("Approver-1", patch[[#This Row],[comments]]))), "Review-1", "")</f>
        <v/>
      </c>
      <c r="AD9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902" s="7">
        <f>IF(ISBLANK(patch[[#This Row],[number]]),AE901,patch[[#This Row],[ifCommon]])</f>
        <v>0</v>
      </c>
    </row>
    <row r="903" spans="1:31">
      <c r="A903" s="151">
        <v>146612</v>
      </c>
      <c r="B903" s="151" t="s">
        <v>2490</v>
      </c>
      <c r="C903" s="151" t="s">
        <v>2795</v>
      </c>
      <c r="D903" s="151" t="s">
        <v>3052</v>
      </c>
      <c r="E903" s="151" t="s">
        <v>677</v>
      </c>
      <c r="F903" s="151" t="s">
        <v>23</v>
      </c>
      <c r="G903" s="151" t="s">
        <v>3053</v>
      </c>
      <c r="H903" s="151" t="s">
        <v>3054</v>
      </c>
      <c r="I903" s="152">
        <v>42633.740081018521</v>
      </c>
      <c r="J903" s="152">
        <v>42634.763229166667</v>
      </c>
      <c r="K903" s="151" t="s">
        <v>2445</v>
      </c>
      <c r="L903" s="151" t="s">
        <v>677</v>
      </c>
      <c r="M903" s="152">
        <v>42633.740081018521</v>
      </c>
      <c r="N903" s="151" t="s">
        <v>25</v>
      </c>
      <c r="O903" s="151"/>
      <c r="P903" s="151" t="s">
        <v>3049</v>
      </c>
      <c r="Q903" s="7" t="str">
        <f>IF(ISBLANK(patch[[#This Row],[OwnerEmail]]),Q902,patch[[#This Row],[OwnerEmail]])</f>
        <v>lipingx.xu@intel.com</v>
      </c>
      <c r="R903" s="7" t="str">
        <f>_xlfn.IFNA(VLOOKUP(patch[[#This Row],[tmp-owner.email]],OrgTree!$A:$K, 11, 0), "not ICG SWFW")</f>
        <v>BJ And dev</v>
      </c>
      <c r="S903" s="7" t="str">
        <f>IF(patch[[#This Row],[reviewer]]=patch[[#This Row],[tmp-owner.email]], "author", _xlfn.IFNA(VLOOKUP(patch[[#This Row],[reviewer]],OrgTree!$A:$K, 11, 0), "not ICG SWFW"))</f>
        <v>author</v>
      </c>
      <c r="T903" s="7" t="str">
        <f>IF(ISBLANK(patch[[#This Row],[mergeDate]]), "", MID(YEAR(patch[[#This Row],[mergeDate]]), 3,2)&amp;"'ww"&amp;WEEKNUM(patch[[#This Row],[mergeDate]]))</f>
        <v>16'ww39</v>
      </c>
      <c r="U903" s="7" t="str">
        <f>IF(ISBLANK(patch[[#This Row],[mergeDate]]), U902, MID(YEAR(patch[[#This Row],[mergeDate]]), 3,2)&amp;"'m"&amp;MONTH(patch[[#This Row],[mergeDate]]))</f>
        <v>16'm9</v>
      </c>
      <c r="V903" s="7">
        <f>IF(ISBLANK(patch[[#This Row],[project]]), "",SUM(patch[[#This Row],[BJ -1 num]:[SH -1 num]]))</f>
        <v>0</v>
      </c>
      <c r="W903" s="7">
        <f>IF(ISBLANK(patch[[#This Row],[project]]), "",COUNTIFS($A:$A,patch[[#This Row],[number]],$S:$S, "BJ And dev",$AC:$AC, "Review-1"))</f>
        <v>0</v>
      </c>
      <c r="X903" s="7">
        <f>IF(ISBLANK(patch[[#This Row],[project]]), "",COUNTIFS($A:$A,patch[[#This Row],[number]],$S:$S, "FL And dev",$AC:$AC, "Review-1"))</f>
        <v>0</v>
      </c>
      <c r="Y903" s="7">
        <f>IF(ISBLANK(patch[[#This Row],[project]]), "",COUNTIFS($A:$A,patch[[#This Row],[number]],$S:$S, "SH And dev",$AC:$AC, "Review-1"))</f>
        <v>0</v>
      </c>
      <c r="Z903" s="7">
        <f>IF(ISBLANK(patch[[#This Row],[project]]), "",COUNTIFS($A:$A,patch[[#This Row],[number]],$S:$S, "BJ And dev",$AD:$AD, "&lt;&gt;IntegratorValidationComment"))</f>
        <v>2</v>
      </c>
      <c r="AA903" s="7">
        <f>IF(ISBLANK(patch[[#This Row],[project]]), "",COUNTIFS($A:$A,patch[[#This Row],[number]],$S:$S, "FL And dev",$AD:$AD, "&lt;&gt;IntegratorValidationComment"))</f>
        <v>1</v>
      </c>
      <c r="AB903" s="7">
        <f>IF(ISBLANK(patch[[#This Row],[project]]), "",COUNTIFS($A:$A,patch[[#This Row],[number]],$S:$S, "SH And dev",$AD:$AD, "&lt;&gt;IntegratorValidationComment"))</f>
        <v>0</v>
      </c>
      <c r="AC903" s="7" t="str">
        <f>IF(OR(ISNUMBER(FIND("Review-1", patch[[#This Row],[comments]])), ISNUMBER(FIND("Approver-1", patch[[#This Row],[comments]]))), "Review-1", "")</f>
        <v/>
      </c>
      <c r="AD9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03" s="7" t="str">
        <f>IF(ISBLANK(patch[[#This Row],[number]]),AE902,patch[[#This Row],[ifCommon]])</f>
        <v>not AndrHAL</v>
      </c>
    </row>
    <row r="904" spans="1:31">
      <c r="A904" s="151">
        <v>146612</v>
      </c>
      <c r="B904" s="151"/>
      <c r="C904" s="151"/>
      <c r="D904" s="151"/>
      <c r="E904" s="151"/>
      <c r="F904" s="151"/>
      <c r="G904" s="151"/>
      <c r="H904" s="151"/>
      <c r="I904" s="151"/>
      <c r="J904" s="152">
        <v>42634.763229166667</v>
      </c>
      <c r="K904" s="151"/>
      <c r="L904" s="151" t="s">
        <v>677</v>
      </c>
      <c r="M904" s="152">
        <v>42633.740173611113</v>
      </c>
      <c r="N904" s="151" t="s">
        <v>2428</v>
      </c>
      <c r="O904" s="151"/>
      <c r="P904" s="151"/>
      <c r="Q904" s="7" t="str">
        <f>IF(ISBLANK(patch[[#This Row],[OwnerEmail]]),Q903,patch[[#This Row],[OwnerEmail]])</f>
        <v>lipingx.xu@intel.com</v>
      </c>
      <c r="R904" s="7" t="str">
        <f>_xlfn.IFNA(VLOOKUP(patch[[#This Row],[tmp-owner.email]],OrgTree!$A:$K, 11, 0), "not ICG SWFW")</f>
        <v>BJ And dev</v>
      </c>
      <c r="S904" s="7" t="str">
        <f>IF(patch[[#This Row],[reviewer]]=patch[[#This Row],[tmp-owner.email]], "author", _xlfn.IFNA(VLOOKUP(patch[[#This Row],[reviewer]],OrgTree!$A:$K, 11, 0), "not ICG SWFW"))</f>
        <v>author</v>
      </c>
      <c r="T904" s="7" t="str">
        <f>IF(ISBLANK(patch[[#This Row],[mergeDate]]), "", MID(YEAR(patch[[#This Row],[mergeDate]]), 3,2)&amp;"'ww"&amp;WEEKNUM(patch[[#This Row],[mergeDate]]))</f>
        <v>16'ww39</v>
      </c>
      <c r="U904" s="7" t="str">
        <f>IF(ISBLANK(patch[[#This Row],[mergeDate]]), U903, MID(YEAR(patch[[#This Row],[mergeDate]]), 3,2)&amp;"'m"&amp;MONTH(patch[[#This Row],[mergeDate]]))</f>
        <v>16'm9</v>
      </c>
      <c r="V904" s="7" t="str">
        <f>IF(ISBLANK(patch[[#This Row],[project]]), "",SUM(patch[[#This Row],[BJ -1 num]:[SH -1 num]]))</f>
        <v/>
      </c>
      <c r="W904" s="7" t="str">
        <f>IF(ISBLANK(patch[[#This Row],[project]]), "",COUNTIFS($A:$A,patch[[#This Row],[number]],$S:$S, "BJ And dev",$AC:$AC, "Review-1"))</f>
        <v/>
      </c>
      <c r="X904" s="7" t="str">
        <f>IF(ISBLANK(patch[[#This Row],[project]]), "",COUNTIFS($A:$A,patch[[#This Row],[number]],$S:$S, "FL And dev",$AC:$AC, "Review-1"))</f>
        <v/>
      </c>
      <c r="Y904" s="7" t="str">
        <f>IF(ISBLANK(patch[[#This Row],[project]]), "",COUNTIFS($A:$A,patch[[#This Row],[number]],$S:$S, "SH And dev",$AC:$AC, "Review-1"))</f>
        <v/>
      </c>
      <c r="Z904" s="7" t="str">
        <f>IF(ISBLANK(patch[[#This Row],[project]]), "",COUNTIFS($A:$A,patch[[#This Row],[number]],$S:$S, "BJ And dev",$AD:$AD, "&lt;&gt;IntegratorValidationComment"))</f>
        <v/>
      </c>
      <c r="AA904" s="7" t="str">
        <f>IF(ISBLANK(patch[[#This Row],[project]]), "",COUNTIFS($A:$A,patch[[#This Row],[number]],$S:$S, "FL And dev",$AD:$AD, "&lt;&gt;IntegratorValidationComment"))</f>
        <v/>
      </c>
      <c r="AB904" s="7" t="str">
        <f>IF(ISBLANK(patch[[#This Row],[project]]), "",COUNTIFS($A:$A,patch[[#This Row],[number]],$S:$S, "SH And dev",$AD:$AD, "&lt;&gt;IntegratorValidationComment"))</f>
        <v/>
      </c>
      <c r="AC904" s="7" t="str">
        <f>IF(OR(ISNUMBER(FIND("Review-1", patch[[#This Row],[comments]])), ISNUMBER(FIND("Approver-1", patch[[#This Row],[comments]]))), "Review-1", "")</f>
        <v/>
      </c>
      <c r="AD9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04" s="7">
        <f>IF(ISBLANK(patch[[#This Row],[number]]),AE903,patch[[#This Row],[ifCommon]])</f>
        <v>0</v>
      </c>
    </row>
    <row r="905" spans="1:31">
      <c r="A905" s="151">
        <v>146612</v>
      </c>
      <c r="B905" s="151"/>
      <c r="C905" s="151"/>
      <c r="D905" s="151"/>
      <c r="E905" s="151"/>
      <c r="F905" s="151"/>
      <c r="G905" s="151"/>
      <c r="H905" s="151"/>
      <c r="I905" s="151"/>
      <c r="J905" s="152">
        <v>42634.763229166667</v>
      </c>
      <c r="K905" s="151"/>
      <c r="L905" s="151" t="s">
        <v>677</v>
      </c>
      <c r="M905" s="152">
        <v>42633.743622685193</v>
      </c>
      <c r="N905" s="151" t="s">
        <v>40</v>
      </c>
      <c r="O905" s="151"/>
      <c r="P905" s="151"/>
      <c r="Q905" s="7" t="str">
        <f>IF(ISBLANK(patch[[#This Row],[OwnerEmail]]),Q904,patch[[#This Row],[OwnerEmail]])</f>
        <v>lipingx.xu@intel.com</v>
      </c>
      <c r="R905" s="7" t="str">
        <f>_xlfn.IFNA(VLOOKUP(patch[[#This Row],[tmp-owner.email]],OrgTree!$A:$K, 11, 0), "not ICG SWFW")</f>
        <v>BJ And dev</v>
      </c>
      <c r="S905" s="7" t="str">
        <f>IF(patch[[#This Row],[reviewer]]=patch[[#This Row],[tmp-owner.email]], "author", _xlfn.IFNA(VLOOKUP(patch[[#This Row],[reviewer]],OrgTree!$A:$K, 11, 0), "not ICG SWFW"))</f>
        <v>author</v>
      </c>
      <c r="T905" s="7" t="str">
        <f>IF(ISBLANK(patch[[#This Row],[mergeDate]]), "", MID(YEAR(patch[[#This Row],[mergeDate]]), 3,2)&amp;"'ww"&amp;WEEKNUM(patch[[#This Row],[mergeDate]]))</f>
        <v>16'ww39</v>
      </c>
      <c r="U905" s="7" t="str">
        <f>IF(ISBLANK(patch[[#This Row],[mergeDate]]), U904, MID(YEAR(patch[[#This Row],[mergeDate]]), 3,2)&amp;"'m"&amp;MONTH(patch[[#This Row],[mergeDate]]))</f>
        <v>16'm9</v>
      </c>
      <c r="V905" s="7" t="str">
        <f>IF(ISBLANK(patch[[#This Row],[project]]), "",SUM(patch[[#This Row],[BJ -1 num]:[SH -1 num]]))</f>
        <v/>
      </c>
      <c r="W905" s="7" t="str">
        <f>IF(ISBLANK(patch[[#This Row],[project]]), "",COUNTIFS($A:$A,patch[[#This Row],[number]],$S:$S, "BJ And dev",$AC:$AC, "Review-1"))</f>
        <v/>
      </c>
      <c r="X905" s="7" t="str">
        <f>IF(ISBLANK(patch[[#This Row],[project]]), "",COUNTIFS($A:$A,patch[[#This Row],[number]],$S:$S, "FL And dev",$AC:$AC, "Review-1"))</f>
        <v/>
      </c>
      <c r="Y905" s="7" t="str">
        <f>IF(ISBLANK(patch[[#This Row],[project]]), "",COUNTIFS($A:$A,patch[[#This Row],[number]],$S:$S, "SH And dev",$AC:$AC, "Review-1"))</f>
        <v/>
      </c>
      <c r="Z905" s="7" t="str">
        <f>IF(ISBLANK(patch[[#This Row],[project]]), "",COUNTIFS($A:$A,patch[[#This Row],[number]],$S:$S, "BJ And dev",$AD:$AD, "&lt;&gt;IntegratorValidationComment"))</f>
        <v/>
      </c>
      <c r="AA905" s="7" t="str">
        <f>IF(ISBLANK(patch[[#This Row],[project]]), "",COUNTIFS($A:$A,patch[[#This Row],[number]],$S:$S, "FL And dev",$AD:$AD, "&lt;&gt;IntegratorValidationComment"))</f>
        <v/>
      </c>
      <c r="AB905" s="7" t="str">
        <f>IF(ISBLANK(patch[[#This Row],[project]]), "",COUNTIFS($A:$A,patch[[#This Row],[number]],$S:$S, "SH And dev",$AD:$AD, "&lt;&gt;IntegratorValidationComment"))</f>
        <v/>
      </c>
      <c r="AC905" s="7" t="str">
        <f>IF(OR(ISNUMBER(FIND("Review-1", patch[[#This Row],[comments]])), ISNUMBER(FIND("Approver-1", patch[[#This Row],[comments]]))), "Review-1", "")</f>
        <v/>
      </c>
      <c r="AD9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05" s="7">
        <f>IF(ISBLANK(patch[[#This Row],[number]]),AE904,patch[[#This Row],[ifCommon]])</f>
        <v>0</v>
      </c>
    </row>
    <row r="906" spans="1:31">
      <c r="A906" s="151">
        <v>146612</v>
      </c>
      <c r="B906" s="151"/>
      <c r="C906" s="151"/>
      <c r="D906" s="151"/>
      <c r="E906" s="151"/>
      <c r="F906" s="151"/>
      <c r="G906" s="151"/>
      <c r="H906" s="151"/>
      <c r="I906" s="151"/>
      <c r="J906" s="152">
        <v>42634.763229166667</v>
      </c>
      <c r="K906" s="151"/>
      <c r="L906" s="151" t="s">
        <v>59</v>
      </c>
      <c r="M906" s="152">
        <v>42633.748784722222</v>
      </c>
      <c r="N906" s="151" t="s">
        <v>3055</v>
      </c>
      <c r="O906" s="151"/>
      <c r="P906" s="151"/>
      <c r="Q906" s="7" t="str">
        <f>IF(ISBLANK(patch[[#This Row],[OwnerEmail]]),Q905,patch[[#This Row],[OwnerEmail]])</f>
        <v>lipingx.xu@intel.com</v>
      </c>
      <c r="R906" s="7" t="str">
        <f>_xlfn.IFNA(VLOOKUP(patch[[#This Row],[tmp-owner.email]],OrgTree!$A:$K, 11, 0), "not ICG SWFW")</f>
        <v>BJ And dev</v>
      </c>
      <c r="S906" s="7" t="str">
        <f>IF(patch[[#This Row],[reviewer]]=patch[[#This Row],[tmp-owner.email]], "author", _xlfn.IFNA(VLOOKUP(patch[[#This Row],[reviewer]],OrgTree!$A:$K, 11, 0), "not ICG SWFW"))</f>
        <v>BJ And dev</v>
      </c>
      <c r="T906" s="7" t="str">
        <f>IF(ISBLANK(patch[[#This Row],[mergeDate]]), "", MID(YEAR(patch[[#This Row],[mergeDate]]), 3,2)&amp;"'ww"&amp;WEEKNUM(patch[[#This Row],[mergeDate]]))</f>
        <v>16'ww39</v>
      </c>
      <c r="U906" s="7" t="str">
        <f>IF(ISBLANK(patch[[#This Row],[mergeDate]]), U905, MID(YEAR(patch[[#This Row],[mergeDate]]), 3,2)&amp;"'m"&amp;MONTH(patch[[#This Row],[mergeDate]]))</f>
        <v>16'm9</v>
      </c>
      <c r="V906" s="7" t="str">
        <f>IF(ISBLANK(patch[[#This Row],[project]]), "",SUM(patch[[#This Row],[BJ -1 num]:[SH -1 num]]))</f>
        <v/>
      </c>
      <c r="W906" s="7" t="str">
        <f>IF(ISBLANK(patch[[#This Row],[project]]), "",COUNTIFS($A:$A,patch[[#This Row],[number]],$S:$S, "BJ And dev",$AC:$AC, "Review-1"))</f>
        <v/>
      </c>
      <c r="X906" s="7" t="str">
        <f>IF(ISBLANK(patch[[#This Row],[project]]), "",COUNTIFS($A:$A,patch[[#This Row],[number]],$S:$S, "FL And dev",$AC:$AC, "Review-1"))</f>
        <v/>
      </c>
      <c r="Y906" s="7" t="str">
        <f>IF(ISBLANK(patch[[#This Row],[project]]), "",COUNTIFS($A:$A,patch[[#This Row],[number]],$S:$S, "SH And dev",$AC:$AC, "Review-1"))</f>
        <v/>
      </c>
      <c r="Z906" s="7" t="str">
        <f>IF(ISBLANK(patch[[#This Row],[project]]), "",COUNTIFS($A:$A,patch[[#This Row],[number]],$S:$S, "BJ And dev",$AD:$AD, "&lt;&gt;IntegratorValidationComment"))</f>
        <v/>
      </c>
      <c r="AA906" s="7" t="str">
        <f>IF(ISBLANK(patch[[#This Row],[project]]), "",COUNTIFS($A:$A,patch[[#This Row],[number]],$S:$S, "FL And dev",$AD:$AD, "&lt;&gt;IntegratorValidationComment"))</f>
        <v/>
      </c>
      <c r="AB906" s="7" t="str">
        <f>IF(ISBLANK(patch[[#This Row],[project]]), "",COUNTIFS($A:$A,patch[[#This Row],[number]],$S:$S, "SH And dev",$AD:$AD, "&lt;&gt;IntegratorValidationComment"))</f>
        <v/>
      </c>
      <c r="AC906" s="7" t="str">
        <f>IF(OR(ISNUMBER(FIND("Review-1", patch[[#This Row],[comments]])), ISNUMBER(FIND("Approver-1", patch[[#This Row],[comments]]))), "Review-1", "")</f>
        <v/>
      </c>
      <c r="AD9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06" s="7">
        <f>IF(ISBLANK(patch[[#This Row],[number]]),AE905,patch[[#This Row],[ifCommon]])</f>
        <v>0</v>
      </c>
    </row>
    <row r="907" spans="1:31">
      <c r="A907" s="151">
        <v>146612</v>
      </c>
      <c r="B907" s="151"/>
      <c r="C907" s="151"/>
      <c r="D907" s="151"/>
      <c r="E907" s="151"/>
      <c r="F907" s="151"/>
      <c r="G907" s="151"/>
      <c r="H907" s="151"/>
      <c r="I907" s="151"/>
      <c r="J907" s="152">
        <v>42634.763229166667</v>
      </c>
      <c r="K907" s="151"/>
      <c r="L907" s="151" t="s">
        <v>61</v>
      </c>
      <c r="M907" s="152">
        <v>42633.754976851851</v>
      </c>
      <c r="N907" s="151" t="s">
        <v>40</v>
      </c>
      <c r="O907" s="151"/>
      <c r="P907" s="151"/>
      <c r="Q907" s="7" t="str">
        <f>IF(ISBLANK(patch[[#This Row],[OwnerEmail]]),Q906,patch[[#This Row],[OwnerEmail]])</f>
        <v>lipingx.xu@intel.com</v>
      </c>
      <c r="R907" s="7" t="str">
        <f>_xlfn.IFNA(VLOOKUP(patch[[#This Row],[tmp-owner.email]],OrgTree!$A:$K, 11, 0), "not ICG SWFW")</f>
        <v>BJ And dev</v>
      </c>
      <c r="S907" s="7" t="str">
        <f>IF(patch[[#This Row],[reviewer]]=patch[[#This Row],[tmp-owner.email]], "author", _xlfn.IFNA(VLOOKUP(patch[[#This Row],[reviewer]],OrgTree!$A:$K, 11, 0), "not ICG SWFW"))</f>
        <v>FL And dev</v>
      </c>
      <c r="T907" s="7" t="str">
        <f>IF(ISBLANK(patch[[#This Row],[mergeDate]]), "", MID(YEAR(patch[[#This Row],[mergeDate]]), 3,2)&amp;"'ww"&amp;WEEKNUM(patch[[#This Row],[mergeDate]]))</f>
        <v>16'ww39</v>
      </c>
      <c r="U907" s="7" t="str">
        <f>IF(ISBLANK(patch[[#This Row],[mergeDate]]), U906, MID(YEAR(patch[[#This Row],[mergeDate]]), 3,2)&amp;"'m"&amp;MONTH(patch[[#This Row],[mergeDate]]))</f>
        <v>16'm9</v>
      </c>
      <c r="V907" s="7" t="str">
        <f>IF(ISBLANK(patch[[#This Row],[project]]), "",SUM(patch[[#This Row],[BJ -1 num]:[SH -1 num]]))</f>
        <v/>
      </c>
      <c r="W907" s="7" t="str">
        <f>IF(ISBLANK(patch[[#This Row],[project]]), "",COUNTIFS($A:$A,patch[[#This Row],[number]],$S:$S, "BJ And dev",$AC:$AC, "Review-1"))</f>
        <v/>
      </c>
      <c r="X907" s="7" t="str">
        <f>IF(ISBLANK(patch[[#This Row],[project]]), "",COUNTIFS($A:$A,patch[[#This Row],[number]],$S:$S, "FL And dev",$AC:$AC, "Review-1"))</f>
        <v/>
      </c>
      <c r="Y907" s="7" t="str">
        <f>IF(ISBLANK(patch[[#This Row],[project]]), "",COUNTIFS($A:$A,patch[[#This Row],[number]],$S:$S, "SH And dev",$AC:$AC, "Review-1"))</f>
        <v/>
      </c>
      <c r="Z907" s="7" t="str">
        <f>IF(ISBLANK(patch[[#This Row],[project]]), "",COUNTIFS($A:$A,patch[[#This Row],[number]],$S:$S, "BJ And dev",$AD:$AD, "&lt;&gt;IntegratorValidationComment"))</f>
        <v/>
      </c>
      <c r="AA907" s="7" t="str">
        <f>IF(ISBLANK(patch[[#This Row],[project]]), "",COUNTIFS($A:$A,patch[[#This Row],[number]],$S:$S, "FL And dev",$AD:$AD, "&lt;&gt;IntegratorValidationComment"))</f>
        <v/>
      </c>
      <c r="AB907" s="7" t="str">
        <f>IF(ISBLANK(patch[[#This Row],[project]]), "",COUNTIFS($A:$A,patch[[#This Row],[number]],$S:$S, "SH And dev",$AD:$AD, "&lt;&gt;IntegratorValidationComment"))</f>
        <v/>
      </c>
      <c r="AC907" s="7" t="str">
        <f>IF(OR(ISNUMBER(FIND("Review-1", patch[[#This Row],[comments]])), ISNUMBER(FIND("Approver-1", patch[[#This Row],[comments]]))), "Review-1", "")</f>
        <v/>
      </c>
      <c r="AD9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07" s="7">
        <f>IF(ISBLANK(patch[[#This Row],[number]]),AE906,patch[[#This Row],[ifCommon]])</f>
        <v>0</v>
      </c>
    </row>
    <row r="908" spans="1:31">
      <c r="A908" s="151">
        <v>146612</v>
      </c>
      <c r="B908" s="151"/>
      <c r="C908" s="151"/>
      <c r="D908" s="151"/>
      <c r="E908" s="151"/>
      <c r="F908" s="151"/>
      <c r="G908" s="151"/>
      <c r="H908" s="151"/>
      <c r="I908" s="151"/>
      <c r="J908" s="152">
        <v>42634.763229166667</v>
      </c>
      <c r="K908" s="151"/>
      <c r="L908" s="151" t="s">
        <v>59</v>
      </c>
      <c r="M908" s="152">
        <v>42633.758611111109</v>
      </c>
      <c r="N908" s="151" t="s">
        <v>1880</v>
      </c>
      <c r="O908" s="151"/>
      <c r="P908" s="151"/>
      <c r="Q908" s="7" t="str">
        <f>IF(ISBLANK(patch[[#This Row],[OwnerEmail]]),Q907,patch[[#This Row],[OwnerEmail]])</f>
        <v>lipingx.xu@intel.com</v>
      </c>
      <c r="R908" s="7" t="str">
        <f>_xlfn.IFNA(VLOOKUP(patch[[#This Row],[tmp-owner.email]],OrgTree!$A:$K, 11, 0), "not ICG SWFW")</f>
        <v>BJ And dev</v>
      </c>
      <c r="S908" s="7" t="str">
        <f>IF(patch[[#This Row],[reviewer]]=patch[[#This Row],[tmp-owner.email]], "author", _xlfn.IFNA(VLOOKUP(patch[[#This Row],[reviewer]],OrgTree!$A:$K, 11, 0), "not ICG SWFW"))</f>
        <v>BJ And dev</v>
      </c>
      <c r="T908" s="7" t="str">
        <f>IF(ISBLANK(patch[[#This Row],[mergeDate]]), "", MID(YEAR(patch[[#This Row],[mergeDate]]), 3,2)&amp;"'ww"&amp;WEEKNUM(patch[[#This Row],[mergeDate]]))</f>
        <v>16'ww39</v>
      </c>
      <c r="U908" s="7" t="str">
        <f>IF(ISBLANK(patch[[#This Row],[mergeDate]]), U907, MID(YEAR(patch[[#This Row],[mergeDate]]), 3,2)&amp;"'m"&amp;MONTH(patch[[#This Row],[mergeDate]]))</f>
        <v>16'm9</v>
      </c>
      <c r="V908" s="7" t="str">
        <f>IF(ISBLANK(patch[[#This Row],[project]]), "",SUM(patch[[#This Row],[BJ -1 num]:[SH -1 num]]))</f>
        <v/>
      </c>
      <c r="W908" s="7" t="str">
        <f>IF(ISBLANK(patch[[#This Row],[project]]), "",COUNTIFS($A:$A,patch[[#This Row],[number]],$S:$S, "BJ And dev",$AC:$AC, "Review-1"))</f>
        <v/>
      </c>
      <c r="X908" s="7" t="str">
        <f>IF(ISBLANK(patch[[#This Row],[project]]), "",COUNTIFS($A:$A,patch[[#This Row],[number]],$S:$S, "FL And dev",$AC:$AC, "Review-1"))</f>
        <v/>
      </c>
      <c r="Y908" s="7" t="str">
        <f>IF(ISBLANK(patch[[#This Row],[project]]), "",COUNTIFS($A:$A,patch[[#This Row],[number]],$S:$S, "SH And dev",$AC:$AC, "Review-1"))</f>
        <v/>
      </c>
      <c r="Z908" s="7" t="str">
        <f>IF(ISBLANK(patch[[#This Row],[project]]), "",COUNTIFS($A:$A,patch[[#This Row],[number]],$S:$S, "BJ And dev",$AD:$AD, "&lt;&gt;IntegratorValidationComment"))</f>
        <v/>
      </c>
      <c r="AA908" s="7" t="str">
        <f>IF(ISBLANK(patch[[#This Row],[project]]), "",COUNTIFS($A:$A,patch[[#This Row],[number]],$S:$S, "FL And dev",$AD:$AD, "&lt;&gt;IntegratorValidationComment"))</f>
        <v/>
      </c>
      <c r="AB908" s="7" t="str">
        <f>IF(ISBLANK(patch[[#This Row],[project]]), "",COUNTIFS($A:$A,patch[[#This Row],[number]],$S:$S, "SH And dev",$AD:$AD, "&lt;&gt;IntegratorValidationComment"))</f>
        <v/>
      </c>
      <c r="AC908" s="7" t="str">
        <f>IF(OR(ISNUMBER(FIND("Review-1", patch[[#This Row],[comments]])), ISNUMBER(FIND("Approver-1", patch[[#This Row],[comments]]))), "Review-1", "")</f>
        <v/>
      </c>
      <c r="AD9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08" s="7">
        <f>IF(ISBLANK(patch[[#This Row],[number]]),AE907,patch[[#This Row],[ifCommon]])</f>
        <v>0</v>
      </c>
    </row>
    <row r="909" spans="1:31">
      <c r="A909" s="151">
        <v>146612</v>
      </c>
      <c r="B909" s="151"/>
      <c r="C909" s="151"/>
      <c r="D909" s="151"/>
      <c r="E909" s="151"/>
      <c r="F909" s="151"/>
      <c r="G909" s="151"/>
      <c r="H909" s="151"/>
      <c r="I909" s="151"/>
      <c r="J909" s="152">
        <v>42634.763229166667</v>
      </c>
      <c r="K909" s="151"/>
      <c r="L909" s="151" t="s">
        <v>115</v>
      </c>
      <c r="M909" s="152">
        <v>42634.560300925928</v>
      </c>
      <c r="N909" s="151" t="s">
        <v>2494</v>
      </c>
      <c r="O909" s="151"/>
      <c r="P909" s="151"/>
      <c r="Q909" s="7" t="str">
        <f>IF(ISBLANK(patch[[#This Row],[OwnerEmail]]),Q908,patch[[#This Row],[OwnerEmail]])</f>
        <v>lipingx.xu@intel.com</v>
      </c>
      <c r="R909" s="7" t="str">
        <f>_xlfn.IFNA(VLOOKUP(patch[[#This Row],[tmp-owner.email]],OrgTree!$A:$K, 11, 0), "not ICG SWFW")</f>
        <v>BJ And dev</v>
      </c>
      <c r="S909" s="7" t="str">
        <f>IF(patch[[#This Row],[reviewer]]=patch[[#This Row],[tmp-owner.email]], "author", _xlfn.IFNA(VLOOKUP(patch[[#This Row],[reviewer]],OrgTree!$A:$K, 11, 0), "not ICG SWFW"))</f>
        <v>Val</v>
      </c>
      <c r="T909" s="7" t="str">
        <f>IF(ISBLANK(patch[[#This Row],[mergeDate]]), "", MID(YEAR(patch[[#This Row],[mergeDate]]), 3,2)&amp;"'ww"&amp;WEEKNUM(patch[[#This Row],[mergeDate]]))</f>
        <v>16'ww39</v>
      </c>
      <c r="U909" s="7" t="str">
        <f>IF(ISBLANK(patch[[#This Row],[mergeDate]]), U908, MID(YEAR(patch[[#This Row],[mergeDate]]), 3,2)&amp;"'m"&amp;MONTH(patch[[#This Row],[mergeDate]]))</f>
        <v>16'm9</v>
      </c>
      <c r="V909" s="7" t="str">
        <f>IF(ISBLANK(patch[[#This Row],[project]]), "",SUM(patch[[#This Row],[BJ -1 num]:[SH -1 num]]))</f>
        <v/>
      </c>
      <c r="W909" s="7" t="str">
        <f>IF(ISBLANK(patch[[#This Row],[project]]), "",COUNTIFS($A:$A,patch[[#This Row],[number]],$S:$S, "BJ And dev",$AC:$AC, "Review-1"))</f>
        <v/>
      </c>
      <c r="X909" s="7" t="str">
        <f>IF(ISBLANK(patch[[#This Row],[project]]), "",COUNTIFS($A:$A,patch[[#This Row],[number]],$S:$S, "FL And dev",$AC:$AC, "Review-1"))</f>
        <v/>
      </c>
      <c r="Y909" s="7" t="str">
        <f>IF(ISBLANK(patch[[#This Row],[project]]), "",COUNTIFS($A:$A,patch[[#This Row],[number]],$S:$S, "SH And dev",$AC:$AC, "Review-1"))</f>
        <v/>
      </c>
      <c r="Z909" s="7" t="str">
        <f>IF(ISBLANK(patch[[#This Row],[project]]), "",COUNTIFS($A:$A,patch[[#This Row],[number]],$S:$S, "BJ And dev",$AD:$AD, "&lt;&gt;IntegratorValidationComment"))</f>
        <v/>
      </c>
      <c r="AA909" s="7" t="str">
        <f>IF(ISBLANK(patch[[#This Row],[project]]), "",COUNTIFS($A:$A,patch[[#This Row],[number]],$S:$S, "FL And dev",$AD:$AD, "&lt;&gt;IntegratorValidationComment"))</f>
        <v/>
      </c>
      <c r="AB909" s="7" t="str">
        <f>IF(ISBLANK(patch[[#This Row],[project]]), "",COUNTIFS($A:$A,patch[[#This Row],[number]],$S:$S, "SH And dev",$AD:$AD, "&lt;&gt;IntegratorValidationComment"))</f>
        <v/>
      </c>
      <c r="AC909" s="7" t="str">
        <f>IF(OR(ISNUMBER(FIND("Review-1", patch[[#This Row],[comments]])), ISNUMBER(FIND("Approver-1", patch[[#This Row],[comments]]))), "Review-1", "")</f>
        <v/>
      </c>
      <c r="AD9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909" s="7">
        <f>IF(ISBLANK(patch[[#This Row],[number]]),AE908,patch[[#This Row],[ifCommon]])</f>
        <v>0</v>
      </c>
    </row>
    <row r="910" spans="1:31">
      <c r="A910" s="151">
        <v>146611</v>
      </c>
      <c r="B910" s="151" t="s">
        <v>2490</v>
      </c>
      <c r="C910" s="151" t="s">
        <v>2795</v>
      </c>
      <c r="D910" s="151" t="s">
        <v>3056</v>
      </c>
      <c r="E910" s="151" t="s">
        <v>677</v>
      </c>
      <c r="F910" s="151" t="s">
        <v>23</v>
      </c>
      <c r="G910" s="151" t="s">
        <v>3057</v>
      </c>
      <c r="H910" s="151" t="s">
        <v>3058</v>
      </c>
      <c r="I910" s="152">
        <v>42633.740081018521</v>
      </c>
      <c r="J910" s="152">
        <v>42634.763194444437</v>
      </c>
      <c r="K910" s="151" t="s">
        <v>2445</v>
      </c>
      <c r="L910" s="151" t="s">
        <v>677</v>
      </c>
      <c r="M910" s="152">
        <v>42633.740081018521</v>
      </c>
      <c r="N910" s="151" t="s">
        <v>25</v>
      </c>
      <c r="O910" s="151"/>
      <c r="P910" s="151" t="s">
        <v>59</v>
      </c>
      <c r="Q910" s="7" t="str">
        <f>IF(ISBLANK(patch[[#This Row],[OwnerEmail]]),Q909,patch[[#This Row],[OwnerEmail]])</f>
        <v>lipingx.xu@intel.com</v>
      </c>
      <c r="R910" s="7" t="str">
        <f>_xlfn.IFNA(VLOOKUP(patch[[#This Row],[tmp-owner.email]],OrgTree!$A:$K, 11, 0), "not ICG SWFW")</f>
        <v>BJ And dev</v>
      </c>
      <c r="S910" s="7" t="str">
        <f>IF(patch[[#This Row],[reviewer]]=patch[[#This Row],[tmp-owner.email]], "author", _xlfn.IFNA(VLOOKUP(patch[[#This Row],[reviewer]],OrgTree!$A:$K, 11, 0), "not ICG SWFW"))</f>
        <v>author</v>
      </c>
      <c r="T910" s="7" t="str">
        <f>IF(ISBLANK(patch[[#This Row],[mergeDate]]), "", MID(YEAR(patch[[#This Row],[mergeDate]]), 3,2)&amp;"'ww"&amp;WEEKNUM(patch[[#This Row],[mergeDate]]))</f>
        <v>16'ww39</v>
      </c>
      <c r="U910" s="7" t="str">
        <f>IF(ISBLANK(patch[[#This Row],[mergeDate]]), U909, MID(YEAR(patch[[#This Row],[mergeDate]]), 3,2)&amp;"'m"&amp;MONTH(patch[[#This Row],[mergeDate]]))</f>
        <v>16'm9</v>
      </c>
      <c r="V910" s="7">
        <f>IF(ISBLANK(patch[[#This Row],[project]]), "",SUM(patch[[#This Row],[BJ -1 num]:[SH -1 num]]))</f>
        <v>0</v>
      </c>
      <c r="W910" s="7">
        <f>IF(ISBLANK(patch[[#This Row],[project]]), "",COUNTIFS($A:$A,patch[[#This Row],[number]],$S:$S, "BJ And dev",$AC:$AC, "Review-1"))</f>
        <v>0</v>
      </c>
      <c r="X910" s="7">
        <f>IF(ISBLANK(patch[[#This Row],[project]]), "",COUNTIFS($A:$A,patch[[#This Row],[number]],$S:$S, "FL And dev",$AC:$AC, "Review-1"))</f>
        <v>0</v>
      </c>
      <c r="Y910" s="7">
        <f>IF(ISBLANK(patch[[#This Row],[project]]), "",COUNTIFS($A:$A,patch[[#This Row],[number]],$S:$S, "SH And dev",$AC:$AC, "Review-1"))</f>
        <v>0</v>
      </c>
      <c r="Z910" s="7">
        <f>IF(ISBLANK(patch[[#This Row],[project]]), "",COUNTIFS($A:$A,patch[[#This Row],[number]],$S:$S, "BJ And dev",$AD:$AD, "&lt;&gt;IntegratorValidationComment"))</f>
        <v>2</v>
      </c>
      <c r="AA910" s="7">
        <f>IF(ISBLANK(patch[[#This Row],[project]]), "",COUNTIFS($A:$A,patch[[#This Row],[number]],$S:$S, "FL And dev",$AD:$AD, "&lt;&gt;IntegratorValidationComment"))</f>
        <v>0</v>
      </c>
      <c r="AB910" s="7">
        <f>IF(ISBLANK(patch[[#This Row],[project]]), "",COUNTIFS($A:$A,patch[[#This Row],[number]],$S:$S, "SH And dev",$AD:$AD, "&lt;&gt;IntegratorValidationComment"))</f>
        <v>0</v>
      </c>
      <c r="AC910" s="7" t="str">
        <f>IF(OR(ISNUMBER(FIND("Review-1", patch[[#This Row],[comments]])), ISNUMBER(FIND("Approver-1", patch[[#This Row],[comments]]))), "Review-1", "")</f>
        <v/>
      </c>
      <c r="AD9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10" s="7" t="str">
        <f>IF(ISBLANK(patch[[#This Row],[number]]),AE909,patch[[#This Row],[ifCommon]])</f>
        <v>not AndrHAL</v>
      </c>
    </row>
    <row r="911" spans="1:31">
      <c r="A911" s="151">
        <v>146611</v>
      </c>
      <c r="B911" s="151"/>
      <c r="C911" s="151"/>
      <c r="D911" s="151"/>
      <c r="E911" s="151"/>
      <c r="F911" s="151"/>
      <c r="G911" s="151"/>
      <c r="H911" s="151"/>
      <c r="I911" s="151"/>
      <c r="J911" s="152">
        <v>42634.763194444437</v>
      </c>
      <c r="K911" s="151"/>
      <c r="L911" s="151" t="s">
        <v>677</v>
      </c>
      <c r="M911" s="152">
        <v>42633.740173611113</v>
      </c>
      <c r="N911" s="151" t="s">
        <v>2428</v>
      </c>
      <c r="O911" s="151"/>
      <c r="P911" s="151"/>
      <c r="Q911" s="7" t="str">
        <f>IF(ISBLANK(patch[[#This Row],[OwnerEmail]]),Q910,patch[[#This Row],[OwnerEmail]])</f>
        <v>lipingx.xu@intel.com</v>
      </c>
      <c r="R911" s="7" t="str">
        <f>_xlfn.IFNA(VLOOKUP(patch[[#This Row],[tmp-owner.email]],OrgTree!$A:$K, 11, 0), "not ICG SWFW")</f>
        <v>BJ And dev</v>
      </c>
      <c r="S911" s="7" t="str">
        <f>IF(patch[[#This Row],[reviewer]]=patch[[#This Row],[tmp-owner.email]], "author", _xlfn.IFNA(VLOOKUP(patch[[#This Row],[reviewer]],OrgTree!$A:$K, 11, 0), "not ICG SWFW"))</f>
        <v>author</v>
      </c>
      <c r="T911" s="7" t="str">
        <f>IF(ISBLANK(patch[[#This Row],[mergeDate]]), "", MID(YEAR(patch[[#This Row],[mergeDate]]), 3,2)&amp;"'ww"&amp;WEEKNUM(patch[[#This Row],[mergeDate]]))</f>
        <v>16'ww39</v>
      </c>
      <c r="U911" s="7" t="str">
        <f>IF(ISBLANK(patch[[#This Row],[mergeDate]]), U910, MID(YEAR(patch[[#This Row],[mergeDate]]), 3,2)&amp;"'m"&amp;MONTH(patch[[#This Row],[mergeDate]]))</f>
        <v>16'm9</v>
      </c>
      <c r="V911" s="7" t="str">
        <f>IF(ISBLANK(patch[[#This Row],[project]]), "",SUM(patch[[#This Row],[BJ -1 num]:[SH -1 num]]))</f>
        <v/>
      </c>
      <c r="W911" s="7" t="str">
        <f>IF(ISBLANK(patch[[#This Row],[project]]), "",COUNTIFS($A:$A,patch[[#This Row],[number]],$S:$S, "BJ And dev",$AC:$AC, "Review-1"))</f>
        <v/>
      </c>
      <c r="X911" s="7" t="str">
        <f>IF(ISBLANK(patch[[#This Row],[project]]), "",COUNTIFS($A:$A,patch[[#This Row],[number]],$S:$S, "FL And dev",$AC:$AC, "Review-1"))</f>
        <v/>
      </c>
      <c r="Y911" s="7" t="str">
        <f>IF(ISBLANK(patch[[#This Row],[project]]), "",COUNTIFS($A:$A,patch[[#This Row],[number]],$S:$S, "SH And dev",$AC:$AC, "Review-1"))</f>
        <v/>
      </c>
      <c r="Z911" s="7" t="str">
        <f>IF(ISBLANK(patch[[#This Row],[project]]), "",COUNTIFS($A:$A,patch[[#This Row],[number]],$S:$S, "BJ And dev",$AD:$AD, "&lt;&gt;IntegratorValidationComment"))</f>
        <v/>
      </c>
      <c r="AA911" s="7" t="str">
        <f>IF(ISBLANK(patch[[#This Row],[project]]), "",COUNTIFS($A:$A,patch[[#This Row],[number]],$S:$S, "FL And dev",$AD:$AD, "&lt;&gt;IntegratorValidationComment"))</f>
        <v/>
      </c>
      <c r="AB911" s="7" t="str">
        <f>IF(ISBLANK(patch[[#This Row],[project]]), "",COUNTIFS($A:$A,patch[[#This Row],[number]],$S:$S, "SH And dev",$AD:$AD, "&lt;&gt;IntegratorValidationComment"))</f>
        <v/>
      </c>
      <c r="AC911" s="7" t="str">
        <f>IF(OR(ISNUMBER(FIND("Review-1", patch[[#This Row],[comments]])), ISNUMBER(FIND("Approver-1", patch[[#This Row],[comments]]))), "Review-1", "")</f>
        <v/>
      </c>
      <c r="AD9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11" s="7">
        <f>IF(ISBLANK(patch[[#This Row],[number]]),AE910,patch[[#This Row],[ifCommon]])</f>
        <v>0</v>
      </c>
    </row>
    <row r="912" spans="1:31">
      <c r="A912" s="151">
        <v>146611</v>
      </c>
      <c r="B912" s="151"/>
      <c r="C912" s="151"/>
      <c r="D912" s="151"/>
      <c r="E912" s="151"/>
      <c r="F912" s="151"/>
      <c r="G912" s="151"/>
      <c r="H912" s="151"/>
      <c r="I912" s="152"/>
      <c r="J912" s="152">
        <v>42634.763194444437</v>
      </c>
      <c r="K912" s="151"/>
      <c r="L912" s="151" t="s">
        <v>677</v>
      </c>
      <c r="M912" s="152">
        <v>42633.743541666663</v>
      </c>
      <c r="N912" s="151" t="s">
        <v>40</v>
      </c>
      <c r="O912" s="151"/>
      <c r="P912" s="151"/>
      <c r="Q912" s="7" t="str">
        <f>IF(ISBLANK(patch[[#This Row],[OwnerEmail]]),Q911,patch[[#This Row],[OwnerEmail]])</f>
        <v>lipingx.xu@intel.com</v>
      </c>
      <c r="R912" s="7" t="str">
        <f>_xlfn.IFNA(VLOOKUP(patch[[#This Row],[tmp-owner.email]],OrgTree!$A:$K, 11, 0), "not ICG SWFW")</f>
        <v>BJ And dev</v>
      </c>
      <c r="S912" s="7" t="str">
        <f>IF(patch[[#This Row],[reviewer]]=patch[[#This Row],[tmp-owner.email]], "author", _xlfn.IFNA(VLOOKUP(patch[[#This Row],[reviewer]],OrgTree!$A:$K, 11, 0), "not ICG SWFW"))</f>
        <v>author</v>
      </c>
      <c r="T912" s="7" t="str">
        <f>IF(ISBLANK(patch[[#This Row],[mergeDate]]), "", MID(YEAR(patch[[#This Row],[mergeDate]]), 3,2)&amp;"'ww"&amp;WEEKNUM(patch[[#This Row],[mergeDate]]))</f>
        <v>16'ww39</v>
      </c>
      <c r="U912" s="7" t="str">
        <f>IF(ISBLANK(patch[[#This Row],[mergeDate]]), U911, MID(YEAR(patch[[#This Row],[mergeDate]]), 3,2)&amp;"'m"&amp;MONTH(patch[[#This Row],[mergeDate]]))</f>
        <v>16'm9</v>
      </c>
      <c r="V912" s="7" t="str">
        <f>IF(ISBLANK(patch[[#This Row],[project]]), "",SUM(patch[[#This Row],[BJ -1 num]:[SH -1 num]]))</f>
        <v/>
      </c>
      <c r="W912" s="7" t="str">
        <f>IF(ISBLANK(patch[[#This Row],[project]]), "",COUNTIFS($A:$A,patch[[#This Row],[number]],$S:$S, "BJ And dev",$AC:$AC, "Review-1"))</f>
        <v/>
      </c>
      <c r="X912" s="7" t="str">
        <f>IF(ISBLANK(patch[[#This Row],[project]]), "",COUNTIFS($A:$A,patch[[#This Row],[number]],$S:$S, "FL And dev",$AC:$AC, "Review-1"))</f>
        <v/>
      </c>
      <c r="Y912" s="7" t="str">
        <f>IF(ISBLANK(patch[[#This Row],[project]]), "",COUNTIFS($A:$A,patch[[#This Row],[number]],$S:$S, "SH And dev",$AC:$AC, "Review-1"))</f>
        <v/>
      </c>
      <c r="Z912" s="7" t="str">
        <f>IF(ISBLANK(patch[[#This Row],[project]]), "",COUNTIFS($A:$A,patch[[#This Row],[number]],$S:$S, "BJ And dev",$AD:$AD, "&lt;&gt;IntegratorValidationComment"))</f>
        <v/>
      </c>
      <c r="AA912" s="7" t="str">
        <f>IF(ISBLANK(patch[[#This Row],[project]]), "",COUNTIFS($A:$A,patch[[#This Row],[number]],$S:$S, "FL And dev",$AD:$AD, "&lt;&gt;IntegratorValidationComment"))</f>
        <v/>
      </c>
      <c r="AB912" s="7" t="str">
        <f>IF(ISBLANK(patch[[#This Row],[project]]), "",COUNTIFS($A:$A,patch[[#This Row],[number]],$S:$S, "SH And dev",$AD:$AD, "&lt;&gt;IntegratorValidationComment"))</f>
        <v/>
      </c>
      <c r="AC912" s="7" t="str">
        <f>IF(OR(ISNUMBER(FIND("Review-1", patch[[#This Row],[comments]])), ISNUMBER(FIND("Approver-1", patch[[#This Row],[comments]]))), "Review-1", "")</f>
        <v/>
      </c>
      <c r="AD9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12" s="7">
        <f>IF(ISBLANK(patch[[#This Row],[number]]),AE911,patch[[#This Row],[ifCommon]])</f>
        <v>0</v>
      </c>
    </row>
    <row r="913" spans="1:31">
      <c r="A913" s="151">
        <v>146611</v>
      </c>
      <c r="B913" s="151"/>
      <c r="C913" s="151"/>
      <c r="D913" s="151"/>
      <c r="E913" s="151"/>
      <c r="F913" s="151"/>
      <c r="G913" s="151"/>
      <c r="H913" s="151"/>
      <c r="I913" s="151"/>
      <c r="J913" s="152">
        <v>42634.763194444437</v>
      </c>
      <c r="K913" s="151"/>
      <c r="L913" s="151" t="s">
        <v>59</v>
      </c>
      <c r="M913" s="152">
        <v>42633.751944444448</v>
      </c>
      <c r="N913" s="151" t="s">
        <v>3059</v>
      </c>
      <c r="O913" s="151"/>
      <c r="P913" s="151"/>
      <c r="Q913" s="7" t="str">
        <f>IF(ISBLANK(patch[[#This Row],[OwnerEmail]]),Q912,patch[[#This Row],[OwnerEmail]])</f>
        <v>lipingx.xu@intel.com</v>
      </c>
      <c r="R913" s="7" t="str">
        <f>_xlfn.IFNA(VLOOKUP(patch[[#This Row],[tmp-owner.email]],OrgTree!$A:$K, 11, 0), "not ICG SWFW")</f>
        <v>BJ And dev</v>
      </c>
      <c r="S913" s="7" t="str">
        <f>IF(patch[[#This Row],[reviewer]]=patch[[#This Row],[tmp-owner.email]], "author", _xlfn.IFNA(VLOOKUP(patch[[#This Row],[reviewer]],OrgTree!$A:$K, 11, 0), "not ICG SWFW"))</f>
        <v>BJ And dev</v>
      </c>
      <c r="T913" s="7" t="str">
        <f>IF(ISBLANK(patch[[#This Row],[mergeDate]]), "", MID(YEAR(patch[[#This Row],[mergeDate]]), 3,2)&amp;"'ww"&amp;WEEKNUM(patch[[#This Row],[mergeDate]]))</f>
        <v>16'ww39</v>
      </c>
      <c r="U913" s="7" t="str">
        <f>IF(ISBLANK(patch[[#This Row],[mergeDate]]), U912, MID(YEAR(patch[[#This Row],[mergeDate]]), 3,2)&amp;"'m"&amp;MONTH(patch[[#This Row],[mergeDate]]))</f>
        <v>16'm9</v>
      </c>
      <c r="V913" s="7" t="str">
        <f>IF(ISBLANK(patch[[#This Row],[project]]), "",SUM(patch[[#This Row],[BJ -1 num]:[SH -1 num]]))</f>
        <v/>
      </c>
      <c r="W913" s="7" t="str">
        <f>IF(ISBLANK(patch[[#This Row],[project]]), "",COUNTIFS($A:$A,patch[[#This Row],[number]],$S:$S, "BJ And dev",$AC:$AC, "Review-1"))</f>
        <v/>
      </c>
      <c r="X913" s="7" t="str">
        <f>IF(ISBLANK(patch[[#This Row],[project]]), "",COUNTIFS($A:$A,patch[[#This Row],[number]],$S:$S, "FL And dev",$AC:$AC, "Review-1"))</f>
        <v/>
      </c>
      <c r="Y913" s="7" t="str">
        <f>IF(ISBLANK(patch[[#This Row],[project]]), "",COUNTIFS($A:$A,patch[[#This Row],[number]],$S:$S, "SH And dev",$AC:$AC, "Review-1"))</f>
        <v/>
      </c>
      <c r="Z913" s="7" t="str">
        <f>IF(ISBLANK(patch[[#This Row],[project]]), "",COUNTIFS($A:$A,patch[[#This Row],[number]],$S:$S, "BJ And dev",$AD:$AD, "&lt;&gt;IntegratorValidationComment"))</f>
        <v/>
      </c>
      <c r="AA913" s="7" t="str">
        <f>IF(ISBLANK(patch[[#This Row],[project]]), "",COUNTIFS($A:$A,patch[[#This Row],[number]],$S:$S, "FL And dev",$AD:$AD, "&lt;&gt;IntegratorValidationComment"))</f>
        <v/>
      </c>
      <c r="AB913" s="7" t="str">
        <f>IF(ISBLANK(patch[[#This Row],[project]]), "",COUNTIFS($A:$A,patch[[#This Row],[number]],$S:$S, "SH And dev",$AD:$AD, "&lt;&gt;IntegratorValidationComment"))</f>
        <v/>
      </c>
      <c r="AC913" s="7" t="str">
        <f>IF(OR(ISNUMBER(FIND("Review-1", patch[[#This Row],[comments]])), ISNUMBER(FIND("Approver-1", patch[[#This Row],[comments]]))), "Review-1", "")</f>
        <v/>
      </c>
      <c r="AD9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13" s="7">
        <f>IF(ISBLANK(patch[[#This Row],[number]]),AE912,patch[[#This Row],[ifCommon]])</f>
        <v>0</v>
      </c>
    </row>
    <row r="914" spans="1:31">
      <c r="A914" s="151">
        <v>146611</v>
      </c>
      <c r="B914" s="151"/>
      <c r="C914" s="151"/>
      <c r="D914" s="151"/>
      <c r="E914" s="151"/>
      <c r="F914" s="151"/>
      <c r="G914" s="151"/>
      <c r="H914" s="151"/>
      <c r="I914" s="151"/>
      <c r="J914" s="152">
        <v>42634.763194444437</v>
      </c>
      <c r="K914" s="151"/>
      <c r="L914" s="151" t="s">
        <v>59</v>
      </c>
      <c r="M914" s="152">
        <v>42633.75854166667</v>
      </c>
      <c r="N914" s="151" t="s">
        <v>1880</v>
      </c>
      <c r="O914" s="151"/>
      <c r="P914" s="151"/>
      <c r="Q914" s="7" t="str">
        <f>IF(ISBLANK(patch[[#This Row],[OwnerEmail]]),Q913,patch[[#This Row],[OwnerEmail]])</f>
        <v>lipingx.xu@intel.com</v>
      </c>
      <c r="R914" s="7" t="str">
        <f>_xlfn.IFNA(VLOOKUP(patch[[#This Row],[tmp-owner.email]],OrgTree!$A:$K, 11, 0), "not ICG SWFW")</f>
        <v>BJ And dev</v>
      </c>
      <c r="S914" s="7" t="str">
        <f>IF(patch[[#This Row],[reviewer]]=patch[[#This Row],[tmp-owner.email]], "author", _xlfn.IFNA(VLOOKUP(patch[[#This Row],[reviewer]],OrgTree!$A:$K, 11, 0), "not ICG SWFW"))</f>
        <v>BJ And dev</v>
      </c>
      <c r="T914" s="7" t="str">
        <f>IF(ISBLANK(patch[[#This Row],[mergeDate]]), "", MID(YEAR(patch[[#This Row],[mergeDate]]), 3,2)&amp;"'ww"&amp;WEEKNUM(patch[[#This Row],[mergeDate]]))</f>
        <v>16'ww39</v>
      </c>
      <c r="U914" s="7" t="str">
        <f>IF(ISBLANK(patch[[#This Row],[mergeDate]]), U913, MID(YEAR(patch[[#This Row],[mergeDate]]), 3,2)&amp;"'m"&amp;MONTH(patch[[#This Row],[mergeDate]]))</f>
        <v>16'm9</v>
      </c>
      <c r="V914" s="7" t="str">
        <f>IF(ISBLANK(patch[[#This Row],[project]]), "",SUM(patch[[#This Row],[BJ -1 num]:[SH -1 num]]))</f>
        <v/>
      </c>
      <c r="W914" s="7" t="str">
        <f>IF(ISBLANK(patch[[#This Row],[project]]), "",COUNTIFS($A:$A,patch[[#This Row],[number]],$S:$S, "BJ And dev",$AC:$AC, "Review-1"))</f>
        <v/>
      </c>
      <c r="X914" s="7" t="str">
        <f>IF(ISBLANK(patch[[#This Row],[project]]), "",COUNTIFS($A:$A,patch[[#This Row],[number]],$S:$S, "FL And dev",$AC:$AC, "Review-1"))</f>
        <v/>
      </c>
      <c r="Y914" s="7" t="str">
        <f>IF(ISBLANK(patch[[#This Row],[project]]), "",COUNTIFS($A:$A,patch[[#This Row],[number]],$S:$S, "SH And dev",$AC:$AC, "Review-1"))</f>
        <v/>
      </c>
      <c r="Z914" s="7" t="str">
        <f>IF(ISBLANK(patch[[#This Row],[project]]), "",COUNTIFS($A:$A,patch[[#This Row],[number]],$S:$S, "BJ And dev",$AD:$AD, "&lt;&gt;IntegratorValidationComment"))</f>
        <v/>
      </c>
      <c r="AA914" s="7" t="str">
        <f>IF(ISBLANK(patch[[#This Row],[project]]), "",COUNTIFS($A:$A,patch[[#This Row],[number]],$S:$S, "FL And dev",$AD:$AD, "&lt;&gt;IntegratorValidationComment"))</f>
        <v/>
      </c>
      <c r="AB914" s="7" t="str">
        <f>IF(ISBLANK(patch[[#This Row],[project]]), "",COUNTIFS($A:$A,patch[[#This Row],[number]],$S:$S, "SH And dev",$AD:$AD, "&lt;&gt;IntegratorValidationComment"))</f>
        <v/>
      </c>
      <c r="AC914" s="7" t="str">
        <f>IF(OR(ISNUMBER(FIND("Review-1", patch[[#This Row],[comments]])), ISNUMBER(FIND("Approver-1", patch[[#This Row],[comments]]))), "Review-1", "")</f>
        <v/>
      </c>
      <c r="AD9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14" s="7">
        <f>IF(ISBLANK(patch[[#This Row],[number]]),AE913,patch[[#This Row],[ifCommon]])</f>
        <v>0</v>
      </c>
    </row>
    <row r="915" spans="1:31">
      <c r="A915" s="151">
        <v>146611</v>
      </c>
      <c r="B915" s="151"/>
      <c r="C915" s="151"/>
      <c r="D915" s="151"/>
      <c r="E915" s="151"/>
      <c r="F915" s="151"/>
      <c r="G915" s="151"/>
      <c r="H915" s="151"/>
      <c r="I915" s="151"/>
      <c r="J915" s="152">
        <v>42634.763194444437</v>
      </c>
      <c r="K915" s="151"/>
      <c r="L915" s="151" t="s">
        <v>115</v>
      </c>
      <c r="M915" s="152">
        <v>42634.560370370367</v>
      </c>
      <c r="N915" s="151" t="s">
        <v>2494</v>
      </c>
      <c r="O915" s="151"/>
      <c r="P915" s="151"/>
      <c r="Q915" s="7" t="str">
        <f>IF(ISBLANK(patch[[#This Row],[OwnerEmail]]),Q914,patch[[#This Row],[OwnerEmail]])</f>
        <v>lipingx.xu@intel.com</v>
      </c>
      <c r="R915" s="7" t="str">
        <f>_xlfn.IFNA(VLOOKUP(patch[[#This Row],[tmp-owner.email]],OrgTree!$A:$K, 11, 0), "not ICG SWFW")</f>
        <v>BJ And dev</v>
      </c>
      <c r="S915" s="7" t="str">
        <f>IF(patch[[#This Row],[reviewer]]=patch[[#This Row],[tmp-owner.email]], "author", _xlfn.IFNA(VLOOKUP(patch[[#This Row],[reviewer]],OrgTree!$A:$K, 11, 0), "not ICG SWFW"))</f>
        <v>Val</v>
      </c>
      <c r="T915" s="7" t="str">
        <f>IF(ISBLANK(patch[[#This Row],[mergeDate]]), "", MID(YEAR(patch[[#This Row],[mergeDate]]), 3,2)&amp;"'ww"&amp;WEEKNUM(patch[[#This Row],[mergeDate]]))</f>
        <v>16'ww39</v>
      </c>
      <c r="U915" s="7" t="str">
        <f>IF(ISBLANK(patch[[#This Row],[mergeDate]]), U914, MID(YEAR(patch[[#This Row],[mergeDate]]), 3,2)&amp;"'m"&amp;MONTH(patch[[#This Row],[mergeDate]]))</f>
        <v>16'm9</v>
      </c>
      <c r="V915" s="7" t="str">
        <f>IF(ISBLANK(patch[[#This Row],[project]]), "",SUM(patch[[#This Row],[BJ -1 num]:[SH -1 num]]))</f>
        <v/>
      </c>
      <c r="W915" s="7" t="str">
        <f>IF(ISBLANK(patch[[#This Row],[project]]), "",COUNTIFS($A:$A,patch[[#This Row],[number]],$S:$S, "BJ And dev",$AC:$AC, "Review-1"))</f>
        <v/>
      </c>
      <c r="X915" s="7" t="str">
        <f>IF(ISBLANK(patch[[#This Row],[project]]), "",COUNTIFS($A:$A,patch[[#This Row],[number]],$S:$S, "FL And dev",$AC:$AC, "Review-1"))</f>
        <v/>
      </c>
      <c r="Y915" s="7" t="str">
        <f>IF(ISBLANK(patch[[#This Row],[project]]), "",COUNTIFS($A:$A,patch[[#This Row],[number]],$S:$S, "SH And dev",$AC:$AC, "Review-1"))</f>
        <v/>
      </c>
      <c r="Z915" s="7" t="str">
        <f>IF(ISBLANK(patch[[#This Row],[project]]), "",COUNTIFS($A:$A,patch[[#This Row],[number]],$S:$S, "BJ And dev",$AD:$AD, "&lt;&gt;IntegratorValidationComment"))</f>
        <v/>
      </c>
      <c r="AA915" s="7" t="str">
        <f>IF(ISBLANK(patch[[#This Row],[project]]), "",COUNTIFS($A:$A,patch[[#This Row],[number]],$S:$S, "FL And dev",$AD:$AD, "&lt;&gt;IntegratorValidationComment"))</f>
        <v/>
      </c>
      <c r="AB915" s="7" t="str">
        <f>IF(ISBLANK(patch[[#This Row],[project]]), "",COUNTIFS($A:$A,patch[[#This Row],[number]],$S:$S, "SH And dev",$AD:$AD, "&lt;&gt;IntegratorValidationComment"))</f>
        <v/>
      </c>
      <c r="AC915" s="7" t="str">
        <f>IF(OR(ISNUMBER(FIND("Review-1", patch[[#This Row],[comments]])), ISNUMBER(FIND("Approver-1", patch[[#This Row],[comments]]))), "Review-1", "")</f>
        <v/>
      </c>
      <c r="AD9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915" s="7">
        <f>IF(ISBLANK(patch[[#This Row],[number]]),AE914,patch[[#This Row],[ifCommon]])</f>
        <v>0</v>
      </c>
    </row>
    <row r="916" spans="1:31">
      <c r="A916" s="151">
        <v>146610</v>
      </c>
      <c r="B916" s="151" t="s">
        <v>2490</v>
      </c>
      <c r="C916" s="151" t="s">
        <v>2795</v>
      </c>
      <c r="D916" s="151" t="s">
        <v>3060</v>
      </c>
      <c r="E916" s="151" t="s">
        <v>677</v>
      </c>
      <c r="F916" s="151" t="s">
        <v>23</v>
      </c>
      <c r="G916" s="151" t="s">
        <v>3061</v>
      </c>
      <c r="H916" s="151" t="s">
        <v>3062</v>
      </c>
      <c r="I916" s="152">
        <v>42633.740081018521</v>
      </c>
      <c r="J916" s="152">
        <v>42634.763113425928</v>
      </c>
      <c r="K916" s="151" t="s">
        <v>2445</v>
      </c>
      <c r="L916" s="151" t="s">
        <v>677</v>
      </c>
      <c r="M916" s="152">
        <v>42633.740081018521</v>
      </c>
      <c r="N916" s="151" t="s">
        <v>25</v>
      </c>
      <c r="O916" s="151"/>
      <c r="P916" s="151" t="s">
        <v>59</v>
      </c>
      <c r="Q916" s="7" t="str">
        <f>IF(ISBLANK(patch[[#This Row],[OwnerEmail]]),Q915,patch[[#This Row],[OwnerEmail]])</f>
        <v>lipingx.xu@intel.com</v>
      </c>
      <c r="R916" s="7" t="str">
        <f>_xlfn.IFNA(VLOOKUP(patch[[#This Row],[tmp-owner.email]],OrgTree!$A:$K, 11, 0), "not ICG SWFW")</f>
        <v>BJ And dev</v>
      </c>
      <c r="S916" s="7" t="str">
        <f>IF(patch[[#This Row],[reviewer]]=patch[[#This Row],[tmp-owner.email]], "author", _xlfn.IFNA(VLOOKUP(patch[[#This Row],[reviewer]],OrgTree!$A:$K, 11, 0), "not ICG SWFW"))</f>
        <v>author</v>
      </c>
      <c r="T916" s="7" t="str">
        <f>IF(ISBLANK(patch[[#This Row],[mergeDate]]), "", MID(YEAR(patch[[#This Row],[mergeDate]]), 3,2)&amp;"'ww"&amp;WEEKNUM(patch[[#This Row],[mergeDate]]))</f>
        <v>16'ww39</v>
      </c>
      <c r="U916" s="7" t="str">
        <f>IF(ISBLANK(patch[[#This Row],[mergeDate]]), U915, MID(YEAR(patch[[#This Row],[mergeDate]]), 3,2)&amp;"'m"&amp;MONTH(patch[[#This Row],[mergeDate]]))</f>
        <v>16'm9</v>
      </c>
      <c r="V916" s="7">
        <f>IF(ISBLANK(patch[[#This Row],[project]]), "",SUM(patch[[#This Row],[BJ -1 num]:[SH -1 num]]))</f>
        <v>0</v>
      </c>
      <c r="W916" s="7">
        <f>IF(ISBLANK(patch[[#This Row],[project]]), "",COUNTIFS($A:$A,patch[[#This Row],[number]],$S:$S, "BJ And dev",$AC:$AC, "Review-1"))</f>
        <v>0</v>
      </c>
      <c r="X916" s="7">
        <f>IF(ISBLANK(patch[[#This Row],[project]]), "",COUNTIFS($A:$A,patch[[#This Row],[number]],$S:$S, "FL And dev",$AC:$AC, "Review-1"))</f>
        <v>0</v>
      </c>
      <c r="Y916" s="7">
        <f>IF(ISBLANK(patch[[#This Row],[project]]), "",COUNTIFS($A:$A,patch[[#This Row],[number]],$S:$S, "SH And dev",$AC:$AC, "Review-1"))</f>
        <v>0</v>
      </c>
      <c r="Z916" s="7">
        <f>IF(ISBLANK(patch[[#This Row],[project]]), "",COUNTIFS($A:$A,patch[[#This Row],[number]],$S:$S, "BJ And dev",$AD:$AD, "&lt;&gt;IntegratorValidationComment"))</f>
        <v>2</v>
      </c>
      <c r="AA916" s="7">
        <f>IF(ISBLANK(patch[[#This Row],[project]]), "",COUNTIFS($A:$A,patch[[#This Row],[number]],$S:$S, "FL And dev",$AD:$AD, "&lt;&gt;IntegratorValidationComment"))</f>
        <v>0</v>
      </c>
      <c r="AB916" s="7">
        <f>IF(ISBLANK(patch[[#This Row],[project]]), "",COUNTIFS($A:$A,patch[[#This Row],[number]],$S:$S, "SH And dev",$AD:$AD, "&lt;&gt;IntegratorValidationComment"))</f>
        <v>0</v>
      </c>
      <c r="AC916" s="7" t="str">
        <f>IF(OR(ISNUMBER(FIND("Review-1", patch[[#This Row],[comments]])), ISNUMBER(FIND("Approver-1", patch[[#This Row],[comments]]))), "Review-1", "")</f>
        <v/>
      </c>
      <c r="AD9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16" s="7" t="str">
        <f>IF(ISBLANK(patch[[#This Row],[number]]),AE915,patch[[#This Row],[ifCommon]])</f>
        <v>not AndrHAL</v>
      </c>
    </row>
    <row r="917" spans="1:31">
      <c r="A917" s="151">
        <v>146610</v>
      </c>
      <c r="B917" s="151"/>
      <c r="C917" s="151"/>
      <c r="D917" s="151"/>
      <c r="E917" s="151"/>
      <c r="F917" s="151"/>
      <c r="G917" s="151"/>
      <c r="H917" s="151"/>
      <c r="I917" s="151"/>
      <c r="J917" s="152">
        <v>42634.763113425928</v>
      </c>
      <c r="K917" s="151"/>
      <c r="L917" s="151" t="s">
        <v>677</v>
      </c>
      <c r="M917" s="152">
        <v>42633.740162037036</v>
      </c>
      <c r="N917" s="151" t="s">
        <v>2428</v>
      </c>
      <c r="O917" s="151"/>
      <c r="P917" s="151"/>
      <c r="Q917" s="7" t="str">
        <f>IF(ISBLANK(patch[[#This Row],[OwnerEmail]]),Q916,patch[[#This Row],[OwnerEmail]])</f>
        <v>lipingx.xu@intel.com</v>
      </c>
      <c r="R917" s="7" t="str">
        <f>_xlfn.IFNA(VLOOKUP(patch[[#This Row],[tmp-owner.email]],OrgTree!$A:$K, 11, 0), "not ICG SWFW")</f>
        <v>BJ And dev</v>
      </c>
      <c r="S917" s="7" t="str">
        <f>IF(patch[[#This Row],[reviewer]]=patch[[#This Row],[tmp-owner.email]], "author", _xlfn.IFNA(VLOOKUP(patch[[#This Row],[reviewer]],OrgTree!$A:$K, 11, 0), "not ICG SWFW"))</f>
        <v>author</v>
      </c>
      <c r="T917" s="7" t="str">
        <f>IF(ISBLANK(patch[[#This Row],[mergeDate]]), "", MID(YEAR(patch[[#This Row],[mergeDate]]), 3,2)&amp;"'ww"&amp;WEEKNUM(patch[[#This Row],[mergeDate]]))</f>
        <v>16'ww39</v>
      </c>
      <c r="U917" s="7" t="str">
        <f>IF(ISBLANK(patch[[#This Row],[mergeDate]]), U916, MID(YEAR(patch[[#This Row],[mergeDate]]), 3,2)&amp;"'m"&amp;MONTH(patch[[#This Row],[mergeDate]]))</f>
        <v>16'm9</v>
      </c>
      <c r="V917" s="7" t="str">
        <f>IF(ISBLANK(patch[[#This Row],[project]]), "",SUM(patch[[#This Row],[BJ -1 num]:[SH -1 num]]))</f>
        <v/>
      </c>
      <c r="W917" s="7" t="str">
        <f>IF(ISBLANK(patch[[#This Row],[project]]), "",COUNTIFS($A:$A,patch[[#This Row],[number]],$S:$S, "BJ And dev",$AC:$AC, "Review-1"))</f>
        <v/>
      </c>
      <c r="X917" s="7" t="str">
        <f>IF(ISBLANK(patch[[#This Row],[project]]), "",COUNTIFS($A:$A,patch[[#This Row],[number]],$S:$S, "FL And dev",$AC:$AC, "Review-1"))</f>
        <v/>
      </c>
      <c r="Y917" s="7" t="str">
        <f>IF(ISBLANK(patch[[#This Row],[project]]), "",COUNTIFS($A:$A,patch[[#This Row],[number]],$S:$S, "SH And dev",$AC:$AC, "Review-1"))</f>
        <v/>
      </c>
      <c r="Z917" s="7" t="str">
        <f>IF(ISBLANK(patch[[#This Row],[project]]), "",COUNTIFS($A:$A,patch[[#This Row],[number]],$S:$S, "BJ And dev",$AD:$AD, "&lt;&gt;IntegratorValidationComment"))</f>
        <v/>
      </c>
      <c r="AA917" s="7" t="str">
        <f>IF(ISBLANK(patch[[#This Row],[project]]), "",COUNTIFS($A:$A,patch[[#This Row],[number]],$S:$S, "FL And dev",$AD:$AD, "&lt;&gt;IntegratorValidationComment"))</f>
        <v/>
      </c>
      <c r="AB917" s="7" t="str">
        <f>IF(ISBLANK(patch[[#This Row],[project]]), "",COUNTIFS($A:$A,patch[[#This Row],[number]],$S:$S, "SH And dev",$AD:$AD, "&lt;&gt;IntegratorValidationComment"))</f>
        <v/>
      </c>
      <c r="AC917" s="7" t="str">
        <f>IF(OR(ISNUMBER(FIND("Review-1", patch[[#This Row],[comments]])), ISNUMBER(FIND("Approver-1", patch[[#This Row],[comments]]))), "Review-1", "")</f>
        <v/>
      </c>
      <c r="AD9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17" s="7">
        <f>IF(ISBLANK(patch[[#This Row],[number]]),AE916,patch[[#This Row],[ifCommon]])</f>
        <v>0</v>
      </c>
    </row>
    <row r="918" spans="1:31">
      <c r="A918" s="151">
        <v>146610</v>
      </c>
      <c r="B918" s="151"/>
      <c r="C918" s="151"/>
      <c r="D918" s="151"/>
      <c r="E918" s="151"/>
      <c r="F918" s="151"/>
      <c r="G918" s="151"/>
      <c r="H918" s="151"/>
      <c r="I918" s="151"/>
      <c r="J918" s="152">
        <v>42634.763113425928</v>
      </c>
      <c r="K918" s="151"/>
      <c r="L918" s="151" t="s">
        <v>677</v>
      </c>
      <c r="M918" s="152">
        <v>42633.743460648147</v>
      </c>
      <c r="N918" s="151" t="s">
        <v>40</v>
      </c>
      <c r="O918" s="151"/>
      <c r="P918" s="151"/>
      <c r="Q918" s="7" t="str">
        <f>IF(ISBLANK(patch[[#This Row],[OwnerEmail]]),Q917,patch[[#This Row],[OwnerEmail]])</f>
        <v>lipingx.xu@intel.com</v>
      </c>
      <c r="R918" s="7" t="str">
        <f>_xlfn.IFNA(VLOOKUP(patch[[#This Row],[tmp-owner.email]],OrgTree!$A:$K, 11, 0), "not ICG SWFW")</f>
        <v>BJ And dev</v>
      </c>
      <c r="S918" s="7" t="str">
        <f>IF(patch[[#This Row],[reviewer]]=patch[[#This Row],[tmp-owner.email]], "author", _xlfn.IFNA(VLOOKUP(patch[[#This Row],[reviewer]],OrgTree!$A:$K, 11, 0), "not ICG SWFW"))</f>
        <v>author</v>
      </c>
      <c r="T918" s="7" t="str">
        <f>IF(ISBLANK(patch[[#This Row],[mergeDate]]), "", MID(YEAR(patch[[#This Row],[mergeDate]]), 3,2)&amp;"'ww"&amp;WEEKNUM(patch[[#This Row],[mergeDate]]))</f>
        <v>16'ww39</v>
      </c>
      <c r="U918" s="7" t="str">
        <f>IF(ISBLANK(patch[[#This Row],[mergeDate]]), U917, MID(YEAR(patch[[#This Row],[mergeDate]]), 3,2)&amp;"'m"&amp;MONTH(patch[[#This Row],[mergeDate]]))</f>
        <v>16'm9</v>
      </c>
      <c r="V918" s="7" t="str">
        <f>IF(ISBLANK(patch[[#This Row],[project]]), "",SUM(patch[[#This Row],[BJ -1 num]:[SH -1 num]]))</f>
        <v/>
      </c>
      <c r="W918" s="7" t="str">
        <f>IF(ISBLANK(patch[[#This Row],[project]]), "",COUNTIFS($A:$A,patch[[#This Row],[number]],$S:$S, "BJ And dev",$AC:$AC, "Review-1"))</f>
        <v/>
      </c>
      <c r="X918" s="7" t="str">
        <f>IF(ISBLANK(patch[[#This Row],[project]]), "",COUNTIFS($A:$A,patch[[#This Row],[number]],$S:$S, "FL And dev",$AC:$AC, "Review-1"))</f>
        <v/>
      </c>
      <c r="Y918" s="7" t="str">
        <f>IF(ISBLANK(patch[[#This Row],[project]]), "",COUNTIFS($A:$A,patch[[#This Row],[number]],$S:$S, "SH And dev",$AC:$AC, "Review-1"))</f>
        <v/>
      </c>
      <c r="Z918" s="7" t="str">
        <f>IF(ISBLANK(patch[[#This Row],[project]]), "",COUNTIFS($A:$A,patch[[#This Row],[number]],$S:$S, "BJ And dev",$AD:$AD, "&lt;&gt;IntegratorValidationComment"))</f>
        <v/>
      </c>
      <c r="AA918" s="7" t="str">
        <f>IF(ISBLANK(patch[[#This Row],[project]]), "",COUNTIFS($A:$A,patch[[#This Row],[number]],$S:$S, "FL And dev",$AD:$AD, "&lt;&gt;IntegratorValidationComment"))</f>
        <v/>
      </c>
      <c r="AB918" s="7" t="str">
        <f>IF(ISBLANK(patch[[#This Row],[project]]), "",COUNTIFS($A:$A,patch[[#This Row],[number]],$S:$S, "SH And dev",$AD:$AD, "&lt;&gt;IntegratorValidationComment"))</f>
        <v/>
      </c>
      <c r="AC918" s="7" t="str">
        <f>IF(OR(ISNUMBER(FIND("Review-1", patch[[#This Row],[comments]])), ISNUMBER(FIND("Approver-1", patch[[#This Row],[comments]]))), "Review-1", "")</f>
        <v/>
      </c>
      <c r="AD9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18" s="7">
        <f>IF(ISBLANK(patch[[#This Row],[number]]),AE917,patch[[#This Row],[ifCommon]])</f>
        <v>0</v>
      </c>
    </row>
    <row r="919" spans="1:31">
      <c r="A919" s="151">
        <v>146610</v>
      </c>
      <c r="B919" s="151"/>
      <c r="C919" s="151"/>
      <c r="D919" s="151"/>
      <c r="E919" s="151"/>
      <c r="F919" s="151"/>
      <c r="G919" s="151"/>
      <c r="H919" s="151"/>
      <c r="I919" s="151"/>
      <c r="J919" s="152">
        <v>42634.763113425928</v>
      </c>
      <c r="K919" s="151"/>
      <c r="L919" s="151" t="s">
        <v>59</v>
      </c>
      <c r="M919" s="152">
        <v>42633.751944444448</v>
      </c>
      <c r="N919" s="151" t="s">
        <v>3063</v>
      </c>
      <c r="O919" s="151"/>
      <c r="P919" s="151"/>
      <c r="Q919" s="7" t="str">
        <f>IF(ISBLANK(patch[[#This Row],[OwnerEmail]]),Q918,patch[[#This Row],[OwnerEmail]])</f>
        <v>lipingx.xu@intel.com</v>
      </c>
      <c r="R919" s="7" t="str">
        <f>_xlfn.IFNA(VLOOKUP(patch[[#This Row],[tmp-owner.email]],OrgTree!$A:$K, 11, 0), "not ICG SWFW")</f>
        <v>BJ And dev</v>
      </c>
      <c r="S919" s="7" t="str">
        <f>IF(patch[[#This Row],[reviewer]]=patch[[#This Row],[tmp-owner.email]], "author", _xlfn.IFNA(VLOOKUP(patch[[#This Row],[reviewer]],OrgTree!$A:$K, 11, 0), "not ICG SWFW"))</f>
        <v>BJ And dev</v>
      </c>
      <c r="T919" s="7" t="str">
        <f>IF(ISBLANK(patch[[#This Row],[mergeDate]]), "", MID(YEAR(patch[[#This Row],[mergeDate]]), 3,2)&amp;"'ww"&amp;WEEKNUM(patch[[#This Row],[mergeDate]]))</f>
        <v>16'ww39</v>
      </c>
      <c r="U919" s="7" t="str">
        <f>IF(ISBLANK(patch[[#This Row],[mergeDate]]), U918, MID(YEAR(patch[[#This Row],[mergeDate]]), 3,2)&amp;"'m"&amp;MONTH(patch[[#This Row],[mergeDate]]))</f>
        <v>16'm9</v>
      </c>
      <c r="V919" s="7" t="str">
        <f>IF(ISBLANK(patch[[#This Row],[project]]), "",SUM(patch[[#This Row],[BJ -1 num]:[SH -1 num]]))</f>
        <v/>
      </c>
      <c r="W919" s="7" t="str">
        <f>IF(ISBLANK(patch[[#This Row],[project]]), "",COUNTIFS($A:$A,patch[[#This Row],[number]],$S:$S, "BJ And dev",$AC:$AC, "Review-1"))</f>
        <v/>
      </c>
      <c r="X919" s="7" t="str">
        <f>IF(ISBLANK(patch[[#This Row],[project]]), "",COUNTIFS($A:$A,patch[[#This Row],[number]],$S:$S, "FL And dev",$AC:$AC, "Review-1"))</f>
        <v/>
      </c>
      <c r="Y919" s="7" t="str">
        <f>IF(ISBLANK(patch[[#This Row],[project]]), "",COUNTIFS($A:$A,patch[[#This Row],[number]],$S:$S, "SH And dev",$AC:$AC, "Review-1"))</f>
        <v/>
      </c>
      <c r="Z919" s="7" t="str">
        <f>IF(ISBLANK(patch[[#This Row],[project]]), "",COUNTIFS($A:$A,patch[[#This Row],[number]],$S:$S, "BJ And dev",$AD:$AD, "&lt;&gt;IntegratorValidationComment"))</f>
        <v/>
      </c>
      <c r="AA919" s="7" t="str">
        <f>IF(ISBLANK(patch[[#This Row],[project]]), "",COUNTIFS($A:$A,patch[[#This Row],[number]],$S:$S, "FL And dev",$AD:$AD, "&lt;&gt;IntegratorValidationComment"))</f>
        <v/>
      </c>
      <c r="AB919" s="7" t="str">
        <f>IF(ISBLANK(patch[[#This Row],[project]]), "",COUNTIFS($A:$A,patch[[#This Row],[number]],$S:$S, "SH And dev",$AD:$AD, "&lt;&gt;IntegratorValidationComment"))</f>
        <v/>
      </c>
      <c r="AC919" s="7" t="str">
        <f>IF(OR(ISNUMBER(FIND("Review-1", patch[[#This Row],[comments]])), ISNUMBER(FIND("Approver-1", patch[[#This Row],[comments]]))), "Review-1", "")</f>
        <v/>
      </c>
      <c r="AD9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19" s="7">
        <f>IF(ISBLANK(patch[[#This Row],[number]]),AE918,patch[[#This Row],[ifCommon]])</f>
        <v>0</v>
      </c>
    </row>
    <row r="920" spans="1:31">
      <c r="A920" s="151">
        <v>146610</v>
      </c>
      <c r="B920" s="151"/>
      <c r="C920" s="151"/>
      <c r="D920" s="151"/>
      <c r="E920" s="151"/>
      <c r="F920" s="151"/>
      <c r="G920" s="151"/>
      <c r="H920" s="151"/>
      <c r="I920" s="151"/>
      <c r="J920" s="152">
        <v>42634.763113425928</v>
      </c>
      <c r="K920" s="151"/>
      <c r="L920" s="151" t="s">
        <v>59</v>
      </c>
      <c r="M920" s="152">
        <v>42633.758460648147</v>
      </c>
      <c r="N920" s="151" t="s">
        <v>1880</v>
      </c>
      <c r="O920" s="151"/>
      <c r="P920" s="151"/>
      <c r="Q920" s="7" t="str">
        <f>IF(ISBLANK(patch[[#This Row],[OwnerEmail]]),Q919,patch[[#This Row],[OwnerEmail]])</f>
        <v>lipingx.xu@intel.com</v>
      </c>
      <c r="R920" s="7" t="str">
        <f>_xlfn.IFNA(VLOOKUP(patch[[#This Row],[tmp-owner.email]],OrgTree!$A:$K, 11, 0), "not ICG SWFW")</f>
        <v>BJ And dev</v>
      </c>
      <c r="S920" s="7" t="str">
        <f>IF(patch[[#This Row],[reviewer]]=patch[[#This Row],[tmp-owner.email]], "author", _xlfn.IFNA(VLOOKUP(patch[[#This Row],[reviewer]],OrgTree!$A:$K, 11, 0), "not ICG SWFW"))</f>
        <v>BJ And dev</v>
      </c>
      <c r="T920" s="7" t="str">
        <f>IF(ISBLANK(patch[[#This Row],[mergeDate]]), "", MID(YEAR(patch[[#This Row],[mergeDate]]), 3,2)&amp;"'ww"&amp;WEEKNUM(patch[[#This Row],[mergeDate]]))</f>
        <v>16'ww39</v>
      </c>
      <c r="U920" s="7" t="str">
        <f>IF(ISBLANK(patch[[#This Row],[mergeDate]]), U919, MID(YEAR(patch[[#This Row],[mergeDate]]), 3,2)&amp;"'m"&amp;MONTH(patch[[#This Row],[mergeDate]]))</f>
        <v>16'm9</v>
      </c>
      <c r="V920" s="7" t="str">
        <f>IF(ISBLANK(patch[[#This Row],[project]]), "",SUM(patch[[#This Row],[BJ -1 num]:[SH -1 num]]))</f>
        <v/>
      </c>
      <c r="W920" s="7" t="str">
        <f>IF(ISBLANK(patch[[#This Row],[project]]), "",COUNTIFS($A:$A,patch[[#This Row],[number]],$S:$S, "BJ And dev",$AC:$AC, "Review-1"))</f>
        <v/>
      </c>
      <c r="X920" s="7" t="str">
        <f>IF(ISBLANK(patch[[#This Row],[project]]), "",COUNTIFS($A:$A,patch[[#This Row],[number]],$S:$S, "FL And dev",$AC:$AC, "Review-1"))</f>
        <v/>
      </c>
      <c r="Y920" s="7" t="str">
        <f>IF(ISBLANK(patch[[#This Row],[project]]), "",COUNTIFS($A:$A,patch[[#This Row],[number]],$S:$S, "SH And dev",$AC:$AC, "Review-1"))</f>
        <v/>
      </c>
      <c r="Z920" s="7" t="str">
        <f>IF(ISBLANK(patch[[#This Row],[project]]), "",COUNTIFS($A:$A,patch[[#This Row],[number]],$S:$S, "BJ And dev",$AD:$AD, "&lt;&gt;IntegratorValidationComment"))</f>
        <v/>
      </c>
      <c r="AA920" s="7" t="str">
        <f>IF(ISBLANK(patch[[#This Row],[project]]), "",COUNTIFS($A:$A,patch[[#This Row],[number]],$S:$S, "FL And dev",$AD:$AD, "&lt;&gt;IntegratorValidationComment"))</f>
        <v/>
      </c>
      <c r="AB920" s="7" t="str">
        <f>IF(ISBLANK(patch[[#This Row],[project]]), "",COUNTIFS($A:$A,patch[[#This Row],[number]],$S:$S, "SH And dev",$AD:$AD, "&lt;&gt;IntegratorValidationComment"))</f>
        <v/>
      </c>
      <c r="AC920" s="7" t="str">
        <f>IF(OR(ISNUMBER(FIND("Review-1", patch[[#This Row],[comments]])), ISNUMBER(FIND("Approver-1", patch[[#This Row],[comments]]))), "Review-1", "")</f>
        <v/>
      </c>
      <c r="AD9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20" s="7">
        <f>IF(ISBLANK(patch[[#This Row],[number]]),AE919,patch[[#This Row],[ifCommon]])</f>
        <v>0</v>
      </c>
    </row>
    <row r="921" spans="1:31">
      <c r="A921" s="151">
        <v>146610</v>
      </c>
      <c r="B921" s="151"/>
      <c r="C921" s="151"/>
      <c r="D921" s="151"/>
      <c r="E921" s="151"/>
      <c r="F921" s="151"/>
      <c r="G921" s="151"/>
      <c r="H921" s="151"/>
      <c r="I921" s="151"/>
      <c r="J921" s="152">
        <v>42634.763113425928</v>
      </c>
      <c r="K921" s="151"/>
      <c r="L921" s="151" t="s">
        <v>115</v>
      </c>
      <c r="M921" s="152">
        <v>42634.560428240737</v>
      </c>
      <c r="N921" s="151" t="s">
        <v>2494</v>
      </c>
      <c r="O921" s="151"/>
      <c r="P921" s="151"/>
      <c r="Q921" s="7" t="str">
        <f>IF(ISBLANK(patch[[#This Row],[OwnerEmail]]),Q920,patch[[#This Row],[OwnerEmail]])</f>
        <v>lipingx.xu@intel.com</v>
      </c>
      <c r="R921" s="7" t="str">
        <f>_xlfn.IFNA(VLOOKUP(patch[[#This Row],[tmp-owner.email]],OrgTree!$A:$K, 11, 0), "not ICG SWFW")</f>
        <v>BJ And dev</v>
      </c>
      <c r="S921" s="7" t="str">
        <f>IF(patch[[#This Row],[reviewer]]=patch[[#This Row],[tmp-owner.email]], "author", _xlfn.IFNA(VLOOKUP(patch[[#This Row],[reviewer]],OrgTree!$A:$K, 11, 0), "not ICG SWFW"))</f>
        <v>Val</v>
      </c>
      <c r="T921" s="7" t="str">
        <f>IF(ISBLANK(patch[[#This Row],[mergeDate]]), "", MID(YEAR(patch[[#This Row],[mergeDate]]), 3,2)&amp;"'ww"&amp;WEEKNUM(patch[[#This Row],[mergeDate]]))</f>
        <v>16'ww39</v>
      </c>
      <c r="U921" s="7" t="str">
        <f>IF(ISBLANK(patch[[#This Row],[mergeDate]]), U920, MID(YEAR(patch[[#This Row],[mergeDate]]), 3,2)&amp;"'m"&amp;MONTH(patch[[#This Row],[mergeDate]]))</f>
        <v>16'm9</v>
      </c>
      <c r="V921" s="7" t="str">
        <f>IF(ISBLANK(patch[[#This Row],[project]]), "",SUM(patch[[#This Row],[BJ -1 num]:[SH -1 num]]))</f>
        <v/>
      </c>
      <c r="W921" s="7" t="str">
        <f>IF(ISBLANK(patch[[#This Row],[project]]), "",COUNTIFS($A:$A,patch[[#This Row],[number]],$S:$S, "BJ And dev",$AC:$AC, "Review-1"))</f>
        <v/>
      </c>
      <c r="X921" s="7" t="str">
        <f>IF(ISBLANK(patch[[#This Row],[project]]), "",COUNTIFS($A:$A,patch[[#This Row],[number]],$S:$S, "FL And dev",$AC:$AC, "Review-1"))</f>
        <v/>
      </c>
      <c r="Y921" s="7" t="str">
        <f>IF(ISBLANK(patch[[#This Row],[project]]), "",COUNTIFS($A:$A,patch[[#This Row],[number]],$S:$S, "SH And dev",$AC:$AC, "Review-1"))</f>
        <v/>
      </c>
      <c r="Z921" s="7" t="str">
        <f>IF(ISBLANK(patch[[#This Row],[project]]), "",COUNTIFS($A:$A,patch[[#This Row],[number]],$S:$S, "BJ And dev",$AD:$AD, "&lt;&gt;IntegratorValidationComment"))</f>
        <v/>
      </c>
      <c r="AA921" s="7" t="str">
        <f>IF(ISBLANK(patch[[#This Row],[project]]), "",COUNTIFS($A:$A,patch[[#This Row],[number]],$S:$S, "FL And dev",$AD:$AD, "&lt;&gt;IntegratorValidationComment"))</f>
        <v/>
      </c>
      <c r="AB921" s="7" t="str">
        <f>IF(ISBLANK(patch[[#This Row],[project]]), "",COUNTIFS($A:$A,patch[[#This Row],[number]],$S:$S, "SH And dev",$AD:$AD, "&lt;&gt;IntegratorValidationComment"))</f>
        <v/>
      </c>
      <c r="AC921" s="7" t="str">
        <f>IF(OR(ISNUMBER(FIND("Review-1", patch[[#This Row],[comments]])), ISNUMBER(FIND("Approver-1", patch[[#This Row],[comments]]))), "Review-1", "")</f>
        <v/>
      </c>
      <c r="AD9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921" s="7">
        <f>IF(ISBLANK(patch[[#This Row],[number]]),AE920,patch[[#This Row],[ifCommon]])</f>
        <v>0</v>
      </c>
    </row>
    <row r="922" spans="1:31">
      <c r="A922" s="151">
        <v>146609</v>
      </c>
      <c r="B922" s="151" t="s">
        <v>2490</v>
      </c>
      <c r="C922" s="151" t="s">
        <v>2795</v>
      </c>
      <c r="D922" s="151" t="s">
        <v>3064</v>
      </c>
      <c r="E922" s="151" t="s">
        <v>677</v>
      </c>
      <c r="F922" s="151" t="s">
        <v>23</v>
      </c>
      <c r="G922" s="151" t="s">
        <v>3065</v>
      </c>
      <c r="H922" s="151" t="s">
        <v>3066</v>
      </c>
      <c r="I922" s="152">
        <v>42633.740081018521</v>
      </c>
      <c r="J922" s="152">
        <v>42634.763020833343</v>
      </c>
      <c r="K922" s="151" t="s">
        <v>2445</v>
      </c>
      <c r="L922" s="151" t="s">
        <v>677</v>
      </c>
      <c r="M922" s="152">
        <v>42633.740081018521</v>
      </c>
      <c r="N922" s="151" t="s">
        <v>25</v>
      </c>
      <c r="O922" s="151"/>
      <c r="P922" s="151" t="s">
        <v>59</v>
      </c>
      <c r="Q922" s="7" t="str">
        <f>IF(ISBLANK(patch[[#This Row],[OwnerEmail]]),Q921,patch[[#This Row],[OwnerEmail]])</f>
        <v>lipingx.xu@intel.com</v>
      </c>
      <c r="R922" s="7" t="str">
        <f>_xlfn.IFNA(VLOOKUP(patch[[#This Row],[tmp-owner.email]],OrgTree!$A:$K, 11, 0), "not ICG SWFW")</f>
        <v>BJ And dev</v>
      </c>
      <c r="S922" s="7" t="str">
        <f>IF(patch[[#This Row],[reviewer]]=patch[[#This Row],[tmp-owner.email]], "author", _xlfn.IFNA(VLOOKUP(patch[[#This Row],[reviewer]],OrgTree!$A:$K, 11, 0), "not ICG SWFW"))</f>
        <v>author</v>
      </c>
      <c r="T922" s="7" t="str">
        <f>IF(ISBLANK(patch[[#This Row],[mergeDate]]), "", MID(YEAR(patch[[#This Row],[mergeDate]]), 3,2)&amp;"'ww"&amp;WEEKNUM(patch[[#This Row],[mergeDate]]))</f>
        <v>16'ww39</v>
      </c>
      <c r="U922" s="7" t="str">
        <f>IF(ISBLANK(patch[[#This Row],[mergeDate]]), U921, MID(YEAR(patch[[#This Row],[mergeDate]]), 3,2)&amp;"'m"&amp;MONTH(patch[[#This Row],[mergeDate]]))</f>
        <v>16'm9</v>
      </c>
      <c r="V922" s="7">
        <f>IF(ISBLANK(patch[[#This Row],[project]]), "",SUM(patch[[#This Row],[BJ -1 num]:[SH -1 num]]))</f>
        <v>0</v>
      </c>
      <c r="W922" s="7">
        <f>IF(ISBLANK(patch[[#This Row],[project]]), "",COUNTIFS($A:$A,patch[[#This Row],[number]],$S:$S, "BJ And dev",$AC:$AC, "Review-1"))</f>
        <v>0</v>
      </c>
      <c r="X922" s="7">
        <f>IF(ISBLANK(patch[[#This Row],[project]]), "",COUNTIFS($A:$A,patch[[#This Row],[number]],$S:$S, "FL And dev",$AC:$AC, "Review-1"))</f>
        <v>0</v>
      </c>
      <c r="Y922" s="7">
        <f>IF(ISBLANK(patch[[#This Row],[project]]), "",COUNTIFS($A:$A,patch[[#This Row],[number]],$S:$S, "SH And dev",$AC:$AC, "Review-1"))</f>
        <v>0</v>
      </c>
      <c r="Z922" s="7">
        <f>IF(ISBLANK(patch[[#This Row],[project]]), "",COUNTIFS($A:$A,patch[[#This Row],[number]],$S:$S, "BJ And dev",$AD:$AD, "&lt;&gt;IntegratorValidationComment"))</f>
        <v>3</v>
      </c>
      <c r="AA922" s="7">
        <f>IF(ISBLANK(patch[[#This Row],[project]]), "",COUNTIFS($A:$A,patch[[#This Row],[number]],$S:$S, "FL And dev",$AD:$AD, "&lt;&gt;IntegratorValidationComment"))</f>
        <v>0</v>
      </c>
      <c r="AB922" s="7">
        <f>IF(ISBLANK(patch[[#This Row],[project]]), "",COUNTIFS($A:$A,patch[[#This Row],[number]],$S:$S, "SH And dev",$AD:$AD, "&lt;&gt;IntegratorValidationComment"))</f>
        <v>0</v>
      </c>
      <c r="AC922" s="7" t="str">
        <f>IF(OR(ISNUMBER(FIND("Review-1", patch[[#This Row],[comments]])), ISNUMBER(FIND("Approver-1", patch[[#This Row],[comments]]))), "Review-1", "")</f>
        <v/>
      </c>
      <c r="AD9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22" s="7" t="str">
        <f>IF(ISBLANK(patch[[#This Row],[number]]),AE921,patch[[#This Row],[ifCommon]])</f>
        <v>not AndrHAL</v>
      </c>
    </row>
    <row r="923" spans="1:31">
      <c r="A923" s="151">
        <v>146609</v>
      </c>
      <c r="B923" s="151"/>
      <c r="C923" s="151"/>
      <c r="D923" s="151"/>
      <c r="E923" s="151"/>
      <c r="F923" s="151"/>
      <c r="G923" s="151"/>
      <c r="H923" s="151"/>
      <c r="I923" s="151"/>
      <c r="J923" s="152">
        <v>42634.763020833343</v>
      </c>
      <c r="K923" s="151"/>
      <c r="L923" s="151" t="s">
        <v>677</v>
      </c>
      <c r="M923" s="152">
        <v>42633.74013888889</v>
      </c>
      <c r="N923" s="151" t="s">
        <v>2428</v>
      </c>
      <c r="O923" s="151"/>
      <c r="P923" s="151"/>
      <c r="Q923" s="7" t="str">
        <f>IF(ISBLANK(patch[[#This Row],[OwnerEmail]]),Q922,patch[[#This Row],[OwnerEmail]])</f>
        <v>lipingx.xu@intel.com</v>
      </c>
      <c r="R923" s="7" t="str">
        <f>_xlfn.IFNA(VLOOKUP(patch[[#This Row],[tmp-owner.email]],OrgTree!$A:$K, 11, 0), "not ICG SWFW")</f>
        <v>BJ And dev</v>
      </c>
      <c r="S923" s="7" t="str">
        <f>IF(patch[[#This Row],[reviewer]]=patch[[#This Row],[tmp-owner.email]], "author", _xlfn.IFNA(VLOOKUP(patch[[#This Row],[reviewer]],OrgTree!$A:$K, 11, 0), "not ICG SWFW"))</f>
        <v>author</v>
      </c>
      <c r="T923" s="7" t="str">
        <f>IF(ISBLANK(patch[[#This Row],[mergeDate]]), "", MID(YEAR(patch[[#This Row],[mergeDate]]), 3,2)&amp;"'ww"&amp;WEEKNUM(patch[[#This Row],[mergeDate]]))</f>
        <v>16'ww39</v>
      </c>
      <c r="U923" s="7" t="str">
        <f>IF(ISBLANK(patch[[#This Row],[mergeDate]]), U922, MID(YEAR(patch[[#This Row],[mergeDate]]), 3,2)&amp;"'m"&amp;MONTH(patch[[#This Row],[mergeDate]]))</f>
        <v>16'm9</v>
      </c>
      <c r="V923" s="7" t="str">
        <f>IF(ISBLANK(patch[[#This Row],[project]]), "",SUM(patch[[#This Row],[BJ -1 num]:[SH -1 num]]))</f>
        <v/>
      </c>
      <c r="W923" s="7" t="str">
        <f>IF(ISBLANK(patch[[#This Row],[project]]), "",COUNTIFS($A:$A,patch[[#This Row],[number]],$S:$S, "BJ And dev",$AC:$AC, "Review-1"))</f>
        <v/>
      </c>
      <c r="X923" s="7" t="str">
        <f>IF(ISBLANK(patch[[#This Row],[project]]), "",COUNTIFS($A:$A,patch[[#This Row],[number]],$S:$S, "FL And dev",$AC:$AC, "Review-1"))</f>
        <v/>
      </c>
      <c r="Y923" s="7" t="str">
        <f>IF(ISBLANK(patch[[#This Row],[project]]), "",COUNTIFS($A:$A,patch[[#This Row],[number]],$S:$S, "SH And dev",$AC:$AC, "Review-1"))</f>
        <v/>
      </c>
      <c r="Z923" s="7" t="str">
        <f>IF(ISBLANK(patch[[#This Row],[project]]), "",COUNTIFS($A:$A,patch[[#This Row],[number]],$S:$S, "BJ And dev",$AD:$AD, "&lt;&gt;IntegratorValidationComment"))</f>
        <v/>
      </c>
      <c r="AA923" s="7" t="str">
        <f>IF(ISBLANK(patch[[#This Row],[project]]), "",COUNTIFS($A:$A,patch[[#This Row],[number]],$S:$S, "FL And dev",$AD:$AD, "&lt;&gt;IntegratorValidationComment"))</f>
        <v/>
      </c>
      <c r="AB923" s="7" t="str">
        <f>IF(ISBLANK(patch[[#This Row],[project]]), "",COUNTIFS($A:$A,patch[[#This Row],[number]],$S:$S, "SH And dev",$AD:$AD, "&lt;&gt;IntegratorValidationComment"))</f>
        <v/>
      </c>
      <c r="AC923" s="7" t="str">
        <f>IF(OR(ISNUMBER(FIND("Review-1", patch[[#This Row],[comments]])), ISNUMBER(FIND("Approver-1", patch[[#This Row],[comments]]))), "Review-1", "")</f>
        <v/>
      </c>
      <c r="AD9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23" s="7">
        <f>IF(ISBLANK(patch[[#This Row],[number]]),AE922,patch[[#This Row],[ifCommon]])</f>
        <v>0</v>
      </c>
    </row>
    <row r="924" spans="1:31">
      <c r="A924" s="151">
        <v>146609</v>
      </c>
      <c r="B924" s="151"/>
      <c r="C924" s="151"/>
      <c r="D924" s="151"/>
      <c r="E924" s="151"/>
      <c r="F924" s="151"/>
      <c r="G924" s="151"/>
      <c r="H924" s="151"/>
      <c r="I924" s="151"/>
      <c r="J924" s="152">
        <v>42634.763020833343</v>
      </c>
      <c r="K924" s="151"/>
      <c r="L924" s="151" t="s">
        <v>677</v>
      </c>
      <c r="M924" s="152">
        <v>42633.743368055562</v>
      </c>
      <c r="N924" s="151" t="s">
        <v>40</v>
      </c>
      <c r="O924" s="151"/>
      <c r="P924" s="151"/>
      <c r="Q924" s="7" t="str">
        <f>IF(ISBLANK(patch[[#This Row],[OwnerEmail]]),Q923,patch[[#This Row],[OwnerEmail]])</f>
        <v>lipingx.xu@intel.com</v>
      </c>
      <c r="R924" s="7" t="str">
        <f>_xlfn.IFNA(VLOOKUP(patch[[#This Row],[tmp-owner.email]],OrgTree!$A:$K, 11, 0), "not ICG SWFW")</f>
        <v>BJ And dev</v>
      </c>
      <c r="S924" s="7" t="str">
        <f>IF(patch[[#This Row],[reviewer]]=patch[[#This Row],[tmp-owner.email]], "author", _xlfn.IFNA(VLOOKUP(patch[[#This Row],[reviewer]],OrgTree!$A:$K, 11, 0), "not ICG SWFW"))</f>
        <v>author</v>
      </c>
      <c r="T924" s="7" t="str">
        <f>IF(ISBLANK(patch[[#This Row],[mergeDate]]), "", MID(YEAR(patch[[#This Row],[mergeDate]]), 3,2)&amp;"'ww"&amp;WEEKNUM(patch[[#This Row],[mergeDate]]))</f>
        <v>16'ww39</v>
      </c>
      <c r="U924" s="7" t="str">
        <f>IF(ISBLANK(patch[[#This Row],[mergeDate]]), U923, MID(YEAR(patch[[#This Row],[mergeDate]]), 3,2)&amp;"'m"&amp;MONTH(patch[[#This Row],[mergeDate]]))</f>
        <v>16'm9</v>
      </c>
      <c r="V924" s="7" t="str">
        <f>IF(ISBLANK(patch[[#This Row],[project]]), "",SUM(patch[[#This Row],[BJ -1 num]:[SH -1 num]]))</f>
        <v/>
      </c>
      <c r="W924" s="7" t="str">
        <f>IF(ISBLANK(patch[[#This Row],[project]]), "",COUNTIFS($A:$A,patch[[#This Row],[number]],$S:$S, "BJ And dev",$AC:$AC, "Review-1"))</f>
        <v/>
      </c>
      <c r="X924" s="7" t="str">
        <f>IF(ISBLANK(patch[[#This Row],[project]]), "",COUNTIFS($A:$A,patch[[#This Row],[number]],$S:$S, "FL And dev",$AC:$AC, "Review-1"))</f>
        <v/>
      </c>
      <c r="Y924" s="7" t="str">
        <f>IF(ISBLANK(patch[[#This Row],[project]]), "",COUNTIFS($A:$A,patch[[#This Row],[number]],$S:$S, "SH And dev",$AC:$AC, "Review-1"))</f>
        <v/>
      </c>
      <c r="Z924" s="7" t="str">
        <f>IF(ISBLANK(patch[[#This Row],[project]]), "",COUNTIFS($A:$A,patch[[#This Row],[number]],$S:$S, "BJ And dev",$AD:$AD, "&lt;&gt;IntegratorValidationComment"))</f>
        <v/>
      </c>
      <c r="AA924" s="7" t="str">
        <f>IF(ISBLANK(patch[[#This Row],[project]]), "",COUNTIFS($A:$A,patch[[#This Row],[number]],$S:$S, "FL And dev",$AD:$AD, "&lt;&gt;IntegratorValidationComment"))</f>
        <v/>
      </c>
      <c r="AB924" s="7" t="str">
        <f>IF(ISBLANK(patch[[#This Row],[project]]), "",COUNTIFS($A:$A,patch[[#This Row],[number]],$S:$S, "SH And dev",$AD:$AD, "&lt;&gt;IntegratorValidationComment"))</f>
        <v/>
      </c>
      <c r="AC924" s="7" t="str">
        <f>IF(OR(ISNUMBER(FIND("Review-1", patch[[#This Row],[comments]])), ISNUMBER(FIND("Approver-1", patch[[#This Row],[comments]]))), "Review-1", "")</f>
        <v/>
      </c>
      <c r="AD9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24" s="7">
        <f>IF(ISBLANK(patch[[#This Row],[number]]),AE923,patch[[#This Row],[ifCommon]])</f>
        <v>0</v>
      </c>
    </row>
    <row r="925" spans="1:31">
      <c r="A925" s="151">
        <v>146609</v>
      </c>
      <c r="B925" s="151"/>
      <c r="C925" s="151"/>
      <c r="D925" s="151"/>
      <c r="E925" s="151"/>
      <c r="F925" s="151"/>
      <c r="G925" s="151"/>
      <c r="H925" s="151"/>
      <c r="I925" s="152"/>
      <c r="J925" s="152">
        <v>42634.763020833343</v>
      </c>
      <c r="K925" s="151"/>
      <c r="L925" s="151" t="s">
        <v>59</v>
      </c>
      <c r="M925" s="152">
        <v>42633.746516203697</v>
      </c>
      <c r="N925" s="151" t="s">
        <v>3067</v>
      </c>
      <c r="O925" s="151"/>
      <c r="P925" s="151"/>
      <c r="Q925" s="7" t="str">
        <f>IF(ISBLANK(patch[[#This Row],[OwnerEmail]]),Q924,patch[[#This Row],[OwnerEmail]])</f>
        <v>lipingx.xu@intel.com</v>
      </c>
      <c r="R925" s="7" t="str">
        <f>_xlfn.IFNA(VLOOKUP(patch[[#This Row],[tmp-owner.email]],OrgTree!$A:$K, 11, 0), "not ICG SWFW")</f>
        <v>BJ And dev</v>
      </c>
      <c r="S925" s="7" t="str">
        <f>IF(patch[[#This Row],[reviewer]]=patch[[#This Row],[tmp-owner.email]], "author", _xlfn.IFNA(VLOOKUP(patch[[#This Row],[reviewer]],OrgTree!$A:$K, 11, 0), "not ICG SWFW"))</f>
        <v>BJ And dev</v>
      </c>
      <c r="T925" s="7" t="str">
        <f>IF(ISBLANK(patch[[#This Row],[mergeDate]]), "", MID(YEAR(patch[[#This Row],[mergeDate]]), 3,2)&amp;"'ww"&amp;WEEKNUM(patch[[#This Row],[mergeDate]]))</f>
        <v>16'ww39</v>
      </c>
      <c r="U925" s="7" t="str">
        <f>IF(ISBLANK(patch[[#This Row],[mergeDate]]), U924, MID(YEAR(patch[[#This Row],[mergeDate]]), 3,2)&amp;"'m"&amp;MONTH(patch[[#This Row],[mergeDate]]))</f>
        <v>16'm9</v>
      </c>
      <c r="V925" s="7" t="str">
        <f>IF(ISBLANK(patch[[#This Row],[project]]), "",SUM(patch[[#This Row],[BJ -1 num]:[SH -1 num]]))</f>
        <v/>
      </c>
      <c r="W925" s="7" t="str">
        <f>IF(ISBLANK(patch[[#This Row],[project]]), "",COUNTIFS($A:$A,patch[[#This Row],[number]],$S:$S, "BJ And dev",$AC:$AC, "Review-1"))</f>
        <v/>
      </c>
      <c r="X925" s="7" t="str">
        <f>IF(ISBLANK(patch[[#This Row],[project]]), "",COUNTIFS($A:$A,patch[[#This Row],[number]],$S:$S, "FL And dev",$AC:$AC, "Review-1"))</f>
        <v/>
      </c>
      <c r="Y925" s="7" t="str">
        <f>IF(ISBLANK(patch[[#This Row],[project]]), "",COUNTIFS($A:$A,patch[[#This Row],[number]],$S:$S, "SH And dev",$AC:$AC, "Review-1"))</f>
        <v/>
      </c>
      <c r="Z925" s="7" t="str">
        <f>IF(ISBLANK(patch[[#This Row],[project]]), "",COUNTIFS($A:$A,patch[[#This Row],[number]],$S:$S, "BJ And dev",$AD:$AD, "&lt;&gt;IntegratorValidationComment"))</f>
        <v/>
      </c>
      <c r="AA925" s="7" t="str">
        <f>IF(ISBLANK(patch[[#This Row],[project]]), "",COUNTIFS($A:$A,patch[[#This Row],[number]],$S:$S, "FL And dev",$AD:$AD, "&lt;&gt;IntegratorValidationComment"))</f>
        <v/>
      </c>
      <c r="AB925" s="7" t="str">
        <f>IF(ISBLANK(patch[[#This Row],[project]]), "",COUNTIFS($A:$A,patch[[#This Row],[number]],$S:$S, "SH And dev",$AD:$AD, "&lt;&gt;IntegratorValidationComment"))</f>
        <v/>
      </c>
      <c r="AC925" s="7" t="str">
        <f>IF(OR(ISNUMBER(FIND("Review-1", patch[[#This Row],[comments]])), ISNUMBER(FIND("Approver-1", patch[[#This Row],[comments]]))), "Review-1", "")</f>
        <v/>
      </c>
      <c r="AD9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25" s="7">
        <f>IF(ISBLANK(patch[[#This Row],[number]]),AE924,patch[[#This Row],[ifCommon]])</f>
        <v>0</v>
      </c>
    </row>
    <row r="926" spans="1:31">
      <c r="A926" s="151">
        <v>146609</v>
      </c>
      <c r="B926" s="151"/>
      <c r="C926" s="151"/>
      <c r="D926" s="151"/>
      <c r="E926" s="151"/>
      <c r="F926" s="151"/>
      <c r="G926" s="151"/>
      <c r="H926" s="151"/>
      <c r="I926" s="151"/>
      <c r="J926" s="152">
        <v>42634.763020833343</v>
      </c>
      <c r="K926" s="151"/>
      <c r="L926" s="151" t="s">
        <v>59</v>
      </c>
      <c r="M926" s="152">
        <v>42633.758402777778</v>
      </c>
      <c r="N926" s="151" t="s">
        <v>1880</v>
      </c>
      <c r="O926" s="151"/>
      <c r="P926" s="151"/>
      <c r="Q926" s="7" t="str">
        <f>IF(ISBLANK(patch[[#This Row],[OwnerEmail]]),Q925,patch[[#This Row],[OwnerEmail]])</f>
        <v>lipingx.xu@intel.com</v>
      </c>
      <c r="R926" s="7" t="str">
        <f>_xlfn.IFNA(VLOOKUP(patch[[#This Row],[tmp-owner.email]],OrgTree!$A:$K, 11, 0), "not ICG SWFW")</f>
        <v>BJ And dev</v>
      </c>
      <c r="S926" s="7" t="str">
        <f>IF(patch[[#This Row],[reviewer]]=patch[[#This Row],[tmp-owner.email]], "author", _xlfn.IFNA(VLOOKUP(patch[[#This Row],[reviewer]],OrgTree!$A:$K, 11, 0), "not ICG SWFW"))</f>
        <v>BJ And dev</v>
      </c>
      <c r="T926" s="7" t="str">
        <f>IF(ISBLANK(patch[[#This Row],[mergeDate]]), "", MID(YEAR(patch[[#This Row],[mergeDate]]), 3,2)&amp;"'ww"&amp;WEEKNUM(patch[[#This Row],[mergeDate]]))</f>
        <v>16'ww39</v>
      </c>
      <c r="U926" s="7" t="str">
        <f>IF(ISBLANK(patch[[#This Row],[mergeDate]]), U925, MID(YEAR(patch[[#This Row],[mergeDate]]), 3,2)&amp;"'m"&amp;MONTH(patch[[#This Row],[mergeDate]]))</f>
        <v>16'm9</v>
      </c>
      <c r="V926" s="7" t="str">
        <f>IF(ISBLANK(patch[[#This Row],[project]]), "",SUM(patch[[#This Row],[BJ -1 num]:[SH -1 num]]))</f>
        <v/>
      </c>
      <c r="W926" s="7" t="str">
        <f>IF(ISBLANK(patch[[#This Row],[project]]), "",COUNTIFS($A:$A,patch[[#This Row],[number]],$S:$S, "BJ And dev",$AC:$AC, "Review-1"))</f>
        <v/>
      </c>
      <c r="X926" s="7" t="str">
        <f>IF(ISBLANK(patch[[#This Row],[project]]), "",COUNTIFS($A:$A,patch[[#This Row],[number]],$S:$S, "FL And dev",$AC:$AC, "Review-1"))</f>
        <v/>
      </c>
      <c r="Y926" s="7" t="str">
        <f>IF(ISBLANK(patch[[#This Row],[project]]), "",COUNTIFS($A:$A,patch[[#This Row],[number]],$S:$S, "SH And dev",$AC:$AC, "Review-1"))</f>
        <v/>
      </c>
      <c r="Z926" s="7" t="str">
        <f>IF(ISBLANK(patch[[#This Row],[project]]), "",COUNTIFS($A:$A,patch[[#This Row],[number]],$S:$S, "BJ And dev",$AD:$AD, "&lt;&gt;IntegratorValidationComment"))</f>
        <v/>
      </c>
      <c r="AA926" s="7" t="str">
        <f>IF(ISBLANK(patch[[#This Row],[project]]), "",COUNTIFS($A:$A,patch[[#This Row],[number]],$S:$S, "FL And dev",$AD:$AD, "&lt;&gt;IntegratorValidationComment"))</f>
        <v/>
      </c>
      <c r="AB926" s="7" t="str">
        <f>IF(ISBLANK(patch[[#This Row],[project]]), "",COUNTIFS($A:$A,patch[[#This Row],[number]],$S:$S, "SH And dev",$AD:$AD, "&lt;&gt;IntegratorValidationComment"))</f>
        <v/>
      </c>
      <c r="AC926" s="7" t="str">
        <f>IF(OR(ISNUMBER(FIND("Review-1", patch[[#This Row],[comments]])), ISNUMBER(FIND("Approver-1", patch[[#This Row],[comments]]))), "Review-1", "")</f>
        <v/>
      </c>
      <c r="AD9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26" s="7">
        <f>IF(ISBLANK(patch[[#This Row],[number]]),AE925,patch[[#This Row],[ifCommon]])</f>
        <v>0</v>
      </c>
    </row>
    <row r="927" spans="1:31">
      <c r="A927" s="151">
        <v>146609</v>
      </c>
      <c r="B927" s="151"/>
      <c r="C927" s="151"/>
      <c r="D927" s="151"/>
      <c r="E927" s="151"/>
      <c r="F927" s="151"/>
      <c r="G927" s="151"/>
      <c r="H927" s="151"/>
      <c r="I927" s="151"/>
      <c r="J927" s="152">
        <v>42634.763020833343</v>
      </c>
      <c r="K927" s="151"/>
      <c r="L927" s="151" t="s">
        <v>59</v>
      </c>
      <c r="M927" s="152">
        <v>42633.766793981478</v>
      </c>
      <c r="N927" s="151" t="s">
        <v>3068</v>
      </c>
      <c r="O927" s="151"/>
      <c r="P927" s="151"/>
      <c r="Q927" s="7" t="str">
        <f>IF(ISBLANK(patch[[#This Row],[OwnerEmail]]),Q926,patch[[#This Row],[OwnerEmail]])</f>
        <v>lipingx.xu@intel.com</v>
      </c>
      <c r="R927" s="7" t="str">
        <f>_xlfn.IFNA(VLOOKUP(patch[[#This Row],[tmp-owner.email]],OrgTree!$A:$K, 11, 0), "not ICG SWFW")</f>
        <v>BJ And dev</v>
      </c>
      <c r="S927" s="7" t="str">
        <f>IF(patch[[#This Row],[reviewer]]=patch[[#This Row],[tmp-owner.email]], "author", _xlfn.IFNA(VLOOKUP(patch[[#This Row],[reviewer]],OrgTree!$A:$K, 11, 0), "not ICG SWFW"))</f>
        <v>BJ And dev</v>
      </c>
      <c r="T927" s="7" t="str">
        <f>IF(ISBLANK(patch[[#This Row],[mergeDate]]), "", MID(YEAR(patch[[#This Row],[mergeDate]]), 3,2)&amp;"'ww"&amp;WEEKNUM(patch[[#This Row],[mergeDate]]))</f>
        <v>16'ww39</v>
      </c>
      <c r="U927" s="7" t="str">
        <f>IF(ISBLANK(patch[[#This Row],[mergeDate]]), U926, MID(YEAR(patch[[#This Row],[mergeDate]]), 3,2)&amp;"'m"&amp;MONTH(patch[[#This Row],[mergeDate]]))</f>
        <v>16'm9</v>
      </c>
      <c r="V927" s="7" t="str">
        <f>IF(ISBLANK(patch[[#This Row],[project]]), "",SUM(patch[[#This Row],[BJ -1 num]:[SH -1 num]]))</f>
        <v/>
      </c>
      <c r="W927" s="7" t="str">
        <f>IF(ISBLANK(patch[[#This Row],[project]]), "",COUNTIFS($A:$A,patch[[#This Row],[number]],$S:$S, "BJ And dev",$AC:$AC, "Review-1"))</f>
        <v/>
      </c>
      <c r="X927" s="7" t="str">
        <f>IF(ISBLANK(patch[[#This Row],[project]]), "",COUNTIFS($A:$A,patch[[#This Row],[number]],$S:$S, "FL And dev",$AC:$AC, "Review-1"))</f>
        <v/>
      </c>
      <c r="Y927" s="7" t="str">
        <f>IF(ISBLANK(patch[[#This Row],[project]]), "",COUNTIFS($A:$A,patch[[#This Row],[number]],$S:$S, "SH And dev",$AC:$AC, "Review-1"))</f>
        <v/>
      </c>
      <c r="Z927" s="7" t="str">
        <f>IF(ISBLANK(patch[[#This Row],[project]]), "",COUNTIFS($A:$A,patch[[#This Row],[number]],$S:$S, "BJ And dev",$AD:$AD, "&lt;&gt;IntegratorValidationComment"))</f>
        <v/>
      </c>
      <c r="AA927" s="7" t="str">
        <f>IF(ISBLANK(patch[[#This Row],[project]]), "",COUNTIFS($A:$A,patch[[#This Row],[number]],$S:$S, "FL And dev",$AD:$AD, "&lt;&gt;IntegratorValidationComment"))</f>
        <v/>
      </c>
      <c r="AB927" s="7" t="str">
        <f>IF(ISBLANK(patch[[#This Row],[project]]), "",COUNTIFS($A:$A,patch[[#This Row],[number]],$S:$S, "SH And dev",$AD:$AD, "&lt;&gt;IntegratorValidationComment"))</f>
        <v/>
      </c>
      <c r="AC927" s="7" t="str">
        <f>IF(OR(ISNUMBER(FIND("Review-1", patch[[#This Row],[comments]])), ISNUMBER(FIND("Approver-1", patch[[#This Row],[comments]]))), "Review-1", "")</f>
        <v/>
      </c>
      <c r="AD9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27" s="7">
        <f>IF(ISBLANK(patch[[#This Row],[number]]),AE926,patch[[#This Row],[ifCommon]])</f>
        <v>0</v>
      </c>
    </row>
    <row r="928" spans="1:31">
      <c r="A928" s="151">
        <v>146609</v>
      </c>
      <c r="B928" s="151"/>
      <c r="C928" s="151"/>
      <c r="D928" s="151"/>
      <c r="E928" s="151"/>
      <c r="F928" s="151"/>
      <c r="G928" s="151"/>
      <c r="H928" s="151"/>
      <c r="I928" s="151"/>
      <c r="J928" s="152">
        <v>42634.763020833343</v>
      </c>
      <c r="K928" s="151"/>
      <c r="L928" s="151" t="s">
        <v>115</v>
      </c>
      <c r="M928" s="152">
        <v>42634.560497685183</v>
      </c>
      <c r="N928" s="151" t="s">
        <v>2494</v>
      </c>
      <c r="O928" s="151"/>
      <c r="P928" s="151"/>
      <c r="Q928" s="7" t="str">
        <f>IF(ISBLANK(patch[[#This Row],[OwnerEmail]]),Q927,patch[[#This Row],[OwnerEmail]])</f>
        <v>lipingx.xu@intel.com</v>
      </c>
      <c r="R928" s="7" t="str">
        <f>_xlfn.IFNA(VLOOKUP(patch[[#This Row],[tmp-owner.email]],OrgTree!$A:$K, 11, 0), "not ICG SWFW")</f>
        <v>BJ And dev</v>
      </c>
      <c r="S928" s="7" t="str">
        <f>IF(patch[[#This Row],[reviewer]]=patch[[#This Row],[tmp-owner.email]], "author", _xlfn.IFNA(VLOOKUP(patch[[#This Row],[reviewer]],OrgTree!$A:$K, 11, 0), "not ICG SWFW"))</f>
        <v>Val</v>
      </c>
      <c r="T928" s="7" t="str">
        <f>IF(ISBLANK(patch[[#This Row],[mergeDate]]), "", MID(YEAR(patch[[#This Row],[mergeDate]]), 3,2)&amp;"'ww"&amp;WEEKNUM(patch[[#This Row],[mergeDate]]))</f>
        <v>16'ww39</v>
      </c>
      <c r="U928" s="7" t="str">
        <f>IF(ISBLANK(patch[[#This Row],[mergeDate]]), U927, MID(YEAR(patch[[#This Row],[mergeDate]]), 3,2)&amp;"'m"&amp;MONTH(patch[[#This Row],[mergeDate]]))</f>
        <v>16'm9</v>
      </c>
      <c r="V928" s="7" t="str">
        <f>IF(ISBLANK(patch[[#This Row],[project]]), "",SUM(patch[[#This Row],[BJ -1 num]:[SH -1 num]]))</f>
        <v/>
      </c>
      <c r="W928" s="7" t="str">
        <f>IF(ISBLANK(patch[[#This Row],[project]]), "",COUNTIFS($A:$A,patch[[#This Row],[number]],$S:$S, "BJ And dev",$AC:$AC, "Review-1"))</f>
        <v/>
      </c>
      <c r="X928" s="7" t="str">
        <f>IF(ISBLANK(patch[[#This Row],[project]]), "",COUNTIFS($A:$A,patch[[#This Row],[number]],$S:$S, "FL And dev",$AC:$AC, "Review-1"))</f>
        <v/>
      </c>
      <c r="Y928" s="7" t="str">
        <f>IF(ISBLANK(patch[[#This Row],[project]]), "",COUNTIFS($A:$A,patch[[#This Row],[number]],$S:$S, "SH And dev",$AC:$AC, "Review-1"))</f>
        <v/>
      </c>
      <c r="Z928" s="7" t="str">
        <f>IF(ISBLANK(patch[[#This Row],[project]]), "",COUNTIFS($A:$A,patch[[#This Row],[number]],$S:$S, "BJ And dev",$AD:$AD, "&lt;&gt;IntegratorValidationComment"))</f>
        <v/>
      </c>
      <c r="AA928" s="7" t="str">
        <f>IF(ISBLANK(patch[[#This Row],[project]]), "",COUNTIFS($A:$A,patch[[#This Row],[number]],$S:$S, "FL And dev",$AD:$AD, "&lt;&gt;IntegratorValidationComment"))</f>
        <v/>
      </c>
      <c r="AB928" s="7" t="str">
        <f>IF(ISBLANK(patch[[#This Row],[project]]), "",COUNTIFS($A:$A,patch[[#This Row],[number]],$S:$S, "SH And dev",$AD:$AD, "&lt;&gt;IntegratorValidationComment"))</f>
        <v/>
      </c>
      <c r="AC928" s="7" t="str">
        <f>IF(OR(ISNUMBER(FIND("Review-1", patch[[#This Row],[comments]])), ISNUMBER(FIND("Approver-1", patch[[#This Row],[comments]]))), "Review-1", "")</f>
        <v/>
      </c>
      <c r="AD9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928" s="7">
        <f>IF(ISBLANK(patch[[#This Row],[number]]),AE927,patch[[#This Row],[ifCommon]])</f>
        <v>0</v>
      </c>
    </row>
    <row r="929" spans="1:31">
      <c r="A929" s="151">
        <v>146608</v>
      </c>
      <c r="B929" s="151" t="s">
        <v>2490</v>
      </c>
      <c r="C929" s="151" t="s">
        <v>2795</v>
      </c>
      <c r="D929" s="151" t="s">
        <v>3069</v>
      </c>
      <c r="E929" s="151" t="s">
        <v>677</v>
      </c>
      <c r="F929" s="151" t="s">
        <v>23</v>
      </c>
      <c r="G929" s="151" t="s">
        <v>3070</v>
      </c>
      <c r="H929" s="151" t="s">
        <v>3071</v>
      </c>
      <c r="I929" s="152">
        <v>42633.740081018521</v>
      </c>
      <c r="J929" s="152">
        <v>42634.762928240743</v>
      </c>
      <c r="K929" s="151" t="s">
        <v>2445</v>
      </c>
      <c r="L929" s="151" t="s">
        <v>677</v>
      </c>
      <c r="M929" s="152">
        <v>42633.740081018521</v>
      </c>
      <c r="N929" s="151" t="s">
        <v>25</v>
      </c>
      <c r="O929" s="151"/>
      <c r="P929" s="151" t="s">
        <v>59</v>
      </c>
      <c r="Q929" s="7" t="str">
        <f>IF(ISBLANK(patch[[#This Row],[OwnerEmail]]),Q928,patch[[#This Row],[OwnerEmail]])</f>
        <v>lipingx.xu@intel.com</v>
      </c>
      <c r="R929" s="7" t="str">
        <f>_xlfn.IFNA(VLOOKUP(patch[[#This Row],[tmp-owner.email]],OrgTree!$A:$K, 11, 0), "not ICG SWFW")</f>
        <v>BJ And dev</v>
      </c>
      <c r="S929" s="7" t="str">
        <f>IF(patch[[#This Row],[reviewer]]=patch[[#This Row],[tmp-owner.email]], "author", _xlfn.IFNA(VLOOKUP(patch[[#This Row],[reviewer]],OrgTree!$A:$K, 11, 0), "not ICG SWFW"))</f>
        <v>author</v>
      </c>
      <c r="T929" s="7" t="str">
        <f>IF(ISBLANK(patch[[#This Row],[mergeDate]]), "", MID(YEAR(patch[[#This Row],[mergeDate]]), 3,2)&amp;"'ww"&amp;WEEKNUM(patch[[#This Row],[mergeDate]]))</f>
        <v>16'ww39</v>
      </c>
      <c r="U929" s="7" t="str">
        <f>IF(ISBLANK(patch[[#This Row],[mergeDate]]), U928, MID(YEAR(patch[[#This Row],[mergeDate]]), 3,2)&amp;"'m"&amp;MONTH(patch[[#This Row],[mergeDate]]))</f>
        <v>16'm9</v>
      </c>
      <c r="V929" s="7">
        <f>IF(ISBLANK(patch[[#This Row],[project]]), "",SUM(patch[[#This Row],[BJ -1 num]:[SH -1 num]]))</f>
        <v>0</v>
      </c>
      <c r="W929" s="7">
        <f>IF(ISBLANK(patch[[#This Row],[project]]), "",COUNTIFS($A:$A,patch[[#This Row],[number]],$S:$S, "BJ And dev",$AC:$AC, "Review-1"))</f>
        <v>0</v>
      </c>
      <c r="X929" s="7">
        <f>IF(ISBLANK(patch[[#This Row],[project]]), "",COUNTIFS($A:$A,patch[[#This Row],[number]],$S:$S, "FL And dev",$AC:$AC, "Review-1"))</f>
        <v>0</v>
      </c>
      <c r="Y929" s="7">
        <f>IF(ISBLANK(patch[[#This Row],[project]]), "",COUNTIFS($A:$A,patch[[#This Row],[number]],$S:$S, "SH And dev",$AC:$AC, "Review-1"))</f>
        <v>0</v>
      </c>
      <c r="Z929" s="7">
        <f>IF(ISBLANK(patch[[#This Row],[project]]), "",COUNTIFS($A:$A,patch[[#This Row],[number]],$S:$S, "BJ And dev",$AD:$AD, "&lt;&gt;IntegratorValidationComment"))</f>
        <v>3</v>
      </c>
      <c r="AA929" s="7">
        <f>IF(ISBLANK(patch[[#This Row],[project]]), "",COUNTIFS($A:$A,patch[[#This Row],[number]],$S:$S, "FL And dev",$AD:$AD, "&lt;&gt;IntegratorValidationComment"))</f>
        <v>0</v>
      </c>
      <c r="AB929" s="7">
        <f>IF(ISBLANK(patch[[#This Row],[project]]), "",COUNTIFS($A:$A,patch[[#This Row],[number]],$S:$S, "SH And dev",$AD:$AD, "&lt;&gt;IntegratorValidationComment"))</f>
        <v>0</v>
      </c>
      <c r="AC929" s="7" t="str">
        <f>IF(OR(ISNUMBER(FIND("Review-1", patch[[#This Row],[comments]])), ISNUMBER(FIND("Approver-1", patch[[#This Row],[comments]]))), "Review-1", "")</f>
        <v/>
      </c>
      <c r="AD9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29" s="7" t="str">
        <f>IF(ISBLANK(patch[[#This Row],[number]]),AE928,patch[[#This Row],[ifCommon]])</f>
        <v>not AndrHAL</v>
      </c>
    </row>
    <row r="930" spans="1:31">
      <c r="A930" s="151">
        <v>146608</v>
      </c>
      <c r="B930" s="151"/>
      <c r="C930" s="151"/>
      <c r="D930" s="151"/>
      <c r="E930" s="151"/>
      <c r="F930" s="151"/>
      <c r="G930" s="151"/>
      <c r="H930" s="151"/>
      <c r="I930" s="151"/>
      <c r="J930" s="152">
        <v>42634.762928240743</v>
      </c>
      <c r="K930" s="151"/>
      <c r="L930" s="151" t="s">
        <v>677</v>
      </c>
      <c r="M930" s="152">
        <v>42633.740115740737</v>
      </c>
      <c r="N930" s="151" t="s">
        <v>2428</v>
      </c>
      <c r="O930" s="151"/>
      <c r="P930" s="151"/>
      <c r="Q930" s="7" t="str">
        <f>IF(ISBLANK(patch[[#This Row],[OwnerEmail]]),Q929,patch[[#This Row],[OwnerEmail]])</f>
        <v>lipingx.xu@intel.com</v>
      </c>
      <c r="R930" s="7" t="str">
        <f>_xlfn.IFNA(VLOOKUP(patch[[#This Row],[tmp-owner.email]],OrgTree!$A:$K, 11, 0), "not ICG SWFW")</f>
        <v>BJ And dev</v>
      </c>
      <c r="S930" s="7" t="str">
        <f>IF(patch[[#This Row],[reviewer]]=patch[[#This Row],[tmp-owner.email]], "author", _xlfn.IFNA(VLOOKUP(patch[[#This Row],[reviewer]],OrgTree!$A:$K, 11, 0), "not ICG SWFW"))</f>
        <v>author</v>
      </c>
      <c r="T930" s="7" t="str">
        <f>IF(ISBLANK(patch[[#This Row],[mergeDate]]), "", MID(YEAR(patch[[#This Row],[mergeDate]]), 3,2)&amp;"'ww"&amp;WEEKNUM(patch[[#This Row],[mergeDate]]))</f>
        <v>16'ww39</v>
      </c>
      <c r="U930" s="7" t="str">
        <f>IF(ISBLANK(patch[[#This Row],[mergeDate]]), U929, MID(YEAR(patch[[#This Row],[mergeDate]]), 3,2)&amp;"'m"&amp;MONTH(patch[[#This Row],[mergeDate]]))</f>
        <v>16'm9</v>
      </c>
      <c r="V930" s="7" t="str">
        <f>IF(ISBLANK(patch[[#This Row],[project]]), "",SUM(patch[[#This Row],[BJ -1 num]:[SH -1 num]]))</f>
        <v/>
      </c>
      <c r="W930" s="7" t="str">
        <f>IF(ISBLANK(patch[[#This Row],[project]]), "",COUNTIFS($A:$A,patch[[#This Row],[number]],$S:$S, "BJ And dev",$AC:$AC, "Review-1"))</f>
        <v/>
      </c>
      <c r="X930" s="7" t="str">
        <f>IF(ISBLANK(patch[[#This Row],[project]]), "",COUNTIFS($A:$A,patch[[#This Row],[number]],$S:$S, "FL And dev",$AC:$AC, "Review-1"))</f>
        <v/>
      </c>
      <c r="Y930" s="7" t="str">
        <f>IF(ISBLANK(patch[[#This Row],[project]]), "",COUNTIFS($A:$A,patch[[#This Row],[number]],$S:$S, "SH And dev",$AC:$AC, "Review-1"))</f>
        <v/>
      </c>
      <c r="Z930" s="7" t="str">
        <f>IF(ISBLANK(patch[[#This Row],[project]]), "",COUNTIFS($A:$A,patch[[#This Row],[number]],$S:$S, "BJ And dev",$AD:$AD, "&lt;&gt;IntegratorValidationComment"))</f>
        <v/>
      </c>
      <c r="AA930" s="7" t="str">
        <f>IF(ISBLANK(patch[[#This Row],[project]]), "",COUNTIFS($A:$A,patch[[#This Row],[number]],$S:$S, "FL And dev",$AD:$AD, "&lt;&gt;IntegratorValidationComment"))</f>
        <v/>
      </c>
      <c r="AB930" s="7" t="str">
        <f>IF(ISBLANK(patch[[#This Row],[project]]), "",COUNTIFS($A:$A,patch[[#This Row],[number]],$S:$S, "SH And dev",$AD:$AD, "&lt;&gt;IntegratorValidationComment"))</f>
        <v/>
      </c>
      <c r="AC930" s="7" t="str">
        <f>IF(OR(ISNUMBER(FIND("Review-1", patch[[#This Row],[comments]])), ISNUMBER(FIND("Approver-1", patch[[#This Row],[comments]]))), "Review-1", "")</f>
        <v/>
      </c>
      <c r="AD9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30" s="7">
        <f>IF(ISBLANK(patch[[#This Row],[number]]),AE929,patch[[#This Row],[ifCommon]])</f>
        <v>0</v>
      </c>
    </row>
    <row r="931" spans="1:31">
      <c r="A931" s="151">
        <v>146608</v>
      </c>
      <c r="B931" s="151"/>
      <c r="C931" s="151"/>
      <c r="D931" s="151"/>
      <c r="E931" s="151"/>
      <c r="F931" s="151"/>
      <c r="G931" s="151"/>
      <c r="H931" s="151"/>
      <c r="I931" s="151"/>
      <c r="J931" s="152">
        <v>42634.762928240743</v>
      </c>
      <c r="K931" s="151"/>
      <c r="L931" s="151" t="s">
        <v>677</v>
      </c>
      <c r="M931" s="152">
        <v>42633.743287037039</v>
      </c>
      <c r="N931" s="151" t="s">
        <v>40</v>
      </c>
      <c r="O931" s="151"/>
      <c r="P931" s="151"/>
      <c r="Q931" s="7" t="str">
        <f>IF(ISBLANK(patch[[#This Row],[OwnerEmail]]),Q930,patch[[#This Row],[OwnerEmail]])</f>
        <v>lipingx.xu@intel.com</v>
      </c>
      <c r="R931" s="7" t="str">
        <f>_xlfn.IFNA(VLOOKUP(patch[[#This Row],[tmp-owner.email]],OrgTree!$A:$K, 11, 0), "not ICG SWFW")</f>
        <v>BJ And dev</v>
      </c>
      <c r="S931" s="7" t="str">
        <f>IF(patch[[#This Row],[reviewer]]=patch[[#This Row],[tmp-owner.email]], "author", _xlfn.IFNA(VLOOKUP(patch[[#This Row],[reviewer]],OrgTree!$A:$K, 11, 0), "not ICG SWFW"))</f>
        <v>author</v>
      </c>
      <c r="T931" s="7" t="str">
        <f>IF(ISBLANK(patch[[#This Row],[mergeDate]]), "", MID(YEAR(patch[[#This Row],[mergeDate]]), 3,2)&amp;"'ww"&amp;WEEKNUM(patch[[#This Row],[mergeDate]]))</f>
        <v>16'ww39</v>
      </c>
      <c r="U931" s="7" t="str">
        <f>IF(ISBLANK(patch[[#This Row],[mergeDate]]), U930, MID(YEAR(patch[[#This Row],[mergeDate]]), 3,2)&amp;"'m"&amp;MONTH(patch[[#This Row],[mergeDate]]))</f>
        <v>16'm9</v>
      </c>
      <c r="V931" s="7" t="str">
        <f>IF(ISBLANK(patch[[#This Row],[project]]), "",SUM(patch[[#This Row],[BJ -1 num]:[SH -1 num]]))</f>
        <v/>
      </c>
      <c r="W931" s="7" t="str">
        <f>IF(ISBLANK(patch[[#This Row],[project]]), "",COUNTIFS($A:$A,patch[[#This Row],[number]],$S:$S, "BJ And dev",$AC:$AC, "Review-1"))</f>
        <v/>
      </c>
      <c r="X931" s="7" t="str">
        <f>IF(ISBLANK(patch[[#This Row],[project]]), "",COUNTIFS($A:$A,patch[[#This Row],[number]],$S:$S, "FL And dev",$AC:$AC, "Review-1"))</f>
        <v/>
      </c>
      <c r="Y931" s="7" t="str">
        <f>IF(ISBLANK(patch[[#This Row],[project]]), "",COUNTIFS($A:$A,patch[[#This Row],[number]],$S:$S, "SH And dev",$AC:$AC, "Review-1"))</f>
        <v/>
      </c>
      <c r="Z931" s="7" t="str">
        <f>IF(ISBLANK(patch[[#This Row],[project]]), "",COUNTIFS($A:$A,patch[[#This Row],[number]],$S:$S, "BJ And dev",$AD:$AD, "&lt;&gt;IntegratorValidationComment"))</f>
        <v/>
      </c>
      <c r="AA931" s="7" t="str">
        <f>IF(ISBLANK(patch[[#This Row],[project]]), "",COUNTIFS($A:$A,patch[[#This Row],[number]],$S:$S, "FL And dev",$AD:$AD, "&lt;&gt;IntegratorValidationComment"))</f>
        <v/>
      </c>
      <c r="AB931" s="7" t="str">
        <f>IF(ISBLANK(patch[[#This Row],[project]]), "",COUNTIFS($A:$A,patch[[#This Row],[number]],$S:$S, "SH And dev",$AD:$AD, "&lt;&gt;IntegratorValidationComment"))</f>
        <v/>
      </c>
      <c r="AC931" s="7" t="str">
        <f>IF(OR(ISNUMBER(FIND("Review-1", patch[[#This Row],[comments]])), ISNUMBER(FIND("Approver-1", patch[[#This Row],[comments]]))), "Review-1", "")</f>
        <v/>
      </c>
      <c r="AD9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31" s="7">
        <f>IF(ISBLANK(patch[[#This Row],[number]]),AE930,patch[[#This Row],[ifCommon]])</f>
        <v>0</v>
      </c>
    </row>
    <row r="932" spans="1:31">
      <c r="A932" s="151">
        <v>146608</v>
      </c>
      <c r="B932" s="151"/>
      <c r="C932" s="151"/>
      <c r="D932" s="151"/>
      <c r="E932" s="151"/>
      <c r="F932" s="151"/>
      <c r="G932" s="151"/>
      <c r="H932" s="151"/>
      <c r="I932" s="151"/>
      <c r="J932" s="152">
        <v>42634.762928240743</v>
      </c>
      <c r="K932" s="151"/>
      <c r="L932" s="151" t="s">
        <v>59</v>
      </c>
      <c r="M932" s="152">
        <v>42633.747546296298</v>
      </c>
      <c r="N932" s="151" t="s">
        <v>3072</v>
      </c>
      <c r="O932" s="151"/>
      <c r="P932" s="151"/>
      <c r="Q932" s="7" t="str">
        <f>IF(ISBLANK(patch[[#This Row],[OwnerEmail]]),Q931,patch[[#This Row],[OwnerEmail]])</f>
        <v>lipingx.xu@intel.com</v>
      </c>
      <c r="R932" s="7" t="str">
        <f>_xlfn.IFNA(VLOOKUP(patch[[#This Row],[tmp-owner.email]],OrgTree!$A:$K, 11, 0), "not ICG SWFW")</f>
        <v>BJ And dev</v>
      </c>
      <c r="S932" s="7" t="str">
        <f>IF(patch[[#This Row],[reviewer]]=patch[[#This Row],[tmp-owner.email]], "author", _xlfn.IFNA(VLOOKUP(patch[[#This Row],[reviewer]],OrgTree!$A:$K, 11, 0), "not ICG SWFW"))</f>
        <v>BJ And dev</v>
      </c>
      <c r="T932" s="7" t="str">
        <f>IF(ISBLANK(patch[[#This Row],[mergeDate]]), "", MID(YEAR(patch[[#This Row],[mergeDate]]), 3,2)&amp;"'ww"&amp;WEEKNUM(patch[[#This Row],[mergeDate]]))</f>
        <v>16'ww39</v>
      </c>
      <c r="U932" s="7" t="str">
        <f>IF(ISBLANK(patch[[#This Row],[mergeDate]]), U931, MID(YEAR(patch[[#This Row],[mergeDate]]), 3,2)&amp;"'m"&amp;MONTH(patch[[#This Row],[mergeDate]]))</f>
        <v>16'm9</v>
      </c>
      <c r="V932" s="7" t="str">
        <f>IF(ISBLANK(patch[[#This Row],[project]]), "",SUM(patch[[#This Row],[BJ -1 num]:[SH -1 num]]))</f>
        <v/>
      </c>
      <c r="W932" s="7" t="str">
        <f>IF(ISBLANK(patch[[#This Row],[project]]), "",COUNTIFS($A:$A,patch[[#This Row],[number]],$S:$S, "BJ And dev",$AC:$AC, "Review-1"))</f>
        <v/>
      </c>
      <c r="X932" s="7" t="str">
        <f>IF(ISBLANK(patch[[#This Row],[project]]), "",COUNTIFS($A:$A,patch[[#This Row],[number]],$S:$S, "FL And dev",$AC:$AC, "Review-1"))</f>
        <v/>
      </c>
      <c r="Y932" s="7" t="str">
        <f>IF(ISBLANK(patch[[#This Row],[project]]), "",COUNTIFS($A:$A,patch[[#This Row],[number]],$S:$S, "SH And dev",$AC:$AC, "Review-1"))</f>
        <v/>
      </c>
      <c r="Z932" s="7" t="str">
        <f>IF(ISBLANK(patch[[#This Row],[project]]), "",COUNTIFS($A:$A,patch[[#This Row],[number]],$S:$S, "BJ And dev",$AD:$AD, "&lt;&gt;IntegratorValidationComment"))</f>
        <v/>
      </c>
      <c r="AA932" s="7" t="str">
        <f>IF(ISBLANK(patch[[#This Row],[project]]), "",COUNTIFS($A:$A,patch[[#This Row],[number]],$S:$S, "FL And dev",$AD:$AD, "&lt;&gt;IntegratorValidationComment"))</f>
        <v/>
      </c>
      <c r="AB932" s="7" t="str">
        <f>IF(ISBLANK(patch[[#This Row],[project]]), "",COUNTIFS($A:$A,patch[[#This Row],[number]],$S:$S, "SH And dev",$AD:$AD, "&lt;&gt;IntegratorValidationComment"))</f>
        <v/>
      </c>
      <c r="AC932" s="7" t="str">
        <f>IF(OR(ISNUMBER(FIND("Review-1", patch[[#This Row],[comments]])), ISNUMBER(FIND("Approver-1", patch[[#This Row],[comments]]))), "Review-1", "")</f>
        <v/>
      </c>
      <c r="AD9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32" s="7">
        <f>IF(ISBLANK(patch[[#This Row],[number]]),AE931,patch[[#This Row],[ifCommon]])</f>
        <v>0</v>
      </c>
    </row>
    <row r="933" spans="1:31">
      <c r="A933" s="151">
        <v>146608</v>
      </c>
      <c r="B933" s="151"/>
      <c r="C933" s="151"/>
      <c r="D933" s="151"/>
      <c r="E933" s="151"/>
      <c r="F933" s="151"/>
      <c r="G933" s="151"/>
      <c r="H933" s="151"/>
      <c r="I933" s="151"/>
      <c r="J933" s="152">
        <v>42634.762928240743</v>
      </c>
      <c r="K933" s="151"/>
      <c r="L933" s="151" t="s">
        <v>59</v>
      </c>
      <c r="M933" s="152">
        <v>42633.758344907408</v>
      </c>
      <c r="N933" s="151" t="s">
        <v>1880</v>
      </c>
      <c r="O933" s="151"/>
      <c r="P933" s="151"/>
      <c r="Q933" s="7" t="str">
        <f>IF(ISBLANK(patch[[#This Row],[OwnerEmail]]),Q932,patch[[#This Row],[OwnerEmail]])</f>
        <v>lipingx.xu@intel.com</v>
      </c>
      <c r="R933" s="7" t="str">
        <f>_xlfn.IFNA(VLOOKUP(patch[[#This Row],[tmp-owner.email]],OrgTree!$A:$K, 11, 0), "not ICG SWFW")</f>
        <v>BJ And dev</v>
      </c>
      <c r="S933" s="7" t="str">
        <f>IF(patch[[#This Row],[reviewer]]=patch[[#This Row],[tmp-owner.email]], "author", _xlfn.IFNA(VLOOKUP(patch[[#This Row],[reviewer]],OrgTree!$A:$K, 11, 0), "not ICG SWFW"))</f>
        <v>BJ And dev</v>
      </c>
      <c r="T933" s="7" t="str">
        <f>IF(ISBLANK(patch[[#This Row],[mergeDate]]), "", MID(YEAR(patch[[#This Row],[mergeDate]]), 3,2)&amp;"'ww"&amp;WEEKNUM(patch[[#This Row],[mergeDate]]))</f>
        <v>16'ww39</v>
      </c>
      <c r="U933" s="7" t="str">
        <f>IF(ISBLANK(patch[[#This Row],[mergeDate]]), U932, MID(YEAR(patch[[#This Row],[mergeDate]]), 3,2)&amp;"'m"&amp;MONTH(patch[[#This Row],[mergeDate]]))</f>
        <v>16'm9</v>
      </c>
      <c r="V933" s="7" t="str">
        <f>IF(ISBLANK(patch[[#This Row],[project]]), "",SUM(patch[[#This Row],[BJ -1 num]:[SH -1 num]]))</f>
        <v/>
      </c>
      <c r="W933" s="7" t="str">
        <f>IF(ISBLANK(patch[[#This Row],[project]]), "",COUNTIFS($A:$A,patch[[#This Row],[number]],$S:$S, "BJ And dev",$AC:$AC, "Review-1"))</f>
        <v/>
      </c>
      <c r="X933" s="7" t="str">
        <f>IF(ISBLANK(patch[[#This Row],[project]]), "",COUNTIFS($A:$A,patch[[#This Row],[number]],$S:$S, "FL And dev",$AC:$AC, "Review-1"))</f>
        <v/>
      </c>
      <c r="Y933" s="7" t="str">
        <f>IF(ISBLANK(patch[[#This Row],[project]]), "",COUNTIFS($A:$A,patch[[#This Row],[number]],$S:$S, "SH And dev",$AC:$AC, "Review-1"))</f>
        <v/>
      </c>
      <c r="Z933" s="7" t="str">
        <f>IF(ISBLANK(patch[[#This Row],[project]]), "",COUNTIFS($A:$A,patch[[#This Row],[number]],$S:$S, "BJ And dev",$AD:$AD, "&lt;&gt;IntegratorValidationComment"))</f>
        <v/>
      </c>
      <c r="AA933" s="7" t="str">
        <f>IF(ISBLANK(patch[[#This Row],[project]]), "",COUNTIFS($A:$A,patch[[#This Row],[number]],$S:$S, "FL And dev",$AD:$AD, "&lt;&gt;IntegratorValidationComment"))</f>
        <v/>
      </c>
      <c r="AB933" s="7" t="str">
        <f>IF(ISBLANK(patch[[#This Row],[project]]), "",COUNTIFS($A:$A,patch[[#This Row],[number]],$S:$S, "SH And dev",$AD:$AD, "&lt;&gt;IntegratorValidationComment"))</f>
        <v/>
      </c>
      <c r="AC933" s="7" t="str">
        <f>IF(OR(ISNUMBER(FIND("Review-1", patch[[#This Row],[comments]])), ISNUMBER(FIND("Approver-1", patch[[#This Row],[comments]]))), "Review-1", "")</f>
        <v/>
      </c>
      <c r="AD9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33" s="7">
        <f>IF(ISBLANK(patch[[#This Row],[number]]),AE932,patch[[#This Row],[ifCommon]])</f>
        <v>0</v>
      </c>
    </row>
    <row r="934" spans="1:31">
      <c r="A934" s="151">
        <v>146608</v>
      </c>
      <c r="B934" s="151"/>
      <c r="C934" s="151"/>
      <c r="D934" s="151"/>
      <c r="E934" s="151"/>
      <c r="F934" s="151"/>
      <c r="G934" s="151"/>
      <c r="H934" s="151"/>
      <c r="I934" s="151"/>
      <c r="J934" s="152">
        <v>42634.762928240743</v>
      </c>
      <c r="K934" s="151"/>
      <c r="L934" s="151" t="s">
        <v>59</v>
      </c>
      <c r="M934" s="152">
        <v>42633.768240740741</v>
      </c>
      <c r="N934" s="151" t="s">
        <v>3073</v>
      </c>
      <c r="O934" s="151"/>
      <c r="P934" s="151"/>
      <c r="Q934" s="7" t="str">
        <f>IF(ISBLANK(patch[[#This Row],[OwnerEmail]]),Q933,patch[[#This Row],[OwnerEmail]])</f>
        <v>lipingx.xu@intel.com</v>
      </c>
      <c r="R934" s="7" t="str">
        <f>_xlfn.IFNA(VLOOKUP(patch[[#This Row],[tmp-owner.email]],OrgTree!$A:$K, 11, 0), "not ICG SWFW")</f>
        <v>BJ And dev</v>
      </c>
      <c r="S934" s="7" t="str">
        <f>IF(patch[[#This Row],[reviewer]]=patch[[#This Row],[tmp-owner.email]], "author", _xlfn.IFNA(VLOOKUP(patch[[#This Row],[reviewer]],OrgTree!$A:$K, 11, 0), "not ICG SWFW"))</f>
        <v>BJ And dev</v>
      </c>
      <c r="T934" s="7" t="str">
        <f>IF(ISBLANK(patch[[#This Row],[mergeDate]]), "", MID(YEAR(patch[[#This Row],[mergeDate]]), 3,2)&amp;"'ww"&amp;WEEKNUM(patch[[#This Row],[mergeDate]]))</f>
        <v>16'ww39</v>
      </c>
      <c r="U934" s="7" t="str">
        <f>IF(ISBLANK(patch[[#This Row],[mergeDate]]), U933, MID(YEAR(patch[[#This Row],[mergeDate]]), 3,2)&amp;"'m"&amp;MONTH(patch[[#This Row],[mergeDate]]))</f>
        <v>16'm9</v>
      </c>
      <c r="V934" s="7" t="str">
        <f>IF(ISBLANK(patch[[#This Row],[project]]), "",SUM(patch[[#This Row],[BJ -1 num]:[SH -1 num]]))</f>
        <v/>
      </c>
      <c r="W934" s="7" t="str">
        <f>IF(ISBLANK(patch[[#This Row],[project]]), "",COUNTIFS($A:$A,patch[[#This Row],[number]],$S:$S, "BJ And dev",$AC:$AC, "Review-1"))</f>
        <v/>
      </c>
      <c r="X934" s="7" t="str">
        <f>IF(ISBLANK(patch[[#This Row],[project]]), "",COUNTIFS($A:$A,patch[[#This Row],[number]],$S:$S, "FL And dev",$AC:$AC, "Review-1"))</f>
        <v/>
      </c>
      <c r="Y934" s="7" t="str">
        <f>IF(ISBLANK(patch[[#This Row],[project]]), "",COUNTIFS($A:$A,patch[[#This Row],[number]],$S:$S, "SH And dev",$AC:$AC, "Review-1"))</f>
        <v/>
      </c>
      <c r="Z934" s="7" t="str">
        <f>IF(ISBLANK(patch[[#This Row],[project]]), "",COUNTIFS($A:$A,patch[[#This Row],[number]],$S:$S, "BJ And dev",$AD:$AD, "&lt;&gt;IntegratorValidationComment"))</f>
        <v/>
      </c>
      <c r="AA934" s="7" t="str">
        <f>IF(ISBLANK(patch[[#This Row],[project]]), "",COUNTIFS($A:$A,patch[[#This Row],[number]],$S:$S, "FL And dev",$AD:$AD, "&lt;&gt;IntegratorValidationComment"))</f>
        <v/>
      </c>
      <c r="AB934" s="7" t="str">
        <f>IF(ISBLANK(patch[[#This Row],[project]]), "",COUNTIFS($A:$A,patch[[#This Row],[number]],$S:$S, "SH And dev",$AD:$AD, "&lt;&gt;IntegratorValidationComment"))</f>
        <v/>
      </c>
      <c r="AC934" s="7" t="str">
        <f>IF(OR(ISNUMBER(FIND("Review-1", patch[[#This Row],[comments]])), ISNUMBER(FIND("Approver-1", patch[[#This Row],[comments]]))), "Review-1", "")</f>
        <v/>
      </c>
      <c r="AD9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34" s="7">
        <f>IF(ISBLANK(patch[[#This Row],[number]]),AE933,patch[[#This Row],[ifCommon]])</f>
        <v>0</v>
      </c>
    </row>
    <row r="935" spans="1:31">
      <c r="A935" s="151">
        <v>146608</v>
      </c>
      <c r="B935" s="151"/>
      <c r="C935" s="151"/>
      <c r="D935" s="151"/>
      <c r="E935" s="151"/>
      <c r="F935" s="151"/>
      <c r="G935" s="151"/>
      <c r="H935" s="151"/>
      <c r="I935" s="151"/>
      <c r="J935" s="152">
        <v>42634.762928240743</v>
      </c>
      <c r="K935" s="151"/>
      <c r="L935" s="151" t="s">
        <v>115</v>
      </c>
      <c r="M935" s="152">
        <v>42634.559699074067</v>
      </c>
      <c r="N935" s="151" t="s">
        <v>2494</v>
      </c>
      <c r="O935" s="151"/>
      <c r="P935" s="151"/>
      <c r="Q935" s="7" t="str">
        <f>IF(ISBLANK(patch[[#This Row],[OwnerEmail]]),Q934,patch[[#This Row],[OwnerEmail]])</f>
        <v>lipingx.xu@intel.com</v>
      </c>
      <c r="R935" s="7" t="str">
        <f>_xlfn.IFNA(VLOOKUP(patch[[#This Row],[tmp-owner.email]],OrgTree!$A:$K, 11, 0), "not ICG SWFW")</f>
        <v>BJ And dev</v>
      </c>
      <c r="S935" s="7" t="str">
        <f>IF(patch[[#This Row],[reviewer]]=patch[[#This Row],[tmp-owner.email]], "author", _xlfn.IFNA(VLOOKUP(patch[[#This Row],[reviewer]],OrgTree!$A:$K, 11, 0), "not ICG SWFW"))</f>
        <v>Val</v>
      </c>
      <c r="T935" s="7" t="str">
        <f>IF(ISBLANK(patch[[#This Row],[mergeDate]]), "", MID(YEAR(patch[[#This Row],[mergeDate]]), 3,2)&amp;"'ww"&amp;WEEKNUM(patch[[#This Row],[mergeDate]]))</f>
        <v>16'ww39</v>
      </c>
      <c r="U935" s="7" t="str">
        <f>IF(ISBLANK(patch[[#This Row],[mergeDate]]), U934, MID(YEAR(patch[[#This Row],[mergeDate]]), 3,2)&amp;"'m"&amp;MONTH(patch[[#This Row],[mergeDate]]))</f>
        <v>16'm9</v>
      </c>
      <c r="V935" s="7" t="str">
        <f>IF(ISBLANK(patch[[#This Row],[project]]), "",SUM(patch[[#This Row],[BJ -1 num]:[SH -1 num]]))</f>
        <v/>
      </c>
      <c r="W935" s="7" t="str">
        <f>IF(ISBLANK(patch[[#This Row],[project]]), "",COUNTIFS($A:$A,patch[[#This Row],[number]],$S:$S, "BJ And dev",$AC:$AC, "Review-1"))</f>
        <v/>
      </c>
      <c r="X935" s="7" t="str">
        <f>IF(ISBLANK(patch[[#This Row],[project]]), "",COUNTIFS($A:$A,patch[[#This Row],[number]],$S:$S, "FL And dev",$AC:$AC, "Review-1"))</f>
        <v/>
      </c>
      <c r="Y935" s="7" t="str">
        <f>IF(ISBLANK(patch[[#This Row],[project]]), "",COUNTIFS($A:$A,patch[[#This Row],[number]],$S:$S, "SH And dev",$AC:$AC, "Review-1"))</f>
        <v/>
      </c>
      <c r="Z935" s="7" t="str">
        <f>IF(ISBLANK(patch[[#This Row],[project]]), "",COUNTIFS($A:$A,patch[[#This Row],[number]],$S:$S, "BJ And dev",$AD:$AD, "&lt;&gt;IntegratorValidationComment"))</f>
        <v/>
      </c>
      <c r="AA935" s="7" t="str">
        <f>IF(ISBLANK(patch[[#This Row],[project]]), "",COUNTIFS($A:$A,patch[[#This Row],[number]],$S:$S, "FL And dev",$AD:$AD, "&lt;&gt;IntegratorValidationComment"))</f>
        <v/>
      </c>
      <c r="AB935" s="7" t="str">
        <f>IF(ISBLANK(patch[[#This Row],[project]]), "",COUNTIFS($A:$A,patch[[#This Row],[number]],$S:$S, "SH And dev",$AD:$AD, "&lt;&gt;IntegratorValidationComment"))</f>
        <v/>
      </c>
      <c r="AC935" s="7" t="str">
        <f>IF(OR(ISNUMBER(FIND("Review-1", patch[[#This Row],[comments]])), ISNUMBER(FIND("Approver-1", patch[[#This Row],[comments]]))), "Review-1", "")</f>
        <v/>
      </c>
      <c r="AD9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935" s="7">
        <f>IF(ISBLANK(patch[[#This Row],[number]]),AE934,patch[[#This Row],[ifCommon]])</f>
        <v>0</v>
      </c>
    </row>
    <row r="936" spans="1:31">
      <c r="A936" s="151">
        <v>146607</v>
      </c>
      <c r="B936" s="151" t="s">
        <v>2490</v>
      </c>
      <c r="C936" s="151" t="s">
        <v>2795</v>
      </c>
      <c r="D936" s="151" t="s">
        <v>3074</v>
      </c>
      <c r="E936" s="151" t="s">
        <v>677</v>
      </c>
      <c r="F936" s="151" t="s">
        <v>23</v>
      </c>
      <c r="G936" s="151" t="s">
        <v>3075</v>
      </c>
      <c r="H936" s="151" t="s">
        <v>3076</v>
      </c>
      <c r="I936" s="152">
        <v>42633.740081018521</v>
      </c>
      <c r="J936" s="152">
        <v>42634.762511574067</v>
      </c>
      <c r="K936" s="151" t="s">
        <v>2445</v>
      </c>
      <c r="L936" s="151" t="s">
        <v>677</v>
      </c>
      <c r="M936" s="152">
        <v>42633.740081018521</v>
      </c>
      <c r="N936" s="151" t="s">
        <v>25</v>
      </c>
      <c r="O936" s="151"/>
      <c r="P936" s="151" t="s">
        <v>59</v>
      </c>
      <c r="Q936" s="7" t="str">
        <f>IF(ISBLANK(patch[[#This Row],[OwnerEmail]]),Q935,patch[[#This Row],[OwnerEmail]])</f>
        <v>lipingx.xu@intel.com</v>
      </c>
      <c r="R936" s="7" t="str">
        <f>_xlfn.IFNA(VLOOKUP(patch[[#This Row],[tmp-owner.email]],OrgTree!$A:$K, 11, 0), "not ICG SWFW")</f>
        <v>BJ And dev</v>
      </c>
      <c r="S936" s="7" t="str">
        <f>IF(patch[[#This Row],[reviewer]]=patch[[#This Row],[tmp-owner.email]], "author", _xlfn.IFNA(VLOOKUP(patch[[#This Row],[reviewer]],OrgTree!$A:$K, 11, 0), "not ICG SWFW"))</f>
        <v>author</v>
      </c>
      <c r="T936" s="7" t="str">
        <f>IF(ISBLANK(patch[[#This Row],[mergeDate]]), "", MID(YEAR(patch[[#This Row],[mergeDate]]), 3,2)&amp;"'ww"&amp;WEEKNUM(patch[[#This Row],[mergeDate]]))</f>
        <v>16'ww39</v>
      </c>
      <c r="U936" s="7" t="str">
        <f>IF(ISBLANK(patch[[#This Row],[mergeDate]]), U935, MID(YEAR(patch[[#This Row],[mergeDate]]), 3,2)&amp;"'m"&amp;MONTH(patch[[#This Row],[mergeDate]]))</f>
        <v>16'm9</v>
      </c>
      <c r="V936" s="7">
        <f>IF(ISBLANK(patch[[#This Row],[project]]), "",SUM(patch[[#This Row],[BJ -1 num]:[SH -1 num]]))</f>
        <v>0</v>
      </c>
      <c r="W936" s="7">
        <f>IF(ISBLANK(patch[[#This Row],[project]]), "",COUNTIFS($A:$A,patch[[#This Row],[number]],$S:$S, "BJ And dev",$AC:$AC, "Review-1"))</f>
        <v>0</v>
      </c>
      <c r="X936" s="7">
        <f>IF(ISBLANK(patch[[#This Row],[project]]), "",COUNTIFS($A:$A,patch[[#This Row],[number]],$S:$S, "FL And dev",$AC:$AC, "Review-1"))</f>
        <v>0</v>
      </c>
      <c r="Y936" s="7">
        <f>IF(ISBLANK(patch[[#This Row],[project]]), "",COUNTIFS($A:$A,patch[[#This Row],[number]],$S:$S, "SH And dev",$AC:$AC, "Review-1"))</f>
        <v>0</v>
      </c>
      <c r="Z936" s="7">
        <f>IF(ISBLANK(patch[[#This Row],[project]]), "",COUNTIFS($A:$A,patch[[#This Row],[number]],$S:$S, "BJ And dev",$AD:$AD, "&lt;&gt;IntegratorValidationComment"))</f>
        <v>3</v>
      </c>
      <c r="AA936" s="7">
        <f>IF(ISBLANK(patch[[#This Row],[project]]), "",COUNTIFS($A:$A,patch[[#This Row],[number]],$S:$S, "FL And dev",$AD:$AD, "&lt;&gt;IntegratorValidationComment"))</f>
        <v>0</v>
      </c>
      <c r="AB936" s="7">
        <f>IF(ISBLANK(patch[[#This Row],[project]]), "",COUNTIFS($A:$A,patch[[#This Row],[number]],$S:$S, "SH And dev",$AD:$AD, "&lt;&gt;IntegratorValidationComment"))</f>
        <v>0</v>
      </c>
      <c r="AC936" s="7" t="str">
        <f>IF(OR(ISNUMBER(FIND("Review-1", patch[[#This Row],[comments]])), ISNUMBER(FIND("Approver-1", patch[[#This Row],[comments]]))), "Review-1", "")</f>
        <v/>
      </c>
      <c r="AD9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36" s="7" t="str">
        <f>IF(ISBLANK(patch[[#This Row],[number]]),AE935,patch[[#This Row],[ifCommon]])</f>
        <v>not AndrHAL</v>
      </c>
    </row>
    <row r="937" spans="1:31">
      <c r="A937" s="151">
        <v>146607</v>
      </c>
      <c r="B937" s="151"/>
      <c r="C937" s="151"/>
      <c r="D937" s="151"/>
      <c r="E937" s="151"/>
      <c r="F937" s="151"/>
      <c r="G937" s="151"/>
      <c r="H937" s="151"/>
      <c r="I937" s="151"/>
      <c r="J937" s="152">
        <v>42634.762511574067</v>
      </c>
      <c r="K937" s="151"/>
      <c r="L937" s="151" t="s">
        <v>677</v>
      </c>
      <c r="M937" s="152">
        <v>42633.740104166667</v>
      </c>
      <c r="N937" s="151" t="s">
        <v>2428</v>
      </c>
      <c r="O937" s="151"/>
      <c r="P937" s="151"/>
      <c r="Q937" s="7" t="str">
        <f>IF(ISBLANK(patch[[#This Row],[OwnerEmail]]),Q936,patch[[#This Row],[OwnerEmail]])</f>
        <v>lipingx.xu@intel.com</v>
      </c>
      <c r="R937" s="7" t="str">
        <f>_xlfn.IFNA(VLOOKUP(patch[[#This Row],[tmp-owner.email]],OrgTree!$A:$K, 11, 0), "not ICG SWFW")</f>
        <v>BJ And dev</v>
      </c>
      <c r="S937" s="7" t="str">
        <f>IF(patch[[#This Row],[reviewer]]=patch[[#This Row],[tmp-owner.email]], "author", _xlfn.IFNA(VLOOKUP(patch[[#This Row],[reviewer]],OrgTree!$A:$K, 11, 0), "not ICG SWFW"))</f>
        <v>author</v>
      </c>
      <c r="T937" s="7" t="str">
        <f>IF(ISBLANK(patch[[#This Row],[mergeDate]]), "", MID(YEAR(patch[[#This Row],[mergeDate]]), 3,2)&amp;"'ww"&amp;WEEKNUM(patch[[#This Row],[mergeDate]]))</f>
        <v>16'ww39</v>
      </c>
      <c r="U937" s="7" t="str">
        <f>IF(ISBLANK(patch[[#This Row],[mergeDate]]), U936, MID(YEAR(patch[[#This Row],[mergeDate]]), 3,2)&amp;"'m"&amp;MONTH(patch[[#This Row],[mergeDate]]))</f>
        <v>16'm9</v>
      </c>
      <c r="V937" s="7" t="str">
        <f>IF(ISBLANK(patch[[#This Row],[project]]), "",SUM(patch[[#This Row],[BJ -1 num]:[SH -1 num]]))</f>
        <v/>
      </c>
      <c r="W937" s="7" t="str">
        <f>IF(ISBLANK(patch[[#This Row],[project]]), "",COUNTIFS($A:$A,patch[[#This Row],[number]],$S:$S, "BJ And dev",$AC:$AC, "Review-1"))</f>
        <v/>
      </c>
      <c r="X937" s="7" t="str">
        <f>IF(ISBLANK(patch[[#This Row],[project]]), "",COUNTIFS($A:$A,patch[[#This Row],[number]],$S:$S, "FL And dev",$AC:$AC, "Review-1"))</f>
        <v/>
      </c>
      <c r="Y937" s="7" t="str">
        <f>IF(ISBLANK(patch[[#This Row],[project]]), "",COUNTIFS($A:$A,patch[[#This Row],[number]],$S:$S, "SH And dev",$AC:$AC, "Review-1"))</f>
        <v/>
      </c>
      <c r="Z937" s="7" t="str">
        <f>IF(ISBLANK(patch[[#This Row],[project]]), "",COUNTIFS($A:$A,patch[[#This Row],[number]],$S:$S, "BJ And dev",$AD:$AD, "&lt;&gt;IntegratorValidationComment"))</f>
        <v/>
      </c>
      <c r="AA937" s="7" t="str">
        <f>IF(ISBLANK(patch[[#This Row],[project]]), "",COUNTIFS($A:$A,patch[[#This Row],[number]],$S:$S, "FL And dev",$AD:$AD, "&lt;&gt;IntegratorValidationComment"))</f>
        <v/>
      </c>
      <c r="AB937" s="7" t="str">
        <f>IF(ISBLANK(patch[[#This Row],[project]]), "",COUNTIFS($A:$A,patch[[#This Row],[number]],$S:$S, "SH And dev",$AD:$AD, "&lt;&gt;IntegratorValidationComment"))</f>
        <v/>
      </c>
      <c r="AC937" s="7" t="str">
        <f>IF(OR(ISNUMBER(FIND("Review-1", patch[[#This Row],[comments]])), ISNUMBER(FIND("Approver-1", patch[[#This Row],[comments]]))), "Review-1", "")</f>
        <v/>
      </c>
      <c r="AD9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37" s="7">
        <f>IF(ISBLANK(patch[[#This Row],[number]]),AE936,patch[[#This Row],[ifCommon]])</f>
        <v>0</v>
      </c>
    </row>
    <row r="938" spans="1:31">
      <c r="A938" s="151">
        <v>146607</v>
      </c>
      <c r="B938" s="151"/>
      <c r="C938" s="151"/>
      <c r="D938" s="151"/>
      <c r="E938" s="151"/>
      <c r="F938" s="151"/>
      <c r="G938" s="151"/>
      <c r="H938" s="151"/>
      <c r="I938" s="151"/>
      <c r="J938" s="152">
        <v>42634.762511574067</v>
      </c>
      <c r="K938" s="151"/>
      <c r="L938" s="151" t="s">
        <v>677</v>
      </c>
      <c r="M938" s="152">
        <v>42633.74318287037</v>
      </c>
      <c r="N938" s="151" t="s">
        <v>40</v>
      </c>
      <c r="O938" s="151"/>
      <c r="P938" s="151"/>
      <c r="Q938" s="7" t="str">
        <f>IF(ISBLANK(patch[[#This Row],[OwnerEmail]]),Q937,patch[[#This Row],[OwnerEmail]])</f>
        <v>lipingx.xu@intel.com</v>
      </c>
      <c r="R938" s="7" t="str">
        <f>_xlfn.IFNA(VLOOKUP(patch[[#This Row],[tmp-owner.email]],OrgTree!$A:$K, 11, 0), "not ICG SWFW")</f>
        <v>BJ And dev</v>
      </c>
      <c r="S938" s="7" t="str">
        <f>IF(patch[[#This Row],[reviewer]]=patch[[#This Row],[tmp-owner.email]], "author", _xlfn.IFNA(VLOOKUP(patch[[#This Row],[reviewer]],OrgTree!$A:$K, 11, 0), "not ICG SWFW"))</f>
        <v>author</v>
      </c>
      <c r="T938" s="7" t="str">
        <f>IF(ISBLANK(patch[[#This Row],[mergeDate]]), "", MID(YEAR(patch[[#This Row],[mergeDate]]), 3,2)&amp;"'ww"&amp;WEEKNUM(patch[[#This Row],[mergeDate]]))</f>
        <v>16'ww39</v>
      </c>
      <c r="U938" s="7" t="str">
        <f>IF(ISBLANK(patch[[#This Row],[mergeDate]]), U937, MID(YEAR(patch[[#This Row],[mergeDate]]), 3,2)&amp;"'m"&amp;MONTH(patch[[#This Row],[mergeDate]]))</f>
        <v>16'm9</v>
      </c>
      <c r="V938" s="7" t="str">
        <f>IF(ISBLANK(patch[[#This Row],[project]]), "",SUM(patch[[#This Row],[BJ -1 num]:[SH -1 num]]))</f>
        <v/>
      </c>
      <c r="W938" s="7" t="str">
        <f>IF(ISBLANK(patch[[#This Row],[project]]), "",COUNTIFS($A:$A,patch[[#This Row],[number]],$S:$S, "BJ And dev",$AC:$AC, "Review-1"))</f>
        <v/>
      </c>
      <c r="X938" s="7" t="str">
        <f>IF(ISBLANK(patch[[#This Row],[project]]), "",COUNTIFS($A:$A,patch[[#This Row],[number]],$S:$S, "FL And dev",$AC:$AC, "Review-1"))</f>
        <v/>
      </c>
      <c r="Y938" s="7" t="str">
        <f>IF(ISBLANK(patch[[#This Row],[project]]), "",COUNTIFS($A:$A,patch[[#This Row],[number]],$S:$S, "SH And dev",$AC:$AC, "Review-1"))</f>
        <v/>
      </c>
      <c r="Z938" s="7" t="str">
        <f>IF(ISBLANK(patch[[#This Row],[project]]), "",COUNTIFS($A:$A,patch[[#This Row],[number]],$S:$S, "BJ And dev",$AD:$AD, "&lt;&gt;IntegratorValidationComment"))</f>
        <v/>
      </c>
      <c r="AA938" s="7" t="str">
        <f>IF(ISBLANK(patch[[#This Row],[project]]), "",COUNTIFS($A:$A,patch[[#This Row],[number]],$S:$S, "FL And dev",$AD:$AD, "&lt;&gt;IntegratorValidationComment"))</f>
        <v/>
      </c>
      <c r="AB938" s="7" t="str">
        <f>IF(ISBLANK(patch[[#This Row],[project]]), "",COUNTIFS($A:$A,patch[[#This Row],[number]],$S:$S, "SH And dev",$AD:$AD, "&lt;&gt;IntegratorValidationComment"))</f>
        <v/>
      </c>
      <c r="AC938" s="7" t="str">
        <f>IF(OR(ISNUMBER(FIND("Review-1", patch[[#This Row],[comments]])), ISNUMBER(FIND("Approver-1", patch[[#This Row],[comments]]))), "Review-1", "")</f>
        <v/>
      </c>
      <c r="AD9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38" s="7">
        <f>IF(ISBLANK(patch[[#This Row],[number]]),AE937,patch[[#This Row],[ifCommon]])</f>
        <v>0</v>
      </c>
    </row>
    <row r="939" spans="1:31">
      <c r="A939" s="151">
        <v>146607</v>
      </c>
      <c r="B939" s="151"/>
      <c r="C939" s="151"/>
      <c r="D939" s="151"/>
      <c r="E939" s="151"/>
      <c r="F939" s="151"/>
      <c r="G939" s="151"/>
      <c r="H939" s="151"/>
      <c r="I939" s="151"/>
      <c r="J939" s="152">
        <v>42634.762511574067</v>
      </c>
      <c r="K939" s="151"/>
      <c r="L939" s="151" t="s">
        <v>59</v>
      </c>
      <c r="M939" s="152">
        <v>42633.746516203697</v>
      </c>
      <c r="N939" s="151" t="s">
        <v>3077</v>
      </c>
      <c r="O939" s="151"/>
      <c r="P939" s="151"/>
      <c r="Q939" s="7" t="str">
        <f>IF(ISBLANK(patch[[#This Row],[OwnerEmail]]),Q938,patch[[#This Row],[OwnerEmail]])</f>
        <v>lipingx.xu@intel.com</v>
      </c>
      <c r="R939" s="7" t="str">
        <f>_xlfn.IFNA(VLOOKUP(patch[[#This Row],[tmp-owner.email]],OrgTree!$A:$K, 11, 0), "not ICG SWFW")</f>
        <v>BJ And dev</v>
      </c>
      <c r="S939" s="7" t="str">
        <f>IF(patch[[#This Row],[reviewer]]=patch[[#This Row],[tmp-owner.email]], "author", _xlfn.IFNA(VLOOKUP(patch[[#This Row],[reviewer]],OrgTree!$A:$K, 11, 0), "not ICG SWFW"))</f>
        <v>BJ And dev</v>
      </c>
      <c r="T939" s="7" t="str">
        <f>IF(ISBLANK(patch[[#This Row],[mergeDate]]), "", MID(YEAR(patch[[#This Row],[mergeDate]]), 3,2)&amp;"'ww"&amp;WEEKNUM(patch[[#This Row],[mergeDate]]))</f>
        <v>16'ww39</v>
      </c>
      <c r="U939" s="7" t="str">
        <f>IF(ISBLANK(patch[[#This Row],[mergeDate]]), U938, MID(YEAR(patch[[#This Row],[mergeDate]]), 3,2)&amp;"'m"&amp;MONTH(patch[[#This Row],[mergeDate]]))</f>
        <v>16'm9</v>
      </c>
      <c r="V939" s="7" t="str">
        <f>IF(ISBLANK(patch[[#This Row],[project]]), "",SUM(patch[[#This Row],[BJ -1 num]:[SH -1 num]]))</f>
        <v/>
      </c>
      <c r="W939" s="7" t="str">
        <f>IF(ISBLANK(patch[[#This Row],[project]]), "",COUNTIFS($A:$A,patch[[#This Row],[number]],$S:$S, "BJ And dev",$AC:$AC, "Review-1"))</f>
        <v/>
      </c>
      <c r="X939" s="7" t="str">
        <f>IF(ISBLANK(patch[[#This Row],[project]]), "",COUNTIFS($A:$A,patch[[#This Row],[number]],$S:$S, "FL And dev",$AC:$AC, "Review-1"))</f>
        <v/>
      </c>
      <c r="Y939" s="7" t="str">
        <f>IF(ISBLANK(patch[[#This Row],[project]]), "",COUNTIFS($A:$A,patch[[#This Row],[number]],$S:$S, "SH And dev",$AC:$AC, "Review-1"))</f>
        <v/>
      </c>
      <c r="Z939" s="7" t="str">
        <f>IF(ISBLANK(patch[[#This Row],[project]]), "",COUNTIFS($A:$A,patch[[#This Row],[number]],$S:$S, "BJ And dev",$AD:$AD, "&lt;&gt;IntegratorValidationComment"))</f>
        <v/>
      </c>
      <c r="AA939" s="7" t="str">
        <f>IF(ISBLANK(patch[[#This Row],[project]]), "",COUNTIFS($A:$A,patch[[#This Row],[number]],$S:$S, "FL And dev",$AD:$AD, "&lt;&gt;IntegratorValidationComment"))</f>
        <v/>
      </c>
      <c r="AB939" s="7" t="str">
        <f>IF(ISBLANK(patch[[#This Row],[project]]), "",COUNTIFS($A:$A,patch[[#This Row],[number]],$S:$S, "SH And dev",$AD:$AD, "&lt;&gt;IntegratorValidationComment"))</f>
        <v/>
      </c>
      <c r="AC939" s="7" t="str">
        <f>IF(OR(ISNUMBER(FIND("Review-1", patch[[#This Row],[comments]])), ISNUMBER(FIND("Approver-1", patch[[#This Row],[comments]]))), "Review-1", "")</f>
        <v/>
      </c>
      <c r="AD9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39" s="7">
        <f>IF(ISBLANK(patch[[#This Row],[number]]),AE938,patch[[#This Row],[ifCommon]])</f>
        <v>0</v>
      </c>
    </row>
    <row r="940" spans="1:31">
      <c r="A940" s="151">
        <v>146607</v>
      </c>
      <c r="B940" s="151"/>
      <c r="C940" s="151"/>
      <c r="D940" s="151"/>
      <c r="E940" s="151"/>
      <c r="F940" s="151"/>
      <c r="G940" s="151"/>
      <c r="H940" s="151"/>
      <c r="I940" s="152"/>
      <c r="J940" s="152">
        <v>42634.762511574067</v>
      </c>
      <c r="K940" s="151"/>
      <c r="L940" s="151" t="s">
        <v>59</v>
      </c>
      <c r="M940" s="152">
        <v>42633.758275462962</v>
      </c>
      <c r="N940" s="151" t="s">
        <v>1880</v>
      </c>
      <c r="O940" s="151"/>
      <c r="P940" s="151"/>
      <c r="Q940" s="7" t="str">
        <f>IF(ISBLANK(patch[[#This Row],[OwnerEmail]]),Q939,patch[[#This Row],[OwnerEmail]])</f>
        <v>lipingx.xu@intel.com</v>
      </c>
      <c r="R940" s="7" t="str">
        <f>_xlfn.IFNA(VLOOKUP(patch[[#This Row],[tmp-owner.email]],OrgTree!$A:$K, 11, 0), "not ICG SWFW")</f>
        <v>BJ And dev</v>
      </c>
      <c r="S940" s="7" t="str">
        <f>IF(patch[[#This Row],[reviewer]]=patch[[#This Row],[tmp-owner.email]], "author", _xlfn.IFNA(VLOOKUP(patch[[#This Row],[reviewer]],OrgTree!$A:$K, 11, 0), "not ICG SWFW"))</f>
        <v>BJ And dev</v>
      </c>
      <c r="T940" s="7" t="str">
        <f>IF(ISBLANK(patch[[#This Row],[mergeDate]]), "", MID(YEAR(patch[[#This Row],[mergeDate]]), 3,2)&amp;"'ww"&amp;WEEKNUM(patch[[#This Row],[mergeDate]]))</f>
        <v>16'ww39</v>
      </c>
      <c r="U940" s="7" t="str">
        <f>IF(ISBLANK(patch[[#This Row],[mergeDate]]), U939, MID(YEAR(patch[[#This Row],[mergeDate]]), 3,2)&amp;"'m"&amp;MONTH(patch[[#This Row],[mergeDate]]))</f>
        <v>16'm9</v>
      </c>
      <c r="V940" s="7" t="str">
        <f>IF(ISBLANK(patch[[#This Row],[project]]), "",SUM(patch[[#This Row],[BJ -1 num]:[SH -1 num]]))</f>
        <v/>
      </c>
      <c r="W940" s="7" t="str">
        <f>IF(ISBLANK(patch[[#This Row],[project]]), "",COUNTIFS($A:$A,patch[[#This Row],[number]],$S:$S, "BJ And dev",$AC:$AC, "Review-1"))</f>
        <v/>
      </c>
      <c r="X940" s="7" t="str">
        <f>IF(ISBLANK(patch[[#This Row],[project]]), "",COUNTIFS($A:$A,patch[[#This Row],[number]],$S:$S, "FL And dev",$AC:$AC, "Review-1"))</f>
        <v/>
      </c>
      <c r="Y940" s="7" t="str">
        <f>IF(ISBLANK(patch[[#This Row],[project]]), "",COUNTIFS($A:$A,patch[[#This Row],[number]],$S:$S, "SH And dev",$AC:$AC, "Review-1"))</f>
        <v/>
      </c>
      <c r="Z940" s="7" t="str">
        <f>IF(ISBLANK(patch[[#This Row],[project]]), "",COUNTIFS($A:$A,patch[[#This Row],[number]],$S:$S, "BJ And dev",$AD:$AD, "&lt;&gt;IntegratorValidationComment"))</f>
        <v/>
      </c>
      <c r="AA940" s="7" t="str">
        <f>IF(ISBLANK(patch[[#This Row],[project]]), "",COUNTIFS($A:$A,patch[[#This Row],[number]],$S:$S, "FL And dev",$AD:$AD, "&lt;&gt;IntegratorValidationComment"))</f>
        <v/>
      </c>
      <c r="AB940" s="7" t="str">
        <f>IF(ISBLANK(patch[[#This Row],[project]]), "",COUNTIFS($A:$A,patch[[#This Row],[number]],$S:$S, "SH And dev",$AD:$AD, "&lt;&gt;IntegratorValidationComment"))</f>
        <v/>
      </c>
      <c r="AC940" s="7" t="str">
        <f>IF(OR(ISNUMBER(FIND("Review-1", patch[[#This Row],[comments]])), ISNUMBER(FIND("Approver-1", patch[[#This Row],[comments]]))), "Review-1", "")</f>
        <v/>
      </c>
      <c r="AD9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40" s="7">
        <f>IF(ISBLANK(patch[[#This Row],[number]]),AE939,patch[[#This Row],[ifCommon]])</f>
        <v>0</v>
      </c>
    </row>
    <row r="941" spans="1:31">
      <c r="A941" s="151">
        <v>146607</v>
      </c>
      <c r="B941" s="151"/>
      <c r="C941" s="151"/>
      <c r="D941" s="151"/>
      <c r="E941" s="151"/>
      <c r="F941" s="151"/>
      <c r="G941" s="151"/>
      <c r="H941" s="151"/>
      <c r="I941" s="151"/>
      <c r="J941" s="152">
        <v>42634.762511574067</v>
      </c>
      <c r="K941" s="151"/>
      <c r="L941" s="151" t="s">
        <v>59</v>
      </c>
      <c r="M941" s="152">
        <v>42633.763668981483</v>
      </c>
      <c r="N941" s="151" t="s">
        <v>3078</v>
      </c>
      <c r="O941" s="151"/>
      <c r="P941" s="151"/>
      <c r="Q941" s="7" t="str">
        <f>IF(ISBLANK(patch[[#This Row],[OwnerEmail]]),Q940,patch[[#This Row],[OwnerEmail]])</f>
        <v>lipingx.xu@intel.com</v>
      </c>
      <c r="R941" s="7" t="str">
        <f>_xlfn.IFNA(VLOOKUP(patch[[#This Row],[tmp-owner.email]],OrgTree!$A:$K, 11, 0), "not ICG SWFW")</f>
        <v>BJ And dev</v>
      </c>
      <c r="S941" s="7" t="str">
        <f>IF(patch[[#This Row],[reviewer]]=patch[[#This Row],[tmp-owner.email]], "author", _xlfn.IFNA(VLOOKUP(patch[[#This Row],[reviewer]],OrgTree!$A:$K, 11, 0), "not ICG SWFW"))</f>
        <v>BJ And dev</v>
      </c>
      <c r="T941" s="7" t="str">
        <f>IF(ISBLANK(patch[[#This Row],[mergeDate]]), "", MID(YEAR(patch[[#This Row],[mergeDate]]), 3,2)&amp;"'ww"&amp;WEEKNUM(patch[[#This Row],[mergeDate]]))</f>
        <v>16'ww39</v>
      </c>
      <c r="U941" s="7" t="str">
        <f>IF(ISBLANK(patch[[#This Row],[mergeDate]]), U940, MID(YEAR(patch[[#This Row],[mergeDate]]), 3,2)&amp;"'m"&amp;MONTH(patch[[#This Row],[mergeDate]]))</f>
        <v>16'm9</v>
      </c>
      <c r="V941" s="7" t="str">
        <f>IF(ISBLANK(patch[[#This Row],[project]]), "",SUM(patch[[#This Row],[BJ -1 num]:[SH -1 num]]))</f>
        <v/>
      </c>
      <c r="W941" s="7" t="str">
        <f>IF(ISBLANK(patch[[#This Row],[project]]), "",COUNTIFS($A:$A,patch[[#This Row],[number]],$S:$S, "BJ And dev",$AC:$AC, "Review-1"))</f>
        <v/>
      </c>
      <c r="X941" s="7" t="str">
        <f>IF(ISBLANK(patch[[#This Row],[project]]), "",COUNTIFS($A:$A,patch[[#This Row],[number]],$S:$S, "FL And dev",$AC:$AC, "Review-1"))</f>
        <v/>
      </c>
      <c r="Y941" s="7" t="str">
        <f>IF(ISBLANK(patch[[#This Row],[project]]), "",COUNTIFS($A:$A,patch[[#This Row],[number]],$S:$S, "SH And dev",$AC:$AC, "Review-1"))</f>
        <v/>
      </c>
      <c r="Z941" s="7" t="str">
        <f>IF(ISBLANK(patch[[#This Row],[project]]), "",COUNTIFS($A:$A,patch[[#This Row],[number]],$S:$S, "BJ And dev",$AD:$AD, "&lt;&gt;IntegratorValidationComment"))</f>
        <v/>
      </c>
      <c r="AA941" s="7" t="str">
        <f>IF(ISBLANK(patch[[#This Row],[project]]), "",COUNTIFS($A:$A,patch[[#This Row],[number]],$S:$S, "FL And dev",$AD:$AD, "&lt;&gt;IntegratorValidationComment"))</f>
        <v/>
      </c>
      <c r="AB941" s="7" t="str">
        <f>IF(ISBLANK(patch[[#This Row],[project]]), "",COUNTIFS($A:$A,patch[[#This Row],[number]],$S:$S, "SH And dev",$AD:$AD, "&lt;&gt;IntegratorValidationComment"))</f>
        <v/>
      </c>
      <c r="AC941" s="7" t="str">
        <f>IF(OR(ISNUMBER(FIND("Review-1", patch[[#This Row],[comments]])), ISNUMBER(FIND("Approver-1", patch[[#This Row],[comments]]))), "Review-1", "")</f>
        <v/>
      </c>
      <c r="AD9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41" s="7">
        <f>IF(ISBLANK(patch[[#This Row],[number]]),AE940,patch[[#This Row],[ifCommon]])</f>
        <v>0</v>
      </c>
    </row>
    <row r="942" spans="1:31">
      <c r="A942" s="151">
        <v>146607</v>
      </c>
      <c r="B942" s="151"/>
      <c r="C942" s="151"/>
      <c r="D942" s="151"/>
      <c r="E942" s="151"/>
      <c r="F942" s="151"/>
      <c r="G942" s="151"/>
      <c r="H942" s="151"/>
      <c r="I942" s="151"/>
      <c r="J942" s="152">
        <v>42634.762511574067</v>
      </c>
      <c r="K942" s="151"/>
      <c r="L942" s="151" t="s">
        <v>115</v>
      </c>
      <c r="M942" s="152">
        <v>42634.560567129629</v>
      </c>
      <c r="N942" s="151" t="s">
        <v>2494</v>
      </c>
      <c r="O942" s="151"/>
      <c r="P942" s="151"/>
      <c r="Q942" s="7" t="str">
        <f>IF(ISBLANK(patch[[#This Row],[OwnerEmail]]),Q941,patch[[#This Row],[OwnerEmail]])</f>
        <v>lipingx.xu@intel.com</v>
      </c>
      <c r="R942" s="7" t="str">
        <f>_xlfn.IFNA(VLOOKUP(patch[[#This Row],[tmp-owner.email]],OrgTree!$A:$K, 11, 0), "not ICG SWFW")</f>
        <v>BJ And dev</v>
      </c>
      <c r="S942" s="7" t="str">
        <f>IF(patch[[#This Row],[reviewer]]=patch[[#This Row],[tmp-owner.email]], "author", _xlfn.IFNA(VLOOKUP(patch[[#This Row],[reviewer]],OrgTree!$A:$K, 11, 0), "not ICG SWFW"))</f>
        <v>Val</v>
      </c>
      <c r="T942" s="7" t="str">
        <f>IF(ISBLANK(patch[[#This Row],[mergeDate]]), "", MID(YEAR(patch[[#This Row],[mergeDate]]), 3,2)&amp;"'ww"&amp;WEEKNUM(patch[[#This Row],[mergeDate]]))</f>
        <v>16'ww39</v>
      </c>
      <c r="U942" s="7" t="str">
        <f>IF(ISBLANK(patch[[#This Row],[mergeDate]]), U941, MID(YEAR(patch[[#This Row],[mergeDate]]), 3,2)&amp;"'m"&amp;MONTH(patch[[#This Row],[mergeDate]]))</f>
        <v>16'm9</v>
      </c>
      <c r="V942" s="7" t="str">
        <f>IF(ISBLANK(patch[[#This Row],[project]]), "",SUM(patch[[#This Row],[BJ -1 num]:[SH -1 num]]))</f>
        <v/>
      </c>
      <c r="W942" s="7" t="str">
        <f>IF(ISBLANK(patch[[#This Row],[project]]), "",COUNTIFS($A:$A,patch[[#This Row],[number]],$S:$S, "BJ And dev",$AC:$AC, "Review-1"))</f>
        <v/>
      </c>
      <c r="X942" s="7" t="str">
        <f>IF(ISBLANK(patch[[#This Row],[project]]), "",COUNTIFS($A:$A,patch[[#This Row],[number]],$S:$S, "FL And dev",$AC:$AC, "Review-1"))</f>
        <v/>
      </c>
      <c r="Y942" s="7" t="str">
        <f>IF(ISBLANK(patch[[#This Row],[project]]), "",COUNTIFS($A:$A,patch[[#This Row],[number]],$S:$S, "SH And dev",$AC:$AC, "Review-1"))</f>
        <v/>
      </c>
      <c r="Z942" s="7" t="str">
        <f>IF(ISBLANK(patch[[#This Row],[project]]), "",COUNTIFS($A:$A,patch[[#This Row],[number]],$S:$S, "BJ And dev",$AD:$AD, "&lt;&gt;IntegratorValidationComment"))</f>
        <v/>
      </c>
      <c r="AA942" s="7" t="str">
        <f>IF(ISBLANK(patch[[#This Row],[project]]), "",COUNTIFS($A:$A,patch[[#This Row],[number]],$S:$S, "FL And dev",$AD:$AD, "&lt;&gt;IntegratorValidationComment"))</f>
        <v/>
      </c>
      <c r="AB942" s="7" t="str">
        <f>IF(ISBLANK(patch[[#This Row],[project]]), "",COUNTIFS($A:$A,patch[[#This Row],[number]],$S:$S, "SH And dev",$AD:$AD, "&lt;&gt;IntegratorValidationComment"))</f>
        <v/>
      </c>
      <c r="AC942" s="7" t="str">
        <f>IF(OR(ISNUMBER(FIND("Review-1", patch[[#This Row],[comments]])), ISNUMBER(FIND("Approver-1", patch[[#This Row],[comments]]))), "Review-1", "")</f>
        <v/>
      </c>
      <c r="AD9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942" s="7">
        <f>IF(ISBLANK(patch[[#This Row],[number]]),AE941,patch[[#This Row],[ifCommon]])</f>
        <v>0</v>
      </c>
    </row>
    <row r="943" spans="1:31">
      <c r="A943" s="151">
        <v>146606</v>
      </c>
      <c r="B943" s="151" t="s">
        <v>2490</v>
      </c>
      <c r="C943" s="151" t="s">
        <v>2795</v>
      </c>
      <c r="D943" s="151" t="s">
        <v>3079</v>
      </c>
      <c r="E943" s="151" t="s">
        <v>677</v>
      </c>
      <c r="F943" s="151" t="s">
        <v>23</v>
      </c>
      <c r="G943" s="151" t="s">
        <v>3080</v>
      </c>
      <c r="H943" s="151" t="s">
        <v>3081</v>
      </c>
      <c r="I943" s="152">
        <v>42633.740081018521</v>
      </c>
      <c r="J943" s="152">
        <v>42634.762083333328</v>
      </c>
      <c r="K943" s="151" t="s">
        <v>2445</v>
      </c>
      <c r="L943" s="151" t="s">
        <v>677</v>
      </c>
      <c r="M943" s="152">
        <v>42633.740081018521</v>
      </c>
      <c r="N943" s="151" t="s">
        <v>2428</v>
      </c>
      <c r="O943" s="151"/>
      <c r="P943" s="151" t="s">
        <v>59</v>
      </c>
      <c r="Q943" s="7" t="str">
        <f>IF(ISBLANK(patch[[#This Row],[OwnerEmail]]),Q942,patch[[#This Row],[OwnerEmail]])</f>
        <v>lipingx.xu@intel.com</v>
      </c>
      <c r="R943" s="7" t="str">
        <f>_xlfn.IFNA(VLOOKUP(patch[[#This Row],[tmp-owner.email]],OrgTree!$A:$K, 11, 0), "not ICG SWFW")</f>
        <v>BJ And dev</v>
      </c>
      <c r="S943" s="7" t="str">
        <f>IF(patch[[#This Row],[reviewer]]=patch[[#This Row],[tmp-owner.email]], "author", _xlfn.IFNA(VLOOKUP(patch[[#This Row],[reviewer]],OrgTree!$A:$K, 11, 0), "not ICG SWFW"))</f>
        <v>author</v>
      </c>
      <c r="T943" s="7" t="str">
        <f>IF(ISBLANK(patch[[#This Row],[mergeDate]]), "", MID(YEAR(patch[[#This Row],[mergeDate]]), 3,2)&amp;"'ww"&amp;WEEKNUM(patch[[#This Row],[mergeDate]]))</f>
        <v>16'ww39</v>
      </c>
      <c r="U943" s="7" t="str">
        <f>IF(ISBLANK(patch[[#This Row],[mergeDate]]), U942, MID(YEAR(patch[[#This Row],[mergeDate]]), 3,2)&amp;"'m"&amp;MONTH(patch[[#This Row],[mergeDate]]))</f>
        <v>16'm9</v>
      </c>
      <c r="V943" s="7">
        <f>IF(ISBLANK(patch[[#This Row],[project]]), "",SUM(patch[[#This Row],[BJ -1 num]:[SH -1 num]]))</f>
        <v>0</v>
      </c>
      <c r="W943" s="7">
        <f>IF(ISBLANK(patch[[#This Row],[project]]), "",COUNTIFS($A:$A,patch[[#This Row],[number]],$S:$S, "BJ And dev",$AC:$AC, "Review-1"))</f>
        <v>0</v>
      </c>
      <c r="X943" s="7">
        <f>IF(ISBLANK(patch[[#This Row],[project]]), "",COUNTIFS($A:$A,patch[[#This Row],[number]],$S:$S, "FL And dev",$AC:$AC, "Review-1"))</f>
        <v>0</v>
      </c>
      <c r="Y943" s="7">
        <f>IF(ISBLANK(patch[[#This Row],[project]]), "",COUNTIFS($A:$A,patch[[#This Row],[number]],$S:$S, "SH And dev",$AC:$AC, "Review-1"))</f>
        <v>0</v>
      </c>
      <c r="Z943" s="7">
        <f>IF(ISBLANK(patch[[#This Row],[project]]), "",COUNTIFS($A:$A,patch[[#This Row],[number]],$S:$S, "BJ And dev",$AD:$AD, "&lt;&gt;IntegratorValidationComment"))</f>
        <v>3</v>
      </c>
      <c r="AA943" s="7">
        <f>IF(ISBLANK(patch[[#This Row],[project]]), "",COUNTIFS($A:$A,patch[[#This Row],[number]],$S:$S, "FL And dev",$AD:$AD, "&lt;&gt;IntegratorValidationComment"))</f>
        <v>0</v>
      </c>
      <c r="AB943" s="7">
        <f>IF(ISBLANK(patch[[#This Row],[project]]), "",COUNTIFS($A:$A,patch[[#This Row],[number]],$S:$S, "SH And dev",$AD:$AD, "&lt;&gt;IntegratorValidationComment"))</f>
        <v>0</v>
      </c>
      <c r="AC943" s="7" t="str">
        <f>IF(OR(ISNUMBER(FIND("Review-1", patch[[#This Row],[comments]])), ISNUMBER(FIND("Approver-1", patch[[#This Row],[comments]]))), "Review-1", "")</f>
        <v/>
      </c>
      <c r="AD9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43" s="7" t="str">
        <f>IF(ISBLANK(patch[[#This Row],[number]]),AE942,patch[[#This Row],[ifCommon]])</f>
        <v>not AndrHAL</v>
      </c>
    </row>
    <row r="944" spans="1:31">
      <c r="A944" s="151">
        <v>146606</v>
      </c>
      <c r="B944" s="151"/>
      <c r="C944" s="151"/>
      <c r="D944" s="151"/>
      <c r="E944" s="151"/>
      <c r="F944" s="151"/>
      <c r="G944" s="151"/>
      <c r="H944" s="151"/>
      <c r="I944" s="151"/>
      <c r="J944" s="152">
        <v>42634.762083333328</v>
      </c>
      <c r="K944" s="151"/>
      <c r="L944" s="151" t="s">
        <v>677</v>
      </c>
      <c r="M944" s="152">
        <v>42633.740081018521</v>
      </c>
      <c r="N944" s="151" t="s">
        <v>25</v>
      </c>
      <c r="O944" s="151"/>
      <c r="P944" s="151"/>
      <c r="Q944" s="7" t="str">
        <f>IF(ISBLANK(patch[[#This Row],[OwnerEmail]]),Q943,patch[[#This Row],[OwnerEmail]])</f>
        <v>lipingx.xu@intel.com</v>
      </c>
      <c r="R944" s="7" t="str">
        <f>_xlfn.IFNA(VLOOKUP(patch[[#This Row],[tmp-owner.email]],OrgTree!$A:$K, 11, 0), "not ICG SWFW")</f>
        <v>BJ And dev</v>
      </c>
      <c r="S944" s="7" t="str">
        <f>IF(patch[[#This Row],[reviewer]]=patch[[#This Row],[tmp-owner.email]], "author", _xlfn.IFNA(VLOOKUP(patch[[#This Row],[reviewer]],OrgTree!$A:$K, 11, 0), "not ICG SWFW"))</f>
        <v>author</v>
      </c>
      <c r="T944" s="7" t="str">
        <f>IF(ISBLANK(patch[[#This Row],[mergeDate]]), "", MID(YEAR(patch[[#This Row],[mergeDate]]), 3,2)&amp;"'ww"&amp;WEEKNUM(patch[[#This Row],[mergeDate]]))</f>
        <v>16'ww39</v>
      </c>
      <c r="U944" s="7" t="str">
        <f>IF(ISBLANK(patch[[#This Row],[mergeDate]]), U943, MID(YEAR(patch[[#This Row],[mergeDate]]), 3,2)&amp;"'m"&amp;MONTH(patch[[#This Row],[mergeDate]]))</f>
        <v>16'm9</v>
      </c>
      <c r="V944" s="7" t="str">
        <f>IF(ISBLANK(patch[[#This Row],[project]]), "",SUM(patch[[#This Row],[BJ -1 num]:[SH -1 num]]))</f>
        <v/>
      </c>
      <c r="W944" s="7" t="str">
        <f>IF(ISBLANK(patch[[#This Row],[project]]), "",COUNTIFS($A:$A,patch[[#This Row],[number]],$S:$S, "BJ And dev",$AC:$AC, "Review-1"))</f>
        <v/>
      </c>
      <c r="X944" s="7" t="str">
        <f>IF(ISBLANK(patch[[#This Row],[project]]), "",COUNTIFS($A:$A,patch[[#This Row],[number]],$S:$S, "FL And dev",$AC:$AC, "Review-1"))</f>
        <v/>
      </c>
      <c r="Y944" s="7" t="str">
        <f>IF(ISBLANK(patch[[#This Row],[project]]), "",COUNTIFS($A:$A,patch[[#This Row],[number]],$S:$S, "SH And dev",$AC:$AC, "Review-1"))</f>
        <v/>
      </c>
      <c r="Z944" s="7" t="str">
        <f>IF(ISBLANK(patch[[#This Row],[project]]), "",COUNTIFS($A:$A,patch[[#This Row],[number]],$S:$S, "BJ And dev",$AD:$AD, "&lt;&gt;IntegratorValidationComment"))</f>
        <v/>
      </c>
      <c r="AA944" s="7" t="str">
        <f>IF(ISBLANK(patch[[#This Row],[project]]), "",COUNTIFS($A:$A,patch[[#This Row],[number]],$S:$S, "FL And dev",$AD:$AD, "&lt;&gt;IntegratorValidationComment"))</f>
        <v/>
      </c>
      <c r="AB944" s="7" t="str">
        <f>IF(ISBLANK(patch[[#This Row],[project]]), "",COUNTIFS($A:$A,patch[[#This Row],[number]],$S:$S, "SH And dev",$AD:$AD, "&lt;&gt;IntegratorValidationComment"))</f>
        <v/>
      </c>
      <c r="AC944" s="7" t="str">
        <f>IF(OR(ISNUMBER(FIND("Review-1", patch[[#This Row],[comments]])), ISNUMBER(FIND("Approver-1", patch[[#This Row],[comments]]))), "Review-1", "")</f>
        <v/>
      </c>
      <c r="AD9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44" s="7">
        <f>IF(ISBLANK(patch[[#This Row],[number]]),AE943,patch[[#This Row],[ifCommon]])</f>
        <v>0</v>
      </c>
    </row>
    <row r="945" spans="1:31">
      <c r="A945" s="151">
        <v>146606</v>
      </c>
      <c r="B945" s="151"/>
      <c r="C945" s="151"/>
      <c r="D945" s="151"/>
      <c r="E945" s="151"/>
      <c r="F945" s="151"/>
      <c r="G945" s="151"/>
      <c r="H945" s="151"/>
      <c r="I945" s="151"/>
      <c r="J945" s="152">
        <v>42634.762083333328</v>
      </c>
      <c r="K945" s="151"/>
      <c r="L945" s="151" t="s">
        <v>677</v>
      </c>
      <c r="M945" s="152">
        <v>42633.743078703701</v>
      </c>
      <c r="N945" s="151" t="s">
        <v>40</v>
      </c>
      <c r="O945" s="151"/>
      <c r="P945" s="151"/>
      <c r="Q945" s="7" t="str">
        <f>IF(ISBLANK(patch[[#This Row],[OwnerEmail]]),Q944,patch[[#This Row],[OwnerEmail]])</f>
        <v>lipingx.xu@intel.com</v>
      </c>
      <c r="R945" s="7" t="str">
        <f>_xlfn.IFNA(VLOOKUP(patch[[#This Row],[tmp-owner.email]],OrgTree!$A:$K, 11, 0), "not ICG SWFW")</f>
        <v>BJ And dev</v>
      </c>
      <c r="S945" s="7" t="str">
        <f>IF(patch[[#This Row],[reviewer]]=patch[[#This Row],[tmp-owner.email]], "author", _xlfn.IFNA(VLOOKUP(patch[[#This Row],[reviewer]],OrgTree!$A:$K, 11, 0), "not ICG SWFW"))</f>
        <v>author</v>
      </c>
      <c r="T945" s="7" t="str">
        <f>IF(ISBLANK(patch[[#This Row],[mergeDate]]), "", MID(YEAR(patch[[#This Row],[mergeDate]]), 3,2)&amp;"'ww"&amp;WEEKNUM(patch[[#This Row],[mergeDate]]))</f>
        <v>16'ww39</v>
      </c>
      <c r="U945" s="7" t="str">
        <f>IF(ISBLANK(patch[[#This Row],[mergeDate]]), U944, MID(YEAR(patch[[#This Row],[mergeDate]]), 3,2)&amp;"'m"&amp;MONTH(patch[[#This Row],[mergeDate]]))</f>
        <v>16'm9</v>
      </c>
      <c r="V945" s="7" t="str">
        <f>IF(ISBLANK(patch[[#This Row],[project]]), "",SUM(patch[[#This Row],[BJ -1 num]:[SH -1 num]]))</f>
        <v/>
      </c>
      <c r="W945" s="7" t="str">
        <f>IF(ISBLANK(patch[[#This Row],[project]]), "",COUNTIFS($A:$A,patch[[#This Row],[number]],$S:$S, "BJ And dev",$AC:$AC, "Review-1"))</f>
        <v/>
      </c>
      <c r="X945" s="7" t="str">
        <f>IF(ISBLANK(patch[[#This Row],[project]]), "",COUNTIFS($A:$A,patch[[#This Row],[number]],$S:$S, "FL And dev",$AC:$AC, "Review-1"))</f>
        <v/>
      </c>
      <c r="Y945" s="7" t="str">
        <f>IF(ISBLANK(patch[[#This Row],[project]]), "",COUNTIFS($A:$A,patch[[#This Row],[number]],$S:$S, "SH And dev",$AC:$AC, "Review-1"))</f>
        <v/>
      </c>
      <c r="Z945" s="7" t="str">
        <f>IF(ISBLANK(patch[[#This Row],[project]]), "",COUNTIFS($A:$A,patch[[#This Row],[number]],$S:$S, "BJ And dev",$AD:$AD, "&lt;&gt;IntegratorValidationComment"))</f>
        <v/>
      </c>
      <c r="AA945" s="7" t="str">
        <f>IF(ISBLANK(patch[[#This Row],[project]]), "",COUNTIFS($A:$A,patch[[#This Row],[number]],$S:$S, "FL And dev",$AD:$AD, "&lt;&gt;IntegratorValidationComment"))</f>
        <v/>
      </c>
      <c r="AB945" s="7" t="str">
        <f>IF(ISBLANK(patch[[#This Row],[project]]), "",COUNTIFS($A:$A,patch[[#This Row],[number]],$S:$S, "SH And dev",$AD:$AD, "&lt;&gt;IntegratorValidationComment"))</f>
        <v/>
      </c>
      <c r="AC945" s="7" t="str">
        <f>IF(OR(ISNUMBER(FIND("Review-1", patch[[#This Row],[comments]])), ISNUMBER(FIND("Approver-1", patch[[#This Row],[comments]]))), "Review-1", "")</f>
        <v/>
      </c>
      <c r="AD9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45" s="7">
        <f>IF(ISBLANK(patch[[#This Row],[number]]),AE944,patch[[#This Row],[ifCommon]])</f>
        <v>0</v>
      </c>
    </row>
    <row r="946" spans="1:31">
      <c r="A946" s="151">
        <v>146606</v>
      </c>
      <c r="B946" s="151"/>
      <c r="C946" s="151"/>
      <c r="D946" s="151"/>
      <c r="E946" s="151"/>
      <c r="F946" s="151"/>
      <c r="G946" s="151"/>
      <c r="H946" s="151"/>
      <c r="I946" s="151"/>
      <c r="J946" s="152">
        <v>42634.762083333328</v>
      </c>
      <c r="K946" s="151"/>
      <c r="L946" s="151" t="s">
        <v>59</v>
      </c>
      <c r="M946" s="152">
        <v>42633.746516203697</v>
      </c>
      <c r="N946" s="151" t="s">
        <v>3082</v>
      </c>
      <c r="O946" s="151"/>
      <c r="P946" s="151"/>
      <c r="Q946" s="7" t="str">
        <f>IF(ISBLANK(patch[[#This Row],[OwnerEmail]]),Q945,patch[[#This Row],[OwnerEmail]])</f>
        <v>lipingx.xu@intel.com</v>
      </c>
      <c r="R946" s="7" t="str">
        <f>_xlfn.IFNA(VLOOKUP(patch[[#This Row],[tmp-owner.email]],OrgTree!$A:$K, 11, 0), "not ICG SWFW")</f>
        <v>BJ And dev</v>
      </c>
      <c r="S946" s="7" t="str">
        <f>IF(patch[[#This Row],[reviewer]]=patch[[#This Row],[tmp-owner.email]], "author", _xlfn.IFNA(VLOOKUP(patch[[#This Row],[reviewer]],OrgTree!$A:$K, 11, 0), "not ICG SWFW"))</f>
        <v>BJ And dev</v>
      </c>
      <c r="T946" s="7" t="str">
        <f>IF(ISBLANK(patch[[#This Row],[mergeDate]]), "", MID(YEAR(patch[[#This Row],[mergeDate]]), 3,2)&amp;"'ww"&amp;WEEKNUM(patch[[#This Row],[mergeDate]]))</f>
        <v>16'ww39</v>
      </c>
      <c r="U946" s="7" t="str">
        <f>IF(ISBLANK(patch[[#This Row],[mergeDate]]), U945, MID(YEAR(patch[[#This Row],[mergeDate]]), 3,2)&amp;"'m"&amp;MONTH(patch[[#This Row],[mergeDate]]))</f>
        <v>16'm9</v>
      </c>
      <c r="V946" s="7" t="str">
        <f>IF(ISBLANK(patch[[#This Row],[project]]), "",SUM(patch[[#This Row],[BJ -1 num]:[SH -1 num]]))</f>
        <v/>
      </c>
      <c r="W946" s="7" t="str">
        <f>IF(ISBLANK(patch[[#This Row],[project]]), "",COUNTIFS($A:$A,patch[[#This Row],[number]],$S:$S, "BJ And dev",$AC:$AC, "Review-1"))</f>
        <v/>
      </c>
      <c r="X946" s="7" t="str">
        <f>IF(ISBLANK(patch[[#This Row],[project]]), "",COUNTIFS($A:$A,patch[[#This Row],[number]],$S:$S, "FL And dev",$AC:$AC, "Review-1"))</f>
        <v/>
      </c>
      <c r="Y946" s="7" t="str">
        <f>IF(ISBLANK(patch[[#This Row],[project]]), "",COUNTIFS($A:$A,patch[[#This Row],[number]],$S:$S, "SH And dev",$AC:$AC, "Review-1"))</f>
        <v/>
      </c>
      <c r="Z946" s="7" t="str">
        <f>IF(ISBLANK(patch[[#This Row],[project]]), "",COUNTIFS($A:$A,patch[[#This Row],[number]],$S:$S, "BJ And dev",$AD:$AD, "&lt;&gt;IntegratorValidationComment"))</f>
        <v/>
      </c>
      <c r="AA946" s="7" t="str">
        <f>IF(ISBLANK(patch[[#This Row],[project]]), "",COUNTIFS($A:$A,patch[[#This Row],[number]],$S:$S, "FL And dev",$AD:$AD, "&lt;&gt;IntegratorValidationComment"))</f>
        <v/>
      </c>
      <c r="AB946" s="7" t="str">
        <f>IF(ISBLANK(patch[[#This Row],[project]]), "",COUNTIFS($A:$A,patch[[#This Row],[number]],$S:$S, "SH And dev",$AD:$AD, "&lt;&gt;IntegratorValidationComment"))</f>
        <v/>
      </c>
      <c r="AC946" s="7" t="str">
        <f>IF(OR(ISNUMBER(FIND("Review-1", patch[[#This Row],[comments]])), ISNUMBER(FIND("Approver-1", patch[[#This Row],[comments]]))), "Review-1", "")</f>
        <v/>
      </c>
      <c r="AD9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46" s="7">
        <f>IF(ISBLANK(patch[[#This Row],[number]]),AE945,patch[[#This Row],[ifCommon]])</f>
        <v>0</v>
      </c>
    </row>
    <row r="947" spans="1:31">
      <c r="A947" s="151">
        <v>146606</v>
      </c>
      <c r="B947" s="151"/>
      <c r="C947" s="151"/>
      <c r="D947" s="151"/>
      <c r="E947" s="151"/>
      <c r="F947" s="151"/>
      <c r="G947" s="151"/>
      <c r="H947" s="151"/>
      <c r="I947" s="151"/>
      <c r="J947" s="152">
        <v>42634.762083333328</v>
      </c>
      <c r="K947" s="151"/>
      <c r="L947" s="151" t="s">
        <v>59</v>
      </c>
      <c r="M947" s="152">
        <v>42633.758217592593</v>
      </c>
      <c r="N947" s="151" t="s">
        <v>1880</v>
      </c>
      <c r="O947" s="151"/>
      <c r="P947" s="151"/>
      <c r="Q947" s="7" t="str">
        <f>IF(ISBLANK(patch[[#This Row],[OwnerEmail]]),Q946,patch[[#This Row],[OwnerEmail]])</f>
        <v>lipingx.xu@intel.com</v>
      </c>
      <c r="R947" s="7" t="str">
        <f>_xlfn.IFNA(VLOOKUP(patch[[#This Row],[tmp-owner.email]],OrgTree!$A:$K, 11, 0), "not ICG SWFW")</f>
        <v>BJ And dev</v>
      </c>
      <c r="S947" s="7" t="str">
        <f>IF(patch[[#This Row],[reviewer]]=patch[[#This Row],[tmp-owner.email]], "author", _xlfn.IFNA(VLOOKUP(patch[[#This Row],[reviewer]],OrgTree!$A:$K, 11, 0), "not ICG SWFW"))</f>
        <v>BJ And dev</v>
      </c>
      <c r="T947" s="7" t="str">
        <f>IF(ISBLANK(patch[[#This Row],[mergeDate]]), "", MID(YEAR(patch[[#This Row],[mergeDate]]), 3,2)&amp;"'ww"&amp;WEEKNUM(patch[[#This Row],[mergeDate]]))</f>
        <v>16'ww39</v>
      </c>
      <c r="U947" s="7" t="str">
        <f>IF(ISBLANK(patch[[#This Row],[mergeDate]]), U946, MID(YEAR(patch[[#This Row],[mergeDate]]), 3,2)&amp;"'m"&amp;MONTH(patch[[#This Row],[mergeDate]]))</f>
        <v>16'm9</v>
      </c>
      <c r="V947" s="7" t="str">
        <f>IF(ISBLANK(patch[[#This Row],[project]]), "",SUM(patch[[#This Row],[BJ -1 num]:[SH -1 num]]))</f>
        <v/>
      </c>
      <c r="W947" s="7" t="str">
        <f>IF(ISBLANK(patch[[#This Row],[project]]), "",COUNTIFS($A:$A,patch[[#This Row],[number]],$S:$S, "BJ And dev",$AC:$AC, "Review-1"))</f>
        <v/>
      </c>
      <c r="X947" s="7" t="str">
        <f>IF(ISBLANK(patch[[#This Row],[project]]), "",COUNTIFS($A:$A,patch[[#This Row],[number]],$S:$S, "FL And dev",$AC:$AC, "Review-1"))</f>
        <v/>
      </c>
      <c r="Y947" s="7" t="str">
        <f>IF(ISBLANK(patch[[#This Row],[project]]), "",COUNTIFS($A:$A,patch[[#This Row],[number]],$S:$S, "SH And dev",$AC:$AC, "Review-1"))</f>
        <v/>
      </c>
      <c r="Z947" s="7" t="str">
        <f>IF(ISBLANK(patch[[#This Row],[project]]), "",COUNTIFS($A:$A,patch[[#This Row],[number]],$S:$S, "BJ And dev",$AD:$AD, "&lt;&gt;IntegratorValidationComment"))</f>
        <v/>
      </c>
      <c r="AA947" s="7" t="str">
        <f>IF(ISBLANK(patch[[#This Row],[project]]), "",COUNTIFS($A:$A,patch[[#This Row],[number]],$S:$S, "FL And dev",$AD:$AD, "&lt;&gt;IntegratorValidationComment"))</f>
        <v/>
      </c>
      <c r="AB947" s="7" t="str">
        <f>IF(ISBLANK(patch[[#This Row],[project]]), "",COUNTIFS($A:$A,patch[[#This Row],[number]],$S:$S, "SH And dev",$AD:$AD, "&lt;&gt;IntegratorValidationComment"))</f>
        <v/>
      </c>
      <c r="AC947" s="7" t="str">
        <f>IF(OR(ISNUMBER(FIND("Review-1", patch[[#This Row],[comments]])), ISNUMBER(FIND("Approver-1", patch[[#This Row],[comments]]))), "Review-1", "")</f>
        <v/>
      </c>
      <c r="AD9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47" s="7">
        <f>IF(ISBLANK(patch[[#This Row],[number]]),AE946,patch[[#This Row],[ifCommon]])</f>
        <v>0</v>
      </c>
    </row>
    <row r="948" spans="1:31">
      <c r="A948" s="151">
        <v>146606</v>
      </c>
      <c r="B948" s="151"/>
      <c r="C948" s="151"/>
      <c r="D948" s="151"/>
      <c r="E948" s="151"/>
      <c r="F948" s="151"/>
      <c r="G948" s="151"/>
      <c r="H948" s="151"/>
      <c r="I948" s="151"/>
      <c r="J948" s="152">
        <v>42634.762083333328</v>
      </c>
      <c r="K948" s="151"/>
      <c r="L948" s="151" t="s">
        <v>59</v>
      </c>
      <c r="M948" s="152">
        <v>42633.76525462963</v>
      </c>
      <c r="N948" s="151" t="s">
        <v>3083</v>
      </c>
      <c r="O948" s="151"/>
      <c r="P948" s="151"/>
      <c r="Q948" s="7" t="str">
        <f>IF(ISBLANK(patch[[#This Row],[OwnerEmail]]),Q947,patch[[#This Row],[OwnerEmail]])</f>
        <v>lipingx.xu@intel.com</v>
      </c>
      <c r="R948" s="7" t="str">
        <f>_xlfn.IFNA(VLOOKUP(patch[[#This Row],[tmp-owner.email]],OrgTree!$A:$K, 11, 0), "not ICG SWFW")</f>
        <v>BJ And dev</v>
      </c>
      <c r="S948" s="7" t="str">
        <f>IF(patch[[#This Row],[reviewer]]=patch[[#This Row],[tmp-owner.email]], "author", _xlfn.IFNA(VLOOKUP(patch[[#This Row],[reviewer]],OrgTree!$A:$K, 11, 0), "not ICG SWFW"))</f>
        <v>BJ And dev</v>
      </c>
      <c r="T948" s="7" t="str">
        <f>IF(ISBLANK(patch[[#This Row],[mergeDate]]), "", MID(YEAR(patch[[#This Row],[mergeDate]]), 3,2)&amp;"'ww"&amp;WEEKNUM(patch[[#This Row],[mergeDate]]))</f>
        <v>16'ww39</v>
      </c>
      <c r="U948" s="7" t="str">
        <f>IF(ISBLANK(patch[[#This Row],[mergeDate]]), U947, MID(YEAR(patch[[#This Row],[mergeDate]]), 3,2)&amp;"'m"&amp;MONTH(patch[[#This Row],[mergeDate]]))</f>
        <v>16'm9</v>
      </c>
      <c r="V948" s="7" t="str">
        <f>IF(ISBLANK(patch[[#This Row],[project]]), "",SUM(patch[[#This Row],[BJ -1 num]:[SH -1 num]]))</f>
        <v/>
      </c>
      <c r="W948" s="7" t="str">
        <f>IF(ISBLANK(patch[[#This Row],[project]]), "",COUNTIFS($A:$A,patch[[#This Row],[number]],$S:$S, "BJ And dev",$AC:$AC, "Review-1"))</f>
        <v/>
      </c>
      <c r="X948" s="7" t="str">
        <f>IF(ISBLANK(patch[[#This Row],[project]]), "",COUNTIFS($A:$A,patch[[#This Row],[number]],$S:$S, "FL And dev",$AC:$AC, "Review-1"))</f>
        <v/>
      </c>
      <c r="Y948" s="7" t="str">
        <f>IF(ISBLANK(patch[[#This Row],[project]]), "",COUNTIFS($A:$A,patch[[#This Row],[number]],$S:$S, "SH And dev",$AC:$AC, "Review-1"))</f>
        <v/>
      </c>
      <c r="Z948" s="7" t="str">
        <f>IF(ISBLANK(patch[[#This Row],[project]]), "",COUNTIFS($A:$A,patch[[#This Row],[number]],$S:$S, "BJ And dev",$AD:$AD, "&lt;&gt;IntegratorValidationComment"))</f>
        <v/>
      </c>
      <c r="AA948" s="7" t="str">
        <f>IF(ISBLANK(patch[[#This Row],[project]]), "",COUNTIFS($A:$A,patch[[#This Row],[number]],$S:$S, "FL And dev",$AD:$AD, "&lt;&gt;IntegratorValidationComment"))</f>
        <v/>
      </c>
      <c r="AB948" s="7" t="str">
        <f>IF(ISBLANK(patch[[#This Row],[project]]), "",COUNTIFS($A:$A,patch[[#This Row],[number]],$S:$S, "SH And dev",$AD:$AD, "&lt;&gt;IntegratorValidationComment"))</f>
        <v/>
      </c>
      <c r="AC948" s="7" t="str">
        <f>IF(OR(ISNUMBER(FIND("Review-1", patch[[#This Row],[comments]])), ISNUMBER(FIND("Approver-1", patch[[#This Row],[comments]]))), "Review-1", "")</f>
        <v/>
      </c>
      <c r="AD9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48" s="7">
        <f>IF(ISBLANK(patch[[#This Row],[number]]),AE947,patch[[#This Row],[ifCommon]])</f>
        <v>0</v>
      </c>
    </row>
    <row r="949" spans="1:31">
      <c r="A949" s="151">
        <v>146606</v>
      </c>
      <c r="B949" s="151"/>
      <c r="C949" s="151"/>
      <c r="D949" s="151"/>
      <c r="E949" s="151"/>
      <c r="F949" s="151"/>
      <c r="G949" s="151"/>
      <c r="H949" s="151"/>
      <c r="I949" s="151"/>
      <c r="J949" s="152">
        <v>42634.762083333328</v>
      </c>
      <c r="K949" s="151"/>
      <c r="L949" s="151" t="s">
        <v>115</v>
      </c>
      <c r="M949" s="152">
        <v>42634.560636574082</v>
      </c>
      <c r="N949" s="151" t="s">
        <v>2494</v>
      </c>
      <c r="O949" s="151"/>
      <c r="P949" s="151"/>
      <c r="Q949" s="7" t="str">
        <f>IF(ISBLANK(patch[[#This Row],[OwnerEmail]]),Q948,patch[[#This Row],[OwnerEmail]])</f>
        <v>lipingx.xu@intel.com</v>
      </c>
      <c r="R949" s="7" t="str">
        <f>_xlfn.IFNA(VLOOKUP(patch[[#This Row],[tmp-owner.email]],OrgTree!$A:$K, 11, 0), "not ICG SWFW")</f>
        <v>BJ And dev</v>
      </c>
      <c r="S949" s="7" t="str">
        <f>IF(patch[[#This Row],[reviewer]]=patch[[#This Row],[tmp-owner.email]], "author", _xlfn.IFNA(VLOOKUP(patch[[#This Row],[reviewer]],OrgTree!$A:$K, 11, 0), "not ICG SWFW"))</f>
        <v>Val</v>
      </c>
      <c r="T949" s="7" t="str">
        <f>IF(ISBLANK(patch[[#This Row],[mergeDate]]), "", MID(YEAR(patch[[#This Row],[mergeDate]]), 3,2)&amp;"'ww"&amp;WEEKNUM(patch[[#This Row],[mergeDate]]))</f>
        <v>16'ww39</v>
      </c>
      <c r="U949" s="7" t="str">
        <f>IF(ISBLANK(patch[[#This Row],[mergeDate]]), U948, MID(YEAR(patch[[#This Row],[mergeDate]]), 3,2)&amp;"'m"&amp;MONTH(patch[[#This Row],[mergeDate]]))</f>
        <v>16'm9</v>
      </c>
      <c r="V949" s="7" t="str">
        <f>IF(ISBLANK(patch[[#This Row],[project]]), "",SUM(patch[[#This Row],[BJ -1 num]:[SH -1 num]]))</f>
        <v/>
      </c>
      <c r="W949" s="7" t="str">
        <f>IF(ISBLANK(patch[[#This Row],[project]]), "",COUNTIFS($A:$A,patch[[#This Row],[number]],$S:$S, "BJ And dev",$AC:$AC, "Review-1"))</f>
        <v/>
      </c>
      <c r="X949" s="7" t="str">
        <f>IF(ISBLANK(patch[[#This Row],[project]]), "",COUNTIFS($A:$A,patch[[#This Row],[number]],$S:$S, "FL And dev",$AC:$AC, "Review-1"))</f>
        <v/>
      </c>
      <c r="Y949" s="7" t="str">
        <f>IF(ISBLANK(patch[[#This Row],[project]]), "",COUNTIFS($A:$A,patch[[#This Row],[number]],$S:$S, "SH And dev",$AC:$AC, "Review-1"))</f>
        <v/>
      </c>
      <c r="Z949" s="7" t="str">
        <f>IF(ISBLANK(patch[[#This Row],[project]]), "",COUNTIFS($A:$A,patch[[#This Row],[number]],$S:$S, "BJ And dev",$AD:$AD, "&lt;&gt;IntegratorValidationComment"))</f>
        <v/>
      </c>
      <c r="AA949" s="7" t="str">
        <f>IF(ISBLANK(patch[[#This Row],[project]]), "",COUNTIFS($A:$A,patch[[#This Row],[number]],$S:$S, "FL And dev",$AD:$AD, "&lt;&gt;IntegratorValidationComment"))</f>
        <v/>
      </c>
      <c r="AB949" s="7" t="str">
        <f>IF(ISBLANK(patch[[#This Row],[project]]), "",COUNTIFS($A:$A,patch[[#This Row],[number]],$S:$S, "SH And dev",$AD:$AD, "&lt;&gt;IntegratorValidationComment"))</f>
        <v/>
      </c>
      <c r="AC949" s="7" t="str">
        <f>IF(OR(ISNUMBER(FIND("Review-1", patch[[#This Row],[comments]])), ISNUMBER(FIND("Approver-1", patch[[#This Row],[comments]]))), "Review-1", "")</f>
        <v/>
      </c>
      <c r="AD9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949" s="7">
        <f>IF(ISBLANK(patch[[#This Row],[number]]),AE948,patch[[#This Row],[ifCommon]])</f>
        <v>0</v>
      </c>
    </row>
    <row r="950" spans="1:31">
      <c r="A950" s="151">
        <v>146620</v>
      </c>
      <c r="B950" s="151" t="s">
        <v>2493</v>
      </c>
      <c r="C950" s="151" t="s">
        <v>2795</v>
      </c>
      <c r="D950" s="151" t="s">
        <v>3084</v>
      </c>
      <c r="E950" s="151" t="s">
        <v>677</v>
      </c>
      <c r="F950" s="151" t="s">
        <v>23</v>
      </c>
      <c r="G950" s="151" t="s">
        <v>3085</v>
      </c>
      <c r="H950" s="151" t="s">
        <v>3086</v>
      </c>
      <c r="I950" s="152">
        <v>42633.74046296296</v>
      </c>
      <c r="J950" s="152">
        <v>42634.761666666673</v>
      </c>
      <c r="K950" s="151" t="s">
        <v>2445</v>
      </c>
      <c r="L950" s="151" t="s">
        <v>677</v>
      </c>
      <c r="M950" s="152">
        <v>42633.74046296296</v>
      </c>
      <c r="N950" s="151" t="s">
        <v>25</v>
      </c>
      <c r="O950" s="151"/>
      <c r="P950" s="151" t="s">
        <v>59</v>
      </c>
      <c r="Q950" s="7" t="str">
        <f>IF(ISBLANK(patch[[#This Row],[OwnerEmail]]),Q949,patch[[#This Row],[OwnerEmail]])</f>
        <v>lipingx.xu@intel.com</v>
      </c>
      <c r="R950" s="7" t="str">
        <f>_xlfn.IFNA(VLOOKUP(patch[[#This Row],[tmp-owner.email]],OrgTree!$A:$K, 11, 0), "not ICG SWFW")</f>
        <v>BJ And dev</v>
      </c>
      <c r="S950" s="7" t="str">
        <f>IF(patch[[#This Row],[reviewer]]=patch[[#This Row],[tmp-owner.email]], "author", _xlfn.IFNA(VLOOKUP(patch[[#This Row],[reviewer]],OrgTree!$A:$K, 11, 0), "not ICG SWFW"))</f>
        <v>author</v>
      </c>
      <c r="T950" s="7" t="str">
        <f>IF(ISBLANK(patch[[#This Row],[mergeDate]]), "", MID(YEAR(patch[[#This Row],[mergeDate]]), 3,2)&amp;"'ww"&amp;WEEKNUM(patch[[#This Row],[mergeDate]]))</f>
        <v>16'ww39</v>
      </c>
      <c r="U950" s="7" t="str">
        <f>IF(ISBLANK(patch[[#This Row],[mergeDate]]), U949, MID(YEAR(patch[[#This Row],[mergeDate]]), 3,2)&amp;"'m"&amp;MONTH(patch[[#This Row],[mergeDate]]))</f>
        <v>16'm9</v>
      </c>
      <c r="V950" s="7">
        <f>IF(ISBLANK(patch[[#This Row],[project]]), "",SUM(patch[[#This Row],[BJ -1 num]:[SH -1 num]]))</f>
        <v>0</v>
      </c>
      <c r="W950" s="7">
        <f>IF(ISBLANK(patch[[#This Row],[project]]), "",COUNTIFS($A:$A,patch[[#This Row],[number]],$S:$S, "BJ And dev",$AC:$AC, "Review-1"))</f>
        <v>0</v>
      </c>
      <c r="X950" s="7">
        <f>IF(ISBLANK(patch[[#This Row],[project]]), "",COUNTIFS($A:$A,patch[[#This Row],[number]],$S:$S, "FL And dev",$AC:$AC, "Review-1"))</f>
        <v>0</v>
      </c>
      <c r="Y950" s="7">
        <f>IF(ISBLANK(patch[[#This Row],[project]]), "",COUNTIFS($A:$A,patch[[#This Row],[number]],$S:$S, "SH And dev",$AC:$AC, "Review-1"))</f>
        <v>0</v>
      </c>
      <c r="Z950" s="7">
        <f>IF(ISBLANK(patch[[#This Row],[project]]), "",COUNTIFS($A:$A,patch[[#This Row],[number]],$S:$S, "BJ And dev",$AD:$AD, "&lt;&gt;IntegratorValidationComment"))</f>
        <v>3</v>
      </c>
      <c r="AA950" s="7">
        <f>IF(ISBLANK(patch[[#This Row],[project]]), "",COUNTIFS($A:$A,patch[[#This Row],[number]],$S:$S, "FL And dev",$AD:$AD, "&lt;&gt;IntegratorValidationComment"))</f>
        <v>0</v>
      </c>
      <c r="AB950" s="7">
        <f>IF(ISBLANK(patch[[#This Row],[project]]), "",COUNTIFS($A:$A,patch[[#This Row],[number]],$S:$S, "SH And dev",$AD:$AD, "&lt;&gt;IntegratorValidationComment"))</f>
        <v>0</v>
      </c>
      <c r="AC950" s="7" t="str">
        <f>IF(OR(ISNUMBER(FIND("Review-1", patch[[#This Row],[comments]])), ISNUMBER(FIND("Approver-1", patch[[#This Row],[comments]]))), "Review-1", "")</f>
        <v/>
      </c>
      <c r="AD9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50" s="7" t="str">
        <f>IF(ISBLANK(patch[[#This Row],[number]]),AE949,patch[[#This Row],[ifCommon]])</f>
        <v>not AndrHAL</v>
      </c>
    </row>
    <row r="951" spans="1:31">
      <c r="A951" s="151">
        <v>146620</v>
      </c>
      <c r="B951" s="151"/>
      <c r="C951" s="151"/>
      <c r="D951" s="151"/>
      <c r="E951" s="151"/>
      <c r="F951" s="151"/>
      <c r="G951" s="151"/>
      <c r="H951" s="151"/>
      <c r="I951" s="151"/>
      <c r="J951" s="152">
        <v>42634.761666666673</v>
      </c>
      <c r="K951" s="151"/>
      <c r="L951" s="151" t="s">
        <v>677</v>
      </c>
      <c r="M951" s="152">
        <v>42633.740474537037</v>
      </c>
      <c r="N951" s="151" t="s">
        <v>2428</v>
      </c>
      <c r="O951" s="151"/>
      <c r="P951" s="151"/>
      <c r="Q951" s="7" t="str">
        <f>IF(ISBLANK(patch[[#This Row],[OwnerEmail]]),Q950,patch[[#This Row],[OwnerEmail]])</f>
        <v>lipingx.xu@intel.com</v>
      </c>
      <c r="R951" s="7" t="str">
        <f>_xlfn.IFNA(VLOOKUP(patch[[#This Row],[tmp-owner.email]],OrgTree!$A:$K, 11, 0), "not ICG SWFW")</f>
        <v>BJ And dev</v>
      </c>
      <c r="S951" s="7" t="str">
        <f>IF(patch[[#This Row],[reviewer]]=patch[[#This Row],[tmp-owner.email]], "author", _xlfn.IFNA(VLOOKUP(patch[[#This Row],[reviewer]],OrgTree!$A:$K, 11, 0), "not ICG SWFW"))</f>
        <v>author</v>
      </c>
      <c r="T951" s="7" t="str">
        <f>IF(ISBLANK(patch[[#This Row],[mergeDate]]), "", MID(YEAR(patch[[#This Row],[mergeDate]]), 3,2)&amp;"'ww"&amp;WEEKNUM(patch[[#This Row],[mergeDate]]))</f>
        <v>16'ww39</v>
      </c>
      <c r="U951" s="7" t="str">
        <f>IF(ISBLANK(patch[[#This Row],[mergeDate]]), U950, MID(YEAR(patch[[#This Row],[mergeDate]]), 3,2)&amp;"'m"&amp;MONTH(patch[[#This Row],[mergeDate]]))</f>
        <v>16'm9</v>
      </c>
      <c r="V951" s="7" t="str">
        <f>IF(ISBLANK(patch[[#This Row],[project]]), "",SUM(patch[[#This Row],[BJ -1 num]:[SH -1 num]]))</f>
        <v/>
      </c>
      <c r="W951" s="7" t="str">
        <f>IF(ISBLANK(patch[[#This Row],[project]]), "",COUNTIFS($A:$A,patch[[#This Row],[number]],$S:$S, "BJ And dev",$AC:$AC, "Review-1"))</f>
        <v/>
      </c>
      <c r="X951" s="7" t="str">
        <f>IF(ISBLANK(patch[[#This Row],[project]]), "",COUNTIFS($A:$A,patch[[#This Row],[number]],$S:$S, "FL And dev",$AC:$AC, "Review-1"))</f>
        <v/>
      </c>
      <c r="Y951" s="7" t="str">
        <f>IF(ISBLANK(patch[[#This Row],[project]]), "",COUNTIFS($A:$A,patch[[#This Row],[number]],$S:$S, "SH And dev",$AC:$AC, "Review-1"))</f>
        <v/>
      </c>
      <c r="Z951" s="7" t="str">
        <f>IF(ISBLANK(patch[[#This Row],[project]]), "",COUNTIFS($A:$A,patch[[#This Row],[number]],$S:$S, "BJ And dev",$AD:$AD, "&lt;&gt;IntegratorValidationComment"))</f>
        <v/>
      </c>
      <c r="AA951" s="7" t="str">
        <f>IF(ISBLANK(patch[[#This Row],[project]]), "",COUNTIFS($A:$A,patch[[#This Row],[number]],$S:$S, "FL And dev",$AD:$AD, "&lt;&gt;IntegratorValidationComment"))</f>
        <v/>
      </c>
      <c r="AB951" s="7" t="str">
        <f>IF(ISBLANK(patch[[#This Row],[project]]), "",COUNTIFS($A:$A,patch[[#This Row],[number]],$S:$S, "SH And dev",$AD:$AD, "&lt;&gt;IntegratorValidationComment"))</f>
        <v/>
      </c>
      <c r="AC951" s="7" t="str">
        <f>IF(OR(ISNUMBER(FIND("Review-1", patch[[#This Row],[comments]])), ISNUMBER(FIND("Approver-1", patch[[#This Row],[comments]]))), "Review-1", "")</f>
        <v/>
      </c>
      <c r="AD9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51" s="7">
        <f>IF(ISBLANK(patch[[#This Row],[number]]),AE950,patch[[#This Row],[ifCommon]])</f>
        <v>0</v>
      </c>
    </row>
    <row r="952" spans="1:31">
      <c r="A952" s="151">
        <v>146620</v>
      </c>
      <c r="B952" s="151"/>
      <c r="C952" s="151"/>
      <c r="D952" s="151"/>
      <c r="E952" s="151"/>
      <c r="F952" s="151"/>
      <c r="G952" s="151"/>
      <c r="H952" s="151"/>
      <c r="I952" s="151"/>
      <c r="J952" s="152">
        <v>42634.761666666673</v>
      </c>
      <c r="K952" s="151"/>
      <c r="L952" s="151" t="s">
        <v>677</v>
      </c>
      <c r="M952" s="152">
        <v>42633.744270833333</v>
      </c>
      <c r="N952" s="151" t="s">
        <v>40</v>
      </c>
      <c r="O952" s="151"/>
      <c r="P952" s="151"/>
      <c r="Q952" s="7" t="str">
        <f>IF(ISBLANK(patch[[#This Row],[OwnerEmail]]),Q951,patch[[#This Row],[OwnerEmail]])</f>
        <v>lipingx.xu@intel.com</v>
      </c>
      <c r="R952" s="7" t="str">
        <f>_xlfn.IFNA(VLOOKUP(patch[[#This Row],[tmp-owner.email]],OrgTree!$A:$K, 11, 0), "not ICG SWFW")</f>
        <v>BJ And dev</v>
      </c>
      <c r="S952" s="7" t="str">
        <f>IF(patch[[#This Row],[reviewer]]=patch[[#This Row],[tmp-owner.email]], "author", _xlfn.IFNA(VLOOKUP(patch[[#This Row],[reviewer]],OrgTree!$A:$K, 11, 0), "not ICG SWFW"))</f>
        <v>author</v>
      </c>
      <c r="T952" s="7" t="str">
        <f>IF(ISBLANK(patch[[#This Row],[mergeDate]]), "", MID(YEAR(patch[[#This Row],[mergeDate]]), 3,2)&amp;"'ww"&amp;WEEKNUM(patch[[#This Row],[mergeDate]]))</f>
        <v>16'ww39</v>
      </c>
      <c r="U952" s="7" t="str">
        <f>IF(ISBLANK(patch[[#This Row],[mergeDate]]), U951, MID(YEAR(patch[[#This Row],[mergeDate]]), 3,2)&amp;"'m"&amp;MONTH(patch[[#This Row],[mergeDate]]))</f>
        <v>16'm9</v>
      </c>
      <c r="V952" s="7" t="str">
        <f>IF(ISBLANK(patch[[#This Row],[project]]), "",SUM(patch[[#This Row],[BJ -1 num]:[SH -1 num]]))</f>
        <v/>
      </c>
      <c r="W952" s="7" t="str">
        <f>IF(ISBLANK(patch[[#This Row],[project]]), "",COUNTIFS($A:$A,patch[[#This Row],[number]],$S:$S, "BJ And dev",$AC:$AC, "Review-1"))</f>
        <v/>
      </c>
      <c r="X952" s="7" t="str">
        <f>IF(ISBLANK(patch[[#This Row],[project]]), "",COUNTIFS($A:$A,patch[[#This Row],[number]],$S:$S, "FL And dev",$AC:$AC, "Review-1"))</f>
        <v/>
      </c>
      <c r="Y952" s="7" t="str">
        <f>IF(ISBLANK(patch[[#This Row],[project]]), "",COUNTIFS($A:$A,patch[[#This Row],[number]],$S:$S, "SH And dev",$AC:$AC, "Review-1"))</f>
        <v/>
      </c>
      <c r="Z952" s="7" t="str">
        <f>IF(ISBLANK(patch[[#This Row],[project]]), "",COUNTIFS($A:$A,patch[[#This Row],[number]],$S:$S, "BJ And dev",$AD:$AD, "&lt;&gt;IntegratorValidationComment"))</f>
        <v/>
      </c>
      <c r="AA952" s="7" t="str">
        <f>IF(ISBLANK(patch[[#This Row],[project]]), "",COUNTIFS($A:$A,patch[[#This Row],[number]],$S:$S, "FL And dev",$AD:$AD, "&lt;&gt;IntegratorValidationComment"))</f>
        <v/>
      </c>
      <c r="AB952" s="7" t="str">
        <f>IF(ISBLANK(patch[[#This Row],[project]]), "",COUNTIFS($A:$A,patch[[#This Row],[number]],$S:$S, "SH And dev",$AD:$AD, "&lt;&gt;IntegratorValidationComment"))</f>
        <v/>
      </c>
      <c r="AC952" s="7" t="str">
        <f>IF(OR(ISNUMBER(FIND("Review-1", patch[[#This Row],[comments]])), ISNUMBER(FIND("Approver-1", patch[[#This Row],[comments]]))), "Review-1", "")</f>
        <v/>
      </c>
      <c r="AD9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52" s="7">
        <f>IF(ISBLANK(patch[[#This Row],[number]]),AE951,patch[[#This Row],[ifCommon]])</f>
        <v>0</v>
      </c>
    </row>
    <row r="953" spans="1:31">
      <c r="A953" s="151">
        <v>146620</v>
      </c>
      <c r="B953" s="151"/>
      <c r="C953" s="151"/>
      <c r="D953" s="151"/>
      <c r="E953" s="151"/>
      <c r="F953" s="151"/>
      <c r="G953" s="151"/>
      <c r="H953" s="151"/>
      <c r="I953" s="151"/>
      <c r="J953" s="152">
        <v>42634.761666666673</v>
      </c>
      <c r="K953" s="151"/>
      <c r="L953" s="151" t="s">
        <v>59</v>
      </c>
      <c r="M953" s="152">
        <v>42633.756840277783</v>
      </c>
      <c r="N953" s="151" t="s">
        <v>3087</v>
      </c>
      <c r="O953" s="151"/>
      <c r="P953" s="151"/>
      <c r="Q953" s="7" t="str">
        <f>IF(ISBLANK(patch[[#This Row],[OwnerEmail]]),Q952,patch[[#This Row],[OwnerEmail]])</f>
        <v>lipingx.xu@intel.com</v>
      </c>
      <c r="R953" s="7" t="str">
        <f>_xlfn.IFNA(VLOOKUP(patch[[#This Row],[tmp-owner.email]],OrgTree!$A:$K, 11, 0), "not ICG SWFW")</f>
        <v>BJ And dev</v>
      </c>
      <c r="S953" s="7" t="str">
        <f>IF(patch[[#This Row],[reviewer]]=patch[[#This Row],[tmp-owner.email]], "author", _xlfn.IFNA(VLOOKUP(patch[[#This Row],[reviewer]],OrgTree!$A:$K, 11, 0), "not ICG SWFW"))</f>
        <v>BJ And dev</v>
      </c>
      <c r="T953" s="7" t="str">
        <f>IF(ISBLANK(patch[[#This Row],[mergeDate]]), "", MID(YEAR(patch[[#This Row],[mergeDate]]), 3,2)&amp;"'ww"&amp;WEEKNUM(patch[[#This Row],[mergeDate]]))</f>
        <v>16'ww39</v>
      </c>
      <c r="U953" s="7" t="str">
        <f>IF(ISBLANK(patch[[#This Row],[mergeDate]]), U952, MID(YEAR(patch[[#This Row],[mergeDate]]), 3,2)&amp;"'m"&amp;MONTH(patch[[#This Row],[mergeDate]]))</f>
        <v>16'm9</v>
      </c>
      <c r="V953" s="7" t="str">
        <f>IF(ISBLANK(patch[[#This Row],[project]]), "",SUM(patch[[#This Row],[BJ -1 num]:[SH -1 num]]))</f>
        <v/>
      </c>
      <c r="W953" s="7" t="str">
        <f>IF(ISBLANK(patch[[#This Row],[project]]), "",COUNTIFS($A:$A,patch[[#This Row],[number]],$S:$S, "BJ And dev",$AC:$AC, "Review-1"))</f>
        <v/>
      </c>
      <c r="X953" s="7" t="str">
        <f>IF(ISBLANK(patch[[#This Row],[project]]), "",COUNTIFS($A:$A,patch[[#This Row],[number]],$S:$S, "FL And dev",$AC:$AC, "Review-1"))</f>
        <v/>
      </c>
      <c r="Y953" s="7" t="str">
        <f>IF(ISBLANK(patch[[#This Row],[project]]), "",COUNTIFS($A:$A,patch[[#This Row],[number]],$S:$S, "SH And dev",$AC:$AC, "Review-1"))</f>
        <v/>
      </c>
      <c r="Z953" s="7" t="str">
        <f>IF(ISBLANK(patch[[#This Row],[project]]), "",COUNTIFS($A:$A,patch[[#This Row],[number]],$S:$S, "BJ And dev",$AD:$AD, "&lt;&gt;IntegratorValidationComment"))</f>
        <v/>
      </c>
      <c r="AA953" s="7" t="str">
        <f>IF(ISBLANK(patch[[#This Row],[project]]), "",COUNTIFS($A:$A,patch[[#This Row],[number]],$S:$S, "FL And dev",$AD:$AD, "&lt;&gt;IntegratorValidationComment"))</f>
        <v/>
      </c>
      <c r="AB953" s="7" t="str">
        <f>IF(ISBLANK(patch[[#This Row],[project]]), "",COUNTIFS($A:$A,patch[[#This Row],[number]],$S:$S, "SH And dev",$AD:$AD, "&lt;&gt;IntegratorValidationComment"))</f>
        <v/>
      </c>
      <c r="AC953" s="7" t="str">
        <f>IF(OR(ISNUMBER(FIND("Review-1", patch[[#This Row],[comments]])), ISNUMBER(FIND("Approver-1", patch[[#This Row],[comments]]))), "Review-1", "")</f>
        <v/>
      </c>
      <c r="AD9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53" s="7">
        <f>IF(ISBLANK(patch[[#This Row],[number]]),AE952,patch[[#This Row],[ifCommon]])</f>
        <v>0</v>
      </c>
    </row>
    <row r="954" spans="1:31">
      <c r="A954" s="151">
        <v>146620</v>
      </c>
      <c r="B954" s="151"/>
      <c r="C954" s="151"/>
      <c r="D954" s="151"/>
      <c r="E954" s="151"/>
      <c r="F954" s="151"/>
      <c r="G954" s="151"/>
      <c r="H954" s="151"/>
      <c r="I954" s="151"/>
      <c r="J954" s="152">
        <v>42634.761666666673</v>
      </c>
      <c r="K954" s="151"/>
      <c r="L954" s="151" t="s">
        <v>59</v>
      </c>
      <c r="M954" s="152">
        <v>42633.760416666657</v>
      </c>
      <c r="N954" s="151" t="s">
        <v>1880</v>
      </c>
      <c r="O954" s="151"/>
      <c r="P954" s="151"/>
      <c r="Q954" s="7" t="str">
        <f>IF(ISBLANK(patch[[#This Row],[OwnerEmail]]),Q953,patch[[#This Row],[OwnerEmail]])</f>
        <v>lipingx.xu@intel.com</v>
      </c>
      <c r="R954" s="7" t="str">
        <f>_xlfn.IFNA(VLOOKUP(patch[[#This Row],[tmp-owner.email]],OrgTree!$A:$K, 11, 0), "not ICG SWFW")</f>
        <v>BJ And dev</v>
      </c>
      <c r="S954" s="7" t="str">
        <f>IF(patch[[#This Row],[reviewer]]=patch[[#This Row],[tmp-owner.email]], "author", _xlfn.IFNA(VLOOKUP(patch[[#This Row],[reviewer]],OrgTree!$A:$K, 11, 0), "not ICG SWFW"))</f>
        <v>BJ And dev</v>
      </c>
      <c r="T954" s="7" t="str">
        <f>IF(ISBLANK(patch[[#This Row],[mergeDate]]), "", MID(YEAR(patch[[#This Row],[mergeDate]]), 3,2)&amp;"'ww"&amp;WEEKNUM(patch[[#This Row],[mergeDate]]))</f>
        <v>16'ww39</v>
      </c>
      <c r="U954" s="7" t="str">
        <f>IF(ISBLANK(patch[[#This Row],[mergeDate]]), U953, MID(YEAR(patch[[#This Row],[mergeDate]]), 3,2)&amp;"'m"&amp;MONTH(patch[[#This Row],[mergeDate]]))</f>
        <v>16'm9</v>
      </c>
      <c r="V954" s="7" t="str">
        <f>IF(ISBLANK(patch[[#This Row],[project]]), "",SUM(patch[[#This Row],[BJ -1 num]:[SH -1 num]]))</f>
        <v/>
      </c>
      <c r="W954" s="7" t="str">
        <f>IF(ISBLANK(patch[[#This Row],[project]]), "",COUNTIFS($A:$A,patch[[#This Row],[number]],$S:$S, "BJ And dev",$AC:$AC, "Review-1"))</f>
        <v/>
      </c>
      <c r="X954" s="7" t="str">
        <f>IF(ISBLANK(patch[[#This Row],[project]]), "",COUNTIFS($A:$A,patch[[#This Row],[number]],$S:$S, "FL And dev",$AC:$AC, "Review-1"))</f>
        <v/>
      </c>
      <c r="Y954" s="7" t="str">
        <f>IF(ISBLANK(patch[[#This Row],[project]]), "",COUNTIFS($A:$A,patch[[#This Row],[number]],$S:$S, "SH And dev",$AC:$AC, "Review-1"))</f>
        <v/>
      </c>
      <c r="Z954" s="7" t="str">
        <f>IF(ISBLANK(patch[[#This Row],[project]]), "",COUNTIFS($A:$A,patch[[#This Row],[number]],$S:$S, "BJ And dev",$AD:$AD, "&lt;&gt;IntegratorValidationComment"))</f>
        <v/>
      </c>
      <c r="AA954" s="7" t="str">
        <f>IF(ISBLANK(patch[[#This Row],[project]]), "",COUNTIFS($A:$A,patch[[#This Row],[number]],$S:$S, "FL And dev",$AD:$AD, "&lt;&gt;IntegratorValidationComment"))</f>
        <v/>
      </c>
      <c r="AB954" s="7" t="str">
        <f>IF(ISBLANK(patch[[#This Row],[project]]), "",COUNTIFS($A:$A,patch[[#This Row],[number]],$S:$S, "SH And dev",$AD:$AD, "&lt;&gt;IntegratorValidationComment"))</f>
        <v/>
      </c>
      <c r="AC954" s="7" t="str">
        <f>IF(OR(ISNUMBER(FIND("Review-1", patch[[#This Row],[comments]])), ISNUMBER(FIND("Approver-1", patch[[#This Row],[comments]]))), "Review-1", "")</f>
        <v/>
      </c>
      <c r="AD9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54" s="7">
        <f>IF(ISBLANK(patch[[#This Row],[number]]),AE953,patch[[#This Row],[ifCommon]])</f>
        <v>0</v>
      </c>
    </row>
    <row r="955" spans="1:31">
      <c r="A955" s="151">
        <v>146620</v>
      </c>
      <c r="B955" s="151"/>
      <c r="C955" s="151"/>
      <c r="D955" s="151"/>
      <c r="E955" s="151"/>
      <c r="F955" s="151"/>
      <c r="G955" s="151"/>
      <c r="H955" s="151"/>
      <c r="I955" s="151"/>
      <c r="J955" s="152">
        <v>42634.761666666673</v>
      </c>
      <c r="K955" s="151"/>
      <c r="L955" s="151" t="s">
        <v>59</v>
      </c>
      <c r="M955" s="152">
        <v>42633.763078703712</v>
      </c>
      <c r="N955" s="151" t="s">
        <v>3088</v>
      </c>
      <c r="O955" s="151"/>
      <c r="P955" s="151"/>
      <c r="Q955" s="7" t="str">
        <f>IF(ISBLANK(patch[[#This Row],[OwnerEmail]]),Q954,patch[[#This Row],[OwnerEmail]])</f>
        <v>lipingx.xu@intel.com</v>
      </c>
      <c r="R955" s="7" t="str">
        <f>_xlfn.IFNA(VLOOKUP(patch[[#This Row],[tmp-owner.email]],OrgTree!$A:$K, 11, 0), "not ICG SWFW")</f>
        <v>BJ And dev</v>
      </c>
      <c r="S955" s="7" t="str">
        <f>IF(patch[[#This Row],[reviewer]]=patch[[#This Row],[tmp-owner.email]], "author", _xlfn.IFNA(VLOOKUP(patch[[#This Row],[reviewer]],OrgTree!$A:$K, 11, 0), "not ICG SWFW"))</f>
        <v>BJ And dev</v>
      </c>
      <c r="T955" s="7" t="str">
        <f>IF(ISBLANK(patch[[#This Row],[mergeDate]]), "", MID(YEAR(patch[[#This Row],[mergeDate]]), 3,2)&amp;"'ww"&amp;WEEKNUM(patch[[#This Row],[mergeDate]]))</f>
        <v>16'ww39</v>
      </c>
      <c r="U955" s="7" t="str">
        <f>IF(ISBLANK(patch[[#This Row],[mergeDate]]), U954, MID(YEAR(patch[[#This Row],[mergeDate]]), 3,2)&amp;"'m"&amp;MONTH(patch[[#This Row],[mergeDate]]))</f>
        <v>16'm9</v>
      </c>
      <c r="V955" s="7" t="str">
        <f>IF(ISBLANK(patch[[#This Row],[project]]), "",SUM(patch[[#This Row],[BJ -1 num]:[SH -1 num]]))</f>
        <v/>
      </c>
      <c r="W955" s="7" t="str">
        <f>IF(ISBLANK(patch[[#This Row],[project]]), "",COUNTIFS($A:$A,patch[[#This Row],[number]],$S:$S, "BJ And dev",$AC:$AC, "Review-1"))</f>
        <v/>
      </c>
      <c r="X955" s="7" t="str">
        <f>IF(ISBLANK(patch[[#This Row],[project]]), "",COUNTIFS($A:$A,patch[[#This Row],[number]],$S:$S, "FL And dev",$AC:$AC, "Review-1"))</f>
        <v/>
      </c>
      <c r="Y955" s="7" t="str">
        <f>IF(ISBLANK(patch[[#This Row],[project]]), "",COUNTIFS($A:$A,patch[[#This Row],[number]],$S:$S, "SH And dev",$AC:$AC, "Review-1"))</f>
        <v/>
      </c>
      <c r="Z955" s="7" t="str">
        <f>IF(ISBLANK(patch[[#This Row],[project]]), "",COUNTIFS($A:$A,patch[[#This Row],[number]],$S:$S, "BJ And dev",$AD:$AD, "&lt;&gt;IntegratorValidationComment"))</f>
        <v/>
      </c>
      <c r="AA955" s="7" t="str">
        <f>IF(ISBLANK(patch[[#This Row],[project]]), "",COUNTIFS($A:$A,patch[[#This Row],[number]],$S:$S, "FL And dev",$AD:$AD, "&lt;&gt;IntegratorValidationComment"))</f>
        <v/>
      </c>
      <c r="AB955" s="7" t="str">
        <f>IF(ISBLANK(patch[[#This Row],[project]]), "",COUNTIFS($A:$A,patch[[#This Row],[number]],$S:$S, "SH And dev",$AD:$AD, "&lt;&gt;IntegratorValidationComment"))</f>
        <v/>
      </c>
      <c r="AC955" s="7" t="str">
        <f>IF(OR(ISNUMBER(FIND("Review-1", patch[[#This Row],[comments]])), ISNUMBER(FIND("Approver-1", patch[[#This Row],[comments]]))), "Review-1", "")</f>
        <v/>
      </c>
      <c r="AD9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55" s="7">
        <f>IF(ISBLANK(patch[[#This Row],[number]]),AE954,patch[[#This Row],[ifCommon]])</f>
        <v>0</v>
      </c>
    </row>
    <row r="956" spans="1:31">
      <c r="A956" s="151">
        <v>146620</v>
      </c>
      <c r="B956" s="151"/>
      <c r="C956" s="151"/>
      <c r="D956" s="151"/>
      <c r="E956" s="151"/>
      <c r="F956" s="151"/>
      <c r="G956" s="151"/>
      <c r="H956" s="151"/>
      <c r="I956" s="151"/>
      <c r="J956" s="152">
        <v>42634.761666666673</v>
      </c>
      <c r="K956" s="151"/>
      <c r="L956" s="151" t="s">
        <v>115</v>
      </c>
      <c r="M956" s="152">
        <v>42634.559837962966</v>
      </c>
      <c r="N956" s="151" t="s">
        <v>2494</v>
      </c>
      <c r="O956" s="151"/>
      <c r="P956" s="151"/>
      <c r="Q956" s="7" t="str">
        <f>IF(ISBLANK(patch[[#This Row],[OwnerEmail]]),Q955,patch[[#This Row],[OwnerEmail]])</f>
        <v>lipingx.xu@intel.com</v>
      </c>
      <c r="R956" s="7" t="str">
        <f>_xlfn.IFNA(VLOOKUP(patch[[#This Row],[tmp-owner.email]],OrgTree!$A:$K, 11, 0), "not ICG SWFW")</f>
        <v>BJ And dev</v>
      </c>
      <c r="S956" s="7" t="str">
        <f>IF(patch[[#This Row],[reviewer]]=patch[[#This Row],[tmp-owner.email]], "author", _xlfn.IFNA(VLOOKUP(patch[[#This Row],[reviewer]],OrgTree!$A:$K, 11, 0), "not ICG SWFW"))</f>
        <v>Val</v>
      </c>
      <c r="T956" s="7" t="str">
        <f>IF(ISBLANK(patch[[#This Row],[mergeDate]]), "", MID(YEAR(patch[[#This Row],[mergeDate]]), 3,2)&amp;"'ww"&amp;WEEKNUM(patch[[#This Row],[mergeDate]]))</f>
        <v>16'ww39</v>
      </c>
      <c r="U956" s="7" t="str">
        <f>IF(ISBLANK(patch[[#This Row],[mergeDate]]), U955, MID(YEAR(patch[[#This Row],[mergeDate]]), 3,2)&amp;"'m"&amp;MONTH(patch[[#This Row],[mergeDate]]))</f>
        <v>16'm9</v>
      </c>
      <c r="V956" s="7" t="str">
        <f>IF(ISBLANK(patch[[#This Row],[project]]), "",SUM(patch[[#This Row],[BJ -1 num]:[SH -1 num]]))</f>
        <v/>
      </c>
      <c r="W956" s="7" t="str">
        <f>IF(ISBLANK(patch[[#This Row],[project]]), "",COUNTIFS($A:$A,patch[[#This Row],[number]],$S:$S, "BJ And dev",$AC:$AC, "Review-1"))</f>
        <v/>
      </c>
      <c r="X956" s="7" t="str">
        <f>IF(ISBLANK(patch[[#This Row],[project]]), "",COUNTIFS($A:$A,patch[[#This Row],[number]],$S:$S, "FL And dev",$AC:$AC, "Review-1"))</f>
        <v/>
      </c>
      <c r="Y956" s="7" t="str">
        <f>IF(ISBLANK(patch[[#This Row],[project]]), "",COUNTIFS($A:$A,patch[[#This Row],[number]],$S:$S, "SH And dev",$AC:$AC, "Review-1"))</f>
        <v/>
      </c>
      <c r="Z956" s="7" t="str">
        <f>IF(ISBLANK(patch[[#This Row],[project]]), "",COUNTIFS($A:$A,patch[[#This Row],[number]],$S:$S, "BJ And dev",$AD:$AD, "&lt;&gt;IntegratorValidationComment"))</f>
        <v/>
      </c>
      <c r="AA956" s="7" t="str">
        <f>IF(ISBLANK(patch[[#This Row],[project]]), "",COUNTIFS($A:$A,patch[[#This Row],[number]],$S:$S, "FL And dev",$AD:$AD, "&lt;&gt;IntegratorValidationComment"))</f>
        <v/>
      </c>
      <c r="AB956" s="7" t="str">
        <f>IF(ISBLANK(patch[[#This Row],[project]]), "",COUNTIFS($A:$A,patch[[#This Row],[number]],$S:$S, "SH And dev",$AD:$AD, "&lt;&gt;IntegratorValidationComment"))</f>
        <v/>
      </c>
      <c r="AC956" s="7" t="str">
        <f>IF(OR(ISNUMBER(FIND("Review-1", patch[[#This Row],[comments]])), ISNUMBER(FIND("Approver-1", patch[[#This Row],[comments]]))), "Review-1", "")</f>
        <v/>
      </c>
      <c r="AD9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956" s="7">
        <f>IF(ISBLANK(patch[[#This Row],[number]]),AE955,patch[[#This Row],[ifCommon]])</f>
        <v>0</v>
      </c>
    </row>
    <row r="957" spans="1:31">
      <c r="A957" s="151">
        <v>146475</v>
      </c>
      <c r="B957" s="151" t="s">
        <v>2493</v>
      </c>
      <c r="C957" s="151" t="s">
        <v>2491</v>
      </c>
      <c r="D957" s="151" t="s">
        <v>2978</v>
      </c>
      <c r="E957" s="151" t="s">
        <v>1203</v>
      </c>
      <c r="F957" s="151" t="s">
        <v>23</v>
      </c>
      <c r="G957" s="151" t="s">
        <v>2979</v>
      </c>
      <c r="H957" s="151" t="s">
        <v>2980</v>
      </c>
      <c r="I957" s="152">
        <v>42633.444768518522</v>
      </c>
      <c r="J957" s="152">
        <v>42634.753796296303</v>
      </c>
      <c r="K957" s="151" t="s">
        <v>2445</v>
      </c>
      <c r="L957" s="151" t="s">
        <v>1203</v>
      </c>
      <c r="M957" s="152">
        <v>42633.444768518522</v>
      </c>
      <c r="N957" s="151" t="s">
        <v>2458</v>
      </c>
      <c r="O957" s="151"/>
      <c r="P957" s="151" t="s">
        <v>2554</v>
      </c>
      <c r="Q957" s="7" t="str">
        <f>IF(ISBLANK(patch[[#This Row],[OwnerEmail]]),Q956,patch[[#This Row],[OwnerEmail]])</f>
        <v>xi.cao@intel.com</v>
      </c>
      <c r="R957" s="7" t="str">
        <f>_xlfn.IFNA(VLOOKUP(patch[[#This Row],[tmp-owner.email]],OrgTree!$A:$K, 11, 0), "not ICG SWFW")</f>
        <v>BJ And dev</v>
      </c>
      <c r="S957" s="7" t="str">
        <f>IF(patch[[#This Row],[reviewer]]=patch[[#This Row],[tmp-owner.email]], "author", _xlfn.IFNA(VLOOKUP(patch[[#This Row],[reviewer]],OrgTree!$A:$K, 11, 0), "not ICG SWFW"))</f>
        <v>author</v>
      </c>
      <c r="T957" s="7" t="str">
        <f>IF(ISBLANK(patch[[#This Row],[mergeDate]]), "", MID(YEAR(patch[[#This Row],[mergeDate]]), 3,2)&amp;"'ww"&amp;WEEKNUM(patch[[#This Row],[mergeDate]]))</f>
        <v>16'ww39</v>
      </c>
      <c r="U957" s="7" t="str">
        <f>IF(ISBLANK(patch[[#This Row],[mergeDate]]), U956, MID(YEAR(patch[[#This Row],[mergeDate]]), 3,2)&amp;"'m"&amp;MONTH(patch[[#This Row],[mergeDate]]))</f>
        <v>16'm9</v>
      </c>
      <c r="V957" s="7">
        <f>IF(ISBLANK(patch[[#This Row],[project]]), "",SUM(patch[[#This Row],[BJ -1 num]:[SH -1 num]]))</f>
        <v>0</v>
      </c>
      <c r="W957" s="7">
        <f>IF(ISBLANK(patch[[#This Row],[project]]), "",COUNTIFS($A:$A,patch[[#This Row],[number]],$S:$S, "BJ And dev",$AC:$AC, "Review-1"))</f>
        <v>0</v>
      </c>
      <c r="X957" s="7">
        <f>IF(ISBLANK(patch[[#This Row],[project]]), "",COUNTIFS($A:$A,patch[[#This Row],[number]],$S:$S, "FL And dev",$AC:$AC, "Review-1"))</f>
        <v>0</v>
      </c>
      <c r="Y957" s="7">
        <f>IF(ISBLANK(patch[[#This Row],[project]]), "",COUNTIFS($A:$A,patch[[#This Row],[number]],$S:$S, "SH And dev",$AC:$AC, "Review-1"))</f>
        <v>0</v>
      </c>
      <c r="Z957" s="7">
        <f>IF(ISBLANK(patch[[#This Row],[project]]), "",COUNTIFS($A:$A,patch[[#This Row],[number]],$S:$S, "BJ And dev",$AD:$AD, "&lt;&gt;IntegratorValidationComment"))</f>
        <v>12</v>
      </c>
      <c r="AA957" s="7">
        <f>IF(ISBLANK(patch[[#This Row],[project]]), "",COUNTIFS($A:$A,patch[[#This Row],[number]],$S:$S, "FL And dev",$AD:$AD, "&lt;&gt;IntegratorValidationComment"))</f>
        <v>0</v>
      </c>
      <c r="AB957" s="7">
        <f>IF(ISBLANK(patch[[#This Row],[project]]), "",COUNTIFS($A:$A,patch[[#This Row],[number]],$S:$S, "SH And dev",$AD:$AD, "&lt;&gt;IntegratorValidationComment"))</f>
        <v>0</v>
      </c>
      <c r="AC957" s="7" t="str">
        <f>IF(OR(ISNUMBER(FIND("Review-1", patch[[#This Row],[comments]])), ISNUMBER(FIND("Approver-1", patch[[#This Row],[comments]]))), "Review-1", "")</f>
        <v/>
      </c>
      <c r="AD9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57" s="7" t="str">
        <f>IF(ISBLANK(patch[[#This Row],[number]]),AE956,patch[[#This Row],[ifCommon]])</f>
        <v>not AndrHAL</v>
      </c>
    </row>
    <row r="958" spans="1:31">
      <c r="A958" s="151">
        <v>146475</v>
      </c>
      <c r="B958" s="151"/>
      <c r="C958" s="151"/>
      <c r="D958" s="151"/>
      <c r="E958" s="151"/>
      <c r="F958" s="151"/>
      <c r="G958" s="151"/>
      <c r="H958" s="151"/>
      <c r="I958" s="151"/>
      <c r="J958" s="152">
        <v>42634.753796296303</v>
      </c>
      <c r="K958" s="151"/>
      <c r="L958" s="151" t="s">
        <v>1203</v>
      </c>
      <c r="M958" s="152">
        <v>42633.444768518522</v>
      </c>
      <c r="N958" s="151" t="s">
        <v>25</v>
      </c>
      <c r="O958" s="151"/>
      <c r="P958" s="151"/>
      <c r="Q958" s="7" t="str">
        <f>IF(ISBLANK(patch[[#This Row],[OwnerEmail]]),Q957,patch[[#This Row],[OwnerEmail]])</f>
        <v>xi.cao@intel.com</v>
      </c>
      <c r="R958" s="7" t="str">
        <f>_xlfn.IFNA(VLOOKUP(patch[[#This Row],[tmp-owner.email]],OrgTree!$A:$K, 11, 0), "not ICG SWFW")</f>
        <v>BJ And dev</v>
      </c>
      <c r="S958" s="7" t="str">
        <f>IF(patch[[#This Row],[reviewer]]=patch[[#This Row],[tmp-owner.email]], "author", _xlfn.IFNA(VLOOKUP(patch[[#This Row],[reviewer]],OrgTree!$A:$K, 11, 0), "not ICG SWFW"))</f>
        <v>author</v>
      </c>
      <c r="T958" s="7" t="str">
        <f>IF(ISBLANK(patch[[#This Row],[mergeDate]]), "", MID(YEAR(patch[[#This Row],[mergeDate]]), 3,2)&amp;"'ww"&amp;WEEKNUM(patch[[#This Row],[mergeDate]]))</f>
        <v>16'ww39</v>
      </c>
      <c r="U958" s="7" t="str">
        <f>IF(ISBLANK(patch[[#This Row],[mergeDate]]), U957, MID(YEAR(patch[[#This Row],[mergeDate]]), 3,2)&amp;"'m"&amp;MONTH(patch[[#This Row],[mergeDate]]))</f>
        <v>16'm9</v>
      </c>
      <c r="V958" s="7" t="str">
        <f>IF(ISBLANK(patch[[#This Row],[project]]), "",SUM(patch[[#This Row],[BJ -1 num]:[SH -1 num]]))</f>
        <v/>
      </c>
      <c r="W958" s="7" t="str">
        <f>IF(ISBLANK(patch[[#This Row],[project]]), "",COUNTIFS($A:$A,patch[[#This Row],[number]],$S:$S, "BJ And dev",$AC:$AC, "Review-1"))</f>
        <v/>
      </c>
      <c r="X958" s="7" t="str">
        <f>IF(ISBLANK(patch[[#This Row],[project]]), "",COUNTIFS($A:$A,patch[[#This Row],[number]],$S:$S, "FL And dev",$AC:$AC, "Review-1"))</f>
        <v/>
      </c>
      <c r="Y958" s="7" t="str">
        <f>IF(ISBLANK(patch[[#This Row],[project]]), "",COUNTIFS($A:$A,patch[[#This Row],[number]],$S:$S, "SH And dev",$AC:$AC, "Review-1"))</f>
        <v/>
      </c>
      <c r="Z958" s="7" t="str">
        <f>IF(ISBLANK(patch[[#This Row],[project]]), "",COUNTIFS($A:$A,patch[[#This Row],[number]],$S:$S, "BJ And dev",$AD:$AD, "&lt;&gt;IntegratorValidationComment"))</f>
        <v/>
      </c>
      <c r="AA958" s="7" t="str">
        <f>IF(ISBLANK(patch[[#This Row],[project]]), "",COUNTIFS($A:$A,patch[[#This Row],[number]],$S:$S, "FL And dev",$AD:$AD, "&lt;&gt;IntegratorValidationComment"))</f>
        <v/>
      </c>
      <c r="AB958" s="7" t="str">
        <f>IF(ISBLANK(patch[[#This Row],[project]]), "",COUNTIFS($A:$A,patch[[#This Row],[number]],$S:$S, "SH And dev",$AD:$AD, "&lt;&gt;IntegratorValidationComment"))</f>
        <v/>
      </c>
      <c r="AC958" s="7" t="str">
        <f>IF(OR(ISNUMBER(FIND("Review-1", patch[[#This Row],[comments]])), ISNUMBER(FIND("Approver-1", patch[[#This Row],[comments]]))), "Review-1", "")</f>
        <v/>
      </c>
      <c r="AD9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58" s="7">
        <f>IF(ISBLANK(patch[[#This Row],[number]]),AE957,patch[[#This Row],[ifCommon]])</f>
        <v>0</v>
      </c>
    </row>
    <row r="959" spans="1:31">
      <c r="A959" s="151">
        <v>146475</v>
      </c>
      <c r="B959" s="151"/>
      <c r="C959" s="151"/>
      <c r="D959" s="151"/>
      <c r="E959" s="151"/>
      <c r="F959" s="151"/>
      <c r="G959" s="151"/>
      <c r="H959" s="151"/>
      <c r="I959" s="151"/>
      <c r="J959" s="152">
        <v>42634.753796296303</v>
      </c>
      <c r="K959" s="151"/>
      <c r="L959" s="151" t="s">
        <v>1203</v>
      </c>
      <c r="M959" s="152">
        <v>42633.448460648149</v>
      </c>
      <c r="N959" s="151" t="s">
        <v>2459</v>
      </c>
      <c r="O959" s="151"/>
      <c r="P959" s="151"/>
      <c r="Q959" s="7" t="str">
        <f>IF(ISBLANK(patch[[#This Row],[OwnerEmail]]),Q958,patch[[#This Row],[OwnerEmail]])</f>
        <v>xi.cao@intel.com</v>
      </c>
      <c r="R959" s="7" t="str">
        <f>_xlfn.IFNA(VLOOKUP(patch[[#This Row],[tmp-owner.email]],OrgTree!$A:$K, 11, 0), "not ICG SWFW")</f>
        <v>BJ And dev</v>
      </c>
      <c r="S959" s="7" t="str">
        <f>IF(patch[[#This Row],[reviewer]]=patch[[#This Row],[tmp-owner.email]], "author", _xlfn.IFNA(VLOOKUP(patch[[#This Row],[reviewer]],OrgTree!$A:$K, 11, 0), "not ICG SWFW"))</f>
        <v>author</v>
      </c>
      <c r="T959" s="7" t="str">
        <f>IF(ISBLANK(patch[[#This Row],[mergeDate]]), "", MID(YEAR(patch[[#This Row],[mergeDate]]), 3,2)&amp;"'ww"&amp;WEEKNUM(patch[[#This Row],[mergeDate]]))</f>
        <v>16'ww39</v>
      </c>
      <c r="U959" s="7" t="str">
        <f>IF(ISBLANK(patch[[#This Row],[mergeDate]]), U958, MID(YEAR(patch[[#This Row],[mergeDate]]), 3,2)&amp;"'m"&amp;MONTH(patch[[#This Row],[mergeDate]]))</f>
        <v>16'm9</v>
      </c>
      <c r="V959" s="7" t="str">
        <f>IF(ISBLANK(patch[[#This Row],[project]]), "",SUM(patch[[#This Row],[BJ -1 num]:[SH -1 num]]))</f>
        <v/>
      </c>
      <c r="W959" s="7" t="str">
        <f>IF(ISBLANK(patch[[#This Row],[project]]), "",COUNTIFS($A:$A,patch[[#This Row],[number]],$S:$S, "BJ And dev",$AC:$AC, "Review-1"))</f>
        <v/>
      </c>
      <c r="X959" s="7" t="str">
        <f>IF(ISBLANK(patch[[#This Row],[project]]), "",COUNTIFS($A:$A,patch[[#This Row],[number]],$S:$S, "FL And dev",$AC:$AC, "Review-1"))</f>
        <v/>
      </c>
      <c r="Y959" s="7" t="str">
        <f>IF(ISBLANK(patch[[#This Row],[project]]), "",COUNTIFS($A:$A,patch[[#This Row],[number]],$S:$S, "SH And dev",$AC:$AC, "Review-1"))</f>
        <v/>
      </c>
      <c r="Z959" s="7" t="str">
        <f>IF(ISBLANK(patch[[#This Row],[project]]), "",COUNTIFS($A:$A,patch[[#This Row],[number]],$S:$S, "BJ And dev",$AD:$AD, "&lt;&gt;IntegratorValidationComment"))</f>
        <v/>
      </c>
      <c r="AA959" s="7" t="str">
        <f>IF(ISBLANK(patch[[#This Row],[project]]), "",COUNTIFS($A:$A,patch[[#This Row],[number]],$S:$S, "FL And dev",$AD:$AD, "&lt;&gt;IntegratorValidationComment"))</f>
        <v/>
      </c>
      <c r="AB959" s="7" t="str">
        <f>IF(ISBLANK(patch[[#This Row],[project]]), "",COUNTIFS($A:$A,patch[[#This Row],[number]],$S:$S, "SH And dev",$AD:$AD, "&lt;&gt;IntegratorValidationComment"))</f>
        <v/>
      </c>
      <c r="AC959" s="7" t="str">
        <f>IF(OR(ISNUMBER(FIND("Review-1", patch[[#This Row],[comments]])), ISNUMBER(FIND("Approver-1", patch[[#This Row],[comments]]))), "Review-1", "")</f>
        <v/>
      </c>
      <c r="AD9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59" s="7">
        <f>IF(ISBLANK(patch[[#This Row],[number]]),AE958,patch[[#This Row],[ifCommon]])</f>
        <v>0</v>
      </c>
    </row>
    <row r="960" spans="1:31">
      <c r="A960" s="151">
        <v>146475</v>
      </c>
      <c r="B960" s="151"/>
      <c r="C960" s="151"/>
      <c r="D960" s="151"/>
      <c r="E960" s="151"/>
      <c r="F960" s="151"/>
      <c r="G960" s="151"/>
      <c r="H960" s="151"/>
      <c r="I960" s="151"/>
      <c r="J960" s="152">
        <v>42634.753796296303</v>
      </c>
      <c r="K960" s="151"/>
      <c r="L960" s="151" t="s">
        <v>59</v>
      </c>
      <c r="M960" s="152">
        <v>42633.451956018522</v>
      </c>
      <c r="N960" s="151" t="s">
        <v>3089</v>
      </c>
      <c r="O960" s="151" t="s">
        <v>3090</v>
      </c>
      <c r="P960" s="151"/>
      <c r="Q960" s="7" t="str">
        <f>IF(ISBLANK(patch[[#This Row],[OwnerEmail]]),Q959,patch[[#This Row],[OwnerEmail]])</f>
        <v>xi.cao@intel.com</v>
      </c>
      <c r="R960" s="7" t="str">
        <f>_xlfn.IFNA(VLOOKUP(patch[[#This Row],[tmp-owner.email]],OrgTree!$A:$K, 11, 0), "not ICG SWFW")</f>
        <v>BJ And dev</v>
      </c>
      <c r="S960" s="7" t="str">
        <f>IF(patch[[#This Row],[reviewer]]=patch[[#This Row],[tmp-owner.email]], "author", _xlfn.IFNA(VLOOKUP(patch[[#This Row],[reviewer]],OrgTree!$A:$K, 11, 0), "not ICG SWFW"))</f>
        <v>BJ And dev</v>
      </c>
      <c r="T960" s="7" t="str">
        <f>IF(ISBLANK(patch[[#This Row],[mergeDate]]), "", MID(YEAR(patch[[#This Row],[mergeDate]]), 3,2)&amp;"'ww"&amp;WEEKNUM(patch[[#This Row],[mergeDate]]))</f>
        <v>16'ww39</v>
      </c>
      <c r="U960" s="7" t="str">
        <f>IF(ISBLANK(patch[[#This Row],[mergeDate]]), U959, MID(YEAR(patch[[#This Row],[mergeDate]]), 3,2)&amp;"'m"&amp;MONTH(patch[[#This Row],[mergeDate]]))</f>
        <v>16'm9</v>
      </c>
      <c r="V960" s="7" t="str">
        <f>IF(ISBLANK(patch[[#This Row],[project]]), "",SUM(patch[[#This Row],[BJ -1 num]:[SH -1 num]]))</f>
        <v/>
      </c>
      <c r="W960" s="7" t="str">
        <f>IF(ISBLANK(patch[[#This Row],[project]]), "",COUNTIFS($A:$A,patch[[#This Row],[number]],$S:$S, "BJ And dev",$AC:$AC, "Review-1"))</f>
        <v/>
      </c>
      <c r="X960" s="7" t="str">
        <f>IF(ISBLANK(patch[[#This Row],[project]]), "",COUNTIFS($A:$A,patch[[#This Row],[number]],$S:$S, "FL And dev",$AC:$AC, "Review-1"))</f>
        <v/>
      </c>
      <c r="Y960" s="7" t="str">
        <f>IF(ISBLANK(patch[[#This Row],[project]]), "",COUNTIFS($A:$A,patch[[#This Row],[number]],$S:$S, "SH And dev",$AC:$AC, "Review-1"))</f>
        <v/>
      </c>
      <c r="Z960" s="7" t="str">
        <f>IF(ISBLANK(patch[[#This Row],[project]]), "",COUNTIFS($A:$A,patch[[#This Row],[number]],$S:$S, "BJ And dev",$AD:$AD, "&lt;&gt;IntegratorValidationComment"))</f>
        <v/>
      </c>
      <c r="AA960" s="7" t="str">
        <f>IF(ISBLANK(patch[[#This Row],[project]]), "",COUNTIFS($A:$A,patch[[#This Row],[number]],$S:$S, "FL And dev",$AD:$AD, "&lt;&gt;IntegratorValidationComment"))</f>
        <v/>
      </c>
      <c r="AB960" s="7" t="str">
        <f>IF(ISBLANK(patch[[#This Row],[project]]), "",COUNTIFS($A:$A,patch[[#This Row],[number]],$S:$S, "SH And dev",$AD:$AD, "&lt;&gt;IntegratorValidationComment"))</f>
        <v/>
      </c>
      <c r="AC960" s="7" t="str">
        <f>IF(OR(ISNUMBER(FIND("Review-1", patch[[#This Row],[comments]])), ISNUMBER(FIND("Approver-1", patch[[#This Row],[comments]]))), "Review-1", "")</f>
        <v/>
      </c>
      <c r="AD9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60" s="7">
        <f>IF(ISBLANK(patch[[#This Row],[number]]),AE959,patch[[#This Row],[ifCommon]])</f>
        <v>0</v>
      </c>
    </row>
    <row r="961" spans="1:31">
      <c r="A961" s="151">
        <v>146475</v>
      </c>
      <c r="B961" s="151"/>
      <c r="C961" s="151"/>
      <c r="D961" s="151"/>
      <c r="E961" s="151"/>
      <c r="F961" s="151"/>
      <c r="G961" s="151"/>
      <c r="H961" s="151"/>
      <c r="I961" s="151"/>
      <c r="J961" s="152">
        <v>42634.753796296303</v>
      </c>
      <c r="K961" s="151"/>
      <c r="L961" s="151" t="s">
        <v>59</v>
      </c>
      <c r="M961" s="152">
        <v>42633.45480324074</v>
      </c>
      <c r="N961" s="151" t="s">
        <v>2521</v>
      </c>
      <c r="O961" s="151" t="s">
        <v>3091</v>
      </c>
      <c r="P961" s="151"/>
      <c r="Q961" s="7" t="str">
        <f>IF(ISBLANK(patch[[#This Row],[OwnerEmail]]),Q960,patch[[#This Row],[OwnerEmail]])</f>
        <v>xi.cao@intel.com</v>
      </c>
      <c r="R961" s="7" t="str">
        <f>_xlfn.IFNA(VLOOKUP(patch[[#This Row],[tmp-owner.email]],OrgTree!$A:$K, 11, 0), "not ICG SWFW")</f>
        <v>BJ And dev</v>
      </c>
      <c r="S961" s="7" t="str">
        <f>IF(patch[[#This Row],[reviewer]]=patch[[#This Row],[tmp-owner.email]], "author", _xlfn.IFNA(VLOOKUP(patch[[#This Row],[reviewer]],OrgTree!$A:$K, 11, 0), "not ICG SWFW"))</f>
        <v>BJ And dev</v>
      </c>
      <c r="T961" s="7" t="str">
        <f>IF(ISBLANK(patch[[#This Row],[mergeDate]]), "", MID(YEAR(patch[[#This Row],[mergeDate]]), 3,2)&amp;"'ww"&amp;WEEKNUM(patch[[#This Row],[mergeDate]]))</f>
        <v>16'ww39</v>
      </c>
      <c r="U961" s="7" t="str">
        <f>IF(ISBLANK(patch[[#This Row],[mergeDate]]), U960, MID(YEAR(patch[[#This Row],[mergeDate]]), 3,2)&amp;"'m"&amp;MONTH(patch[[#This Row],[mergeDate]]))</f>
        <v>16'm9</v>
      </c>
      <c r="V961" s="7" t="str">
        <f>IF(ISBLANK(patch[[#This Row],[project]]), "",SUM(patch[[#This Row],[BJ -1 num]:[SH -1 num]]))</f>
        <v/>
      </c>
      <c r="W961" s="7" t="str">
        <f>IF(ISBLANK(patch[[#This Row],[project]]), "",COUNTIFS($A:$A,patch[[#This Row],[number]],$S:$S, "BJ And dev",$AC:$AC, "Review-1"))</f>
        <v/>
      </c>
      <c r="X961" s="7" t="str">
        <f>IF(ISBLANK(patch[[#This Row],[project]]), "",COUNTIFS($A:$A,patch[[#This Row],[number]],$S:$S, "FL And dev",$AC:$AC, "Review-1"))</f>
        <v/>
      </c>
      <c r="Y961" s="7" t="str">
        <f>IF(ISBLANK(patch[[#This Row],[project]]), "",COUNTIFS($A:$A,patch[[#This Row],[number]],$S:$S, "SH And dev",$AC:$AC, "Review-1"))</f>
        <v/>
      </c>
      <c r="Z961" s="7" t="str">
        <f>IF(ISBLANK(patch[[#This Row],[project]]), "",COUNTIFS($A:$A,patch[[#This Row],[number]],$S:$S, "BJ And dev",$AD:$AD, "&lt;&gt;IntegratorValidationComment"))</f>
        <v/>
      </c>
      <c r="AA961" s="7" t="str">
        <f>IF(ISBLANK(patch[[#This Row],[project]]), "",COUNTIFS($A:$A,patch[[#This Row],[number]],$S:$S, "FL And dev",$AD:$AD, "&lt;&gt;IntegratorValidationComment"))</f>
        <v/>
      </c>
      <c r="AB961" s="7" t="str">
        <f>IF(ISBLANK(patch[[#This Row],[project]]), "",COUNTIFS($A:$A,patch[[#This Row],[number]],$S:$S, "SH And dev",$AD:$AD, "&lt;&gt;IntegratorValidationComment"))</f>
        <v/>
      </c>
      <c r="AC961" s="7" t="str">
        <f>IF(OR(ISNUMBER(FIND("Review-1", patch[[#This Row],[comments]])), ISNUMBER(FIND("Approver-1", patch[[#This Row],[comments]]))), "Review-1", "")</f>
        <v/>
      </c>
      <c r="AD9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61" s="7">
        <f>IF(ISBLANK(patch[[#This Row],[number]]),AE960,patch[[#This Row],[ifCommon]])</f>
        <v>0</v>
      </c>
    </row>
    <row r="962" spans="1:31">
      <c r="A962" s="151">
        <v>146475</v>
      </c>
      <c r="B962" s="151"/>
      <c r="C962" s="151"/>
      <c r="D962" s="151"/>
      <c r="E962" s="151"/>
      <c r="F962" s="151"/>
      <c r="G962" s="151"/>
      <c r="H962" s="151"/>
      <c r="I962" s="151"/>
      <c r="J962" s="152">
        <v>42634.753796296303</v>
      </c>
      <c r="K962" s="151"/>
      <c r="L962" s="151" t="s">
        <v>59</v>
      </c>
      <c r="M962" s="152">
        <v>42633.455243055563</v>
      </c>
      <c r="N962" s="151" t="s">
        <v>3092</v>
      </c>
      <c r="O962" s="151"/>
      <c r="P962" s="151"/>
      <c r="Q962" s="7" t="str">
        <f>IF(ISBLANK(patch[[#This Row],[OwnerEmail]]),Q961,patch[[#This Row],[OwnerEmail]])</f>
        <v>xi.cao@intel.com</v>
      </c>
      <c r="R962" s="7" t="str">
        <f>_xlfn.IFNA(VLOOKUP(patch[[#This Row],[tmp-owner.email]],OrgTree!$A:$K, 11, 0), "not ICG SWFW")</f>
        <v>BJ And dev</v>
      </c>
      <c r="S962" s="7" t="str">
        <f>IF(patch[[#This Row],[reviewer]]=patch[[#This Row],[tmp-owner.email]], "author", _xlfn.IFNA(VLOOKUP(patch[[#This Row],[reviewer]],OrgTree!$A:$K, 11, 0), "not ICG SWFW"))</f>
        <v>BJ And dev</v>
      </c>
      <c r="T962" s="7" t="str">
        <f>IF(ISBLANK(patch[[#This Row],[mergeDate]]), "", MID(YEAR(patch[[#This Row],[mergeDate]]), 3,2)&amp;"'ww"&amp;WEEKNUM(patch[[#This Row],[mergeDate]]))</f>
        <v>16'ww39</v>
      </c>
      <c r="U962" s="7" t="str">
        <f>IF(ISBLANK(patch[[#This Row],[mergeDate]]), U961, MID(YEAR(patch[[#This Row],[mergeDate]]), 3,2)&amp;"'m"&amp;MONTH(patch[[#This Row],[mergeDate]]))</f>
        <v>16'm9</v>
      </c>
      <c r="V962" s="7" t="str">
        <f>IF(ISBLANK(patch[[#This Row],[project]]), "",SUM(patch[[#This Row],[BJ -1 num]:[SH -1 num]]))</f>
        <v/>
      </c>
      <c r="W962" s="7" t="str">
        <f>IF(ISBLANK(patch[[#This Row],[project]]), "",COUNTIFS($A:$A,patch[[#This Row],[number]],$S:$S, "BJ And dev",$AC:$AC, "Review-1"))</f>
        <v/>
      </c>
      <c r="X962" s="7" t="str">
        <f>IF(ISBLANK(patch[[#This Row],[project]]), "",COUNTIFS($A:$A,patch[[#This Row],[number]],$S:$S, "FL And dev",$AC:$AC, "Review-1"))</f>
        <v/>
      </c>
      <c r="Y962" s="7" t="str">
        <f>IF(ISBLANK(patch[[#This Row],[project]]), "",COUNTIFS($A:$A,patch[[#This Row],[number]],$S:$S, "SH And dev",$AC:$AC, "Review-1"))</f>
        <v/>
      </c>
      <c r="Z962" s="7" t="str">
        <f>IF(ISBLANK(patch[[#This Row],[project]]), "",COUNTIFS($A:$A,patch[[#This Row],[number]],$S:$S, "BJ And dev",$AD:$AD, "&lt;&gt;IntegratorValidationComment"))</f>
        <v/>
      </c>
      <c r="AA962" s="7" t="str">
        <f>IF(ISBLANK(patch[[#This Row],[project]]), "",COUNTIFS($A:$A,patch[[#This Row],[number]],$S:$S, "FL And dev",$AD:$AD, "&lt;&gt;IntegratorValidationComment"))</f>
        <v/>
      </c>
      <c r="AB962" s="7" t="str">
        <f>IF(ISBLANK(patch[[#This Row],[project]]), "",COUNTIFS($A:$A,patch[[#This Row],[number]],$S:$S, "SH And dev",$AD:$AD, "&lt;&gt;IntegratorValidationComment"))</f>
        <v/>
      </c>
      <c r="AC962" s="7" t="str">
        <f>IF(OR(ISNUMBER(FIND("Review-1", patch[[#This Row],[comments]])), ISNUMBER(FIND("Approver-1", patch[[#This Row],[comments]]))), "Review-1", "")</f>
        <v/>
      </c>
      <c r="AD9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62" s="7">
        <f>IF(ISBLANK(patch[[#This Row],[number]]),AE961,patch[[#This Row],[ifCommon]])</f>
        <v>0</v>
      </c>
    </row>
    <row r="963" spans="1:31">
      <c r="A963" s="151">
        <v>146475</v>
      </c>
      <c r="B963" s="151"/>
      <c r="C963" s="151"/>
      <c r="D963" s="151"/>
      <c r="E963" s="151"/>
      <c r="F963" s="151"/>
      <c r="G963" s="151"/>
      <c r="H963" s="151"/>
      <c r="I963" s="151"/>
      <c r="J963" s="152">
        <v>42634.753796296303</v>
      </c>
      <c r="K963" s="151"/>
      <c r="L963" s="151" t="s">
        <v>1203</v>
      </c>
      <c r="M963" s="152">
        <v>42633.455740740741</v>
      </c>
      <c r="N963" s="151" t="s">
        <v>2448</v>
      </c>
      <c r="O963" s="151" t="s">
        <v>3093</v>
      </c>
      <c r="P963" s="151"/>
      <c r="Q963" s="7" t="str">
        <f>IF(ISBLANK(patch[[#This Row],[OwnerEmail]]),Q962,patch[[#This Row],[OwnerEmail]])</f>
        <v>xi.cao@intel.com</v>
      </c>
      <c r="R963" s="7" t="str">
        <f>_xlfn.IFNA(VLOOKUP(patch[[#This Row],[tmp-owner.email]],OrgTree!$A:$K, 11, 0), "not ICG SWFW")</f>
        <v>BJ And dev</v>
      </c>
      <c r="S963" s="7" t="str">
        <f>IF(patch[[#This Row],[reviewer]]=patch[[#This Row],[tmp-owner.email]], "author", _xlfn.IFNA(VLOOKUP(patch[[#This Row],[reviewer]],OrgTree!$A:$K, 11, 0), "not ICG SWFW"))</f>
        <v>author</v>
      </c>
      <c r="T963" s="7" t="str">
        <f>IF(ISBLANK(patch[[#This Row],[mergeDate]]), "", MID(YEAR(patch[[#This Row],[mergeDate]]), 3,2)&amp;"'ww"&amp;WEEKNUM(patch[[#This Row],[mergeDate]]))</f>
        <v>16'ww39</v>
      </c>
      <c r="U963" s="7" t="str">
        <f>IF(ISBLANK(patch[[#This Row],[mergeDate]]), U962, MID(YEAR(patch[[#This Row],[mergeDate]]), 3,2)&amp;"'m"&amp;MONTH(patch[[#This Row],[mergeDate]]))</f>
        <v>16'm9</v>
      </c>
      <c r="V963" s="7" t="str">
        <f>IF(ISBLANK(patch[[#This Row],[project]]), "",SUM(patch[[#This Row],[BJ -1 num]:[SH -1 num]]))</f>
        <v/>
      </c>
      <c r="W963" s="7" t="str">
        <f>IF(ISBLANK(patch[[#This Row],[project]]), "",COUNTIFS($A:$A,patch[[#This Row],[number]],$S:$S, "BJ And dev",$AC:$AC, "Review-1"))</f>
        <v/>
      </c>
      <c r="X963" s="7" t="str">
        <f>IF(ISBLANK(patch[[#This Row],[project]]), "",COUNTIFS($A:$A,patch[[#This Row],[number]],$S:$S, "FL And dev",$AC:$AC, "Review-1"))</f>
        <v/>
      </c>
      <c r="Y963" s="7" t="str">
        <f>IF(ISBLANK(patch[[#This Row],[project]]), "",COUNTIFS($A:$A,patch[[#This Row],[number]],$S:$S, "SH And dev",$AC:$AC, "Review-1"))</f>
        <v/>
      </c>
      <c r="Z963" s="7" t="str">
        <f>IF(ISBLANK(patch[[#This Row],[project]]), "",COUNTIFS($A:$A,patch[[#This Row],[number]],$S:$S, "BJ And dev",$AD:$AD, "&lt;&gt;IntegratorValidationComment"))</f>
        <v/>
      </c>
      <c r="AA963" s="7" t="str">
        <f>IF(ISBLANK(patch[[#This Row],[project]]), "",COUNTIFS($A:$A,patch[[#This Row],[number]],$S:$S, "FL And dev",$AD:$AD, "&lt;&gt;IntegratorValidationComment"))</f>
        <v/>
      </c>
      <c r="AB963" s="7" t="str">
        <f>IF(ISBLANK(patch[[#This Row],[project]]), "",COUNTIFS($A:$A,patch[[#This Row],[number]],$S:$S, "SH And dev",$AD:$AD, "&lt;&gt;IntegratorValidationComment"))</f>
        <v/>
      </c>
      <c r="AC963" s="7" t="str">
        <f>IF(OR(ISNUMBER(FIND("Review-1", patch[[#This Row],[comments]])), ISNUMBER(FIND("Approver-1", patch[[#This Row],[comments]]))), "Review-1", "")</f>
        <v/>
      </c>
      <c r="AD9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63" s="7">
        <f>IF(ISBLANK(patch[[#This Row],[number]]),AE962,patch[[#This Row],[ifCommon]])</f>
        <v>0</v>
      </c>
    </row>
    <row r="964" spans="1:31">
      <c r="A964" s="151">
        <v>146475</v>
      </c>
      <c r="B964" s="151"/>
      <c r="C964" s="151"/>
      <c r="D964" s="151"/>
      <c r="E964" s="151"/>
      <c r="F964" s="151"/>
      <c r="G964" s="151"/>
      <c r="H964" s="151"/>
      <c r="I964" s="151"/>
      <c r="J964" s="152">
        <v>42634.753796296303</v>
      </c>
      <c r="K964" s="151"/>
      <c r="L964" s="151" t="s">
        <v>1203</v>
      </c>
      <c r="M964" s="152">
        <v>42633.456493055557</v>
      </c>
      <c r="N964" s="151" t="s">
        <v>2429</v>
      </c>
      <c r="O964" s="151"/>
      <c r="P964" s="151"/>
      <c r="Q964" s="7" t="str">
        <f>IF(ISBLANK(patch[[#This Row],[OwnerEmail]]),Q963,patch[[#This Row],[OwnerEmail]])</f>
        <v>xi.cao@intel.com</v>
      </c>
      <c r="R964" s="7" t="str">
        <f>_xlfn.IFNA(VLOOKUP(patch[[#This Row],[tmp-owner.email]],OrgTree!$A:$K, 11, 0), "not ICG SWFW")</f>
        <v>BJ And dev</v>
      </c>
      <c r="S964" s="7" t="str">
        <f>IF(patch[[#This Row],[reviewer]]=patch[[#This Row],[tmp-owner.email]], "author", _xlfn.IFNA(VLOOKUP(patch[[#This Row],[reviewer]],OrgTree!$A:$K, 11, 0), "not ICG SWFW"))</f>
        <v>author</v>
      </c>
      <c r="T964" s="7" t="str">
        <f>IF(ISBLANK(patch[[#This Row],[mergeDate]]), "", MID(YEAR(patch[[#This Row],[mergeDate]]), 3,2)&amp;"'ww"&amp;WEEKNUM(patch[[#This Row],[mergeDate]]))</f>
        <v>16'ww39</v>
      </c>
      <c r="U964" s="7" t="str">
        <f>IF(ISBLANK(patch[[#This Row],[mergeDate]]), U963, MID(YEAR(patch[[#This Row],[mergeDate]]), 3,2)&amp;"'m"&amp;MONTH(patch[[#This Row],[mergeDate]]))</f>
        <v>16'm9</v>
      </c>
      <c r="V964" s="7" t="str">
        <f>IF(ISBLANK(patch[[#This Row],[project]]), "",SUM(patch[[#This Row],[BJ -1 num]:[SH -1 num]]))</f>
        <v/>
      </c>
      <c r="W964" s="7" t="str">
        <f>IF(ISBLANK(patch[[#This Row],[project]]), "",COUNTIFS($A:$A,patch[[#This Row],[number]],$S:$S, "BJ And dev",$AC:$AC, "Review-1"))</f>
        <v/>
      </c>
      <c r="X964" s="7" t="str">
        <f>IF(ISBLANK(patch[[#This Row],[project]]), "",COUNTIFS($A:$A,patch[[#This Row],[number]],$S:$S, "FL And dev",$AC:$AC, "Review-1"))</f>
        <v/>
      </c>
      <c r="Y964" s="7" t="str">
        <f>IF(ISBLANK(patch[[#This Row],[project]]), "",COUNTIFS($A:$A,patch[[#This Row],[number]],$S:$S, "SH And dev",$AC:$AC, "Review-1"))</f>
        <v/>
      </c>
      <c r="Z964" s="7" t="str">
        <f>IF(ISBLANK(patch[[#This Row],[project]]), "",COUNTIFS($A:$A,patch[[#This Row],[number]],$S:$S, "BJ And dev",$AD:$AD, "&lt;&gt;IntegratorValidationComment"))</f>
        <v/>
      </c>
      <c r="AA964" s="7" t="str">
        <f>IF(ISBLANK(patch[[#This Row],[project]]), "",COUNTIFS($A:$A,patch[[#This Row],[number]],$S:$S, "FL And dev",$AD:$AD, "&lt;&gt;IntegratorValidationComment"))</f>
        <v/>
      </c>
      <c r="AB964" s="7" t="str">
        <f>IF(ISBLANK(patch[[#This Row],[project]]), "",COUNTIFS($A:$A,patch[[#This Row],[number]],$S:$S, "SH And dev",$AD:$AD, "&lt;&gt;IntegratorValidationComment"))</f>
        <v/>
      </c>
      <c r="AC964" s="7" t="str">
        <f>IF(OR(ISNUMBER(FIND("Review-1", patch[[#This Row],[comments]])), ISNUMBER(FIND("Approver-1", patch[[#This Row],[comments]]))), "Review-1", "")</f>
        <v/>
      </c>
      <c r="AD9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64" s="7">
        <f>IF(ISBLANK(patch[[#This Row],[number]]),AE963,patch[[#This Row],[ifCommon]])</f>
        <v>0</v>
      </c>
    </row>
    <row r="965" spans="1:31">
      <c r="A965" s="151">
        <v>146475</v>
      </c>
      <c r="B965" s="151"/>
      <c r="C965" s="151"/>
      <c r="D965" s="151"/>
      <c r="E965" s="151"/>
      <c r="F965" s="151"/>
      <c r="G965" s="151"/>
      <c r="H965" s="151"/>
      <c r="I965" s="151"/>
      <c r="J965" s="152">
        <v>42634.753796296303</v>
      </c>
      <c r="K965" s="151"/>
      <c r="L965" s="151" t="s">
        <v>1203</v>
      </c>
      <c r="M965" s="152">
        <v>42633.456493055557</v>
      </c>
      <c r="N965" s="151" t="s">
        <v>29</v>
      </c>
      <c r="O965" s="151"/>
      <c r="P965" s="151"/>
      <c r="Q965" s="7" t="str">
        <f>IF(ISBLANK(patch[[#This Row],[OwnerEmail]]),Q964,patch[[#This Row],[OwnerEmail]])</f>
        <v>xi.cao@intel.com</v>
      </c>
      <c r="R965" s="7" t="str">
        <f>_xlfn.IFNA(VLOOKUP(patch[[#This Row],[tmp-owner.email]],OrgTree!$A:$K, 11, 0), "not ICG SWFW")</f>
        <v>BJ And dev</v>
      </c>
      <c r="S965" s="7" t="str">
        <f>IF(patch[[#This Row],[reviewer]]=patch[[#This Row],[tmp-owner.email]], "author", _xlfn.IFNA(VLOOKUP(patch[[#This Row],[reviewer]],OrgTree!$A:$K, 11, 0), "not ICG SWFW"))</f>
        <v>author</v>
      </c>
      <c r="T965" s="7" t="str">
        <f>IF(ISBLANK(patch[[#This Row],[mergeDate]]), "", MID(YEAR(patch[[#This Row],[mergeDate]]), 3,2)&amp;"'ww"&amp;WEEKNUM(patch[[#This Row],[mergeDate]]))</f>
        <v>16'ww39</v>
      </c>
      <c r="U965" s="7" t="str">
        <f>IF(ISBLANK(patch[[#This Row],[mergeDate]]), U964, MID(YEAR(patch[[#This Row],[mergeDate]]), 3,2)&amp;"'m"&amp;MONTH(patch[[#This Row],[mergeDate]]))</f>
        <v>16'm9</v>
      </c>
      <c r="V965" s="7" t="str">
        <f>IF(ISBLANK(patch[[#This Row],[project]]), "",SUM(patch[[#This Row],[BJ -1 num]:[SH -1 num]]))</f>
        <v/>
      </c>
      <c r="W965" s="7" t="str">
        <f>IF(ISBLANK(patch[[#This Row],[project]]), "",COUNTIFS($A:$A,patch[[#This Row],[number]],$S:$S, "BJ And dev",$AC:$AC, "Review-1"))</f>
        <v/>
      </c>
      <c r="X965" s="7" t="str">
        <f>IF(ISBLANK(patch[[#This Row],[project]]), "",COUNTIFS($A:$A,patch[[#This Row],[number]],$S:$S, "FL And dev",$AC:$AC, "Review-1"))</f>
        <v/>
      </c>
      <c r="Y965" s="7" t="str">
        <f>IF(ISBLANK(patch[[#This Row],[project]]), "",COUNTIFS($A:$A,patch[[#This Row],[number]],$S:$S, "SH And dev",$AC:$AC, "Review-1"))</f>
        <v/>
      </c>
      <c r="Z965" s="7" t="str">
        <f>IF(ISBLANK(patch[[#This Row],[project]]), "",COUNTIFS($A:$A,patch[[#This Row],[number]],$S:$S, "BJ And dev",$AD:$AD, "&lt;&gt;IntegratorValidationComment"))</f>
        <v/>
      </c>
      <c r="AA965" s="7" t="str">
        <f>IF(ISBLANK(patch[[#This Row],[project]]), "",COUNTIFS($A:$A,patch[[#This Row],[number]],$S:$S, "FL And dev",$AD:$AD, "&lt;&gt;IntegratorValidationComment"))</f>
        <v/>
      </c>
      <c r="AB965" s="7" t="str">
        <f>IF(ISBLANK(patch[[#This Row],[project]]), "",COUNTIFS($A:$A,patch[[#This Row],[number]],$S:$S, "SH And dev",$AD:$AD, "&lt;&gt;IntegratorValidationComment"))</f>
        <v/>
      </c>
      <c r="AC965" s="7" t="str">
        <f>IF(OR(ISNUMBER(FIND("Review-1", patch[[#This Row],[comments]])), ISNUMBER(FIND("Approver-1", patch[[#This Row],[comments]]))), "Review-1", "")</f>
        <v/>
      </c>
      <c r="AD9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65" s="7">
        <f>IF(ISBLANK(patch[[#This Row],[number]]),AE964,patch[[#This Row],[ifCommon]])</f>
        <v>0</v>
      </c>
    </row>
    <row r="966" spans="1:31">
      <c r="A966" s="151">
        <v>146475</v>
      </c>
      <c r="B966" s="151"/>
      <c r="C966" s="151"/>
      <c r="D966" s="151"/>
      <c r="E966" s="151"/>
      <c r="F966" s="151"/>
      <c r="G966" s="151"/>
      <c r="H966" s="151"/>
      <c r="I966" s="151"/>
      <c r="J966" s="152">
        <v>42634.753796296303</v>
      </c>
      <c r="K966" s="151"/>
      <c r="L966" s="151" t="s">
        <v>59</v>
      </c>
      <c r="M966" s="152">
        <v>42633.458935185183</v>
      </c>
      <c r="N966" s="151" t="s">
        <v>3094</v>
      </c>
      <c r="O966" s="151"/>
      <c r="P966" s="151"/>
      <c r="Q966" s="7" t="str">
        <f>IF(ISBLANK(patch[[#This Row],[OwnerEmail]]),Q965,patch[[#This Row],[OwnerEmail]])</f>
        <v>xi.cao@intel.com</v>
      </c>
      <c r="R966" s="7" t="str">
        <f>_xlfn.IFNA(VLOOKUP(patch[[#This Row],[tmp-owner.email]],OrgTree!$A:$K, 11, 0), "not ICG SWFW")</f>
        <v>BJ And dev</v>
      </c>
      <c r="S966" s="7" t="str">
        <f>IF(patch[[#This Row],[reviewer]]=patch[[#This Row],[tmp-owner.email]], "author", _xlfn.IFNA(VLOOKUP(patch[[#This Row],[reviewer]],OrgTree!$A:$K, 11, 0), "not ICG SWFW"))</f>
        <v>BJ And dev</v>
      </c>
      <c r="T966" s="7" t="str">
        <f>IF(ISBLANK(patch[[#This Row],[mergeDate]]), "", MID(YEAR(patch[[#This Row],[mergeDate]]), 3,2)&amp;"'ww"&amp;WEEKNUM(patch[[#This Row],[mergeDate]]))</f>
        <v>16'ww39</v>
      </c>
      <c r="U966" s="7" t="str">
        <f>IF(ISBLANK(patch[[#This Row],[mergeDate]]), U965, MID(YEAR(patch[[#This Row],[mergeDate]]), 3,2)&amp;"'m"&amp;MONTH(patch[[#This Row],[mergeDate]]))</f>
        <v>16'm9</v>
      </c>
      <c r="V966" s="7" t="str">
        <f>IF(ISBLANK(patch[[#This Row],[project]]), "",SUM(patch[[#This Row],[BJ -1 num]:[SH -1 num]]))</f>
        <v/>
      </c>
      <c r="W966" s="7" t="str">
        <f>IF(ISBLANK(patch[[#This Row],[project]]), "",COUNTIFS($A:$A,patch[[#This Row],[number]],$S:$S, "BJ And dev",$AC:$AC, "Review-1"))</f>
        <v/>
      </c>
      <c r="X966" s="7" t="str">
        <f>IF(ISBLANK(patch[[#This Row],[project]]), "",COUNTIFS($A:$A,patch[[#This Row],[number]],$S:$S, "FL And dev",$AC:$AC, "Review-1"))</f>
        <v/>
      </c>
      <c r="Y966" s="7" t="str">
        <f>IF(ISBLANK(patch[[#This Row],[project]]), "",COUNTIFS($A:$A,patch[[#This Row],[number]],$S:$S, "SH And dev",$AC:$AC, "Review-1"))</f>
        <v/>
      </c>
      <c r="Z966" s="7" t="str">
        <f>IF(ISBLANK(patch[[#This Row],[project]]), "",COUNTIFS($A:$A,patch[[#This Row],[number]],$S:$S, "BJ And dev",$AD:$AD, "&lt;&gt;IntegratorValidationComment"))</f>
        <v/>
      </c>
      <c r="AA966" s="7" t="str">
        <f>IF(ISBLANK(patch[[#This Row],[project]]), "",COUNTIFS($A:$A,patch[[#This Row],[number]],$S:$S, "FL And dev",$AD:$AD, "&lt;&gt;IntegratorValidationComment"))</f>
        <v/>
      </c>
      <c r="AB966" s="7" t="str">
        <f>IF(ISBLANK(patch[[#This Row],[project]]), "",COUNTIFS($A:$A,patch[[#This Row],[number]],$S:$S, "SH And dev",$AD:$AD, "&lt;&gt;IntegratorValidationComment"))</f>
        <v/>
      </c>
      <c r="AC966" s="7" t="str">
        <f>IF(OR(ISNUMBER(FIND("Review-1", patch[[#This Row],[comments]])), ISNUMBER(FIND("Approver-1", patch[[#This Row],[comments]]))), "Review-1", "")</f>
        <v/>
      </c>
      <c r="AD9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66" s="7">
        <f>IF(ISBLANK(patch[[#This Row],[number]]),AE965,patch[[#This Row],[ifCommon]])</f>
        <v>0</v>
      </c>
    </row>
    <row r="967" spans="1:31">
      <c r="A967" s="151">
        <v>146475</v>
      </c>
      <c r="B967" s="151"/>
      <c r="C967" s="151"/>
      <c r="D967" s="151"/>
      <c r="E967" s="151"/>
      <c r="F967" s="151"/>
      <c r="G967" s="151"/>
      <c r="H967" s="151"/>
      <c r="I967" s="151"/>
      <c r="J967" s="152">
        <v>42634.753796296303</v>
      </c>
      <c r="K967" s="151"/>
      <c r="L967" s="151" t="s">
        <v>59</v>
      </c>
      <c r="M967" s="152">
        <v>42633.459976851853</v>
      </c>
      <c r="N967" s="151" t="s">
        <v>3095</v>
      </c>
      <c r="O967" s="151"/>
      <c r="P967" s="151"/>
      <c r="Q967" s="7" t="str">
        <f>IF(ISBLANK(patch[[#This Row],[OwnerEmail]]),Q966,patch[[#This Row],[OwnerEmail]])</f>
        <v>xi.cao@intel.com</v>
      </c>
      <c r="R967" s="7" t="str">
        <f>_xlfn.IFNA(VLOOKUP(patch[[#This Row],[tmp-owner.email]],OrgTree!$A:$K, 11, 0), "not ICG SWFW")</f>
        <v>BJ And dev</v>
      </c>
      <c r="S967" s="7" t="str">
        <f>IF(patch[[#This Row],[reviewer]]=patch[[#This Row],[tmp-owner.email]], "author", _xlfn.IFNA(VLOOKUP(patch[[#This Row],[reviewer]],OrgTree!$A:$K, 11, 0), "not ICG SWFW"))</f>
        <v>BJ And dev</v>
      </c>
      <c r="T967" s="7" t="str">
        <f>IF(ISBLANK(patch[[#This Row],[mergeDate]]), "", MID(YEAR(patch[[#This Row],[mergeDate]]), 3,2)&amp;"'ww"&amp;WEEKNUM(patch[[#This Row],[mergeDate]]))</f>
        <v>16'ww39</v>
      </c>
      <c r="U967" s="7" t="str">
        <f>IF(ISBLANK(patch[[#This Row],[mergeDate]]), U966, MID(YEAR(patch[[#This Row],[mergeDate]]), 3,2)&amp;"'m"&amp;MONTH(patch[[#This Row],[mergeDate]]))</f>
        <v>16'm9</v>
      </c>
      <c r="V967" s="7" t="str">
        <f>IF(ISBLANK(patch[[#This Row],[project]]), "",SUM(patch[[#This Row],[BJ -1 num]:[SH -1 num]]))</f>
        <v/>
      </c>
      <c r="W967" s="7" t="str">
        <f>IF(ISBLANK(patch[[#This Row],[project]]), "",COUNTIFS($A:$A,patch[[#This Row],[number]],$S:$S, "BJ And dev",$AC:$AC, "Review-1"))</f>
        <v/>
      </c>
      <c r="X967" s="7" t="str">
        <f>IF(ISBLANK(patch[[#This Row],[project]]), "",COUNTIFS($A:$A,patch[[#This Row],[number]],$S:$S, "FL And dev",$AC:$AC, "Review-1"))</f>
        <v/>
      </c>
      <c r="Y967" s="7" t="str">
        <f>IF(ISBLANK(patch[[#This Row],[project]]), "",COUNTIFS($A:$A,patch[[#This Row],[number]],$S:$S, "SH And dev",$AC:$AC, "Review-1"))</f>
        <v/>
      </c>
      <c r="Z967" s="7" t="str">
        <f>IF(ISBLANK(patch[[#This Row],[project]]), "",COUNTIFS($A:$A,patch[[#This Row],[number]],$S:$S, "BJ And dev",$AD:$AD, "&lt;&gt;IntegratorValidationComment"))</f>
        <v/>
      </c>
      <c r="AA967" s="7" t="str">
        <f>IF(ISBLANK(patch[[#This Row],[project]]), "",COUNTIFS($A:$A,patch[[#This Row],[number]],$S:$S, "FL And dev",$AD:$AD, "&lt;&gt;IntegratorValidationComment"))</f>
        <v/>
      </c>
      <c r="AB967" s="7" t="str">
        <f>IF(ISBLANK(patch[[#This Row],[project]]), "",COUNTIFS($A:$A,patch[[#This Row],[number]],$S:$S, "SH And dev",$AD:$AD, "&lt;&gt;IntegratorValidationComment"))</f>
        <v/>
      </c>
      <c r="AC967" s="7" t="str">
        <f>IF(OR(ISNUMBER(FIND("Review-1", patch[[#This Row],[comments]])), ISNUMBER(FIND("Approver-1", patch[[#This Row],[comments]]))), "Review-1", "")</f>
        <v/>
      </c>
      <c r="AD9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67" s="7">
        <f>IF(ISBLANK(patch[[#This Row],[number]]),AE966,patch[[#This Row],[ifCommon]])</f>
        <v>0</v>
      </c>
    </row>
    <row r="968" spans="1:31">
      <c r="A968" s="151">
        <v>146475</v>
      </c>
      <c r="B968" s="151"/>
      <c r="C968" s="151"/>
      <c r="D968" s="151"/>
      <c r="E968" s="151"/>
      <c r="F968" s="151"/>
      <c r="G968" s="151"/>
      <c r="H968" s="151"/>
      <c r="I968" s="151"/>
      <c r="J968" s="152">
        <v>42634.753796296303</v>
      </c>
      <c r="K968" s="151"/>
      <c r="L968" s="151" t="s">
        <v>1203</v>
      </c>
      <c r="M968" s="152">
        <v>42633.460243055553</v>
      </c>
      <c r="N968" s="151" t="s">
        <v>1829</v>
      </c>
      <c r="O968" s="151"/>
      <c r="P968" s="151"/>
      <c r="Q968" s="7" t="str">
        <f>IF(ISBLANK(patch[[#This Row],[OwnerEmail]]),Q967,patch[[#This Row],[OwnerEmail]])</f>
        <v>xi.cao@intel.com</v>
      </c>
      <c r="R968" s="7" t="str">
        <f>_xlfn.IFNA(VLOOKUP(patch[[#This Row],[tmp-owner.email]],OrgTree!$A:$K, 11, 0), "not ICG SWFW")</f>
        <v>BJ And dev</v>
      </c>
      <c r="S968" s="7" t="str">
        <f>IF(patch[[#This Row],[reviewer]]=patch[[#This Row],[tmp-owner.email]], "author", _xlfn.IFNA(VLOOKUP(patch[[#This Row],[reviewer]],OrgTree!$A:$K, 11, 0), "not ICG SWFW"))</f>
        <v>author</v>
      </c>
      <c r="T968" s="7" t="str">
        <f>IF(ISBLANK(patch[[#This Row],[mergeDate]]), "", MID(YEAR(patch[[#This Row],[mergeDate]]), 3,2)&amp;"'ww"&amp;WEEKNUM(patch[[#This Row],[mergeDate]]))</f>
        <v>16'ww39</v>
      </c>
      <c r="U968" s="7" t="str">
        <f>IF(ISBLANK(patch[[#This Row],[mergeDate]]), U967, MID(YEAR(patch[[#This Row],[mergeDate]]), 3,2)&amp;"'m"&amp;MONTH(patch[[#This Row],[mergeDate]]))</f>
        <v>16'm9</v>
      </c>
      <c r="V968" s="7" t="str">
        <f>IF(ISBLANK(patch[[#This Row],[project]]), "",SUM(patch[[#This Row],[BJ -1 num]:[SH -1 num]]))</f>
        <v/>
      </c>
      <c r="W968" s="7" t="str">
        <f>IF(ISBLANK(patch[[#This Row],[project]]), "",COUNTIFS($A:$A,patch[[#This Row],[number]],$S:$S, "BJ And dev",$AC:$AC, "Review-1"))</f>
        <v/>
      </c>
      <c r="X968" s="7" t="str">
        <f>IF(ISBLANK(patch[[#This Row],[project]]), "",COUNTIFS($A:$A,patch[[#This Row],[number]],$S:$S, "FL And dev",$AC:$AC, "Review-1"))</f>
        <v/>
      </c>
      <c r="Y968" s="7" t="str">
        <f>IF(ISBLANK(patch[[#This Row],[project]]), "",COUNTIFS($A:$A,patch[[#This Row],[number]],$S:$S, "SH And dev",$AC:$AC, "Review-1"))</f>
        <v/>
      </c>
      <c r="Z968" s="7" t="str">
        <f>IF(ISBLANK(patch[[#This Row],[project]]), "",COUNTIFS($A:$A,patch[[#This Row],[number]],$S:$S, "BJ And dev",$AD:$AD, "&lt;&gt;IntegratorValidationComment"))</f>
        <v/>
      </c>
      <c r="AA968" s="7" t="str">
        <f>IF(ISBLANK(patch[[#This Row],[project]]), "",COUNTIFS($A:$A,patch[[#This Row],[number]],$S:$S, "FL And dev",$AD:$AD, "&lt;&gt;IntegratorValidationComment"))</f>
        <v/>
      </c>
      <c r="AB968" s="7" t="str">
        <f>IF(ISBLANK(patch[[#This Row],[project]]), "",COUNTIFS($A:$A,patch[[#This Row],[number]],$S:$S, "SH And dev",$AD:$AD, "&lt;&gt;IntegratorValidationComment"))</f>
        <v/>
      </c>
      <c r="AC968" s="7" t="str">
        <f>IF(OR(ISNUMBER(FIND("Review-1", patch[[#This Row],[comments]])), ISNUMBER(FIND("Approver-1", patch[[#This Row],[comments]]))), "Review-1", "")</f>
        <v/>
      </c>
      <c r="AD9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68" s="7">
        <f>IF(ISBLANK(patch[[#This Row],[number]]),AE967,patch[[#This Row],[ifCommon]])</f>
        <v>0</v>
      </c>
    </row>
    <row r="969" spans="1:31">
      <c r="A969" s="151">
        <v>146475</v>
      </c>
      <c r="B969" s="151"/>
      <c r="C969" s="151"/>
      <c r="D969" s="151"/>
      <c r="E969" s="151"/>
      <c r="F969" s="151"/>
      <c r="G969" s="151"/>
      <c r="H969" s="151"/>
      <c r="I969" s="152"/>
      <c r="J969" s="152">
        <v>42634.753796296303</v>
      </c>
      <c r="K969" s="151"/>
      <c r="L969" s="151" t="s">
        <v>1203</v>
      </c>
      <c r="M969" s="152">
        <v>42633.460243055553</v>
      </c>
      <c r="N969" s="151" t="s">
        <v>2450</v>
      </c>
      <c r="O969" s="151"/>
      <c r="P969" s="151"/>
      <c r="Q969" s="7" t="str">
        <f>IF(ISBLANK(patch[[#This Row],[OwnerEmail]]),Q968,patch[[#This Row],[OwnerEmail]])</f>
        <v>xi.cao@intel.com</v>
      </c>
      <c r="R969" s="7" t="str">
        <f>_xlfn.IFNA(VLOOKUP(patch[[#This Row],[tmp-owner.email]],OrgTree!$A:$K, 11, 0), "not ICG SWFW")</f>
        <v>BJ And dev</v>
      </c>
      <c r="S969" s="7" t="str">
        <f>IF(patch[[#This Row],[reviewer]]=patch[[#This Row],[tmp-owner.email]], "author", _xlfn.IFNA(VLOOKUP(patch[[#This Row],[reviewer]],OrgTree!$A:$K, 11, 0), "not ICG SWFW"))</f>
        <v>author</v>
      </c>
      <c r="T969" s="7" t="str">
        <f>IF(ISBLANK(patch[[#This Row],[mergeDate]]), "", MID(YEAR(patch[[#This Row],[mergeDate]]), 3,2)&amp;"'ww"&amp;WEEKNUM(patch[[#This Row],[mergeDate]]))</f>
        <v>16'ww39</v>
      </c>
      <c r="U969" s="7" t="str">
        <f>IF(ISBLANK(patch[[#This Row],[mergeDate]]), U968, MID(YEAR(patch[[#This Row],[mergeDate]]), 3,2)&amp;"'m"&amp;MONTH(patch[[#This Row],[mergeDate]]))</f>
        <v>16'm9</v>
      </c>
      <c r="V969" s="7" t="str">
        <f>IF(ISBLANK(patch[[#This Row],[project]]), "",SUM(patch[[#This Row],[BJ -1 num]:[SH -1 num]]))</f>
        <v/>
      </c>
      <c r="W969" s="7" t="str">
        <f>IF(ISBLANK(patch[[#This Row],[project]]), "",COUNTIFS($A:$A,patch[[#This Row],[number]],$S:$S, "BJ And dev",$AC:$AC, "Review-1"))</f>
        <v/>
      </c>
      <c r="X969" s="7" t="str">
        <f>IF(ISBLANK(patch[[#This Row],[project]]), "",COUNTIFS($A:$A,patch[[#This Row],[number]],$S:$S, "FL And dev",$AC:$AC, "Review-1"))</f>
        <v/>
      </c>
      <c r="Y969" s="7" t="str">
        <f>IF(ISBLANK(patch[[#This Row],[project]]), "",COUNTIFS($A:$A,patch[[#This Row],[number]],$S:$S, "SH And dev",$AC:$AC, "Review-1"))</f>
        <v/>
      </c>
      <c r="Z969" s="7" t="str">
        <f>IF(ISBLANK(patch[[#This Row],[project]]), "",COUNTIFS($A:$A,patch[[#This Row],[number]],$S:$S, "BJ And dev",$AD:$AD, "&lt;&gt;IntegratorValidationComment"))</f>
        <v/>
      </c>
      <c r="AA969" s="7" t="str">
        <f>IF(ISBLANK(patch[[#This Row],[project]]), "",COUNTIFS($A:$A,patch[[#This Row],[number]],$S:$S, "FL And dev",$AD:$AD, "&lt;&gt;IntegratorValidationComment"))</f>
        <v/>
      </c>
      <c r="AB969" s="7" t="str">
        <f>IF(ISBLANK(patch[[#This Row],[project]]), "",COUNTIFS($A:$A,patch[[#This Row],[number]],$S:$S, "SH And dev",$AD:$AD, "&lt;&gt;IntegratorValidationComment"))</f>
        <v/>
      </c>
      <c r="AC969" s="7" t="str">
        <f>IF(OR(ISNUMBER(FIND("Review-1", patch[[#This Row],[comments]])), ISNUMBER(FIND("Approver-1", patch[[#This Row],[comments]]))), "Review-1", "")</f>
        <v/>
      </c>
      <c r="AD9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69" s="7">
        <f>IF(ISBLANK(patch[[#This Row],[number]]),AE968,patch[[#This Row],[ifCommon]])</f>
        <v>0</v>
      </c>
    </row>
    <row r="970" spans="1:31">
      <c r="A970" s="151">
        <v>146475</v>
      </c>
      <c r="B970" s="151"/>
      <c r="C970" s="151"/>
      <c r="D970" s="151"/>
      <c r="E970" s="151"/>
      <c r="F970" s="151"/>
      <c r="G970" s="151"/>
      <c r="H970" s="151"/>
      <c r="I970" s="151"/>
      <c r="J970" s="152">
        <v>42634.753796296303</v>
      </c>
      <c r="K970" s="151"/>
      <c r="L970" s="151" t="s">
        <v>59</v>
      </c>
      <c r="M970" s="152">
        <v>42633.46607638889</v>
      </c>
      <c r="N970" s="151" t="s">
        <v>3096</v>
      </c>
      <c r="O970" s="151"/>
      <c r="P970" s="151"/>
      <c r="Q970" s="7" t="str">
        <f>IF(ISBLANK(patch[[#This Row],[OwnerEmail]]),Q969,patch[[#This Row],[OwnerEmail]])</f>
        <v>xi.cao@intel.com</v>
      </c>
      <c r="R970" s="7" t="str">
        <f>_xlfn.IFNA(VLOOKUP(patch[[#This Row],[tmp-owner.email]],OrgTree!$A:$K, 11, 0), "not ICG SWFW")</f>
        <v>BJ And dev</v>
      </c>
      <c r="S970" s="7" t="str">
        <f>IF(patch[[#This Row],[reviewer]]=patch[[#This Row],[tmp-owner.email]], "author", _xlfn.IFNA(VLOOKUP(patch[[#This Row],[reviewer]],OrgTree!$A:$K, 11, 0), "not ICG SWFW"))</f>
        <v>BJ And dev</v>
      </c>
      <c r="T970" s="7" t="str">
        <f>IF(ISBLANK(patch[[#This Row],[mergeDate]]), "", MID(YEAR(patch[[#This Row],[mergeDate]]), 3,2)&amp;"'ww"&amp;WEEKNUM(patch[[#This Row],[mergeDate]]))</f>
        <v>16'ww39</v>
      </c>
      <c r="U970" s="7" t="str">
        <f>IF(ISBLANK(patch[[#This Row],[mergeDate]]), U969, MID(YEAR(patch[[#This Row],[mergeDate]]), 3,2)&amp;"'m"&amp;MONTH(patch[[#This Row],[mergeDate]]))</f>
        <v>16'm9</v>
      </c>
      <c r="V970" s="7" t="str">
        <f>IF(ISBLANK(patch[[#This Row],[project]]), "",SUM(patch[[#This Row],[BJ -1 num]:[SH -1 num]]))</f>
        <v/>
      </c>
      <c r="W970" s="7" t="str">
        <f>IF(ISBLANK(patch[[#This Row],[project]]), "",COUNTIFS($A:$A,patch[[#This Row],[number]],$S:$S, "BJ And dev",$AC:$AC, "Review-1"))</f>
        <v/>
      </c>
      <c r="X970" s="7" t="str">
        <f>IF(ISBLANK(patch[[#This Row],[project]]), "",COUNTIFS($A:$A,patch[[#This Row],[number]],$S:$S, "FL And dev",$AC:$AC, "Review-1"))</f>
        <v/>
      </c>
      <c r="Y970" s="7" t="str">
        <f>IF(ISBLANK(patch[[#This Row],[project]]), "",COUNTIFS($A:$A,patch[[#This Row],[number]],$S:$S, "SH And dev",$AC:$AC, "Review-1"))</f>
        <v/>
      </c>
      <c r="Z970" s="7" t="str">
        <f>IF(ISBLANK(patch[[#This Row],[project]]), "",COUNTIFS($A:$A,patch[[#This Row],[number]],$S:$S, "BJ And dev",$AD:$AD, "&lt;&gt;IntegratorValidationComment"))</f>
        <v/>
      </c>
      <c r="AA970" s="7" t="str">
        <f>IF(ISBLANK(patch[[#This Row],[project]]), "",COUNTIFS($A:$A,patch[[#This Row],[number]],$S:$S, "FL And dev",$AD:$AD, "&lt;&gt;IntegratorValidationComment"))</f>
        <v/>
      </c>
      <c r="AB970" s="7" t="str">
        <f>IF(ISBLANK(patch[[#This Row],[project]]), "",COUNTIFS($A:$A,patch[[#This Row],[number]],$S:$S, "SH And dev",$AD:$AD, "&lt;&gt;IntegratorValidationComment"))</f>
        <v/>
      </c>
      <c r="AC970" s="7" t="str">
        <f>IF(OR(ISNUMBER(FIND("Review-1", patch[[#This Row],[comments]])), ISNUMBER(FIND("Approver-1", patch[[#This Row],[comments]]))), "Review-1", "")</f>
        <v/>
      </c>
      <c r="AD9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70" s="7">
        <f>IF(ISBLANK(patch[[#This Row],[number]]),AE969,patch[[#This Row],[ifCommon]])</f>
        <v>0</v>
      </c>
    </row>
    <row r="971" spans="1:31">
      <c r="A971" s="151">
        <v>146475</v>
      </c>
      <c r="B971" s="151"/>
      <c r="C971" s="151"/>
      <c r="D971" s="151"/>
      <c r="E971" s="151"/>
      <c r="F971" s="151"/>
      <c r="G971" s="151"/>
      <c r="H971" s="151"/>
      <c r="I971" s="151"/>
      <c r="J971" s="152">
        <v>42634.753796296303</v>
      </c>
      <c r="K971" s="151"/>
      <c r="L971" s="151" t="s">
        <v>59</v>
      </c>
      <c r="M971" s="152">
        <v>42633.471944444442</v>
      </c>
      <c r="N971" s="151" t="s">
        <v>3097</v>
      </c>
      <c r="O971" s="151"/>
      <c r="P971" s="151"/>
      <c r="Q971" s="7" t="str">
        <f>IF(ISBLANK(patch[[#This Row],[OwnerEmail]]),Q970,patch[[#This Row],[OwnerEmail]])</f>
        <v>xi.cao@intel.com</v>
      </c>
      <c r="R971" s="7" t="str">
        <f>_xlfn.IFNA(VLOOKUP(patch[[#This Row],[tmp-owner.email]],OrgTree!$A:$K, 11, 0), "not ICG SWFW")</f>
        <v>BJ And dev</v>
      </c>
      <c r="S971" s="7" t="str">
        <f>IF(patch[[#This Row],[reviewer]]=patch[[#This Row],[tmp-owner.email]], "author", _xlfn.IFNA(VLOOKUP(patch[[#This Row],[reviewer]],OrgTree!$A:$K, 11, 0), "not ICG SWFW"))</f>
        <v>BJ And dev</v>
      </c>
      <c r="T971" s="7" t="str">
        <f>IF(ISBLANK(patch[[#This Row],[mergeDate]]), "", MID(YEAR(patch[[#This Row],[mergeDate]]), 3,2)&amp;"'ww"&amp;WEEKNUM(patch[[#This Row],[mergeDate]]))</f>
        <v>16'ww39</v>
      </c>
      <c r="U971" s="7" t="str">
        <f>IF(ISBLANK(patch[[#This Row],[mergeDate]]), U970, MID(YEAR(patch[[#This Row],[mergeDate]]), 3,2)&amp;"'m"&amp;MONTH(patch[[#This Row],[mergeDate]]))</f>
        <v>16'm9</v>
      </c>
      <c r="V971" s="7" t="str">
        <f>IF(ISBLANK(patch[[#This Row],[project]]), "",SUM(patch[[#This Row],[BJ -1 num]:[SH -1 num]]))</f>
        <v/>
      </c>
      <c r="W971" s="7" t="str">
        <f>IF(ISBLANK(patch[[#This Row],[project]]), "",COUNTIFS($A:$A,patch[[#This Row],[number]],$S:$S, "BJ And dev",$AC:$AC, "Review-1"))</f>
        <v/>
      </c>
      <c r="X971" s="7" t="str">
        <f>IF(ISBLANK(patch[[#This Row],[project]]), "",COUNTIFS($A:$A,patch[[#This Row],[number]],$S:$S, "FL And dev",$AC:$AC, "Review-1"))</f>
        <v/>
      </c>
      <c r="Y971" s="7" t="str">
        <f>IF(ISBLANK(patch[[#This Row],[project]]), "",COUNTIFS($A:$A,patch[[#This Row],[number]],$S:$S, "SH And dev",$AC:$AC, "Review-1"))</f>
        <v/>
      </c>
      <c r="Z971" s="7" t="str">
        <f>IF(ISBLANK(patch[[#This Row],[project]]), "",COUNTIFS($A:$A,patch[[#This Row],[number]],$S:$S, "BJ And dev",$AD:$AD, "&lt;&gt;IntegratorValidationComment"))</f>
        <v/>
      </c>
      <c r="AA971" s="7" t="str">
        <f>IF(ISBLANK(patch[[#This Row],[project]]), "",COUNTIFS($A:$A,patch[[#This Row],[number]],$S:$S, "FL And dev",$AD:$AD, "&lt;&gt;IntegratorValidationComment"))</f>
        <v/>
      </c>
      <c r="AB971" s="7" t="str">
        <f>IF(ISBLANK(patch[[#This Row],[project]]), "",COUNTIFS($A:$A,patch[[#This Row],[number]],$S:$S, "SH And dev",$AD:$AD, "&lt;&gt;IntegratorValidationComment"))</f>
        <v/>
      </c>
      <c r="AC971" s="7" t="str">
        <f>IF(OR(ISNUMBER(FIND("Review-1", patch[[#This Row],[comments]])), ISNUMBER(FIND("Approver-1", patch[[#This Row],[comments]]))), "Review-1", "")</f>
        <v/>
      </c>
      <c r="AD9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71" s="7">
        <f>IF(ISBLANK(patch[[#This Row],[number]]),AE970,patch[[#This Row],[ifCommon]])</f>
        <v>0</v>
      </c>
    </row>
    <row r="972" spans="1:31">
      <c r="A972" s="151">
        <v>146475</v>
      </c>
      <c r="B972" s="151"/>
      <c r="C972" s="151"/>
      <c r="D972" s="151"/>
      <c r="E972" s="151"/>
      <c r="F972" s="151"/>
      <c r="G972" s="151"/>
      <c r="H972" s="151"/>
      <c r="I972" s="151"/>
      <c r="J972" s="152">
        <v>42634.753796296303</v>
      </c>
      <c r="K972" s="151"/>
      <c r="L972" s="151" t="s">
        <v>1203</v>
      </c>
      <c r="M972" s="152">
        <v>42633.485034722216</v>
      </c>
      <c r="N972" s="151" t="s">
        <v>2451</v>
      </c>
      <c r="O972" s="151"/>
      <c r="P972" s="151"/>
      <c r="Q972" s="7" t="str">
        <f>IF(ISBLANK(patch[[#This Row],[OwnerEmail]]),Q971,patch[[#This Row],[OwnerEmail]])</f>
        <v>xi.cao@intel.com</v>
      </c>
      <c r="R972" s="7" t="str">
        <f>_xlfn.IFNA(VLOOKUP(patch[[#This Row],[tmp-owner.email]],OrgTree!$A:$K, 11, 0), "not ICG SWFW")</f>
        <v>BJ And dev</v>
      </c>
      <c r="S972" s="7" t="str">
        <f>IF(patch[[#This Row],[reviewer]]=patch[[#This Row],[tmp-owner.email]], "author", _xlfn.IFNA(VLOOKUP(patch[[#This Row],[reviewer]],OrgTree!$A:$K, 11, 0), "not ICG SWFW"))</f>
        <v>author</v>
      </c>
      <c r="T972" s="7" t="str">
        <f>IF(ISBLANK(patch[[#This Row],[mergeDate]]), "", MID(YEAR(patch[[#This Row],[mergeDate]]), 3,2)&amp;"'ww"&amp;WEEKNUM(patch[[#This Row],[mergeDate]]))</f>
        <v>16'ww39</v>
      </c>
      <c r="U972" s="7" t="str">
        <f>IF(ISBLANK(patch[[#This Row],[mergeDate]]), U971, MID(YEAR(patch[[#This Row],[mergeDate]]), 3,2)&amp;"'m"&amp;MONTH(patch[[#This Row],[mergeDate]]))</f>
        <v>16'm9</v>
      </c>
      <c r="V972" s="7" t="str">
        <f>IF(ISBLANK(patch[[#This Row],[project]]), "",SUM(patch[[#This Row],[BJ -1 num]:[SH -1 num]]))</f>
        <v/>
      </c>
      <c r="W972" s="7" t="str">
        <f>IF(ISBLANK(patch[[#This Row],[project]]), "",COUNTIFS($A:$A,patch[[#This Row],[number]],$S:$S, "BJ And dev",$AC:$AC, "Review-1"))</f>
        <v/>
      </c>
      <c r="X972" s="7" t="str">
        <f>IF(ISBLANK(patch[[#This Row],[project]]), "",COUNTIFS($A:$A,patch[[#This Row],[number]],$S:$S, "FL And dev",$AC:$AC, "Review-1"))</f>
        <v/>
      </c>
      <c r="Y972" s="7" t="str">
        <f>IF(ISBLANK(patch[[#This Row],[project]]), "",COUNTIFS($A:$A,patch[[#This Row],[number]],$S:$S, "SH And dev",$AC:$AC, "Review-1"))</f>
        <v/>
      </c>
      <c r="Z972" s="7" t="str">
        <f>IF(ISBLANK(patch[[#This Row],[project]]), "",COUNTIFS($A:$A,patch[[#This Row],[number]],$S:$S, "BJ And dev",$AD:$AD, "&lt;&gt;IntegratorValidationComment"))</f>
        <v/>
      </c>
      <c r="AA972" s="7" t="str">
        <f>IF(ISBLANK(patch[[#This Row],[project]]), "",COUNTIFS($A:$A,patch[[#This Row],[number]],$S:$S, "FL And dev",$AD:$AD, "&lt;&gt;IntegratorValidationComment"))</f>
        <v/>
      </c>
      <c r="AB972" s="7" t="str">
        <f>IF(ISBLANK(patch[[#This Row],[project]]), "",COUNTIFS($A:$A,patch[[#This Row],[number]],$S:$S, "SH And dev",$AD:$AD, "&lt;&gt;IntegratorValidationComment"))</f>
        <v/>
      </c>
      <c r="AC972" s="7" t="str">
        <f>IF(OR(ISNUMBER(FIND("Review-1", patch[[#This Row],[comments]])), ISNUMBER(FIND("Approver-1", patch[[#This Row],[comments]]))), "Review-1", "")</f>
        <v/>
      </c>
      <c r="AD9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72" s="7">
        <f>IF(ISBLANK(patch[[#This Row],[number]]),AE971,patch[[#This Row],[ifCommon]])</f>
        <v>0</v>
      </c>
    </row>
    <row r="973" spans="1:31">
      <c r="A973" s="151">
        <v>146475</v>
      </c>
      <c r="B973" s="151"/>
      <c r="C973" s="151"/>
      <c r="D973" s="151"/>
      <c r="E973" s="151"/>
      <c r="F973" s="151"/>
      <c r="G973" s="151"/>
      <c r="H973" s="151"/>
      <c r="I973" s="151"/>
      <c r="J973" s="152">
        <v>42634.753796296303</v>
      </c>
      <c r="K973" s="151"/>
      <c r="L973" s="151" t="s">
        <v>1203</v>
      </c>
      <c r="M973" s="152">
        <v>42633.485034722216</v>
      </c>
      <c r="N973" s="151" t="s">
        <v>49</v>
      </c>
      <c r="O973" s="151"/>
      <c r="P973" s="151"/>
      <c r="Q973" s="7" t="str">
        <f>IF(ISBLANK(patch[[#This Row],[OwnerEmail]]),Q972,patch[[#This Row],[OwnerEmail]])</f>
        <v>xi.cao@intel.com</v>
      </c>
      <c r="R973" s="7" t="str">
        <f>_xlfn.IFNA(VLOOKUP(patch[[#This Row],[tmp-owner.email]],OrgTree!$A:$K, 11, 0), "not ICG SWFW")</f>
        <v>BJ And dev</v>
      </c>
      <c r="S973" s="7" t="str">
        <f>IF(patch[[#This Row],[reviewer]]=patch[[#This Row],[tmp-owner.email]], "author", _xlfn.IFNA(VLOOKUP(patch[[#This Row],[reviewer]],OrgTree!$A:$K, 11, 0), "not ICG SWFW"))</f>
        <v>author</v>
      </c>
      <c r="T973" s="7" t="str">
        <f>IF(ISBLANK(patch[[#This Row],[mergeDate]]), "", MID(YEAR(patch[[#This Row],[mergeDate]]), 3,2)&amp;"'ww"&amp;WEEKNUM(patch[[#This Row],[mergeDate]]))</f>
        <v>16'ww39</v>
      </c>
      <c r="U973" s="7" t="str">
        <f>IF(ISBLANK(patch[[#This Row],[mergeDate]]), U972, MID(YEAR(patch[[#This Row],[mergeDate]]), 3,2)&amp;"'m"&amp;MONTH(patch[[#This Row],[mergeDate]]))</f>
        <v>16'm9</v>
      </c>
      <c r="V973" s="7" t="str">
        <f>IF(ISBLANK(patch[[#This Row],[project]]), "",SUM(patch[[#This Row],[BJ -1 num]:[SH -1 num]]))</f>
        <v/>
      </c>
      <c r="W973" s="7" t="str">
        <f>IF(ISBLANK(patch[[#This Row],[project]]), "",COUNTIFS($A:$A,patch[[#This Row],[number]],$S:$S, "BJ And dev",$AC:$AC, "Review-1"))</f>
        <v/>
      </c>
      <c r="X973" s="7" t="str">
        <f>IF(ISBLANK(patch[[#This Row],[project]]), "",COUNTIFS($A:$A,patch[[#This Row],[number]],$S:$S, "FL And dev",$AC:$AC, "Review-1"))</f>
        <v/>
      </c>
      <c r="Y973" s="7" t="str">
        <f>IF(ISBLANK(patch[[#This Row],[project]]), "",COUNTIFS($A:$A,patch[[#This Row],[number]],$S:$S, "SH And dev",$AC:$AC, "Review-1"))</f>
        <v/>
      </c>
      <c r="Z973" s="7" t="str">
        <f>IF(ISBLANK(patch[[#This Row],[project]]), "",COUNTIFS($A:$A,patch[[#This Row],[number]],$S:$S, "BJ And dev",$AD:$AD, "&lt;&gt;IntegratorValidationComment"))</f>
        <v/>
      </c>
      <c r="AA973" s="7" t="str">
        <f>IF(ISBLANK(patch[[#This Row],[project]]), "",COUNTIFS($A:$A,patch[[#This Row],[number]],$S:$S, "FL And dev",$AD:$AD, "&lt;&gt;IntegratorValidationComment"))</f>
        <v/>
      </c>
      <c r="AB973" s="7" t="str">
        <f>IF(ISBLANK(patch[[#This Row],[project]]), "",COUNTIFS($A:$A,patch[[#This Row],[number]],$S:$S, "SH And dev",$AD:$AD, "&lt;&gt;IntegratorValidationComment"))</f>
        <v/>
      </c>
      <c r="AC973" s="7" t="str">
        <f>IF(OR(ISNUMBER(FIND("Review-1", patch[[#This Row],[comments]])), ISNUMBER(FIND("Approver-1", patch[[#This Row],[comments]]))), "Review-1", "")</f>
        <v/>
      </c>
      <c r="AD9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73" s="7">
        <f>IF(ISBLANK(patch[[#This Row],[number]]),AE972,patch[[#This Row],[ifCommon]])</f>
        <v>0</v>
      </c>
    </row>
    <row r="974" spans="1:31">
      <c r="A974" s="151">
        <v>146475</v>
      </c>
      <c r="B974" s="151"/>
      <c r="C974" s="151"/>
      <c r="D974" s="151"/>
      <c r="E974" s="151"/>
      <c r="F974" s="151"/>
      <c r="G974" s="151"/>
      <c r="H974" s="151"/>
      <c r="I974" s="151"/>
      <c r="J974" s="152">
        <v>42634.753796296303</v>
      </c>
      <c r="K974" s="151"/>
      <c r="L974" s="151" t="s">
        <v>59</v>
      </c>
      <c r="M974" s="152">
        <v>42633.487187500003</v>
      </c>
      <c r="N974" s="151" t="s">
        <v>3098</v>
      </c>
      <c r="O974" s="151"/>
      <c r="P974" s="151"/>
      <c r="Q974" s="7" t="str">
        <f>IF(ISBLANK(patch[[#This Row],[OwnerEmail]]),Q973,patch[[#This Row],[OwnerEmail]])</f>
        <v>xi.cao@intel.com</v>
      </c>
      <c r="R974" s="7" t="str">
        <f>_xlfn.IFNA(VLOOKUP(patch[[#This Row],[tmp-owner.email]],OrgTree!$A:$K, 11, 0), "not ICG SWFW")</f>
        <v>BJ And dev</v>
      </c>
      <c r="S974" s="7" t="str">
        <f>IF(patch[[#This Row],[reviewer]]=patch[[#This Row],[tmp-owner.email]], "author", _xlfn.IFNA(VLOOKUP(patch[[#This Row],[reviewer]],OrgTree!$A:$K, 11, 0), "not ICG SWFW"))</f>
        <v>BJ And dev</v>
      </c>
      <c r="T974" s="7" t="str">
        <f>IF(ISBLANK(patch[[#This Row],[mergeDate]]), "", MID(YEAR(patch[[#This Row],[mergeDate]]), 3,2)&amp;"'ww"&amp;WEEKNUM(patch[[#This Row],[mergeDate]]))</f>
        <v>16'ww39</v>
      </c>
      <c r="U974" s="7" t="str">
        <f>IF(ISBLANK(patch[[#This Row],[mergeDate]]), U973, MID(YEAR(patch[[#This Row],[mergeDate]]), 3,2)&amp;"'m"&amp;MONTH(patch[[#This Row],[mergeDate]]))</f>
        <v>16'm9</v>
      </c>
      <c r="V974" s="7" t="str">
        <f>IF(ISBLANK(patch[[#This Row],[project]]), "",SUM(patch[[#This Row],[BJ -1 num]:[SH -1 num]]))</f>
        <v/>
      </c>
      <c r="W974" s="7" t="str">
        <f>IF(ISBLANK(patch[[#This Row],[project]]), "",COUNTIFS($A:$A,patch[[#This Row],[number]],$S:$S, "BJ And dev",$AC:$AC, "Review-1"))</f>
        <v/>
      </c>
      <c r="X974" s="7" t="str">
        <f>IF(ISBLANK(patch[[#This Row],[project]]), "",COUNTIFS($A:$A,patch[[#This Row],[number]],$S:$S, "FL And dev",$AC:$AC, "Review-1"))</f>
        <v/>
      </c>
      <c r="Y974" s="7" t="str">
        <f>IF(ISBLANK(patch[[#This Row],[project]]), "",COUNTIFS($A:$A,patch[[#This Row],[number]],$S:$S, "SH And dev",$AC:$AC, "Review-1"))</f>
        <v/>
      </c>
      <c r="Z974" s="7" t="str">
        <f>IF(ISBLANK(patch[[#This Row],[project]]), "",COUNTIFS($A:$A,patch[[#This Row],[number]],$S:$S, "BJ And dev",$AD:$AD, "&lt;&gt;IntegratorValidationComment"))</f>
        <v/>
      </c>
      <c r="AA974" s="7" t="str">
        <f>IF(ISBLANK(patch[[#This Row],[project]]), "",COUNTIFS($A:$A,patch[[#This Row],[number]],$S:$S, "FL And dev",$AD:$AD, "&lt;&gt;IntegratorValidationComment"))</f>
        <v/>
      </c>
      <c r="AB974" s="7" t="str">
        <f>IF(ISBLANK(patch[[#This Row],[project]]), "",COUNTIFS($A:$A,patch[[#This Row],[number]],$S:$S, "SH And dev",$AD:$AD, "&lt;&gt;IntegratorValidationComment"))</f>
        <v/>
      </c>
      <c r="AC974" s="7" t="str">
        <f>IF(OR(ISNUMBER(FIND("Review-1", patch[[#This Row],[comments]])), ISNUMBER(FIND("Approver-1", patch[[#This Row],[comments]]))), "Review-1", "")</f>
        <v/>
      </c>
      <c r="AD9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74" s="7">
        <f>IF(ISBLANK(patch[[#This Row],[number]]),AE973,patch[[#This Row],[ifCommon]])</f>
        <v>0</v>
      </c>
    </row>
    <row r="975" spans="1:31">
      <c r="A975" s="151">
        <v>146475</v>
      </c>
      <c r="B975" s="151"/>
      <c r="C975" s="151"/>
      <c r="D975" s="151"/>
      <c r="E975" s="151"/>
      <c r="F975" s="151"/>
      <c r="G975" s="151"/>
      <c r="H975" s="151"/>
      <c r="I975" s="152"/>
      <c r="J975" s="152">
        <v>42634.753796296303</v>
      </c>
      <c r="K975" s="151"/>
      <c r="L975" s="151" t="s">
        <v>1203</v>
      </c>
      <c r="M975" s="152">
        <v>42633.489398148151</v>
      </c>
      <c r="N975" s="151" t="s">
        <v>31</v>
      </c>
      <c r="O975" s="151"/>
      <c r="P975" s="151"/>
      <c r="Q975" s="7" t="str">
        <f>IF(ISBLANK(patch[[#This Row],[OwnerEmail]]),Q974,patch[[#This Row],[OwnerEmail]])</f>
        <v>xi.cao@intel.com</v>
      </c>
      <c r="R975" s="7" t="str">
        <f>_xlfn.IFNA(VLOOKUP(patch[[#This Row],[tmp-owner.email]],OrgTree!$A:$K, 11, 0), "not ICG SWFW")</f>
        <v>BJ And dev</v>
      </c>
      <c r="S975" s="7" t="str">
        <f>IF(patch[[#This Row],[reviewer]]=patch[[#This Row],[tmp-owner.email]], "author", _xlfn.IFNA(VLOOKUP(patch[[#This Row],[reviewer]],OrgTree!$A:$K, 11, 0), "not ICG SWFW"))</f>
        <v>author</v>
      </c>
      <c r="T975" s="7" t="str">
        <f>IF(ISBLANK(patch[[#This Row],[mergeDate]]), "", MID(YEAR(patch[[#This Row],[mergeDate]]), 3,2)&amp;"'ww"&amp;WEEKNUM(patch[[#This Row],[mergeDate]]))</f>
        <v>16'ww39</v>
      </c>
      <c r="U975" s="7" t="str">
        <f>IF(ISBLANK(patch[[#This Row],[mergeDate]]), U974, MID(YEAR(patch[[#This Row],[mergeDate]]), 3,2)&amp;"'m"&amp;MONTH(patch[[#This Row],[mergeDate]]))</f>
        <v>16'm9</v>
      </c>
      <c r="V975" s="7" t="str">
        <f>IF(ISBLANK(patch[[#This Row],[project]]), "",SUM(patch[[#This Row],[BJ -1 num]:[SH -1 num]]))</f>
        <v/>
      </c>
      <c r="W975" s="7" t="str">
        <f>IF(ISBLANK(patch[[#This Row],[project]]), "",COUNTIFS($A:$A,patch[[#This Row],[number]],$S:$S, "BJ And dev",$AC:$AC, "Review-1"))</f>
        <v/>
      </c>
      <c r="X975" s="7" t="str">
        <f>IF(ISBLANK(patch[[#This Row],[project]]), "",COUNTIFS($A:$A,patch[[#This Row],[number]],$S:$S, "FL And dev",$AC:$AC, "Review-1"))</f>
        <v/>
      </c>
      <c r="Y975" s="7" t="str">
        <f>IF(ISBLANK(patch[[#This Row],[project]]), "",COUNTIFS($A:$A,patch[[#This Row],[number]],$S:$S, "SH And dev",$AC:$AC, "Review-1"))</f>
        <v/>
      </c>
      <c r="Z975" s="7" t="str">
        <f>IF(ISBLANK(patch[[#This Row],[project]]), "",COUNTIFS($A:$A,patch[[#This Row],[number]],$S:$S, "BJ And dev",$AD:$AD, "&lt;&gt;IntegratorValidationComment"))</f>
        <v/>
      </c>
      <c r="AA975" s="7" t="str">
        <f>IF(ISBLANK(patch[[#This Row],[project]]), "",COUNTIFS($A:$A,patch[[#This Row],[number]],$S:$S, "FL And dev",$AD:$AD, "&lt;&gt;IntegratorValidationComment"))</f>
        <v/>
      </c>
      <c r="AB975" s="7" t="str">
        <f>IF(ISBLANK(patch[[#This Row],[project]]), "",COUNTIFS($A:$A,patch[[#This Row],[number]],$S:$S, "SH And dev",$AD:$AD, "&lt;&gt;IntegratorValidationComment"))</f>
        <v/>
      </c>
      <c r="AC975" s="7" t="str">
        <f>IF(OR(ISNUMBER(FIND("Review-1", patch[[#This Row],[comments]])), ISNUMBER(FIND("Approver-1", patch[[#This Row],[comments]]))), "Review-1", "")</f>
        <v/>
      </c>
      <c r="AD9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75" s="7">
        <f>IF(ISBLANK(patch[[#This Row],[number]]),AE974,patch[[#This Row],[ifCommon]])</f>
        <v>0</v>
      </c>
    </row>
    <row r="976" spans="1:31">
      <c r="A976" s="151">
        <v>146475</v>
      </c>
      <c r="B976" s="151"/>
      <c r="C976" s="151"/>
      <c r="D976" s="151"/>
      <c r="E976" s="151"/>
      <c r="F976" s="151"/>
      <c r="G976" s="151"/>
      <c r="H976" s="151"/>
      <c r="I976" s="151"/>
      <c r="J976" s="152">
        <v>42634.753796296303</v>
      </c>
      <c r="K976" s="151"/>
      <c r="L976" s="151" t="s">
        <v>32</v>
      </c>
      <c r="M976" s="152">
        <v>42633.494571759264</v>
      </c>
      <c r="N976" s="151" t="s">
        <v>31</v>
      </c>
      <c r="O976" s="151"/>
      <c r="P976" s="151"/>
      <c r="Q976" s="7" t="str">
        <f>IF(ISBLANK(patch[[#This Row],[OwnerEmail]]),Q975,patch[[#This Row],[OwnerEmail]])</f>
        <v>xi.cao@intel.com</v>
      </c>
      <c r="R976" s="7" t="str">
        <f>_xlfn.IFNA(VLOOKUP(patch[[#This Row],[tmp-owner.email]],OrgTree!$A:$K, 11, 0), "not ICG SWFW")</f>
        <v>BJ And dev</v>
      </c>
      <c r="S976" s="7" t="str">
        <f>IF(patch[[#This Row],[reviewer]]=patch[[#This Row],[tmp-owner.email]], "author", _xlfn.IFNA(VLOOKUP(patch[[#This Row],[reviewer]],OrgTree!$A:$K, 11, 0), "not ICG SWFW"))</f>
        <v>BJ And dev</v>
      </c>
      <c r="T976" s="7" t="str">
        <f>IF(ISBLANK(patch[[#This Row],[mergeDate]]), "", MID(YEAR(patch[[#This Row],[mergeDate]]), 3,2)&amp;"'ww"&amp;WEEKNUM(patch[[#This Row],[mergeDate]]))</f>
        <v>16'ww39</v>
      </c>
      <c r="U976" s="7" t="str">
        <f>IF(ISBLANK(patch[[#This Row],[mergeDate]]), U975, MID(YEAR(patch[[#This Row],[mergeDate]]), 3,2)&amp;"'m"&amp;MONTH(patch[[#This Row],[mergeDate]]))</f>
        <v>16'm9</v>
      </c>
      <c r="V976" s="7" t="str">
        <f>IF(ISBLANK(patch[[#This Row],[project]]), "",SUM(patch[[#This Row],[BJ -1 num]:[SH -1 num]]))</f>
        <v/>
      </c>
      <c r="W976" s="7" t="str">
        <f>IF(ISBLANK(patch[[#This Row],[project]]), "",COUNTIFS($A:$A,patch[[#This Row],[number]],$S:$S, "BJ And dev",$AC:$AC, "Review-1"))</f>
        <v/>
      </c>
      <c r="X976" s="7" t="str">
        <f>IF(ISBLANK(patch[[#This Row],[project]]), "",COUNTIFS($A:$A,patch[[#This Row],[number]],$S:$S, "FL And dev",$AC:$AC, "Review-1"))</f>
        <v/>
      </c>
      <c r="Y976" s="7" t="str">
        <f>IF(ISBLANK(patch[[#This Row],[project]]), "",COUNTIFS($A:$A,patch[[#This Row],[number]],$S:$S, "SH And dev",$AC:$AC, "Review-1"))</f>
        <v/>
      </c>
      <c r="Z976" s="7" t="str">
        <f>IF(ISBLANK(patch[[#This Row],[project]]), "",COUNTIFS($A:$A,patch[[#This Row],[number]],$S:$S, "BJ And dev",$AD:$AD, "&lt;&gt;IntegratorValidationComment"))</f>
        <v/>
      </c>
      <c r="AA976" s="7" t="str">
        <f>IF(ISBLANK(patch[[#This Row],[project]]), "",COUNTIFS($A:$A,patch[[#This Row],[number]],$S:$S, "FL And dev",$AD:$AD, "&lt;&gt;IntegratorValidationComment"))</f>
        <v/>
      </c>
      <c r="AB976" s="7" t="str">
        <f>IF(ISBLANK(patch[[#This Row],[project]]), "",COUNTIFS($A:$A,patch[[#This Row],[number]],$S:$S, "SH And dev",$AD:$AD, "&lt;&gt;IntegratorValidationComment"))</f>
        <v/>
      </c>
      <c r="AC976" s="7" t="str">
        <f>IF(OR(ISNUMBER(FIND("Review-1", patch[[#This Row],[comments]])), ISNUMBER(FIND("Approver-1", patch[[#This Row],[comments]]))), "Review-1", "")</f>
        <v/>
      </c>
      <c r="AD9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76" s="7">
        <f>IF(ISBLANK(patch[[#This Row],[number]]),AE975,patch[[#This Row],[ifCommon]])</f>
        <v>0</v>
      </c>
    </row>
    <row r="977" spans="1:31">
      <c r="A977" s="151">
        <v>146475</v>
      </c>
      <c r="B977" s="151"/>
      <c r="C977" s="151"/>
      <c r="D977" s="151"/>
      <c r="E977" s="151"/>
      <c r="F977" s="151"/>
      <c r="G977" s="151"/>
      <c r="H977" s="151"/>
      <c r="I977" s="151"/>
      <c r="J977" s="152">
        <v>42634.753796296303</v>
      </c>
      <c r="K977" s="151"/>
      <c r="L977" s="151" t="s">
        <v>59</v>
      </c>
      <c r="M977" s="152">
        <v>42633.504976851851</v>
      </c>
      <c r="N977" s="151" t="s">
        <v>3099</v>
      </c>
      <c r="O977" s="151"/>
      <c r="P977" s="151"/>
      <c r="Q977" s="7" t="str">
        <f>IF(ISBLANK(patch[[#This Row],[OwnerEmail]]),Q976,patch[[#This Row],[OwnerEmail]])</f>
        <v>xi.cao@intel.com</v>
      </c>
      <c r="R977" s="7" t="str">
        <f>_xlfn.IFNA(VLOOKUP(patch[[#This Row],[tmp-owner.email]],OrgTree!$A:$K, 11, 0), "not ICG SWFW")</f>
        <v>BJ And dev</v>
      </c>
      <c r="S977" s="7" t="str">
        <f>IF(patch[[#This Row],[reviewer]]=patch[[#This Row],[tmp-owner.email]], "author", _xlfn.IFNA(VLOOKUP(patch[[#This Row],[reviewer]],OrgTree!$A:$K, 11, 0), "not ICG SWFW"))</f>
        <v>BJ And dev</v>
      </c>
      <c r="T977" s="7" t="str">
        <f>IF(ISBLANK(patch[[#This Row],[mergeDate]]), "", MID(YEAR(patch[[#This Row],[mergeDate]]), 3,2)&amp;"'ww"&amp;WEEKNUM(patch[[#This Row],[mergeDate]]))</f>
        <v>16'ww39</v>
      </c>
      <c r="U977" s="7" t="str">
        <f>IF(ISBLANK(patch[[#This Row],[mergeDate]]), U976, MID(YEAR(patch[[#This Row],[mergeDate]]), 3,2)&amp;"'m"&amp;MONTH(patch[[#This Row],[mergeDate]]))</f>
        <v>16'm9</v>
      </c>
      <c r="V977" s="7" t="str">
        <f>IF(ISBLANK(patch[[#This Row],[project]]), "",SUM(patch[[#This Row],[BJ -1 num]:[SH -1 num]]))</f>
        <v/>
      </c>
      <c r="W977" s="7" t="str">
        <f>IF(ISBLANK(patch[[#This Row],[project]]), "",COUNTIFS($A:$A,patch[[#This Row],[number]],$S:$S, "BJ And dev",$AC:$AC, "Review-1"))</f>
        <v/>
      </c>
      <c r="X977" s="7" t="str">
        <f>IF(ISBLANK(patch[[#This Row],[project]]), "",COUNTIFS($A:$A,patch[[#This Row],[number]],$S:$S, "FL And dev",$AC:$AC, "Review-1"))</f>
        <v/>
      </c>
      <c r="Y977" s="7" t="str">
        <f>IF(ISBLANK(patch[[#This Row],[project]]), "",COUNTIFS($A:$A,patch[[#This Row],[number]],$S:$S, "SH And dev",$AC:$AC, "Review-1"))</f>
        <v/>
      </c>
      <c r="Z977" s="7" t="str">
        <f>IF(ISBLANK(patch[[#This Row],[project]]), "",COUNTIFS($A:$A,patch[[#This Row],[number]],$S:$S, "BJ And dev",$AD:$AD, "&lt;&gt;IntegratorValidationComment"))</f>
        <v/>
      </c>
      <c r="AA977" s="7" t="str">
        <f>IF(ISBLANK(patch[[#This Row],[project]]), "",COUNTIFS($A:$A,patch[[#This Row],[number]],$S:$S, "FL And dev",$AD:$AD, "&lt;&gt;IntegratorValidationComment"))</f>
        <v/>
      </c>
      <c r="AB977" s="7" t="str">
        <f>IF(ISBLANK(patch[[#This Row],[project]]), "",COUNTIFS($A:$A,patch[[#This Row],[number]],$S:$S, "SH And dev",$AD:$AD, "&lt;&gt;IntegratorValidationComment"))</f>
        <v/>
      </c>
      <c r="AC977" s="7" t="str">
        <f>IF(OR(ISNUMBER(FIND("Review-1", patch[[#This Row],[comments]])), ISNUMBER(FIND("Approver-1", patch[[#This Row],[comments]]))), "Review-1", "")</f>
        <v/>
      </c>
      <c r="AD9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77" s="7">
        <f>IF(ISBLANK(patch[[#This Row],[number]]),AE976,patch[[#This Row],[ifCommon]])</f>
        <v>0</v>
      </c>
    </row>
    <row r="978" spans="1:31">
      <c r="A978" s="151">
        <v>146475</v>
      </c>
      <c r="B978" s="151"/>
      <c r="C978" s="151"/>
      <c r="D978" s="151"/>
      <c r="E978" s="151"/>
      <c r="F978" s="151"/>
      <c r="G978" s="151"/>
      <c r="H978" s="151"/>
      <c r="I978" s="151"/>
      <c r="J978" s="152">
        <v>42634.753796296303</v>
      </c>
      <c r="K978" s="151"/>
      <c r="L978" s="151" t="s">
        <v>59</v>
      </c>
      <c r="M978" s="152">
        <v>42633.600717592592</v>
      </c>
      <c r="N978" s="151" t="s">
        <v>31</v>
      </c>
      <c r="O978" s="151"/>
      <c r="P978" s="151"/>
      <c r="Q978" s="7" t="str">
        <f>IF(ISBLANK(patch[[#This Row],[OwnerEmail]]),Q977,patch[[#This Row],[OwnerEmail]])</f>
        <v>xi.cao@intel.com</v>
      </c>
      <c r="R978" s="7" t="str">
        <f>_xlfn.IFNA(VLOOKUP(patch[[#This Row],[tmp-owner.email]],OrgTree!$A:$K, 11, 0), "not ICG SWFW")</f>
        <v>BJ And dev</v>
      </c>
      <c r="S978" s="7" t="str">
        <f>IF(patch[[#This Row],[reviewer]]=patch[[#This Row],[tmp-owner.email]], "author", _xlfn.IFNA(VLOOKUP(patch[[#This Row],[reviewer]],OrgTree!$A:$K, 11, 0), "not ICG SWFW"))</f>
        <v>BJ And dev</v>
      </c>
      <c r="T978" s="7" t="str">
        <f>IF(ISBLANK(patch[[#This Row],[mergeDate]]), "", MID(YEAR(patch[[#This Row],[mergeDate]]), 3,2)&amp;"'ww"&amp;WEEKNUM(patch[[#This Row],[mergeDate]]))</f>
        <v>16'ww39</v>
      </c>
      <c r="U978" s="7" t="str">
        <f>IF(ISBLANK(patch[[#This Row],[mergeDate]]), U977, MID(YEAR(patch[[#This Row],[mergeDate]]), 3,2)&amp;"'m"&amp;MONTH(patch[[#This Row],[mergeDate]]))</f>
        <v>16'm9</v>
      </c>
      <c r="V978" s="7" t="str">
        <f>IF(ISBLANK(patch[[#This Row],[project]]), "",SUM(patch[[#This Row],[BJ -1 num]:[SH -1 num]]))</f>
        <v/>
      </c>
      <c r="W978" s="7" t="str">
        <f>IF(ISBLANK(patch[[#This Row],[project]]), "",COUNTIFS($A:$A,patch[[#This Row],[number]],$S:$S, "BJ And dev",$AC:$AC, "Review-1"))</f>
        <v/>
      </c>
      <c r="X978" s="7" t="str">
        <f>IF(ISBLANK(patch[[#This Row],[project]]), "",COUNTIFS($A:$A,patch[[#This Row],[number]],$S:$S, "FL And dev",$AC:$AC, "Review-1"))</f>
        <v/>
      </c>
      <c r="Y978" s="7" t="str">
        <f>IF(ISBLANK(patch[[#This Row],[project]]), "",COUNTIFS($A:$A,patch[[#This Row],[number]],$S:$S, "SH And dev",$AC:$AC, "Review-1"))</f>
        <v/>
      </c>
      <c r="Z978" s="7" t="str">
        <f>IF(ISBLANK(patch[[#This Row],[project]]), "",COUNTIFS($A:$A,patch[[#This Row],[number]],$S:$S, "BJ And dev",$AD:$AD, "&lt;&gt;IntegratorValidationComment"))</f>
        <v/>
      </c>
      <c r="AA978" s="7" t="str">
        <f>IF(ISBLANK(patch[[#This Row],[project]]), "",COUNTIFS($A:$A,patch[[#This Row],[number]],$S:$S, "FL And dev",$AD:$AD, "&lt;&gt;IntegratorValidationComment"))</f>
        <v/>
      </c>
      <c r="AB978" s="7" t="str">
        <f>IF(ISBLANK(patch[[#This Row],[project]]), "",COUNTIFS($A:$A,patch[[#This Row],[number]],$S:$S, "SH And dev",$AD:$AD, "&lt;&gt;IntegratorValidationComment"))</f>
        <v/>
      </c>
      <c r="AC978" s="7" t="str">
        <f>IF(OR(ISNUMBER(FIND("Review-1", patch[[#This Row],[comments]])), ISNUMBER(FIND("Approver-1", patch[[#This Row],[comments]]))), "Review-1", "")</f>
        <v/>
      </c>
      <c r="AD9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78" s="7">
        <f>IF(ISBLANK(patch[[#This Row],[number]]),AE977,patch[[#This Row],[ifCommon]])</f>
        <v>0</v>
      </c>
    </row>
    <row r="979" spans="1:31">
      <c r="A979" s="151">
        <v>146475</v>
      </c>
      <c r="B979" s="151"/>
      <c r="C979" s="151"/>
      <c r="D979" s="151"/>
      <c r="E979" s="151"/>
      <c r="F979" s="151"/>
      <c r="G979" s="151"/>
      <c r="H979" s="151"/>
      <c r="I979" s="151"/>
      <c r="J979" s="152">
        <v>42634.753796296303</v>
      </c>
      <c r="K979" s="151"/>
      <c r="L979" s="151" t="s">
        <v>59</v>
      </c>
      <c r="M979" s="152">
        <v>42633.624548611107</v>
      </c>
      <c r="N979" s="151" t="s">
        <v>1898</v>
      </c>
      <c r="O979" s="151"/>
      <c r="P979" s="151"/>
      <c r="Q979" s="7" t="str">
        <f>IF(ISBLANK(patch[[#This Row],[OwnerEmail]]),Q978,patch[[#This Row],[OwnerEmail]])</f>
        <v>xi.cao@intel.com</v>
      </c>
      <c r="R979" s="7" t="str">
        <f>_xlfn.IFNA(VLOOKUP(patch[[#This Row],[tmp-owner.email]],OrgTree!$A:$K, 11, 0), "not ICG SWFW")</f>
        <v>BJ And dev</v>
      </c>
      <c r="S979" s="7" t="str">
        <f>IF(patch[[#This Row],[reviewer]]=patch[[#This Row],[tmp-owner.email]], "author", _xlfn.IFNA(VLOOKUP(patch[[#This Row],[reviewer]],OrgTree!$A:$K, 11, 0), "not ICG SWFW"))</f>
        <v>BJ And dev</v>
      </c>
      <c r="T979" s="7" t="str">
        <f>IF(ISBLANK(patch[[#This Row],[mergeDate]]), "", MID(YEAR(patch[[#This Row],[mergeDate]]), 3,2)&amp;"'ww"&amp;WEEKNUM(patch[[#This Row],[mergeDate]]))</f>
        <v>16'ww39</v>
      </c>
      <c r="U979" s="7" t="str">
        <f>IF(ISBLANK(patch[[#This Row],[mergeDate]]), U978, MID(YEAR(patch[[#This Row],[mergeDate]]), 3,2)&amp;"'m"&amp;MONTH(patch[[#This Row],[mergeDate]]))</f>
        <v>16'm9</v>
      </c>
      <c r="V979" s="7" t="str">
        <f>IF(ISBLANK(patch[[#This Row],[project]]), "",SUM(patch[[#This Row],[BJ -1 num]:[SH -1 num]]))</f>
        <v/>
      </c>
      <c r="W979" s="7" t="str">
        <f>IF(ISBLANK(patch[[#This Row],[project]]), "",COUNTIFS($A:$A,patch[[#This Row],[number]],$S:$S, "BJ And dev",$AC:$AC, "Review-1"))</f>
        <v/>
      </c>
      <c r="X979" s="7" t="str">
        <f>IF(ISBLANK(patch[[#This Row],[project]]), "",COUNTIFS($A:$A,patch[[#This Row],[number]],$S:$S, "FL And dev",$AC:$AC, "Review-1"))</f>
        <v/>
      </c>
      <c r="Y979" s="7" t="str">
        <f>IF(ISBLANK(patch[[#This Row],[project]]), "",COUNTIFS($A:$A,patch[[#This Row],[number]],$S:$S, "SH And dev",$AC:$AC, "Review-1"))</f>
        <v/>
      </c>
      <c r="Z979" s="7" t="str">
        <f>IF(ISBLANK(patch[[#This Row],[project]]), "",COUNTIFS($A:$A,patch[[#This Row],[number]],$S:$S, "BJ And dev",$AD:$AD, "&lt;&gt;IntegratorValidationComment"))</f>
        <v/>
      </c>
      <c r="AA979" s="7" t="str">
        <f>IF(ISBLANK(patch[[#This Row],[project]]), "",COUNTIFS($A:$A,patch[[#This Row],[number]],$S:$S, "FL And dev",$AD:$AD, "&lt;&gt;IntegratorValidationComment"))</f>
        <v/>
      </c>
      <c r="AB979" s="7" t="str">
        <f>IF(ISBLANK(patch[[#This Row],[project]]), "",COUNTIFS($A:$A,patch[[#This Row],[number]],$S:$S, "SH And dev",$AD:$AD, "&lt;&gt;IntegratorValidationComment"))</f>
        <v/>
      </c>
      <c r="AC979" s="7" t="str">
        <f>IF(OR(ISNUMBER(FIND("Review-1", patch[[#This Row],[comments]])), ISNUMBER(FIND("Approver-1", patch[[#This Row],[comments]]))), "Review-1", "")</f>
        <v/>
      </c>
      <c r="AD9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79" s="7">
        <f>IF(ISBLANK(patch[[#This Row],[number]]),AE978,patch[[#This Row],[ifCommon]])</f>
        <v>0</v>
      </c>
    </row>
    <row r="980" spans="1:31">
      <c r="A980" s="151">
        <v>146475</v>
      </c>
      <c r="B980" s="151"/>
      <c r="C980" s="151"/>
      <c r="D980" s="151"/>
      <c r="E980" s="151"/>
      <c r="F980" s="151"/>
      <c r="G980" s="151"/>
      <c r="H980" s="151"/>
      <c r="I980" s="151"/>
      <c r="J980" s="152">
        <v>42634.753796296303</v>
      </c>
      <c r="K980" s="151"/>
      <c r="L980" s="151" t="s">
        <v>115</v>
      </c>
      <c r="M980" s="152">
        <v>42634.549027777779</v>
      </c>
      <c r="N980" s="151" t="s">
        <v>2496</v>
      </c>
      <c r="O980" s="151"/>
      <c r="P980" s="151"/>
      <c r="Q980" s="7" t="str">
        <f>IF(ISBLANK(patch[[#This Row],[OwnerEmail]]),Q979,patch[[#This Row],[OwnerEmail]])</f>
        <v>xi.cao@intel.com</v>
      </c>
      <c r="R980" s="7" t="str">
        <f>_xlfn.IFNA(VLOOKUP(patch[[#This Row],[tmp-owner.email]],OrgTree!$A:$K, 11, 0), "not ICG SWFW")</f>
        <v>BJ And dev</v>
      </c>
      <c r="S980" s="7" t="str">
        <f>IF(patch[[#This Row],[reviewer]]=patch[[#This Row],[tmp-owner.email]], "author", _xlfn.IFNA(VLOOKUP(patch[[#This Row],[reviewer]],OrgTree!$A:$K, 11, 0), "not ICG SWFW"))</f>
        <v>Val</v>
      </c>
      <c r="T980" s="7" t="str">
        <f>IF(ISBLANK(patch[[#This Row],[mergeDate]]), "", MID(YEAR(patch[[#This Row],[mergeDate]]), 3,2)&amp;"'ww"&amp;WEEKNUM(patch[[#This Row],[mergeDate]]))</f>
        <v>16'ww39</v>
      </c>
      <c r="U980" s="7" t="str">
        <f>IF(ISBLANK(patch[[#This Row],[mergeDate]]), U979, MID(YEAR(patch[[#This Row],[mergeDate]]), 3,2)&amp;"'m"&amp;MONTH(patch[[#This Row],[mergeDate]]))</f>
        <v>16'm9</v>
      </c>
      <c r="V980" s="7" t="str">
        <f>IF(ISBLANK(patch[[#This Row],[project]]), "",SUM(patch[[#This Row],[BJ -1 num]:[SH -1 num]]))</f>
        <v/>
      </c>
      <c r="W980" s="7" t="str">
        <f>IF(ISBLANK(patch[[#This Row],[project]]), "",COUNTIFS($A:$A,patch[[#This Row],[number]],$S:$S, "BJ And dev",$AC:$AC, "Review-1"))</f>
        <v/>
      </c>
      <c r="X980" s="7" t="str">
        <f>IF(ISBLANK(patch[[#This Row],[project]]), "",COUNTIFS($A:$A,patch[[#This Row],[number]],$S:$S, "FL And dev",$AC:$AC, "Review-1"))</f>
        <v/>
      </c>
      <c r="Y980" s="7" t="str">
        <f>IF(ISBLANK(patch[[#This Row],[project]]), "",COUNTIFS($A:$A,patch[[#This Row],[number]],$S:$S, "SH And dev",$AC:$AC, "Review-1"))</f>
        <v/>
      </c>
      <c r="Z980" s="7" t="str">
        <f>IF(ISBLANK(patch[[#This Row],[project]]), "",COUNTIFS($A:$A,patch[[#This Row],[number]],$S:$S, "BJ And dev",$AD:$AD, "&lt;&gt;IntegratorValidationComment"))</f>
        <v/>
      </c>
      <c r="AA980" s="7" t="str">
        <f>IF(ISBLANK(patch[[#This Row],[project]]), "",COUNTIFS($A:$A,patch[[#This Row],[number]],$S:$S, "FL And dev",$AD:$AD, "&lt;&gt;IntegratorValidationComment"))</f>
        <v/>
      </c>
      <c r="AB980" s="7" t="str">
        <f>IF(ISBLANK(patch[[#This Row],[project]]), "",COUNTIFS($A:$A,patch[[#This Row],[number]],$S:$S, "SH And dev",$AD:$AD, "&lt;&gt;IntegratorValidationComment"))</f>
        <v/>
      </c>
      <c r="AC980" s="7" t="str">
        <f>IF(OR(ISNUMBER(FIND("Review-1", patch[[#This Row],[comments]])), ISNUMBER(FIND("Approver-1", patch[[#This Row],[comments]]))), "Review-1", "")</f>
        <v/>
      </c>
      <c r="AD9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980" s="7">
        <f>IF(ISBLANK(patch[[#This Row],[number]]),AE979,patch[[#This Row],[ifCommon]])</f>
        <v>0</v>
      </c>
    </row>
    <row r="981" spans="1:31">
      <c r="A981" s="151">
        <v>146538</v>
      </c>
      <c r="B981" s="151" t="s">
        <v>2490</v>
      </c>
      <c r="C981" s="151" t="s">
        <v>2491</v>
      </c>
      <c r="D981" s="151" t="s">
        <v>2943</v>
      </c>
      <c r="E981" s="151" t="s">
        <v>24</v>
      </c>
      <c r="F981" s="151" t="s">
        <v>23</v>
      </c>
      <c r="G981" s="151" t="s">
        <v>2944</v>
      </c>
      <c r="H981" s="151" t="s">
        <v>2945</v>
      </c>
      <c r="I981" s="152">
        <v>42633.604710648149</v>
      </c>
      <c r="J981" s="152">
        <v>42634.753761574073</v>
      </c>
      <c r="K981" s="151" t="s">
        <v>2445</v>
      </c>
      <c r="L981" s="151" t="s">
        <v>24</v>
      </c>
      <c r="M981" s="152">
        <v>42633.604710648149</v>
      </c>
      <c r="N981" s="151" t="s">
        <v>25</v>
      </c>
      <c r="O981" s="151"/>
      <c r="P981" s="151" t="s">
        <v>3100</v>
      </c>
      <c r="Q981" s="7" t="str">
        <f>IF(ISBLANK(patch[[#This Row],[OwnerEmail]]),Q980,patch[[#This Row],[OwnerEmail]])</f>
        <v>qingwu.zhang@intel.com</v>
      </c>
      <c r="R981" s="7" t="str">
        <f>_xlfn.IFNA(VLOOKUP(patch[[#This Row],[tmp-owner.email]],OrgTree!$A:$K, 11, 0), "not ICG SWFW")</f>
        <v>BJ And dev</v>
      </c>
      <c r="S981" s="7" t="str">
        <f>IF(patch[[#This Row],[reviewer]]=patch[[#This Row],[tmp-owner.email]], "author", _xlfn.IFNA(VLOOKUP(patch[[#This Row],[reviewer]],OrgTree!$A:$K, 11, 0), "not ICG SWFW"))</f>
        <v>author</v>
      </c>
      <c r="T981" s="7" t="str">
        <f>IF(ISBLANK(patch[[#This Row],[mergeDate]]), "", MID(YEAR(patch[[#This Row],[mergeDate]]), 3,2)&amp;"'ww"&amp;WEEKNUM(patch[[#This Row],[mergeDate]]))</f>
        <v>16'ww39</v>
      </c>
      <c r="U981" s="7" t="str">
        <f>IF(ISBLANK(patch[[#This Row],[mergeDate]]), U980, MID(YEAR(patch[[#This Row],[mergeDate]]), 3,2)&amp;"'m"&amp;MONTH(patch[[#This Row],[mergeDate]]))</f>
        <v>16'm9</v>
      </c>
      <c r="V981" s="7">
        <f>IF(ISBLANK(patch[[#This Row],[project]]), "",SUM(patch[[#This Row],[BJ -1 num]:[SH -1 num]]))</f>
        <v>0</v>
      </c>
      <c r="W981" s="7">
        <f>IF(ISBLANK(patch[[#This Row],[project]]), "",COUNTIFS($A:$A,patch[[#This Row],[number]],$S:$S, "BJ And dev",$AC:$AC, "Review-1"))</f>
        <v>0</v>
      </c>
      <c r="X981" s="7">
        <f>IF(ISBLANK(patch[[#This Row],[project]]), "",COUNTIFS($A:$A,patch[[#This Row],[number]],$S:$S, "FL And dev",$AC:$AC, "Review-1"))</f>
        <v>0</v>
      </c>
      <c r="Y981" s="7">
        <f>IF(ISBLANK(patch[[#This Row],[project]]), "",COUNTIFS($A:$A,patch[[#This Row],[number]],$S:$S, "SH And dev",$AC:$AC, "Review-1"))</f>
        <v>0</v>
      </c>
      <c r="Z981" s="7">
        <f>IF(ISBLANK(patch[[#This Row],[project]]), "",COUNTIFS($A:$A,patch[[#This Row],[number]],$S:$S, "BJ And dev",$AD:$AD, "&lt;&gt;IntegratorValidationComment"))</f>
        <v>7</v>
      </c>
      <c r="AA981" s="7">
        <f>IF(ISBLANK(patch[[#This Row],[project]]), "",COUNTIFS($A:$A,patch[[#This Row],[number]],$S:$S, "FL And dev",$AD:$AD, "&lt;&gt;IntegratorValidationComment"))</f>
        <v>0</v>
      </c>
      <c r="AB981" s="7">
        <f>IF(ISBLANK(patch[[#This Row],[project]]), "",COUNTIFS($A:$A,patch[[#This Row],[number]],$S:$S, "SH And dev",$AD:$AD, "&lt;&gt;IntegratorValidationComment"))</f>
        <v>0</v>
      </c>
      <c r="AC981" s="7" t="str">
        <f>IF(OR(ISNUMBER(FIND("Review-1", patch[[#This Row],[comments]])), ISNUMBER(FIND("Approver-1", patch[[#This Row],[comments]]))), "Review-1", "")</f>
        <v/>
      </c>
      <c r="AD9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81" s="7" t="str">
        <f>IF(ISBLANK(patch[[#This Row],[number]]),AE980,patch[[#This Row],[ifCommon]])</f>
        <v>not AndrHAL</v>
      </c>
    </row>
    <row r="982" spans="1:31">
      <c r="A982" s="151">
        <v>146538</v>
      </c>
      <c r="B982" s="151"/>
      <c r="C982" s="151"/>
      <c r="D982" s="151"/>
      <c r="E982" s="151"/>
      <c r="F982" s="151"/>
      <c r="G982" s="151"/>
      <c r="H982" s="151"/>
      <c r="I982" s="151"/>
      <c r="J982" s="152">
        <v>42634.753761574073</v>
      </c>
      <c r="K982" s="151"/>
      <c r="L982" s="151" t="s">
        <v>24</v>
      </c>
      <c r="M982" s="152">
        <v>42633.604722222219</v>
      </c>
      <c r="N982" s="151" t="s">
        <v>2428</v>
      </c>
      <c r="O982" s="151"/>
      <c r="P982" s="151"/>
      <c r="Q982" s="7" t="str">
        <f>IF(ISBLANK(patch[[#This Row],[OwnerEmail]]),Q981,patch[[#This Row],[OwnerEmail]])</f>
        <v>qingwu.zhang@intel.com</v>
      </c>
      <c r="R982" s="7" t="str">
        <f>_xlfn.IFNA(VLOOKUP(patch[[#This Row],[tmp-owner.email]],OrgTree!$A:$K, 11, 0), "not ICG SWFW")</f>
        <v>BJ And dev</v>
      </c>
      <c r="S982" s="7" t="str">
        <f>IF(patch[[#This Row],[reviewer]]=patch[[#This Row],[tmp-owner.email]], "author", _xlfn.IFNA(VLOOKUP(patch[[#This Row],[reviewer]],OrgTree!$A:$K, 11, 0), "not ICG SWFW"))</f>
        <v>author</v>
      </c>
      <c r="T982" s="7" t="str">
        <f>IF(ISBLANK(patch[[#This Row],[mergeDate]]), "", MID(YEAR(patch[[#This Row],[mergeDate]]), 3,2)&amp;"'ww"&amp;WEEKNUM(patch[[#This Row],[mergeDate]]))</f>
        <v>16'ww39</v>
      </c>
      <c r="U982" s="7" t="str">
        <f>IF(ISBLANK(patch[[#This Row],[mergeDate]]), U981, MID(YEAR(patch[[#This Row],[mergeDate]]), 3,2)&amp;"'m"&amp;MONTH(patch[[#This Row],[mergeDate]]))</f>
        <v>16'm9</v>
      </c>
      <c r="V982" s="7" t="str">
        <f>IF(ISBLANK(patch[[#This Row],[project]]), "",SUM(patch[[#This Row],[BJ -1 num]:[SH -1 num]]))</f>
        <v/>
      </c>
      <c r="W982" s="7" t="str">
        <f>IF(ISBLANK(patch[[#This Row],[project]]), "",COUNTIFS($A:$A,patch[[#This Row],[number]],$S:$S, "BJ And dev",$AC:$AC, "Review-1"))</f>
        <v/>
      </c>
      <c r="X982" s="7" t="str">
        <f>IF(ISBLANK(patch[[#This Row],[project]]), "",COUNTIFS($A:$A,patch[[#This Row],[number]],$S:$S, "FL And dev",$AC:$AC, "Review-1"))</f>
        <v/>
      </c>
      <c r="Y982" s="7" t="str">
        <f>IF(ISBLANK(patch[[#This Row],[project]]), "",COUNTIFS($A:$A,patch[[#This Row],[number]],$S:$S, "SH And dev",$AC:$AC, "Review-1"))</f>
        <v/>
      </c>
      <c r="Z982" s="7" t="str">
        <f>IF(ISBLANK(patch[[#This Row],[project]]), "",COUNTIFS($A:$A,patch[[#This Row],[number]],$S:$S, "BJ And dev",$AD:$AD, "&lt;&gt;IntegratorValidationComment"))</f>
        <v/>
      </c>
      <c r="AA982" s="7" t="str">
        <f>IF(ISBLANK(patch[[#This Row],[project]]), "",COUNTIFS($A:$A,patch[[#This Row],[number]],$S:$S, "FL And dev",$AD:$AD, "&lt;&gt;IntegratorValidationComment"))</f>
        <v/>
      </c>
      <c r="AB982" s="7" t="str">
        <f>IF(ISBLANK(patch[[#This Row],[project]]), "",COUNTIFS($A:$A,patch[[#This Row],[number]],$S:$S, "SH And dev",$AD:$AD, "&lt;&gt;IntegratorValidationComment"))</f>
        <v/>
      </c>
      <c r="AC982" s="7" t="str">
        <f>IF(OR(ISNUMBER(FIND("Review-1", patch[[#This Row],[comments]])), ISNUMBER(FIND("Approver-1", patch[[#This Row],[comments]]))), "Review-1", "")</f>
        <v/>
      </c>
      <c r="AD9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82" s="7">
        <f>IF(ISBLANK(patch[[#This Row],[number]]),AE981,patch[[#This Row],[ifCommon]])</f>
        <v>0</v>
      </c>
    </row>
    <row r="983" spans="1:31">
      <c r="A983" s="151">
        <v>146538</v>
      </c>
      <c r="B983" s="151"/>
      <c r="C983" s="151"/>
      <c r="D983" s="151"/>
      <c r="E983" s="151"/>
      <c r="F983" s="151"/>
      <c r="G983" s="151"/>
      <c r="H983" s="151"/>
      <c r="I983" s="151"/>
      <c r="J983" s="152">
        <v>42634.753761574073</v>
      </c>
      <c r="K983" s="151"/>
      <c r="L983" s="151" t="s">
        <v>24</v>
      </c>
      <c r="M983" s="152">
        <v>42633.605439814812</v>
      </c>
      <c r="N983" s="151" t="s">
        <v>40</v>
      </c>
      <c r="O983" s="151"/>
      <c r="P983" s="151"/>
      <c r="Q983" s="7" t="str">
        <f>IF(ISBLANK(patch[[#This Row],[OwnerEmail]]),Q982,patch[[#This Row],[OwnerEmail]])</f>
        <v>qingwu.zhang@intel.com</v>
      </c>
      <c r="R983" s="7" t="str">
        <f>_xlfn.IFNA(VLOOKUP(patch[[#This Row],[tmp-owner.email]],OrgTree!$A:$K, 11, 0), "not ICG SWFW")</f>
        <v>BJ And dev</v>
      </c>
      <c r="S983" s="7" t="str">
        <f>IF(patch[[#This Row],[reviewer]]=patch[[#This Row],[tmp-owner.email]], "author", _xlfn.IFNA(VLOOKUP(patch[[#This Row],[reviewer]],OrgTree!$A:$K, 11, 0), "not ICG SWFW"))</f>
        <v>author</v>
      </c>
      <c r="T983" s="7" t="str">
        <f>IF(ISBLANK(patch[[#This Row],[mergeDate]]), "", MID(YEAR(patch[[#This Row],[mergeDate]]), 3,2)&amp;"'ww"&amp;WEEKNUM(patch[[#This Row],[mergeDate]]))</f>
        <v>16'ww39</v>
      </c>
      <c r="U983" s="7" t="str">
        <f>IF(ISBLANK(patch[[#This Row],[mergeDate]]), U982, MID(YEAR(patch[[#This Row],[mergeDate]]), 3,2)&amp;"'m"&amp;MONTH(patch[[#This Row],[mergeDate]]))</f>
        <v>16'm9</v>
      </c>
      <c r="V983" s="7" t="str">
        <f>IF(ISBLANK(patch[[#This Row],[project]]), "",SUM(patch[[#This Row],[BJ -1 num]:[SH -1 num]]))</f>
        <v/>
      </c>
      <c r="W983" s="7" t="str">
        <f>IF(ISBLANK(patch[[#This Row],[project]]), "",COUNTIFS($A:$A,patch[[#This Row],[number]],$S:$S, "BJ And dev",$AC:$AC, "Review-1"))</f>
        <v/>
      </c>
      <c r="X983" s="7" t="str">
        <f>IF(ISBLANK(patch[[#This Row],[project]]), "",COUNTIFS($A:$A,patch[[#This Row],[number]],$S:$S, "FL And dev",$AC:$AC, "Review-1"))</f>
        <v/>
      </c>
      <c r="Y983" s="7" t="str">
        <f>IF(ISBLANK(patch[[#This Row],[project]]), "",COUNTIFS($A:$A,patch[[#This Row],[number]],$S:$S, "SH And dev",$AC:$AC, "Review-1"))</f>
        <v/>
      </c>
      <c r="Z983" s="7" t="str">
        <f>IF(ISBLANK(patch[[#This Row],[project]]), "",COUNTIFS($A:$A,patch[[#This Row],[number]],$S:$S, "BJ And dev",$AD:$AD, "&lt;&gt;IntegratorValidationComment"))</f>
        <v/>
      </c>
      <c r="AA983" s="7" t="str">
        <f>IF(ISBLANK(patch[[#This Row],[project]]), "",COUNTIFS($A:$A,patch[[#This Row],[number]],$S:$S, "FL And dev",$AD:$AD, "&lt;&gt;IntegratorValidationComment"))</f>
        <v/>
      </c>
      <c r="AB983" s="7" t="str">
        <f>IF(ISBLANK(patch[[#This Row],[project]]), "",COUNTIFS($A:$A,patch[[#This Row],[number]],$S:$S, "SH And dev",$AD:$AD, "&lt;&gt;IntegratorValidationComment"))</f>
        <v/>
      </c>
      <c r="AC983" s="7" t="str">
        <f>IF(OR(ISNUMBER(FIND("Review-1", patch[[#This Row],[comments]])), ISNUMBER(FIND("Approver-1", patch[[#This Row],[comments]]))), "Review-1", "")</f>
        <v/>
      </c>
      <c r="AD9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83" s="7">
        <f>IF(ISBLANK(patch[[#This Row],[number]]),AE982,patch[[#This Row],[ifCommon]])</f>
        <v>0</v>
      </c>
    </row>
    <row r="984" spans="1:31">
      <c r="A984" s="151">
        <v>146538</v>
      </c>
      <c r="B984" s="151"/>
      <c r="C984" s="151"/>
      <c r="D984" s="151"/>
      <c r="E984" s="151"/>
      <c r="F984" s="151"/>
      <c r="G984" s="151"/>
      <c r="H984" s="151"/>
      <c r="I984" s="151"/>
      <c r="J984" s="152">
        <v>42634.753761574073</v>
      </c>
      <c r="K984" s="151"/>
      <c r="L984" s="151" t="s">
        <v>59</v>
      </c>
      <c r="M984" s="152">
        <v>42633.607349537036</v>
      </c>
      <c r="N984" s="151" t="s">
        <v>40</v>
      </c>
      <c r="O984" s="151"/>
      <c r="P984" s="151"/>
      <c r="Q984" s="7" t="str">
        <f>IF(ISBLANK(patch[[#This Row],[OwnerEmail]]),Q983,patch[[#This Row],[OwnerEmail]])</f>
        <v>qingwu.zhang@intel.com</v>
      </c>
      <c r="R984" s="7" t="str">
        <f>_xlfn.IFNA(VLOOKUP(patch[[#This Row],[tmp-owner.email]],OrgTree!$A:$K, 11, 0), "not ICG SWFW")</f>
        <v>BJ And dev</v>
      </c>
      <c r="S984" s="7" t="str">
        <f>IF(patch[[#This Row],[reviewer]]=patch[[#This Row],[tmp-owner.email]], "author", _xlfn.IFNA(VLOOKUP(patch[[#This Row],[reviewer]],OrgTree!$A:$K, 11, 0), "not ICG SWFW"))</f>
        <v>BJ And dev</v>
      </c>
      <c r="T984" s="7" t="str">
        <f>IF(ISBLANK(patch[[#This Row],[mergeDate]]), "", MID(YEAR(patch[[#This Row],[mergeDate]]), 3,2)&amp;"'ww"&amp;WEEKNUM(patch[[#This Row],[mergeDate]]))</f>
        <v>16'ww39</v>
      </c>
      <c r="U984" s="7" t="str">
        <f>IF(ISBLANK(patch[[#This Row],[mergeDate]]), U983, MID(YEAR(patch[[#This Row],[mergeDate]]), 3,2)&amp;"'m"&amp;MONTH(patch[[#This Row],[mergeDate]]))</f>
        <v>16'm9</v>
      </c>
      <c r="V984" s="7" t="str">
        <f>IF(ISBLANK(patch[[#This Row],[project]]), "",SUM(patch[[#This Row],[BJ -1 num]:[SH -1 num]]))</f>
        <v/>
      </c>
      <c r="W984" s="7" t="str">
        <f>IF(ISBLANK(patch[[#This Row],[project]]), "",COUNTIFS($A:$A,patch[[#This Row],[number]],$S:$S, "BJ And dev",$AC:$AC, "Review-1"))</f>
        <v/>
      </c>
      <c r="X984" s="7" t="str">
        <f>IF(ISBLANK(patch[[#This Row],[project]]), "",COUNTIFS($A:$A,patch[[#This Row],[number]],$S:$S, "FL And dev",$AC:$AC, "Review-1"))</f>
        <v/>
      </c>
      <c r="Y984" s="7" t="str">
        <f>IF(ISBLANK(patch[[#This Row],[project]]), "",COUNTIFS($A:$A,patch[[#This Row],[number]],$S:$S, "SH And dev",$AC:$AC, "Review-1"))</f>
        <v/>
      </c>
      <c r="Z984" s="7" t="str">
        <f>IF(ISBLANK(patch[[#This Row],[project]]), "",COUNTIFS($A:$A,patch[[#This Row],[number]],$S:$S, "BJ And dev",$AD:$AD, "&lt;&gt;IntegratorValidationComment"))</f>
        <v/>
      </c>
      <c r="AA984" s="7" t="str">
        <f>IF(ISBLANK(patch[[#This Row],[project]]), "",COUNTIFS($A:$A,patch[[#This Row],[number]],$S:$S, "FL And dev",$AD:$AD, "&lt;&gt;IntegratorValidationComment"))</f>
        <v/>
      </c>
      <c r="AB984" s="7" t="str">
        <f>IF(ISBLANK(patch[[#This Row],[project]]), "",COUNTIFS($A:$A,patch[[#This Row],[number]],$S:$S, "SH And dev",$AD:$AD, "&lt;&gt;IntegratorValidationComment"))</f>
        <v/>
      </c>
      <c r="AC984" s="7" t="str">
        <f>IF(OR(ISNUMBER(FIND("Review-1", patch[[#This Row],[comments]])), ISNUMBER(FIND("Approver-1", patch[[#This Row],[comments]]))), "Review-1", "")</f>
        <v/>
      </c>
      <c r="AD9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84" s="7">
        <f>IF(ISBLANK(patch[[#This Row],[number]]),AE983,patch[[#This Row],[ifCommon]])</f>
        <v>0</v>
      </c>
    </row>
    <row r="985" spans="1:31">
      <c r="A985" s="151">
        <v>146538</v>
      </c>
      <c r="B985" s="151"/>
      <c r="C985" s="151"/>
      <c r="D985" s="151"/>
      <c r="E985" s="151"/>
      <c r="F985" s="151"/>
      <c r="G985" s="151"/>
      <c r="H985" s="151"/>
      <c r="I985" s="151"/>
      <c r="J985" s="152">
        <v>42634.753761574073</v>
      </c>
      <c r="K985" s="151"/>
      <c r="L985" s="151" t="s">
        <v>63</v>
      </c>
      <c r="M985" s="152">
        <v>42633.607800925929</v>
      </c>
      <c r="N985" s="151" t="s">
        <v>40</v>
      </c>
      <c r="O985" s="151"/>
      <c r="P985" s="151"/>
      <c r="Q985" s="7" t="str">
        <f>IF(ISBLANK(patch[[#This Row],[OwnerEmail]]),Q984,patch[[#This Row],[OwnerEmail]])</f>
        <v>qingwu.zhang@intel.com</v>
      </c>
      <c r="R985" s="7" t="str">
        <f>_xlfn.IFNA(VLOOKUP(patch[[#This Row],[tmp-owner.email]],OrgTree!$A:$K, 11, 0), "not ICG SWFW")</f>
        <v>BJ And dev</v>
      </c>
      <c r="S985" s="7" t="str">
        <f>IF(patch[[#This Row],[reviewer]]=patch[[#This Row],[tmp-owner.email]], "author", _xlfn.IFNA(VLOOKUP(patch[[#This Row],[reviewer]],OrgTree!$A:$K, 11, 0), "not ICG SWFW"))</f>
        <v>BJ And dev</v>
      </c>
      <c r="T985" s="7" t="str">
        <f>IF(ISBLANK(patch[[#This Row],[mergeDate]]), "", MID(YEAR(patch[[#This Row],[mergeDate]]), 3,2)&amp;"'ww"&amp;WEEKNUM(patch[[#This Row],[mergeDate]]))</f>
        <v>16'ww39</v>
      </c>
      <c r="U985" s="7" t="str">
        <f>IF(ISBLANK(patch[[#This Row],[mergeDate]]), U984, MID(YEAR(patch[[#This Row],[mergeDate]]), 3,2)&amp;"'m"&amp;MONTH(patch[[#This Row],[mergeDate]]))</f>
        <v>16'm9</v>
      </c>
      <c r="V985" s="7" t="str">
        <f>IF(ISBLANK(patch[[#This Row],[project]]), "",SUM(patch[[#This Row],[BJ -1 num]:[SH -1 num]]))</f>
        <v/>
      </c>
      <c r="W985" s="7" t="str">
        <f>IF(ISBLANK(patch[[#This Row],[project]]), "",COUNTIFS($A:$A,patch[[#This Row],[number]],$S:$S, "BJ And dev",$AC:$AC, "Review-1"))</f>
        <v/>
      </c>
      <c r="X985" s="7" t="str">
        <f>IF(ISBLANK(patch[[#This Row],[project]]), "",COUNTIFS($A:$A,patch[[#This Row],[number]],$S:$S, "FL And dev",$AC:$AC, "Review-1"))</f>
        <v/>
      </c>
      <c r="Y985" s="7" t="str">
        <f>IF(ISBLANK(patch[[#This Row],[project]]), "",COUNTIFS($A:$A,patch[[#This Row],[number]],$S:$S, "SH And dev",$AC:$AC, "Review-1"))</f>
        <v/>
      </c>
      <c r="Z985" s="7" t="str">
        <f>IF(ISBLANK(patch[[#This Row],[project]]), "",COUNTIFS($A:$A,patch[[#This Row],[number]],$S:$S, "BJ And dev",$AD:$AD, "&lt;&gt;IntegratorValidationComment"))</f>
        <v/>
      </c>
      <c r="AA985" s="7" t="str">
        <f>IF(ISBLANK(patch[[#This Row],[project]]), "",COUNTIFS($A:$A,patch[[#This Row],[number]],$S:$S, "FL And dev",$AD:$AD, "&lt;&gt;IntegratorValidationComment"))</f>
        <v/>
      </c>
      <c r="AB985" s="7" t="str">
        <f>IF(ISBLANK(patch[[#This Row],[project]]), "",COUNTIFS($A:$A,patch[[#This Row],[number]],$S:$S, "SH And dev",$AD:$AD, "&lt;&gt;IntegratorValidationComment"))</f>
        <v/>
      </c>
      <c r="AC985" s="7" t="str">
        <f>IF(OR(ISNUMBER(FIND("Review-1", patch[[#This Row],[comments]])), ISNUMBER(FIND("Approver-1", patch[[#This Row],[comments]]))), "Review-1", "")</f>
        <v/>
      </c>
      <c r="AD9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85" s="7">
        <f>IF(ISBLANK(patch[[#This Row],[number]]),AE984,patch[[#This Row],[ifCommon]])</f>
        <v>0</v>
      </c>
    </row>
    <row r="986" spans="1:31">
      <c r="A986" s="151">
        <v>146538</v>
      </c>
      <c r="B986" s="151"/>
      <c r="C986" s="151"/>
      <c r="D986" s="151"/>
      <c r="E986" s="151"/>
      <c r="F986" s="151"/>
      <c r="G986" s="151"/>
      <c r="H986" s="151"/>
      <c r="I986" s="151"/>
      <c r="J986" s="152">
        <v>42634.753761574073</v>
      </c>
      <c r="K986" s="151"/>
      <c r="L986" s="151" t="s">
        <v>1203</v>
      </c>
      <c r="M986" s="152">
        <v>42633.608090277783</v>
      </c>
      <c r="N986" s="151" t="s">
        <v>40</v>
      </c>
      <c r="O986" s="151"/>
      <c r="P986" s="151"/>
      <c r="Q986" s="7" t="str">
        <f>IF(ISBLANK(patch[[#This Row],[OwnerEmail]]),Q985,patch[[#This Row],[OwnerEmail]])</f>
        <v>qingwu.zhang@intel.com</v>
      </c>
      <c r="R986" s="7" t="str">
        <f>_xlfn.IFNA(VLOOKUP(patch[[#This Row],[tmp-owner.email]],OrgTree!$A:$K, 11, 0), "not ICG SWFW")</f>
        <v>BJ And dev</v>
      </c>
      <c r="S986" s="7" t="str">
        <f>IF(patch[[#This Row],[reviewer]]=patch[[#This Row],[tmp-owner.email]], "author", _xlfn.IFNA(VLOOKUP(patch[[#This Row],[reviewer]],OrgTree!$A:$K, 11, 0), "not ICG SWFW"))</f>
        <v>BJ And dev</v>
      </c>
      <c r="T986" s="7" t="str">
        <f>IF(ISBLANK(patch[[#This Row],[mergeDate]]), "", MID(YEAR(patch[[#This Row],[mergeDate]]), 3,2)&amp;"'ww"&amp;WEEKNUM(patch[[#This Row],[mergeDate]]))</f>
        <v>16'ww39</v>
      </c>
      <c r="U986" s="7" t="str">
        <f>IF(ISBLANK(patch[[#This Row],[mergeDate]]), U985, MID(YEAR(patch[[#This Row],[mergeDate]]), 3,2)&amp;"'m"&amp;MONTH(patch[[#This Row],[mergeDate]]))</f>
        <v>16'm9</v>
      </c>
      <c r="V986" s="7" t="str">
        <f>IF(ISBLANK(patch[[#This Row],[project]]), "",SUM(patch[[#This Row],[BJ -1 num]:[SH -1 num]]))</f>
        <v/>
      </c>
      <c r="W986" s="7" t="str">
        <f>IF(ISBLANK(patch[[#This Row],[project]]), "",COUNTIFS($A:$A,patch[[#This Row],[number]],$S:$S, "BJ And dev",$AC:$AC, "Review-1"))</f>
        <v/>
      </c>
      <c r="X986" s="7" t="str">
        <f>IF(ISBLANK(patch[[#This Row],[project]]), "",COUNTIFS($A:$A,patch[[#This Row],[number]],$S:$S, "FL And dev",$AC:$AC, "Review-1"))</f>
        <v/>
      </c>
      <c r="Y986" s="7" t="str">
        <f>IF(ISBLANK(patch[[#This Row],[project]]), "",COUNTIFS($A:$A,patch[[#This Row],[number]],$S:$S, "SH And dev",$AC:$AC, "Review-1"))</f>
        <v/>
      </c>
      <c r="Z986" s="7" t="str">
        <f>IF(ISBLANK(patch[[#This Row],[project]]), "",COUNTIFS($A:$A,patch[[#This Row],[number]],$S:$S, "BJ And dev",$AD:$AD, "&lt;&gt;IntegratorValidationComment"))</f>
        <v/>
      </c>
      <c r="AA986" s="7" t="str">
        <f>IF(ISBLANK(patch[[#This Row],[project]]), "",COUNTIFS($A:$A,patch[[#This Row],[number]],$S:$S, "FL And dev",$AD:$AD, "&lt;&gt;IntegratorValidationComment"))</f>
        <v/>
      </c>
      <c r="AB986" s="7" t="str">
        <f>IF(ISBLANK(patch[[#This Row],[project]]), "",COUNTIFS($A:$A,patch[[#This Row],[number]],$S:$S, "SH And dev",$AD:$AD, "&lt;&gt;IntegratorValidationComment"))</f>
        <v/>
      </c>
      <c r="AC986" s="7" t="str">
        <f>IF(OR(ISNUMBER(FIND("Review-1", patch[[#This Row],[comments]])), ISNUMBER(FIND("Approver-1", patch[[#This Row],[comments]]))), "Review-1", "")</f>
        <v/>
      </c>
      <c r="AD9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86" s="7">
        <f>IF(ISBLANK(patch[[#This Row],[number]]),AE985,patch[[#This Row],[ifCommon]])</f>
        <v>0</v>
      </c>
    </row>
    <row r="987" spans="1:31">
      <c r="A987" s="151">
        <v>146538</v>
      </c>
      <c r="B987" s="151"/>
      <c r="C987" s="151"/>
      <c r="D987" s="151"/>
      <c r="E987" s="151"/>
      <c r="F987" s="151"/>
      <c r="G987" s="151"/>
      <c r="H987" s="151"/>
      <c r="I987" s="151"/>
      <c r="J987" s="152">
        <v>42634.753761574073</v>
      </c>
      <c r="K987" s="151"/>
      <c r="L987" s="151" t="s">
        <v>1203</v>
      </c>
      <c r="M987" s="152">
        <v>42633.608124999999</v>
      </c>
      <c r="N987" s="151" t="s">
        <v>58</v>
      </c>
      <c r="O987" s="151"/>
      <c r="P987" s="151"/>
      <c r="Q987" s="7" t="str">
        <f>IF(ISBLANK(patch[[#This Row],[OwnerEmail]]),Q986,patch[[#This Row],[OwnerEmail]])</f>
        <v>qingwu.zhang@intel.com</v>
      </c>
      <c r="R987" s="7" t="str">
        <f>_xlfn.IFNA(VLOOKUP(patch[[#This Row],[tmp-owner.email]],OrgTree!$A:$K, 11, 0), "not ICG SWFW")</f>
        <v>BJ And dev</v>
      </c>
      <c r="S987" s="7" t="str">
        <f>IF(patch[[#This Row],[reviewer]]=patch[[#This Row],[tmp-owner.email]], "author", _xlfn.IFNA(VLOOKUP(patch[[#This Row],[reviewer]],OrgTree!$A:$K, 11, 0), "not ICG SWFW"))</f>
        <v>BJ And dev</v>
      </c>
      <c r="T987" s="7" t="str">
        <f>IF(ISBLANK(patch[[#This Row],[mergeDate]]), "", MID(YEAR(patch[[#This Row],[mergeDate]]), 3,2)&amp;"'ww"&amp;WEEKNUM(patch[[#This Row],[mergeDate]]))</f>
        <v>16'ww39</v>
      </c>
      <c r="U987" s="7" t="str">
        <f>IF(ISBLANK(patch[[#This Row],[mergeDate]]), U986, MID(YEAR(patch[[#This Row],[mergeDate]]), 3,2)&amp;"'m"&amp;MONTH(patch[[#This Row],[mergeDate]]))</f>
        <v>16'm9</v>
      </c>
      <c r="V987" s="7" t="str">
        <f>IF(ISBLANK(patch[[#This Row],[project]]), "",SUM(patch[[#This Row],[BJ -1 num]:[SH -1 num]]))</f>
        <v/>
      </c>
      <c r="W987" s="7" t="str">
        <f>IF(ISBLANK(patch[[#This Row],[project]]), "",COUNTIFS($A:$A,patch[[#This Row],[number]],$S:$S, "BJ And dev",$AC:$AC, "Review-1"))</f>
        <v/>
      </c>
      <c r="X987" s="7" t="str">
        <f>IF(ISBLANK(patch[[#This Row],[project]]), "",COUNTIFS($A:$A,patch[[#This Row],[number]],$S:$S, "FL And dev",$AC:$AC, "Review-1"))</f>
        <v/>
      </c>
      <c r="Y987" s="7" t="str">
        <f>IF(ISBLANK(patch[[#This Row],[project]]), "",COUNTIFS($A:$A,patch[[#This Row],[number]],$S:$S, "SH And dev",$AC:$AC, "Review-1"))</f>
        <v/>
      </c>
      <c r="Z987" s="7" t="str">
        <f>IF(ISBLANK(patch[[#This Row],[project]]), "",COUNTIFS($A:$A,patch[[#This Row],[number]],$S:$S, "BJ And dev",$AD:$AD, "&lt;&gt;IntegratorValidationComment"))</f>
        <v/>
      </c>
      <c r="AA987" s="7" t="str">
        <f>IF(ISBLANK(patch[[#This Row],[project]]), "",COUNTIFS($A:$A,patch[[#This Row],[number]],$S:$S, "FL And dev",$AD:$AD, "&lt;&gt;IntegratorValidationComment"))</f>
        <v/>
      </c>
      <c r="AB987" s="7" t="str">
        <f>IF(ISBLANK(patch[[#This Row],[project]]), "",COUNTIFS($A:$A,patch[[#This Row],[number]],$S:$S, "SH And dev",$AD:$AD, "&lt;&gt;IntegratorValidationComment"))</f>
        <v/>
      </c>
      <c r="AC987" s="7" t="str">
        <f>IF(OR(ISNUMBER(FIND("Review-1", patch[[#This Row],[comments]])), ISNUMBER(FIND("Approver-1", patch[[#This Row],[comments]]))), "Review-1", "")</f>
        <v/>
      </c>
      <c r="AD9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87" s="7">
        <f>IF(ISBLANK(patch[[#This Row],[number]]),AE986,patch[[#This Row],[ifCommon]])</f>
        <v>0</v>
      </c>
    </row>
    <row r="988" spans="1:31">
      <c r="A988" s="151">
        <v>146538</v>
      </c>
      <c r="B988" s="151"/>
      <c r="C988" s="151"/>
      <c r="D988" s="151"/>
      <c r="E988" s="151"/>
      <c r="F988" s="151"/>
      <c r="G988" s="151"/>
      <c r="H988" s="151"/>
      <c r="I988" s="151"/>
      <c r="J988" s="152">
        <v>42634.753761574073</v>
      </c>
      <c r="K988" s="151"/>
      <c r="L988" s="151" t="s">
        <v>59</v>
      </c>
      <c r="M988" s="152">
        <v>42633.612581018519</v>
      </c>
      <c r="N988" s="151" t="s">
        <v>3101</v>
      </c>
      <c r="O988" s="151"/>
      <c r="P988" s="151"/>
      <c r="Q988" s="7" t="str">
        <f>IF(ISBLANK(patch[[#This Row],[OwnerEmail]]),Q987,patch[[#This Row],[OwnerEmail]])</f>
        <v>qingwu.zhang@intel.com</v>
      </c>
      <c r="R988" s="7" t="str">
        <f>_xlfn.IFNA(VLOOKUP(patch[[#This Row],[tmp-owner.email]],OrgTree!$A:$K, 11, 0), "not ICG SWFW")</f>
        <v>BJ And dev</v>
      </c>
      <c r="S988" s="7" t="str">
        <f>IF(patch[[#This Row],[reviewer]]=patch[[#This Row],[tmp-owner.email]], "author", _xlfn.IFNA(VLOOKUP(patch[[#This Row],[reviewer]],OrgTree!$A:$K, 11, 0), "not ICG SWFW"))</f>
        <v>BJ And dev</v>
      </c>
      <c r="T988" s="7" t="str">
        <f>IF(ISBLANK(patch[[#This Row],[mergeDate]]), "", MID(YEAR(patch[[#This Row],[mergeDate]]), 3,2)&amp;"'ww"&amp;WEEKNUM(patch[[#This Row],[mergeDate]]))</f>
        <v>16'ww39</v>
      </c>
      <c r="U988" s="7" t="str">
        <f>IF(ISBLANK(patch[[#This Row],[mergeDate]]), U987, MID(YEAR(patch[[#This Row],[mergeDate]]), 3,2)&amp;"'m"&amp;MONTH(patch[[#This Row],[mergeDate]]))</f>
        <v>16'm9</v>
      </c>
      <c r="V988" s="7" t="str">
        <f>IF(ISBLANK(patch[[#This Row],[project]]), "",SUM(patch[[#This Row],[BJ -1 num]:[SH -1 num]]))</f>
        <v/>
      </c>
      <c r="W988" s="7" t="str">
        <f>IF(ISBLANK(patch[[#This Row],[project]]), "",COUNTIFS($A:$A,patch[[#This Row],[number]],$S:$S, "BJ And dev",$AC:$AC, "Review-1"))</f>
        <v/>
      </c>
      <c r="X988" s="7" t="str">
        <f>IF(ISBLANK(patch[[#This Row],[project]]), "",COUNTIFS($A:$A,patch[[#This Row],[number]],$S:$S, "FL And dev",$AC:$AC, "Review-1"))</f>
        <v/>
      </c>
      <c r="Y988" s="7" t="str">
        <f>IF(ISBLANK(patch[[#This Row],[project]]), "",COUNTIFS($A:$A,patch[[#This Row],[number]],$S:$S, "SH And dev",$AC:$AC, "Review-1"))</f>
        <v/>
      </c>
      <c r="Z988" s="7" t="str">
        <f>IF(ISBLANK(patch[[#This Row],[project]]), "",COUNTIFS($A:$A,patch[[#This Row],[number]],$S:$S, "BJ And dev",$AD:$AD, "&lt;&gt;IntegratorValidationComment"))</f>
        <v/>
      </c>
      <c r="AA988" s="7" t="str">
        <f>IF(ISBLANK(patch[[#This Row],[project]]), "",COUNTIFS($A:$A,patch[[#This Row],[number]],$S:$S, "FL And dev",$AD:$AD, "&lt;&gt;IntegratorValidationComment"))</f>
        <v/>
      </c>
      <c r="AB988" s="7" t="str">
        <f>IF(ISBLANK(patch[[#This Row],[project]]), "",COUNTIFS($A:$A,patch[[#This Row],[number]],$S:$S, "SH And dev",$AD:$AD, "&lt;&gt;IntegratorValidationComment"))</f>
        <v/>
      </c>
      <c r="AC988" s="7" t="str">
        <f>IF(OR(ISNUMBER(FIND("Review-1", patch[[#This Row],[comments]])), ISNUMBER(FIND("Approver-1", patch[[#This Row],[comments]]))), "Review-1", "")</f>
        <v/>
      </c>
      <c r="AD9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88" s="7">
        <f>IF(ISBLANK(patch[[#This Row],[number]]),AE987,patch[[#This Row],[ifCommon]])</f>
        <v>0</v>
      </c>
    </row>
    <row r="989" spans="1:31">
      <c r="A989" s="151">
        <v>146538</v>
      </c>
      <c r="B989" s="151"/>
      <c r="C989" s="151"/>
      <c r="D989" s="151"/>
      <c r="E989" s="151"/>
      <c r="F989" s="151"/>
      <c r="G989" s="151"/>
      <c r="H989" s="151"/>
      <c r="I989" s="151"/>
      <c r="J989" s="152">
        <v>42634.753761574073</v>
      </c>
      <c r="K989" s="151"/>
      <c r="L989" s="151" t="s">
        <v>59</v>
      </c>
      <c r="M989" s="152">
        <v>42633.61515046296</v>
      </c>
      <c r="N989" s="151" t="s">
        <v>3102</v>
      </c>
      <c r="O989" s="151"/>
      <c r="P989" s="151"/>
      <c r="Q989" s="7" t="str">
        <f>IF(ISBLANK(patch[[#This Row],[OwnerEmail]]),Q988,patch[[#This Row],[OwnerEmail]])</f>
        <v>qingwu.zhang@intel.com</v>
      </c>
      <c r="R989" s="7" t="str">
        <f>_xlfn.IFNA(VLOOKUP(patch[[#This Row],[tmp-owner.email]],OrgTree!$A:$K, 11, 0), "not ICG SWFW")</f>
        <v>BJ And dev</v>
      </c>
      <c r="S989" s="7" t="str">
        <f>IF(patch[[#This Row],[reviewer]]=patch[[#This Row],[tmp-owner.email]], "author", _xlfn.IFNA(VLOOKUP(patch[[#This Row],[reviewer]],OrgTree!$A:$K, 11, 0), "not ICG SWFW"))</f>
        <v>BJ And dev</v>
      </c>
      <c r="T989" s="7" t="str">
        <f>IF(ISBLANK(patch[[#This Row],[mergeDate]]), "", MID(YEAR(patch[[#This Row],[mergeDate]]), 3,2)&amp;"'ww"&amp;WEEKNUM(patch[[#This Row],[mergeDate]]))</f>
        <v>16'ww39</v>
      </c>
      <c r="U989" s="7" t="str">
        <f>IF(ISBLANK(patch[[#This Row],[mergeDate]]), U988, MID(YEAR(patch[[#This Row],[mergeDate]]), 3,2)&amp;"'m"&amp;MONTH(patch[[#This Row],[mergeDate]]))</f>
        <v>16'm9</v>
      </c>
      <c r="V989" s="7" t="str">
        <f>IF(ISBLANK(patch[[#This Row],[project]]), "",SUM(patch[[#This Row],[BJ -1 num]:[SH -1 num]]))</f>
        <v/>
      </c>
      <c r="W989" s="7" t="str">
        <f>IF(ISBLANK(patch[[#This Row],[project]]), "",COUNTIFS($A:$A,patch[[#This Row],[number]],$S:$S, "BJ And dev",$AC:$AC, "Review-1"))</f>
        <v/>
      </c>
      <c r="X989" s="7" t="str">
        <f>IF(ISBLANK(patch[[#This Row],[project]]), "",COUNTIFS($A:$A,patch[[#This Row],[number]],$S:$S, "FL And dev",$AC:$AC, "Review-1"))</f>
        <v/>
      </c>
      <c r="Y989" s="7" t="str">
        <f>IF(ISBLANK(patch[[#This Row],[project]]), "",COUNTIFS($A:$A,patch[[#This Row],[number]],$S:$S, "SH And dev",$AC:$AC, "Review-1"))</f>
        <v/>
      </c>
      <c r="Z989" s="7" t="str">
        <f>IF(ISBLANK(patch[[#This Row],[project]]), "",COUNTIFS($A:$A,patch[[#This Row],[number]],$S:$S, "BJ And dev",$AD:$AD, "&lt;&gt;IntegratorValidationComment"))</f>
        <v/>
      </c>
      <c r="AA989" s="7" t="str">
        <f>IF(ISBLANK(patch[[#This Row],[project]]), "",COUNTIFS($A:$A,patch[[#This Row],[number]],$S:$S, "FL And dev",$AD:$AD, "&lt;&gt;IntegratorValidationComment"))</f>
        <v/>
      </c>
      <c r="AB989" s="7" t="str">
        <f>IF(ISBLANK(patch[[#This Row],[project]]), "",COUNTIFS($A:$A,patch[[#This Row],[number]],$S:$S, "SH And dev",$AD:$AD, "&lt;&gt;IntegratorValidationComment"))</f>
        <v/>
      </c>
      <c r="AC989" s="7" t="str">
        <f>IF(OR(ISNUMBER(FIND("Review-1", patch[[#This Row],[comments]])), ISNUMBER(FIND("Approver-1", patch[[#This Row],[comments]]))), "Review-1", "")</f>
        <v/>
      </c>
      <c r="AD9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89" s="7">
        <f>IF(ISBLANK(patch[[#This Row],[number]]),AE988,patch[[#This Row],[ifCommon]])</f>
        <v>0</v>
      </c>
    </row>
    <row r="990" spans="1:31">
      <c r="A990" s="151">
        <v>146538</v>
      </c>
      <c r="B990" s="151"/>
      <c r="C990" s="151"/>
      <c r="D990" s="151"/>
      <c r="E990" s="151"/>
      <c r="F990" s="151"/>
      <c r="G990" s="151"/>
      <c r="H990" s="151"/>
      <c r="I990" s="151"/>
      <c r="J990" s="152">
        <v>42634.753761574073</v>
      </c>
      <c r="K990" s="151"/>
      <c r="L990" s="151" t="s">
        <v>32</v>
      </c>
      <c r="M990" s="152">
        <v>42633.618680555563</v>
      </c>
      <c r="N990" s="151" t="s">
        <v>40</v>
      </c>
      <c r="O990" s="151"/>
      <c r="P990" s="151"/>
      <c r="Q990" s="7" t="str">
        <f>IF(ISBLANK(patch[[#This Row],[OwnerEmail]]),Q989,patch[[#This Row],[OwnerEmail]])</f>
        <v>qingwu.zhang@intel.com</v>
      </c>
      <c r="R990" s="7" t="str">
        <f>_xlfn.IFNA(VLOOKUP(patch[[#This Row],[tmp-owner.email]],OrgTree!$A:$K, 11, 0), "not ICG SWFW")</f>
        <v>BJ And dev</v>
      </c>
      <c r="S990" s="7" t="str">
        <f>IF(patch[[#This Row],[reviewer]]=patch[[#This Row],[tmp-owner.email]], "author", _xlfn.IFNA(VLOOKUP(patch[[#This Row],[reviewer]],OrgTree!$A:$K, 11, 0), "not ICG SWFW"))</f>
        <v>BJ And dev</v>
      </c>
      <c r="T990" s="7" t="str">
        <f>IF(ISBLANK(patch[[#This Row],[mergeDate]]), "", MID(YEAR(patch[[#This Row],[mergeDate]]), 3,2)&amp;"'ww"&amp;WEEKNUM(patch[[#This Row],[mergeDate]]))</f>
        <v>16'ww39</v>
      </c>
      <c r="U990" s="7" t="str">
        <f>IF(ISBLANK(patch[[#This Row],[mergeDate]]), U989, MID(YEAR(patch[[#This Row],[mergeDate]]), 3,2)&amp;"'m"&amp;MONTH(patch[[#This Row],[mergeDate]]))</f>
        <v>16'm9</v>
      </c>
      <c r="V990" s="7" t="str">
        <f>IF(ISBLANK(patch[[#This Row],[project]]), "",SUM(patch[[#This Row],[BJ -1 num]:[SH -1 num]]))</f>
        <v/>
      </c>
      <c r="W990" s="7" t="str">
        <f>IF(ISBLANK(patch[[#This Row],[project]]), "",COUNTIFS($A:$A,patch[[#This Row],[number]],$S:$S, "BJ And dev",$AC:$AC, "Review-1"))</f>
        <v/>
      </c>
      <c r="X990" s="7" t="str">
        <f>IF(ISBLANK(patch[[#This Row],[project]]), "",COUNTIFS($A:$A,patch[[#This Row],[number]],$S:$S, "FL And dev",$AC:$AC, "Review-1"))</f>
        <v/>
      </c>
      <c r="Y990" s="7" t="str">
        <f>IF(ISBLANK(patch[[#This Row],[project]]), "",COUNTIFS($A:$A,patch[[#This Row],[number]],$S:$S, "SH And dev",$AC:$AC, "Review-1"))</f>
        <v/>
      </c>
      <c r="Z990" s="7" t="str">
        <f>IF(ISBLANK(patch[[#This Row],[project]]), "",COUNTIFS($A:$A,patch[[#This Row],[number]],$S:$S, "BJ And dev",$AD:$AD, "&lt;&gt;IntegratorValidationComment"))</f>
        <v/>
      </c>
      <c r="AA990" s="7" t="str">
        <f>IF(ISBLANK(patch[[#This Row],[project]]), "",COUNTIFS($A:$A,patch[[#This Row],[number]],$S:$S, "FL And dev",$AD:$AD, "&lt;&gt;IntegratorValidationComment"))</f>
        <v/>
      </c>
      <c r="AB990" s="7" t="str">
        <f>IF(ISBLANK(patch[[#This Row],[project]]), "",COUNTIFS($A:$A,patch[[#This Row],[number]],$S:$S, "SH And dev",$AD:$AD, "&lt;&gt;IntegratorValidationComment"))</f>
        <v/>
      </c>
      <c r="AC990" s="7" t="str">
        <f>IF(OR(ISNUMBER(FIND("Review-1", patch[[#This Row],[comments]])), ISNUMBER(FIND("Approver-1", patch[[#This Row],[comments]]))), "Review-1", "")</f>
        <v/>
      </c>
      <c r="AD9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90" s="7">
        <f>IF(ISBLANK(patch[[#This Row],[number]]),AE989,patch[[#This Row],[ifCommon]])</f>
        <v>0</v>
      </c>
    </row>
    <row r="991" spans="1:31">
      <c r="A991" s="151">
        <v>146538</v>
      </c>
      <c r="B991" s="151"/>
      <c r="C991" s="151"/>
      <c r="D991" s="151"/>
      <c r="E991" s="151"/>
      <c r="F991" s="151"/>
      <c r="G991" s="151"/>
      <c r="H991" s="151"/>
      <c r="I991" s="151"/>
      <c r="J991" s="152">
        <v>42634.753761574073</v>
      </c>
      <c r="K991" s="151"/>
      <c r="L991" s="151" t="s">
        <v>115</v>
      </c>
      <c r="M991" s="152">
        <v>42634.548935185187</v>
      </c>
      <c r="N991" s="151" t="s">
        <v>2494</v>
      </c>
      <c r="O991" s="151"/>
      <c r="P991" s="151"/>
      <c r="Q991" s="7" t="str">
        <f>IF(ISBLANK(patch[[#This Row],[OwnerEmail]]),Q990,patch[[#This Row],[OwnerEmail]])</f>
        <v>qingwu.zhang@intel.com</v>
      </c>
      <c r="R991" s="7" t="str">
        <f>_xlfn.IFNA(VLOOKUP(patch[[#This Row],[tmp-owner.email]],OrgTree!$A:$K, 11, 0), "not ICG SWFW")</f>
        <v>BJ And dev</v>
      </c>
      <c r="S991" s="7" t="str">
        <f>IF(patch[[#This Row],[reviewer]]=patch[[#This Row],[tmp-owner.email]], "author", _xlfn.IFNA(VLOOKUP(patch[[#This Row],[reviewer]],OrgTree!$A:$K, 11, 0), "not ICG SWFW"))</f>
        <v>Val</v>
      </c>
      <c r="T991" s="7" t="str">
        <f>IF(ISBLANK(patch[[#This Row],[mergeDate]]), "", MID(YEAR(patch[[#This Row],[mergeDate]]), 3,2)&amp;"'ww"&amp;WEEKNUM(patch[[#This Row],[mergeDate]]))</f>
        <v>16'ww39</v>
      </c>
      <c r="U991" s="7" t="str">
        <f>IF(ISBLANK(patch[[#This Row],[mergeDate]]), U990, MID(YEAR(patch[[#This Row],[mergeDate]]), 3,2)&amp;"'m"&amp;MONTH(patch[[#This Row],[mergeDate]]))</f>
        <v>16'm9</v>
      </c>
      <c r="V991" s="7" t="str">
        <f>IF(ISBLANK(patch[[#This Row],[project]]), "",SUM(patch[[#This Row],[BJ -1 num]:[SH -1 num]]))</f>
        <v/>
      </c>
      <c r="W991" s="7" t="str">
        <f>IF(ISBLANK(patch[[#This Row],[project]]), "",COUNTIFS($A:$A,patch[[#This Row],[number]],$S:$S, "BJ And dev",$AC:$AC, "Review-1"))</f>
        <v/>
      </c>
      <c r="X991" s="7" t="str">
        <f>IF(ISBLANK(patch[[#This Row],[project]]), "",COUNTIFS($A:$A,patch[[#This Row],[number]],$S:$S, "FL And dev",$AC:$AC, "Review-1"))</f>
        <v/>
      </c>
      <c r="Y991" s="7" t="str">
        <f>IF(ISBLANK(patch[[#This Row],[project]]), "",COUNTIFS($A:$A,patch[[#This Row],[number]],$S:$S, "SH And dev",$AC:$AC, "Review-1"))</f>
        <v/>
      </c>
      <c r="Z991" s="7" t="str">
        <f>IF(ISBLANK(patch[[#This Row],[project]]), "",COUNTIFS($A:$A,patch[[#This Row],[number]],$S:$S, "BJ And dev",$AD:$AD, "&lt;&gt;IntegratorValidationComment"))</f>
        <v/>
      </c>
      <c r="AA991" s="7" t="str">
        <f>IF(ISBLANK(patch[[#This Row],[project]]), "",COUNTIFS($A:$A,patch[[#This Row],[number]],$S:$S, "FL And dev",$AD:$AD, "&lt;&gt;IntegratorValidationComment"))</f>
        <v/>
      </c>
      <c r="AB991" s="7" t="str">
        <f>IF(ISBLANK(patch[[#This Row],[project]]), "",COUNTIFS($A:$A,patch[[#This Row],[number]],$S:$S, "SH And dev",$AD:$AD, "&lt;&gt;IntegratorValidationComment"))</f>
        <v/>
      </c>
      <c r="AC991" s="7" t="str">
        <f>IF(OR(ISNUMBER(FIND("Review-1", patch[[#This Row],[comments]])), ISNUMBER(FIND("Approver-1", patch[[#This Row],[comments]]))), "Review-1", "")</f>
        <v/>
      </c>
      <c r="AD9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991" s="7">
        <f>IF(ISBLANK(patch[[#This Row],[number]]),AE990,patch[[#This Row],[ifCommon]])</f>
        <v>0</v>
      </c>
    </row>
    <row r="992" spans="1:31">
      <c r="A992" s="151">
        <v>146528</v>
      </c>
      <c r="B992" s="151" t="s">
        <v>2490</v>
      </c>
      <c r="C992" s="151" t="s">
        <v>2491</v>
      </c>
      <c r="D992" s="151" t="s">
        <v>2948</v>
      </c>
      <c r="E992" s="151" t="s">
        <v>59</v>
      </c>
      <c r="F992" s="151" t="s">
        <v>23</v>
      </c>
      <c r="G992" s="151" t="s">
        <v>2949</v>
      </c>
      <c r="H992" s="151" t="s">
        <v>2950</v>
      </c>
      <c r="I992" s="152">
        <v>42633.541666666657</v>
      </c>
      <c r="J992" s="152">
        <v>42634.753668981481</v>
      </c>
      <c r="K992" s="151" t="s">
        <v>2445</v>
      </c>
      <c r="L992" s="151" t="s">
        <v>59</v>
      </c>
      <c r="M992" s="152">
        <v>42633.541666666657</v>
      </c>
      <c r="N992" s="151" t="s">
        <v>2428</v>
      </c>
      <c r="O992" s="151"/>
      <c r="P992" s="151" t="s">
        <v>2725</v>
      </c>
      <c r="Q992" s="7" t="str">
        <f>IF(ISBLANK(patch[[#This Row],[OwnerEmail]]),Q991,patch[[#This Row],[OwnerEmail]])</f>
        <v>xiaozhou.liu@intel.com</v>
      </c>
      <c r="R992" s="7" t="str">
        <f>_xlfn.IFNA(VLOOKUP(patch[[#This Row],[tmp-owner.email]],OrgTree!$A:$K, 11, 0), "not ICG SWFW")</f>
        <v>BJ And dev</v>
      </c>
      <c r="S992" s="7" t="str">
        <f>IF(patch[[#This Row],[reviewer]]=patch[[#This Row],[tmp-owner.email]], "author", _xlfn.IFNA(VLOOKUP(patch[[#This Row],[reviewer]],OrgTree!$A:$K, 11, 0), "not ICG SWFW"))</f>
        <v>author</v>
      </c>
      <c r="T992" s="7" t="str">
        <f>IF(ISBLANK(patch[[#This Row],[mergeDate]]), "", MID(YEAR(patch[[#This Row],[mergeDate]]), 3,2)&amp;"'ww"&amp;WEEKNUM(patch[[#This Row],[mergeDate]]))</f>
        <v>16'ww39</v>
      </c>
      <c r="U992" s="7" t="str">
        <f>IF(ISBLANK(patch[[#This Row],[mergeDate]]), U991, MID(YEAR(patch[[#This Row],[mergeDate]]), 3,2)&amp;"'m"&amp;MONTH(patch[[#This Row],[mergeDate]]))</f>
        <v>16'm9</v>
      </c>
      <c r="V992" s="7">
        <f>IF(ISBLANK(patch[[#This Row],[project]]), "",SUM(patch[[#This Row],[BJ -1 num]:[SH -1 num]]))</f>
        <v>0</v>
      </c>
      <c r="W992" s="7">
        <f>IF(ISBLANK(patch[[#This Row],[project]]), "",COUNTIFS($A:$A,patch[[#This Row],[number]],$S:$S, "BJ And dev",$AC:$AC, "Review-1"))</f>
        <v>0</v>
      </c>
      <c r="X992" s="7">
        <f>IF(ISBLANK(patch[[#This Row],[project]]), "",COUNTIFS($A:$A,patch[[#This Row],[number]],$S:$S, "FL And dev",$AC:$AC, "Review-1"))</f>
        <v>0</v>
      </c>
      <c r="Y992" s="7">
        <f>IF(ISBLANK(patch[[#This Row],[project]]), "",COUNTIFS($A:$A,patch[[#This Row],[number]],$S:$S, "SH And dev",$AC:$AC, "Review-1"))</f>
        <v>0</v>
      </c>
      <c r="Z992" s="7">
        <f>IF(ISBLANK(patch[[#This Row],[project]]), "",COUNTIFS($A:$A,patch[[#This Row],[number]],$S:$S, "BJ And dev",$AD:$AD, "&lt;&gt;IntegratorValidationComment"))</f>
        <v>3</v>
      </c>
      <c r="AA992" s="7">
        <f>IF(ISBLANK(patch[[#This Row],[project]]), "",COUNTIFS($A:$A,patch[[#This Row],[number]],$S:$S, "FL And dev",$AD:$AD, "&lt;&gt;IntegratorValidationComment"))</f>
        <v>0</v>
      </c>
      <c r="AB992" s="7">
        <f>IF(ISBLANK(patch[[#This Row],[project]]), "",COUNTIFS($A:$A,patch[[#This Row],[number]],$S:$S, "SH And dev",$AD:$AD, "&lt;&gt;IntegratorValidationComment"))</f>
        <v>0</v>
      </c>
      <c r="AC992" s="7" t="str">
        <f>IF(OR(ISNUMBER(FIND("Review-1", patch[[#This Row],[comments]])), ISNUMBER(FIND("Approver-1", patch[[#This Row],[comments]]))), "Review-1", "")</f>
        <v/>
      </c>
      <c r="AD9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92" s="7" t="str">
        <f>IF(ISBLANK(patch[[#This Row],[number]]),AE991,patch[[#This Row],[ifCommon]])</f>
        <v>not AndrHAL</v>
      </c>
    </row>
    <row r="993" spans="1:31">
      <c r="A993" s="151">
        <v>146528</v>
      </c>
      <c r="B993" s="151"/>
      <c r="C993" s="151"/>
      <c r="D993" s="151"/>
      <c r="E993" s="151"/>
      <c r="F993" s="151"/>
      <c r="G993" s="151"/>
      <c r="H993" s="151"/>
      <c r="I993" s="151"/>
      <c r="J993" s="152">
        <v>42634.753668981481</v>
      </c>
      <c r="K993" s="151"/>
      <c r="L993" s="151" t="s">
        <v>59</v>
      </c>
      <c r="M993" s="152">
        <v>42633.541666666657</v>
      </c>
      <c r="N993" s="151" t="s">
        <v>25</v>
      </c>
      <c r="O993" s="151"/>
      <c r="P993" s="151"/>
      <c r="Q993" s="7" t="str">
        <f>IF(ISBLANK(patch[[#This Row],[OwnerEmail]]),Q992,patch[[#This Row],[OwnerEmail]])</f>
        <v>xiaozhou.liu@intel.com</v>
      </c>
      <c r="R993" s="7" t="str">
        <f>_xlfn.IFNA(VLOOKUP(patch[[#This Row],[tmp-owner.email]],OrgTree!$A:$K, 11, 0), "not ICG SWFW")</f>
        <v>BJ And dev</v>
      </c>
      <c r="S993" s="7" t="str">
        <f>IF(patch[[#This Row],[reviewer]]=patch[[#This Row],[tmp-owner.email]], "author", _xlfn.IFNA(VLOOKUP(patch[[#This Row],[reviewer]],OrgTree!$A:$K, 11, 0), "not ICG SWFW"))</f>
        <v>author</v>
      </c>
      <c r="T993" s="7" t="str">
        <f>IF(ISBLANK(patch[[#This Row],[mergeDate]]), "", MID(YEAR(patch[[#This Row],[mergeDate]]), 3,2)&amp;"'ww"&amp;WEEKNUM(patch[[#This Row],[mergeDate]]))</f>
        <v>16'ww39</v>
      </c>
      <c r="U993" s="7" t="str">
        <f>IF(ISBLANK(patch[[#This Row],[mergeDate]]), U992, MID(YEAR(patch[[#This Row],[mergeDate]]), 3,2)&amp;"'m"&amp;MONTH(patch[[#This Row],[mergeDate]]))</f>
        <v>16'm9</v>
      </c>
      <c r="V993" s="7" t="str">
        <f>IF(ISBLANK(patch[[#This Row],[project]]), "",SUM(patch[[#This Row],[BJ -1 num]:[SH -1 num]]))</f>
        <v/>
      </c>
      <c r="W993" s="7" t="str">
        <f>IF(ISBLANK(patch[[#This Row],[project]]), "",COUNTIFS($A:$A,patch[[#This Row],[number]],$S:$S, "BJ And dev",$AC:$AC, "Review-1"))</f>
        <v/>
      </c>
      <c r="X993" s="7" t="str">
        <f>IF(ISBLANK(patch[[#This Row],[project]]), "",COUNTIFS($A:$A,patch[[#This Row],[number]],$S:$S, "FL And dev",$AC:$AC, "Review-1"))</f>
        <v/>
      </c>
      <c r="Y993" s="7" t="str">
        <f>IF(ISBLANK(patch[[#This Row],[project]]), "",COUNTIFS($A:$A,patch[[#This Row],[number]],$S:$S, "SH And dev",$AC:$AC, "Review-1"))</f>
        <v/>
      </c>
      <c r="Z993" s="7" t="str">
        <f>IF(ISBLANK(patch[[#This Row],[project]]), "",COUNTIFS($A:$A,patch[[#This Row],[number]],$S:$S, "BJ And dev",$AD:$AD, "&lt;&gt;IntegratorValidationComment"))</f>
        <v/>
      </c>
      <c r="AA993" s="7" t="str">
        <f>IF(ISBLANK(patch[[#This Row],[project]]), "",COUNTIFS($A:$A,patch[[#This Row],[number]],$S:$S, "FL And dev",$AD:$AD, "&lt;&gt;IntegratorValidationComment"))</f>
        <v/>
      </c>
      <c r="AB993" s="7" t="str">
        <f>IF(ISBLANK(patch[[#This Row],[project]]), "",COUNTIFS($A:$A,patch[[#This Row],[number]],$S:$S, "SH And dev",$AD:$AD, "&lt;&gt;IntegratorValidationComment"))</f>
        <v/>
      </c>
      <c r="AC993" s="7" t="str">
        <f>IF(OR(ISNUMBER(FIND("Review-1", patch[[#This Row],[comments]])), ISNUMBER(FIND("Approver-1", patch[[#This Row],[comments]]))), "Review-1", "")</f>
        <v/>
      </c>
      <c r="AD9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93" s="7">
        <f>IF(ISBLANK(patch[[#This Row],[number]]),AE992,patch[[#This Row],[ifCommon]])</f>
        <v>0</v>
      </c>
    </row>
    <row r="994" spans="1:31">
      <c r="A994" s="151">
        <v>146528</v>
      </c>
      <c r="B994" s="151"/>
      <c r="C994" s="151"/>
      <c r="D994" s="151"/>
      <c r="E994" s="151"/>
      <c r="F994" s="151"/>
      <c r="G994" s="151"/>
      <c r="H994" s="151"/>
      <c r="I994" s="151"/>
      <c r="J994" s="152">
        <v>42634.753668981481</v>
      </c>
      <c r="K994" s="151"/>
      <c r="L994" s="151" t="s">
        <v>59</v>
      </c>
      <c r="M994" s="152">
        <v>42633.550081018519</v>
      </c>
      <c r="N994" s="151" t="s">
        <v>3103</v>
      </c>
      <c r="O994" s="151"/>
      <c r="P994" s="151"/>
      <c r="Q994" s="7" t="str">
        <f>IF(ISBLANK(patch[[#This Row],[OwnerEmail]]),Q993,patch[[#This Row],[OwnerEmail]])</f>
        <v>xiaozhou.liu@intel.com</v>
      </c>
      <c r="R994" s="7" t="str">
        <f>_xlfn.IFNA(VLOOKUP(patch[[#This Row],[tmp-owner.email]],OrgTree!$A:$K, 11, 0), "not ICG SWFW")</f>
        <v>BJ And dev</v>
      </c>
      <c r="S994" s="7" t="str">
        <f>IF(patch[[#This Row],[reviewer]]=patch[[#This Row],[tmp-owner.email]], "author", _xlfn.IFNA(VLOOKUP(patch[[#This Row],[reviewer]],OrgTree!$A:$K, 11, 0), "not ICG SWFW"))</f>
        <v>author</v>
      </c>
      <c r="T994" s="7" t="str">
        <f>IF(ISBLANK(patch[[#This Row],[mergeDate]]), "", MID(YEAR(patch[[#This Row],[mergeDate]]), 3,2)&amp;"'ww"&amp;WEEKNUM(patch[[#This Row],[mergeDate]]))</f>
        <v>16'ww39</v>
      </c>
      <c r="U994" s="7" t="str">
        <f>IF(ISBLANK(patch[[#This Row],[mergeDate]]), U993, MID(YEAR(patch[[#This Row],[mergeDate]]), 3,2)&amp;"'m"&amp;MONTH(patch[[#This Row],[mergeDate]]))</f>
        <v>16'm9</v>
      </c>
      <c r="V994" s="7" t="str">
        <f>IF(ISBLANK(patch[[#This Row],[project]]), "",SUM(patch[[#This Row],[BJ -1 num]:[SH -1 num]]))</f>
        <v/>
      </c>
      <c r="W994" s="7" t="str">
        <f>IF(ISBLANK(patch[[#This Row],[project]]), "",COUNTIFS($A:$A,patch[[#This Row],[number]],$S:$S, "BJ And dev",$AC:$AC, "Review-1"))</f>
        <v/>
      </c>
      <c r="X994" s="7" t="str">
        <f>IF(ISBLANK(patch[[#This Row],[project]]), "",COUNTIFS($A:$A,patch[[#This Row],[number]],$S:$S, "FL And dev",$AC:$AC, "Review-1"))</f>
        <v/>
      </c>
      <c r="Y994" s="7" t="str">
        <f>IF(ISBLANK(patch[[#This Row],[project]]), "",COUNTIFS($A:$A,patch[[#This Row],[number]],$S:$S, "SH And dev",$AC:$AC, "Review-1"))</f>
        <v/>
      </c>
      <c r="Z994" s="7" t="str">
        <f>IF(ISBLANK(patch[[#This Row],[project]]), "",COUNTIFS($A:$A,patch[[#This Row],[number]],$S:$S, "BJ And dev",$AD:$AD, "&lt;&gt;IntegratorValidationComment"))</f>
        <v/>
      </c>
      <c r="AA994" s="7" t="str">
        <f>IF(ISBLANK(patch[[#This Row],[project]]), "",COUNTIFS($A:$A,patch[[#This Row],[number]],$S:$S, "FL And dev",$AD:$AD, "&lt;&gt;IntegratorValidationComment"))</f>
        <v/>
      </c>
      <c r="AB994" s="7" t="str">
        <f>IF(ISBLANK(patch[[#This Row],[project]]), "",COUNTIFS($A:$A,patch[[#This Row],[number]],$S:$S, "SH And dev",$AD:$AD, "&lt;&gt;IntegratorValidationComment"))</f>
        <v/>
      </c>
      <c r="AC994" s="7" t="str">
        <f>IF(OR(ISNUMBER(FIND("Review-1", patch[[#This Row],[comments]])), ISNUMBER(FIND("Approver-1", patch[[#This Row],[comments]]))), "Review-1", "")</f>
        <v/>
      </c>
      <c r="AD9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94" s="7">
        <f>IF(ISBLANK(patch[[#This Row],[number]]),AE993,patch[[#This Row],[ifCommon]])</f>
        <v>0</v>
      </c>
    </row>
    <row r="995" spans="1:31">
      <c r="A995" s="151">
        <v>146528</v>
      </c>
      <c r="B995" s="151"/>
      <c r="C995" s="151"/>
      <c r="D995" s="151"/>
      <c r="E995" s="151"/>
      <c r="F995" s="151"/>
      <c r="G995" s="151"/>
      <c r="H995" s="151"/>
      <c r="I995" s="151"/>
      <c r="J995" s="152">
        <v>42634.753668981481</v>
      </c>
      <c r="K995" s="151"/>
      <c r="L995" s="151" t="s">
        <v>59</v>
      </c>
      <c r="M995" s="152">
        <v>42633.552557870367</v>
      </c>
      <c r="N995" s="151" t="s">
        <v>3104</v>
      </c>
      <c r="O995" s="151"/>
      <c r="P995" s="151"/>
      <c r="Q995" s="7" t="str">
        <f>IF(ISBLANK(patch[[#This Row],[OwnerEmail]]),Q994,patch[[#This Row],[OwnerEmail]])</f>
        <v>xiaozhou.liu@intel.com</v>
      </c>
      <c r="R995" s="7" t="str">
        <f>_xlfn.IFNA(VLOOKUP(patch[[#This Row],[tmp-owner.email]],OrgTree!$A:$K, 11, 0), "not ICG SWFW")</f>
        <v>BJ And dev</v>
      </c>
      <c r="S995" s="7" t="str">
        <f>IF(patch[[#This Row],[reviewer]]=patch[[#This Row],[tmp-owner.email]], "author", _xlfn.IFNA(VLOOKUP(patch[[#This Row],[reviewer]],OrgTree!$A:$K, 11, 0), "not ICG SWFW"))</f>
        <v>author</v>
      </c>
      <c r="T995" s="7" t="str">
        <f>IF(ISBLANK(patch[[#This Row],[mergeDate]]), "", MID(YEAR(patch[[#This Row],[mergeDate]]), 3,2)&amp;"'ww"&amp;WEEKNUM(patch[[#This Row],[mergeDate]]))</f>
        <v>16'ww39</v>
      </c>
      <c r="U995" s="7" t="str">
        <f>IF(ISBLANK(patch[[#This Row],[mergeDate]]), U994, MID(YEAR(patch[[#This Row],[mergeDate]]), 3,2)&amp;"'m"&amp;MONTH(patch[[#This Row],[mergeDate]]))</f>
        <v>16'm9</v>
      </c>
      <c r="V995" s="7" t="str">
        <f>IF(ISBLANK(patch[[#This Row],[project]]), "",SUM(patch[[#This Row],[BJ -1 num]:[SH -1 num]]))</f>
        <v/>
      </c>
      <c r="W995" s="7" t="str">
        <f>IF(ISBLANK(patch[[#This Row],[project]]), "",COUNTIFS($A:$A,patch[[#This Row],[number]],$S:$S, "BJ And dev",$AC:$AC, "Review-1"))</f>
        <v/>
      </c>
      <c r="X995" s="7" t="str">
        <f>IF(ISBLANK(patch[[#This Row],[project]]), "",COUNTIFS($A:$A,patch[[#This Row],[number]],$S:$S, "FL And dev",$AC:$AC, "Review-1"))</f>
        <v/>
      </c>
      <c r="Y995" s="7" t="str">
        <f>IF(ISBLANK(patch[[#This Row],[project]]), "",COUNTIFS($A:$A,patch[[#This Row],[number]],$S:$S, "SH And dev",$AC:$AC, "Review-1"))</f>
        <v/>
      </c>
      <c r="Z995" s="7" t="str">
        <f>IF(ISBLANK(patch[[#This Row],[project]]), "",COUNTIFS($A:$A,patch[[#This Row],[number]],$S:$S, "BJ And dev",$AD:$AD, "&lt;&gt;IntegratorValidationComment"))</f>
        <v/>
      </c>
      <c r="AA995" s="7" t="str">
        <f>IF(ISBLANK(patch[[#This Row],[project]]), "",COUNTIFS($A:$A,patch[[#This Row],[number]],$S:$S, "FL And dev",$AD:$AD, "&lt;&gt;IntegratorValidationComment"))</f>
        <v/>
      </c>
      <c r="AB995" s="7" t="str">
        <f>IF(ISBLANK(patch[[#This Row],[project]]), "",COUNTIFS($A:$A,patch[[#This Row],[number]],$S:$S, "SH And dev",$AD:$AD, "&lt;&gt;IntegratorValidationComment"))</f>
        <v/>
      </c>
      <c r="AC995" s="7" t="str">
        <f>IF(OR(ISNUMBER(FIND("Review-1", patch[[#This Row],[comments]])), ISNUMBER(FIND("Approver-1", patch[[#This Row],[comments]]))), "Review-1", "")</f>
        <v/>
      </c>
      <c r="AD9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95" s="7">
        <f>IF(ISBLANK(patch[[#This Row],[number]]),AE994,patch[[#This Row],[ifCommon]])</f>
        <v>0</v>
      </c>
    </row>
    <row r="996" spans="1:31">
      <c r="A996" s="151">
        <v>146528</v>
      </c>
      <c r="B996" s="151"/>
      <c r="C996" s="151"/>
      <c r="D996" s="151"/>
      <c r="E996" s="151"/>
      <c r="F996" s="151"/>
      <c r="G996" s="151"/>
      <c r="H996" s="151"/>
      <c r="I996" s="151"/>
      <c r="J996" s="152">
        <v>42634.753668981481</v>
      </c>
      <c r="K996" s="151"/>
      <c r="L996" s="151" t="s">
        <v>32</v>
      </c>
      <c r="M996" s="152">
        <v>42633.567650462966</v>
      </c>
      <c r="N996" s="151" t="s">
        <v>40</v>
      </c>
      <c r="O996" s="151"/>
      <c r="P996" s="151"/>
      <c r="Q996" s="7" t="str">
        <f>IF(ISBLANK(patch[[#This Row],[OwnerEmail]]),Q995,patch[[#This Row],[OwnerEmail]])</f>
        <v>xiaozhou.liu@intel.com</v>
      </c>
      <c r="R996" s="7" t="str">
        <f>_xlfn.IFNA(VLOOKUP(patch[[#This Row],[tmp-owner.email]],OrgTree!$A:$K, 11, 0), "not ICG SWFW")</f>
        <v>BJ And dev</v>
      </c>
      <c r="S996" s="7" t="str">
        <f>IF(patch[[#This Row],[reviewer]]=patch[[#This Row],[tmp-owner.email]], "author", _xlfn.IFNA(VLOOKUP(patch[[#This Row],[reviewer]],OrgTree!$A:$K, 11, 0), "not ICG SWFW"))</f>
        <v>BJ And dev</v>
      </c>
      <c r="T996" s="7" t="str">
        <f>IF(ISBLANK(patch[[#This Row],[mergeDate]]), "", MID(YEAR(patch[[#This Row],[mergeDate]]), 3,2)&amp;"'ww"&amp;WEEKNUM(patch[[#This Row],[mergeDate]]))</f>
        <v>16'ww39</v>
      </c>
      <c r="U996" s="7" t="str">
        <f>IF(ISBLANK(patch[[#This Row],[mergeDate]]), U995, MID(YEAR(patch[[#This Row],[mergeDate]]), 3,2)&amp;"'m"&amp;MONTH(patch[[#This Row],[mergeDate]]))</f>
        <v>16'm9</v>
      </c>
      <c r="V996" s="7" t="str">
        <f>IF(ISBLANK(patch[[#This Row],[project]]), "",SUM(patch[[#This Row],[BJ -1 num]:[SH -1 num]]))</f>
        <v/>
      </c>
      <c r="W996" s="7" t="str">
        <f>IF(ISBLANK(patch[[#This Row],[project]]), "",COUNTIFS($A:$A,patch[[#This Row],[number]],$S:$S, "BJ And dev",$AC:$AC, "Review-1"))</f>
        <v/>
      </c>
      <c r="X996" s="7" t="str">
        <f>IF(ISBLANK(patch[[#This Row],[project]]), "",COUNTIFS($A:$A,patch[[#This Row],[number]],$S:$S, "FL And dev",$AC:$AC, "Review-1"))</f>
        <v/>
      </c>
      <c r="Y996" s="7" t="str">
        <f>IF(ISBLANK(patch[[#This Row],[project]]), "",COUNTIFS($A:$A,patch[[#This Row],[number]],$S:$S, "SH And dev",$AC:$AC, "Review-1"))</f>
        <v/>
      </c>
      <c r="Z996" s="7" t="str">
        <f>IF(ISBLANK(patch[[#This Row],[project]]), "",COUNTIFS($A:$A,patch[[#This Row],[number]],$S:$S, "BJ And dev",$AD:$AD, "&lt;&gt;IntegratorValidationComment"))</f>
        <v/>
      </c>
      <c r="AA996" s="7" t="str">
        <f>IF(ISBLANK(patch[[#This Row],[project]]), "",COUNTIFS($A:$A,patch[[#This Row],[number]],$S:$S, "FL And dev",$AD:$AD, "&lt;&gt;IntegratorValidationComment"))</f>
        <v/>
      </c>
      <c r="AB996" s="7" t="str">
        <f>IF(ISBLANK(patch[[#This Row],[project]]), "",COUNTIFS($A:$A,patch[[#This Row],[number]],$S:$S, "SH And dev",$AD:$AD, "&lt;&gt;IntegratorValidationComment"))</f>
        <v/>
      </c>
      <c r="AC996" s="7" t="str">
        <f>IF(OR(ISNUMBER(FIND("Review-1", patch[[#This Row],[comments]])), ISNUMBER(FIND("Approver-1", patch[[#This Row],[comments]]))), "Review-1", "")</f>
        <v/>
      </c>
      <c r="AD9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96" s="7">
        <f>IF(ISBLANK(patch[[#This Row],[number]]),AE995,patch[[#This Row],[ifCommon]])</f>
        <v>0</v>
      </c>
    </row>
    <row r="997" spans="1:31">
      <c r="A997" s="151">
        <v>146528</v>
      </c>
      <c r="B997" s="151"/>
      <c r="C997" s="151"/>
      <c r="D997" s="151"/>
      <c r="E997" s="151"/>
      <c r="F997" s="151"/>
      <c r="G997" s="151"/>
      <c r="H997" s="151"/>
      <c r="I997" s="151"/>
      <c r="J997" s="152">
        <v>42634.753668981481</v>
      </c>
      <c r="K997" s="151"/>
      <c r="L997" s="151" t="s">
        <v>59</v>
      </c>
      <c r="M997" s="152">
        <v>42633.570185185177</v>
      </c>
      <c r="N997" s="151" t="s">
        <v>40</v>
      </c>
      <c r="O997" s="151"/>
      <c r="P997" s="151"/>
      <c r="Q997" s="7" t="str">
        <f>IF(ISBLANK(patch[[#This Row],[OwnerEmail]]),Q996,patch[[#This Row],[OwnerEmail]])</f>
        <v>xiaozhou.liu@intel.com</v>
      </c>
      <c r="R997" s="7" t="str">
        <f>_xlfn.IFNA(VLOOKUP(patch[[#This Row],[tmp-owner.email]],OrgTree!$A:$K, 11, 0), "not ICG SWFW")</f>
        <v>BJ And dev</v>
      </c>
      <c r="S997" s="7" t="str">
        <f>IF(patch[[#This Row],[reviewer]]=patch[[#This Row],[tmp-owner.email]], "author", _xlfn.IFNA(VLOOKUP(patch[[#This Row],[reviewer]],OrgTree!$A:$K, 11, 0), "not ICG SWFW"))</f>
        <v>author</v>
      </c>
      <c r="T997" s="7" t="str">
        <f>IF(ISBLANK(patch[[#This Row],[mergeDate]]), "", MID(YEAR(patch[[#This Row],[mergeDate]]), 3,2)&amp;"'ww"&amp;WEEKNUM(patch[[#This Row],[mergeDate]]))</f>
        <v>16'ww39</v>
      </c>
      <c r="U997" s="7" t="str">
        <f>IF(ISBLANK(patch[[#This Row],[mergeDate]]), U996, MID(YEAR(patch[[#This Row],[mergeDate]]), 3,2)&amp;"'m"&amp;MONTH(patch[[#This Row],[mergeDate]]))</f>
        <v>16'm9</v>
      </c>
      <c r="V997" s="7" t="str">
        <f>IF(ISBLANK(patch[[#This Row],[project]]), "",SUM(patch[[#This Row],[BJ -1 num]:[SH -1 num]]))</f>
        <v/>
      </c>
      <c r="W997" s="7" t="str">
        <f>IF(ISBLANK(patch[[#This Row],[project]]), "",COUNTIFS($A:$A,patch[[#This Row],[number]],$S:$S, "BJ And dev",$AC:$AC, "Review-1"))</f>
        <v/>
      </c>
      <c r="X997" s="7" t="str">
        <f>IF(ISBLANK(patch[[#This Row],[project]]), "",COUNTIFS($A:$A,patch[[#This Row],[number]],$S:$S, "FL And dev",$AC:$AC, "Review-1"))</f>
        <v/>
      </c>
      <c r="Y997" s="7" t="str">
        <f>IF(ISBLANK(patch[[#This Row],[project]]), "",COUNTIFS($A:$A,patch[[#This Row],[number]],$S:$S, "SH And dev",$AC:$AC, "Review-1"))</f>
        <v/>
      </c>
      <c r="Z997" s="7" t="str">
        <f>IF(ISBLANK(patch[[#This Row],[project]]), "",COUNTIFS($A:$A,patch[[#This Row],[number]],$S:$S, "BJ And dev",$AD:$AD, "&lt;&gt;IntegratorValidationComment"))</f>
        <v/>
      </c>
      <c r="AA997" s="7" t="str">
        <f>IF(ISBLANK(patch[[#This Row],[project]]), "",COUNTIFS($A:$A,patch[[#This Row],[number]],$S:$S, "FL And dev",$AD:$AD, "&lt;&gt;IntegratorValidationComment"))</f>
        <v/>
      </c>
      <c r="AB997" s="7" t="str">
        <f>IF(ISBLANK(patch[[#This Row],[project]]), "",COUNTIFS($A:$A,patch[[#This Row],[number]],$S:$S, "SH And dev",$AD:$AD, "&lt;&gt;IntegratorValidationComment"))</f>
        <v/>
      </c>
      <c r="AC997" s="7" t="str">
        <f>IF(OR(ISNUMBER(FIND("Review-1", patch[[#This Row],[comments]])), ISNUMBER(FIND("Approver-1", patch[[#This Row],[comments]]))), "Review-1", "")</f>
        <v/>
      </c>
      <c r="AD9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97" s="7">
        <f>IF(ISBLANK(patch[[#This Row],[number]]),AE996,patch[[#This Row],[ifCommon]])</f>
        <v>0</v>
      </c>
    </row>
    <row r="998" spans="1:31">
      <c r="A998" s="151">
        <v>146528</v>
      </c>
      <c r="B998" s="151"/>
      <c r="C998" s="151"/>
      <c r="D998" s="151"/>
      <c r="E998" s="151"/>
      <c r="F998" s="151"/>
      <c r="G998" s="151"/>
      <c r="H998" s="151"/>
      <c r="I998" s="151"/>
      <c r="J998" s="152">
        <v>42634.753668981481</v>
      </c>
      <c r="K998" s="151"/>
      <c r="L998" s="151" t="s">
        <v>24</v>
      </c>
      <c r="M998" s="152">
        <v>42633.570416666669</v>
      </c>
      <c r="N998" s="151" t="s">
        <v>40</v>
      </c>
      <c r="O998" s="151"/>
      <c r="P998" s="151"/>
      <c r="Q998" s="7" t="str">
        <f>IF(ISBLANK(patch[[#This Row],[OwnerEmail]]),Q997,patch[[#This Row],[OwnerEmail]])</f>
        <v>xiaozhou.liu@intel.com</v>
      </c>
      <c r="R998" s="7" t="str">
        <f>_xlfn.IFNA(VLOOKUP(patch[[#This Row],[tmp-owner.email]],OrgTree!$A:$K, 11, 0), "not ICG SWFW")</f>
        <v>BJ And dev</v>
      </c>
      <c r="S998" s="7" t="str">
        <f>IF(patch[[#This Row],[reviewer]]=patch[[#This Row],[tmp-owner.email]], "author", _xlfn.IFNA(VLOOKUP(patch[[#This Row],[reviewer]],OrgTree!$A:$K, 11, 0), "not ICG SWFW"))</f>
        <v>BJ And dev</v>
      </c>
      <c r="T998" s="7" t="str">
        <f>IF(ISBLANK(patch[[#This Row],[mergeDate]]), "", MID(YEAR(patch[[#This Row],[mergeDate]]), 3,2)&amp;"'ww"&amp;WEEKNUM(patch[[#This Row],[mergeDate]]))</f>
        <v>16'ww39</v>
      </c>
      <c r="U998" s="7" t="str">
        <f>IF(ISBLANK(patch[[#This Row],[mergeDate]]), U997, MID(YEAR(patch[[#This Row],[mergeDate]]), 3,2)&amp;"'m"&amp;MONTH(patch[[#This Row],[mergeDate]]))</f>
        <v>16'm9</v>
      </c>
      <c r="V998" s="7" t="str">
        <f>IF(ISBLANK(patch[[#This Row],[project]]), "",SUM(patch[[#This Row],[BJ -1 num]:[SH -1 num]]))</f>
        <v/>
      </c>
      <c r="W998" s="7" t="str">
        <f>IF(ISBLANK(patch[[#This Row],[project]]), "",COUNTIFS($A:$A,patch[[#This Row],[number]],$S:$S, "BJ And dev",$AC:$AC, "Review-1"))</f>
        <v/>
      </c>
      <c r="X998" s="7" t="str">
        <f>IF(ISBLANK(patch[[#This Row],[project]]), "",COUNTIFS($A:$A,patch[[#This Row],[number]],$S:$S, "FL And dev",$AC:$AC, "Review-1"))</f>
        <v/>
      </c>
      <c r="Y998" s="7" t="str">
        <f>IF(ISBLANK(patch[[#This Row],[project]]), "",COUNTIFS($A:$A,patch[[#This Row],[number]],$S:$S, "SH And dev",$AC:$AC, "Review-1"))</f>
        <v/>
      </c>
      <c r="Z998" s="7" t="str">
        <f>IF(ISBLANK(patch[[#This Row],[project]]), "",COUNTIFS($A:$A,patch[[#This Row],[number]],$S:$S, "BJ And dev",$AD:$AD, "&lt;&gt;IntegratorValidationComment"))</f>
        <v/>
      </c>
      <c r="AA998" s="7" t="str">
        <f>IF(ISBLANK(patch[[#This Row],[project]]), "",COUNTIFS($A:$A,patch[[#This Row],[number]],$S:$S, "FL And dev",$AD:$AD, "&lt;&gt;IntegratorValidationComment"))</f>
        <v/>
      </c>
      <c r="AB998" s="7" t="str">
        <f>IF(ISBLANK(patch[[#This Row],[project]]), "",COUNTIFS($A:$A,patch[[#This Row],[number]],$S:$S, "SH And dev",$AD:$AD, "&lt;&gt;IntegratorValidationComment"))</f>
        <v/>
      </c>
      <c r="AC998" s="7" t="str">
        <f>IF(OR(ISNUMBER(FIND("Review-1", patch[[#This Row],[comments]])), ISNUMBER(FIND("Approver-1", patch[[#This Row],[comments]]))), "Review-1", "")</f>
        <v/>
      </c>
      <c r="AD9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98" s="7">
        <f>IF(ISBLANK(patch[[#This Row],[number]]),AE997,patch[[#This Row],[ifCommon]])</f>
        <v>0</v>
      </c>
    </row>
    <row r="999" spans="1:31">
      <c r="A999" s="151">
        <v>146528</v>
      </c>
      <c r="B999" s="151"/>
      <c r="C999" s="151"/>
      <c r="D999" s="151"/>
      <c r="E999" s="151"/>
      <c r="F999" s="151"/>
      <c r="G999" s="151"/>
      <c r="H999" s="151"/>
      <c r="I999" s="151"/>
      <c r="J999" s="152">
        <v>42634.753668981481</v>
      </c>
      <c r="K999" s="151"/>
      <c r="L999" s="151" t="s">
        <v>32</v>
      </c>
      <c r="M999" s="152">
        <v>42633.5940625</v>
      </c>
      <c r="N999" s="151" t="s">
        <v>58</v>
      </c>
      <c r="O999" s="151"/>
      <c r="P999" s="151"/>
      <c r="Q999" s="7" t="str">
        <f>IF(ISBLANK(patch[[#This Row],[OwnerEmail]]),Q998,patch[[#This Row],[OwnerEmail]])</f>
        <v>xiaozhou.liu@intel.com</v>
      </c>
      <c r="R999" s="7" t="str">
        <f>_xlfn.IFNA(VLOOKUP(patch[[#This Row],[tmp-owner.email]],OrgTree!$A:$K, 11, 0), "not ICG SWFW")</f>
        <v>BJ And dev</v>
      </c>
      <c r="S999" s="7" t="str">
        <f>IF(patch[[#This Row],[reviewer]]=patch[[#This Row],[tmp-owner.email]], "author", _xlfn.IFNA(VLOOKUP(patch[[#This Row],[reviewer]],OrgTree!$A:$K, 11, 0), "not ICG SWFW"))</f>
        <v>BJ And dev</v>
      </c>
      <c r="T999" s="7" t="str">
        <f>IF(ISBLANK(patch[[#This Row],[mergeDate]]), "", MID(YEAR(patch[[#This Row],[mergeDate]]), 3,2)&amp;"'ww"&amp;WEEKNUM(patch[[#This Row],[mergeDate]]))</f>
        <v>16'ww39</v>
      </c>
      <c r="U999" s="7" t="str">
        <f>IF(ISBLANK(patch[[#This Row],[mergeDate]]), U998, MID(YEAR(patch[[#This Row],[mergeDate]]), 3,2)&amp;"'m"&amp;MONTH(patch[[#This Row],[mergeDate]]))</f>
        <v>16'm9</v>
      </c>
      <c r="V999" s="7" t="str">
        <f>IF(ISBLANK(patch[[#This Row],[project]]), "",SUM(patch[[#This Row],[BJ -1 num]:[SH -1 num]]))</f>
        <v/>
      </c>
      <c r="W999" s="7" t="str">
        <f>IF(ISBLANK(patch[[#This Row],[project]]), "",COUNTIFS($A:$A,patch[[#This Row],[number]],$S:$S, "BJ And dev",$AC:$AC, "Review-1"))</f>
        <v/>
      </c>
      <c r="X999" s="7" t="str">
        <f>IF(ISBLANK(patch[[#This Row],[project]]), "",COUNTIFS($A:$A,patch[[#This Row],[number]],$S:$S, "FL And dev",$AC:$AC, "Review-1"))</f>
        <v/>
      </c>
      <c r="Y999" s="7" t="str">
        <f>IF(ISBLANK(patch[[#This Row],[project]]), "",COUNTIFS($A:$A,patch[[#This Row],[number]],$S:$S, "SH And dev",$AC:$AC, "Review-1"))</f>
        <v/>
      </c>
      <c r="Z999" s="7" t="str">
        <f>IF(ISBLANK(patch[[#This Row],[project]]), "",COUNTIFS($A:$A,patch[[#This Row],[number]],$S:$S, "BJ And dev",$AD:$AD, "&lt;&gt;IntegratorValidationComment"))</f>
        <v/>
      </c>
      <c r="AA999" s="7" t="str">
        <f>IF(ISBLANK(patch[[#This Row],[project]]), "",COUNTIFS($A:$A,patch[[#This Row],[number]],$S:$S, "FL And dev",$AD:$AD, "&lt;&gt;IntegratorValidationComment"))</f>
        <v/>
      </c>
      <c r="AB999" s="7" t="str">
        <f>IF(ISBLANK(patch[[#This Row],[project]]), "",COUNTIFS($A:$A,patch[[#This Row],[number]],$S:$S, "SH And dev",$AD:$AD, "&lt;&gt;IntegratorValidationComment"))</f>
        <v/>
      </c>
      <c r="AC999" s="7" t="str">
        <f>IF(OR(ISNUMBER(FIND("Review-1", patch[[#This Row],[comments]])), ISNUMBER(FIND("Approver-1", patch[[#This Row],[comments]]))), "Review-1", "")</f>
        <v/>
      </c>
      <c r="AD9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999" s="7">
        <f>IF(ISBLANK(patch[[#This Row],[number]]),AE998,patch[[#This Row],[ifCommon]])</f>
        <v>0</v>
      </c>
    </row>
    <row r="1000" spans="1:31">
      <c r="A1000" s="151">
        <v>146528</v>
      </c>
      <c r="B1000" s="151"/>
      <c r="C1000" s="151"/>
      <c r="D1000" s="151"/>
      <c r="E1000" s="151"/>
      <c r="F1000" s="151"/>
      <c r="G1000" s="151"/>
      <c r="H1000" s="151"/>
      <c r="I1000" s="151"/>
      <c r="J1000" s="152">
        <v>42634.753668981481</v>
      </c>
      <c r="K1000" s="151"/>
      <c r="L1000" s="151" t="s">
        <v>115</v>
      </c>
      <c r="M1000" s="152">
        <v>42634.54886574074</v>
      </c>
      <c r="N1000" s="151" t="s">
        <v>2494</v>
      </c>
      <c r="O1000" s="151"/>
      <c r="P1000" s="151"/>
      <c r="Q1000" s="7" t="str">
        <f>IF(ISBLANK(patch[[#This Row],[OwnerEmail]]),Q999,patch[[#This Row],[OwnerEmail]])</f>
        <v>xiaozhou.liu@intel.com</v>
      </c>
      <c r="R1000" s="7" t="str">
        <f>_xlfn.IFNA(VLOOKUP(patch[[#This Row],[tmp-owner.email]],OrgTree!$A:$K, 11, 0), "not ICG SWFW")</f>
        <v>BJ And dev</v>
      </c>
      <c r="S1000" s="7" t="str">
        <f>IF(patch[[#This Row],[reviewer]]=patch[[#This Row],[tmp-owner.email]], "author", _xlfn.IFNA(VLOOKUP(patch[[#This Row],[reviewer]],OrgTree!$A:$K, 11, 0), "not ICG SWFW"))</f>
        <v>Val</v>
      </c>
      <c r="T1000" s="7" t="str">
        <f>IF(ISBLANK(patch[[#This Row],[mergeDate]]), "", MID(YEAR(patch[[#This Row],[mergeDate]]), 3,2)&amp;"'ww"&amp;WEEKNUM(patch[[#This Row],[mergeDate]]))</f>
        <v>16'ww39</v>
      </c>
      <c r="U1000" s="7" t="str">
        <f>IF(ISBLANK(patch[[#This Row],[mergeDate]]), U999, MID(YEAR(patch[[#This Row],[mergeDate]]), 3,2)&amp;"'m"&amp;MONTH(patch[[#This Row],[mergeDate]]))</f>
        <v>16'm9</v>
      </c>
      <c r="V1000" s="7" t="str">
        <f>IF(ISBLANK(patch[[#This Row],[project]]), "",SUM(patch[[#This Row],[BJ -1 num]:[SH -1 num]]))</f>
        <v/>
      </c>
      <c r="W1000" s="7" t="str">
        <f>IF(ISBLANK(patch[[#This Row],[project]]), "",COUNTIFS($A:$A,patch[[#This Row],[number]],$S:$S, "BJ And dev",$AC:$AC, "Review-1"))</f>
        <v/>
      </c>
      <c r="X1000" s="7" t="str">
        <f>IF(ISBLANK(patch[[#This Row],[project]]), "",COUNTIFS($A:$A,patch[[#This Row],[number]],$S:$S, "FL And dev",$AC:$AC, "Review-1"))</f>
        <v/>
      </c>
      <c r="Y1000" s="7" t="str">
        <f>IF(ISBLANK(patch[[#This Row],[project]]), "",COUNTIFS($A:$A,patch[[#This Row],[number]],$S:$S, "SH And dev",$AC:$AC, "Review-1"))</f>
        <v/>
      </c>
      <c r="Z1000" s="7" t="str">
        <f>IF(ISBLANK(patch[[#This Row],[project]]), "",COUNTIFS($A:$A,patch[[#This Row],[number]],$S:$S, "BJ And dev",$AD:$AD, "&lt;&gt;IntegratorValidationComment"))</f>
        <v/>
      </c>
      <c r="AA1000" s="7" t="str">
        <f>IF(ISBLANK(patch[[#This Row],[project]]), "",COUNTIFS($A:$A,patch[[#This Row],[number]],$S:$S, "FL And dev",$AD:$AD, "&lt;&gt;IntegratorValidationComment"))</f>
        <v/>
      </c>
      <c r="AB1000" s="7" t="str">
        <f>IF(ISBLANK(patch[[#This Row],[project]]), "",COUNTIFS($A:$A,patch[[#This Row],[number]],$S:$S, "SH And dev",$AD:$AD, "&lt;&gt;IntegratorValidationComment"))</f>
        <v/>
      </c>
      <c r="AC1000" s="7" t="str">
        <f>IF(OR(ISNUMBER(FIND("Review-1", patch[[#This Row],[comments]])), ISNUMBER(FIND("Approver-1", patch[[#This Row],[comments]]))), "Review-1", "")</f>
        <v/>
      </c>
      <c r="AD10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000" s="7">
        <f>IF(ISBLANK(patch[[#This Row],[number]]),AE999,patch[[#This Row],[ifCommon]])</f>
        <v>0</v>
      </c>
    </row>
    <row r="1001" spans="1:31">
      <c r="A1001" s="151">
        <v>146306</v>
      </c>
      <c r="B1001" s="151" t="s">
        <v>2490</v>
      </c>
      <c r="C1001" s="151" t="s">
        <v>2491</v>
      </c>
      <c r="D1001" s="151" t="s">
        <v>2953</v>
      </c>
      <c r="E1001" s="151" t="s">
        <v>24</v>
      </c>
      <c r="F1001" s="151" t="s">
        <v>23</v>
      </c>
      <c r="G1001" s="151" t="s">
        <v>2954</v>
      </c>
      <c r="H1001" s="151" t="s">
        <v>2955</v>
      </c>
      <c r="I1001" s="152">
        <v>42632.793981481482</v>
      </c>
      <c r="J1001" s="152">
        <v>42634.753634259258</v>
      </c>
      <c r="K1001" s="151" t="s">
        <v>2445</v>
      </c>
      <c r="L1001" s="151" t="s">
        <v>24</v>
      </c>
      <c r="M1001" s="152">
        <v>42632.793981481482</v>
      </c>
      <c r="N1001" s="151" t="s">
        <v>2458</v>
      </c>
      <c r="O1001" s="151"/>
      <c r="P1001" s="151" t="s">
        <v>3105</v>
      </c>
      <c r="Q1001" s="7" t="str">
        <f>IF(ISBLANK(patch[[#This Row],[OwnerEmail]]),Q1000,patch[[#This Row],[OwnerEmail]])</f>
        <v>qingwu.zhang@intel.com</v>
      </c>
      <c r="R1001" s="7" t="str">
        <f>_xlfn.IFNA(VLOOKUP(patch[[#This Row],[tmp-owner.email]],OrgTree!$A:$K, 11, 0), "not ICG SWFW")</f>
        <v>BJ And dev</v>
      </c>
      <c r="S1001" s="7" t="str">
        <f>IF(patch[[#This Row],[reviewer]]=patch[[#This Row],[tmp-owner.email]], "author", _xlfn.IFNA(VLOOKUP(patch[[#This Row],[reviewer]],OrgTree!$A:$K, 11, 0), "not ICG SWFW"))</f>
        <v>author</v>
      </c>
      <c r="T1001" s="7" t="str">
        <f>IF(ISBLANK(patch[[#This Row],[mergeDate]]), "", MID(YEAR(patch[[#This Row],[mergeDate]]), 3,2)&amp;"'ww"&amp;WEEKNUM(patch[[#This Row],[mergeDate]]))</f>
        <v>16'ww39</v>
      </c>
      <c r="U1001" s="7" t="str">
        <f>IF(ISBLANK(patch[[#This Row],[mergeDate]]), U1000, MID(YEAR(patch[[#This Row],[mergeDate]]), 3,2)&amp;"'m"&amp;MONTH(patch[[#This Row],[mergeDate]]))</f>
        <v>16'm9</v>
      </c>
      <c r="V1001" s="7">
        <f>IF(ISBLANK(patch[[#This Row],[project]]), "",SUM(patch[[#This Row],[BJ -1 num]:[SH -1 num]]))</f>
        <v>0</v>
      </c>
      <c r="W1001" s="7">
        <f>IF(ISBLANK(patch[[#This Row],[project]]), "",COUNTIFS($A:$A,patch[[#This Row],[number]],$S:$S, "BJ And dev",$AC:$AC, "Review-1"))</f>
        <v>0</v>
      </c>
      <c r="X1001" s="7">
        <f>IF(ISBLANK(patch[[#This Row],[project]]), "",COUNTIFS($A:$A,patch[[#This Row],[number]],$S:$S, "FL And dev",$AC:$AC, "Review-1"))</f>
        <v>0</v>
      </c>
      <c r="Y1001" s="7">
        <f>IF(ISBLANK(patch[[#This Row],[project]]), "",COUNTIFS($A:$A,patch[[#This Row],[number]],$S:$S, "SH And dev",$AC:$AC, "Review-1"))</f>
        <v>0</v>
      </c>
      <c r="Z1001" s="7">
        <f>IF(ISBLANK(patch[[#This Row],[project]]), "",COUNTIFS($A:$A,patch[[#This Row],[number]],$S:$S, "BJ And dev",$AD:$AD, "&lt;&gt;IntegratorValidationComment"))</f>
        <v>7</v>
      </c>
      <c r="AA1001" s="7">
        <f>IF(ISBLANK(patch[[#This Row],[project]]), "",COUNTIFS($A:$A,patch[[#This Row],[number]],$S:$S, "FL And dev",$AD:$AD, "&lt;&gt;IntegratorValidationComment"))</f>
        <v>0</v>
      </c>
      <c r="AB1001" s="7">
        <f>IF(ISBLANK(patch[[#This Row],[project]]), "",COUNTIFS($A:$A,patch[[#This Row],[number]],$S:$S, "SH And dev",$AD:$AD, "&lt;&gt;IntegratorValidationComment"))</f>
        <v>0</v>
      </c>
      <c r="AC1001" s="7" t="str">
        <f>IF(OR(ISNUMBER(FIND("Review-1", patch[[#This Row],[comments]])), ISNUMBER(FIND("Approver-1", patch[[#This Row],[comments]]))), "Review-1", "")</f>
        <v/>
      </c>
      <c r="AD10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01" s="7" t="str">
        <f>IF(ISBLANK(patch[[#This Row],[number]]),AE1000,patch[[#This Row],[ifCommon]])</f>
        <v>not AndrHAL</v>
      </c>
    </row>
    <row r="1002" spans="1:31">
      <c r="A1002" s="151">
        <v>146306</v>
      </c>
      <c r="B1002" s="151"/>
      <c r="C1002" s="151"/>
      <c r="D1002" s="151"/>
      <c r="E1002" s="151"/>
      <c r="F1002" s="151"/>
      <c r="G1002" s="151"/>
      <c r="H1002" s="151"/>
      <c r="I1002" s="151"/>
      <c r="J1002" s="152">
        <v>42634.753634259258</v>
      </c>
      <c r="K1002" s="151"/>
      <c r="L1002" s="151" t="s">
        <v>24</v>
      </c>
      <c r="M1002" s="152">
        <v>42632.793981481482</v>
      </c>
      <c r="N1002" s="151" t="s">
        <v>25</v>
      </c>
      <c r="O1002" s="151"/>
      <c r="P1002" s="151"/>
      <c r="Q1002" s="7" t="str">
        <f>IF(ISBLANK(patch[[#This Row],[OwnerEmail]]),Q1001,patch[[#This Row],[OwnerEmail]])</f>
        <v>qingwu.zhang@intel.com</v>
      </c>
      <c r="R1002" s="7" t="str">
        <f>_xlfn.IFNA(VLOOKUP(patch[[#This Row],[tmp-owner.email]],OrgTree!$A:$K, 11, 0), "not ICG SWFW")</f>
        <v>BJ And dev</v>
      </c>
      <c r="S1002" s="7" t="str">
        <f>IF(patch[[#This Row],[reviewer]]=patch[[#This Row],[tmp-owner.email]], "author", _xlfn.IFNA(VLOOKUP(patch[[#This Row],[reviewer]],OrgTree!$A:$K, 11, 0), "not ICG SWFW"))</f>
        <v>author</v>
      </c>
      <c r="T1002" s="7" t="str">
        <f>IF(ISBLANK(patch[[#This Row],[mergeDate]]), "", MID(YEAR(patch[[#This Row],[mergeDate]]), 3,2)&amp;"'ww"&amp;WEEKNUM(patch[[#This Row],[mergeDate]]))</f>
        <v>16'ww39</v>
      </c>
      <c r="U1002" s="7" t="str">
        <f>IF(ISBLANK(patch[[#This Row],[mergeDate]]), U1001, MID(YEAR(patch[[#This Row],[mergeDate]]), 3,2)&amp;"'m"&amp;MONTH(patch[[#This Row],[mergeDate]]))</f>
        <v>16'm9</v>
      </c>
      <c r="V1002" s="7" t="str">
        <f>IF(ISBLANK(patch[[#This Row],[project]]), "",SUM(patch[[#This Row],[BJ -1 num]:[SH -1 num]]))</f>
        <v/>
      </c>
      <c r="W1002" s="7" t="str">
        <f>IF(ISBLANK(patch[[#This Row],[project]]), "",COUNTIFS($A:$A,patch[[#This Row],[number]],$S:$S, "BJ And dev",$AC:$AC, "Review-1"))</f>
        <v/>
      </c>
      <c r="X1002" s="7" t="str">
        <f>IF(ISBLANK(patch[[#This Row],[project]]), "",COUNTIFS($A:$A,patch[[#This Row],[number]],$S:$S, "FL And dev",$AC:$AC, "Review-1"))</f>
        <v/>
      </c>
      <c r="Y1002" s="7" t="str">
        <f>IF(ISBLANK(patch[[#This Row],[project]]), "",COUNTIFS($A:$A,patch[[#This Row],[number]],$S:$S, "SH And dev",$AC:$AC, "Review-1"))</f>
        <v/>
      </c>
      <c r="Z1002" s="7" t="str">
        <f>IF(ISBLANK(patch[[#This Row],[project]]), "",COUNTIFS($A:$A,patch[[#This Row],[number]],$S:$S, "BJ And dev",$AD:$AD, "&lt;&gt;IntegratorValidationComment"))</f>
        <v/>
      </c>
      <c r="AA1002" s="7" t="str">
        <f>IF(ISBLANK(patch[[#This Row],[project]]), "",COUNTIFS($A:$A,patch[[#This Row],[number]],$S:$S, "FL And dev",$AD:$AD, "&lt;&gt;IntegratorValidationComment"))</f>
        <v/>
      </c>
      <c r="AB1002" s="7" t="str">
        <f>IF(ISBLANK(patch[[#This Row],[project]]), "",COUNTIFS($A:$A,patch[[#This Row],[number]],$S:$S, "SH And dev",$AD:$AD, "&lt;&gt;IntegratorValidationComment"))</f>
        <v/>
      </c>
      <c r="AC1002" s="7" t="str">
        <f>IF(OR(ISNUMBER(FIND("Review-1", patch[[#This Row],[comments]])), ISNUMBER(FIND("Approver-1", patch[[#This Row],[comments]]))), "Review-1", "")</f>
        <v/>
      </c>
      <c r="AD10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02" s="7">
        <f>IF(ISBLANK(patch[[#This Row],[number]]),AE1001,patch[[#This Row],[ifCommon]])</f>
        <v>0</v>
      </c>
    </row>
    <row r="1003" spans="1:31">
      <c r="A1003" s="151">
        <v>146306</v>
      </c>
      <c r="B1003" s="151"/>
      <c r="C1003" s="151"/>
      <c r="D1003" s="151"/>
      <c r="E1003" s="151"/>
      <c r="F1003" s="151"/>
      <c r="G1003" s="151"/>
      <c r="H1003" s="151"/>
      <c r="I1003" s="151"/>
      <c r="J1003" s="152">
        <v>42634.753634259258</v>
      </c>
      <c r="K1003" s="151"/>
      <c r="L1003" s="151" t="s">
        <v>24</v>
      </c>
      <c r="M1003" s="152">
        <v>42633.459189814806</v>
      </c>
      <c r="N1003" s="151" t="s">
        <v>2461</v>
      </c>
      <c r="O1003" s="151"/>
      <c r="P1003" s="151"/>
      <c r="Q1003" s="7" t="str">
        <f>IF(ISBLANK(patch[[#This Row],[OwnerEmail]]),Q1002,patch[[#This Row],[OwnerEmail]])</f>
        <v>qingwu.zhang@intel.com</v>
      </c>
      <c r="R1003" s="7" t="str">
        <f>_xlfn.IFNA(VLOOKUP(patch[[#This Row],[tmp-owner.email]],OrgTree!$A:$K, 11, 0), "not ICG SWFW")</f>
        <v>BJ And dev</v>
      </c>
      <c r="S1003" s="7" t="str">
        <f>IF(patch[[#This Row],[reviewer]]=patch[[#This Row],[tmp-owner.email]], "author", _xlfn.IFNA(VLOOKUP(patch[[#This Row],[reviewer]],OrgTree!$A:$K, 11, 0), "not ICG SWFW"))</f>
        <v>author</v>
      </c>
      <c r="T1003" s="7" t="str">
        <f>IF(ISBLANK(patch[[#This Row],[mergeDate]]), "", MID(YEAR(patch[[#This Row],[mergeDate]]), 3,2)&amp;"'ww"&amp;WEEKNUM(patch[[#This Row],[mergeDate]]))</f>
        <v>16'ww39</v>
      </c>
      <c r="U1003" s="7" t="str">
        <f>IF(ISBLANK(patch[[#This Row],[mergeDate]]), U1002, MID(YEAR(patch[[#This Row],[mergeDate]]), 3,2)&amp;"'m"&amp;MONTH(patch[[#This Row],[mergeDate]]))</f>
        <v>16'm9</v>
      </c>
      <c r="V1003" s="7" t="str">
        <f>IF(ISBLANK(patch[[#This Row],[project]]), "",SUM(patch[[#This Row],[BJ -1 num]:[SH -1 num]]))</f>
        <v/>
      </c>
      <c r="W1003" s="7" t="str">
        <f>IF(ISBLANK(patch[[#This Row],[project]]), "",COUNTIFS($A:$A,patch[[#This Row],[number]],$S:$S, "BJ And dev",$AC:$AC, "Review-1"))</f>
        <v/>
      </c>
      <c r="X1003" s="7" t="str">
        <f>IF(ISBLANK(patch[[#This Row],[project]]), "",COUNTIFS($A:$A,patch[[#This Row],[number]],$S:$S, "FL And dev",$AC:$AC, "Review-1"))</f>
        <v/>
      </c>
      <c r="Y1003" s="7" t="str">
        <f>IF(ISBLANK(patch[[#This Row],[project]]), "",COUNTIFS($A:$A,patch[[#This Row],[number]],$S:$S, "SH And dev",$AC:$AC, "Review-1"))</f>
        <v/>
      </c>
      <c r="Z1003" s="7" t="str">
        <f>IF(ISBLANK(patch[[#This Row],[project]]), "",COUNTIFS($A:$A,patch[[#This Row],[number]],$S:$S, "BJ And dev",$AD:$AD, "&lt;&gt;IntegratorValidationComment"))</f>
        <v/>
      </c>
      <c r="AA1003" s="7" t="str">
        <f>IF(ISBLANK(patch[[#This Row],[project]]), "",COUNTIFS($A:$A,patch[[#This Row],[number]],$S:$S, "FL And dev",$AD:$AD, "&lt;&gt;IntegratorValidationComment"))</f>
        <v/>
      </c>
      <c r="AB1003" s="7" t="str">
        <f>IF(ISBLANK(patch[[#This Row],[project]]), "",COUNTIFS($A:$A,patch[[#This Row],[number]],$S:$S, "SH And dev",$AD:$AD, "&lt;&gt;IntegratorValidationComment"))</f>
        <v/>
      </c>
      <c r="AC1003" s="7" t="str">
        <f>IF(OR(ISNUMBER(FIND("Review-1", patch[[#This Row],[comments]])), ISNUMBER(FIND("Approver-1", patch[[#This Row],[comments]]))), "Review-1", "")</f>
        <v/>
      </c>
      <c r="AD10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03" s="7">
        <f>IF(ISBLANK(patch[[#This Row],[number]]),AE1002,patch[[#This Row],[ifCommon]])</f>
        <v>0</v>
      </c>
    </row>
    <row r="1004" spans="1:31">
      <c r="A1004" s="151">
        <v>146306</v>
      </c>
      <c r="B1004" s="151"/>
      <c r="C1004" s="151"/>
      <c r="D1004" s="151"/>
      <c r="E1004" s="151"/>
      <c r="F1004" s="151"/>
      <c r="G1004" s="151"/>
      <c r="H1004" s="151"/>
      <c r="I1004" s="151"/>
      <c r="J1004" s="152">
        <v>42634.753634259258</v>
      </c>
      <c r="K1004" s="151"/>
      <c r="L1004" s="151" t="s">
        <v>24</v>
      </c>
      <c r="M1004" s="152">
        <v>42633.459189814806</v>
      </c>
      <c r="N1004" s="151" t="s">
        <v>29</v>
      </c>
      <c r="O1004" s="151"/>
      <c r="P1004" s="151"/>
      <c r="Q1004" s="7" t="str">
        <f>IF(ISBLANK(patch[[#This Row],[OwnerEmail]]),Q1003,patch[[#This Row],[OwnerEmail]])</f>
        <v>qingwu.zhang@intel.com</v>
      </c>
      <c r="R1004" s="7" t="str">
        <f>_xlfn.IFNA(VLOOKUP(patch[[#This Row],[tmp-owner.email]],OrgTree!$A:$K, 11, 0), "not ICG SWFW")</f>
        <v>BJ And dev</v>
      </c>
      <c r="S1004" s="7" t="str">
        <f>IF(patch[[#This Row],[reviewer]]=patch[[#This Row],[tmp-owner.email]], "author", _xlfn.IFNA(VLOOKUP(patch[[#This Row],[reviewer]],OrgTree!$A:$K, 11, 0), "not ICG SWFW"))</f>
        <v>author</v>
      </c>
      <c r="T1004" s="7" t="str">
        <f>IF(ISBLANK(patch[[#This Row],[mergeDate]]), "", MID(YEAR(patch[[#This Row],[mergeDate]]), 3,2)&amp;"'ww"&amp;WEEKNUM(patch[[#This Row],[mergeDate]]))</f>
        <v>16'ww39</v>
      </c>
      <c r="U1004" s="7" t="str">
        <f>IF(ISBLANK(patch[[#This Row],[mergeDate]]), U1003, MID(YEAR(patch[[#This Row],[mergeDate]]), 3,2)&amp;"'m"&amp;MONTH(patch[[#This Row],[mergeDate]]))</f>
        <v>16'm9</v>
      </c>
      <c r="V1004" s="7" t="str">
        <f>IF(ISBLANK(patch[[#This Row],[project]]), "",SUM(patch[[#This Row],[BJ -1 num]:[SH -1 num]]))</f>
        <v/>
      </c>
      <c r="W1004" s="7" t="str">
        <f>IF(ISBLANK(patch[[#This Row],[project]]), "",COUNTIFS($A:$A,patch[[#This Row],[number]],$S:$S, "BJ And dev",$AC:$AC, "Review-1"))</f>
        <v/>
      </c>
      <c r="X1004" s="7" t="str">
        <f>IF(ISBLANK(patch[[#This Row],[project]]), "",COUNTIFS($A:$A,patch[[#This Row],[number]],$S:$S, "FL And dev",$AC:$AC, "Review-1"))</f>
        <v/>
      </c>
      <c r="Y1004" s="7" t="str">
        <f>IF(ISBLANK(patch[[#This Row],[project]]), "",COUNTIFS($A:$A,patch[[#This Row],[number]],$S:$S, "SH And dev",$AC:$AC, "Review-1"))</f>
        <v/>
      </c>
      <c r="Z1004" s="7" t="str">
        <f>IF(ISBLANK(patch[[#This Row],[project]]), "",COUNTIFS($A:$A,patch[[#This Row],[number]],$S:$S, "BJ And dev",$AD:$AD, "&lt;&gt;IntegratorValidationComment"))</f>
        <v/>
      </c>
      <c r="AA1004" s="7" t="str">
        <f>IF(ISBLANK(patch[[#This Row],[project]]), "",COUNTIFS($A:$A,patch[[#This Row],[number]],$S:$S, "FL And dev",$AD:$AD, "&lt;&gt;IntegratorValidationComment"))</f>
        <v/>
      </c>
      <c r="AB1004" s="7" t="str">
        <f>IF(ISBLANK(patch[[#This Row],[project]]), "",COUNTIFS($A:$A,patch[[#This Row],[number]],$S:$S, "SH And dev",$AD:$AD, "&lt;&gt;IntegratorValidationComment"))</f>
        <v/>
      </c>
      <c r="AC1004" s="7" t="str">
        <f>IF(OR(ISNUMBER(FIND("Review-1", patch[[#This Row],[comments]])), ISNUMBER(FIND("Approver-1", patch[[#This Row],[comments]]))), "Review-1", "")</f>
        <v/>
      </c>
      <c r="AD10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04" s="7">
        <f>IF(ISBLANK(patch[[#This Row],[number]]),AE1003,patch[[#This Row],[ifCommon]])</f>
        <v>0</v>
      </c>
    </row>
    <row r="1005" spans="1:31">
      <c r="A1005" s="151">
        <v>146306</v>
      </c>
      <c r="B1005" s="151"/>
      <c r="C1005" s="151"/>
      <c r="D1005" s="151"/>
      <c r="E1005" s="151"/>
      <c r="F1005" s="151"/>
      <c r="G1005" s="151"/>
      <c r="H1005" s="151"/>
      <c r="I1005" s="151"/>
      <c r="J1005" s="152">
        <v>42634.753634259258</v>
      </c>
      <c r="K1005" s="151"/>
      <c r="L1005" s="151" t="s">
        <v>24</v>
      </c>
      <c r="M1005" s="152">
        <v>42633.459432870368</v>
      </c>
      <c r="N1005" s="151" t="s">
        <v>2462</v>
      </c>
      <c r="O1005" s="151"/>
      <c r="P1005" s="151"/>
      <c r="Q1005" s="7" t="str">
        <f>IF(ISBLANK(patch[[#This Row],[OwnerEmail]]),Q1004,patch[[#This Row],[OwnerEmail]])</f>
        <v>qingwu.zhang@intel.com</v>
      </c>
      <c r="R1005" s="7" t="str">
        <f>_xlfn.IFNA(VLOOKUP(patch[[#This Row],[tmp-owner.email]],OrgTree!$A:$K, 11, 0), "not ICG SWFW")</f>
        <v>BJ And dev</v>
      </c>
      <c r="S1005" s="7" t="str">
        <f>IF(patch[[#This Row],[reviewer]]=patch[[#This Row],[tmp-owner.email]], "author", _xlfn.IFNA(VLOOKUP(patch[[#This Row],[reviewer]],OrgTree!$A:$K, 11, 0), "not ICG SWFW"))</f>
        <v>author</v>
      </c>
      <c r="T1005" s="7" t="str">
        <f>IF(ISBLANK(patch[[#This Row],[mergeDate]]), "", MID(YEAR(patch[[#This Row],[mergeDate]]), 3,2)&amp;"'ww"&amp;WEEKNUM(patch[[#This Row],[mergeDate]]))</f>
        <v>16'ww39</v>
      </c>
      <c r="U1005" s="7" t="str">
        <f>IF(ISBLANK(patch[[#This Row],[mergeDate]]), U1004, MID(YEAR(patch[[#This Row],[mergeDate]]), 3,2)&amp;"'m"&amp;MONTH(patch[[#This Row],[mergeDate]]))</f>
        <v>16'm9</v>
      </c>
      <c r="V1005" s="7" t="str">
        <f>IF(ISBLANK(patch[[#This Row],[project]]), "",SUM(patch[[#This Row],[BJ -1 num]:[SH -1 num]]))</f>
        <v/>
      </c>
      <c r="W1005" s="7" t="str">
        <f>IF(ISBLANK(patch[[#This Row],[project]]), "",COUNTIFS($A:$A,patch[[#This Row],[number]],$S:$S, "BJ And dev",$AC:$AC, "Review-1"))</f>
        <v/>
      </c>
      <c r="X1005" s="7" t="str">
        <f>IF(ISBLANK(patch[[#This Row],[project]]), "",COUNTIFS($A:$A,patch[[#This Row],[number]],$S:$S, "FL And dev",$AC:$AC, "Review-1"))</f>
        <v/>
      </c>
      <c r="Y1005" s="7" t="str">
        <f>IF(ISBLANK(patch[[#This Row],[project]]), "",COUNTIFS($A:$A,patch[[#This Row],[number]],$S:$S, "SH And dev",$AC:$AC, "Review-1"))</f>
        <v/>
      </c>
      <c r="Z1005" s="7" t="str">
        <f>IF(ISBLANK(patch[[#This Row],[project]]), "",COUNTIFS($A:$A,patch[[#This Row],[number]],$S:$S, "BJ And dev",$AD:$AD, "&lt;&gt;IntegratorValidationComment"))</f>
        <v/>
      </c>
      <c r="AA1005" s="7" t="str">
        <f>IF(ISBLANK(patch[[#This Row],[project]]), "",COUNTIFS($A:$A,patch[[#This Row],[number]],$S:$S, "FL And dev",$AD:$AD, "&lt;&gt;IntegratorValidationComment"))</f>
        <v/>
      </c>
      <c r="AB1005" s="7" t="str">
        <f>IF(ISBLANK(patch[[#This Row],[project]]), "",COUNTIFS($A:$A,patch[[#This Row],[number]],$S:$S, "SH And dev",$AD:$AD, "&lt;&gt;IntegratorValidationComment"))</f>
        <v/>
      </c>
      <c r="AC1005" s="7" t="str">
        <f>IF(OR(ISNUMBER(FIND("Review-1", patch[[#This Row],[comments]])), ISNUMBER(FIND("Approver-1", patch[[#This Row],[comments]]))), "Review-1", "")</f>
        <v/>
      </c>
      <c r="AD10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05" s="7">
        <f>IF(ISBLANK(patch[[#This Row],[number]]),AE1004,patch[[#This Row],[ifCommon]])</f>
        <v>0</v>
      </c>
    </row>
    <row r="1006" spans="1:31">
      <c r="A1006" s="151">
        <v>146306</v>
      </c>
      <c r="B1006" s="151"/>
      <c r="C1006" s="151"/>
      <c r="D1006" s="151"/>
      <c r="E1006" s="151"/>
      <c r="F1006" s="151"/>
      <c r="G1006" s="151"/>
      <c r="H1006" s="151"/>
      <c r="I1006" s="151"/>
      <c r="J1006" s="152">
        <v>42634.753634259258</v>
      </c>
      <c r="K1006" s="151"/>
      <c r="L1006" s="151" t="s">
        <v>24</v>
      </c>
      <c r="M1006" s="152">
        <v>42633.459502314807</v>
      </c>
      <c r="N1006" s="151" t="s">
        <v>27</v>
      </c>
      <c r="O1006" s="151"/>
      <c r="P1006" s="151"/>
      <c r="Q1006" s="7" t="str">
        <f>IF(ISBLANK(patch[[#This Row],[OwnerEmail]]),Q1005,patch[[#This Row],[OwnerEmail]])</f>
        <v>qingwu.zhang@intel.com</v>
      </c>
      <c r="R1006" s="7" t="str">
        <f>_xlfn.IFNA(VLOOKUP(patch[[#This Row],[tmp-owner.email]],OrgTree!$A:$K, 11, 0), "not ICG SWFW")</f>
        <v>BJ And dev</v>
      </c>
      <c r="S1006" s="7" t="str">
        <f>IF(patch[[#This Row],[reviewer]]=patch[[#This Row],[tmp-owner.email]], "author", _xlfn.IFNA(VLOOKUP(patch[[#This Row],[reviewer]],OrgTree!$A:$K, 11, 0), "not ICG SWFW"))</f>
        <v>author</v>
      </c>
      <c r="T1006" s="7" t="str">
        <f>IF(ISBLANK(patch[[#This Row],[mergeDate]]), "", MID(YEAR(patch[[#This Row],[mergeDate]]), 3,2)&amp;"'ww"&amp;WEEKNUM(patch[[#This Row],[mergeDate]]))</f>
        <v>16'ww39</v>
      </c>
      <c r="U1006" s="7" t="str">
        <f>IF(ISBLANK(patch[[#This Row],[mergeDate]]), U1005, MID(YEAR(patch[[#This Row],[mergeDate]]), 3,2)&amp;"'m"&amp;MONTH(patch[[#This Row],[mergeDate]]))</f>
        <v>16'm9</v>
      </c>
      <c r="V1006" s="7" t="str">
        <f>IF(ISBLANK(patch[[#This Row],[project]]), "",SUM(patch[[#This Row],[BJ -1 num]:[SH -1 num]]))</f>
        <v/>
      </c>
      <c r="W1006" s="7" t="str">
        <f>IF(ISBLANK(patch[[#This Row],[project]]), "",COUNTIFS($A:$A,patch[[#This Row],[number]],$S:$S, "BJ And dev",$AC:$AC, "Review-1"))</f>
        <v/>
      </c>
      <c r="X1006" s="7" t="str">
        <f>IF(ISBLANK(patch[[#This Row],[project]]), "",COUNTIFS($A:$A,patch[[#This Row],[number]],$S:$S, "FL And dev",$AC:$AC, "Review-1"))</f>
        <v/>
      </c>
      <c r="Y1006" s="7" t="str">
        <f>IF(ISBLANK(patch[[#This Row],[project]]), "",COUNTIFS($A:$A,patch[[#This Row],[number]],$S:$S, "SH And dev",$AC:$AC, "Review-1"))</f>
        <v/>
      </c>
      <c r="Z1006" s="7" t="str">
        <f>IF(ISBLANK(patch[[#This Row],[project]]), "",COUNTIFS($A:$A,patch[[#This Row],[number]],$S:$S, "BJ And dev",$AD:$AD, "&lt;&gt;IntegratorValidationComment"))</f>
        <v/>
      </c>
      <c r="AA1006" s="7" t="str">
        <f>IF(ISBLANK(patch[[#This Row],[project]]), "",COUNTIFS($A:$A,patch[[#This Row],[number]],$S:$S, "FL And dev",$AD:$AD, "&lt;&gt;IntegratorValidationComment"))</f>
        <v/>
      </c>
      <c r="AB1006" s="7" t="str">
        <f>IF(ISBLANK(patch[[#This Row],[project]]), "",COUNTIFS($A:$A,patch[[#This Row],[number]],$S:$S, "SH And dev",$AD:$AD, "&lt;&gt;IntegratorValidationComment"))</f>
        <v/>
      </c>
      <c r="AC1006" s="7" t="str">
        <f>IF(OR(ISNUMBER(FIND("Review-1", patch[[#This Row],[comments]])), ISNUMBER(FIND("Approver-1", patch[[#This Row],[comments]]))), "Review-1", "")</f>
        <v/>
      </c>
      <c r="AD10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06" s="7">
        <f>IF(ISBLANK(patch[[#This Row],[number]]),AE1005,patch[[#This Row],[ifCommon]])</f>
        <v>0</v>
      </c>
    </row>
    <row r="1007" spans="1:31">
      <c r="A1007" s="151">
        <v>146306</v>
      </c>
      <c r="B1007" s="151"/>
      <c r="C1007" s="151"/>
      <c r="D1007" s="151"/>
      <c r="E1007" s="151"/>
      <c r="F1007" s="151"/>
      <c r="G1007" s="151"/>
      <c r="H1007" s="151"/>
      <c r="I1007" s="152"/>
      <c r="J1007" s="152">
        <v>42634.753634259258</v>
      </c>
      <c r="K1007" s="151"/>
      <c r="L1007" s="151" t="s">
        <v>59</v>
      </c>
      <c r="M1007" s="152">
        <v>42633.466747685183</v>
      </c>
      <c r="N1007" s="151" t="s">
        <v>3106</v>
      </c>
      <c r="O1007" s="151"/>
      <c r="P1007" s="151"/>
      <c r="Q1007" s="7" t="str">
        <f>IF(ISBLANK(patch[[#This Row],[OwnerEmail]]),Q1006,patch[[#This Row],[OwnerEmail]])</f>
        <v>qingwu.zhang@intel.com</v>
      </c>
      <c r="R1007" s="7" t="str">
        <f>_xlfn.IFNA(VLOOKUP(patch[[#This Row],[tmp-owner.email]],OrgTree!$A:$K, 11, 0), "not ICG SWFW")</f>
        <v>BJ And dev</v>
      </c>
      <c r="S1007" s="7" t="str">
        <f>IF(patch[[#This Row],[reviewer]]=patch[[#This Row],[tmp-owner.email]], "author", _xlfn.IFNA(VLOOKUP(patch[[#This Row],[reviewer]],OrgTree!$A:$K, 11, 0), "not ICG SWFW"))</f>
        <v>BJ And dev</v>
      </c>
      <c r="T1007" s="7" t="str">
        <f>IF(ISBLANK(patch[[#This Row],[mergeDate]]), "", MID(YEAR(patch[[#This Row],[mergeDate]]), 3,2)&amp;"'ww"&amp;WEEKNUM(patch[[#This Row],[mergeDate]]))</f>
        <v>16'ww39</v>
      </c>
      <c r="U1007" s="7" t="str">
        <f>IF(ISBLANK(patch[[#This Row],[mergeDate]]), U1006, MID(YEAR(patch[[#This Row],[mergeDate]]), 3,2)&amp;"'m"&amp;MONTH(patch[[#This Row],[mergeDate]]))</f>
        <v>16'm9</v>
      </c>
      <c r="V1007" s="7" t="str">
        <f>IF(ISBLANK(patch[[#This Row],[project]]), "",SUM(patch[[#This Row],[BJ -1 num]:[SH -1 num]]))</f>
        <v/>
      </c>
      <c r="W1007" s="7" t="str">
        <f>IF(ISBLANK(patch[[#This Row],[project]]), "",COUNTIFS($A:$A,patch[[#This Row],[number]],$S:$S, "BJ And dev",$AC:$AC, "Review-1"))</f>
        <v/>
      </c>
      <c r="X1007" s="7" t="str">
        <f>IF(ISBLANK(patch[[#This Row],[project]]), "",COUNTIFS($A:$A,patch[[#This Row],[number]],$S:$S, "FL And dev",$AC:$AC, "Review-1"))</f>
        <v/>
      </c>
      <c r="Y1007" s="7" t="str">
        <f>IF(ISBLANK(patch[[#This Row],[project]]), "",COUNTIFS($A:$A,patch[[#This Row],[number]],$S:$S, "SH And dev",$AC:$AC, "Review-1"))</f>
        <v/>
      </c>
      <c r="Z1007" s="7" t="str">
        <f>IF(ISBLANK(patch[[#This Row],[project]]), "",COUNTIFS($A:$A,patch[[#This Row],[number]],$S:$S, "BJ And dev",$AD:$AD, "&lt;&gt;IntegratorValidationComment"))</f>
        <v/>
      </c>
      <c r="AA1007" s="7" t="str">
        <f>IF(ISBLANK(patch[[#This Row],[project]]), "",COUNTIFS($A:$A,patch[[#This Row],[number]],$S:$S, "FL And dev",$AD:$AD, "&lt;&gt;IntegratorValidationComment"))</f>
        <v/>
      </c>
      <c r="AB1007" s="7" t="str">
        <f>IF(ISBLANK(patch[[#This Row],[project]]), "",COUNTIFS($A:$A,patch[[#This Row],[number]],$S:$S, "SH And dev",$AD:$AD, "&lt;&gt;IntegratorValidationComment"))</f>
        <v/>
      </c>
      <c r="AC1007" s="7" t="str">
        <f>IF(OR(ISNUMBER(FIND("Review-1", patch[[#This Row],[comments]])), ISNUMBER(FIND("Approver-1", patch[[#This Row],[comments]]))), "Review-1", "")</f>
        <v/>
      </c>
      <c r="AD10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07" s="7">
        <f>IF(ISBLANK(patch[[#This Row],[number]]),AE1006,patch[[#This Row],[ifCommon]])</f>
        <v>0</v>
      </c>
    </row>
    <row r="1008" spans="1:31">
      <c r="A1008" s="151">
        <v>146306</v>
      </c>
      <c r="B1008" s="151"/>
      <c r="C1008" s="151"/>
      <c r="D1008" s="151"/>
      <c r="E1008" s="151"/>
      <c r="F1008" s="151"/>
      <c r="G1008" s="151"/>
      <c r="H1008" s="151"/>
      <c r="I1008" s="151"/>
      <c r="J1008" s="152">
        <v>42634.753634259258</v>
      </c>
      <c r="K1008" s="151"/>
      <c r="L1008" s="151" t="s">
        <v>59</v>
      </c>
      <c r="M1008" s="152">
        <v>42633.469675925917</v>
      </c>
      <c r="N1008" s="151" t="s">
        <v>3107</v>
      </c>
      <c r="O1008" s="151"/>
      <c r="P1008" s="151"/>
      <c r="Q1008" s="7" t="str">
        <f>IF(ISBLANK(patch[[#This Row],[OwnerEmail]]),Q1007,patch[[#This Row],[OwnerEmail]])</f>
        <v>qingwu.zhang@intel.com</v>
      </c>
      <c r="R1008" s="7" t="str">
        <f>_xlfn.IFNA(VLOOKUP(patch[[#This Row],[tmp-owner.email]],OrgTree!$A:$K, 11, 0), "not ICG SWFW")</f>
        <v>BJ And dev</v>
      </c>
      <c r="S1008" s="7" t="str">
        <f>IF(patch[[#This Row],[reviewer]]=patch[[#This Row],[tmp-owner.email]], "author", _xlfn.IFNA(VLOOKUP(patch[[#This Row],[reviewer]],OrgTree!$A:$K, 11, 0), "not ICG SWFW"))</f>
        <v>BJ And dev</v>
      </c>
      <c r="T1008" s="7" t="str">
        <f>IF(ISBLANK(patch[[#This Row],[mergeDate]]), "", MID(YEAR(patch[[#This Row],[mergeDate]]), 3,2)&amp;"'ww"&amp;WEEKNUM(patch[[#This Row],[mergeDate]]))</f>
        <v>16'ww39</v>
      </c>
      <c r="U1008" s="7" t="str">
        <f>IF(ISBLANK(patch[[#This Row],[mergeDate]]), U1007, MID(YEAR(patch[[#This Row],[mergeDate]]), 3,2)&amp;"'m"&amp;MONTH(patch[[#This Row],[mergeDate]]))</f>
        <v>16'm9</v>
      </c>
      <c r="V1008" s="7" t="str">
        <f>IF(ISBLANK(patch[[#This Row],[project]]), "",SUM(patch[[#This Row],[BJ -1 num]:[SH -1 num]]))</f>
        <v/>
      </c>
      <c r="W1008" s="7" t="str">
        <f>IF(ISBLANK(patch[[#This Row],[project]]), "",COUNTIFS($A:$A,patch[[#This Row],[number]],$S:$S, "BJ And dev",$AC:$AC, "Review-1"))</f>
        <v/>
      </c>
      <c r="X1008" s="7" t="str">
        <f>IF(ISBLANK(patch[[#This Row],[project]]), "",COUNTIFS($A:$A,patch[[#This Row],[number]],$S:$S, "FL And dev",$AC:$AC, "Review-1"))</f>
        <v/>
      </c>
      <c r="Y1008" s="7" t="str">
        <f>IF(ISBLANK(patch[[#This Row],[project]]), "",COUNTIFS($A:$A,patch[[#This Row],[number]],$S:$S, "SH And dev",$AC:$AC, "Review-1"))</f>
        <v/>
      </c>
      <c r="Z1008" s="7" t="str">
        <f>IF(ISBLANK(patch[[#This Row],[project]]), "",COUNTIFS($A:$A,patch[[#This Row],[number]],$S:$S, "BJ And dev",$AD:$AD, "&lt;&gt;IntegratorValidationComment"))</f>
        <v/>
      </c>
      <c r="AA1008" s="7" t="str">
        <f>IF(ISBLANK(patch[[#This Row],[project]]), "",COUNTIFS($A:$A,patch[[#This Row],[number]],$S:$S, "FL And dev",$AD:$AD, "&lt;&gt;IntegratorValidationComment"))</f>
        <v/>
      </c>
      <c r="AB1008" s="7" t="str">
        <f>IF(ISBLANK(patch[[#This Row],[project]]), "",COUNTIFS($A:$A,patch[[#This Row],[number]],$S:$S, "SH And dev",$AD:$AD, "&lt;&gt;IntegratorValidationComment"))</f>
        <v/>
      </c>
      <c r="AC1008" s="7" t="str">
        <f>IF(OR(ISNUMBER(FIND("Review-1", patch[[#This Row],[comments]])), ISNUMBER(FIND("Approver-1", patch[[#This Row],[comments]]))), "Review-1", "")</f>
        <v/>
      </c>
      <c r="AD10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08" s="7">
        <f>IF(ISBLANK(patch[[#This Row],[number]]),AE1007,patch[[#This Row],[ifCommon]])</f>
        <v>0</v>
      </c>
    </row>
    <row r="1009" spans="1:31">
      <c r="A1009" s="151">
        <v>146306</v>
      </c>
      <c r="B1009" s="151"/>
      <c r="C1009" s="151"/>
      <c r="D1009" s="151"/>
      <c r="E1009" s="151"/>
      <c r="F1009" s="151"/>
      <c r="G1009" s="151"/>
      <c r="H1009" s="151"/>
      <c r="I1009" s="151"/>
      <c r="J1009" s="152">
        <v>42634.753634259258</v>
      </c>
      <c r="K1009" s="151"/>
      <c r="L1009" s="151" t="s">
        <v>24</v>
      </c>
      <c r="M1009" s="152">
        <v>42633.647152777783</v>
      </c>
      <c r="N1009" s="151" t="s">
        <v>2450</v>
      </c>
      <c r="O1009" s="151"/>
      <c r="P1009" s="151"/>
      <c r="Q1009" s="7" t="str">
        <f>IF(ISBLANK(patch[[#This Row],[OwnerEmail]]),Q1008,patch[[#This Row],[OwnerEmail]])</f>
        <v>qingwu.zhang@intel.com</v>
      </c>
      <c r="R1009" s="7" t="str">
        <f>_xlfn.IFNA(VLOOKUP(patch[[#This Row],[tmp-owner.email]],OrgTree!$A:$K, 11, 0), "not ICG SWFW")</f>
        <v>BJ And dev</v>
      </c>
      <c r="S1009" s="7" t="str">
        <f>IF(patch[[#This Row],[reviewer]]=patch[[#This Row],[tmp-owner.email]], "author", _xlfn.IFNA(VLOOKUP(patch[[#This Row],[reviewer]],OrgTree!$A:$K, 11, 0), "not ICG SWFW"))</f>
        <v>author</v>
      </c>
      <c r="T1009" s="7" t="str">
        <f>IF(ISBLANK(patch[[#This Row],[mergeDate]]), "", MID(YEAR(patch[[#This Row],[mergeDate]]), 3,2)&amp;"'ww"&amp;WEEKNUM(patch[[#This Row],[mergeDate]]))</f>
        <v>16'ww39</v>
      </c>
      <c r="U1009" s="7" t="str">
        <f>IF(ISBLANK(patch[[#This Row],[mergeDate]]), U1008, MID(YEAR(patch[[#This Row],[mergeDate]]), 3,2)&amp;"'m"&amp;MONTH(patch[[#This Row],[mergeDate]]))</f>
        <v>16'm9</v>
      </c>
      <c r="V1009" s="7" t="str">
        <f>IF(ISBLANK(patch[[#This Row],[project]]), "",SUM(patch[[#This Row],[BJ -1 num]:[SH -1 num]]))</f>
        <v/>
      </c>
      <c r="W1009" s="7" t="str">
        <f>IF(ISBLANK(patch[[#This Row],[project]]), "",COUNTIFS($A:$A,patch[[#This Row],[number]],$S:$S, "BJ And dev",$AC:$AC, "Review-1"))</f>
        <v/>
      </c>
      <c r="X1009" s="7" t="str">
        <f>IF(ISBLANK(patch[[#This Row],[project]]), "",COUNTIFS($A:$A,patch[[#This Row],[number]],$S:$S, "FL And dev",$AC:$AC, "Review-1"))</f>
        <v/>
      </c>
      <c r="Y1009" s="7" t="str">
        <f>IF(ISBLANK(patch[[#This Row],[project]]), "",COUNTIFS($A:$A,patch[[#This Row],[number]],$S:$S, "SH And dev",$AC:$AC, "Review-1"))</f>
        <v/>
      </c>
      <c r="Z1009" s="7" t="str">
        <f>IF(ISBLANK(patch[[#This Row],[project]]), "",COUNTIFS($A:$A,patch[[#This Row],[number]],$S:$S, "BJ And dev",$AD:$AD, "&lt;&gt;IntegratorValidationComment"))</f>
        <v/>
      </c>
      <c r="AA1009" s="7" t="str">
        <f>IF(ISBLANK(patch[[#This Row],[project]]), "",COUNTIFS($A:$A,patch[[#This Row],[number]],$S:$S, "FL And dev",$AD:$AD, "&lt;&gt;IntegratorValidationComment"))</f>
        <v/>
      </c>
      <c r="AB1009" s="7" t="str">
        <f>IF(ISBLANK(patch[[#This Row],[project]]), "",COUNTIFS($A:$A,patch[[#This Row],[number]],$S:$S, "SH And dev",$AD:$AD, "&lt;&gt;IntegratorValidationComment"))</f>
        <v/>
      </c>
      <c r="AC1009" s="7" t="str">
        <f>IF(OR(ISNUMBER(FIND("Review-1", patch[[#This Row],[comments]])), ISNUMBER(FIND("Approver-1", patch[[#This Row],[comments]]))), "Review-1", "")</f>
        <v/>
      </c>
      <c r="AD10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09" s="7">
        <f>IF(ISBLANK(patch[[#This Row],[number]]),AE1008,patch[[#This Row],[ifCommon]])</f>
        <v>0</v>
      </c>
    </row>
    <row r="1010" spans="1:31">
      <c r="A1010" s="151">
        <v>146306</v>
      </c>
      <c r="B1010" s="151"/>
      <c r="C1010" s="151"/>
      <c r="D1010" s="151"/>
      <c r="E1010" s="151"/>
      <c r="F1010" s="151"/>
      <c r="G1010" s="151"/>
      <c r="H1010" s="151"/>
      <c r="I1010" s="151"/>
      <c r="J1010" s="152">
        <v>42634.753634259258</v>
      </c>
      <c r="K1010" s="151"/>
      <c r="L1010" s="151" t="s">
        <v>24</v>
      </c>
      <c r="M1010" s="152">
        <v>42633.647152777783</v>
      </c>
      <c r="N1010" s="151" t="s">
        <v>1829</v>
      </c>
      <c r="O1010" s="151"/>
      <c r="P1010" s="151"/>
      <c r="Q1010" s="7" t="str">
        <f>IF(ISBLANK(patch[[#This Row],[OwnerEmail]]),Q1009,patch[[#This Row],[OwnerEmail]])</f>
        <v>qingwu.zhang@intel.com</v>
      </c>
      <c r="R1010" s="7" t="str">
        <f>_xlfn.IFNA(VLOOKUP(patch[[#This Row],[tmp-owner.email]],OrgTree!$A:$K, 11, 0), "not ICG SWFW")</f>
        <v>BJ And dev</v>
      </c>
      <c r="S1010" s="7" t="str">
        <f>IF(patch[[#This Row],[reviewer]]=patch[[#This Row],[tmp-owner.email]], "author", _xlfn.IFNA(VLOOKUP(patch[[#This Row],[reviewer]],OrgTree!$A:$K, 11, 0), "not ICG SWFW"))</f>
        <v>author</v>
      </c>
      <c r="T1010" s="7" t="str">
        <f>IF(ISBLANK(patch[[#This Row],[mergeDate]]), "", MID(YEAR(patch[[#This Row],[mergeDate]]), 3,2)&amp;"'ww"&amp;WEEKNUM(patch[[#This Row],[mergeDate]]))</f>
        <v>16'ww39</v>
      </c>
      <c r="U1010" s="7" t="str">
        <f>IF(ISBLANK(patch[[#This Row],[mergeDate]]), U1009, MID(YEAR(patch[[#This Row],[mergeDate]]), 3,2)&amp;"'m"&amp;MONTH(patch[[#This Row],[mergeDate]]))</f>
        <v>16'm9</v>
      </c>
      <c r="V1010" s="7" t="str">
        <f>IF(ISBLANK(patch[[#This Row],[project]]), "",SUM(patch[[#This Row],[BJ -1 num]:[SH -1 num]]))</f>
        <v/>
      </c>
      <c r="W1010" s="7" t="str">
        <f>IF(ISBLANK(patch[[#This Row],[project]]), "",COUNTIFS($A:$A,patch[[#This Row],[number]],$S:$S, "BJ And dev",$AC:$AC, "Review-1"))</f>
        <v/>
      </c>
      <c r="X1010" s="7" t="str">
        <f>IF(ISBLANK(patch[[#This Row],[project]]), "",COUNTIFS($A:$A,patch[[#This Row],[number]],$S:$S, "FL And dev",$AC:$AC, "Review-1"))</f>
        <v/>
      </c>
      <c r="Y1010" s="7" t="str">
        <f>IF(ISBLANK(patch[[#This Row],[project]]), "",COUNTIFS($A:$A,patch[[#This Row],[number]],$S:$S, "SH And dev",$AC:$AC, "Review-1"))</f>
        <v/>
      </c>
      <c r="Z1010" s="7" t="str">
        <f>IF(ISBLANK(patch[[#This Row],[project]]), "",COUNTIFS($A:$A,patch[[#This Row],[number]],$S:$S, "BJ And dev",$AD:$AD, "&lt;&gt;IntegratorValidationComment"))</f>
        <v/>
      </c>
      <c r="AA1010" s="7" t="str">
        <f>IF(ISBLANK(patch[[#This Row],[project]]), "",COUNTIFS($A:$A,patch[[#This Row],[number]],$S:$S, "FL And dev",$AD:$AD, "&lt;&gt;IntegratorValidationComment"))</f>
        <v/>
      </c>
      <c r="AB1010" s="7" t="str">
        <f>IF(ISBLANK(patch[[#This Row],[project]]), "",COUNTIFS($A:$A,patch[[#This Row],[number]],$S:$S, "SH And dev",$AD:$AD, "&lt;&gt;IntegratorValidationComment"))</f>
        <v/>
      </c>
      <c r="AC1010" s="7" t="str">
        <f>IF(OR(ISNUMBER(FIND("Review-1", patch[[#This Row],[comments]])), ISNUMBER(FIND("Approver-1", patch[[#This Row],[comments]]))), "Review-1", "")</f>
        <v/>
      </c>
      <c r="AD10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10" s="7">
        <f>IF(ISBLANK(patch[[#This Row],[number]]),AE1009,patch[[#This Row],[ifCommon]])</f>
        <v>0</v>
      </c>
    </row>
    <row r="1011" spans="1:31">
      <c r="A1011" s="151">
        <v>146306</v>
      </c>
      <c r="B1011" s="151"/>
      <c r="C1011" s="151"/>
      <c r="D1011" s="151"/>
      <c r="E1011" s="151"/>
      <c r="F1011" s="151"/>
      <c r="G1011" s="151"/>
      <c r="H1011" s="151"/>
      <c r="I1011" s="151"/>
      <c r="J1011" s="152">
        <v>42634.753634259258</v>
      </c>
      <c r="K1011" s="151"/>
      <c r="L1011" s="151" t="s">
        <v>24</v>
      </c>
      <c r="M1011" s="152">
        <v>42633.647557870368</v>
      </c>
      <c r="N1011" s="151" t="s">
        <v>48</v>
      </c>
      <c r="O1011" s="151"/>
      <c r="P1011" s="151"/>
      <c r="Q1011" s="7" t="str">
        <f>IF(ISBLANK(patch[[#This Row],[OwnerEmail]]),Q1010,patch[[#This Row],[OwnerEmail]])</f>
        <v>qingwu.zhang@intel.com</v>
      </c>
      <c r="R1011" s="7" t="str">
        <f>_xlfn.IFNA(VLOOKUP(patch[[#This Row],[tmp-owner.email]],OrgTree!$A:$K, 11, 0), "not ICG SWFW")</f>
        <v>BJ And dev</v>
      </c>
      <c r="S1011" s="7" t="str">
        <f>IF(patch[[#This Row],[reviewer]]=patch[[#This Row],[tmp-owner.email]], "author", _xlfn.IFNA(VLOOKUP(patch[[#This Row],[reviewer]],OrgTree!$A:$K, 11, 0), "not ICG SWFW"))</f>
        <v>author</v>
      </c>
      <c r="T1011" s="7" t="str">
        <f>IF(ISBLANK(patch[[#This Row],[mergeDate]]), "", MID(YEAR(patch[[#This Row],[mergeDate]]), 3,2)&amp;"'ww"&amp;WEEKNUM(patch[[#This Row],[mergeDate]]))</f>
        <v>16'ww39</v>
      </c>
      <c r="U1011" s="7" t="str">
        <f>IF(ISBLANK(patch[[#This Row],[mergeDate]]), U1010, MID(YEAR(patch[[#This Row],[mergeDate]]), 3,2)&amp;"'m"&amp;MONTH(patch[[#This Row],[mergeDate]]))</f>
        <v>16'm9</v>
      </c>
      <c r="V1011" s="7" t="str">
        <f>IF(ISBLANK(patch[[#This Row],[project]]), "",SUM(patch[[#This Row],[BJ -1 num]:[SH -1 num]]))</f>
        <v/>
      </c>
      <c r="W1011" s="7" t="str">
        <f>IF(ISBLANK(patch[[#This Row],[project]]), "",COUNTIFS($A:$A,patch[[#This Row],[number]],$S:$S, "BJ And dev",$AC:$AC, "Review-1"))</f>
        <v/>
      </c>
      <c r="X1011" s="7" t="str">
        <f>IF(ISBLANK(patch[[#This Row],[project]]), "",COUNTIFS($A:$A,patch[[#This Row],[number]],$S:$S, "FL And dev",$AC:$AC, "Review-1"))</f>
        <v/>
      </c>
      <c r="Y1011" s="7" t="str">
        <f>IF(ISBLANK(patch[[#This Row],[project]]), "",COUNTIFS($A:$A,patch[[#This Row],[number]],$S:$S, "SH And dev",$AC:$AC, "Review-1"))</f>
        <v/>
      </c>
      <c r="Z1011" s="7" t="str">
        <f>IF(ISBLANK(patch[[#This Row],[project]]), "",COUNTIFS($A:$A,patch[[#This Row],[number]],$S:$S, "BJ And dev",$AD:$AD, "&lt;&gt;IntegratorValidationComment"))</f>
        <v/>
      </c>
      <c r="AA1011" s="7" t="str">
        <f>IF(ISBLANK(patch[[#This Row],[project]]), "",COUNTIFS($A:$A,patch[[#This Row],[number]],$S:$S, "FL And dev",$AD:$AD, "&lt;&gt;IntegratorValidationComment"))</f>
        <v/>
      </c>
      <c r="AB1011" s="7" t="str">
        <f>IF(ISBLANK(patch[[#This Row],[project]]), "",COUNTIFS($A:$A,patch[[#This Row],[number]],$S:$S, "SH And dev",$AD:$AD, "&lt;&gt;IntegratorValidationComment"))</f>
        <v/>
      </c>
      <c r="AC1011" s="7" t="str">
        <f>IF(OR(ISNUMBER(FIND("Review-1", patch[[#This Row],[comments]])), ISNUMBER(FIND("Approver-1", patch[[#This Row],[comments]]))), "Review-1", "")</f>
        <v/>
      </c>
      <c r="AD10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11" s="7">
        <f>IF(ISBLANK(patch[[#This Row],[number]]),AE1010,patch[[#This Row],[ifCommon]])</f>
        <v>0</v>
      </c>
    </row>
    <row r="1012" spans="1:31">
      <c r="A1012" s="151">
        <v>146306</v>
      </c>
      <c r="B1012" s="151"/>
      <c r="C1012" s="151"/>
      <c r="D1012" s="151"/>
      <c r="E1012" s="151"/>
      <c r="F1012" s="151"/>
      <c r="G1012" s="151"/>
      <c r="H1012" s="151"/>
      <c r="I1012" s="151"/>
      <c r="J1012" s="152">
        <v>42634.753634259258</v>
      </c>
      <c r="K1012" s="151"/>
      <c r="L1012" s="151" t="s">
        <v>59</v>
      </c>
      <c r="M1012" s="152">
        <v>42633.649131944447</v>
      </c>
      <c r="N1012" s="151" t="s">
        <v>48</v>
      </c>
      <c r="O1012" s="151"/>
      <c r="P1012" s="151"/>
      <c r="Q1012" s="7" t="str">
        <f>IF(ISBLANK(patch[[#This Row],[OwnerEmail]]),Q1011,patch[[#This Row],[OwnerEmail]])</f>
        <v>qingwu.zhang@intel.com</v>
      </c>
      <c r="R1012" s="7" t="str">
        <f>_xlfn.IFNA(VLOOKUP(patch[[#This Row],[tmp-owner.email]],OrgTree!$A:$K, 11, 0), "not ICG SWFW")</f>
        <v>BJ And dev</v>
      </c>
      <c r="S1012" s="7" t="str">
        <f>IF(patch[[#This Row],[reviewer]]=patch[[#This Row],[tmp-owner.email]], "author", _xlfn.IFNA(VLOOKUP(patch[[#This Row],[reviewer]],OrgTree!$A:$K, 11, 0), "not ICG SWFW"))</f>
        <v>BJ And dev</v>
      </c>
      <c r="T1012" s="7" t="str">
        <f>IF(ISBLANK(patch[[#This Row],[mergeDate]]), "", MID(YEAR(patch[[#This Row],[mergeDate]]), 3,2)&amp;"'ww"&amp;WEEKNUM(patch[[#This Row],[mergeDate]]))</f>
        <v>16'ww39</v>
      </c>
      <c r="U1012" s="7" t="str">
        <f>IF(ISBLANK(patch[[#This Row],[mergeDate]]), U1011, MID(YEAR(patch[[#This Row],[mergeDate]]), 3,2)&amp;"'m"&amp;MONTH(patch[[#This Row],[mergeDate]]))</f>
        <v>16'm9</v>
      </c>
      <c r="V1012" s="7" t="str">
        <f>IF(ISBLANK(patch[[#This Row],[project]]), "",SUM(patch[[#This Row],[BJ -1 num]:[SH -1 num]]))</f>
        <v/>
      </c>
      <c r="W1012" s="7" t="str">
        <f>IF(ISBLANK(patch[[#This Row],[project]]), "",COUNTIFS($A:$A,patch[[#This Row],[number]],$S:$S, "BJ And dev",$AC:$AC, "Review-1"))</f>
        <v/>
      </c>
      <c r="X1012" s="7" t="str">
        <f>IF(ISBLANK(patch[[#This Row],[project]]), "",COUNTIFS($A:$A,patch[[#This Row],[number]],$S:$S, "FL And dev",$AC:$AC, "Review-1"))</f>
        <v/>
      </c>
      <c r="Y1012" s="7" t="str">
        <f>IF(ISBLANK(patch[[#This Row],[project]]), "",COUNTIFS($A:$A,patch[[#This Row],[number]],$S:$S, "SH And dev",$AC:$AC, "Review-1"))</f>
        <v/>
      </c>
      <c r="Z1012" s="7" t="str">
        <f>IF(ISBLANK(patch[[#This Row],[project]]), "",COUNTIFS($A:$A,patch[[#This Row],[number]],$S:$S, "BJ And dev",$AD:$AD, "&lt;&gt;IntegratorValidationComment"))</f>
        <v/>
      </c>
      <c r="AA1012" s="7" t="str">
        <f>IF(ISBLANK(patch[[#This Row],[project]]), "",COUNTIFS($A:$A,patch[[#This Row],[number]],$S:$S, "FL And dev",$AD:$AD, "&lt;&gt;IntegratorValidationComment"))</f>
        <v/>
      </c>
      <c r="AB1012" s="7" t="str">
        <f>IF(ISBLANK(patch[[#This Row],[project]]), "",COUNTIFS($A:$A,patch[[#This Row],[number]],$S:$S, "SH And dev",$AD:$AD, "&lt;&gt;IntegratorValidationComment"))</f>
        <v/>
      </c>
      <c r="AC1012" s="7" t="str">
        <f>IF(OR(ISNUMBER(FIND("Review-1", patch[[#This Row],[comments]])), ISNUMBER(FIND("Approver-1", patch[[#This Row],[comments]]))), "Review-1", "")</f>
        <v/>
      </c>
      <c r="AD10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12" s="7">
        <f>IF(ISBLANK(patch[[#This Row],[number]]),AE1011,patch[[#This Row],[ifCommon]])</f>
        <v>0</v>
      </c>
    </row>
    <row r="1013" spans="1:31">
      <c r="A1013" s="151">
        <v>146306</v>
      </c>
      <c r="B1013" s="151"/>
      <c r="C1013" s="151"/>
      <c r="D1013" s="151"/>
      <c r="E1013" s="151"/>
      <c r="F1013" s="151"/>
      <c r="G1013" s="151"/>
      <c r="H1013" s="151"/>
      <c r="I1013" s="151"/>
      <c r="J1013" s="152">
        <v>42634.753634259258</v>
      </c>
      <c r="K1013" s="151"/>
      <c r="L1013" s="151" t="s">
        <v>59</v>
      </c>
      <c r="M1013" s="152">
        <v>42633.65425925926</v>
      </c>
      <c r="N1013" s="151" t="s">
        <v>3108</v>
      </c>
      <c r="O1013" s="151"/>
      <c r="P1013" s="151"/>
      <c r="Q1013" s="7" t="str">
        <f>IF(ISBLANK(patch[[#This Row],[OwnerEmail]]),Q1012,patch[[#This Row],[OwnerEmail]])</f>
        <v>qingwu.zhang@intel.com</v>
      </c>
      <c r="R1013" s="7" t="str">
        <f>_xlfn.IFNA(VLOOKUP(patch[[#This Row],[tmp-owner.email]],OrgTree!$A:$K, 11, 0), "not ICG SWFW")</f>
        <v>BJ And dev</v>
      </c>
      <c r="S1013" s="7" t="str">
        <f>IF(patch[[#This Row],[reviewer]]=patch[[#This Row],[tmp-owner.email]], "author", _xlfn.IFNA(VLOOKUP(patch[[#This Row],[reviewer]],OrgTree!$A:$K, 11, 0), "not ICG SWFW"))</f>
        <v>BJ And dev</v>
      </c>
      <c r="T1013" s="7" t="str">
        <f>IF(ISBLANK(patch[[#This Row],[mergeDate]]), "", MID(YEAR(patch[[#This Row],[mergeDate]]), 3,2)&amp;"'ww"&amp;WEEKNUM(patch[[#This Row],[mergeDate]]))</f>
        <v>16'ww39</v>
      </c>
      <c r="U1013" s="7" t="str">
        <f>IF(ISBLANK(patch[[#This Row],[mergeDate]]), U1012, MID(YEAR(patch[[#This Row],[mergeDate]]), 3,2)&amp;"'m"&amp;MONTH(patch[[#This Row],[mergeDate]]))</f>
        <v>16'm9</v>
      </c>
      <c r="V1013" s="7" t="str">
        <f>IF(ISBLANK(patch[[#This Row],[project]]), "",SUM(patch[[#This Row],[BJ -1 num]:[SH -1 num]]))</f>
        <v/>
      </c>
      <c r="W1013" s="7" t="str">
        <f>IF(ISBLANK(patch[[#This Row],[project]]), "",COUNTIFS($A:$A,patch[[#This Row],[number]],$S:$S, "BJ And dev",$AC:$AC, "Review-1"))</f>
        <v/>
      </c>
      <c r="X1013" s="7" t="str">
        <f>IF(ISBLANK(patch[[#This Row],[project]]), "",COUNTIFS($A:$A,patch[[#This Row],[number]],$S:$S, "FL And dev",$AC:$AC, "Review-1"))</f>
        <v/>
      </c>
      <c r="Y1013" s="7" t="str">
        <f>IF(ISBLANK(patch[[#This Row],[project]]), "",COUNTIFS($A:$A,patch[[#This Row],[number]],$S:$S, "SH And dev",$AC:$AC, "Review-1"))</f>
        <v/>
      </c>
      <c r="Z1013" s="7" t="str">
        <f>IF(ISBLANK(patch[[#This Row],[project]]), "",COUNTIFS($A:$A,patch[[#This Row],[number]],$S:$S, "BJ And dev",$AD:$AD, "&lt;&gt;IntegratorValidationComment"))</f>
        <v/>
      </c>
      <c r="AA1013" s="7" t="str">
        <f>IF(ISBLANK(patch[[#This Row],[project]]), "",COUNTIFS($A:$A,patch[[#This Row],[number]],$S:$S, "FL And dev",$AD:$AD, "&lt;&gt;IntegratorValidationComment"))</f>
        <v/>
      </c>
      <c r="AB1013" s="7" t="str">
        <f>IF(ISBLANK(patch[[#This Row],[project]]), "",COUNTIFS($A:$A,patch[[#This Row],[number]],$S:$S, "SH And dev",$AD:$AD, "&lt;&gt;IntegratorValidationComment"))</f>
        <v/>
      </c>
      <c r="AC1013" s="7" t="str">
        <f>IF(OR(ISNUMBER(FIND("Review-1", patch[[#This Row],[comments]])), ISNUMBER(FIND("Approver-1", patch[[#This Row],[comments]]))), "Review-1", "")</f>
        <v/>
      </c>
      <c r="AD10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13" s="7">
        <f>IF(ISBLANK(patch[[#This Row],[number]]),AE1012,patch[[#This Row],[ifCommon]])</f>
        <v>0</v>
      </c>
    </row>
    <row r="1014" spans="1:31">
      <c r="A1014" s="151">
        <v>146306</v>
      </c>
      <c r="B1014" s="151"/>
      <c r="C1014" s="151"/>
      <c r="D1014" s="151"/>
      <c r="E1014" s="151"/>
      <c r="F1014" s="151"/>
      <c r="G1014" s="151"/>
      <c r="H1014" s="151"/>
      <c r="I1014" s="151"/>
      <c r="J1014" s="152">
        <v>42634.753634259258</v>
      </c>
      <c r="K1014" s="151"/>
      <c r="L1014" s="151" t="s">
        <v>59</v>
      </c>
      <c r="M1014" s="152">
        <v>42633.656724537039</v>
      </c>
      <c r="N1014" s="151" t="s">
        <v>3109</v>
      </c>
      <c r="O1014" s="151"/>
      <c r="P1014" s="151"/>
      <c r="Q1014" s="7" t="str">
        <f>IF(ISBLANK(patch[[#This Row],[OwnerEmail]]),Q1013,patch[[#This Row],[OwnerEmail]])</f>
        <v>qingwu.zhang@intel.com</v>
      </c>
      <c r="R1014" s="7" t="str">
        <f>_xlfn.IFNA(VLOOKUP(patch[[#This Row],[tmp-owner.email]],OrgTree!$A:$K, 11, 0), "not ICG SWFW")</f>
        <v>BJ And dev</v>
      </c>
      <c r="S1014" s="7" t="str">
        <f>IF(patch[[#This Row],[reviewer]]=patch[[#This Row],[tmp-owner.email]], "author", _xlfn.IFNA(VLOOKUP(patch[[#This Row],[reviewer]],OrgTree!$A:$K, 11, 0), "not ICG SWFW"))</f>
        <v>BJ And dev</v>
      </c>
      <c r="T1014" s="7" t="str">
        <f>IF(ISBLANK(patch[[#This Row],[mergeDate]]), "", MID(YEAR(patch[[#This Row],[mergeDate]]), 3,2)&amp;"'ww"&amp;WEEKNUM(patch[[#This Row],[mergeDate]]))</f>
        <v>16'ww39</v>
      </c>
      <c r="U1014" s="7" t="str">
        <f>IF(ISBLANK(patch[[#This Row],[mergeDate]]), U1013, MID(YEAR(patch[[#This Row],[mergeDate]]), 3,2)&amp;"'m"&amp;MONTH(patch[[#This Row],[mergeDate]]))</f>
        <v>16'm9</v>
      </c>
      <c r="V1014" s="7" t="str">
        <f>IF(ISBLANK(patch[[#This Row],[project]]), "",SUM(patch[[#This Row],[BJ -1 num]:[SH -1 num]]))</f>
        <v/>
      </c>
      <c r="W1014" s="7" t="str">
        <f>IF(ISBLANK(patch[[#This Row],[project]]), "",COUNTIFS($A:$A,patch[[#This Row],[number]],$S:$S, "BJ And dev",$AC:$AC, "Review-1"))</f>
        <v/>
      </c>
      <c r="X1014" s="7" t="str">
        <f>IF(ISBLANK(patch[[#This Row],[project]]), "",COUNTIFS($A:$A,patch[[#This Row],[number]],$S:$S, "FL And dev",$AC:$AC, "Review-1"))</f>
        <v/>
      </c>
      <c r="Y1014" s="7" t="str">
        <f>IF(ISBLANK(patch[[#This Row],[project]]), "",COUNTIFS($A:$A,patch[[#This Row],[number]],$S:$S, "SH And dev",$AC:$AC, "Review-1"))</f>
        <v/>
      </c>
      <c r="Z1014" s="7" t="str">
        <f>IF(ISBLANK(patch[[#This Row],[project]]), "",COUNTIFS($A:$A,patch[[#This Row],[number]],$S:$S, "BJ And dev",$AD:$AD, "&lt;&gt;IntegratorValidationComment"))</f>
        <v/>
      </c>
      <c r="AA1014" s="7" t="str">
        <f>IF(ISBLANK(patch[[#This Row],[project]]), "",COUNTIFS($A:$A,patch[[#This Row],[number]],$S:$S, "FL And dev",$AD:$AD, "&lt;&gt;IntegratorValidationComment"))</f>
        <v/>
      </c>
      <c r="AB1014" s="7" t="str">
        <f>IF(ISBLANK(patch[[#This Row],[project]]), "",COUNTIFS($A:$A,patch[[#This Row],[number]],$S:$S, "SH And dev",$AD:$AD, "&lt;&gt;IntegratorValidationComment"))</f>
        <v/>
      </c>
      <c r="AC1014" s="7" t="str">
        <f>IF(OR(ISNUMBER(FIND("Review-1", patch[[#This Row],[comments]])), ISNUMBER(FIND("Approver-1", patch[[#This Row],[comments]]))), "Review-1", "")</f>
        <v/>
      </c>
      <c r="AD10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14" s="7">
        <f>IF(ISBLANK(patch[[#This Row],[number]]),AE1013,patch[[#This Row],[ifCommon]])</f>
        <v>0</v>
      </c>
    </row>
    <row r="1015" spans="1:31">
      <c r="A1015" s="151">
        <v>146306</v>
      </c>
      <c r="B1015" s="151"/>
      <c r="C1015" s="151"/>
      <c r="D1015" s="151"/>
      <c r="E1015" s="151"/>
      <c r="F1015" s="151"/>
      <c r="G1015" s="151"/>
      <c r="H1015" s="151"/>
      <c r="I1015" s="151"/>
      <c r="J1015" s="152">
        <v>42634.753634259258</v>
      </c>
      <c r="K1015" s="151"/>
      <c r="L1015" s="151" t="s">
        <v>63</v>
      </c>
      <c r="M1015" s="152">
        <v>42633.730451388888</v>
      </c>
      <c r="N1015" s="151" t="s">
        <v>48</v>
      </c>
      <c r="O1015" s="151"/>
      <c r="P1015" s="151"/>
      <c r="Q1015" s="7" t="str">
        <f>IF(ISBLANK(patch[[#This Row],[OwnerEmail]]),Q1014,patch[[#This Row],[OwnerEmail]])</f>
        <v>qingwu.zhang@intel.com</v>
      </c>
      <c r="R1015" s="7" t="str">
        <f>_xlfn.IFNA(VLOOKUP(patch[[#This Row],[tmp-owner.email]],OrgTree!$A:$K, 11, 0), "not ICG SWFW")</f>
        <v>BJ And dev</v>
      </c>
      <c r="S1015" s="7" t="str">
        <f>IF(patch[[#This Row],[reviewer]]=patch[[#This Row],[tmp-owner.email]], "author", _xlfn.IFNA(VLOOKUP(patch[[#This Row],[reviewer]],OrgTree!$A:$K, 11, 0), "not ICG SWFW"))</f>
        <v>BJ And dev</v>
      </c>
      <c r="T1015" s="7" t="str">
        <f>IF(ISBLANK(patch[[#This Row],[mergeDate]]), "", MID(YEAR(patch[[#This Row],[mergeDate]]), 3,2)&amp;"'ww"&amp;WEEKNUM(patch[[#This Row],[mergeDate]]))</f>
        <v>16'ww39</v>
      </c>
      <c r="U1015" s="7" t="str">
        <f>IF(ISBLANK(patch[[#This Row],[mergeDate]]), U1014, MID(YEAR(patch[[#This Row],[mergeDate]]), 3,2)&amp;"'m"&amp;MONTH(patch[[#This Row],[mergeDate]]))</f>
        <v>16'm9</v>
      </c>
      <c r="V1015" s="7" t="str">
        <f>IF(ISBLANK(patch[[#This Row],[project]]), "",SUM(patch[[#This Row],[BJ -1 num]:[SH -1 num]]))</f>
        <v/>
      </c>
      <c r="W1015" s="7" t="str">
        <f>IF(ISBLANK(patch[[#This Row],[project]]), "",COUNTIFS($A:$A,patch[[#This Row],[number]],$S:$S, "BJ And dev",$AC:$AC, "Review-1"))</f>
        <v/>
      </c>
      <c r="X1015" s="7" t="str">
        <f>IF(ISBLANK(patch[[#This Row],[project]]), "",COUNTIFS($A:$A,patch[[#This Row],[number]],$S:$S, "FL And dev",$AC:$AC, "Review-1"))</f>
        <v/>
      </c>
      <c r="Y1015" s="7" t="str">
        <f>IF(ISBLANK(patch[[#This Row],[project]]), "",COUNTIFS($A:$A,patch[[#This Row],[number]],$S:$S, "SH And dev",$AC:$AC, "Review-1"))</f>
        <v/>
      </c>
      <c r="Z1015" s="7" t="str">
        <f>IF(ISBLANK(patch[[#This Row],[project]]), "",COUNTIFS($A:$A,patch[[#This Row],[number]],$S:$S, "BJ And dev",$AD:$AD, "&lt;&gt;IntegratorValidationComment"))</f>
        <v/>
      </c>
      <c r="AA1015" s="7" t="str">
        <f>IF(ISBLANK(patch[[#This Row],[project]]), "",COUNTIFS($A:$A,patch[[#This Row],[number]],$S:$S, "FL And dev",$AD:$AD, "&lt;&gt;IntegratorValidationComment"))</f>
        <v/>
      </c>
      <c r="AB1015" s="7" t="str">
        <f>IF(ISBLANK(patch[[#This Row],[project]]), "",COUNTIFS($A:$A,patch[[#This Row],[number]],$S:$S, "SH And dev",$AD:$AD, "&lt;&gt;IntegratorValidationComment"))</f>
        <v/>
      </c>
      <c r="AC1015" s="7" t="str">
        <f>IF(OR(ISNUMBER(FIND("Review-1", patch[[#This Row],[comments]])), ISNUMBER(FIND("Approver-1", patch[[#This Row],[comments]]))), "Review-1", "")</f>
        <v/>
      </c>
      <c r="AD10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15" s="7">
        <f>IF(ISBLANK(patch[[#This Row],[number]]),AE1014,patch[[#This Row],[ifCommon]])</f>
        <v>0</v>
      </c>
    </row>
    <row r="1016" spans="1:31">
      <c r="A1016" s="151">
        <v>146306</v>
      </c>
      <c r="B1016" s="151"/>
      <c r="C1016" s="151"/>
      <c r="D1016" s="151"/>
      <c r="E1016" s="151"/>
      <c r="F1016" s="151"/>
      <c r="G1016" s="151"/>
      <c r="H1016" s="151"/>
      <c r="I1016" s="151"/>
      <c r="J1016" s="152">
        <v>42634.753634259258</v>
      </c>
      <c r="K1016" s="151"/>
      <c r="L1016" s="151" t="s">
        <v>59</v>
      </c>
      <c r="M1016" s="152">
        <v>42633.764432870368</v>
      </c>
      <c r="N1016" s="151" t="s">
        <v>2484</v>
      </c>
      <c r="O1016" s="151"/>
      <c r="P1016" s="151"/>
      <c r="Q1016" s="7" t="str">
        <f>IF(ISBLANK(patch[[#This Row],[OwnerEmail]]),Q1015,patch[[#This Row],[OwnerEmail]])</f>
        <v>qingwu.zhang@intel.com</v>
      </c>
      <c r="R1016" s="7" t="str">
        <f>_xlfn.IFNA(VLOOKUP(patch[[#This Row],[tmp-owner.email]],OrgTree!$A:$K, 11, 0), "not ICG SWFW")</f>
        <v>BJ And dev</v>
      </c>
      <c r="S1016" s="7" t="str">
        <f>IF(patch[[#This Row],[reviewer]]=patch[[#This Row],[tmp-owner.email]], "author", _xlfn.IFNA(VLOOKUP(patch[[#This Row],[reviewer]],OrgTree!$A:$K, 11, 0), "not ICG SWFW"))</f>
        <v>BJ And dev</v>
      </c>
      <c r="T1016" s="7" t="str">
        <f>IF(ISBLANK(patch[[#This Row],[mergeDate]]), "", MID(YEAR(patch[[#This Row],[mergeDate]]), 3,2)&amp;"'ww"&amp;WEEKNUM(patch[[#This Row],[mergeDate]]))</f>
        <v>16'ww39</v>
      </c>
      <c r="U1016" s="7" t="str">
        <f>IF(ISBLANK(patch[[#This Row],[mergeDate]]), U1015, MID(YEAR(patch[[#This Row],[mergeDate]]), 3,2)&amp;"'m"&amp;MONTH(patch[[#This Row],[mergeDate]]))</f>
        <v>16'm9</v>
      </c>
      <c r="V1016" s="7" t="str">
        <f>IF(ISBLANK(patch[[#This Row],[project]]), "",SUM(patch[[#This Row],[BJ -1 num]:[SH -1 num]]))</f>
        <v/>
      </c>
      <c r="W1016" s="7" t="str">
        <f>IF(ISBLANK(patch[[#This Row],[project]]), "",COUNTIFS($A:$A,patch[[#This Row],[number]],$S:$S, "BJ And dev",$AC:$AC, "Review-1"))</f>
        <v/>
      </c>
      <c r="X1016" s="7" t="str">
        <f>IF(ISBLANK(patch[[#This Row],[project]]), "",COUNTIFS($A:$A,patch[[#This Row],[number]],$S:$S, "FL And dev",$AC:$AC, "Review-1"))</f>
        <v/>
      </c>
      <c r="Y1016" s="7" t="str">
        <f>IF(ISBLANK(patch[[#This Row],[project]]), "",COUNTIFS($A:$A,patch[[#This Row],[number]],$S:$S, "SH And dev",$AC:$AC, "Review-1"))</f>
        <v/>
      </c>
      <c r="Z1016" s="7" t="str">
        <f>IF(ISBLANK(patch[[#This Row],[project]]), "",COUNTIFS($A:$A,patch[[#This Row],[number]],$S:$S, "BJ And dev",$AD:$AD, "&lt;&gt;IntegratorValidationComment"))</f>
        <v/>
      </c>
      <c r="AA1016" s="7" t="str">
        <f>IF(ISBLANK(patch[[#This Row],[project]]), "",COUNTIFS($A:$A,patch[[#This Row],[number]],$S:$S, "FL And dev",$AD:$AD, "&lt;&gt;IntegratorValidationComment"))</f>
        <v/>
      </c>
      <c r="AB1016" s="7" t="str">
        <f>IF(ISBLANK(patch[[#This Row],[project]]), "",COUNTIFS($A:$A,patch[[#This Row],[number]],$S:$S, "SH And dev",$AD:$AD, "&lt;&gt;IntegratorValidationComment"))</f>
        <v/>
      </c>
      <c r="AC1016" s="7" t="str">
        <f>IF(OR(ISNUMBER(FIND("Review-1", patch[[#This Row],[comments]])), ISNUMBER(FIND("Approver-1", patch[[#This Row],[comments]]))), "Review-1", "")</f>
        <v/>
      </c>
      <c r="AD10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16" s="7">
        <f>IF(ISBLANK(patch[[#This Row],[number]]),AE1015,patch[[#This Row],[ifCommon]])</f>
        <v>0</v>
      </c>
    </row>
    <row r="1017" spans="1:31">
      <c r="A1017" s="151">
        <v>146306</v>
      </c>
      <c r="B1017" s="151"/>
      <c r="C1017" s="151"/>
      <c r="D1017" s="151"/>
      <c r="E1017" s="151"/>
      <c r="F1017" s="151"/>
      <c r="G1017" s="151"/>
      <c r="H1017" s="151"/>
      <c r="I1017" s="151"/>
      <c r="J1017" s="152">
        <v>42634.753634259258</v>
      </c>
      <c r="K1017" s="151"/>
      <c r="L1017" s="151" t="s">
        <v>115</v>
      </c>
      <c r="M1017" s="152">
        <v>42634.548796296287</v>
      </c>
      <c r="N1017" s="151" t="s">
        <v>2497</v>
      </c>
      <c r="O1017" s="151"/>
      <c r="P1017" s="151"/>
      <c r="Q1017" s="7" t="str">
        <f>IF(ISBLANK(patch[[#This Row],[OwnerEmail]]),Q1016,patch[[#This Row],[OwnerEmail]])</f>
        <v>qingwu.zhang@intel.com</v>
      </c>
      <c r="R1017" s="7" t="str">
        <f>_xlfn.IFNA(VLOOKUP(patch[[#This Row],[tmp-owner.email]],OrgTree!$A:$K, 11, 0), "not ICG SWFW")</f>
        <v>BJ And dev</v>
      </c>
      <c r="S1017" s="7" t="str">
        <f>IF(patch[[#This Row],[reviewer]]=patch[[#This Row],[tmp-owner.email]], "author", _xlfn.IFNA(VLOOKUP(patch[[#This Row],[reviewer]],OrgTree!$A:$K, 11, 0), "not ICG SWFW"))</f>
        <v>Val</v>
      </c>
      <c r="T1017" s="7" t="str">
        <f>IF(ISBLANK(patch[[#This Row],[mergeDate]]), "", MID(YEAR(patch[[#This Row],[mergeDate]]), 3,2)&amp;"'ww"&amp;WEEKNUM(patch[[#This Row],[mergeDate]]))</f>
        <v>16'ww39</v>
      </c>
      <c r="U1017" s="7" t="str">
        <f>IF(ISBLANK(patch[[#This Row],[mergeDate]]), U1016, MID(YEAR(patch[[#This Row],[mergeDate]]), 3,2)&amp;"'m"&amp;MONTH(patch[[#This Row],[mergeDate]]))</f>
        <v>16'm9</v>
      </c>
      <c r="V1017" s="7" t="str">
        <f>IF(ISBLANK(patch[[#This Row],[project]]), "",SUM(patch[[#This Row],[BJ -1 num]:[SH -1 num]]))</f>
        <v/>
      </c>
      <c r="W1017" s="7" t="str">
        <f>IF(ISBLANK(patch[[#This Row],[project]]), "",COUNTIFS($A:$A,patch[[#This Row],[number]],$S:$S, "BJ And dev",$AC:$AC, "Review-1"))</f>
        <v/>
      </c>
      <c r="X1017" s="7" t="str">
        <f>IF(ISBLANK(patch[[#This Row],[project]]), "",COUNTIFS($A:$A,patch[[#This Row],[number]],$S:$S, "FL And dev",$AC:$AC, "Review-1"))</f>
        <v/>
      </c>
      <c r="Y1017" s="7" t="str">
        <f>IF(ISBLANK(patch[[#This Row],[project]]), "",COUNTIFS($A:$A,patch[[#This Row],[number]],$S:$S, "SH And dev",$AC:$AC, "Review-1"))</f>
        <v/>
      </c>
      <c r="Z1017" s="7" t="str">
        <f>IF(ISBLANK(patch[[#This Row],[project]]), "",COUNTIFS($A:$A,patch[[#This Row],[number]],$S:$S, "BJ And dev",$AD:$AD, "&lt;&gt;IntegratorValidationComment"))</f>
        <v/>
      </c>
      <c r="AA1017" s="7" t="str">
        <f>IF(ISBLANK(patch[[#This Row],[project]]), "",COUNTIFS($A:$A,patch[[#This Row],[number]],$S:$S, "FL And dev",$AD:$AD, "&lt;&gt;IntegratorValidationComment"))</f>
        <v/>
      </c>
      <c r="AB1017" s="7" t="str">
        <f>IF(ISBLANK(patch[[#This Row],[project]]), "",COUNTIFS($A:$A,patch[[#This Row],[number]],$S:$S, "SH And dev",$AD:$AD, "&lt;&gt;IntegratorValidationComment"))</f>
        <v/>
      </c>
      <c r="AC1017" s="7" t="str">
        <f>IF(OR(ISNUMBER(FIND("Review-1", patch[[#This Row],[comments]])), ISNUMBER(FIND("Approver-1", patch[[#This Row],[comments]]))), "Review-1", "")</f>
        <v/>
      </c>
      <c r="AD10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017" s="7">
        <f>IF(ISBLANK(patch[[#This Row],[number]]),AE1016,patch[[#This Row],[ifCommon]])</f>
        <v>0</v>
      </c>
    </row>
    <row r="1018" spans="1:31">
      <c r="A1018" s="151">
        <v>146557</v>
      </c>
      <c r="B1018" s="151" t="s">
        <v>2490</v>
      </c>
      <c r="C1018" s="151" t="s">
        <v>2491</v>
      </c>
      <c r="D1018" s="151" t="s">
        <v>2963</v>
      </c>
      <c r="E1018" s="151" t="s">
        <v>32</v>
      </c>
      <c r="F1018" s="151" t="s">
        <v>23</v>
      </c>
      <c r="G1018" s="151" t="s">
        <v>2964</v>
      </c>
      <c r="H1018" s="151" t="s">
        <v>2965</v>
      </c>
      <c r="I1018" s="152">
        <v>42633.651122685187</v>
      </c>
      <c r="J1018" s="152">
        <v>42634.753518518519</v>
      </c>
      <c r="K1018" s="151" t="s">
        <v>2445</v>
      </c>
      <c r="L1018" s="151" t="s">
        <v>32</v>
      </c>
      <c r="M1018" s="152">
        <v>42633.651122685187</v>
      </c>
      <c r="N1018" s="151" t="s">
        <v>2458</v>
      </c>
      <c r="O1018" s="151"/>
      <c r="P1018" s="151" t="s">
        <v>2498</v>
      </c>
      <c r="Q1018" s="7" t="str">
        <f>IF(ISBLANK(patch[[#This Row],[OwnerEmail]]),Q1017,patch[[#This Row],[OwnerEmail]])</f>
        <v>gang.a.hu@intel.com</v>
      </c>
      <c r="R1018" s="7" t="str">
        <f>_xlfn.IFNA(VLOOKUP(patch[[#This Row],[tmp-owner.email]],OrgTree!$A:$K, 11, 0), "not ICG SWFW")</f>
        <v>BJ And dev</v>
      </c>
      <c r="S1018" s="7" t="str">
        <f>IF(patch[[#This Row],[reviewer]]=patch[[#This Row],[tmp-owner.email]], "author", _xlfn.IFNA(VLOOKUP(patch[[#This Row],[reviewer]],OrgTree!$A:$K, 11, 0), "not ICG SWFW"))</f>
        <v>author</v>
      </c>
      <c r="T1018" s="7" t="str">
        <f>IF(ISBLANK(patch[[#This Row],[mergeDate]]), "", MID(YEAR(patch[[#This Row],[mergeDate]]), 3,2)&amp;"'ww"&amp;WEEKNUM(patch[[#This Row],[mergeDate]]))</f>
        <v>16'ww39</v>
      </c>
      <c r="U1018" s="7" t="str">
        <f>IF(ISBLANK(patch[[#This Row],[mergeDate]]), U1017, MID(YEAR(patch[[#This Row],[mergeDate]]), 3,2)&amp;"'m"&amp;MONTH(patch[[#This Row],[mergeDate]]))</f>
        <v>16'm9</v>
      </c>
      <c r="V1018" s="7">
        <f>IF(ISBLANK(patch[[#This Row],[project]]), "",SUM(patch[[#This Row],[BJ -1 num]:[SH -1 num]]))</f>
        <v>0</v>
      </c>
      <c r="W1018" s="7">
        <f>IF(ISBLANK(patch[[#This Row],[project]]), "",COUNTIFS($A:$A,patch[[#This Row],[number]],$S:$S, "BJ And dev",$AC:$AC, "Review-1"))</f>
        <v>0</v>
      </c>
      <c r="X1018" s="7">
        <f>IF(ISBLANK(patch[[#This Row],[project]]), "",COUNTIFS($A:$A,patch[[#This Row],[number]],$S:$S, "FL And dev",$AC:$AC, "Review-1"))</f>
        <v>0</v>
      </c>
      <c r="Y1018" s="7">
        <f>IF(ISBLANK(patch[[#This Row],[project]]), "",COUNTIFS($A:$A,patch[[#This Row],[number]],$S:$S, "SH And dev",$AC:$AC, "Review-1"))</f>
        <v>0</v>
      </c>
      <c r="Z1018" s="7">
        <f>IF(ISBLANK(patch[[#This Row],[project]]), "",COUNTIFS($A:$A,patch[[#This Row],[number]],$S:$S, "BJ And dev",$AD:$AD, "&lt;&gt;IntegratorValidationComment"))</f>
        <v>6</v>
      </c>
      <c r="AA1018" s="7">
        <f>IF(ISBLANK(patch[[#This Row],[project]]), "",COUNTIFS($A:$A,patch[[#This Row],[number]],$S:$S, "FL And dev",$AD:$AD, "&lt;&gt;IntegratorValidationComment"))</f>
        <v>0</v>
      </c>
      <c r="AB1018" s="7">
        <f>IF(ISBLANK(patch[[#This Row],[project]]), "",COUNTIFS($A:$A,patch[[#This Row],[number]],$S:$S, "SH And dev",$AD:$AD, "&lt;&gt;IntegratorValidationComment"))</f>
        <v>0</v>
      </c>
      <c r="AC1018" s="7" t="str">
        <f>IF(OR(ISNUMBER(FIND("Review-1", patch[[#This Row],[comments]])), ISNUMBER(FIND("Approver-1", patch[[#This Row],[comments]]))), "Review-1", "")</f>
        <v/>
      </c>
      <c r="AD10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18" s="7" t="str">
        <f>IF(ISBLANK(patch[[#This Row],[number]]),AE1017,patch[[#This Row],[ifCommon]])</f>
        <v>not AndrHAL</v>
      </c>
    </row>
    <row r="1019" spans="1:31">
      <c r="A1019" s="151">
        <v>146557</v>
      </c>
      <c r="B1019" s="151"/>
      <c r="C1019" s="151"/>
      <c r="D1019" s="151"/>
      <c r="E1019" s="151"/>
      <c r="F1019" s="151"/>
      <c r="G1019" s="151"/>
      <c r="H1019" s="151"/>
      <c r="I1019" s="151"/>
      <c r="J1019" s="152">
        <v>42634.753518518519</v>
      </c>
      <c r="K1019" s="151"/>
      <c r="L1019" s="151" t="s">
        <v>32</v>
      </c>
      <c r="M1019" s="152">
        <v>42633.651122685187</v>
      </c>
      <c r="N1019" s="151" t="s">
        <v>25</v>
      </c>
      <c r="O1019" s="151"/>
      <c r="P1019" s="151"/>
      <c r="Q1019" s="7" t="str">
        <f>IF(ISBLANK(patch[[#This Row],[OwnerEmail]]),Q1018,patch[[#This Row],[OwnerEmail]])</f>
        <v>gang.a.hu@intel.com</v>
      </c>
      <c r="R1019" s="7" t="str">
        <f>_xlfn.IFNA(VLOOKUP(patch[[#This Row],[tmp-owner.email]],OrgTree!$A:$K, 11, 0), "not ICG SWFW")</f>
        <v>BJ And dev</v>
      </c>
      <c r="S1019" s="7" t="str">
        <f>IF(patch[[#This Row],[reviewer]]=patch[[#This Row],[tmp-owner.email]], "author", _xlfn.IFNA(VLOOKUP(patch[[#This Row],[reviewer]],OrgTree!$A:$K, 11, 0), "not ICG SWFW"))</f>
        <v>author</v>
      </c>
      <c r="T1019" s="7" t="str">
        <f>IF(ISBLANK(patch[[#This Row],[mergeDate]]), "", MID(YEAR(patch[[#This Row],[mergeDate]]), 3,2)&amp;"'ww"&amp;WEEKNUM(patch[[#This Row],[mergeDate]]))</f>
        <v>16'ww39</v>
      </c>
      <c r="U1019" s="7" t="str">
        <f>IF(ISBLANK(patch[[#This Row],[mergeDate]]), U1018, MID(YEAR(patch[[#This Row],[mergeDate]]), 3,2)&amp;"'m"&amp;MONTH(patch[[#This Row],[mergeDate]]))</f>
        <v>16'm9</v>
      </c>
      <c r="V1019" s="7" t="str">
        <f>IF(ISBLANK(patch[[#This Row],[project]]), "",SUM(patch[[#This Row],[BJ -1 num]:[SH -1 num]]))</f>
        <v/>
      </c>
      <c r="W1019" s="7" t="str">
        <f>IF(ISBLANK(patch[[#This Row],[project]]), "",COUNTIFS($A:$A,patch[[#This Row],[number]],$S:$S, "BJ And dev",$AC:$AC, "Review-1"))</f>
        <v/>
      </c>
      <c r="X1019" s="7" t="str">
        <f>IF(ISBLANK(patch[[#This Row],[project]]), "",COUNTIFS($A:$A,patch[[#This Row],[number]],$S:$S, "FL And dev",$AC:$AC, "Review-1"))</f>
        <v/>
      </c>
      <c r="Y1019" s="7" t="str">
        <f>IF(ISBLANK(patch[[#This Row],[project]]), "",COUNTIFS($A:$A,patch[[#This Row],[number]],$S:$S, "SH And dev",$AC:$AC, "Review-1"))</f>
        <v/>
      </c>
      <c r="Z1019" s="7" t="str">
        <f>IF(ISBLANK(patch[[#This Row],[project]]), "",COUNTIFS($A:$A,patch[[#This Row],[number]],$S:$S, "BJ And dev",$AD:$AD, "&lt;&gt;IntegratorValidationComment"))</f>
        <v/>
      </c>
      <c r="AA1019" s="7" t="str">
        <f>IF(ISBLANK(patch[[#This Row],[project]]), "",COUNTIFS($A:$A,patch[[#This Row],[number]],$S:$S, "FL And dev",$AD:$AD, "&lt;&gt;IntegratorValidationComment"))</f>
        <v/>
      </c>
      <c r="AB1019" s="7" t="str">
        <f>IF(ISBLANK(patch[[#This Row],[project]]), "",COUNTIFS($A:$A,patch[[#This Row],[number]],$S:$S, "SH And dev",$AD:$AD, "&lt;&gt;IntegratorValidationComment"))</f>
        <v/>
      </c>
      <c r="AC1019" s="7" t="str">
        <f>IF(OR(ISNUMBER(FIND("Review-1", patch[[#This Row],[comments]])), ISNUMBER(FIND("Approver-1", patch[[#This Row],[comments]]))), "Review-1", "")</f>
        <v/>
      </c>
      <c r="AD10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19" s="7">
        <f>IF(ISBLANK(patch[[#This Row],[number]]),AE1018,patch[[#This Row],[ifCommon]])</f>
        <v>0</v>
      </c>
    </row>
    <row r="1020" spans="1:31">
      <c r="A1020" s="151">
        <v>146557</v>
      </c>
      <c r="B1020" s="151"/>
      <c r="C1020" s="151"/>
      <c r="D1020" s="151"/>
      <c r="E1020" s="151"/>
      <c r="F1020" s="151"/>
      <c r="G1020" s="151"/>
      <c r="H1020" s="151"/>
      <c r="I1020" s="151"/>
      <c r="J1020" s="152">
        <v>42634.753518518519</v>
      </c>
      <c r="K1020" s="151"/>
      <c r="L1020" s="151" t="s">
        <v>32</v>
      </c>
      <c r="M1020" s="152">
        <v>42633.656944444447</v>
      </c>
      <c r="N1020" s="151" t="s">
        <v>2461</v>
      </c>
      <c r="O1020" s="151"/>
      <c r="P1020" s="151"/>
      <c r="Q1020" s="7" t="str">
        <f>IF(ISBLANK(patch[[#This Row],[OwnerEmail]]),Q1019,patch[[#This Row],[OwnerEmail]])</f>
        <v>gang.a.hu@intel.com</v>
      </c>
      <c r="R1020" s="7" t="str">
        <f>_xlfn.IFNA(VLOOKUP(patch[[#This Row],[tmp-owner.email]],OrgTree!$A:$K, 11, 0), "not ICG SWFW")</f>
        <v>BJ And dev</v>
      </c>
      <c r="S1020" s="7" t="str">
        <f>IF(patch[[#This Row],[reviewer]]=patch[[#This Row],[tmp-owner.email]], "author", _xlfn.IFNA(VLOOKUP(patch[[#This Row],[reviewer]],OrgTree!$A:$K, 11, 0), "not ICG SWFW"))</f>
        <v>author</v>
      </c>
      <c r="T1020" s="7" t="str">
        <f>IF(ISBLANK(patch[[#This Row],[mergeDate]]), "", MID(YEAR(patch[[#This Row],[mergeDate]]), 3,2)&amp;"'ww"&amp;WEEKNUM(patch[[#This Row],[mergeDate]]))</f>
        <v>16'ww39</v>
      </c>
      <c r="U1020" s="7" t="str">
        <f>IF(ISBLANK(patch[[#This Row],[mergeDate]]), U1019, MID(YEAR(patch[[#This Row],[mergeDate]]), 3,2)&amp;"'m"&amp;MONTH(patch[[#This Row],[mergeDate]]))</f>
        <v>16'm9</v>
      </c>
      <c r="V1020" s="7" t="str">
        <f>IF(ISBLANK(patch[[#This Row],[project]]), "",SUM(patch[[#This Row],[BJ -1 num]:[SH -1 num]]))</f>
        <v/>
      </c>
      <c r="W1020" s="7" t="str">
        <f>IF(ISBLANK(patch[[#This Row],[project]]), "",COUNTIFS($A:$A,patch[[#This Row],[number]],$S:$S, "BJ And dev",$AC:$AC, "Review-1"))</f>
        <v/>
      </c>
      <c r="X1020" s="7" t="str">
        <f>IF(ISBLANK(patch[[#This Row],[project]]), "",COUNTIFS($A:$A,patch[[#This Row],[number]],$S:$S, "FL And dev",$AC:$AC, "Review-1"))</f>
        <v/>
      </c>
      <c r="Y1020" s="7" t="str">
        <f>IF(ISBLANK(patch[[#This Row],[project]]), "",COUNTIFS($A:$A,patch[[#This Row],[number]],$S:$S, "SH And dev",$AC:$AC, "Review-1"))</f>
        <v/>
      </c>
      <c r="Z1020" s="7" t="str">
        <f>IF(ISBLANK(patch[[#This Row],[project]]), "",COUNTIFS($A:$A,patch[[#This Row],[number]],$S:$S, "BJ And dev",$AD:$AD, "&lt;&gt;IntegratorValidationComment"))</f>
        <v/>
      </c>
      <c r="AA1020" s="7" t="str">
        <f>IF(ISBLANK(patch[[#This Row],[project]]), "",COUNTIFS($A:$A,patch[[#This Row],[number]],$S:$S, "FL And dev",$AD:$AD, "&lt;&gt;IntegratorValidationComment"))</f>
        <v/>
      </c>
      <c r="AB1020" s="7" t="str">
        <f>IF(ISBLANK(patch[[#This Row],[project]]), "",COUNTIFS($A:$A,patch[[#This Row],[number]],$S:$S, "SH And dev",$AD:$AD, "&lt;&gt;IntegratorValidationComment"))</f>
        <v/>
      </c>
      <c r="AC1020" s="7" t="str">
        <f>IF(OR(ISNUMBER(FIND("Review-1", patch[[#This Row],[comments]])), ISNUMBER(FIND("Approver-1", patch[[#This Row],[comments]]))), "Review-1", "")</f>
        <v/>
      </c>
      <c r="AD10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20" s="7">
        <f>IF(ISBLANK(patch[[#This Row],[number]]),AE1019,patch[[#This Row],[ifCommon]])</f>
        <v>0</v>
      </c>
    </row>
    <row r="1021" spans="1:31">
      <c r="A1021" s="151">
        <v>146557</v>
      </c>
      <c r="B1021" s="151"/>
      <c r="C1021" s="151"/>
      <c r="D1021" s="151"/>
      <c r="E1021" s="151"/>
      <c r="F1021" s="151"/>
      <c r="G1021" s="151"/>
      <c r="H1021" s="151"/>
      <c r="I1021" s="151"/>
      <c r="J1021" s="152">
        <v>42634.753518518519</v>
      </c>
      <c r="K1021" s="151"/>
      <c r="L1021" s="151" t="s">
        <v>32</v>
      </c>
      <c r="M1021" s="152">
        <v>42633.656944444447</v>
      </c>
      <c r="N1021" s="151" t="s">
        <v>29</v>
      </c>
      <c r="O1021" s="151"/>
      <c r="P1021" s="151"/>
      <c r="Q1021" s="7" t="str">
        <f>IF(ISBLANK(patch[[#This Row],[OwnerEmail]]),Q1020,patch[[#This Row],[OwnerEmail]])</f>
        <v>gang.a.hu@intel.com</v>
      </c>
      <c r="R1021" s="7" t="str">
        <f>_xlfn.IFNA(VLOOKUP(patch[[#This Row],[tmp-owner.email]],OrgTree!$A:$K, 11, 0), "not ICG SWFW")</f>
        <v>BJ And dev</v>
      </c>
      <c r="S1021" s="7" t="str">
        <f>IF(patch[[#This Row],[reviewer]]=patch[[#This Row],[tmp-owner.email]], "author", _xlfn.IFNA(VLOOKUP(patch[[#This Row],[reviewer]],OrgTree!$A:$K, 11, 0), "not ICG SWFW"))</f>
        <v>author</v>
      </c>
      <c r="T1021" s="7" t="str">
        <f>IF(ISBLANK(patch[[#This Row],[mergeDate]]), "", MID(YEAR(patch[[#This Row],[mergeDate]]), 3,2)&amp;"'ww"&amp;WEEKNUM(patch[[#This Row],[mergeDate]]))</f>
        <v>16'ww39</v>
      </c>
      <c r="U1021" s="7" t="str">
        <f>IF(ISBLANK(patch[[#This Row],[mergeDate]]), U1020, MID(YEAR(patch[[#This Row],[mergeDate]]), 3,2)&amp;"'m"&amp;MONTH(patch[[#This Row],[mergeDate]]))</f>
        <v>16'm9</v>
      </c>
      <c r="V1021" s="7" t="str">
        <f>IF(ISBLANK(patch[[#This Row],[project]]), "",SUM(patch[[#This Row],[BJ -1 num]:[SH -1 num]]))</f>
        <v/>
      </c>
      <c r="W1021" s="7" t="str">
        <f>IF(ISBLANK(patch[[#This Row],[project]]), "",COUNTIFS($A:$A,patch[[#This Row],[number]],$S:$S, "BJ And dev",$AC:$AC, "Review-1"))</f>
        <v/>
      </c>
      <c r="X1021" s="7" t="str">
        <f>IF(ISBLANK(patch[[#This Row],[project]]), "",COUNTIFS($A:$A,patch[[#This Row],[number]],$S:$S, "FL And dev",$AC:$AC, "Review-1"))</f>
        <v/>
      </c>
      <c r="Y1021" s="7" t="str">
        <f>IF(ISBLANK(patch[[#This Row],[project]]), "",COUNTIFS($A:$A,patch[[#This Row],[number]],$S:$S, "SH And dev",$AC:$AC, "Review-1"))</f>
        <v/>
      </c>
      <c r="Z1021" s="7" t="str">
        <f>IF(ISBLANK(patch[[#This Row],[project]]), "",COUNTIFS($A:$A,patch[[#This Row],[number]],$S:$S, "BJ And dev",$AD:$AD, "&lt;&gt;IntegratorValidationComment"))</f>
        <v/>
      </c>
      <c r="AA1021" s="7" t="str">
        <f>IF(ISBLANK(patch[[#This Row],[project]]), "",COUNTIFS($A:$A,patch[[#This Row],[number]],$S:$S, "FL And dev",$AD:$AD, "&lt;&gt;IntegratorValidationComment"))</f>
        <v/>
      </c>
      <c r="AB1021" s="7" t="str">
        <f>IF(ISBLANK(patch[[#This Row],[project]]), "",COUNTIFS($A:$A,patch[[#This Row],[number]],$S:$S, "SH And dev",$AD:$AD, "&lt;&gt;IntegratorValidationComment"))</f>
        <v/>
      </c>
      <c r="AC1021" s="7" t="str">
        <f>IF(OR(ISNUMBER(FIND("Review-1", patch[[#This Row],[comments]])), ISNUMBER(FIND("Approver-1", patch[[#This Row],[comments]]))), "Review-1", "")</f>
        <v/>
      </c>
      <c r="AD10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21" s="7">
        <f>IF(ISBLANK(patch[[#This Row],[number]]),AE1020,patch[[#This Row],[ifCommon]])</f>
        <v>0</v>
      </c>
    </row>
    <row r="1022" spans="1:31">
      <c r="A1022" s="151">
        <v>146557</v>
      </c>
      <c r="B1022" s="151"/>
      <c r="C1022" s="151"/>
      <c r="D1022" s="151"/>
      <c r="E1022" s="151"/>
      <c r="F1022" s="151"/>
      <c r="G1022" s="151"/>
      <c r="H1022" s="151"/>
      <c r="I1022" s="151"/>
      <c r="J1022" s="152">
        <v>42634.753518518519</v>
      </c>
      <c r="K1022" s="151"/>
      <c r="L1022" s="151" t="s">
        <v>32</v>
      </c>
      <c r="M1022" s="152">
        <v>42633.657129629632</v>
      </c>
      <c r="N1022" s="151" t="s">
        <v>2462</v>
      </c>
      <c r="O1022" s="151"/>
      <c r="P1022" s="151"/>
      <c r="Q1022" s="7" t="str">
        <f>IF(ISBLANK(patch[[#This Row],[OwnerEmail]]),Q1021,patch[[#This Row],[OwnerEmail]])</f>
        <v>gang.a.hu@intel.com</v>
      </c>
      <c r="R1022" s="7" t="str">
        <f>_xlfn.IFNA(VLOOKUP(patch[[#This Row],[tmp-owner.email]],OrgTree!$A:$K, 11, 0), "not ICG SWFW")</f>
        <v>BJ And dev</v>
      </c>
      <c r="S1022" s="7" t="str">
        <f>IF(patch[[#This Row],[reviewer]]=patch[[#This Row],[tmp-owner.email]], "author", _xlfn.IFNA(VLOOKUP(patch[[#This Row],[reviewer]],OrgTree!$A:$K, 11, 0), "not ICG SWFW"))</f>
        <v>author</v>
      </c>
      <c r="T1022" s="7" t="str">
        <f>IF(ISBLANK(patch[[#This Row],[mergeDate]]), "", MID(YEAR(patch[[#This Row],[mergeDate]]), 3,2)&amp;"'ww"&amp;WEEKNUM(patch[[#This Row],[mergeDate]]))</f>
        <v>16'ww39</v>
      </c>
      <c r="U1022" s="7" t="str">
        <f>IF(ISBLANK(patch[[#This Row],[mergeDate]]), U1021, MID(YEAR(patch[[#This Row],[mergeDate]]), 3,2)&amp;"'m"&amp;MONTH(patch[[#This Row],[mergeDate]]))</f>
        <v>16'm9</v>
      </c>
      <c r="V1022" s="7" t="str">
        <f>IF(ISBLANK(patch[[#This Row],[project]]), "",SUM(patch[[#This Row],[BJ -1 num]:[SH -1 num]]))</f>
        <v/>
      </c>
      <c r="W1022" s="7" t="str">
        <f>IF(ISBLANK(patch[[#This Row],[project]]), "",COUNTIFS($A:$A,patch[[#This Row],[number]],$S:$S, "BJ And dev",$AC:$AC, "Review-1"))</f>
        <v/>
      </c>
      <c r="X1022" s="7" t="str">
        <f>IF(ISBLANK(patch[[#This Row],[project]]), "",COUNTIFS($A:$A,patch[[#This Row],[number]],$S:$S, "FL And dev",$AC:$AC, "Review-1"))</f>
        <v/>
      </c>
      <c r="Y1022" s="7" t="str">
        <f>IF(ISBLANK(patch[[#This Row],[project]]), "",COUNTIFS($A:$A,patch[[#This Row],[number]],$S:$S, "SH And dev",$AC:$AC, "Review-1"))</f>
        <v/>
      </c>
      <c r="Z1022" s="7" t="str">
        <f>IF(ISBLANK(patch[[#This Row],[project]]), "",COUNTIFS($A:$A,patch[[#This Row],[number]],$S:$S, "BJ And dev",$AD:$AD, "&lt;&gt;IntegratorValidationComment"))</f>
        <v/>
      </c>
      <c r="AA1022" s="7" t="str">
        <f>IF(ISBLANK(patch[[#This Row],[project]]), "",COUNTIFS($A:$A,patch[[#This Row],[number]],$S:$S, "FL And dev",$AD:$AD, "&lt;&gt;IntegratorValidationComment"))</f>
        <v/>
      </c>
      <c r="AB1022" s="7" t="str">
        <f>IF(ISBLANK(patch[[#This Row],[project]]), "",COUNTIFS($A:$A,patch[[#This Row],[number]],$S:$S, "SH And dev",$AD:$AD, "&lt;&gt;IntegratorValidationComment"))</f>
        <v/>
      </c>
      <c r="AC1022" s="7" t="str">
        <f>IF(OR(ISNUMBER(FIND("Review-1", patch[[#This Row],[comments]])), ISNUMBER(FIND("Approver-1", patch[[#This Row],[comments]]))), "Review-1", "")</f>
        <v/>
      </c>
      <c r="AD10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22" s="7">
        <f>IF(ISBLANK(patch[[#This Row],[number]]),AE1021,patch[[#This Row],[ifCommon]])</f>
        <v>0</v>
      </c>
    </row>
    <row r="1023" spans="1:31">
      <c r="A1023" s="151">
        <v>146557</v>
      </c>
      <c r="B1023" s="151"/>
      <c r="C1023" s="151"/>
      <c r="D1023" s="151"/>
      <c r="E1023" s="151"/>
      <c r="F1023" s="151"/>
      <c r="G1023" s="151"/>
      <c r="H1023" s="151"/>
      <c r="I1023" s="151"/>
      <c r="J1023" s="152">
        <v>42634.753518518519</v>
      </c>
      <c r="K1023" s="151"/>
      <c r="L1023" s="151" t="s">
        <v>32</v>
      </c>
      <c r="M1023" s="152">
        <v>42633.657175925917</v>
      </c>
      <c r="N1023" s="151" t="s">
        <v>27</v>
      </c>
      <c r="O1023" s="151"/>
      <c r="P1023" s="151"/>
      <c r="Q1023" s="7" t="str">
        <f>IF(ISBLANK(patch[[#This Row],[OwnerEmail]]),Q1022,patch[[#This Row],[OwnerEmail]])</f>
        <v>gang.a.hu@intel.com</v>
      </c>
      <c r="R1023" s="7" t="str">
        <f>_xlfn.IFNA(VLOOKUP(patch[[#This Row],[tmp-owner.email]],OrgTree!$A:$K, 11, 0), "not ICG SWFW")</f>
        <v>BJ And dev</v>
      </c>
      <c r="S1023" s="7" t="str">
        <f>IF(patch[[#This Row],[reviewer]]=patch[[#This Row],[tmp-owner.email]], "author", _xlfn.IFNA(VLOOKUP(patch[[#This Row],[reviewer]],OrgTree!$A:$K, 11, 0), "not ICG SWFW"))</f>
        <v>author</v>
      </c>
      <c r="T1023" s="7" t="str">
        <f>IF(ISBLANK(patch[[#This Row],[mergeDate]]), "", MID(YEAR(patch[[#This Row],[mergeDate]]), 3,2)&amp;"'ww"&amp;WEEKNUM(patch[[#This Row],[mergeDate]]))</f>
        <v>16'ww39</v>
      </c>
      <c r="U1023" s="7" t="str">
        <f>IF(ISBLANK(patch[[#This Row],[mergeDate]]), U1022, MID(YEAR(patch[[#This Row],[mergeDate]]), 3,2)&amp;"'m"&amp;MONTH(patch[[#This Row],[mergeDate]]))</f>
        <v>16'm9</v>
      </c>
      <c r="V1023" s="7" t="str">
        <f>IF(ISBLANK(patch[[#This Row],[project]]), "",SUM(patch[[#This Row],[BJ -1 num]:[SH -1 num]]))</f>
        <v/>
      </c>
      <c r="W1023" s="7" t="str">
        <f>IF(ISBLANK(patch[[#This Row],[project]]), "",COUNTIFS($A:$A,patch[[#This Row],[number]],$S:$S, "BJ And dev",$AC:$AC, "Review-1"))</f>
        <v/>
      </c>
      <c r="X1023" s="7" t="str">
        <f>IF(ISBLANK(patch[[#This Row],[project]]), "",COUNTIFS($A:$A,patch[[#This Row],[number]],$S:$S, "FL And dev",$AC:$AC, "Review-1"))</f>
        <v/>
      </c>
      <c r="Y1023" s="7" t="str">
        <f>IF(ISBLANK(patch[[#This Row],[project]]), "",COUNTIFS($A:$A,patch[[#This Row],[number]],$S:$S, "SH And dev",$AC:$AC, "Review-1"))</f>
        <v/>
      </c>
      <c r="Z1023" s="7" t="str">
        <f>IF(ISBLANK(patch[[#This Row],[project]]), "",COUNTIFS($A:$A,patch[[#This Row],[number]],$S:$S, "BJ And dev",$AD:$AD, "&lt;&gt;IntegratorValidationComment"))</f>
        <v/>
      </c>
      <c r="AA1023" s="7" t="str">
        <f>IF(ISBLANK(patch[[#This Row],[project]]), "",COUNTIFS($A:$A,patch[[#This Row],[number]],$S:$S, "FL And dev",$AD:$AD, "&lt;&gt;IntegratorValidationComment"))</f>
        <v/>
      </c>
      <c r="AB1023" s="7" t="str">
        <f>IF(ISBLANK(patch[[#This Row],[project]]), "",COUNTIFS($A:$A,patch[[#This Row],[number]],$S:$S, "SH And dev",$AD:$AD, "&lt;&gt;IntegratorValidationComment"))</f>
        <v/>
      </c>
      <c r="AC1023" s="7" t="str">
        <f>IF(OR(ISNUMBER(FIND("Review-1", patch[[#This Row],[comments]])), ISNUMBER(FIND("Approver-1", patch[[#This Row],[comments]]))), "Review-1", "")</f>
        <v/>
      </c>
      <c r="AD10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23" s="7">
        <f>IF(ISBLANK(patch[[#This Row],[number]]),AE1022,patch[[#This Row],[ifCommon]])</f>
        <v>0</v>
      </c>
    </row>
    <row r="1024" spans="1:31">
      <c r="A1024" s="151">
        <v>146557</v>
      </c>
      <c r="B1024" s="151"/>
      <c r="C1024" s="151"/>
      <c r="D1024" s="151"/>
      <c r="E1024" s="151"/>
      <c r="F1024" s="151"/>
      <c r="G1024" s="151"/>
      <c r="H1024" s="151"/>
      <c r="I1024" s="151"/>
      <c r="J1024" s="152">
        <v>42634.753518518519</v>
      </c>
      <c r="K1024" s="151"/>
      <c r="L1024" s="151" t="s">
        <v>59</v>
      </c>
      <c r="M1024" s="152">
        <v>42633.659756944442</v>
      </c>
      <c r="N1024" s="151" t="s">
        <v>27</v>
      </c>
      <c r="O1024" s="151"/>
      <c r="P1024" s="151"/>
      <c r="Q1024" s="7" t="str">
        <f>IF(ISBLANK(patch[[#This Row],[OwnerEmail]]),Q1023,patch[[#This Row],[OwnerEmail]])</f>
        <v>gang.a.hu@intel.com</v>
      </c>
      <c r="R1024" s="7" t="str">
        <f>_xlfn.IFNA(VLOOKUP(patch[[#This Row],[tmp-owner.email]],OrgTree!$A:$K, 11, 0), "not ICG SWFW")</f>
        <v>BJ And dev</v>
      </c>
      <c r="S1024" s="7" t="str">
        <f>IF(patch[[#This Row],[reviewer]]=patch[[#This Row],[tmp-owner.email]], "author", _xlfn.IFNA(VLOOKUP(patch[[#This Row],[reviewer]],OrgTree!$A:$K, 11, 0), "not ICG SWFW"))</f>
        <v>BJ And dev</v>
      </c>
      <c r="T1024" s="7" t="str">
        <f>IF(ISBLANK(patch[[#This Row],[mergeDate]]), "", MID(YEAR(patch[[#This Row],[mergeDate]]), 3,2)&amp;"'ww"&amp;WEEKNUM(patch[[#This Row],[mergeDate]]))</f>
        <v>16'ww39</v>
      </c>
      <c r="U1024" s="7" t="str">
        <f>IF(ISBLANK(patch[[#This Row],[mergeDate]]), U1023, MID(YEAR(patch[[#This Row],[mergeDate]]), 3,2)&amp;"'m"&amp;MONTH(patch[[#This Row],[mergeDate]]))</f>
        <v>16'm9</v>
      </c>
      <c r="V1024" s="7" t="str">
        <f>IF(ISBLANK(patch[[#This Row],[project]]), "",SUM(patch[[#This Row],[BJ -1 num]:[SH -1 num]]))</f>
        <v/>
      </c>
      <c r="W1024" s="7" t="str">
        <f>IF(ISBLANK(patch[[#This Row],[project]]), "",COUNTIFS($A:$A,patch[[#This Row],[number]],$S:$S, "BJ And dev",$AC:$AC, "Review-1"))</f>
        <v/>
      </c>
      <c r="X1024" s="7" t="str">
        <f>IF(ISBLANK(patch[[#This Row],[project]]), "",COUNTIFS($A:$A,patch[[#This Row],[number]],$S:$S, "FL And dev",$AC:$AC, "Review-1"))</f>
        <v/>
      </c>
      <c r="Y1024" s="7" t="str">
        <f>IF(ISBLANK(patch[[#This Row],[project]]), "",COUNTIFS($A:$A,patch[[#This Row],[number]],$S:$S, "SH And dev",$AC:$AC, "Review-1"))</f>
        <v/>
      </c>
      <c r="Z1024" s="7" t="str">
        <f>IF(ISBLANK(patch[[#This Row],[project]]), "",COUNTIFS($A:$A,patch[[#This Row],[number]],$S:$S, "BJ And dev",$AD:$AD, "&lt;&gt;IntegratorValidationComment"))</f>
        <v/>
      </c>
      <c r="AA1024" s="7" t="str">
        <f>IF(ISBLANK(patch[[#This Row],[project]]), "",COUNTIFS($A:$A,patch[[#This Row],[number]],$S:$S, "FL And dev",$AD:$AD, "&lt;&gt;IntegratorValidationComment"))</f>
        <v/>
      </c>
      <c r="AB1024" s="7" t="str">
        <f>IF(ISBLANK(patch[[#This Row],[project]]), "",COUNTIFS($A:$A,patch[[#This Row],[number]],$S:$S, "SH And dev",$AD:$AD, "&lt;&gt;IntegratorValidationComment"))</f>
        <v/>
      </c>
      <c r="AC1024" s="7" t="str">
        <f>IF(OR(ISNUMBER(FIND("Review-1", patch[[#This Row],[comments]])), ISNUMBER(FIND("Approver-1", patch[[#This Row],[comments]]))), "Review-1", "")</f>
        <v/>
      </c>
      <c r="AD10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24" s="7">
        <f>IF(ISBLANK(patch[[#This Row],[number]]),AE1023,patch[[#This Row],[ifCommon]])</f>
        <v>0</v>
      </c>
    </row>
    <row r="1025" spans="1:31">
      <c r="A1025" s="151">
        <v>146557</v>
      </c>
      <c r="B1025" s="151"/>
      <c r="C1025" s="151"/>
      <c r="D1025" s="151"/>
      <c r="E1025" s="151"/>
      <c r="F1025" s="151"/>
      <c r="G1025" s="151"/>
      <c r="H1025" s="151"/>
      <c r="I1025" s="151"/>
      <c r="J1025" s="152">
        <v>42634.753518518519</v>
      </c>
      <c r="K1025" s="151"/>
      <c r="L1025" s="151" t="s">
        <v>59</v>
      </c>
      <c r="M1025" s="152">
        <v>42633.660532407397</v>
      </c>
      <c r="N1025" s="151" t="s">
        <v>3110</v>
      </c>
      <c r="O1025" s="151"/>
      <c r="P1025" s="151"/>
      <c r="Q1025" s="7" t="str">
        <f>IF(ISBLANK(patch[[#This Row],[OwnerEmail]]),Q1024,patch[[#This Row],[OwnerEmail]])</f>
        <v>gang.a.hu@intel.com</v>
      </c>
      <c r="R1025" s="7" t="str">
        <f>_xlfn.IFNA(VLOOKUP(patch[[#This Row],[tmp-owner.email]],OrgTree!$A:$K, 11, 0), "not ICG SWFW")</f>
        <v>BJ And dev</v>
      </c>
      <c r="S1025" s="7" t="str">
        <f>IF(patch[[#This Row],[reviewer]]=patch[[#This Row],[tmp-owner.email]], "author", _xlfn.IFNA(VLOOKUP(patch[[#This Row],[reviewer]],OrgTree!$A:$K, 11, 0), "not ICG SWFW"))</f>
        <v>BJ And dev</v>
      </c>
      <c r="T1025" s="7" t="str">
        <f>IF(ISBLANK(patch[[#This Row],[mergeDate]]), "", MID(YEAR(patch[[#This Row],[mergeDate]]), 3,2)&amp;"'ww"&amp;WEEKNUM(patch[[#This Row],[mergeDate]]))</f>
        <v>16'ww39</v>
      </c>
      <c r="U1025" s="7" t="str">
        <f>IF(ISBLANK(patch[[#This Row],[mergeDate]]), U1024, MID(YEAR(patch[[#This Row],[mergeDate]]), 3,2)&amp;"'m"&amp;MONTH(patch[[#This Row],[mergeDate]]))</f>
        <v>16'm9</v>
      </c>
      <c r="V1025" s="7" t="str">
        <f>IF(ISBLANK(patch[[#This Row],[project]]), "",SUM(patch[[#This Row],[BJ -1 num]:[SH -1 num]]))</f>
        <v/>
      </c>
      <c r="W1025" s="7" t="str">
        <f>IF(ISBLANK(patch[[#This Row],[project]]), "",COUNTIFS($A:$A,patch[[#This Row],[number]],$S:$S, "BJ And dev",$AC:$AC, "Review-1"))</f>
        <v/>
      </c>
      <c r="X1025" s="7" t="str">
        <f>IF(ISBLANK(patch[[#This Row],[project]]), "",COUNTIFS($A:$A,patch[[#This Row],[number]],$S:$S, "FL And dev",$AC:$AC, "Review-1"))</f>
        <v/>
      </c>
      <c r="Y1025" s="7" t="str">
        <f>IF(ISBLANK(patch[[#This Row],[project]]), "",COUNTIFS($A:$A,patch[[#This Row],[number]],$S:$S, "SH And dev",$AC:$AC, "Review-1"))</f>
        <v/>
      </c>
      <c r="Z1025" s="7" t="str">
        <f>IF(ISBLANK(patch[[#This Row],[project]]), "",COUNTIFS($A:$A,patch[[#This Row],[number]],$S:$S, "BJ And dev",$AD:$AD, "&lt;&gt;IntegratorValidationComment"))</f>
        <v/>
      </c>
      <c r="AA1025" s="7" t="str">
        <f>IF(ISBLANK(patch[[#This Row],[project]]), "",COUNTIFS($A:$A,patch[[#This Row],[number]],$S:$S, "FL And dev",$AD:$AD, "&lt;&gt;IntegratorValidationComment"))</f>
        <v/>
      </c>
      <c r="AB1025" s="7" t="str">
        <f>IF(ISBLANK(patch[[#This Row],[project]]), "",COUNTIFS($A:$A,patch[[#This Row],[number]],$S:$S, "SH And dev",$AD:$AD, "&lt;&gt;IntegratorValidationComment"))</f>
        <v/>
      </c>
      <c r="AC1025" s="7" t="str">
        <f>IF(OR(ISNUMBER(FIND("Review-1", patch[[#This Row],[comments]])), ISNUMBER(FIND("Approver-1", patch[[#This Row],[comments]]))), "Review-1", "")</f>
        <v/>
      </c>
      <c r="AD10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25" s="7">
        <f>IF(ISBLANK(patch[[#This Row],[number]]),AE1024,patch[[#This Row],[ifCommon]])</f>
        <v>0</v>
      </c>
    </row>
    <row r="1026" spans="1:31">
      <c r="A1026" s="151">
        <v>146557</v>
      </c>
      <c r="B1026" s="151"/>
      <c r="C1026" s="151"/>
      <c r="D1026" s="151"/>
      <c r="E1026" s="151"/>
      <c r="F1026" s="151"/>
      <c r="G1026" s="151"/>
      <c r="H1026" s="151"/>
      <c r="I1026" s="151"/>
      <c r="J1026" s="152">
        <v>42634.753518518519</v>
      </c>
      <c r="K1026" s="151"/>
      <c r="L1026" s="151" t="s">
        <v>59</v>
      </c>
      <c r="M1026" s="152">
        <v>42633.661377314813</v>
      </c>
      <c r="N1026" s="151" t="s">
        <v>3111</v>
      </c>
      <c r="O1026" s="151"/>
      <c r="P1026" s="151"/>
      <c r="Q1026" s="7" t="str">
        <f>IF(ISBLANK(patch[[#This Row],[OwnerEmail]]),Q1025,patch[[#This Row],[OwnerEmail]])</f>
        <v>gang.a.hu@intel.com</v>
      </c>
      <c r="R1026" s="7" t="str">
        <f>_xlfn.IFNA(VLOOKUP(patch[[#This Row],[tmp-owner.email]],OrgTree!$A:$K, 11, 0), "not ICG SWFW")</f>
        <v>BJ And dev</v>
      </c>
      <c r="S1026" s="7" t="str">
        <f>IF(patch[[#This Row],[reviewer]]=patch[[#This Row],[tmp-owner.email]], "author", _xlfn.IFNA(VLOOKUP(patch[[#This Row],[reviewer]],OrgTree!$A:$K, 11, 0), "not ICG SWFW"))</f>
        <v>BJ And dev</v>
      </c>
      <c r="T1026" s="7" t="str">
        <f>IF(ISBLANK(patch[[#This Row],[mergeDate]]), "", MID(YEAR(patch[[#This Row],[mergeDate]]), 3,2)&amp;"'ww"&amp;WEEKNUM(patch[[#This Row],[mergeDate]]))</f>
        <v>16'ww39</v>
      </c>
      <c r="U1026" s="7" t="str">
        <f>IF(ISBLANK(patch[[#This Row],[mergeDate]]), U1025, MID(YEAR(patch[[#This Row],[mergeDate]]), 3,2)&amp;"'m"&amp;MONTH(patch[[#This Row],[mergeDate]]))</f>
        <v>16'm9</v>
      </c>
      <c r="V1026" s="7" t="str">
        <f>IF(ISBLANK(patch[[#This Row],[project]]), "",SUM(patch[[#This Row],[BJ -1 num]:[SH -1 num]]))</f>
        <v/>
      </c>
      <c r="W1026" s="7" t="str">
        <f>IF(ISBLANK(patch[[#This Row],[project]]), "",COUNTIFS($A:$A,patch[[#This Row],[number]],$S:$S, "BJ And dev",$AC:$AC, "Review-1"))</f>
        <v/>
      </c>
      <c r="X1026" s="7" t="str">
        <f>IF(ISBLANK(patch[[#This Row],[project]]), "",COUNTIFS($A:$A,patch[[#This Row],[number]],$S:$S, "FL And dev",$AC:$AC, "Review-1"))</f>
        <v/>
      </c>
      <c r="Y1026" s="7" t="str">
        <f>IF(ISBLANK(patch[[#This Row],[project]]), "",COUNTIFS($A:$A,patch[[#This Row],[number]],$S:$S, "SH And dev",$AC:$AC, "Review-1"))</f>
        <v/>
      </c>
      <c r="Z1026" s="7" t="str">
        <f>IF(ISBLANK(patch[[#This Row],[project]]), "",COUNTIFS($A:$A,patch[[#This Row],[number]],$S:$S, "BJ And dev",$AD:$AD, "&lt;&gt;IntegratorValidationComment"))</f>
        <v/>
      </c>
      <c r="AA1026" s="7" t="str">
        <f>IF(ISBLANK(patch[[#This Row],[project]]), "",COUNTIFS($A:$A,patch[[#This Row],[number]],$S:$S, "FL And dev",$AD:$AD, "&lt;&gt;IntegratorValidationComment"))</f>
        <v/>
      </c>
      <c r="AB1026" s="7" t="str">
        <f>IF(ISBLANK(patch[[#This Row],[project]]), "",COUNTIFS($A:$A,patch[[#This Row],[number]],$S:$S, "SH And dev",$AD:$AD, "&lt;&gt;IntegratorValidationComment"))</f>
        <v/>
      </c>
      <c r="AC1026" s="7" t="str">
        <f>IF(OR(ISNUMBER(FIND("Review-1", patch[[#This Row],[comments]])), ISNUMBER(FIND("Approver-1", patch[[#This Row],[comments]]))), "Review-1", "")</f>
        <v/>
      </c>
      <c r="AD10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26" s="7">
        <f>IF(ISBLANK(patch[[#This Row],[number]]),AE1025,patch[[#This Row],[ifCommon]])</f>
        <v>0</v>
      </c>
    </row>
    <row r="1027" spans="1:31">
      <c r="A1027" s="151">
        <v>146557</v>
      </c>
      <c r="B1027" s="151"/>
      <c r="C1027" s="151"/>
      <c r="D1027" s="151"/>
      <c r="E1027" s="151"/>
      <c r="F1027" s="151"/>
      <c r="G1027" s="151"/>
      <c r="H1027" s="151"/>
      <c r="I1027" s="151"/>
      <c r="J1027" s="152">
        <v>42634.753518518519</v>
      </c>
      <c r="K1027" s="151"/>
      <c r="L1027" s="151" t="s">
        <v>32</v>
      </c>
      <c r="M1027" s="152">
        <v>42633.662129629629</v>
      </c>
      <c r="N1027" s="151" t="s">
        <v>2704</v>
      </c>
      <c r="O1027" s="151"/>
      <c r="P1027" s="151"/>
      <c r="Q1027" s="7" t="str">
        <f>IF(ISBLANK(patch[[#This Row],[OwnerEmail]]),Q1026,patch[[#This Row],[OwnerEmail]])</f>
        <v>gang.a.hu@intel.com</v>
      </c>
      <c r="R1027" s="7" t="str">
        <f>_xlfn.IFNA(VLOOKUP(patch[[#This Row],[tmp-owner.email]],OrgTree!$A:$K, 11, 0), "not ICG SWFW")</f>
        <v>BJ And dev</v>
      </c>
      <c r="S1027" s="7" t="str">
        <f>IF(patch[[#This Row],[reviewer]]=patch[[#This Row],[tmp-owner.email]], "author", _xlfn.IFNA(VLOOKUP(patch[[#This Row],[reviewer]],OrgTree!$A:$K, 11, 0), "not ICG SWFW"))</f>
        <v>author</v>
      </c>
      <c r="T1027" s="7" t="str">
        <f>IF(ISBLANK(patch[[#This Row],[mergeDate]]), "", MID(YEAR(patch[[#This Row],[mergeDate]]), 3,2)&amp;"'ww"&amp;WEEKNUM(patch[[#This Row],[mergeDate]]))</f>
        <v>16'ww39</v>
      </c>
      <c r="U1027" s="7" t="str">
        <f>IF(ISBLANK(patch[[#This Row],[mergeDate]]), U1026, MID(YEAR(patch[[#This Row],[mergeDate]]), 3,2)&amp;"'m"&amp;MONTH(patch[[#This Row],[mergeDate]]))</f>
        <v>16'm9</v>
      </c>
      <c r="V1027" s="7" t="str">
        <f>IF(ISBLANK(patch[[#This Row],[project]]), "",SUM(patch[[#This Row],[BJ -1 num]:[SH -1 num]]))</f>
        <v/>
      </c>
      <c r="W1027" s="7" t="str">
        <f>IF(ISBLANK(patch[[#This Row],[project]]), "",COUNTIFS($A:$A,patch[[#This Row],[number]],$S:$S, "BJ And dev",$AC:$AC, "Review-1"))</f>
        <v/>
      </c>
      <c r="X1027" s="7" t="str">
        <f>IF(ISBLANK(patch[[#This Row],[project]]), "",COUNTIFS($A:$A,patch[[#This Row],[number]],$S:$S, "FL And dev",$AC:$AC, "Review-1"))</f>
        <v/>
      </c>
      <c r="Y1027" s="7" t="str">
        <f>IF(ISBLANK(patch[[#This Row],[project]]), "",COUNTIFS($A:$A,patch[[#This Row],[number]],$S:$S, "SH And dev",$AC:$AC, "Review-1"))</f>
        <v/>
      </c>
      <c r="Z1027" s="7" t="str">
        <f>IF(ISBLANK(patch[[#This Row],[project]]), "",COUNTIFS($A:$A,patch[[#This Row],[number]],$S:$S, "BJ And dev",$AD:$AD, "&lt;&gt;IntegratorValidationComment"))</f>
        <v/>
      </c>
      <c r="AA1027" s="7" t="str">
        <f>IF(ISBLANK(patch[[#This Row],[project]]), "",COUNTIFS($A:$A,patch[[#This Row],[number]],$S:$S, "FL And dev",$AD:$AD, "&lt;&gt;IntegratorValidationComment"))</f>
        <v/>
      </c>
      <c r="AB1027" s="7" t="str">
        <f>IF(ISBLANK(patch[[#This Row],[project]]), "",COUNTIFS($A:$A,patch[[#This Row],[number]],$S:$S, "SH And dev",$AD:$AD, "&lt;&gt;IntegratorValidationComment"))</f>
        <v/>
      </c>
      <c r="AC1027" s="7" t="str">
        <f>IF(OR(ISNUMBER(FIND("Review-1", patch[[#This Row],[comments]])), ISNUMBER(FIND("Approver-1", patch[[#This Row],[comments]]))), "Review-1", "")</f>
        <v/>
      </c>
      <c r="AD10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27" s="7">
        <f>IF(ISBLANK(patch[[#This Row],[number]]),AE1026,patch[[#This Row],[ifCommon]])</f>
        <v>0</v>
      </c>
    </row>
    <row r="1028" spans="1:31">
      <c r="A1028" s="151">
        <v>146557</v>
      </c>
      <c r="B1028" s="151"/>
      <c r="C1028" s="151"/>
      <c r="D1028" s="151"/>
      <c r="E1028" s="151"/>
      <c r="F1028" s="151"/>
      <c r="G1028" s="151"/>
      <c r="H1028" s="151"/>
      <c r="I1028" s="151"/>
      <c r="J1028" s="152">
        <v>42634.753518518519</v>
      </c>
      <c r="K1028" s="151"/>
      <c r="L1028" s="151" t="s">
        <v>32</v>
      </c>
      <c r="M1028" s="152">
        <v>42633.662141203713</v>
      </c>
      <c r="N1028" s="151" t="s">
        <v>2450</v>
      </c>
      <c r="O1028" s="151"/>
      <c r="P1028" s="151"/>
      <c r="Q1028" s="7" t="str">
        <f>IF(ISBLANK(patch[[#This Row],[OwnerEmail]]),Q1027,patch[[#This Row],[OwnerEmail]])</f>
        <v>gang.a.hu@intel.com</v>
      </c>
      <c r="R1028" s="7" t="str">
        <f>_xlfn.IFNA(VLOOKUP(patch[[#This Row],[tmp-owner.email]],OrgTree!$A:$K, 11, 0), "not ICG SWFW")</f>
        <v>BJ And dev</v>
      </c>
      <c r="S1028" s="7" t="str">
        <f>IF(patch[[#This Row],[reviewer]]=patch[[#This Row],[tmp-owner.email]], "author", _xlfn.IFNA(VLOOKUP(patch[[#This Row],[reviewer]],OrgTree!$A:$K, 11, 0), "not ICG SWFW"))</f>
        <v>author</v>
      </c>
      <c r="T1028" s="7" t="str">
        <f>IF(ISBLANK(patch[[#This Row],[mergeDate]]), "", MID(YEAR(patch[[#This Row],[mergeDate]]), 3,2)&amp;"'ww"&amp;WEEKNUM(patch[[#This Row],[mergeDate]]))</f>
        <v>16'ww39</v>
      </c>
      <c r="U1028" s="7" t="str">
        <f>IF(ISBLANK(patch[[#This Row],[mergeDate]]), U1027, MID(YEAR(patch[[#This Row],[mergeDate]]), 3,2)&amp;"'m"&amp;MONTH(patch[[#This Row],[mergeDate]]))</f>
        <v>16'm9</v>
      </c>
      <c r="V1028" s="7" t="str">
        <f>IF(ISBLANK(patch[[#This Row],[project]]), "",SUM(patch[[#This Row],[BJ -1 num]:[SH -1 num]]))</f>
        <v/>
      </c>
      <c r="W1028" s="7" t="str">
        <f>IF(ISBLANK(patch[[#This Row],[project]]), "",COUNTIFS($A:$A,patch[[#This Row],[number]],$S:$S, "BJ And dev",$AC:$AC, "Review-1"))</f>
        <v/>
      </c>
      <c r="X1028" s="7" t="str">
        <f>IF(ISBLANK(patch[[#This Row],[project]]), "",COUNTIFS($A:$A,patch[[#This Row],[number]],$S:$S, "FL And dev",$AC:$AC, "Review-1"))</f>
        <v/>
      </c>
      <c r="Y1028" s="7" t="str">
        <f>IF(ISBLANK(patch[[#This Row],[project]]), "",COUNTIFS($A:$A,patch[[#This Row],[number]],$S:$S, "SH And dev",$AC:$AC, "Review-1"))</f>
        <v/>
      </c>
      <c r="Z1028" s="7" t="str">
        <f>IF(ISBLANK(patch[[#This Row],[project]]), "",COUNTIFS($A:$A,patch[[#This Row],[number]],$S:$S, "BJ And dev",$AD:$AD, "&lt;&gt;IntegratorValidationComment"))</f>
        <v/>
      </c>
      <c r="AA1028" s="7" t="str">
        <f>IF(ISBLANK(patch[[#This Row],[project]]), "",COUNTIFS($A:$A,patch[[#This Row],[number]],$S:$S, "FL And dev",$AD:$AD, "&lt;&gt;IntegratorValidationComment"))</f>
        <v/>
      </c>
      <c r="AB1028" s="7" t="str">
        <f>IF(ISBLANK(patch[[#This Row],[project]]), "",COUNTIFS($A:$A,patch[[#This Row],[number]],$S:$S, "SH And dev",$AD:$AD, "&lt;&gt;IntegratorValidationComment"))</f>
        <v/>
      </c>
      <c r="AC1028" s="7" t="str">
        <f>IF(OR(ISNUMBER(FIND("Review-1", patch[[#This Row],[comments]])), ISNUMBER(FIND("Approver-1", patch[[#This Row],[comments]]))), "Review-1", "")</f>
        <v/>
      </c>
      <c r="AD10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28" s="7">
        <f>IF(ISBLANK(patch[[#This Row],[number]]),AE1027,patch[[#This Row],[ifCommon]])</f>
        <v>0</v>
      </c>
    </row>
    <row r="1029" spans="1:31">
      <c r="A1029" s="151">
        <v>146557</v>
      </c>
      <c r="B1029" s="151"/>
      <c r="C1029" s="151"/>
      <c r="D1029" s="151"/>
      <c r="E1029" s="151"/>
      <c r="F1029" s="151"/>
      <c r="G1029" s="151"/>
      <c r="H1029" s="151"/>
      <c r="I1029" s="151"/>
      <c r="J1029" s="152">
        <v>42634.753518518519</v>
      </c>
      <c r="K1029" s="151"/>
      <c r="L1029" s="151" t="s">
        <v>59</v>
      </c>
      <c r="M1029" s="152">
        <v>42633.668067129627</v>
      </c>
      <c r="N1029" s="151" t="s">
        <v>3112</v>
      </c>
      <c r="O1029" s="151"/>
      <c r="P1029" s="151"/>
      <c r="Q1029" s="7" t="str">
        <f>IF(ISBLANK(patch[[#This Row],[OwnerEmail]]),Q1028,patch[[#This Row],[OwnerEmail]])</f>
        <v>gang.a.hu@intel.com</v>
      </c>
      <c r="R1029" s="7" t="str">
        <f>_xlfn.IFNA(VLOOKUP(patch[[#This Row],[tmp-owner.email]],OrgTree!$A:$K, 11, 0), "not ICG SWFW")</f>
        <v>BJ And dev</v>
      </c>
      <c r="S1029" s="7" t="str">
        <f>IF(patch[[#This Row],[reviewer]]=patch[[#This Row],[tmp-owner.email]], "author", _xlfn.IFNA(VLOOKUP(patch[[#This Row],[reviewer]],OrgTree!$A:$K, 11, 0), "not ICG SWFW"))</f>
        <v>BJ And dev</v>
      </c>
      <c r="T1029" s="7" t="str">
        <f>IF(ISBLANK(patch[[#This Row],[mergeDate]]), "", MID(YEAR(patch[[#This Row],[mergeDate]]), 3,2)&amp;"'ww"&amp;WEEKNUM(patch[[#This Row],[mergeDate]]))</f>
        <v>16'ww39</v>
      </c>
      <c r="U1029" s="7" t="str">
        <f>IF(ISBLANK(patch[[#This Row],[mergeDate]]), U1028, MID(YEAR(patch[[#This Row],[mergeDate]]), 3,2)&amp;"'m"&amp;MONTH(patch[[#This Row],[mergeDate]]))</f>
        <v>16'm9</v>
      </c>
      <c r="V1029" s="7" t="str">
        <f>IF(ISBLANK(patch[[#This Row],[project]]), "",SUM(patch[[#This Row],[BJ -1 num]:[SH -1 num]]))</f>
        <v/>
      </c>
      <c r="W1029" s="7" t="str">
        <f>IF(ISBLANK(patch[[#This Row],[project]]), "",COUNTIFS($A:$A,patch[[#This Row],[number]],$S:$S, "BJ And dev",$AC:$AC, "Review-1"))</f>
        <v/>
      </c>
      <c r="X1029" s="7" t="str">
        <f>IF(ISBLANK(patch[[#This Row],[project]]), "",COUNTIFS($A:$A,patch[[#This Row],[number]],$S:$S, "FL And dev",$AC:$AC, "Review-1"))</f>
        <v/>
      </c>
      <c r="Y1029" s="7" t="str">
        <f>IF(ISBLANK(patch[[#This Row],[project]]), "",COUNTIFS($A:$A,patch[[#This Row],[number]],$S:$S, "SH And dev",$AC:$AC, "Review-1"))</f>
        <v/>
      </c>
      <c r="Z1029" s="7" t="str">
        <f>IF(ISBLANK(patch[[#This Row],[project]]), "",COUNTIFS($A:$A,patch[[#This Row],[number]],$S:$S, "BJ And dev",$AD:$AD, "&lt;&gt;IntegratorValidationComment"))</f>
        <v/>
      </c>
      <c r="AA1029" s="7" t="str">
        <f>IF(ISBLANK(patch[[#This Row],[project]]), "",COUNTIFS($A:$A,patch[[#This Row],[number]],$S:$S, "FL And dev",$AD:$AD, "&lt;&gt;IntegratorValidationComment"))</f>
        <v/>
      </c>
      <c r="AB1029" s="7" t="str">
        <f>IF(ISBLANK(patch[[#This Row],[project]]), "",COUNTIFS($A:$A,patch[[#This Row],[number]],$S:$S, "SH And dev",$AD:$AD, "&lt;&gt;IntegratorValidationComment"))</f>
        <v/>
      </c>
      <c r="AC1029" s="7" t="str">
        <f>IF(OR(ISNUMBER(FIND("Review-1", patch[[#This Row],[comments]])), ISNUMBER(FIND("Approver-1", patch[[#This Row],[comments]]))), "Review-1", "")</f>
        <v/>
      </c>
      <c r="AD10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29" s="7">
        <f>IF(ISBLANK(patch[[#This Row],[number]]),AE1028,patch[[#This Row],[ifCommon]])</f>
        <v>0</v>
      </c>
    </row>
    <row r="1030" spans="1:31">
      <c r="A1030" s="151">
        <v>146557</v>
      </c>
      <c r="B1030" s="151"/>
      <c r="C1030" s="151"/>
      <c r="D1030" s="151"/>
      <c r="E1030" s="151"/>
      <c r="F1030" s="151"/>
      <c r="G1030" s="151"/>
      <c r="H1030" s="151"/>
      <c r="I1030" s="151"/>
      <c r="J1030" s="152">
        <v>42634.753518518519</v>
      </c>
      <c r="K1030" s="151"/>
      <c r="L1030" s="151" t="s">
        <v>59</v>
      </c>
      <c r="M1030" s="152">
        <v>42633.670532407406</v>
      </c>
      <c r="N1030" s="151" t="s">
        <v>3113</v>
      </c>
      <c r="O1030" s="151"/>
      <c r="P1030" s="151"/>
      <c r="Q1030" s="7" t="str">
        <f>IF(ISBLANK(patch[[#This Row],[OwnerEmail]]),Q1029,patch[[#This Row],[OwnerEmail]])</f>
        <v>gang.a.hu@intel.com</v>
      </c>
      <c r="R1030" s="7" t="str">
        <f>_xlfn.IFNA(VLOOKUP(patch[[#This Row],[tmp-owner.email]],OrgTree!$A:$K, 11, 0), "not ICG SWFW")</f>
        <v>BJ And dev</v>
      </c>
      <c r="S1030" s="7" t="str">
        <f>IF(patch[[#This Row],[reviewer]]=patch[[#This Row],[tmp-owner.email]], "author", _xlfn.IFNA(VLOOKUP(patch[[#This Row],[reviewer]],OrgTree!$A:$K, 11, 0), "not ICG SWFW"))</f>
        <v>BJ And dev</v>
      </c>
      <c r="T1030" s="7" t="str">
        <f>IF(ISBLANK(patch[[#This Row],[mergeDate]]), "", MID(YEAR(patch[[#This Row],[mergeDate]]), 3,2)&amp;"'ww"&amp;WEEKNUM(patch[[#This Row],[mergeDate]]))</f>
        <v>16'ww39</v>
      </c>
      <c r="U1030" s="7" t="str">
        <f>IF(ISBLANK(patch[[#This Row],[mergeDate]]), U1029, MID(YEAR(patch[[#This Row],[mergeDate]]), 3,2)&amp;"'m"&amp;MONTH(patch[[#This Row],[mergeDate]]))</f>
        <v>16'm9</v>
      </c>
      <c r="V1030" s="7" t="str">
        <f>IF(ISBLANK(patch[[#This Row],[project]]), "",SUM(patch[[#This Row],[BJ -1 num]:[SH -1 num]]))</f>
        <v/>
      </c>
      <c r="W1030" s="7" t="str">
        <f>IF(ISBLANK(patch[[#This Row],[project]]), "",COUNTIFS($A:$A,patch[[#This Row],[number]],$S:$S, "BJ And dev",$AC:$AC, "Review-1"))</f>
        <v/>
      </c>
      <c r="X1030" s="7" t="str">
        <f>IF(ISBLANK(patch[[#This Row],[project]]), "",COUNTIFS($A:$A,patch[[#This Row],[number]],$S:$S, "FL And dev",$AC:$AC, "Review-1"))</f>
        <v/>
      </c>
      <c r="Y1030" s="7" t="str">
        <f>IF(ISBLANK(patch[[#This Row],[project]]), "",COUNTIFS($A:$A,patch[[#This Row],[number]],$S:$S, "SH And dev",$AC:$AC, "Review-1"))</f>
        <v/>
      </c>
      <c r="Z1030" s="7" t="str">
        <f>IF(ISBLANK(patch[[#This Row],[project]]), "",COUNTIFS($A:$A,patch[[#This Row],[number]],$S:$S, "BJ And dev",$AD:$AD, "&lt;&gt;IntegratorValidationComment"))</f>
        <v/>
      </c>
      <c r="AA1030" s="7" t="str">
        <f>IF(ISBLANK(patch[[#This Row],[project]]), "",COUNTIFS($A:$A,patch[[#This Row],[number]],$S:$S, "FL And dev",$AD:$AD, "&lt;&gt;IntegratorValidationComment"))</f>
        <v/>
      </c>
      <c r="AB1030" s="7" t="str">
        <f>IF(ISBLANK(patch[[#This Row],[project]]), "",COUNTIFS($A:$A,patch[[#This Row],[number]],$S:$S, "SH And dev",$AD:$AD, "&lt;&gt;IntegratorValidationComment"))</f>
        <v/>
      </c>
      <c r="AC1030" s="7" t="str">
        <f>IF(OR(ISNUMBER(FIND("Review-1", patch[[#This Row],[comments]])), ISNUMBER(FIND("Approver-1", patch[[#This Row],[comments]]))), "Review-1", "")</f>
        <v/>
      </c>
      <c r="AD10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30" s="7">
        <f>IF(ISBLANK(patch[[#This Row],[number]]),AE1029,patch[[#This Row],[ifCommon]])</f>
        <v>0</v>
      </c>
    </row>
    <row r="1031" spans="1:31">
      <c r="A1031" s="151">
        <v>146557</v>
      </c>
      <c r="B1031" s="151"/>
      <c r="C1031" s="151"/>
      <c r="D1031" s="151"/>
      <c r="E1031" s="151"/>
      <c r="F1031" s="151"/>
      <c r="G1031" s="151"/>
      <c r="H1031" s="151"/>
      <c r="I1031" s="152"/>
      <c r="J1031" s="152">
        <v>42634.753518518519</v>
      </c>
      <c r="K1031" s="151"/>
      <c r="L1031" s="151" t="s">
        <v>24</v>
      </c>
      <c r="M1031" s="152">
        <v>42633.729201388887</v>
      </c>
      <c r="N1031" s="151" t="s">
        <v>1831</v>
      </c>
      <c r="O1031" s="151"/>
      <c r="P1031" s="151"/>
      <c r="Q1031" s="7" t="str">
        <f>IF(ISBLANK(patch[[#This Row],[OwnerEmail]]),Q1030,patch[[#This Row],[OwnerEmail]])</f>
        <v>gang.a.hu@intel.com</v>
      </c>
      <c r="R1031" s="7" t="str">
        <f>_xlfn.IFNA(VLOOKUP(patch[[#This Row],[tmp-owner.email]],OrgTree!$A:$K, 11, 0), "not ICG SWFW")</f>
        <v>BJ And dev</v>
      </c>
      <c r="S1031" s="7" t="str">
        <f>IF(patch[[#This Row],[reviewer]]=patch[[#This Row],[tmp-owner.email]], "author", _xlfn.IFNA(VLOOKUP(patch[[#This Row],[reviewer]],OrgTree!$A:$K, 11, 0), "not ICG SWFW"))</f>
        <v>BJ And dev</v>
      </c>
      <c r="T1031" s="7" t="str">
        <f>IF(ISBLANK(patch[[#This Row],[mergeDate]]), "", MID(YEAR(patch[[#This Row],[mergeDate]]), 3,2)&amp;"'ww"&amp;WEEKNUM(patch[[#This Row],[mergeDate]]))</f>
        <v>16'ww39</v>
      </c>
      <c r="U1031" s="7" t="str">
        <f>IF(ISBLANK(patch[[#This Row],[mergeDate]]), U1030, MID(YEAR(patch[[#This Row],[mergeDate]]), 3,2)&amp;"'m"&amp;MONTH(patch[[#This Row],[mergeDate]]))</f>
        <v>16'm9</v>
      </c>
      <c r="V1031" s="7" t="str">
        <f>IF(ISBLANK(patch[[#This Row],[project]]), "",SUM(patch[[#This Row],[BJ -1 num]:[SH -1 num]]))</f>
        <v/>
      </c>
      <c r="W1031" s="7" t="str">
        <f>IF(ISBLANK(patch[[#This Row],[project]]), "",COUNTIFS($A:$A,patch[[#This Row],[number]],$S:$S, "BJ And dev",$AC:$AC, "Review-1"))</f>
        <v/>
      </c>
      <c r="X1031" s="7" t="str">
        <f>IF(ISBLANK(patch[[#This Row],[project]]), "",COUNTIFS($A:$A,patch[[#This Row],[number]],$S:$S, "FL And dev",$AC:$AC, "Review-1"))</f>
        <v/>
      </c>
      <c r="Y1031" s="7" t="str">
        <f>IF(ISBLANK(patch[[#This Row],[project]]), "",COUNTIFS($A:$A,patch[[#This Row],[number]],$S:$S, "SH And dev",$AC:$AC, "Review-1"))</f>
        <v/>
      </c>
      <c r="Z1031" s="7" t="str">
        <f>IF(ISBLANK(patch[[#This Row],[project]]), "",COUNTIFS($A:$A,patch[[#This Row],[number]],$S:$S, "BJ And dev",$AD:$AD, "&lt;&gt;IntegratorValidationComment"))</f>
        <v/>
      </c>
      <c r="AA1031" s="7" t="str">
        <f>IF(ISBLANK(patch[[#This Row],[project]]), "",COUNTIFS($A:$A,patch[[#This Row],[number]],$S:$S, "FL And dev",$AD:$AD, "&lt;&gt;IntegratorValidationComment"))</f>
        <v/>
      </c>
      <c r="AB1031" s="7" t="str">
        <f>IF(ISBLANK(patch[[#This Row],[project]]), "",COUNTIFS($A:$A,patch[[#This Row],[number]],$S:$S, "SH And dev",$AD:$AD, "&lt;&gt;IntegratorValidationComment"))</f>
        <v/>
      </c>
      <c r="AC1031" s="7" t="str">
        <f>IF(OR(ISNUMBER(FIND("Review-1", patch[[#This Row],[comments]])), ISNUMBER(FIND("Approver-1", patch[[#This Row],[comments]]))), "Review-1", "")</f>
        <v/>
      </c>
      <c r="AD10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31" s="7">
        <f>IF(ISBLANK(patch[[#This Row],[number]]),AE1030,patch[[#This Row],[ifCommon]])</f>
        <v>0</v>
      </c>
    </row>
    <row r="1032" spans="1:31">
      <c r="A1032" s="151">
        <v>146557</v>
      </c>
      <c r="B1032" s="151"/>
      <c r="C1032" s="151"/>
      <c r="D1032" s="151"/>
      <c r="E1032" s="151"/>
      <c r="F1032" s="151"/>
      <c r="G1032" s="151"/>
      <c r="H1032" s="151"/>
      <c r="I1032" s="151"/>
      <c r="J1032" s="152">
        <v>42634.753518518519</v>
      </c>
      <c r="K1032" s="151"/>
      <c r="L1032" s="151" t="s">
        <v>115</v>
      </c>
      <c r="M1032" s="152">
        <v>42634.548715277779</v>
      </c>
      <c r="N1032" s="151" t="s">
        <v>2497</v>
      </c>
      <c r="O1032" s="151"/>
      <c r="P1032" s="151"/>
      <c r="Q1032" s="7" t="str">
        <f>IF(ISBLANK(patch[[#This Row],[OwnerEmail]]),Q1031,patch[[#This Row],[OwnerEmail]])</f>
        <v>gang.a.hu@intel.com</v>
      </c>
      <c r="R1032" s="7" t="str">
        <f>_xlfn.IFNA(VLOOKUP(patch[[#This Row],[tmp-owner.email]],OrgTree!$A:$K, 11, 0), "not ICG SWFW")</f>
        <v>BJ And dev</v>
      </c>
      <c r="S1032" s="7" t="str">
        <f>IF(patch[[#This Row],[reviewer]]=patch[[#This Row],[tmp-owner.email]], "author", _xlfn.IFNA(VLOOKUP(patch[[#This Row],[reviewer]],OrgTree!$A:$K, 11, 0), "not ICG SWFW"))</f>
        <v>Val</v>
      </c>
      <c r="T1032" s="7" t="str">
        <f>IF(ISBLANK(patch[[#This Row],[mergeDate]]), "", MID(YEAR(patch[[#This Row],[mergeDate]]), 3,2)&amp;"'ww"&amp;WEEKNUM(patch[[#This Row],[mergeDate]]))</f>
        <v>16'ww39</v>
      </c>
      <c r="U1032" s="7" t="str">
        <f>IF(ISBLANK(patch[[#This Row],[mergeDate]]), U1031, MID(YEAR(patch[[#This Row],[mergeDate]]), 3,2)&amp;"'m"&amp;MONTH(patch[[#This Row],[mergeDate]]))</f>
        <v>16'm9</v>
      </c>
      <c r="V1032" s="7" t="str">
        <f>IF(ISBLANK(patch[[#This Row],[project]]), "",SUM(patch[[#This Row],[BJ -1 num]:[SH -1 num]]))</f>
        <v/>
      </c>
      <c r="W1032" s="7" t="str">
        <f>IF(ISBLANK(patch[[#This Row],[project]]), "",COUNTIFS($A:$A,patch[[#This Row],[number]],$S:$S, "BJ And dev",$AC:$AC, "Review-1"))</f>
        <v/>
      </c>
      <c r="X1032" s="7" t="str">
        <f>IF(ISBLANK(patch[[#This Row],[project]]), "",COUNTIFS($A:$A,patch[[#This Row],[number]],$S:$S, "FL And dev",$AC:$AC, "Review-1"))</f>
        <v/>
      </c>
      <c r="Y1032" s="7" t="str">
        <f>IF(ISBLANK(patch[[#This Row],[project]]), "",COUNTIFS($A:$A,patch[[#This Row],[number]],$S:$S, "SH And dev",$AC:$AC, "Review-1"))</f>
        <v/>
      </c>
      <c r="Z1032" s="7" t="str">
        <f>IF(ISBLANK(patch[[#This Row],[project]]), "",COUNTIFS($A:$A,patch[[#This Row],[number]],$S:$S, "BJ And dev",$AD:$AD, "&lt;&gt;IntegratorValidationComment"))</f>
        <v/>
      </c>
      <c r="AA1032" s="7" t="str">
        <f>IF(ISBLANK(patch[[#This Row],[project]]), "",COUNTIFS($A:$A,patch[[#This Row],[number]],$S:$S, "FL And dev",$AD:$AD, "&lt;&gt;IntegratorValidationComment"))</f>
        <v/>
      </c>
      <c r="AB1032" s="7" t="str">
        <f>IF(ISBLANK(patch[[#This Row],[project]]), "",COUNTIFS($A:$A,patch[[#This Row],[number]],$S:$S, "SH And dev",$AD:$AD, "&lt;&gt;IntegratorValidationComment"))</f>
        <v/>
      </c>
      <c r="AC1032" s="7" t="str">
        <f>IF(OR(ISNUMBER(FIND("Review-1", patch[[#This Row],[comments]])), ISNUMBER(FIND("Approver-1", patch[[#This Row],[comments]]))), "Review-1", "")</f>
        <v/>
      </c>
      <c r="AD10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032" s="7">
        <f>IF(ISBLANK(patch[[#This Row],[number]]),AE1031,patch[[#This Row],[ifCommon]])</f>
        <v>0</v>
      </c>
    </row>
    <row r="1033" spans="1:31">
      <c r="A1033" s="151">
        <v>146271</v>
      </c>
      <c r="B1033" s="151" t="s">
        <v>2490</v>
      </c>
      <c r="C1033" s="151" t="s">
        <v>2491</v>
      </c>
      <c r="D1033" s="151" t="s">
        <v>2958</v>
      </c>
      <c r="E1033" s="151" t="s">
        <v>59</v>
      </c>
      <c r="F1033" s="151" t="s">
        <v>23</v>
      </c>
      <c r="G1033" s="151" t="s">
        <v>2959</v>
      </c>
      <c r="H1033" s="151" t="s">
        <v>2960</v>
      </c>
      <c r="I1033" s="152">
        <v>42632.728125000001</v>
      </c>
      <c r="J1033" s="152">
        <v>42634.753425925926</v>
      </c>
      <c r="K1033" s="151" t="s">
        <v>2445</v>
      </c>
      <c r="L1033" s="151" t="s">
        <v>59</v>
      </c>
      <c r="M1033" s="152">
        <v>42632.728125000001</v>
      </c>
      <c r="N1033" s="151" t="s">
        <v>2428</v>
      </c>
      <c r="O1033" s="151"/>
      <c r="P1033" s="151" t="s">
        <v>3114</v>
      </c>
      <c r="Q1033" s="7" t="str">
        <f>IF(ISBLANK(patch[[#This Row],[OwnerEmail]]),Q1032,patch[[#This Row],[OwnerEmail]])</f>
        <v>xiaozhou.liu@intel.com</v>
      </c>
      <c r="R1033" s="7" t="str">
        <f>_xlfn.IFNA(VLOOKUP(patch[[#This Row],[tmp-owner.email]],OrgTree!$A:$K, 11, 0), "not ICG SWFW")</f>
        <v>BJ And dev</v>
      </c>
      <c r="S1033" s="7" t="str">
        <f>IF(patch[[#This Row],[reviewer]]=patch[[#This Row],[tmp-owner.email]], "author", _xlfn.IFNA(VLOOKUP(patch[[#This Row],[reviewer]],OrgTree!$A:$K, 11, 0), "not ICG SWFW"))</f>
        <v>author</v>
      </c>
      <c r="T1033" s="7" t="str">
        <f>IF(ISBLANK(patch[[#This Row],[mergeDate]]), "", MID(YEAR(patch[[#This Row],[mergeDate]]), 3,2)&amp;"'ww"&amp;WEEKNUM(patch[[#This Row],[mergeDate]]))</f>
        <v>16'ww39</v>
      </c>
      <c r="U1033" s="7" t="str">
        <f>IF(ISBLANK(patch[[#This Row],[mergeDate]]), U1032, MID(YEAR(patch[[#This Row],[mergeDate]]), 3,2)&amp;"'m"&amp;MONTH(patch[[#This Row],[mergeDate]]))</f>
        <v>16'm9</v>
      </c>
      <c r="V1033" s="7">
        <f>IF(ISBLANK(patch[[#This Row],[project]]), "",SUM(patch[[#This Row],[BJ -1 num]:[SH -1 num]]))</f>
        <v>0</v>
      </c>
      <c r="W1033" s="7">
        <f>IF(ISBLANK(patch[[#This Row],[project]]), "",COUNTIFS($A:$A,patch[[#This Row],[number]],$S:$S, "BJ And dev",$AC:$AC, "Review-1"))</f>
        <v>0</v>
      </c>
      <c r="X1033" s="7">
        <f>IF(ISBLANK(patch[[#This Row],[project]]), "",COUNTIFS($A:$A,patch[[#This Row],[number]],$S:$S, "FL And dev",$AC:$AC, "Review-1"))</f>
        <v>0</v>
      </c>
      <c r="Y1033" s="7">
        <f>IF(ISBLANK(patch[[#This Row],[project]]), "",COUNTIFS($A:$A,patch[[#This Row],[number]],$S:$S, "SH And dev",$AC:$AC, "Review-1"))</f>
        <v>0</v>
      </c>
      <c r="Z1033" s="7">
        <f>IF(ISBLANK(patch[[#This Row],[project]]), "",COUNTIFS($A:$A,patch[[#This Row],[number]],$S:$S, "BJ And dev",$AD:$AD, "&lt;&gt;IntegratorValidationComment"))</f>
        <v>3</v>
      </c>
      <c r="AA1033" s="7">
        <f>IF(ISBLANK(patch[[#This Row],[project]]), "",COUNTIFS($A:$A,patch[[#This Row],[number]],$S:$S, "FL And dev",$AD:$AD, "&lt;&gt;IntegratorValidationComment"))</f>
        <v>0</v>
      </c>
      <c r="AB1033" s="7">
        <f>IF(ISBLANK(patch[[#This Row],[project]]), "",COUNTIFS($A:$A,patch[[#This Row],[number]],$S:$S, "SH And dev",$AD:$AD, "&lt;&gt;IntegratorValidationComment"))</f>
        <v>0</v>
      </c>
      <c r="AC1033" s="7" t="str">
        <f>IF(OR(ISNUMBER(FIND("Review-1", patch[[#This Row],[comments]])), ISNUMBER(FIND("Approver-1", patch[[#This Row],[comments]]))), "Review-1", "")</f>
        <v/>
      </c>
      <c r="AD10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33" s="7" t="str">
        <f>IF(ISBLANK(patch[[#This Row],[number]]),AE1032,patch[[#This Row],[ifCommon]])</f>
        <v>not AndrHAL</v>
      </c>
    </row>
    <row r="1034" spans="1:31">
      <c r="A1034" s="151">
        <v>146271</v>
      </c>
      <c r="B1034" s="151"/>
      <c r="C1034" s="151"/>
      <c r="D1034" s="151"/>
      <c r="E1034" s="151"/>
      <c r="F1034" s="151"/>
      <c r="G1034" s="151"/>
      <c r="H1034" s="151"/>
      <c r="I1034" s="152"/>
      <c r="J1034" s="152">
        <v>42634.753425925926</v>
      </c>
      <c r="K1034" s="151"/>
      <c r="L1034" s="151" t="s">
        <v>59</v>
      </c>
      <c r="M1034" s="152">
        <v>42632.728125000001</v>
      </c>
      <c r="N1034" s="151" t="s">
        <v>25</v>
      </c>
      <c r="O1034" s="151"/>
      <c r="P1034" s="151"/>
      <c r="Q1034" s="7" t="str">
        <f>IF(ISBLANK(patch[[#This Row],[OwnerEmail]]),Q1033,patch[[#This Row],[OwnerEmail]])</f>
        <v>xiaozhou.liu@intel.com</v>
      </c>
      <c r="R1034" s="7" t="str">
        <f>_xlfn.IFNA(VLOOKUP(patch[[#This Row],[tmp-owner.email]],OrgTree!$A:$K, 11, 0), "not ICG SWFW")</f>
        <v>BJ And dev</v>
      </c>
      <c r="S1034" s="7" t="str">
        <f>IF(patch[[#This Row],[reviewer]]=patch[[#This Row],[tmp-owner.email]], "author", _xlfn.IFNA(VLOOKUP(patch[[#This Row],[reviewer]],OrgTree!$A:$K, 11, 0), "not ICG SWFW"))</f>
        <v>author</v>
      </c>
      <c r="T1034" s="7" t="str">
        <f>IF(ISBLANK(patch[[#This Row],[mergeDate]]), "", MID(YEAR(patch[[#This Row],[mergeDate]]), 3,2)&amp;"'ww"&amp;WEEKNUM(patch[[#This Row],[mergeDate]]))</f>
        <v>16'ww39</v>
      </c>
      <c r="U1034" s="7" t="str">
        <f>IF(ISBLANK(patch[[#This Row],[mergeDate]]), U1033, MID(YEAR(patch[[#This Row],[mergeDate]]), 3,2)&amp;"'m"&amp;MONTH(patch[[#This Row],[mergeDate]]))</f>
        <v>16'm9</v>
      </c>
      <c r="V1034" s="7" t="str">
        <f>IF(ISBLANK(patch[[#This Row],[project]]), "",SUM(patch[[#This Row],[BJ -1 num]:[SH -1 num]]))</f>
        <v/>
      </c>
      <c r="W1034" s="7" t="str">
        <f>IF(ISBLANK(patch[[#This Row],[project]]), "",COUNTIFS($A:$A,patch[[#This Row],[number]],$S:$S, "BJ And dev",$AC:$AC, "Review-1"))</f>
        <v/>
      </c>
      <c r="X1034" s="7" t="str">
        <f>IF(ISBLANK(patch[[#This Row],[project]]), "",COUNTIFS($A:$A,patch[[#This Row],[number]],$S:$S, "FL And dev",$AC:$AC, "Review-1"))</f>
        <v/>
      </c>
      <c r="Y1034" s="7" t="str">
        <f>IF(ISBLANK(patch[[#This Row],[project]]), "",COUNTIFS($A:$A,patch[[#This Row],[number]],$S:$S, "SH And dev",$AC:$AC, "Review-1"))</f>
        <v/>
      </c>
      <c r="Z1034" s="7" t="str">
        <f>IF(ISBLANK(patch[[#This Row],[project]]), "",COUNTIFS($A:$A,patch[[#This Row],[number]],$S:$S, "BJ And dev",$AD:$AD, "&lt;&gt;IntegratorValidationComment"))</f>
        <v/>
      </c>
      <c r="AA1034" s="7" t="str">
        <f>IF(ISBLANK(patch[[#This Row],[project]]), "",COUNTIFS($A:$A,patch[[#This Row],[number]],$S:$S, "FL And dev",$AD:$AD, "&lt;&gt;IntegratorValidationComment"))</f>
        <v/>
      </c>
      <c r="AB1034" s="7" t="str">
        <f>IF(ISBLANK(patch[[#This Row],[project]]), "",COUNTIFS($A:$A,patch[[#This Row],[number]],$S:$S, "SH And dev",$AD:$AD, "&lt;&gt;IntegratorValidationComment"))</f>
        <v/>
      </c>
      <c r="AC1034" s="7" t="str">
        <f>IF(OR(ISNUMBER(FIND("Review-1", patch[[#This Row],[comments]])), ISNUMBER(FIND("Approver-1", patch[[#This Row],[comments]]))), "Review-1", "")</f>
        <v/>
      </c>
      <c r="AD10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34" s="7">
        <f>IF(ISBLANK(patch[[#This Row],[number]]),AE1033,patch[[#This Row],[ifCommon]])</f>
        <v>0</v>
      </c>
    </row>
    <row r="1035" spans="1:31">
      <c r="A1035" s="151">
        <v>146271</v>
      </c>
      <c r="B1035" s="151"/>
      <c r="C1035" s="151"/>
      <c r="D1035" s="151"/>
      <c r="E1035" s="151"/>
      <c r="F1035" s="151"/>
      <c r="G1035" s="151"/>
      <c r="H1035" s="151"/>
      <c r="I1035" s="151"/>
      <c r="J1035" s="152">
        <v>42634.753425925926</v>
      </c>
      <c r="K1035" s="151"/>
      <c r="L1035" s="151" t="s">
        <v>59</v>
      </c>
      <c r="M1035" s="152">
        <v>42632.729710648149</v>
      </c>
      <c r="N1035" s="151" t="s">
        <v>40</v>
      </c>
      <c r="O1035" s="151"/>
      <c r="P1035" s="151"/>
      <c r="Q1035" s="7" t="str">
        <f>IF(ISBLANK(patch[[#This Row],[OwnerEmail]]),Q1034,patch[[#This Row],[OwnerEmail]])</f>
        <v>xiaozhou.liu@intel.com</v>
      </c>
      <c r="R1035" s="7" t="str">
        <f>_xlfn.IFNA(VLOOKUP(patch[[#This Row],[tmp-owner.email]],OrgTree!$A:$K, 11, 0), "not ICG SWFW")</f>
        <v>BJ And dev</v>
      </c>
      <c r="S1035" s="7" t="str">
        <f>IF(patch[[#This Row],[reviewer]]=patch[[#This Row],[tmp-owner.email]], "author", _xlfn.IFNA(VLOOKUP(patch[[#This Row],[reviewer]],OrgTree!$A:$K, 11, 0), "not ICG SWFW"))</f>
        <v>author</v>
      </c>
      <c r="T1035" s="7" t="str">
        <f>IF(ISBLANK(patch[[#This Row],[mergeDate]]), "", MID(YEAR(patch[[#This Row],[mergeDate]]), 3,2)&amp;"'ww"&amp;WEEKNUM(patch[[#This Row],[mergeDate]]))</f>
        <v>16'ww39</v>
      </c>
      <c r="U1035" s="7" t="str">
        <f>IF(ISBLANK(patch[[#This Row],[mergeDate]]), U1034, MID(YEAR(patch[[#This Row],[mergeDate]]), 3,2)&amp;"'m"&amp;MONTH(patch[[#This Row],[mergeDate]]))</f>
        <v>16'm9</v>
      </c>
      <c r="V1035" s="7" t="str">
        <f>IF(ISBLANK(patch[[#This Row],[project]]), "",SUM(patch[[#This Row],[BJ -1 num]:[SH -1 num]]))</f>
        <v/>
      </c>
      <c r="W1035" s="7" t="str">
        <f>IF(ISBLANK(patch[[#This Row],[project]]), "",COUNTIFS($A:$A,patch[[#This Row],[number]],$S:$S, "BJ And dev",$AC:$AC, "Review-1"))</f>
        <v/>
      </c>
      <c r="X1035" s="7" t="str">
        <f>IF(ISBLANK(patch[[#This Row],[project]]), "",COUNTIFS($A:$A,patch[[#This Row],[number]],$S:$S, "FL And dev",$AC:$AC, "Review-1"))</f>
        <v/>
      </c>
      <c r="Y1035" s="7" t="str">
        <f>IF(ISBLANK(patch[[#This Row],[project]]), "",COUNTIFS($A:$A,patch[[#This Row],[number]],$S:$S, "SH And dev",$AC:$AC, "Review-1"))</f>
        <v/>
      </c>
      <c r="Z1035" s="7" t="str">
        <f>IF(ISBLANK(patch[[#This Row],[project]]), "",COUNTIFS($A:$A,patch[[#This Row],[number]],$S:$S, "BJ And dev",$AD:$AD, "&lt;&gt;IntegratorValidationComment"))</f>
        <v/>
      </c>
      <c r="AA1035" s="7" t="str">
        <f>IF(ISBLANK(patch[[#This Row],[project]]), "",COUNTIFS($A:$A,patch[[#This Row],[number]],$S:$S, "FL And dev",$AD:$AD, "&lt;&gt;IntegratorValidationComment"))</f>
        <v/>
      </c>
      <c r="AB1035" s="7" t="str">
        <f>IF(ISBLANK(patch[[#This Row],[project]]), "",COUNTIFS($A:$A,patch[[#This Row],[number]],$S:$S, "SH And dev",$AD:$AD, "&lt;&gt;IntegratorValidationComment"))</f>
        <v/>
      </c>
      <c r="AC1035" s="7" t="str">
        <f>IF(OR(ISNUMBER(FIND("Review-1", patch[[#This Row],[comments]])), ISNUMBER(FIND("Approver-1", patch[[#This Row],[comments]]))), "Review-1", "")</f>
        <v/>
      </c>
      <c r="AD10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35" s="7">
        <f>IF(ISBLANK(patch[[#This Row],[number]]),AE1034,patch[[#This Row],[ifCommon]])</f>
        <v>0</v>
      </c>
    </row>
    <row r="1036" spans="1:31">
      <c r="A1036" s="151">
        <v>146271</v>
      </c>
      <c r="B1036" s="151"/>
      <c r="C1036" s="151"/>
      <c r="D1036" s="151"/>
      <c r="E1036" s="151"/>
      <c r="F1036" s="151"/>
      <c r="G1036" s="151"/>
      <c r="H1036" s="151"/>
      <c r="I1036" s="151"/>
      <c r="J1036" s="152">
        <v>42634.753425925926</v>
      </c>
      <c r="K1036" s="151"/>
      <c r="L1036" s="151" t="s">
        <v>59</v>
      </c>
      <c r="M1036" s="152">
        <v>42632.730717592603</v>
      </c>
      <c r="N1036" s="151" t="s">
        <v>3115</v>
      </c>
      <c r="O1036" s="151"/>
      <c r="P1036" s="151"/>
      <c r="Q1036" s="7" t="str">
        <f>IF(ISBLANK(patch[[#This Row],[OwnerEmail]]),Q1035,patch[[#This Row],[OwnerEmail]])</f>
        <v>xiaozhou.liu@intel.com</v>
      </c>
      <c r="R1036" s="7" t="str">
        <f>_xlfn.IFNA(VLOOKUP(patch[[#This Row],[tmp-owner.email]],OrgTree!$A:$K, 11, 0), "not ICG SWFW")</f>
        <v>BJ And dev</v>
      </c>
      <c r="S1036" s="7" t="str">
        <f>IF(patch[[#This Row],[reviewer]]=patch[[#This Row],[tmp-owner.email]], "author", _xlfn.IFNA(VLOOKUP(patch[[#This Row],[reviewer]],OrgTree!$A:$K, 11, 0), "not ICG SWFW"))</f>
        <v>author</v>
      </c>
      <c r="T1036" s="7" t="str">
        <f>IF(ISBLANK(patch[[#This Row],[mergeDate]]), "", MID(YEAR(patch[[#This Row],[mergeDate]]), 3,2)&amp;"'ww"&amp;WEEKNUM(patch[[#This Row],[mergeDate]]))</f>
        <v>16'ww39</v>
      </c>
      <c r="U1036" s="7" t="str">
        <f>IF(ISBLANK(patch[[#This Row],[mergeDate]]), U1035, MID(YEAR(patch[[#This Row],[mergeDate]]), 3,2)&amp;"'m"&amp;MONTH(patch[[#This Row],[mergeDate]]))</f>
        <v>16'm9</v>
      </c>
      <c r="V1036" s="7" t="str">
        <f>IF(ISBLANK(patch[[#This Row],[project]]), "",SUM(patch[[#This Row],[BJ -1 num]:[SH -1 num]]))</f>
        <v/>
      </c>
      <c r="W1036" s="7" t="str">
        <f>IF(ISBLANK(patch[[#This Row],[project]]), "",COUNTIFS($A:$A,patch[[#This Row],[number]],$S:$S, "BJ And dev",$AC:$AC, "Review-1"))</f>
        <v/>
      </c>
      <c r="X1036" s="7" t="str">
        <f>IF(ISBLANK(patch[[#This Row],[project]]), "",COUNTIFS($A:$A,patch[[#This Row],[number]],$S:$S, "FL And dev",$AC:$AC, "Review-1"))</f>
        <v/>
      </c>
      <c r="Y1036" s="7" t="str">
        <f>IF(ISBLANK(patch[[#This Row],[project]]), "",COUNTIFS($A:$A,patch[[#This Row],[number]],$S:$S, "SH And dev",$AC:$AC, "Review-1"))</f>
        <v/>
      </c>
      <c r="Z1036" s="7" t="str">
        <f>IF(ISBLANK(patch[[#This Row],[project]]), "",COUNTIFS($A:$A,patch[[#This Row],[number]],$S:$S, "BJ And dev",$AD:$AD, "&lt;&gt;IntegratorValidationComment"))</f>
        <v/>
      </c>
      <c r="AA1036" s="7" t="str">
        <f>IF(ISBLANK(patch[[#This Row],[project]]), "",COUNTIFS($A:$A,patch[[#This Row],[number]],$S:$S, "FL And dev",$AD:$AD, "&lt;&gt;IntegratorValidationComment"))</f>
        <v/>
      </c>
      <c r="AB1036" s="7" t="str">
        <f>IF(ISBLANK(patch[[#This Row],[project]]), "",COUNTIFS($A:$A,patch[[#This Row],[number]],$S:$S, "SH And dev",$AD:$AD, "&lt;&gt;IntegratorValidationComment"))</f>
        <v/>
      </c>
      <c r="AC1036" s="7" t="str">
        <f>IF(OR(ISNUMBER(FIND("Review-1", patch[[#This Row],[comments]])), ISNUMBER(FIND("Approver-1", patch[[#This Row],[comments]]))), "Review-1", "")</f>
        <v/>
      </c>
      <c r="AD10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36" s="7">
        <f>IF(ISBLANK(patch[[#This Row],[number]]),AE1035,patch[[#This Row],[ifCommon]])</f>
        <v>0</v>
      </c>
    </row>
    <row r="1037" spans="1:31">
      <c r="A1037" s="151">
        <v>146271</v>
      </c>
      <c r="B1037" s="151"/>
      <c r="C1037" s="151"/>
      <c r="D1037" s="151"/>
      <c r="E1037" s="151"/>
      <c r="F1037" s="151"/>
      <c r="G1037" s="151"/>
      <c r="H1037" s="151"/>
      <c r="I1037" s="151"/>
      <c r="J1037" s="152">
        <v>42634.753425925926</v>
      </c>
      <c r="K1037" s="151"/>
      <c r="L1037" s="151" t="s">
        <v>59</v>
      </c>
      <c r="M1037" s="152">
        <v>42632.732534722221</v>
      </c>
      <c r="N1037" s="151" t="s">
        <v>3116</v>
      </c>
      <c r="O1037" s="151"/>
      <c r="P1037" s="151"/>
      <c r="Q1037" s="7" t="str">
        <f>IF(ISBLANK(patch[[#This Row],[OwnerEmail]]),Q1036,patch[[#This Row],[OwnerEmail]])</f>
        <v>xiaozhou.liu@intel.com</v>
      </c>
      <c r="R1037" s="7" t="str">
        <f>_xlfn.IFNA(VLOOKUP(patch[[#This Row],[tmp-owner.email]],OrgTree!$A:$K, 11, 0), "not ICG SWFW")</f>
        <v>BJ And dev</v>
      </c>
      <c r="S1037" s="7" t="str">
        <f>IF(patch[[#This Row],[reviewer]]=patch[[#This Row],[tmp-owner.email]], "author", _xlfn.IFNA(VLOOKUP(patch[[#This Row],[reviewer]],OrgTree!$A:$K, 11, 0), "not ICG SWFW"))</f>
        <v>author</v>
      </c>
      <c r="T1037" s="7" t="str">
        <f>IF(ISBLANK(patch[[#This Row],[mergeDate]]), "", MID(YEAR(patch[[#This Row],[mergeDate]]), 3,2)&amp;"'ww"&amp;WEEKNUM(patch[[#This Row],[mergeDate]]))</f>
        <v>16'ww39</v>
      </c>
      <c r="U1037" s="7" t="str">
        <f>IF(ISBLANK(patch[[#This Row],[mergeDate]]), U1036, MID(YEAR(patch[[#This Row],[mergeDate]]), 3,2)&amp;"'m"&amp;MONTH(patch[[#This Row],[mergeDate]]))</f>
        <v>16'm9</v>
      </c>
      <c r="V1037" s="7" t="str">
        <f>IF(ISBLANK(patch[[#This Row],[project]]), "",SUM(patch[[#This Row],[BJ -1 num]:[SH -1 num]]))</f>
        <v/>
      </c>
      <c r="W1037" s="7" t="str">
        <f>IF(ISBLANK(patch[[#This Row],[project]]), "",COUNTIFS($A:$A,patch[[#This Row],[number]],$S:$S, "BJ And dev",$AC:$AC, "Review-1"))</f>
        <v/>
      </c>
      <c r="X1037" s="7" t="str">
        <f>IF(ISBLANK(patch[[#This Row],[project]]), "",COUNTIFS($A:$A,patch[[#This Row],[number]],$S:$S, "FL And dev",$AC:$AC, "Review-1"))</f>
        <v/>
      </c>
      <c r="Y1037" s="7" t="str">
        <f>IF(ISBLANK(patch[[#This Row],[project]]), "",COUNTIFS($A:$A,patch[[#This Row],[number]],$S:$S, "SH And dev",$AC:$AC, "Review-1"))</f>
        <v/>
      </c>
      <c r="Z1037" s="7" t="str">
        <f>IF(ISBLANK(patch[[#This Row],[project]]), "",COUNTIFS($A:$A,patch[[#This Row],[number]],$S:$S, "BJ And dev",$AD:$AD, "&lt;&gt;IntegratorValidationComment"))</f>
        <v/>
      </c>
      <c r="AA1037" s="7" t="str">
        <f>IF(ISBLANK(patch[[#This Row],[project]]), "",COUNTIFS($A:$A,patch[[#This Row],[number]],$S:$S, "FL And dev",$AD:$AD, "&lt;&gt;IntegratorValidationComment"))</f>
        <v/>
      </c>
      <c r="AB1037" s="7" t="str">
        <f>IF(ISBLANK(patch[[#This Row],[project]]), "",COUNTIFS($A:$A,patch[[#This Row],[number]],$S:$S, "SH And dev",$AD:$AD, "&lt;&gt;IntegratorValidationComment"))</f>
        <v/>
      </c>
      <c r="AC1037" s="7" t="str">
        <f>IF(OR(ISNUMBER(FIND("Review-1", patch[[#This Row],[comments]])), ISNUMBER(FIND("Approver-1", patch[[#This Row],[comments]]))), "Review-1", "")</f>
        <v/>
      </c>
      <c r="AD10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37" s="7">
        <f>IF(ISBLANK(patch[[#This Row],[number]]),AE1036,patch[[#This Row],[ifCommon]])</f>
        <v>0</v>
      </c>
    </row>
    <row r="1038" spans="1:31">
      <c r="A1038" s="151">
        <v>146271</v>
      </c>
      <c r="B1038" s="151"/>
      <c r="C1038" s="151"/>
      <c r="D1038" s="151"/>
      <c r="E1038" s="151"/>
      <c r="F1038" s="151"/>
      <c r="G1038" s="151"/>
      <c r="H1038" s="151"/>
      <c r="I1038" s="151"/>
      <c r="J1038" s="152">
        <v>42634.753425925926</v>
      </c>
      <c r="K1038" s="151"/>
      <c r="L1038" s="151" t="s">
        <v>59</v>
      </c>
      <c r="M1038" s="152">
        <v>42632.75105324074</v>
      </c>
      <c r="N1038" s="151" t="s">
        <v>2429</v>
      </c>
      <c r="O1038" s="151"/>
      <c r="P1038" s="151"/>
      <c r="Q1038" s="7" t="str">
        <f>IF(ISBLANK(patch[[#This Row],[OwnerEmail]]),Q1037,patch[[#This Row],[OwnerEmail]])</f>
        <v>xiaozhou.liu@intel.com</v>
      </c>
      <c r="R1038" s="7" t="str">
        <f>_xlfn.IFNA(VLOOKUP(patch[[#This Row],[tmp-owner.email]],OrgTree!$A:$K, 11, 0), "not ICG SWFW")</f>
        <v>BJ And dev</v>
      </c>
      <c r="S1038" s="7" t="str">
        <f>IF(patch[[#This Row],[reviewer]]=patch[[#This Row],[tmp-owner.email]], "author", _xlfn.IFNA(VLOOKUP(patch[[#This Row],[reviewer]],OrgTree!$A:$K, 11, 0), "not ICG SWFW"))</f>
        <v>author</v>
      </c>
      <c r="T1038" s="7" t="str">
        <f>IF(ISBLANK(patch[[#This Row],[mergeDate]]), "", MID(YEAR(patch[[#This Row],[mergeDate]]), 3,2)&amp;"'ww"&amp;WEEKNUM(patch[[#This Row],[mergeDate]]))</f>
        <v>16'ww39</v>
      </c>
      <c r="U1038" s="7" t="str">
        <f>IF(ISBLANK(patch[[#This Row],[mergeDate]]), U1037, MID(YEAR(patch[[#This Row],[mergeDate]]), 3,2)&amp;"'m"&amp;MONTH(patch[[#This Row],[mergeDate]]))</f>
        <v>16'm9</v>
      </c>
      <c r="V1038" s="7" t="str">
        <f>IF(ISBLANK(patch[[#This Row],[project]]), "",SUM(patch[[#This Row],[BJ -1 num]:[SH -1 num]]))</f>
        <v/>
      </c>
      <c r="W1038" s="7" t="str">
        <f>IF(ISBLANK(patch[[#This Row],[project]]), "",COUNTIFS($A:$A,patch[[#This Row],[number]],$S:$S, "BJ And dev",$AC:$AC, "Review-1"))</f>
        <v/>
      </c>
      <c r="X1038" s="7" t="str">
        <f>IF(ISBLANK(patch[[#This Row],[project]]), "",COUNTIFS($A:$A,patch[[#This Row],[number]],$S:$S, "FL And dev",$AC:$AC, "Review-1"))</f>
        <v/>
      </c>
      <c r="Y1038" s="7" t="str">
        <f>IF(ISBLANK(patch[[#This Row],[project]]), "",COUNTIFS($A:$A,patch[[#This Row],[number]],$S:$S, "SH And dev",$AC:$AC, "Review-1"))</f>
        <v/>
      </c>
      <c r="Z1038" s="7" t="str">
        <f>IF(ISBLANK(patch[[#This Row],[project]]), "",COUNTIFS($A:$A,patch[[#This Row],[number]],$S:$S, "BJ And dev",$AD:$AD, "&lt;&gt;IntegratorValidationComment"))</f>
        <v/>
      </c>
      <c r="AA1038" s="7" t="str">
        <f>IF(ISBLANK(patch[[#This Row],[project]]), "",COUNTIFS($A:$A,patch[[#This Row],[number]],$S:$S, "FL And dev",$AD:$AD, "&lt;&gt;IntegratorValidationComment"))</f>
        <v/>
      </c>
      <c r="AB1038" s="7" t="str">
        <f>IF(ISBLANK(patch[[#This Row],[project]]), "",COUNTIFS($A:$A,patch[[#This Row],[number]],$S:$S, "SH And dev",$AD:$AD, "&lt;&gt;IntegratorValidationComment"))</f>
        <v/>
      </c>
      <c r="AC1038" s="7" t="str">
        <f>IF(OR(ISNUMBER(FIND("Review-1", patch[[#This Row],[comments]])), ISNUMBER(FIND("Approver-1", patch[[#This Row],[comments]]))), "Review-1", "")</f>
        <v/>
      </c>
      <c r="AD10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38" s="7">
        <f>IF(ISBLANK(patch[[#This Row],[number]]),AE1037,patch[[#This Row],[ifCommon]])</f>
        <v>0</v>
      </c>
    </row>
    <row r="1039" spans="1:31">
      <c r="A1039" s="151">
        <v>146271</v>
      </c>
      <c r="B1039" s="151"/>
      <c r="C1039" s="151"/>
      <c r="D1039" s="151"/>
      <c r="E1039" s="151"/>
      <c r="F1039" s="151"/>
      <c r="G1039" s="151"/>
      <c r="H1039" s="151"/>
      <c r="I1039" s="151"/>
      <c r="J1039" s="152">
        <v>42634.753425925926</v>
      </c>
      <c r="K1039" s="151"/>
      <c r="L1039" s="151" t="s">
        <v>59</v>
      </c>
      <c r="M1039" s="152">
        <v>42632.75105324074</v>
      </c>
      <c r="N1039" s="151" t="s">
        <v>29</v>
      </c>
      <c r="O1039" s="151"/>
      <c r="P1039" s="151"/>
      <c r="Q1039" s="7" t="str">
        <f>IF(ISBLANK(patch[[#This Row],[OwnerEmail]]),Q1038,patch[[#This Row],[OwnerEmail]])</f>
        <v>xiaozhou.liu@intel.com</v>
      </c>
      <c r="R1039" s="7" t="str">
        <f>_xlfn.IFNA(VLOOKUP(patch[[#This Row],[tmp-owner.email]],OrgTree!$A:$K, 11, 0), "not ICG SWFW")</f>
        <v>BJ And dev</v>
      </c>
      <c r="S1039" s="7" t="str">
        <f>IF(patch[[#This Row],[reviewer]]=patch[[#This Row],[tmp-owner.email]], "author", _xlfn.IFNA(VLOOKUP(patch[[#This Row],[reviewer]],OrgTree!$A:$K, 11, 0), "not ICG SWFW"))</f>
        <v>author</v>
      </c>
      <c r="T1039" s="7" t="str">
        <f>IF(ISBLANK(patch[[#This Row],[mergeDate]]), "", MID(YEAR(patch[[#This Row],[mergeDate]]), 3,2)&amp;"'ww"&amp;WEEKNUM(patch[[#This Row],[mergeDate]]))</f>
        <v>16'ww39</v>
      </c>
      <c r="U1039" s="7" t="str">
        <f>IF(ISBLANK(patch[[#This Row],[mergeDate]]), U1038, MID(YEAR(patch[[#This Row],[mergeDate]]), 3,2)&amp;"'m"&amp;MONTH(patch[[#This Row],[mergeDate]]))</f>
        <v>16'm9</v>
      </c>
      <c r="V1039" s="7" t="str">
        <f>IF(ISBLANK(patch[[#This Row],[project]]), "",SUM(patch[[#This Row],[BJ -1 num]:[SH -1 num]]))</f>
        <v/>
      </c>
      <c r="W1039" s="7" t="str">
        <f>IF(ISBLANK(patch[[#This Row],[project]]), "",COUNTIFS($A:$A,patch[[#This Row],[number]],$S:$S, "BJ And dev",$AC:$AC, "Review-1"))</f>
        <v/>
      </c>
      <c r="X1039" s="7" t="str">
        <f>IF(ISBLANK(patch[[#This Row],[project]]), "",COUNTIFS($A:$A,patch[[#This Row],[number]],$S:$S, "FL And dev",$AC:$AC, "Review-1"))</f>
        <v/>
      </c>
      <c r="Y1039" s="7" t="str">
        <f>IF(ISBLANK(patch[[#This Row],[project]]), "",COUNTIFS($A:$A,patch[[#This Row],[number]],$S:$S, "SH And dev",$AC:$AC, "Review-1"))</f>
        <v/>
      </c>
      <c r="Z1039" s="7" t="str">
        <f>IF(ISBLANK(patch[[#This Row],[project]]), "",COUNTIFS($A:$A,patch[[#This Row],[number]],$S:$S, "BJ And dev",$AD:$AD, "&lt;&gt;IntegratorValidationComment"))</f>
        <v/>
      </c>
      <c r="AA1039" s="7" t="str">
        <f>IF(ISBLANK(patch[[#This Row],[project]]), "",COUNTIFS($A:$A,patch[[#This Row],[number]],$S:$S, "FL And dev",$AD:$AD, "&lt;&gt;IntegratorValidationComment"))</f>
        <v/>
      </c>
      <c r="AB1039" s="7" t="str">
        <f>IF(ISBLANK(patch[[#This Row],[project]]), "",COUNTIFS($A:$A,patch[[#This Row],[number]],$S:$S, "SH And dev",$AD:$AD, "&lt;&gt;IntegratorValidationComment"))</f>
        <v/>
      </c>
      <c r="AC1039" s="7" t="str">
        <f>IF(OR(ISNUMBER(FIND("Review-1", patch[[#This Row],[comments]])), ISNUMBER(FIND("Approver-1", patch[[#This Row],[comments]]))), "Review-1", "")</f>
        <v/>
      </c>
      <c r="AD10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39" s="7">
        <f>IF(ISBLANK(patch[[#This Row],[number]]),AE1038,patch[[#This Row],[ifCommon]])</f>
        <v>0</v>
      </c>
    </row>
    <row r="1040" spans="1:31">
      <c r="A1040" s="151">
        <v>146271</v>
      </c>
      <c r="B1040" s="151"/>
      <c r="C1040" s="151"/>
      <c r="D1040" s="151"/>
      <c r="E1040" s="151"/>
      <c r="F1040" s="151"/>
      <c r="G1040" s="151"/>
      <c r="H1040" s="151"/>
      <c r="I1040" s="151"/>
      <c r="J1040" s="152">
        <v>42634.753425925926</v>
      </c>
      <c r="K1040" s="151"/>
      <c r="L1040" s="151" t="s">
        <v>59</v>
      </c>
      <c r="M1040" s="152">
        <v>42632.751574074071</v>
      </c>
      <c r="N1040" s="151" t="s">
        <v>27</v>
      </c>
      <c r="O1040" s="151"/>
      <c r="P1040" s="151"/>
      <c r="Q1040" s="7" t="str">
        <f>IF(ISBLANK(patch[[#This Row],[OwnerEmail]]),Q1039,patch[[#This Row],[OwnerEmail]])</f>
        <v>xiaozhou.liu@intel.com</v>
      </c>
      <c r="R1040" s="7" t="str">
        <f>_xlfn.IFNA(VLOOKUP(patch[[#This Row],[tmp-owner.email]],OrgTree!$A:$K, 11, 0), "not ICG SWFW")</f>
        <v>BJ And dev</v>
      </c>
      <c r="S1040" s="7" t="str">
        <f>IF(patch[[#This Row],[reviewer]]=patch[[#This Row],[tmp-owner.email]], "author", _xlfn.IFNA(VLOOKUP(patch[[#This Row],[reviewer]],OrgTree!$A:$K, 11, 0), "not ICG SWFW"))</f>
        <v>author</v>
      </c>
      <c r="T1040" s="7" t="str">
        <f>IF(ISBLANK(patch[[#This Row],[mergeDate]]), "", MID(YEAR(patch[[#This Row],[mergeDate]]), 3,2)&amp;"'ww"&amp;WEEKNUM(patch[[#This Row],[mergeDate]]))</f>
        <v>16'ww39</v>
      </c>
      <c r="U1040" s="7" t="str">
        <f>IF(ISBLANK(patch[[#This Row],[mergeDate]]), U1039, MID(YEAR(patch[[#This Row],[mergeDate]]), 3,2)&amp;"'m"&amp;MONTH(patch[[#This Row],[mergeDate]]))</f>
        <v>16'm9</v>
      </c>
      <c r="V1040" s="7" t="str">
        <f>IF(ISBLANK(patch[[#This Row],[project]]), "",SUM(patch[[#This Row],[BJ -1 num]:[SH -1 num]]))</f>
        <v/>
      </c>
      <c r="W1040" s="7" t="str">
        <f>IF(ISBLANK(patch[[#This Row],[project]]), "",COUNTIFS($A:$A,patch[[#This Row],[number]],$S:$S, "BJ And dev",$AC:$AC, "Review-1"))</f>
        <v/>
      </c>
      <c r="X1040" s="7" t="str">
        <f>IF(ISBLANK(patch[[#This Row],[project]]), "",COUNTIFS($A:$A,patch[[#This Row],[number]],$S:$S, "FL And dev",$AC:$AC, "Review-1"))</f>
        <v/>
      </c>
      <c r="Y1040" s="7" t="str">
        <f>IF(ISBLANK(patch[[#This Row],[project]]), "",COUNTIFS($A:$A,patch[[#This Row],[number]],$S:$S, "SH And dev",$AC:$AC, "Review-1"))</f>
        <v/>
      </c>
      <c r="Z1040" s="7" t="str">
        <f>IF(ISBLANK(patch[[#This Row],[project]]), "",COUNTIFS($A:$A,patch[[#This Row],[number]],$S:$S, "BJ And dev",$AD:$AD, "&lt;&gt;IntegratorValidationComment"))</f>
        <v/>
      </c>
      <c r="AA1040" s="7" t="str">
        <f>IF(ISBLANK(patch[[#This Row],[project]]), "",COUNTIFS($A:$A,patch[[#This Row],[number]],$S:$S, "FL And dev",$AD:$AD, "&lt;&gt;IntegratorValidationComment"))</f>
        <v/>
      </c>
      <c r="AB1040" s="7" t="str">
        <f>IF(ISBLANK(patch[[#This Row],[project]]), "",COUNTIFS($A:$A,patch[[#This Row],[number]],$S:$S, "SH And dev",$AD:$AD, "&lt;&gt;IntegratorValidationComment"))</f>
        <v/>
      </c>
      <c r="AC1040" s="7" t="str">
        <f>IF(OR(ISNUMBER(FIND("Review-1", patch[[#This Row],[comments]])), ISNUMBER(FIND("Approver-1", patch[[#This Row],[comments]]))), "Review-1", "")</f>
        <v/>
      </c>
      <c r="AD10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40" s="7">
        <f>IF(ISBLANK(patch[[#This Row],[number]]),AE1039,patch[[#This Row],[ifCommon]])</f>
        <v>0</v>
      </c>
    </row>
    <row r="1041" spans="1:31">
      <c r="A1041" s="151">
        <v>146271</v>
      </c>
      <c r="B1041" s="151"/>
      <c r="C1041" s="151"/>
      <c r="D1041" s="151"/>
      <c r="E1041" s="151"/>
      <c r="F1041" s="151"/>
      <c r="G1041" s="151"/>
      <c r="H1041" s="151"/>
      <c r="I1041" s="151"/>
      <c r="J1041" s="152">
        <v>42634.753425925926</v>
      </c>
      <c r="K1041" s="151"/>
      <c r="L1041" s="151" t="s">
        <v>59</v>
      </c>
      <c r="M1041" s="152">
        <v>42632.759768518517</v>
      </c>
      <c r="N1041" s="151" t="s">
        <v>3117</v>
      </c>
      <c r="O1041" s="151"/>
      <c r="P1041" s="151"/>
      <c r="Q1041" s="7" t="str">
        <f>IF(ISBLANK(patch[[#This Row],[OwnerEmail]]),Q1040,patch[[#This Row],[OwnerEmail]])</f>
        <v>xiaozhou.liu@intel.com</v>
      </c>
      <c r="R1041" s="7" t="str">
        <f>_xlfn.IFNA(VLOOKUP(patch[[#This Row],[tmp-owner.email]],OrgTree!$A:$K, 11, 0), "not ICG SWFW")</f>
        <v>BJ And dev</v>
      </c>
      <c r="S1041" s="7" t="str">
        <f>IF(patch[[#This Row],[reviewer]]=patch[[#This Row],[tmp-owner.email]], "author", _xlfn.IFNA(VLOOKUP(patch[[#This Row],[reviewer]],OrgTree!$A:$K, 11, 0), "not ICG SWFW"))</f>
        <v>author</v>
      </c>
      <c r="T1041" s="7" t="str">
        <f>IF(ISBLANK(patch[[#This Row],[mergeDate]]), "", MID(YEAR(patch[[#This Row],[mergeDate]]), 3,2)&amp;"'ww"&amp;WEEKNUM(patch[[#This Row],[mergeDate]]))</f>
        <v>16'ww39</v>
      </c>
      <c r="U1041" s="7" t="str">
        <f>IF(ISBLANK(patch[[#This Row],[mergeDate]]), U1040, MID(YEAR(patch[[#This Row],[mergeDate]]), 3,2)&amp;"'m"&amp;MONTH(patch[[#This Row],[mergeDate]]))</f>
        <v>16'm9</v>
      </c>
      <c r="V1041" s="7" t="str">
        <f>IF(ISBLANK(patch[[#This Row],[project]]), "",SUM(patch[[#This Row],[BJ -1 num]:[SH -1 num]]))</f>
        <v/>
      </c>
      <c r="W1041" s="7" t="str">
        <f>IF(ISBLANK(patch[[#This Row],[project]]), "",COUNTIFS($A:$A,patch[[#This Row],[number]],$S:$S, "BJ And dev",$AC:$AC, "Review-1"))</f>
        <v/>
      </c>
      <c r="X1041" s="7" t="str">
        <f>IF(ISBLANK(patch[[#This Row],[project]]), "",COUNTIFS($A:$A,patch[[#This Row],[number]],$S:$S, "FL And dev",$AC:$AC, "Review-1"))</f>
        <v/>
      </c>
      <c r="Y1041" s="7" t="str">
        <f>IF(ISBLANK(patch[[#This Row],[project]]), "",COUNTIFS($A:$A,patch[[#This Row],[number]],$S:$S, "SH And dev",$AC:$AC, "Review-1"))</f>
        <v/>
      </c>
      <c r="Z1041" s="7" t="str">
        <f>IF(ISBLANK(patch[[#This Row],[project]]), "",COUNTIFS($A:$A,patch[[#This Row],[number]],$S:$S, "BJ And dev",$AD:$AD, "&lt;&gt;IntegratorValidationComment"))</f>
        <v/>
      </c>
      <c r="AA1041" s="7" t="str">
        <f>IF(ISBLANK(patch[[#This Row],[project]]), "",COUNTIFS($A:$A,patch[[#This Row],[number]],$S:$S, "FL And dev",$AD:$AD, "&lt;&gt;IntegratorValidationComment"))</f>
        <v/>
      </c>
      <c r="AB1041" s="7" t="str">
        <f>IF(ISBLANK(patch[[#This Row],[project]]), "",COUNTIFS($A:$A,patch[[#This Row],[number]],$S:$S, "SH And dev",$AD:$AD, "&lt;&gt;IntegratorValidationComment"))</f>
        <v/>
      </c>
      <c r="AC1041" s="7" t="str">
        <f>IF(OR(ISNUMBER(FIND("Review-1", patch[[#This Row],[comments]])), ISNUMBER(FIND("Approver-1", patch[[#This Row],[comments]]))), "Review-1", "")</f>
        <v/>
      </c>
      <c r="AD10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41" s="7">
        <f>IF(ISBLANK(patch[[#This Row],[number]]),AE1040,patch[[#This Row],[ifCommon]])</f>
        <v>0</v>
      </c>
    </row>
    <row r="1042" spans="1:31">
      <c r="A1042" s="151">
        <v>146271</v>
      </c>
      <c r="B1042" s="151"/>
      <c r="C1042" s="151"/>
      <c r="D1042" s="151"/>
      <c r="E1042" s="151"/>
      <c r="F1042" s="151"/>
      <c r="G1042" s="151"/>
      <c r="H1042" s="151"/>
      <c r="I1042" s="151"/>
      <c r="J1042" s="152">
        <v>42634.753425925926</v>
      </c>
      <c r="K1042" s="151"/>
      <c r="L1042" s="151" t="s">
        <v>59</v>
      </c>
      <c r="M1042" s="152">
        <v>42632.768136574072</v>
      </c>
      <c r="N1042" s="151" t="s">
        <v>3118</v>
      </c>
      <c r="O1042" s="151"/>
      <c r="P1042" s="151"/>
      <c r="Q1042" s="7" t="str">
        <f>IF(ISBLANK(patch[[#This Row],[OwnerEmail]]),Q1041,patch[[#This Row],[OwnerEmail]])</f>
        <v>xiaozhou.liu@intel.com</v>
      </c>
      <c r="R1042" s="7" t="str">
        <f>_xlfn.IFNA(VLOOKUP(patch[[#This Row],[tmp-owner.email]],OrgTree!$A:$K, 11, 0), "not ICG SWFW")</f>
        <v>BJ And dev</v>
      </c>
      <c r="S1042" s="7" t="str">
        <f>IF(patch[[#This Row],[reviewer]]=patch[[#This Row],[tmp-owner.email]], "author", _xlfn.IFNA(VLOOKUP(patch[[#This Row],[reviewer]],OrgTree!$A:$K, 11, 0), "not ICG SWFW"))</f>
        <v>author</v>
      </c>
      <c r="T1042" s="7" t="str">
        <f>IF(ISBLANK(patch[[#This Row],[mergeDate]]), "", MID(YEAR(patch[[#This Row],[mergeDate]]), 3,2)&amp;"'ww"&amp;WEEKNUM(patch[[#This Row],[mergeDate]]))</f>
        <v>16'ww39</v>
      </c>
      <c r="U1042" s="7" t="str">
        <f>IF(ISBLANK(patch[[#This Row],[mergeDate]]), U1041, MID(YEAR(patch[[#This Row],[mergeDate]]), 3,2)&amp;"'m"&amp;MONTH(patch[[#This Row],[mergeDate]]))</f>
        <v>16'm9</v>
      </c>
      <c r="V1042" s="7" t="str">
        <f>IF(ISBLANK(patch[[#This Row],[project]]), "",SUM(patch[[#This Row],[BJ -1 num]:[SH -1 num]]))</f>
        <v/>
      </c>
      <c r="W1042" s="7" t="str">
        <f>IF(ISBLANK(patch[[#This Row],[project]]), "",COUNTIFS($A:$A,patch[[#This Row],[number]],$S:$S, "BJ And dev",$AC:$AC, "Review-1"))</f>
        <v/>
      </c>
      <c r="X1042" s="7" t="str">
        <f>IF(ISBLANK(patch[[#This Row],[project]]), "",COUNTIFS($A:$A,patch[[#This Row],[number]],$S:$S, "FL And dev",$AC:$AC, "Review-1"))</f>
        <v/>
      </c>
      <c r="Y1042" s="7" t="str">
        <f>IF(ISBLANK(patch[[#This Row],[project]]), "",COUNTIFS($A:$A,patch[[#This Row],[number]],$S:$S, "SH And dev",$AC:$AC, "Review-1"))</f>
        <v/>
      </c>
      <c r="Z1042" s="7" t="str">
        <f>IF(ISBLANK(patch[[#This Row],[project]]), "",COUNTIFS($A:$A,patch[[#This Row],[number]],$S:$S, "BJ And dev",$AD:$AD, "&lt;&gt;IntegratorValidationComment"))</f>
        <v/>
      </c>
      <c r="AA1042" s="7" t="str">
        <f>IF(ISBLANK(patch[[#This Row],[project]]), "",COUNTIFS($A:$A,patch[[#This Row],[number]],$S:$S, "FL And dev",$AD:$AD, "&lt;&gt;IntegratorValidationComment"))</f>
        <v/>
      </c>
      <c r="AB1042" s="7" t="str">
        <f>IF(ISBLANK(patch[[#This Row],[project]]), "",COUNTIFS($A:$A,patch[[#This Row],[number]],$S:$S, "SH And dev",$AD:$AD, "&lt;&gt;IntegratorValidationComment"))</f>
        <v/>
      </c>
      <c r="AC1042" s="7" t="str">
        <f>IF(OR(ISNUMBER(FIND("Review-1", patch[[#This Row],[comments]])), ISNUMBER(FIND("Approver-1", patch[[#This Row],[comments]]))), "Review-1", "")</f>
        <v/>
      </c>
      <c r="AD10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42" s="7">
        <f>IF(ISBLANK(patch[[#This Row],[number]]),AE1041,patch[[#This Row],[ifCommon]])</f>
        <v>0</v>
      </c>
    </row>
    <row r="1043" spans="1:31">
      <c r="A1043" s="151">
        <v>146271</v>
      </c>
      <c r="B1043" s="151"/>
      <c r="C1043" s="151"/>
      <c r="D1043" s="151"/>
      <c r="E1043" s="151"/>
      <c r="F1043" s="151"/>
      <c r="G1043" s="151"/>
      <c r="H1043" s="151"/>
      <c r="I1043" s="151"/>
      <c r="J1043" s="152">
        <v>42634.753425925926</v>
      </c>
      <c r="K1043" s="151"/>
      <c r="L1043" s="151" t="s">
        <v>59</v>
      </c>
      <c r="M1043" s="152">
        <v>42633.514710648153</v>
      </c>
      <c r="N1043" s="151" t="s">
        <v>2450</v>
      </c>
      <c r="O1043" s="151"/>
      <c r="P1043" s="151"/>
      <c r="Q1043" s="7" t="str">
        <f>IF(ISBLANK(patch[[#This Row],[OwnerEmail]]),Q1042,patch[[#This Row],[OwnerEmail]])</f>
        <v>xiaozhou.liu@intel.com</v>
      </c>
      <c r="R1043" s="7" t="str">
        <f>_xlfn.IFNA(VLOOKUP(patch[[#This Row],[tmp-owner.email]],OrgTree!$A:$K, 11, 0), "not ICG SWFW")</f>
        <v>BJ And dev</v>
      </c>
      <c r="S1043" s="7" t="str">
        <f>IF(patch[[#This Row],[reviewer]]=patch[[#This Row],[tmp-owner.email]], "author", _xlfn.IFNA(VLOOKUP(patch[[#This Row],[reviewer]],OrgTree!$A:$K, 11, 0), "not ICG SWFW"))</f>
        <v>author</v>
      </c>
      <c r="T1043" s="7" t="str">
        <f>IF(ISBLANK(patch[[#This Row],[mergeDate]]), "", MID(YEAR(patch[[#This Row],[mergeDate]]), 3,2)&amp;"'ww"&amp;WEEKNUM(patch[[#This Row],[mergeDate]]))</f>
        <v>16'ww39</v>
      </c>
      <c r="U1043" s="7" t="str">
        <f>IF(ISBLANK(patch[[#This Row],[mergeDate]]), U1042, MID(YEAR(patch[[#This Row],[mergeDate]]), 3,2)&amp;"'m"&amp;MONTH(patch[[#This Row],[mergeDate]]))</f>
        <v>16'm9</v>
      </c>
      <c r="V1043" s="7" t="str">
        <f>IF(ISBLANK(patch[[#This Row],[project]]), "",SUM(patch[[#This Row],[BJ -1 num]:[SH -1 num]]))</f>
        <v/>
      </c>
      <c r="W1043" s="7" t="str">
        <f>IF(ISBLANK(patch[[#This Row],[project]]), "",COUNTIFS($A:$A,patch[[#This Row],[number]],$S:$S, "BJ And dev",$AC:$AC, "Review-1"))</f>
        <v/>
      </c>
      <c r="X1043" s="7" t="str">
        <f>IF(ISBLANK(patch[[#This Row],[project]]), "",COUNTIFS($A:$A,patch[[#This Row],[number]],$S:$S, "FL And dev",$AC:$AC, "Review-1"))</f>
        <v/>
      </c>
      <c r="Y1043" s="7" t="str">
        <f>IF(ISBLANK(patch[[#This Row],[project]]), "",COUNTIFS($A:$A,patch[[#This Row],[number]],$S:$S, "SH And dev",$AC:$AC, "Review-1"))</f>
        <v/>
      </c>
      <c r="Z1043" s="7" t="str">
        <f>IF(ISBLANK(patch[[#This Row],[project]]), "",COUNTIFS($A:$A,patch[[#This Row],[number]],$S:$S, "BJ And dev",$AD:$AD, "&lt;&gt;IntegratorValidationComment"))</f>
        <v/>
      </c>
      <c r="AA1043" s="7" t="str">
        <f>IF(ISBLANK(patch[[#This Row],[project]]), "",COUNTIFS($A:$A,patch[[#This Row],[number]],$S:$S, "FL And dev",$AD:$AD, "&lt;&gt;IntegratorValidationComment"))</f>
        <v/>
      </c>
      <c r="AB1043" s="7" t="str">
        <f>IF(ISBLANK(patch[[#This Row],[project]]), "",COUNTIFS($A:$A,patch[[#This Row],[number]],$S:$S, "SH And dev",$AD:$AD, "&lt;&gt;IntegratorValidationComment"))</f>
        <v/>
      </c>
      <c r="AC1043" s="7" t="str">
        <f>IF(OR(ISNUMBER(FIND("Review-1", patch[[#This Row],[comments]])), ISNUMBER(FIND("Approver-1", patch[[#This Row],[comments]]))), "Review-1", "")</f>
        <v/>
      </c>
      <c r="AD10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43" s="7">
        <f>IF(ISBLANK(patch[[#This Row],[number]]),AE1042,patch[[#This Row],[ifCommon]])</f>
        <v>0</v>
      </c>
    </row>
    <row r="1044" spans="1:31">
      <c r="A1044" s="151">
        <v>146271</v>
      </c>
      <c r="B1044" s="151"/>
      <c r="C1044" s="151"/>
      <c r="D1044" s="151"/>
      <c r="E1044" s="151"/>
      <c r="F1044" s="151"/>
      <c r="G1044" s="151"/>
      <c r="H1044" s="151"/>
      <c r="I1044" s="151"/>
      <c r="J1044" s="152">
        <v>42634.753425925926</v>
      </c>
      <c r="K1044" s="151"/>
      <c r="L1044" s="151" t="s">
        <v>59</v>
      </c>
      <c r="M1044" s="152">
        <v>42633.514710648153</v>
      </c>
      <c r="N1044" s="151" t="s">
        <v>1829</v>
      </c>
      <c r="O1044" s="151"/>
      <c r="P1044" s="151"/>
      <c r="Q1044" s="7" t="str">
        <f>IF(ISBLANK(patch[[#This Row],[OwnerEmail]]),Q1043,patch[[#This Row],[OwnerEmail]])</f>
        <v>xiaozhou.liu@intel.com</v>
      </c>
      <c r="R1044" s="7" t="str">
        <f>_xlfn.IFNA(VLOOKUP(patch[[#This Row],[tmp-owner.email]],OrgTree!$A:$K, 11, 0), "not ICG SWFW")</f>
        <v>BJ And dev</v>
      </c>
      <c r="S1044" s="7" t="str">
        <f>IF(patch[[#This Row],[reviewer]]=patch[[#This Row],[tmp-owner.email]], "author", _xlfn.IFNA(VLOOKUP(patch[[#This Row],[reviewer]],OrgTree!$A:$K, 11, 0), "not ICG SWFW"))</f>
        <v>author</v>
      </c>
      <c r="T1044" s="7" t="str">
        <f>IF(ISBLANK(patch[[#This Row],[mergeDate]]), "", MID(YEAR(patch[[#This Row],[mergeDate]]), 3,2)&amp;"'ww"&amp;WEEKNUM(patch[[#This Row],[mergeDate]]))</f>
        <v>16'ww39</v>
      </c>
      <c r="U1044" s="7" t="str">
        <f>IF(ISBLANK(patch[[#This Row],[mergeDate]]), U1043, MID(YEAR(patch[[#This Row],[mergeDate]]), 3,2)&amp;"'m"&amp;MONTH(patch[[#This Row],[mergeDate]]))</f>
        <v>16'm9</v>
      </c>
      <c r="V1044" s="7" t="str">
        <f>IF(ISBLANK(patch[[#This Row],[project]]), "",SUM(patch[[#This Row],[BJ -1 num]:[SH -1 num]]))</f>
        <v/>
      </c>
      <c r="W1044" s="7" t="str">
        <f>IF(ISBLANK(patch[[#This Row],[project]]), "",COUNTIFS($A:$A,patch[[#This Row],[number]],$S:$S, "BJ And dev",$AC:$AC, "Review-1"))</f>
        <v/>
      </c>
      <c r="X1044" s="7" t="str">
        <f>IF(ISBLANK(patch[[#This Row],[project]]), "",COUNTIFS($A:$A,patch[[#This Row],[number]],$S:$S, "FL And dev",$AC:$AC, "Review-1"))</f>
        <v/>
      </c>
      <c r="Y1044" s="7" t="str">
        <f>IF(ISBLANK(patch[[#This Row],[project]]), "",COUNTIFS($A:$A,patch[[#This Row],[number]],$S:$S, "SH And dev",$AC:$AC, "Review-1"))</f>
        <v/>
      </c>
      <c r="Z1044" s="7" t="str">
        <f>IF(ISBLANK(patch[[#This Row],[project]]), "",COUNTIFS($A:$A,patch[[#This Row],[number]],$S:$S, "BJ And dev",$AD:$AD, "&lt;&gt;IntegratorValidationComment"))</f>
        <v/>
      </c>
      <c r="AA1044" s="7" t="str">
        <f>IF(ISBLANK(patch[[#This Row],[project]]), "",COUNTIFS($A:$A,patch[[#This Row],[number]],$S:$S, "FL And dev",$AD:$AD, "&lt;&gt;IntegratorValidationComment"))</f>
        <v/>
      </c>
      <c r="AB1044" s="7" t="str">
        <f>IF(ISBLANK(patch[[#This Row],[project]]), "",COUNTIFS($A:$A,patch[[#This Row],[number]],$S:$S, "SH And dev",$AD:$AD, "&lt;&gt;IntegratorValidationComment"))</f>
        <v/>
      </c>
      <c r="AC1044" s="7" t="str">
        <f>IF(OR(ISNUMBER(FIND("Review-1", patch[[#This Row],[comments]])), ISNUMBER(FIND("Approver-1", patch[[#This Row],[comments]]))), "Review-1", "")</f>
        <v/>
      </c>
      <c r="AD10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44" s="7">
        <f>IF(ISBLANK(patch[[#This Row],[number]]),AE1043,patch[[#This Row],[ifCommon]])</f>
        <v>0</v>
      </c>
    </row>
    <row r="1045" spans="1:31">
      <c r="A1045" s="151">
        <v>146271</v>
      </c>
      <c r="B1045" s="151"/>
      <c r="C1045" s="151"/>
      <c r="D1045" s="151"/>
      <c r="E1045" s="151"/>
      <c r="F1045" s="151"/>
      <c r="G1045" s="151"/>
      <c r="H1045" s="151"/>
      <c r="I1045" s="151"/>
      <c r="J1045" s="152">
        <v>42634.753425925926</v>
      </c>
      <c r="K1045" s="151"/>
      <c r="L1045" s="151" t="s">
        <v>59</v>
      </c>
      <c r="M1045" s="152">
        <v>42633.515856481477</v>
      </c>
      <c r="N1045" s="151" t="s">
        <v>2534</v>
      </c>
      <c r="O1045" s="151"/>
      <c r="P1045" s="151"/>
      <c r="Q1045" s="7" t="str">
        <f>IF(ISBLANK(patch[[#This Row],[OwnerEmail]]),Q1044,patch[[#This Row],[OwnerEmail]])</f>
        <v>xiaozhou.liu@intel.com</v>
      </c>
      <c r="R1045" s="7" t="str">
        <f>_xlfn.IFNA(VLOOKUP(patch[[#This Row],[tmp-owner.email]],OrgTree!$A:$K, 11, 0), "not ICG SWFW")</f>
        <v>BJ And dev</v>
      </c>
      <c r="S1045" s="7" t="str">
        <f>IF(patch[[#This Row],[reviewer]]=patch[[#This Row],[tmp-owner.email]], "author", _xlfn.IFNA(VLOOKUP(patch[[#This Row],[reviewer]],OrgTree!$A:$K, 11, 0), "not ICG SWFW"))</f>
        <v>author</v>
      </c>
      <c r="T1045" s="7" t="str">
        <f>IF(ISBLANK(patch[[#This Row],[mergeDate]]), "", MID(YEAR(patch[[#This Row],[mergeDate]]), 3,2)&amp;"'ww"&amp;WEEKNUM(patch[[#This Row],[mergeDate]]))</f>
        <v>16'ww39</v>
      </c>
      <c r="U1045" s="7" t="str">
        <f>IF(ISBLANK(patch[[#This Row],[mergeDate]]), U1044, MID(YEAR(patch[[#This Row],[mergeDate]]), 3,2)&amp;"'m"&amp;MONTH(patch[[#This Row],[mergeDate]]))</f>
        <v>16'm9</v>
      </c>
      <c r="V1045" s="7" t="str">
        <f>IF(ISBLANK(patch[[#This Row],[project]]), "",SUM(patch[[#This Row],[BJ -1 num]:[SH -1 num]]))</f>
        <v/>
      </c>
      <c r="W1045" s="7" t="str">
        <f>IF(ISBLANK(patch[[#This Row],[project]]), "",COUNTIFS($A:$A,patch[[#This Row],[number]],$S:$S, "BJ And dev",$AC:$AC, "Review-1"))</f>
        <v/>
      </c>
      <c r="X1045" s="7" t="str">
        <f>IF(ISBLANK(patch[[#This Row],[project]]), "",COUNTIFS($A:$A,patch[[#This Row],[number]],$S:$S, "FL And dev",$AC:$AC, "Review-1"))</f>
        <v/>
      </c>
      <c r="Y1045" s="7" t="str">
        <f>IF(ISBLANK(patch[[#This Row],[project]]), "",COUNTIFS($A:$A,patch[[#This Row],[number]],$S:$S, "SH And dev",$AC:$AC, "Review-1"))</f>
        <v/>
      </c>
      <c r="Z1045" s="7" t="str">
        <f>IF(ISBLANK(patch[[#This Row],[project]]), "",COUNTIFS($A:$A,patch[[#This Row],[number]],$S:$S, "BJ And dev",$AD:$AD, "&lt;&gt;IntegratorValidationComment"))</f>
        <v/>
      </c>
      <c r="AA1045" s="7" t="str">
        <f>IF(ISBLANK(patch[[#This Row],[project]]), "",COUNTIFS($A:$A,patch[[#This Row],[number]],$S:$S, "FL And dev",$AD:$AD, "&lt;&gt;IntegratorValidationComment"))</f>
        <v/>
      </c>
      <c r="AB1045" s="7" t="str">
        <f>IF(ISBLANK(patch[[#This Row],[project]]), "",COUNTIFS($A:$A,patch[[#This Row],[number]],$S:$S, "SH And dev",$AD:$AD, "&lt;&gt;IntegratorValidationComment"))</f>
        <v/>
      </c>
      <c r="AC1045" s="7" t="str">
        <f>IF(OR(ISNUMBER(FIND("Review-1", patch[[#This Row],[comments]])), ISNUMBER(FIND("Approver-1", patch[[#This Row],[comments]]))), "Review-1", "")</f>
        <v/>
      </c>
      <c r="AD10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45" s="7">
        <f>IF(ISBLANK(patch[[#This Row],[number]]),AE1044,patch[[#This Row],[ifCommon]])</f>
        <v>0</v>
      </c>
    </row>
    <row r="1046" spans="1:31">
      <c r="A1046" s="151">
        <v>146271</v>
      </c>
      <c r="B1046" s="151"/>
      <c r="C1046" s="151"/>
      <c r="D1046" s="151"/>
      <c r="E1046" s="151"/>
      <c r="F1046" s="151"/>
      <c r="G1046" s="151"/>
      <c r="H1046" s="151"/>
      <c r="I1046" s="151"/>
      <c r="J1046" s="152">
        <v>42634.753425925926</v>
      </c>
      <c r="K1046" s="151"/>
      <c r="L1046" s="151" t="s">
        <v>59</v>
      </c>
      <c r="M1046" s="152">
        <v>42633.515868055547</v>
      </c>
      <c r="N1046" s="151" t="s">
        <v>2451</v>
      </c>
      <c r="O1046" s="151"/>
      <c r="P1046" s="151"/>
      <c r="Q1046" s="7" t="str">
        <f>IF(ISBLANK(patch[[#This Row],[OwnerEmail]]),Q1045,patch[[#This Row],[OwnerEmail]])</f>
        <v>xiaozhou.liu@intel.com</v>
      </c>
      <c r="R1046" s="7" t="str">
        <f>_xlfn.IFNA(VLOOKUP(patch[[#This Row],[tmp-owner.email]],OrgTree!$A:$K, 11, 0), "not ICG SWFW")</f>
        <v>BJ And dev</v>
      </c>
      <c r="S1046" s="7" t="str">
        <f>IF(patch[[#This Row],[reviewer]]=patch[[#This Row],[tmp-owner.email]], "author", _xlfn.IFNA(VLOOKUP(patch[[#This Row],[reviewer]],OrgTree!$A:$K, 11, 0), "not ICG SWFW"))</f>
        <v>author</v>
      </c>
      <c r="T1046" s="7" t="str">
        <f>IF(ISBLANK(patch[[#This Row],[mergeDate]]), "", MID(YEAR(patch[[#This Row],[mergeDate]]), 3,2)&amp;"'ww"&amp;WEEKNUM(patch[[#This Row],[mergeDate]]))</f>
        <v>16'ww39</v>
      </c>
      <c r="U1046" s="7" t="str">
        <f>IF(ISBLANK(patch[[#This Row],[mergeDate]]), U1045, MID(YEAR(patch[[#This Row],[mergeDate]]), 3,2)&amp;"'m"&amp;MONTH(patch[[#This Row],[mergeDate]]))</f>
        <v>16'm9</v>
      </c>
      <c r="V1046" s="7" t="str">
        <f>IF(ISBLANK(patch[[#This Row],[project]]), "",SUM(patch[[#This Row],[BJ -1 num]:[SH -1 num]]))</f>
        <v/>
      </c>
      <c r="W1046" s="7" t="str">
        <f>IF(ISBLANK(patch[[#This Row],[project]]), "",COUNTIFS($A:$A,patch[[#This Row],[number]],$S:$S, "BJ And dev",$AC:$AC, "Review-1"))</f>
        <v/>
      </c>
      <c r="X1046" s="7" t="str">
        <f>IF(ISBLANK(patch[[#This Row],[project]]), "",COUNTIFS($A:$A,patch[[#This Row],[number]],$S:$S, "FL And dev",$AC:$AC, "Review-1"))</f>
        <v/>
      </c>
      <c r="Y1046" s="7" t="str">
        <f>IF(ISBLANK(patch[[#This Row],[project]]), "",COUNTIFS($A:$A,patch[[#This Row],[number]],$S:$S, "SH And dev",$AC:$AC, "Review-1"))</f>
        <v/>
      </c>
      <c r="Z1046" s="7" t="str">
        <f>IF(ISBLANK(patch[[#This Row],[project]]), "",COUNTIFS($A:$A,patch[[#This Row],[number]],$S:$S, "BJ And dev",$AD:$AD, "&lt;&gt;IntegratorValidationComment"))</f>
        <v/>
      </c>
      <c r="AA1046" s="7" t="str">
        <f>IF(ISBLANK(patch[[#This Row],[project]]), "",COUNTIFS($A:$A,patch[[#This Row],[number]],$S:$S, "FL And dev",$AD:$AD, "&lt;&gt;IntegratorValidationComment"))</f>
        <v/>
      </c>
      <c r="AB1046" s="7" t="str">
        <f>IF(ISBLANK(patch[[#This Row],[project]]), "",COUNTIFS($A:$A,patch[[#This Row],[number]],$S:$S, "SH And dev",$AD:$AD, "&lt;&gt;IntegratorValidationComment"))</f>
        <v/>
      </c>
      <c r="AC1046" s="7" t="str">
        <f>IF(OR(ISNUMBER(FIND("Review-1", patch[[#This Row],[comments]])), ISNUMBER(FIND("Approver-1", patch[[#This Row],[comments]]))), "Review-1", "")</f>
        <v/>
      </c>
      <c r="AD10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46" s="7">
        <f>IF(ISBLANK(patch[[#This Row],[number]]),AE1045,patch[[#This Row],[ifCommon]])</f>
        <v>0</v>
      </c>
    </row>
    <row r="1047" spans="1:31">
      <c r="A1047" s="151">
        <v>146271</v>
      </c>
      <c r="B1047" s="151"/>
      <c r="C1047" s="151"/>
      <c r="D1047" s="151"/>
      <c r="E1047" s="151"/>
      <c r="F1047" s="151"/>
      <c r="G1047" s="151"/>
      <c r="H1047" s="151"/>
      <c r="I1047" s="151"/>
      <c r="J1047" s="152">
        <v>42634.753425925926</v>
      </c>
      <c r="K1047" s="151"/>
      <c r="L1047" s="151" t="s">
        <v>59</v>
      </c>
      <c r="M1047" s="152">
        <v>42633.516550925917</v>
      </c>
      <c r="N1047" s="151" t="s">
        <v>31</v>
      </c>
      <c r="O1047" s="151"/>
      <c r="P1047" s="151"/>
      <c r="Q1047" s="7" t="str">
        <f>IF(ISBLANK(patch[[#This Row],[OwnerEmail]]),Q1046,patch[[#This Row],[OwnerEmail]])</f>
        <v>xiaozhou.liu@intel.com</v>
      </c>
      <c r="R1047" s="7" t="str">
        <f>_xlfn.IFNA(VLOOKUP(patch[[#This Row],[tmp-owner.email]],OrgTree!$A:$K, 11, 0), "not ICG SWFW")</f>
        <v>BJ And dev</v>
      </c>
      <c r="S1047" s="7" t="str">
        <f>IF(patch[[#This Row],[reviewer]]=patch[[#This Row],[tmp-owner.email]], "author", _xlfn.IFNA(VLOOKUP(patch[[#This Row],[reviewer]],OrgTree!$A:$K, 11, 0), "not ICG SWFW"))</f>
        <v>author</v>
      </c>
      <c r="T1047" s="7" t="str">
        <f>IF(ISBLANK(patch[[#This Row],[mergeDate]]), "", MID(YEAR(patch[[#This Row],[mergeDate]]), 3,2)&amp;"'ww"&amp;WEEKNUM(patch[[#This Row],[mergeDate]]))</f>
        <v>16'ww39</v>
      </c>
      <c r="U1047" s="7" t="str">
        <f>IF(ISBLANK(patch[[#This Row],[mergeDate]]), U1046, MID(YEAR(patch[[#This Row],[mergeDate]]), 3,2)&amp;"'m"&amp;MONTH(patch[[#This Row],[mergeDate]]))</f>
        <v>16'm9</v>
      </c>
      <c r="V1047" s="7" t="str">
        <f>IF(ISBLANK(patch[[#This Row],[project]]), "",SUM(patch[[#This Row],[BJ -1 num]:[SH -1 num]]))</f>
        <v/>
      </c>
      <c r="W1047" s="7" t="str">
        <f>IF(ISBLANK(patch[[#This Row],[project]]), "",COUNTIFS($A:$A,patch[[#This Row],[number]],$S:$S, "BJ And dev",$AC:$AC, "Review-1"))</f>
        <v/>
      </c>
      <c r="X1047" s="7" t="str">
        <f>IF(ISBLANK(patch[[#This Row],[project]]), "",COUNTIFS($A:$A,patch[[#This Row],[number]],$S:$S, "FL And dev",$AC:$AC, "Review-1"))</f>
        <v/>
      </c>
      <c r="Y1047" s="7" t="str">
        <f>IF(ISBLANK(patch[[#This Row],[project]]), "",COUNTIFS($A:$A,patch[[#This Row],[number]],$S:$S, "SH And dev",$AC:$AC, "Review-1"))</f>
        <v/>
      </c>
      <c r="Z1047" s="7" t="str">
        <f>IF(ISBLANK(patch[[#This Row],[project]]), "",COUNTIFS($A:$A,patch[[#This Row],[number]],$S:$S, "BJ And dev",$AD:$AD, "&lt;&gt;IntegratorValidationComment"))</f>
        <v/>
      </c>
      <c r="AA1047" s="7" t="str">
        <f>IF(ISBLANK(patch[[#This Row],[project]]), "",COUNTIFS($A:$A,patch[[#This Row],[number]],$S:$S, "FL And dev",$AD:$AD, "&lt;&gt;IntegratorValidationComment"))</f>
        <v/>
      </c>
      <c r="AB1047" s="7" t="str">
        <f>IF(ISBLANK(patch[[#This Row],[project]]), "",COUNTIFS($A:$A,patch[[#This Row],[number]],$S:$S, "SH And dev",$AD:$AD, "&lt;&gt;IntegratorValidationComment"))</f>
        <v/>
      </c>
      <c r="AC1047" s="7" t="str">
        <f>IF(OR(ISNUMBER(FIND("Review-1", patch[[#This Row],[comments]])), ISNUMBER(FIND("Approver-1", patch[[#This Row],[comments]]))), "Review-1", "")</f>
        <v/>
      </c>
      <c r="AD10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47" s="7">
        <f>IF(ISBLANK(patch[[#This Row],[number]]),AE1046,patch[[#This Row],[ifCommon]])</f>
        <v>0</v>
      </c>
    </row>
    <row r="1048" spans="1:31">
      <c r="A1048" s="151">
        <v>146271</v>
      </c>
      <c r="B1048" s="151"/>
      <c r="C1048" s="151"/>
      <c r="D1048" s="151"/>
      <c r="E1048" s="151"/>
      <c r="F1048" s="151"/>
      <c r="G1048" s="151"/>
      <c r="H1048" s="151"/>
      <c r="I1048" s="151"/>
      <c r="J1048" s="152">
        <v>42634.753425925926</v>
      </c>
      <c r="K1048" s="151"/>
      <c r="L1048" s="151" t="s">
        <v>59</v>
      </c>
      <c r="M1048" s="152">
        <v>42633.520011574074</v>
      </c>
      <c r="N1048" s="151" t="s">
        <v>3119</v>
      </c>
      <c r="O1048" s="151"/>
      <c r="P1048" s="151"/>
      <c r="Q1048" s="7" t="str">
        <f>IF(ISBLANK(patch[[#This Row],[OwnerEmail]]),Q1047,patch[[#This Row],[OwnerEmail]])</f>
        <v>xiaozhou.liu@intel.com</v>
      </c>
      <c r="R1048" s="7" t="str">
        <f>_xlfn.IFNA(VLOOKUP(patch[[#This Row],[tmp-owner.email]],OrgTree!$A:$K, 11, 0), "not ICG SWFW")</f>
        <v>BJ And dev</v>
      </c>
      <c r="S1048" s="7" t="str">
        <f>IF(patch[[#This Row],[reviewer]]=patch[[#This Row],[tmp-owner.email]], "author", _xlfn.IFNA(VLOOKUP(patch[[#This Row],[reviewer]],OrgTree!$A:$K, 11, 0), "not ICG SWFW"))</f>
        <v>author</v>
      </c>
      <c r="T1048" s="7" t="str">
        <f>IF(ISBLANK(patch[[#This Row],[mergeDate]]), "", MID(YEAR(patch[[#This Row],[mergeDate]]), 3,2)&amp;"'ww"&amp;WEEKNUM(patch[[#This Row],[mergeDate]]))</f>
        <v>16'ww39</v>
      </c>
      <c r="U1048" s="7" t="str">
        <f>IF(ISBLANK(patch[[#This Row],[mergeDate]]), U1047, MID(YEAR(patch[[#This Row],[mergeDate]]), 3,2)&amp;"'m"&amp;MONTH(patch[[#This Row],[mergeDate]]))</f>
        <v>16'm9</v>
      </c>
      <c r="V1048" s="7" t="str">
        <f>IF(ISBLANK(patch[[#This Row],[project]]), "",SUM(patch[[#This Row],[BJ -1 num]:[SH -1 num]]))</f>
        <v/>
      </c>
      <c r="W1048" s="7" t="str">
        <f>IF(ISBLANK(patch[[#This Row],[project]]), "",COUNTIFS($A:$A,patch[[#This Row],[number]],$S:$S, "BJ And dev",$AC:$AC, "Review-1"))</f>
        <v/>
      </c>
      <c r="X1048" s="7" t="str">
        <f>IF(ISBLANK(patch[[#This Row],[project]]), "",COUNTIFS($A:$A,patch[[#This Row],[number]],$S:$S, "FL And dev",$AC:$AC, "Review-1"))</f>
        <v/>
      </c>
      <c r="Y1048" s="7" t="str">
        <f>IF(ISBLANK(patch[[#This Row],[project]]), "",COUNTIFS($A:$A,patch[[#This Row],[number]],$S:$S, "SH And dev",$AC:$AC, "Review-1"))</f>
        <v/>
      </c>
      <c r="Z1048" s="7" t="str">
        <f>IF(ISBLANK(patch[[#This Row],[project]]), "",COUNTIFS($A:$A,patch[[#This Row],[number]],$S:$S, "BJ And dev",$AD:$AD, "&lt;&gt;IntegratorValidationComment"))</f>
        <v/>
      </c>
      <c r="AA1048" s="7" t="str">
        <f>IF(ISBLANK(patch[[#This Row],[project]]), "",COUNTIFS($A:$A,patch[[#This Row],[number]],$S:$S, "FL And dev",$AD:$AD, "&lt;&gt;IntegratorValidationComment"))</f>
        <v/>
      </c>
      <c r="AB1048" s="7" t="str">
        <f>IF(ISBLANK(patch[[#This Row],[project]]), "",COUNTIFS($A:$A,patch[[#This Row],[number]],$S:$S, "SH And dev",$AD:$AD, "&lt;&gt;IntegratorValidationComment"))</f>
        <v/>
      </c>
      <c r="AC1048" s="7" t="str">
        <f>IF(OR(ISNUMBER(FIND("Review-1", patch[[#This Row],[comments]])), ISNUMBER(FIND("Approver-1", patch[[#This Row],[comments]]))), "Review-1", "")</f>
        <v/>
      </c>
      <c r="AD10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48" s="7">
        <f>IF(ISBLANK(patch[[#This Row],[number]]),AE1047,patch[[#This Row],[ifCommon]])</f>
        <v>0</v>
      </c>
    </row>
    <row r="1049" spans="1:31">
      <c r="A1049" s="151">
        <v>146271</v>
      </c>
      <c r="B1049" s="151"/>
      <c r="C1049" s="151"/>
      <c r="D1049" s="151"/>
      <c r="E1049" s="151"/>
      <c r="F1049" s="151"/>
      <c r="G1049" s="151"/>
      <c r="H1049" s="151"/>
      <c r="I1049" s="152"/>
      <c r="J1049" s="152">
        <v>42634.753425925926</v>
      </c>
      <c r="K1049" s="151"/>
      <c r="L1049" s="151" t="s">
        <v>59</v>
      </c>
      <c r="M1049" s="152">
        <v>42633.522534722222</v>
      </c>
      <c r="N1049" s="151" t="s">
        <v>3120</v>
      </c>
      <c r="O1049" s="151"/>
      <c r="P1049" s="151"/>
      <c r="Q1049" s="7" t="str">
        <f>IF(ISBLANK(patch[[#This Row],[OwnerEmail]]),Q1048,patch[[#This Row],[OwnerEmail]])</f>
        <v>xiaozhou.liu@intel.com</v>
      </c>
      <c r="R1049" s="7" t="str">
        <f>_xlfn.IFNA(VLOOKUP(patch[[#This Row],[tmp-owner.email]],OrgTree!$A:$K, 11, 0), "not ICG SWFW")</f>
        <v>BJ And dev</v>
      </c>
      <c r="S1049" s="7" t="str">
        <f>IF(patch[[#This Row],[reviewer]]=patch[[#This Row],[tmp-owner.email]], "author", _xlfn.IFNA(VLOOKUP(patch[[#This Row],[reviewer]],OrgTree!$A:$K, 11, 0), "not ICG SWFW"))</f>
        <v>author</v>
      </c>
      <c r="T1049" s="7" t="str">
        <f>IF(ISBLANK(patch[[#This Row],[mergeDate]]), "", MID(YEAR(patch[[#This Row],[mergeDate]]), 3,2)&amp;"'ww"&amp;WEEKNUM(patch[[#This Row],[mergeDate]]))</f>
        <v>16'ww39</v>
      </c>
      <c r="U1049" s="7" t="str">
        <f>IF(ISBLANK(patch[[#This Row],[mergeDate]]), U1048, MID(YEAR(patch[[#This Row],[mergeDate]]), 3,2)&amp;"'m"&amp;MONTH(patch[[#This Row],[mergeDate]]))</f>
        <v>16'm9</v>
      </c>
      <c r="V1049" s="7" t="str">
        <f>IF(ISBLANK(patch[[#This Row],[project]]), "",SUM(patch[[#This Row],[BJ -1 num]:[SH -1 num]]))</f>
        <v/>
      </c>
      <c r="W1049" s="7" t="str">
        <f>IF(ISBLANK(patch[[#This Row],[project]]), "",COUNTIFS($A:$A,patch[[#This Row],[number]],$S:$S, "BJ And dev",$AC:$AC, "Review-1"))</f>
        <v/>
      </c>
      <c r="X1049" s="7" t="str">
        <f>IF(ISBLANK(patch[[#This Row],[project]]), "",COUNTIFS($A:$A,patch[[#This Row],[number]],$S:$S, "FL And dev",$AC:$AC, "Review-1"))</f>
        <v/>
      </c>
      <c r="Y1049" s="7" t="str">
        <f>IF(ISBLANK(patch[[#This Row],[project]]), "",COUNTIFS($A:$A,patch[[#This Row],[number]],$S:$S, "SH And dev",$AC:$AC, "Review-1"))</f>
        <v/>
      </c>
      <c r="Z1049" s="7" t="str">
        <f>IF(ISBLANK(patch[[#This Row],[project]]), "",COUNTIFS($A:$A,patch[[#This Row],[number]],$S:$S, "BJ And dev",$AD:$AD, "&lt;&gt;IntegratorValidationComment"))</f>
        <v/>
      </c>
      <c r="AA1049" s="7" t="str">
        <f>IF(ISBLANK(patch[[#This Row],[project]]), "",COUNTIFS($A:$A,patch[[#This Row],[number]],$S:$S, "FL And dev",$AD:$AD, "&lt;&gt;IntegratorValidationComment"))</f>
        <v/>
      </c>
      <c r="AB1049" s="7" t="str">
        <f>IF(ISBLANK(patch[[#This Row],[project]]), "",COUNTIFS($A:$A,patch[[#This Row],[number]],$S:$S, "SH And dev",$AD:$AD, "&lt;&gt;IntegratorValidationComment"))</f>
        <v/>
      </c>
      <c r="AC1049" s="7" t="str">
        <f>IF(OR(ISNUMBER(FIND("Review-1", patch[[#This Row],[comments]])), ISNUMBER(FIND("Approver-1", patch[[#This Row],[comments]]))), "Review-1", "")</f>
        <v/>
      </c>
      <c r="AD10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49" s="7">
        <f>IF(ISBLANK(patch[[#This Row],[number]]),AE1048,patch[[#This Row],[ifCommon]])</f>
        <v>0</v>
      </c>
    </row>
    <row r="1050" spans="1:31">
      <c r="A1050" s="151">
        <v>146271</v>
      </c>
      <c r="B1050" s="151"/>
      <c r="C1050" s="151"/>
      <c r="D1050" s="151"/>
      <c r="E1050" s="151"/>
      <c r="F1050" s="151"/>
      <c r="G1050" s="151"/>
      <c r="H1050" s="151"/>
      <c r="I1050" s="151"/>
      <c r="J1050" s="152">
        <v>42634.753425925926</v>
      </c>
      <c r="K1050" s="151"/>
      <c r="L1050" s="151" t="s">
        <v>1203</v>
      </c>
      <c r="M1050" s="152">
        <v>42633.625150462962</v>
      </c>
      <c r="N1050" s="151" t="s">
        <v>1890</v>
      </c>
      <c r="O1050" s="151"/>
      <c r="P1050" s="151"/>
      <c r="Q1050" s="7" t="str">
        <f>IF(ISBLANK(patch[[#This Row],[OwnerEmail]]),Q1049,patch[[#This Row],[OwnerEmail]])</f>
        <v>xiaozhou.liu@intel.com</v>
      </c>
      <c r="R1050" s="7" t="str">
        <f>_xlfn.IFNA(VLOOKUP(patch[[#This Row],[tmp-owner.email]],OrgTree!$A:$K, 11, 0), "not ICG SWFW")</f>
        <v>BJ And dev</v>
      </c>
      <c r="S1050" s="7" t="str">
        <f>IF(patch[[#This Row],[reviewer]]=patch[[#This Row],[tmp-owner.email]], "author", _xlfn.IFNA(VLOOKUP(patch[[#This Row],[reviewer]],OrgTree!$A:$K, 11, 0), "not ICG SWFW"))</f>
        <v>BJ And dev</v>
      </c>
      <c r="T1050" s="7" t="str">
        <f>IF(ISBLANK(patch[[#This Row],[mergeDate]]), "", MID(YEAR(patch[[#This Row],[mergeDate]]), 3,2)&amp;"'ww"&amp;WEEKNUM(patch[[#This Row],[mergeDate]]))</f>
        <v>16'ww39</v>
      </c>
      <c r="U1050" s="7" t="str">
        <f>IF(ISBLANK(patch[[#This Row],[mergeDate]]), U1049, MID(YEAR(patch[[#This Row],[mergeDate]]), 3,2)&amp;"'m"&amp;MONTH(patch[[#This Row],[mergeDate]]))</f>
        <v>16'm9</v>
      </c>
      <c r="V1050" s="7" t="str">
        <f>IF(ISBLANK(patch[[#This Row],[project]]), "",SUM(patch[[#This Row],[BJ -1 num]:[SH -1 num]]))</f>
        <v/>
      </c>
      <c r="W1050" s="7" t="str">
        <f>IF(ISBLANK(patch[[#This Row],[project]]), "",COUNTIFS($A:$A,patch[[#This Row],[number]],$S:$S, "BJ And dev",$AC:$AC, "Review-1"))</f>
        <v/>
      </c>
      <c r="X1050" s="7" t="str">
        <f>IF(ISBLANK(patch[[#This Row],[project]]), "",COUNTIFS($A:$A,patch[[#This Row],[number]],$S:$S, "FL And dev",$AC:$AC, "Review-1"))</f>
        <v/>
      </c>
      <c r="Y1050" s="7" t="str">
        <f>IF(ISBLANK(patch[[#This Row],[project]]), "",COUNTIFS($A:$A,patch[[#This Row],[number]],$S:$S, "SH And dev",$AC:$AC, "Review-1"))</f>
        <v/>
      </c>
      <c r="Z1050" s="7" t="str">
        <f>IF(ISBLANK(patch[[#This Row],[project]]), "",COUNTIFS($A:$A,patch[[#This Row],[number]],$S:$S, "BJ And dev",$AD:$AD, "&lt;&gt;IntegratorValidationComment"))</f>
        <v/>
      </c>
      <c r="AA1050" s="7" t="str">
        <f>IF(ISBLANK(patch[[#This Row],[project]]), "",COUNTIFS($A:$A,patch[[#This Row],[number]],$S:$S, "FL And dev",$AD:$AD, "&lt;&gt;IntegratorValidationComment"))</f>
        <v/>
      </c>
      <c r="AB1050" s="7" t="str">
        <f>IF(ISBLANK(patch[[#This Row],[project]]), "",COUNTIFS($A:$A,patch[[#This Row],[number]],$S:$S, "SH And dev",$AD:$AD, "&lt;&gt;IntegratorValidationComment"))</f>
        <v/>
      </c>
      <c r="AC1050" s="7" t="str">
        <f>IF(OR(ISNUMBER(FIND("Review-1", patch[[#This Row],[comments]])), ISNUMBER(FIND("Approver-1", patch[[#This Row],[comments]]))), "Review-1", "")</f>
        <v/>
      </c>
      <c r="AD10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50" s="7">
        <f>IF(ISBLANK(patch[[#This Row],[number]]),AE1049,patch[[#This Row],[ifCommon]])</f>
        <v>0</v>
      </c>
    </row>
    <row r="1051" spans="1:31">
      <c r="A1051" s="151">
        <v>146271</v>
      </c>
      <c r="B1051" s="151"/>
      <c r="C1051" s="151"/>
      <c r="D1051" s="151"/>
      <c r="E1051" s="151"/>
      <c r="F1051" s="151"/>
      <c r="G1051" s="151"/>
      <c r="H1051" s="151"/>
      <c r="I1051" s="151"/>
      <c r="J1051" s="152">
        <v>42634.753425925926</v>
      </c>
      <c r="K1051" s="151"/>
      <c r="L1051" s="151" t="s">
        <v>1203</v>
      </c>
      <c r="M1051" s="152">
        <v>42633.62568287037</v>
      </c>
      <c r="N1051" s="151" t="s">
        <v>3121</v>
      </c>
      <c r="O1051" s="151"/>
      <c r="P1051" s="151"/>
      <c r="Q1051" s="7" t="str">
        <f>IF(ISBLANK(patch[[#This Row],[OwnerEmail]]),Q1050,patch[[#This Row],[OwnerEmail]])</f>
        <v>xiaozhou.liu@intel.com</v>
      </c>
      <c r="R1051" s="7" t="str">
        <f>_xlfn.IFNA(VLOOKUP(patch[[#This Row],[tmp-owner.email]],OrgTree!$A:$K, 11, 0), "not ICG SWFW")</f>
        <v>BJ And dev</v>
      </c>
      <c r="S1051" s="7" t="str">
        <f>IF(patch[[#This Row],[reviewer]]=patch[[#This Row],[tmp-owner.email]], "author", _xlfn.IFNA(VLOOKUP(patch[[#This Row],[reviewer]],OrgTree!$A:$K, 11, 0), "not ICG SWFW"))</f>
        <v>BJ And dev</v>
      </c>
      <c r="T1051" s="7" t="str">
        <f>IF(ISBLANK(patch[[#This Row],[mergeDate]]), "", MID(YEAR(patch[[#This Row],[mergeDate]]), 3,2)&amp;"'ww"&amp;WEEKNUM(patch[[#This Row],[mergeDate]]))</f>
        <v>16'ww39</v>
      </c>
      <c r="U1051" s="7" t="str">
        <f>IF(ISBLANK(patch[[#This Row],[mergeDate]]), U1050, MID(YEAR(patch[[#This Row],[mergeDate]]), 3,2)&amp;"'m"&amp;MONTH(patch[[#This Row],[mergeDate]]))</f>
        <v>16'm9</v>
      </c>
      <c r="V1051" s="7" t="str">
        <f>IF(ISBLANK(patch[[#This Row],[project]]), "",SUM(patch[[#This Row],[BJ -1 num]:[SH -1 num]]))</f>
        <v/>
      </c>
      <c r="W1051" s="7" t="str">
        <f>IF(ISBLANK(patch[[#This Row],[project]]), "",COUNTIFS($A:$A,patch[[#This Row],[number]],$S:$S, "BJ And dev",$AC:$AC, "Review-1"))</f>
        <v/>
      </c>
      <c r="X1051" s="7" t="str">
        <f>IF(ISBLANK(patch[[#This Row],[project]]), "",COUNTIFS($A:$A,patch[[#This Row],[number]],$S:$S, "FL And dev",$AC:$AC, "Review-1"))</f>
        <v/>
      </c>
      <c r="Y1051" s="7" t="str">
        <f>IF(ISBLANK(patch[[#This Row],[project]]), "",COUNTIFS($A:$A,patch[[#This Row],[number]],$S:$S, "SH And dev",$AC:$AC, "Review-1"))</f>
        <v/>
      </c>
      <c r="Z1051" s="7" t="str">
        <f>IF(ISBLANK(patch[[#This Row],[project]]), "",COUNTIFS($A:$A,patch[[#This Row],[number]],$S:$S, "BJ And dev",$AD:$AD, "&lt;&gt;IntegratorValidationComment"))</f>
        <v/>
      </c>
      <c r="AA1051" s="7" t="str">
        <f>IF(ISBLANK(patch[[#This Row],[project]]), "",COUNTIFS($A:$A,patch[[#This Row],[number]],$S:$S, "FL And dev",$AD:$AD, "&lt;&gt;IntegratorValidationComment"))</f>
        <v/>
      </c>
      <c r="AB1051" s="7" t="str">
        <f>IF(ISBLANK(patch[[#This Row],[project]]), "",COUNTIFS($A:$A,patch[[#This Row],[number]],$S:$S, "SH And dev",$AD:$AD, "&lt;&gt;IntegratorValidationComment"))</f>
        <v/>
      </c>
      <c r="AC1051" s="7" t="str">
        <f>IF(OR(ISNUMBER(FIND("Review-1", patch[[#This Row],[comments]])), ISNUMBER(FIND("Approver-1", patch[[#This Row],[comments]]))), "Review-1", "")</f>
        <v/>
      </c>
      <c r="AD10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51" s="7">
        <f>IF(ISBLANK(patch[[#This Row],[number]]),AE1050,patch[[#This Row],[ifCommon]])</f>
        <v>0</v>
      </c>
    </row>
    <row r="1052" spans="1:31">
      <c r="A1052" s="151">
        <v>146271</v>
      </c>
      <c r="B1052" s="151"/>
      <c r="C1052" s="151"/>
      <c r="D1052" s="151"/>
      <c r="E1052" s="151"/>
      <c r="F1052" s="151"/>
      <c r="G1052" s="151"/>
      <c r="H1052" s="151"/>
      <c r="I1052" s="151"/>
      <c r="J1052" s="152">
        <v>42634.753425925926</v>
      </c>
      <c r="K1052" s="151"/>
      <c r="L1052" s="151" t="s">
        <v>24</v>
      </c>
      <c r="M1052" s="152">
        <v>42633.638379629629</v>
      </c>
      <c r="N1052" s="151" t="s">
        <v>1890</v>
      </c>
      <c r="O1052" s="151"/>
      <c r="P1052" s="151"/>
      <c r="Q1052" s="7" t="str">
        <f>IF(ISBLANK(patch[[#This Row],[OwnerEmail]]),Q1051,patch[[#This Row],[OwnerEmail]])</f>
        <v>xiaozhou.liu@intel.com</v>
      </c>
      <c r="R1052" s="7" t="str">
        <f>_xlfn.IFNA(VLOOKUP(patch[[#This Row],[tmp-owner.email]],OrgTree!$A:$K, 11, 0), "not ICG SWFW")</f>
        <v>BJ And dev</v>
      </c>
      <c r="S1052" s="7" t="str">
        <f>IF(patch[[#This Row],[reviewer]]=patch[[#This Row],[tmp-owner.email]], "author", _xlfn.IFNA(VLOOKUP(patch[[#This Row],[reviewer]],OrgTree!$A:$K, 11, 0), "not ICG SWFW"))</f>
        <v>BJ And dev</v>
      </c>
      <c r="T1052" s="7" t="str">
        <f>IF(ISBLANK(patch[[#This Row],[mergeDate]]), "", MID(YEAR(patch[[#This Row],[mergeDate]]), 3,2)&amp;"'ww"&amp;WEEKNUM(patch[[#This Row],[mergeDate]]))</f>
        <v>16'ww39</v>
      </c>
      <c r="U1052" s="7" t="str">
        <f>IF(ISBLANK(patch[[#This Row],[mergeDate]]), U1051, MID(YEAR(patch[[#This Row],[mergeDate]]), 3,2)&amp;"'m"&amp;MONTH(patch[[#This Row],[mergeDate]]))</f>
        <v>16'm9</v>
      </c>
      <c r="V1052" s="7" t="str">
        <f>IF(ISBLANK(patch[[#This Row],[project]]), "",SUM(patch[[#This Row],[BJ -1 num]:[SH -1 num]]))</f>
        <v/>
      </c>
      <c r="W1052" s="7" t="str">
        <f>IF(ISBLANK(patch[[#This Row],[project]]), "",COUNTIFS($A:$A,patch[[#This Row],[number]],$S:$S, "BJ And dev",$AC:$AC, "Review-1"))</f>
        <v/>
      </c>
      <c r="X1052" s="7" t="str">
        <f>IF(ISBLANK(patch[[#This Row],[project]]), "",COUNTIFS($A:$A,patch[[#This Row],[number]],$S:$S, "FL And dev",$AC:$AC, "Review-1"))</f>
        <v/>
      </c>
      <c r="Y1052" s="7" t="str">
        <f>IF(ISBLANK(patch[[#This Row],[project]]), "",COUNTIFS($A:$A,patch[[#This Row],[number]],$S:$S, "SH And dev",$AC:$AC, "Review-1"))</f>
        <v/>
      </c>
      <c r="Z1052" s="7" t="str">
        <f>IF(ISBLANK(patch[[#This Row],[project]]), "",COUNTIFS($A:$A,patch[[#This Row],[number]],$S:$S, "BJ And dev",$AD:$AD, "&lt;&gt;IntegratorValidationComment"))</f>
        <v/>
      </c>
      <c r="AA1052" s="7" t="str">
        <f>IF(ISBLANK(patch[[#This Row],[project]]), "",COUNTIFS($A:$A,patch[[#This Row],[number]],$S:$S, "FL And dev",$AD:$AD, "&lt;&gt;IntegratorValidationComment"))</f>
        <v/>
      </c>
      <c r="AB1052" s="7" t="str">
        <f>IF(ISBLANK(patch[[#This Row],[project]]), "",COUNTIFS($A:$A,patch[[#This Row],[number]],$S:$S, "SH And dev",$AD:$AD, "&lt;&gt;IntegratorValidationComment"))</f>
        <v/>
      </c>
      <c r="AC1052" s="7" t="str">
        <f>IF(OR(ISNUMBER(FIND("Review-1", patch[[#This Row],[comments]])), ISNUMBER(FIND("Approver-1", patch[[#This Row],[comments]]))), "Review-1", "")</f>
        <v/>
      </c>
      <c r="AD10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52" s="7">
        <f>IF(ISBLANK(patch[[#This Row],[number]]),AE1051,patch[[#This Row],[ifCommon]])</f>
        <v>0</v>
      </c>
    </row>
    <row r="1053" spans="1:31">
      <c r="A1053" s="151">
        <v>146271</v>
      </c>
      <c r="B1053" s="151"/>
      <c r="C1053" s="151"/>
      <c r="D1053" s="151"/>
      <c r="E1053" s="151"/>
      <c r="F1053" s="151"/>
      <c r="G1053" s="151"/>
      <c r="H1053" s="151"/>
      <c r="I1053" s="151"/>
      <c r="J1053" s="152">
        <v>42634.753425925926</v>
      </c>
      <c r="K1053" s="151"/>
      <c r="L1053" s="151" t="s">
        <v>115</v>
      </c>
      <c r="M1053" s="152">
        <v>42634.548645833333</v>
      </c>
      <c r="N1053" s="151" t="s">
        <v>2496</v>
      </c>
      <c r="O1053" s="151"/>
      <c r="P1053" s="151"/>
      <c r="Q1053" s="7" t="str">
        <f>IF(ISBLANK(patch[[#This Row],[OwnerEmail]]),Q1052,patch[[#This Row],[OwnerEmail]])</f>
        <v>xiaozhou.liu@intel.com</v>
      </c>
      <c r="R1053" s="7" t="str">
        <f>_xlfn.IFNA(VLOOKUP(patch[[#This Row],[tmp-owner.email]],OrgTree!$A:$K, 11, 0), "not ICG SWFW")</f>
        <v>BJ And dev</v>
      </c>
      <c r="S1053" s="7" t="str">
        <f>IF(patch[[#This Row],[reviewer]]=patch[[#This Row],[tmp-owner.email]], "author", _xlfn.IFNA(VLOOKUP(patch[[#This Row],[reviewer]],OrgTree!$A:$K, 11, 0), "not ICG SWFW"))</f>
        <v>Val</v>
      </c>
      <c r="T1053" s="7" t="str">
        <f>IF(ISBLANK(patch[[#This Row],[mergeDate]]), "", MID(YEAR(patch[[#This Row],[mergeDate]]), 3,2)&amp;"'ww"&amp;WEEKNUM(patch[[#This Row],[mergeDate]]))</f>
        <v>16'ww39</v>
      </c>
      <c r="U1053" s="7" t="str">
        <f>IF(ISBLANK(patch[[#This Row],[mergeDate]]), U1052, MID(YEAR(patch[[#This Row],[mergeDate]]), 3,2)&amp;"'m"&amp;MONTH(patch[[#This Row],[mergeDate]]))</f>
        <v>16'm9</v>
      </c>
      <c r="V1053" s="7" t="str">
        <f>IF(ISBLANK(patch[[#This Row],[project]]), "",SUM(patch[[#This Row],[BJ -1 num]:[SH -1 num]]))</f>
        <v/>
      </c>
      <c r="W1053" s="7" t="str">
        <f>IF(ISBLANK(patch[[#This Row],[project]]), "",COUNTIFS($A:$A,patch[[#This Row],[number]],$S:$S, "BJ And dev",$AC:$AC, "Review-1"))</f>
        <v/>
      </c>
      <c r="X1053" s="7" t="str">
        <f>IF(ISBLANK(patch[[#This Row],[project]]), "",COUNTIFS($A:$A,patch[[#This Row],[number]],$S:$S, "FL And dev",$AC:$AC, "Review-1"))</f>
        <v/>
      </c>
      <c r="Y1053" s="7" t="str">
        <f>IF(ISBLANK(patch[[#This Row],[project]]), "",COUNTIFS($A:$A,patch[[#This Row],[number]],$S:$S, "SH And dev",$AC:$AC, "Review-1"))</f>
        <v/>
      </c>
      <c r="Z1053" s="7" t="str">
        <f>IF(ISBLANK(patch[[#This Row],[project]]), "",COUNTIFS($A:$A,patch[[#This Row],[number]],$S:$S, "BJ And dev",$AD:$AD, "&lt;&gt;IntegratorValidationComment"))</f>
        <v/>
      </c>
      <c r="AA1053" s="7" t="str">
        <f>IF(ISBLANK(patch[[#This Row],[project]]), "",COUNTIFS($A:$A,patch[[#This Row],[number]],$S:$S, "FL And dev",$AD:$AD, "&lt;&gt;IntegratorValidationComment"))</f>
        <v/>
      </c>
      <c r="AB1053" s="7" t="str">
        <f>IF(ISBLANK(patch[[#This Row],[project]]), "",COUNTIFS($A:$A,patch[[#This Row],[number]],$S:$S, "SH And dev",$AD:$AD, "&lt;&gt;IntegratorValidationComment"))</f>
        <v/>
      </c>
      <c r="AC1053" s="7" t="str">
        <f>IF(OR(ISNUMBER(FIND("Review-1", patch[[#This Row],[comments]])), ISNUMBER(FIND("Approver-1", patch[[#This Row],[comments]]))), "Review-1", "")</f>
        <v/>
      </c>
      <c r="AD10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053" s="7">
        <f>IF(ISBLANK(patch[[#This Row],[number]]),AE1052,patch[[#This Row],[ifCommon]])</f>
        <v>0</v>
      </c>
    </row>
    <row r="1054" spans="1:31">
      <c r="A1054" s="151">
        <v>146269</v>
      </c>
      <c r="B1054" s="151" t="s">
        <v>2490</v>
      </c>
      <c r="C1054" s="151" t="s">
        <v>2491</v>
      </c>
      <c r="D1054" s="151" t="s">
        <v>2968</v>
      </c>
      <c r="E1054" s="151" t="s">
        <v>63</v>
      </c>
      <c r="F1054" s="151" t="s">
        <v>23</v>
      </c>
      <c r="G1054" s="151" t="s">
        <v>2969</v>
      </c>
      <c r="H1054" s="151" t="s">
        <v>2970</v>
      </c>
      <c r="I1054" s="152">
        <v>42632.713495370372</v>
      </c>
      <c r="J1054" s="152">
        <v>42634.753321759257</v>
      </c>
      <c r="K1054" s="151" t="s">
        <v>2445</v>
      </c>
      <c r="L1054" s="151" t="s">
        <v>63</v>
      </c>
      <c r="M1054" s="152">
        <v>42632.713495370372</v>
      </c>
      <c r="N1054" s="151" t="s">
        <v>2428</v>
      </c>
      <c r="O1054" s="151"/>
      <c r="P1054" s="151" t="s">
        <v>2554</v>
      </c>
      <c r="Q1054" s="7" t="str">
        <f>IF(ISBLANK(patch[[#This Row],[OwnerEmail]]),Q1053,patch[[#This Row],[OwnerEmail]])</f>
        <v>zongx.li@intel.com</v>
      </c>
      <c r="R1054" s="7" t="str">
        <f>_xlfn.IFNA(VLOOKUP(patch[[#This Row],[tmp-owner.email]],OrgTree!$A:$K, 11, 0), "not ICG SWFW")</f>
        <v>BJ And dev</v>
      </c>
      <c r="S1054" s="7" t="str">
        <f>IF(patch[[#This Row],[reviewer]]=patch[[#This Row],[tmp-owner.email]], "author", _xlfn.IFNA(VLOOKUP(patch[[#This Row],[reviewer]],OrgTree!$A:$K, 11, 0), "not ICG SWFW"))</f>
        <v>author</v>
      </c>
      <c r="T1054" s="7" t="str">
        <f>IF(ISBLANK(patch[[#This Row],[mergeDate]]), "", MID(YEAR(patch[[#This Row],[mergeDate]]), 3,2)&amp;"'ww"&amp;WEEKNUM(patch[[#This Row],[mergeDate]]))</f>
        <v>16'ww39</v>
      </c>
      <c r="U1054" s="7" t="str">
        <f>IF(ISBLANK(patch[[#This Row],[mergeDate]]), U1053, MID(YEAR(patch[[#This Row],[mergeDate]]), 3,2)&amp;"'m"&amp;MONTH(patch[[#This Row],[mergeDate]]))</f>
        <v>16'm9</v>
      </c>
      <c r="V1054" s="7">
        <f>IF(ISBLANK(patch[[#This Row],[project]]), "",SUM(patch[[#This Row],[BJ -1 num]:[SH -1 num]]))</f>
        <v>0</v>
      </c>
      <c r="W1054" s="7">
        <f>IF(ISBLANK(patch[[#This Row],[project]]), "",COUNTIFS($A:$A,patch[[#This Row],[number]],$S:$S, "BJ And dev",$AC:$AC, "Review-1"))</f>
        <v>0</v>
      </c>
      <c r="X1054" s="7">
        <f>IF(ISBLANK(patch[[#This Row],[project]]), "",COUNTIFS($A:$A,patch[[#This Row],[number]],$S:$S, "FL And dev",$AC:$AC, "Review-1"))</f>
        <v>0</v>
      </c>
      <c r="Y1054" s="7">
        <f>IF(ISBLANK(patch[[#This Row],[project]]), "",COUNTIFS($A:$A,patch[[#This Row],[number]],$S:$S, "SH And dev",$AC:$AC, "Review-1"))</f>
        <v>0</v>
      </c>
      <c r="Z1054" s="7">
        <f>IF(ISBLANK(patch[[#This Row],[project]]), "",COUNTIFS($A:$A,patch[[#This Row],[number]],$S:$S, "BJ And dev",$AD:$AD, "&lt;&gt;IntegratorValidationComment"))</f>
        <v>6</v>
      </c>
      <c r="AA1054" s="7">
        <f>IF(ISBLANK(patch[[#This Row],[project]]), "",COUNTIFS($A:$A,patch[[#This Row],[number]],$S:$S, "FL And dev",$AD:$AD, "&lt;&gt;IntegratorValidationComment"))</f>
        <v>0</v>
      </c>
      <c r="AB1054" s="7">
        <f>IF(ISBLANK(patch[[#This Row],[project]]), "",COUNTIFS($A:$A,patch[[#This Row],[number]],$S:$S, "SH And dev",$AD:$AD, "&lt;&gt;IntegratorValidationComment"))</f>
        <v>0</v>
      </c>
      <c r="AC1054" s="7" t="str">
        <f>IF(OR(ISNUMBER(FIND("Review-1", patch[[#This Row],[comments]])), ISNUMBER(FIND("Approver-1", patch[[#This Row],[comments]]))), "Review-1", "")</f>
        <v/>
      </c>
      <c r="AD10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54" s="7" t="str">
        <f>IF(ISBLANK(patch[[#This Row],[number]]),AE1053,patch[[#This Row],[ifCommon]])</f>
        <v>not AndrHAL</v>
      </c>
    </row>
    <row r="1055" spans="1:31">
      <c r="A1055" s="151">
        <v>146269</v>
      </c>
      <c r="B1055" s="151"/>
      <c r="C1055" s="151"/>
      <c r="D1055" s="151"/>
      <c r="E1055" s="151"/>
      <c r="F1055" s="151"/>
      <c r="G1055" s="151"/>
      <c r="H1055" s="151"/>
      <c r="I1055" s="151"/>
      <c r="J1055" s="152">
        <v>42634.753321759257</v>
      </c>
      <c r="K1055" s="151"/>
      <c r="L1055" s="151" t="s">
        <v>63</v>
      </c>
      <c r="M1055" s="152">
        <v>42632.713495370372</v>
      </c>
      <c r="N1055" s="151" t="s">
        <v>25</v>
      </c>
      <c r="O1055" s="151"/>
      <c r="P1055" s="151"/>
      <c r="Q1055" s="7" t="str">
        <f>IF(ISBLANK(patch[[#This Row],[OwnerEmail]]),Q1054,patch[[#This Row],[OwnerEmail]])</f>
        <v>zongx.li@intel.com</v>
      </c>
      <c r="R1055" s="7" t="str">
        <f>_xlfn.IFNA(VLOOKUP(patch[[#This Row],[tmp-owner.email]],OrgTree!$A:$K, 11, 0), "not ICG SWFW")</f>
        <v>BJ And dev</v>
      </c>
      <c r="S1055" s="7" t="str">
        <f>IF(patch[[#This Row],[reviewer]]=patch[[#This Row],[tmp-owner.email]], "author", _xlfn.IFNA(VLOOKUP(patch[[#This Row],[reviewer]],OrgTree!$A:$K, 11, 0), "not ICG SWFW"))</f>
        <v>author</v>
      </c>
      <c r="T1055" s="7" t="str">
        <f>IF(ISBLANK(patch[[#This Row],[mergeDate]]), "", MID(YEAR(patch[[#This Row],[mergeDate]]), 3,2)&amp;"'ww"&amp;WEEKNUM(patch[[#This Row],[mergeDate]]))</f>
        <v>16'ww39</v>
      </c>
      <c r="U1055" s="7" t="str">
        <f>IF(ISBLANK(patch[[#This Row],[mergeDate]]), U1054, MID(YEAR(patch[[#This Row],[mergeDate]]), 3,2)&amp;"'m"&amp;MONTH(patch[[#This Row],[mergeDate]]))</f>
        <v>16'm9</v>
      </c>
      <c r="V1055" s="7" t="str">
        <f>IF(ISBLANK(patch[[#This Row],[project]]), "",SUM(patch[[#This Row],[BJ -1 num]:[SH -1 num]]))</f>
        <v/>
      </c>
      <c r="W1055" s="7" t="str">
        <f>IF(ISBLANK(patch[[#This Row],[project]]), "",COUNTIFS($A:$A,patch[[#This Row],[number]],$S:$S, "BJ And dev",$AC:$AC, "Review-1"))</f>
        <v/>
      </c>
      <c r="X1055" s="7" t="str">
        <f>IF(ISBLANK(patch[[#This Row],[project]]), "",COUNTIFS($A:$A,patch[[#This Row],[number]],$S:$S, "FL And dev",$AC:$AC, "Review-1"))</f>
        <v/>
      </c>
      <c r="Y1055" s="7" t="str">
        <f>IF(ISBLANK(patch[[#This Row],[project]]), "",COUNTIFS($A:$A,patch[[#This Row],[number]],$S:$S, "SH And dev",$AC:$AC, "Review-1"))</f>
        <v/>
      </c>
      <c r="Z1055" s="7" t="str">
        <f>IF(ISBLANK(patch[[#This Row],[project]]), "",COUNTIFS($A:$A,patch[[#This Row],[number]],$S:$S, "BJ And dev",$AD:$AD, "&lt;&gt;IntegratorValidationComment"))</f>
        <v/>
      </c>
      <c r="AA1055" s="7" t="str">
        <f>IF(ISBLANK(patch[[#This Row],[project]]), "",COUNTIFS($A:$A,patch[[#This Row],[number]],$S:$S, "FL And dev",$AD:$AD, "&lt;&gt;IntegratorValidationComment"))</f>
        <v/>
      </c>
      <c r="AB1055" s="7" t="str">
        <f>IF(ISBLANK(patch[[#This Row],[project]]), "",COUNTIFS($A:$A,patch[[#This Row],[number]],$S:$S, "SH And dev",$AD:$AD, "&lt;&gt;IntegratorValidationComment"))</f>
        <v/>
      </c>
      <c r="AC1055" s="7" t="str">
        <f>IF(OR(ISNUMBER(FIND("Review-1", patch[[#This Row],[comments]])), ISNUMBER(FIND("Approver-1", patch[[#This Row],[comments]]))), "Review-1", "")</f>
        <v/>
      </c>
      <c r="AD10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55" s="7">
        <f>IF(ISBLANK(patch[[#This Row],[number]]),AE1054,patch[[#This Row],[ifCommon]])</f>
        <v>0</v>
      </c>
    </row>
    <row r="1056" spans="1:31">
      <c r="A1056" s="151">
        <v>146269</v>
      </c>
      <c r="B1056" s="151"/>
      <c r="C1056" s="151"/>
      <c r="D1056" s="151"/>
      <c r="E1056" s="151"/>
      <c r="F1056" s="151"/>
      <c r="G1056" s="151"/>
      <c r="H1056" s="151"/>
      <c r="I1056" s="151"/>
      <c r="J1056" s="152">
        <v>42634.753321759257</v>
      </c>
      <c r="K1056" s="151"/>
      <c r="L1056" s="151" t="s">
        <v>59</v>
      </c>
      <c r="M1056" s="152">
        <v>42632.716990740737</v>
      </c>
      <c r="N1056" s="151" t="s">
        <v>3122</v>
      </c>
      <c r="O1056" s="151"/>
      <c r="P1056" s="151"/>
      <c r="Q1056" s="7" t="str">
        <f>IF(ISBLANK(patch[[#This Row],[OwnerEmail]]),Q1055,patch[[#This Row],[OwnerEmail]])</f>
        <v>zongx.li@intel.com</v>
      </c>
      <c r="R1056" s="7" t="str">
        <f>_xlfn.IFNA(VLOOKUP(patch[[#This Row],[tmp-owner.email]],OrgTree!$A:$K, 11, 0), "not ICG SWFW")</f>
        <v>BJ And dev</v>
      </c>
      <c r="S1056" s="7" t="str">
        <f>IF(patch[[#This Row],[reviewer]]=patch[[#This Row],[tmp-owner.email]], "author", _xlfn.IFNA(VLOOKUP(patch[[#This Row],[reviewer]],OrgTree!$A:$K, 11, 0), "not ICG SWFW"))</f>
        <v>BJ And dev</v>
      </c>
      <c r="T1056" s="7" t="str">
        <f>IF(ISBLANK(patch[[#This Row],[mergeDate]]), "", MID(YEAR(patch[[#This Row],[mergeDate]]), 3,2)&amp;"'ww"&amp;WEEKNUM(patch[[#This Row],[mergeDate]]))</f>
        <v>16'ww39</v>
      </c>
      <c r="U1056" s="7" t="str">
        <f>IF(ISBLANK(patch[[#This Row],[mergeDate]]), U1055, MID(YEAR(patch[[#This Row],[mergeDate]]), 3,2)&amp;"'m"&amp;MONTH(patch[[#This Row],[mergeDate]]))</f>
        <v>16'm9</v>
      </c>
      <c r="V1056" s="7" t="str">
        <f>IF(ISBLANK(patch[[#This Row],[project]]), "",SUM(patch[[#This Row],[BJ -1 num]:[SH -1 num]]))</f>
        <v/>
      </c>
      <c r="W1056" s="7" t="str">
        <f>IF(ISBLANK(patch[[#This Row],[project]]), "",COUNTIFS($A:$A,patch[[#This Row],[number]],$S:$S, "BJ And dev",$AC:$AC, "Review-1"))</f>
        <v/>
      </c>
      <c r="X1056" s="7" t="str">
        <f>IF(ISBLANK(patch[[#This Row],[project]]), "",COUNTIFS($A:$A,patch[[#This Row],[number]],$S:$S, "FL And dev",$AC:$AC, "Review-1"))</f>
        <v/>
      </c>
      <c r="Y1056" s="7" t="str">
        <f>IF(ISBLANK(patch[[#This Row],[project]]), "",COUNTIFS($A:$A,patch[[#This Row],[number]],$S:$S, "SH And dev",$AC:$AC, "Review-1"))</f>
        <v/>
      </c>
      <c r="Z1056" s="7" t="str">
        <f>IF(ISBLANK(patch[[#This Row],[project]]), "",COUNTIFS($A:$A,patch[[#This Row],[number]],$S:$S, "BJ And dev",$AD:$AD, "&lt;&gt;IntegratorValidationComment"))</f>
        <v/>
      </c>
      <c r="AA1056" s="7" t="str">
        <f>IF(ISBLANK(patch[[#This Row],[project]]), "",COUNTIFS($A:$A,patch[[#This Row],[number]],$S:$S, "FL And dev",$AD:$AD, "&lt;&gt;IntegratorValidationComment"))</f>
        <v/>
      </c>
      <c r="AB1056" s="7" t="str">
        <f>IF(ISBLANK(patch[[#This Row],[project]]), "",COUNTIFS($A:$A,patch[[#This Row],[number]],$S:$S, "SH And dev",$AD:$AD, "&lt;&gt;IntegratorValidationComment"))</f>
        <v/>
      </c>
      <c r="AC1056" s="7" t="str">
        <f>IF(OR(ISNUMBER(FIND("Review-1", patch[[#This Row],[comments]])), ISNUMBER(FIND("Approver-1", patch[[#This Row],[comments]]))), "Review-1", "")</f>
        <v/>
      </c>
      <c r="AD10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56" s="7">
        <f>IF(ISBLANK(patch[[#This Row],[number]]),AE1055,patch[[#This Row],[ifCommon]])</f>
        <v>0</v>
      </c>
    </row>
    <row r="1057" spans="1:31">
      <c r="A1057" s="151">
        <v>146269</v>
      </c>
      <c r="B1057" s="151"/>
      <c r="C1057" s="151"/>
      <c r="D1057" s="151"/>
      <c r="E1057" s="151"/>
      <c r="F1057" s="151"/>
      <c r="G1057" s="151"/>
      <c r="H1057" s="151"/>
      <c r="I1057" s="151"/>
      <c r="J1057" s="152">
        <v>42634.753321759257</v>
      </c>
      <c r="K1057" s="151"/>
      <c r="L1057" s="151" t="s">
        <v>59</v>
      </c>
      <c r="M1057" s="152">
        <v>42632.719768518517</v>
      </c>
      <c r="N1057" s="151" t="s">
        <v>3123</v>
      </c>
      <c r="O1057" s="151"/>
      <c r="P1057" s="151"/>
      <c r="Q1057" s="7" t="str">
        <f>IF(ISBLANK(patch[[#This Row],[OwnerEmail]]),Q1056,patch[[#This Row],[OwnerEmail]])</f>
        <v>zongx.li@intel.com</v>
      </c>
      <c r="R1057" s="7" t="str">
        <f>_xlfn.IFNA(VLOOKUP(patch[[#This Row],[tmp-owner.email]],OrgTree!$A:$K, 11, 0), "not ICG SWFW")</f>
        <v>BJ And dev</v>
      </c>
      <c r="S1057" s="7" t="str">
        <f>IF(patch[[#This Row],[reviewer]]=patch[[#This Row],[tmp-owner.email]], "author", _xlfn.IFNA(VLOOKUP(patch[[#This Row],[reviewer]],OrgTree!$A:$K, 11, 0), "not ICG SWFW"))</f>
        <v>BJ And dev</v>
      </c>
      <c r="T1057" s="7" t="str">
        <f>IF(ISBLANK(patch[[#This Row],[mergeDate]]), "", MID(YEAR(patch[[#This Row],[mergeDate]]), 3,2)&amp;"'ww"&amp;WEEKNUM(patch[[#This Row],[mergeDate]]))</f>
        <v>16'ww39</v>
      </c>
      <c r="U1057" s="7" t="str">
        <f>IF(ISBLANK(patch[[#This Row],[mergeDate]]), U1056, MID(YEAR(patch[[#This Row],[mergeDate]]), 3,2)&amp;"'m"&amp;MONTH(patch[[#This Row],[mergeDate]]))</f>
        <v>16'm9</v>
      </c>
      <c r="V1057" s="7" t="str">
        <f>IF(ISBLANK(patch[[#This Row],[project]]), "",SUM(patch[[#This Row],[BJ -1 num]:[SH -1 num]]))</f>
        <v/>
      </c>
      <c r="W1057" s="7" t="str">
        <f>IF(ISBLANK(patch[[#This Row],[project]]), "",COUNTIFS($A:$A,patch[[#This Row],[number]],$S:$S, "BJ And dev",$AC:$AC, "Review-1"))</f>
        <v/>
      </c>
      <c r="X1057" s="7" t="str">
        <f>IF(ISBLANK(patch[[#This Row],[project]]), "",COUNTIFS($A:$A,patch[[#This Row],[number]],$S:$S, "FL And dev",$AC:$AC, "Review-1"))</f>
        <v/>
      </c>
      <c r="Y1057" s="7" t="str">
        <f>IF(ISBLANK(patch[[#This Row],[project]]), "",COUNTIFS($A:$A,patch[[#This Row],[number]],$S:$S, "SH And dev",$AC:$AC, "Review-1"))</f>
        <v/>
      </c>
      <c r="Z1057" s="7" t="str">
        <f>IF(ISBLANK(patch[[#This Row],[project]]), "",COUNTIFS($A:$A,patch[[#This Row],[number]],$S:$S, "BJ And dev",$AD:$AD, "&lt;&gt;IntegratorValidationComment"))</f>
        <v/>
      </c>
      <c r="AA1057" s="7" t="str">
        <f>IF(ISBLANK(patch[[#This Row],[project]]), "",COUNTIFS($A:$A,patch[[#This Row],[number]],$S:$S, "FL And dev",$AD:$AD, "&lt;&gt;IntegratorValidationComment"))</f>
        <v/>
      </c>
      <c r="AB1057" s="7" t="str">
        <f>IF(ISBLANK(patch[[#This Row],[project]]), "",COUNTIFS($A:$A,patch[[#This Row],[number]],$S:$S, "SH And dev",$AD:$AD, "&lt;&gt;IntegratorValidationComment"))</f>
        <v/>
      </c>
      <c r="AC1057" s="7" t="str">
        <f>IF(OR(ISNUMBER(FIND("Review-1", patch[[#This Row],[comments]])), ISNUMBER(FIND("Approver-1", patch[[#This Row],[comments]]))), "Review-1", "")</f>
        <v/>
      </c>
      <c r="AD10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57" s="7">
        <f>IF(ISBLANK(patch[[#This Row],[number]]),AE1056,patch[[#This Row],[ifCommon]])</f>
        <v>0</v>
      </c>
    </row>
    <row r="1058" spans="1:31">
      <c r="A1058" s="151">
        <v>146269</v>
      </c>
      <c r="B1058" s="151"/>
      <c r="C1058" s="151"/>
      <c r="D1058" s="151"/>
      <c r="E1058" s="151"/>
      <c r="F1058" s="151"/>
      <c r="G1058" s="151"/>
      <c r="H1058" s="151"/>
      <c r="I1058" s="151"/>
      <c r="J1058" s="152">
        <v>42634.753321759257</v>
      </c>
      <c r="K1058" s="151"/>
      <c r="L1058" s="151" t="s">
        <v>63</v>
      </c>
      <c r="M1058" s="152">
        <v>42632.736168981479</v>
      </c>
      <c r="N1058" s="151" t="s">
        <v>2429</v>
      </c>
      <c r="O1058" s="151"/>
      <c r="P1058" s="151"/>
      <c r="Q1058" s="7" t="str">
        <f>IF(ISBLANK(patch[[#This Row],[OwnerEmail]]),Q1057,patch[[#This Row],[OwnerEmail]])</f>
        <v>zongx.li@intel.com</v>
      </c>
      <c r="R1058" s="7" t="str">
        <f>_xlfn.IFNA(VLOOKUP(patch[[#This Row],[tmp-owner.email]],OrgTree!$A:$K, 11, 0), "not ICG SWFW")</f>
        <v>BJ And dev</v>
      </c>
      <c r="S1058" s="7" t="str">
        <f>IF(patch[[#This Row],[reviewer]]=patch[[#This Row],[tmp-owner.email]], "author", _xlfn.IFNA(VLOOKUP(patch[[#This Row],[reviewer]],OrgTree!$A:$K, 11, 0), "not ICG SWFW"))</f>
        <v>author</v>
      </c>
      <c r="T1058" s="7" t="str">
        <f>IF(ISBLANK(patch[[#This Row],[mergeDate]]), "", MID(YEAR(patch[[#This Row],[mergeDate]]), 3,2)&amp;"'ww"&amp;WEEKNUM(patch[[#This Row],[mergeDate]]))</f>
        <v>16'ww39</v>
      </c>
      <c r="U1058" s="7" t="str">
        <f>IF(ISBLANK(patch[[#This Row],[mergeDate]]), U1057, MID(YEAR(patch[[#This Row],[mergeDate]]), 3,2)&amp;"'m"&amp;MONTH(patch[[#This Row],[mergeDate]]))</f>
        <v>16'm9</v>
      </c>
      <c r="V1058" s="7" t="str">
        <f>IF(ISBLANK(patch[[#This Row],[project]]), "",SUM(patch[[#This Row],[BJ -1 num]:[SH -1 num]]))</f>
        <v/>
      </c>
      <c r="W1058" s="7" t="str">
        <f>IF(ISBLANK(patch[[#This Row],[project]]), "",COUNTIFS($A:$A,patch[[#This Row],[number]],$S:$S, "BJ And dev",$AC:$AC, "Review-1"))</f>
        <v/>
      </c>
      <c r="X1058" s="7" t="str">
        <f>IF(ISBLANK(patch[[#This Row],[project]]), "",COUNTIFS($A:$A,patch[[#This Row],[number]],$S:$S, "FL And dev",$AC:$AC, "Review-1"))</f>
        <v/>
      </c>
      <c r="Y1058" s="7" t="str">
        <f>IF(ISBLANK(patch[[#This Row],[project]]), "",COUNTIFS($A:$A,patch[[#This Row],[number]],$S:$S, "SH And dev",$AC:$AC, "Review-1"))</f>
        <v/>
      </c>
      <c r="Z1058" s="7" t="str">
        <f>IF(ISBLANK(patch[[#This Row],[project]]), "",COUNTIFS($A:$A,patch[[#This Row],[number]],$S:$S, "BJ And dev",$AD:$AD, "&lt;&gt;IntegratorValidationComment"))</f>
        <v/>
      </c>
      <c r="AA1058" s="7" t="str">
        <f>IF(ISBLANK(patch[[#This Row],[project]]), "",COUNTIFS($A:$A,patch[[#This Row],[number]],$S:$S, "FL And dev",$AD:$AD, "&lt;&gt;IntegratorValidationComment"))</f>
        <v/>
      </c>
      <c r="AB1058" s="7" t="str">
        <f>IF(ISBLANK(patch[[#This Row],[project]]), "",COUNTIFS($A:$A,patch[[#This Row],[number]],$S:$S, "SH And dev",$AD:$AD, "&lt;&gt;IntegratorValidationComment"))</f>
        <v/>
      </c>
      <c r="AC1058" s="7" t="str">
        <f>IF(OR(ISNUMBER(FIND("Review-1", patch[[#This Row],[comments]])), ISNUMBER(FIND("Approver-1", patch[[#This Row],[comments]]))), "Review-1", "")</f>
        <v/>
      </c>
      <c r="AD10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58" s="7">
        <f>IF(ISBLANK(patch[[#This Row],[number]]),AE1057,patch[[#This Row],[ifCommon]])</f>
        <v>0</v>
      </c>
    </row>
    <row r="1059" spans="1:31">
      <c r="A1059" s="151">
        <v>146269</v>
      </c>
      <c r="B1059" s="151"/>
      <c r="C1059" s="151"/>
      <c r="D1059" s="151"/>
      <c r="E1059" s="151"/>
      <c r="F1059" s="151"/>
      <c r="G1059" s="151"/>
      <c r="H1059" s="151"/>
      <c r="I1059" s="151"/>
      <c r="J1059" s="152">
        <v>42634.753321759257</v>
      </c>
      <c r="K1059" s="151"/>
      <c r="L1059" s="151" t="s">
        <v>63</v>
      </c>
      <c r="M1059" s="152">
        <v>42632.736168981479</v>
      </c>
      <c r="N1059" s="151" t="s">
        <v>29</v>
      </c>
      <c r="O1059" s="151"/>
      <c r="P1059" s="151"/>
      <c r="Q1059" s="7" t="str">
        <f>IF(ISBLANK(patch[[#This Row],[OwnerEmail]]),Q1058,patch[[#This Row],[OwnerEmail]])</f>
        <v>zongx.li@intel.com</v>
      </c>
      <c r="R1059" s="7" t="str">
        <f>_xlfn.IFNA(VLOOKUP(patch[[#This Row],[tmp-owner.email]],OrgTree!$A:$K, 11, 0), "not ICG SWFW")</f>
        <v>BJ And dev</v>
      </c>
      <c r="S1059" s="7" t="str">
        <f>IF(patch[[#This Row],[reviewer]]=patch[[#This Row],[tmp-owner.email]], "author", _xlfn.IFNA(VLOOKUP(patch[[#This Row],[reviewer]],OrgTree!$A:$K, 11, 0), "not ICG SWFW"))</f>
        <v>author</v>
      </c>
      <c r="T1059" s="7" t="str">
        <f>IF(ISBLANK(patch[[#This Row],[mergeDate]]), "", MID(YEAR(patch[[#This Row],[mergeDate]]), 3,2)&amp;"'ww"&amp;WEEKNUM(patch[[#This Row],[mergeDate]]))</f>
        <v>16'ww39</v>
      </c>
      <c r="U1059" s="7" t="str">
        <f>IF(ISBLANK(patch[[#This Row],[mergeDate]]), U1058, MID(YEAR(patch[[#This Row],[mergeDate]]), 3,2)&amp;"'m"&amp;MONTH(patch[[#This Row],[mergeDate]]))</f>
        <v>16'm9</v>
      </c>
      <c r="V1059" s="7" t="str">
        <f>IF(ISBLANK(patch[[#This Row],[project]]), "",SUM(patch[[#This Row],[BJ -1 num]:[SH -1 num]]))</f>
        <v/>
      </c>
      <c r="W1059" s="7" t="str">
        <f>IF(ISBLANK(patch[[#This Row],[project]]), "",COUNTIFS($A:$A,patch[[#This Row],[number]],$S:$S, "BJ And dev",$AC:$AC, "Review-1"))</f>
        <v/>
      </c>
      <c r="X1059" s="7" t="str">
        <f>IF(ISBLANK(patch[[#This Row],[project]]), "",COUNTIFS($A:$A,patch[[#This Row],[number]],$S:$S, "FL And dev",$AC:$AC, "Review-1"))</f>
        <v/>
      </c>
      <c r="Y1059" s="7" t="str">
        <f>IF(ISBLANK(patch[[#This Row],[project]]), "",COUNTIFS($A:$A,patch[[#This Row],[number]],$S:$S, "SH And dev",$AC:$AC, "Review-1"))</f>
        <v/>
      </c>
      <c r="Z1059" s="7" t="str">
        <f>IF(ISBLANK(patch[[#This Row],[project]]), "",COUNTIFS($A:$A,patch[[#This Row],[number]],$S:$S, "BJ And dev",$AD:$AD, "&lt;&gt;IntegratorValidationComment"))</f>
        <v/>
      </c>
      <c r="AA1059" s="7" t="str">
        <f>IF(ISBLANK(patch[[#This Row],[project]]), "",COUNTIFS($A:$A,patch[[#This Row],[number]],$S:$S, "FL And dev",$AD:$AD, "&lt;&gt;IntegratorValidationComment"))</f>
        <v/>
      </c>
      <c r="AB1059" s="7" t="str">
        <f>IF(ISBLANK(patch[[#This Row],[project]]), "",COUNTIFS($A:$A,patch[[#This Row],[number]],$S:$S, "SH And dev",$AD:$AD, "&lt;&gt;IntegratorValidationComment"))</f>
        <v/>
      </c>
      <c r="AC1059" s="7" t="str">
        <f>IF(OR(ISNUMBER(FIND("Review-1", patch[[#This Row],[comments]])), ISNUMBER(FIND("Approver-1", patch[[#This Row],[comments]]))), "Review-1", "")</f>
        <v/>
      </c>
      <c r="AD10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59" s="7">
        <f>IF(ISBLANK(patch[[#This Row],[number]]),AE1058,patch[[#This Row],[ifCommon]])</f>
        <v>0</v>
      </c>
    </row>
    <row r="1060" spans="1:31">
      <c r="A1060" s="151">
        <v>146269</v>
      </c>
      <c r="B1060" s="151"/>
      <c r="C1060" s="151"/>
      <c r="D1060" s="151"/>
      <c r="E1060" s="151"/>
      <c r="F1060" s="151"/>
      <c r="G1060" s="151"/>
      <c r="H1060" s="151"/>
      <c r="I1060" s="151"/>
      <c r="J1060" s="152">
        <v>42634.753321759257</v>
      </c>
      <c r="K1060" s="151"/>
      <c r="L1060" s="151" t="s">
        <v>63</v>
      </c>
      <c r="M1060" s="152">
        <v>42632.737361111111</v>
      </c>
      <c r="N1060" s="151" t="s">
        <v>27</v>
      </c>
      <c r="O1060" s="151"/>
      <c r="P1060" s="151"/>
      <c r="Q1060" s="7" t="str">
        <f>IF(ISBLANK(patch[[#This Row],[OwnerEmail]]),Q1059,patch[[#This Row],[OwnerEmail]])</f>
        <v>zongx.li@intel.com</v>
      </c>
      <c r="R1060" s="7" t="str">
        <f>_xlfn.IFNA(VLOOKUP(patch[[#This Row],[tmp-owner.email]],OrgTree!$A:$K, 11, 0), "not ICG SWFW")</f>
        <v>BJ And dev</v>
      </c>
      <c r="S1060" s="7" t="str">
        <f>IF(patch[[#This Row],[reviewer]]=patch[[#This Row],[tmp-owner.email]], "author", _xlfn.IFNA(VLOOKUP(patch[[#This Row],[reviewer]],OrgTree!$A:$K, 11, 0), "not ICG SWFW"))</f>
        <v>author</v>
      </c>
      <c r="T1060" s="7" t="str">
        <f>IF(ISBLANK(patch[[#This Row],[mergeDate]]), "", MID(YEAR(patch[[#This Row],[mergeDate]]), 3,2)&amp;"'ww"&amp;WEEKNUM(patch[[#This Row],[mergeDate]]))</f>
        <v>16'ww39</v>
      </c>
      <c r="U1060" s="7" t="str">
        <f>IF(ISBLANK(patch[[#This Row],[mergeDate]]), U1059, MID(YEAR(patch[[#This Row],[mergeDate]]), 3,2)&amp;"'m"&amp;MONTH(patch[[#This Row],[mergeDate]]))</f>
        <v>16'm9</v>
      </c>
      <c r="V1060" s="7" t="str">
        <f>IF(ISBLANK(patch[[#This Row],[project]]), "",SUM(patch[[#This Row],[BJ -1 num]:[SH -1 num]]))</f>
        <v/>
      </c>
      <c r="W1060" s="7" t="str">
        <f>IF(ISBLANK(patch[[#This Row],[project]]), "",COUNTIFS($A:$A,patch[[#This Row],[number]],$S:$S, "BJ And dev",$AC:$AC, "Review-1"))</f>
        <v/>
      </c>
      <c r="X1060" s="7" t="str">
        <f>IF(ISBLANK(patch[[#This Row],[project]]), "",COUNTIFS($A:$A,patch[[#This Row],[number]],$S:$S, "FL And dev",$AC:$AC, "Review-1"))</f>
        <v/>
      </c>
      <c r="Y1060" s="7" t="str">
        <f>IF(ISBLANK(patch[[#This Row],[project]]), "",COUNTIFS($A:$A,patch[[#This Row],[number]],$S:$S, "SH And dev",$AC:$AC, "Review-1"))</f>
        <v/>
      </c>
      <c r="Z1060" s="7" t="str">
        <f>IF(ISBLANK(patch[[#This Row],[project]]), "",COUNTIFS($A:$A,patch[[#This Row],[number]],$S:$S, "BJ And dev",$AD:$AD, "&lt;&gt;IntegratorValidationComment"))</f>
        <v/>
      </c>
      <c r="AA1060" s="7" t="str">
        <f>IF(ISBLANK(patch[[#This Row],[project]]), "",COUNTIFS($A:$A,patch[[#This Row],[number]],$S:$S, "FL And dev",$AD:$AD, "&lt;&gt;IntegratorValidationComment"))</f>
        <v/>
      </c>
      <c r="AB1060" s="7" t="str">
        <f>IF(ISBLANK(patch[[#This Row],[project]]), "",COUNTIFS($A:$A,patch[[#This Row],[number]],$S:$S, "SH And dev",$AD:$AD, "&lt;&gt;IntegratorValidationComment"))</f>
        <v/>
      </c>
      <c r="AC1060" s="7" t="str">
        <f>IF(OR(ISNUMBER(FIND("Review-1", patch[[#This Row],[comments]])), ISNUMBER(FIND("Approver-1", patch[[#This Row],[comments]]))), "Review-1", "")</f>
        <v/>
      </c>
      <c r="AD10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60" s="7">
        <f>IF(ISBLANK(patch[[#This Row],[number]]),AE1059,patch[[#This Row],[ifCommon]])</f>
        <v>0</v>
      </c>
    </row>
    <row r="1061" spans="1:31">
      <c r="A1061" s="151">
        <v>146269</v>
      </c>
      <c r="B1061" s="151"/>
      <c r="C1061" s="151"/>
      <c r="D1061" s="151"/>
      <c r="E1061" s="151"/>
      <c r="F1061" s="151"/>
      <c r="G1061" s="151"/>
      <c r="H1061" s="151"/>
      <c r="I1061" s="151"/>
      <c r="J1061" s="152">
        <v>42634.753321759257</v>
      </c>
      <c r="K1061" s="151"/>
      <c r="L1061" s="151" t="s">
        <v>59</v>
      </c>
      <c r="M1061" s="152">
        <v>42632.744479166657</v>
      </c>
      <c r="N1061" s="151" t="s">
        <v>3124</v>
      </c>
      <c r="O1061" s="151"/>
      <c r="P1061" s="151"/>
      <c r="Q1061" s="7" t="str">
        <f>IF(ISBLANK(patch[[#This Row],[OwnerEmail]]),Q1060,patch[[#This Row],[OwnerEmail]])</f>
        <v>zongx.li@intel.com</v>
      </c>
      <c r="R1061" s="7" t="str">
        <f>_xlfn.IFNA(VLOOKUP(patch[[#This Row],[tmp-owner.email]],OrgTree!$A:$K, 11, 0), "not ICG SWFW")</f>
        <v>BJ And dev</v>
      </c>
      <c r="S1061" s="7" t="str">
        <f>IF(patch[[#This Row],[reviewer]]=patch[[#This Row],[tmp-owner.email]], "author", _xlfn.IFNA(VLOOKUP(patch[[#This Row],[reviewer]],OrgTree!$A:$K, 11, 0), "not ICG SWFW"))</f>
        <v>BJ And dev</v>
      </c>
      <c r="T1061" s="7" t="str">
        <f>IF(ISBLANK(patch[[#This Row],[mergeDate]]), "", MID(YEAR(patch[[#This Row],[mergeDate]]), 3,2)&amp;"'ww"&amp;WEEKNUM(patch[[#This Row],[mergeDate]]))</f>
        <v>16'ww39</v>
      </c>
      <c r="U1061" s="7" t="str">
        <f>IF(ISBLANK(patch[[#This Row],[mergeDate]]), U1060, MID(YEAR(patch[[#This Row],[mergeDate]]), 3,2)&amp;"'m"&amp;MONTH(patch[[#This Row],[mergeDate]]))</f>
        <v>16'm9</v>
      </c>
      <c r="V1061" s="7" t="str">
        <f>IF(ISBLANK(patch[[#This Row],[project]]), "",SUM(patch[[#This Row],[BJ -1 num]:[SH -1 num]]))</f>
        <v/>
      </c>
      <c r="W1061" s="7" t="str">
        <f>IF(ISBLANK(patch[[#This Row],[project]]), "",COUNTIFS($A:$A,patch[[#This Row],[number]],$S:$S, "BJ And dev",$AC:$AC, "Review-1"))</f>
        <v/>
      </c>
      <c r="X1061" s="7" t="str">
        <f>IF(ISBLANK(patch[[#This Row],[project]]), "",COUNTIFS($A:$A,patch[[#This Row],[number]],$S:$S, "FL And dev",$AC:$AC, "Review-1"))</f>
        <v/>
      </c>
      <c r="Y1061" s="7" t="str">
        <f>IF(ISBLANK(patch[[#This Row],[project]]), "",COUNTIFS($A:$A,patch[[#This Row],[number]],$S:$S, "SH And dev",$AC:$AC, "Review-1"))</f>
        <v/>
      </c>
      <c r="Z1061" s="7" t="str">
        <f>IF(ISBLANK(patch[[#This Row],[project]]), "",COUNTIFS($A:$A,patch[[#This Row],[number]],$S:$S, "BJ And dev",$AD:$AD, "&lt;&gt;IntegratorValidationComment"))</f>
        <v/>
      </c>
      <c r="AA1061" s="7" t="str">
        <f>IF(ISBLANK(patch[[#This Row],[project]]), "",COUNTIFS($A:$A,patch[[#This Row],[number]],$S:$S, "FL And dev",$AD:$AD, "&lt;&gt;IntegratorValidationComment"))</f>
        <v/>
      </c>
      <c r="AB1061" s="7" t="str">
        <f>IF(ISBLANK(patch[[#This Row],[project]]), "",COUNTIFS($A:$A,patch[[#This Row],[number]],$S:$S, "SH And dev",$AD:$AD, "&lt;&gt;IntegratorValidationComment"))</f>
        <v/>
      </c>
      <c r="AC1061" s="7" t="str">
        <f>IF(OR(ISNUMBER(FIND("Review-1", patch[[#This Row],[comments]])), ISNUMBER(FIND("Approver-1", patch[[#This Row],[comments]]))), "Review-1", "")</f>
        <v/>
      </c>
      <c r="AD10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61" s="7">
        <f>IF(ISBLANK(patch[[#This Row],[number]]),AE1060,patch[[#This Row],[ifCommon]])</f>
        <v>0</v>
      </c>
    </row>
    <row r="1062" spans="1:31">
      <c r="A1062" s="151">
        <v>146269</v>
      </c>
      <c r="B1062" s="151"/>
      <c r="C1062" s="151"/>
      <c r="D1062" s="151"/>
      <c r="E1062" s="151"/>
      <c r="F1062" s="151"/>
      <c r="G1062" s="151"/>
      <c r="H1062" s="151"/>
      <c r="I1062" s="151"/>
      <c r="J1062" s="152">
        <v>42634.753321759257</v>
      </c>
      <c r="K1062" s="151"/>
      <c r="L1062" s="151" t="s">
        <v>59</v>
      </c>
      <c r="M1062" s="152">
        <v>42632.747442129628</v>
      </c>
      <c r="N1062" s="151" t="s">
        <v>3125</v>
      </c>
      <c r="O1062" s="151"/>
      <c r="P1062" s="151"/>
      <c r="Q1062" s="7" t="str">
        <f>IF(ISBLANK(patch[[#This Row],[OwnerEmail]]),Q1061,patch[[#This Row],[OwnerEmail]])</f>
        <v>zongx.li@intel.com</v>
      </c>
      <c r="R1062" s="7" t="str">
        <f>_xlfn.IFNA(VLOOKUP(patch[[#This Row],[tmp-owner.email]],OrgTree!$A:$K, 11, 0), "not ICG SWFW")</f>
        <v>BJ And dev</v>
      </c>
      <c r="S1062" s="7" t="str">
        <f>IF(patch[[#This Row],[reviewer]]=patch[[#This Row],[tmp-owner.email]], "author", _xlfn.IFNA(VLOOKUP(patch[[#This Row],[reviewer]],OrgTree!$A:$K, 11, 0), "not ICG SWFW"))</f>
        <v>BJ And dev</v>
      </c>
      <c r="T1062" s="7" t="str">
        <f>IF(ISBLANK(patch[[#This Row],[mergeDate]]), "", MID(YEAR(patch[[#This Row],[mergeDate]]), 3,2)&amp;"'ww"&amp;WEEKNUM(patch[[#This Row],[mergeDate]]))</f>
        <v>16'ww39</v>
      </c>
      <c r="U1062" s="7" t="str">
        <f>IF(ISBLANK(patch[[#This Row],[mergeDate]]), U1061, MID(YEAR(patch[[#This Row],[mergeDate]]), 3,2)&amp;"'m"&amp;MONTH(patch[[#This Row],[mergeDate]]))</f>
        <v>16'm9</v>
      </c>
      <c r="V1062" s="7" t="str">
        <f>IF(ISBLANK(patch[[#This Row],[project]]), "",SUM(patch[[#This Row],[BJ -1 num]:[SH -1 num]]))</f>
        <v/>
      </c>
      <c r="W1062" s="7" t="str">
        <f>IF(ISBLANK(patch[[#This Row],[project]]), "",COUNTIFS($A:$A,patch[[#This Row],[number]],$S:$S, "BJ And dev",$AC:$AC, "Review-1"))</f>
        <v/>
      </c>
      <c r="X1062" s="7" t="str">
        <f>IF(ISBLANK(patch[[#This Row],[project]]), "",COUNTIFS($A:$A,patch[[#This Row],[number]],$S:$S, "FL And dev",$AC:$AC, "Review-1"))</f>
        <v/>
      </c>
      <c r="Y1062" s="7" t="str">
        <f>IF(ISBLANK(patch[[#This Row],[project]]), "",COUNTIFS($A:$A,patch[[#This Row],[number]],$S:$S, "SH And dev",$AC:$AC, "Review-1"))</f>
        <v/>
      </c>
      <c r="Z1062" s="7" t="str">
        <f>IF(ISBLANK(patch[[#This Row],[project]]), "",COUNTIFS($A:$A,patch[[#This Row],[number]],$S:$S, "BJ And dev",$AD:$AD, "&lt;&gt;IntegratorValidationComment"))</f>
        <v/>
      </c>
      <c r="AA1062" s="7" t="str">
        <f>IF(ISBLANK(patch[[#This Row],[project]]), "",COUNTIFS($A:$A,patch[[#This Row],[number]],$S:$S, "FL And dev",$AD:$AD, "&lt;&gt;IntegratorValidationComment"))</f>
        <v/>
      </c>
      <c r="AB1062" s="7" t="str">
        <f>IF(ISBLANK(patch[[#This Row],[project]]), "",COUNTIFS($A:$A,patch[[#This Row],[number]],$S:$S, "SH And dev",$AD:$AD, "&lt;&gt;IntegratorValidationComment"))</f>
        <v/>
      </c>
      <c r="AC1062" s="7" t="str">
        <f>IF(OR(ISNUMBER(FIND("Review-1", patch[[#This Row],[comments]])), ISNUMBER(FIND("Approver-1", patch[[#This Row],[comments]]))), "Review-1", "")</f>
        <v/>
      </c>
      <c r="AD10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62" s="7">
        <f>IF(ISBLANK(patch[[#This Row],[number]]),AE1061,patch[[#This Row],[ifCommon]])</f>
        <v>0</v>
      </c>
    </row>
    <row r="1063" spans="1:31">
      <c r="A1063" s="151">
        <v>146269</v>
      </c>
      <c r="B1063" s="151"/>
      <c r="C1063" s="151"/>
      <c r="D1063" s="151"/>
      <c r="E1063" s="151"/>
      <c r="F1063" s="151"/>
      <c r="G1063" s="151"/>
      <c r="H1063" s="151"/>
      <c r="I1063" s="151"/>
      <c r="J1063" s="152">
        <v>42634.753321759257</v>
      </c>
      <c r="K1063" s="151"/>
      <c r="L1063" s="151" t="s">
        <v>32</v>
      </c>
      <c r="M1063" s="152">
        <v>42632.911296296297</v>
      </c>
      <c r="N1063" s="151" t="s">
        <v>27</v>
      </c>
      <c r="O1063" s="151"/>
      <c r="P1063" s="151"/>
      <c r="Q1063" s="7" t="str">
        <f>IF(ISBLANK(patch[[#This Row],[OwnerEmail]]),Q1062,patch[[#This Row],[OwnerEmail]])</f>
        <v>zongx.li@intel.com</v>
      </c>
      <c r="R1063" s="7" t="str">
        <f>_xlfn.IFNA(VLOOKUP(patch[[#This Row],[tmp-owner.email]],OrgTree!$A:$K, 11, 0), "not ICG SWFW")</f>
        <v>BJ And dev</v>
      </c>
      <c r="S1063" s="7" t="str">
        <f>IF(patch[[#This Row],[reviewer]]=patch[[#This Row],[tmp-owner.email]], "author", _xlfn.IFNA(VLOOKUP(patch[[#This Row],[reviewer]],OrgTree!$A:$K, 11, 0), "not ICG SWFW"))</f>
        <v>BJ And dev</v>
      </c>
      <c r="T1063" s="7" t="str">
        <f>IF(ISBLANK(patch[[#This Row],[mergeDate]]), "", MID(YEAR(patch[[#This Row],[mergeDate]]), 3,2)&amp;"'ww"&amp;WEEKNUM(patch[[#This Row],[mergeDate]]))</f>
        <v>16'ww39</v>
      </c>
      <c r="U1063" s="7" t="str">
        <f>IF(ISBLANK(patch[[#This Row],[mergeDate]]), U1062, MID(YEAR(patch[[#This Row],[mergeDate]]), 3,2)&amp;"'m"&amp;MONTH(patch[[#This Row],[mergeDate]]))</f>
        <v>16'm9</v>
      </c>
      <c r="V1063" s="7" t="str">
        <f>IF(ISBLANK(patch[[#This Row],[project]]), "",SUM(patch[[#This Row],[BJ -1 num]:[SH -1 num]]))</f>
        <v/>
      </c>
      <c r="W1063" s="7" t="str">
        <f>IF(ISBLANK(patch[[#This Row],[project]]), "",COUNTIFS($A:$A,patch[[#This Row],[number]],$S:$S, "BJ And dev",$AC:$AC, "Review-1"))</f>
        <v/>
      </c>
      <c r="X1063" s="7" t="str">
        <f>IF(ISBLANK(patch[[#This Row],[project]]), "",COUNTIFS($A:$A,patch[[#This Row],[number]],$S:$S, "FL And dev",$AC:$AC, "Review-1"))</f>
        <v/>
      </c>
      <c r="Y1063" s="7" t="str">
        <f>IF(ISBLANK(patch[[#This Row],[project]]), "",COUNTIFS($A:$A,patch[[#This Row],[number]],$S:$S, "SH And dev",$AC:$AC, "Review-1"))</f>
        <v/>
      </c>
      <c r="Z1063" s="7" t="str">
        <f>IF(ISBLANK(patch[[#This Row],[project]]), "",COUNTIFS($A:$A,patch[[#This Row],[number]],$S:$S, "BJ And dev",$AD:$AD, "&lt;&gt;IntegratorValidationComment"))</f>
        <v/>
      </c>
      <c r="AA1063" s="7" t="str">
        <f>IF(ISBLANK(patch[[#This Row],[project]]), "",COUNTIFS($A:$A,patch[[#This Row],[number]],$S:$S, "FL And dev",$AD:$AD, "&lt;&gt;IntegratorValidationComment"))</f>
        <v/>
      </c>
      <c r="AB1063" s="7" t="str">
        <f>IF(ISBLANK(patch[[#This Row],[project]]), "",COUNTIFS($A:$A,patch[[#This Row],[number]],$S:$S, "SH And dev",$AD:$AD, "&lt;&gt;IntegratorValidationComment"))</f>
        <v/>
      </c>
      <c r="AC1063" s="7" t="str">
        <f>IF(OR(ISNUMBER(FIND("Review-1", patch[[#This Row],[comments]])), ISNUMBER(FIND("Approver-1", patch[[#This Row],[comments]]))), "Review-1", "")</f>
        <v/>
      </c>
      <c r="AD10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63" s="7">
        <f>IF(ISBLANK(patch[[#This Row],[number]]),AE1062,patch[[#This Row],[ifCommon]])</f>
        <v>0</v>
      </c>
    </row>
    <row r="1064" spans="1:31">
      <c r="A1064" s="151">
        <v>146269</v>
      </c>
      <c r="B1064" s="151"/>
      <c r="C1064" s="151"/>
      <c r="D1064" s="151"/>
      <c r="E1064" s="151"/>
      <c r="F1064" s="151"/>
      <c r="G1064" s="151"/>
      <c r="H1064" s="151"/>
      <c r="I1064" s="151"/>
      <c r="J1064" s="152">
        <v>42634.753321759257</v>
      </c>
      <c r="K1064" s="151"/>
      <c r="L1064" s="151" t="s">
        <v>59</v>
      </c>
      <c r="M1064" s="152">
        <v>42634.456759259258</v>
      </c>
      <c r="N1064" s="151" t="s">
        <v>1873</v>
      </c>
      <c r="O1064" s="151"/>
      <c r="P1064" s="151"/>
      <c r="Q1064" s="7" t="str">
        <f>IF(ISBLANK(patch[[#This Row],[OwnerEmail]]),Q1063,patch[[#This Row],[OwnerEmail]])</f>
        <v>zongx.li@intel.com</v>
      </c>
      <c r="R1064" s="7" t="str">
        <f>_xlfn.IFNA(VLOOKUP(patch[[#This Row],[tmp-owner.email]],OrgTree!$A:$K, 11, 0), "not ICG SWFW")</f>
        <v>BJ And dev</v>
      </c>
      <c r="S1064" s="7" t="str">
        <f>IF(patch[[#This Row],[reviewer]]=patch[[#This Row],[tmp-owner.email]], "author", _xlfn.IFNA(VLOOKUP(patch[[#This Row],[reviewer]],OrgTree!$A:$K, 11, 0), "not ICG SWFW"))</f>
        <v>BJ And dev</v>
      </c>
      <c r="T1064" s="7" t="str">
        <f>IF(ISBLANK(patch[[#This Row],[mergeDate]]), "", MID(YEAR(patch[[#This Row],[mergeDate]]), 3,2)&amp;"'ww"&amp;WEEKNUM(patch[[#This Row],[mergeDate]]))</f>
        <v>16'ww39</v>
      </c>
      <c r="U1064" s="7" t="str">
        <f>IF(ISBLANK(patch[[#This Row],[mergeDate]]), U1063, MID(YEAR(patch[[#This Row],[mergeDate]]), 3,2)&amp;"'m"&amp;MONTH(patch[[#This Row],[mergeDate]]))</f>
        <v>16'm9</v>
      </c>
      <c r="V1064" s="7" t="str">
        <f>IF(ISBLANK(patch[[#This Row],[project]]), "",SUM(patch[[#This Row],[BJ -1 num]:[SH -1 num]]))</f>
        <v/>
      </c>
      <c r="W1064" s="7" t="str">
        <f>IF(ISBLANK(patch[[#This Row],[project]]), "",COUNTIFS($A:$A,patch[[#This Row],[number]],$S:$S, "BJ And dev",$AC:$AC, "Review-1"))</f>
        <v/>
      </c>
      <c r="X1064" s="7" t="str">
        <f>IF(ISBLANK(patch[[#This Row],[project]]), "",COUNTIFS($A:$A,patch[[#This Row],[number]],$S:$S, "FL And dev",$AC:$AC, "Review-1"))</f>
        <v/>
      </c>
      <c r="Y1064" s="7" t="str">
        <f>IF(ISBLANK(patch[[#This Row],[project]]), "",COUNTIFS($A:$A,patch[[#This Row],[number]],$S:$S, "SH And dev",$AC:$AC, "Review-1"))</f>
        <v/>
      </c>
      <c r="Z1064" s="7" t="str">
        <f>IF(ISBLANK(patch[[#This Row],[project]]), "",COUNTIFS($A:$A,patch[[#This Row],[number]],$S:$S, "BJ And dev",$AD:$AD, "&lt;&gt;IntegratorValidationComment"))</f>
        <v/>
      </c>
      <c r="AA1064" s="7" t="str">
        <f>IF(ISBLANK(patch[[#This Row],[project]]), "",COUNTIFS($A:$A,patch[[#This Row],[number]],$S:$S, "FL And dev",$AD:$AD, "&lt;&gt;IntegratorValidationComment"))</f>
        <v/>
      </c>
      <c r="AB1064" s="7" t="str">
        <f>IF(ISBLANK(patch[[#This Row],[project]]), "",COUNTIFS($A:$A,patch[[#This Row],[number]],$S:$S, "SH And dev",$AD:$AD, "&lt;&gt;IntegratorValidationComment"))</f>
        <v/>
      </c>
      <c r="AC1064" s="7" t="str">
        <f>IF(OR(ISNUMBER(FIND("Review-1", patch[[#This Row],[comments]])), ISNUMBER(FIND("Approver-1", patch[[#This Row],[comments]]))), "Review-1", "")</f>
        <v/>
      </c>
      <c r="AD10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64" s="7">
        <f>IF(ISBLANK(patch[[#This Row],[number]]),AE1063,patch[[#This Row],[ifCommon]])</f>
        <v>0</v>
      </c>
    </row>
    <row r="1065" spans="1:31">
      <c r="A1065" s="151">
        <v>146269</v>
      </c>
      <c r="B1065" s="151"/>
      <c r="C1065" s="151"/>
      <c r="D1065" s="151"/>
      <c r="E1065" s="151"/>
      <c r="F1065" s="151"/>
      <c r="G1065" s="151"/>
      <c r="H1065" s="151"/>
      <c r="I1065" s="151"/>
      <c r="J1065" s="152">
        <v>42634.753321759257</v>
      </c>
      <c r="K1065" s="151"/>
      <c r="L1065" s="151" t="s">
        <v>115</v>
      </c>
      <c r="M1065" s="152">
        <v>42634.548576388886</v>
      </c>
      <c r="N1065" s="151" t="s">
        <v>2495</v>
      </c>
      <c r="O1065" s="151"/>
      <c r="P1065" s="151"/>
      <c r="Q1065" s="7" t="str">
        <f>IF(ISBLANK(patch[[#This Row],[OwnerEmail]]),Q1064,patch[[#This Row],[OwnerEmail]])</f>
        <v>zongx.li@intel.com</v>
      </c>
      <c r="R1065" s="7" t="str">
        <f>_xlfn.IFNA(VLOOKUP(patch[[#This Row],[tmp-owner.email]],OrgTree!$A:$K, 11, 0), "not ICG SWFW")</f>
        <v>BJ And dev</v>
      </c>
      <c r="S1065" s="7" t="str">
        <f>IF(patch[[#This Row],[reviewer]]=patch[[#This Row],[tmp-owner.email]], "author", _xlfn.IFNA(VLOOKUP(patch[[#This Row],[reviewer]],OrgTree!$A:$K, 11, 0), "not ICG SWFW"))</f>
        <v>Val</v>
      </c>
      <c r="T1065" s="7" t="str">
        <f>IF(ISBLANK(patch[[#This Row],[mergeDate]]), "", MID(YEAR(patch[[#This Row],[mergeDate]]), 3,2)&amp;"'ww"&amp;WEEKNUM(patch[[#This Row],[mergeDate]]))</f>
        <v>16'ww39</v>
      </c>
      <c r="U1065" s="7" t="str">
        <f>IF(ISBLANK(patch[[#This Row],[mergeDate]]), U1064, MID(YEAR(patch[[#This Row],[mergeDate]]), 3,2)&amp;"'m"&amp;MONTH(patch[[#This Row],[mergeDate]]))</f>
        <v>16'm9</v>
      </c>
      <c r="V1065" s="7" t="str">
        <f>IF(ISBLANK(patch[[#This Row],[project]]), "",SUM(patch[[#This Row],[BJ -1 num]:[SH -1 num]]))</f>
        <v/>
      </c>
      <c r="W1065" s="7" t="str">
        <f>IF(ISBLANK(patch[[#This Row],[project]]), "",COUNTIFS($A:$A,patch[[#This Row],[number]],$S:$S, "BJ And dev",$AC:$AC, "Review-1"))</f>
        <v/>
      </c>
      <c r="X1065" s="7" t="str">
        <f>IF(ISBLANK(patch[[#This Row],[project]]), "",COUNTIFS($A:$A,patch[[#This Row],[number]],$S:$S, "FL And dev",$AC:$AC, "Review-1"))</f>
        <v/>
      </c>
      <c r="Y1065" s="7" t="str">
        <f>IF(ISBLANK(patch[[#This Row],[project]]), "",COUNTIFS($A:$A,patch[[#This Row],[number]],$S:$S, "SH And dev",$AC:$AC, "Review-1"))</f>
        <v/>
      </c>
      <c r="Z1065" s="7" t="str">
        <f>IF(ISBLANK(patch[[#This Row],[project]]), "",COUNTIFS($A:$A,patch[[#This Row],[number]],$S:$S, "BJ And dev",$AD:$AD, "&lt;&gt;IntegratorValidationComment"))</f>
        <v/>
      </c>
      <c r="AA1065" s="7" t="str">
        <f>IF(ISBLANK(patch[[#This Row],[project]]), "",COUNTIFS($A:$A,patch[[#This Row],[number]],$S:$S, "FL And dev",$AD:$AD, "&lt;&gt;IntegratorValidationComment"))</f>
        <v/>
      </c>
      <c r="AB1065" s="7" t="str">
        <f>IF(ISBLANK(patch[[#This Row],[project]]), "",COUNTIFS($A:$A,patch[[#This Row],[number]],$S:$S, "SH And dev",$AD:$AD, "&lt;&gt;IntegratorValidationComment"))</f>
        <v/>
      </c>
      <c r="AC1065" s="7" t="str">
        <f>IF(OR(ISNUMBER(FIND("Review-1", patch[[#This Row],[comments]])), ISNUMBER(FIND("Approver-1", patch[[#This Row],[comments]]))), "Review-1", "")</f>
        <v/>
      </c>
      <c r="AD10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065" s="7">
        <f>IF(ISBLANK(patch[[#This Row],[number]]),AE1064,patch[[#This Row],[ifCommon]])</f>
        <v>0</v>
      </c>
    </row>
    <row r="1066" spans="1:31">
      <c r="A1066" s="151">
        <v>146835</v>
      </c>
      <c r="B1066" s="151" t="s">
        <v>2490</v>
      </c>
      <c r="C1066" s="151" t="s">
        <v>2491</v>
      </c>
      <c r="D1066" s="151" t="s">
        <v>2973</v>
      </c>
      <c r="E1066" s="151" t="s">
        <v>72</v>
      </c>
      <c r="F1066" s="151" t="s">
        <v>23</v>
      </c>
      <c r="G1066" s="151" t="s">
        <v>2974</v>
      </c>
      <c r="H1066" s="151" t="s">
        <v>2975</v>
      </c>
      <c r="I1066" s="152">
        <v>42634.382372685177</v>
      </c>
      <c r="J1066" s="152">
        <v>42634.752303240741</v>
      </c>
      <c r="K1066" s="151" t="s">
        <v>2445</v>
      </c>
      <c r="L1066" s="151" t="s">
        <v>72</v>
      </c>
      <c r="M1066" s="152">
        <v>42634.382372685177</v>
      </c>
      <c r="N1066" s="151" t="s">
        <v>2428</v>
      </c>
      <c r="O1066" s="151"/>
      <c r="P1066" s="151" t="s">
        <v>3126</v>
      </c>
      <c r="Q1066" s="7" t="str">
        <f>IF(ISBLANK(patch[[#This Row],[OwnerEmail]]),Q1065,patch[[#This Row],[OwnerEmail]])</f>
        <v>bin.b.yang@intel.com</v>
      </c>
      <c r="R1066" s="7" t="str">
        <f>_xlfn.IFNA(VLOOKUP(patch[[#This Row],[tmp-owner.email]],OrgTree!$A:$K, 11, 0), "not ICG SWFW")</f>
        <v>BJ And dev</v>
      </c>
      <c r="S1066" s="7" t="str">
        <f>IF(patch[[#This Row],[reviewer]]=patch[[#This Row],[tmp-owner.email]], "author", _xlfn.IFNA(VLOOKUP(patch[[#This Row],[reviewer]],OrgTree!$A:$K, 11, 0), "not ICG SWFW"))</f>
        <v>author</v>
      </c>
      <c r="T1066" s="7" t="str">
        <f>IF(ISBLANK(patch[[#This Row],[mergeDate]]), "", MID(YEAR(patch[[#This Row],[mergeDate]]), 3,2)&amp;"'ww"&amp;WEEKNUM(patch[[#This Row],[mergeDate]]))</f>
        <v>16'ww39</v>
      </c>
      <c r="U1066" s="7" t="str">
        <f>IF(ISBLANK(patch[[#This Row],[mergeDate]]), U1065, MID(YEAR(patch[[#This Row],[mergeDate]]), 3,2)&amp;"'m"&amp;MONTH(patch[[#This Row],[mergeDate]]))</f>
        <v>16'm9</v>
      </c>
      <c r="V1066" s="7">
        <f>IF(ISBLANK(patch[[#This Row],[project]]), "",SUM(patch[[#This Row],[BJ -1 num]:[SH -1 num]]))</f>
        <v>0</v>
      </c>
      <c r="W1066" s="7">
        <f>IF(ISBLANK(patch[[#This Row],[project]]), "",COUNTIFS($A:$A,patch[[#This Row],[number]],$S:$S, "BJ And dev",$AC:$AC, "Review-1"))</f>
        <v>0</v>
      </c>
      <c r="X1066" s="7">
        <f>IF(ISBLANK(patch[[#This Row],[project]]), "",COUNTIFS($A:$A,patch[[#This Row],[number]],$S:$S, "FL And dev",$AC:$AC, "Review-1"))</f>
        <v>0</v>
      </c>
      <c r="Y1066" s="7">
        <f>IF(ISBLANK(patch[[#This Row],[project]]), "",COUNTIFS($A:$A,patch[[#This Row],[number]],$S:$S, "SH And dev",$AC:$AC, "Review-1"))</f>
        <v>0</v>
      </c>
      <c r="Z1066" s="7">
        <f>IF(ISBLANK(patch[[#This Row],[project]]), "",COUNTIFS($A:$A,patch[[#This Row],[number]],$S:$S, "BJ And dev",$AD:$AD, "&lt;&gt;IntegratorValidationComment"))</f>
        <v>7</v>
      </c>
      <c r="AA1066" s="7">
        <f>IF(ISBLANK(patch[[#This Row],[project]]), "",COUNTIFS($A:$A,patch[[#This Row],[number]],$S:$S, "FL And dev",$AD:$AD, "&lt;&gt;IntegratorValidationComment"))</f>
        <v>0</v>
      </c>
      <c r="AB1066" s="7">
        <f>IF(ISBLANK(patch[[#This Row],[project]]), "",COUNTIFS($A:$A,patch[[#This Row],[number]],$S:$S, "SH And dev",$AD:$AD, "&lt;&gt;IntegratorValidationComment"))</f>
        <v>0</v>
      </c>
      <c r="AC1066" s="7" t="str">
        <f>IF(OR(ISNUMBER(FIND("Review-1", patch[[#This Row],[comments]])), ISNUMBER(FIND("Approver-1", patch[[#This Row],[comments]]))), "Review-1", "")</f>
        <v/>
      </c>
      <c r="AD10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66" s="7" t="str">
        <f>IF(ISBLANK(patch[[#This Row],[number]]),AE1065,patch[[#This Row],[ifCommon]])</f>
        <v>not AndrHAL</v>
      </c>
    </row>
    <row r="1067" spans="1:31">
      <c r="A1067" s="151">
        <v>146835</v>
      </c>
      <c r="B1067" s="151"/>
      <c r="C1067" s="151"/>
      <c r="D1067" s="151"/>
      <c r="E1067" s="151"/>
      <c r="F1067" s="151"/>
      <c r="G1067" s="151"/>
      <c r="H1067" s="151"/>
      <c r="I1067" s="151"/>
      <c r="J1067" s="152">
        <v>42634.752303240741</v>
      </c>
      <c r="K1067" s="151"/>
      <c r="L1067" s="151" t="s">
        <v>72</v>
      </c>
      <c r="M1067" s="152">
        <v>42634.382372685177</v>
      </c>
      <c r="N1067" s="151" t="s">
        <v>25</v>
      </c>
      <c r="O1067" s="151"/>
      <c r="P1067" s="151"/>
      <c r="Q1067" s="7" t="str">
        <f>IF(ISBLANK(patch[[#This Row],[OwnerEmail]]),Q1066,patch[[#This Row],[OwnerEmail]])</f>
        <v>bin.b.yang@intel.com</v>
      </c>
      <c r="R1067" s="7" t="str">
        <f>_xlfn.IFNA(VLOOKUP(patch[[#This Row],[tmp-owner.email]],OrgTree!$A:$K, 11, 0), "not ICG SWFW")</f>
        <v>BJ And dev</v>
      </c>
      <c r="S1067" s="7" t="str">
        <f>IF(patch[[#This Row],[reviewer]]=patch[[#This Row],[tmp-owner.email]], "author", _xlfn.IFNA(VLOOKUP(patch[[#This Row],[reviewer]],OrgTree!$A:$K, 11, 0), "not ICG SWFW"))</f>
        <v>author</v>
      </c>
      <c r="T1067" s="7" t="str">
        <f>IF(ISBLANK(patch[[#This Row],[mergeDate]]), "", MID(YEAR(patch[[#This Row],[mergeDate]]), 3,2)&amp;"'ww"&amp;WEEKNUM(patch[[#This Row],[mergeDate]]))</f>
        <v>16'ww39</v>
      </c>
      <c r="U1067" s="7" t="str">
        <f>IF(ISBLANK(patch[[#This Row],[mergeDate]]), U1066, MID(YEAR(patch[[#This Row],[mergeDate]]), 3,2)&amp;"'m"&amp;MONTH(patch[[#This Row],[mergeDate]]))</f>
        <v>16'm9</v>
      </c>
      <c r="V1067" s="7" t="str">
        <f>IF(ISBLANK(patch[[#This Row],[project]]), "",SUM(patch[[#This Row],[BJ -1 num]:[SH -1 num]]))</f>
        <v/>
      </c>
      <c r="W1067" s="7" t="str">
        <f>IF(ISBLANK(patch[[#This Row],[project]]), "",COUNTIFS($A:$A,patch[[#This Row],[number]],$S:$S, "BJ And dev",$AC:$AC, "Review-1"))</f>
        <v/>
      </c>
      <c r="X1067" s="7" t="str">
        <f>IF(ISBLANK(patch[[#This Row],[project]]), "",COUNTIFS($A:$A,patch[[#This Row],[number]],$S:$S, "FL And dev",$AC:$AC, "Review-1"))</f>
        <v/>
      </c>
      <c r="Y1067" s="7" t="str">
        <f>IF(ISBLANK(patch[[#This Row],[project]]), "",COUNTIFS($A:$A,patch[[#This Row],[number]],$S:$S, "SH And dev",$AC:$AC, "Review-1"))</f>
        <v/>
      </c>
      <c r="Z1067" s="7" t="str">
        <f>IF(ISBLANK(patch[[#This Row],[project]]), "",COUNTIFS($A:$A,patch[[#This Row],[number]],$S:$S, "BJ And dev",$AD:$AD, "&lt;&gt;IntegratorValidationComment"))</f>
        <v/>
      </c>
      <c r="AA1067" s="7" t="str">
        <f>IF(ISBLANK(patch[[#This Row],[project]]), "",COUNTIFS($A:$A,patch[[#This Row],[number]],$S:$S, "FL And dev",$AD:$AD, "&lt;&gt;IntegratorValidationComment"))</f>
        <v/>
      </c>
      <c r="AB1067" s="7" t="str">
        <f>IF(ISBLANK(patch[[#This Row],[project]]), "",COUNTIFS($A:$A,patch[[#This Row],[number]],$S:$S, "SH And dev",$AD:$AD, "&lt;&gt;IntegratorValidationComment"))</f>
        <v/>
      </c>
      <c r="AC1067" s="7" t="str">
        <f>IF(OR(ISNUMBER(FIND("Review-1", patch[[#This Row],[comments]])), ISNUMBER(FIND("Approver-1", patch[[#This Row],[comments]]))), "Review-1", "")</f>
        <v/>
      </c>
      <c r="AD10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67" s="7">
        <f>IF(ISBLANK(patch[[#This Row],[number]]),AE1066,patch[[#This Row],[ifCommon]])</f>
        <v>0</v>
      </c>
    </row>
    <row r="1068" spans="1:31">
      <c r="A1068" s="151">
        <v>146835</v>
      </c>
      <c r="B1068" s="151"/>
      <c r="C1068" s="151"/>
      <c r="D1068" s="151"/>
      <c r="E1068" s="151"/>
      <c r="F1068" s="151"/>
      <c r="G1068" s="151"/>
      <c r="H1068" s="151"/>
      <c r="I1068" s="152"/>
      <c r="J1068" s="152">
        <v>42634.752303240741</v>
      </c>
      <c r="K1068" s="151"/>
      <c r="L1068" s="151" t="s">
        <v>59</v>
      </c>
      <c r="M1068" s="152">
        <v>42634.389097222222</v>
      </c>
      <c r="N1068" s="151" t="s">
        <v>2757</v>
      </c>
      <c r="O1068" s="151"/>
      <c r="P1068" s="151"/>
      <c r="Q1068" s="7" t="str">
        <f>IF(ISBLANK(patch[[#This Row],[OwnerEmail]]),Q1067,patch[[#This Row],[OwnerEmail]])</f>
        <v>bin.b.yang@intel.com</v>
      </c>
      <c r="R1068" s="7" t="str">
        <f>_xlfn.IFNA(VLOOKUP(patch[[#This Row],[tmp-owner.email]],OrgTree!$A:$K, 11, 0), "not ICG SWFW")</f>
        <v>BJ And dev</v>
      </c>
      <c r="S1068" s="7" t="str">
        <f>IF(patch[[#This Row],[reviewer]]=patch[[#This Row],[tmp-owner.email]], "author", _xlfn.IFNA(VLOOKUP(patch[[#This Row],[reviewer]],OrgTree!$A:$K, 11, 0), "not ICG SWFW"))</f>
        <v>BJ And dev</v>
      </c>
      <c r="T1068" s="7" t="str">
        <f>IF(ISBLANK(patch[[#This Row],[mergeDate]]), "", MID(YEAR(patch[[#This Row],[mergeDate]]), 3,2)&amp;"'ww"&amp;WEEKNUM(patch[[#This Row],[mergeDate]]))</f>
        <v>16'ww39</v>
      </c>
      <c r="U1068" s="7" t="str">
        <f>IF(ISBLANK(patch[[#This Row],[mergeDate]]), U1067, MID(YEAR(patch[[#This Row],[mergeDate]]), 3,2)&amp;"'m"&amp;MONTH(patch[[#This Row],[mergeDate]]))</f>
        <v>16'm9</v>
      </c>
      <c r="V1068" s="7" t="str">
        <f>IF(ISBLANK(patch[[#This Row],[project]]), "",SUM(patch[[#This Row],[BJ -1 num]:[SH -1 num]]))</f>
        <v/>
      </c>
      <c r="W1068" s="7" t="str">
        <f>IF(ISBLANK(patch[[#This Row],[project]]), "",COUNTIFS($A:$A,patch[[#This Row],[number]],$S:$S, "BJ And dev",$AC:$AC, "Review-1"))</f>
        <v/>
      </c>
      <c r="X1068" s="7" t="str">
        <f>IF(ISBLANK(patch[[#This Row],[project]]), "",COUNTIFS($A:$A,patch[[#This Row],[number]],$S:$S, "FL And dev",$AC:$AC, "Review-1"))</f>
        <v/>
      </c>
      <c r="Y1068" s="7" t="str">
        <f>IF(ISBLANK(patch[[#This Row],[project]]), "",COUNTIFS($A:$A,patch[[#This Row],[number]],$S:$S, "SH And dev",$AC:$AC, "Review-1"))</f>
        <v/>
      </c>
      <c r="Z1068" s="7" t="str">
        <f>IF(ISBLANK(patch[[#This Row],[project]]), "",COUNTIFS($A:$A,patch[[#This Row],[number]],$S:$S, "BJ And dev",$AD:$AD, "&lt;&gt;IntegratorValidationComment"))</f>
        <v/>
      </c>
      <c r="AA1068" s="7" t="str">
        <f>IF(ISBLANK(patch[[#This Row],[project]]), "",COUNTIFS($A:$A,patch[[#This Row],[number]],$S:$S, "FL And dev",$AD:$AD, "&lt;&gt;IntegratorValidationComment"))</f>
        <v/>
      </c>
      <c r="AB1068" s="7" t="str">
        <f>IF(ISBLANK(patch[[#This Row],[project]]), "",COUNTIFS($A:$A,patch[[#This Row],[number]],$S:$S, "SH And dev",$AD:$AD, "&lt;&gt;IntegratorValidationComment"))</f>
        <v/>
      </c>
      <c r="AC1068" s="7" t="str">
        <f>IF(OR(ISNUMBER(FIND("Review-1", patch[[#This Row],[comments]])), ISNUMBER(FIND("Approver-1", patch[[#This Row],[comments]]))), "Review-1", "")</f>
        <v/>
      </c>
      <c r="AD10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68" s="7">
        <f>IF(ISBLANK(patch[[#This Row],[number]]),AE1067,patch[[#This Row],[ifCommon]])</f>
        <v>0</v>
      </c>
    </row>
    <row r="1069" spans="1:31">
      <c r="A1069" s="151">
        <v>146835</v>
      </c>
      <c r="B1069" s="151"/>
      <c r="C1069" s="151"/>
      <c r="D1069" s="151"/>
      <c r="E1069" s="151"/>
      <c r="F1069" s="151"/>
      <c r="G1069" s="151"/>
      <c r="H1069" s="151"/>
      <c r="I1069" s="151"/>
      <c r="J1069" s="152">
        <v>42634.752303240741</v>
      </c>
      <c r="K1069" s="151"/>
      <c r="L1069" s="151" t="s">
        <v>59</v>
      </c>
      <c r="M1069" s="152">
        <v>42634.390324074076</v>
      </c>
      <c r="N1069" s="151" t="s">
        <v>3127</v>
      </c>
      <c r="O1069" s="151"/>
      <c r="P1069" s="151"/>
      <c r="Q1069" s="7" t="str">
        <f>IF(ISBLANK(patch[[#This Row],[OwnerEmail]]),Q1068,patch[[#This Row],[OwnerEmail]])</f>
        <v>bin.b.yang@intel.com</v>
      </c>
      <c r="R1069" s="7" t="str">
        <f>_xlfn.IFNA(VLOOKUP(patch[[#This Row],[tmp-owner.email]],OrgTree!$A:$K, 11, 0), "not ICG SWFW")</f>
        <v>BJ And dev</v>
      </c>
      <c r="S1069" s="7" t="str">
        <f>IF(patch[[#This Row],[reviewer]]=patch[[#This Row],[tmp-owner.email]], "author", _xlfn.IFNA(VLOOKUP(patch[[#This Row],[reviewer]],OrgTree!$A:$K, 11, 0), "not ICG SWFW"))</f>
        <v>BJ And dev</v>
      </c>
      <c r="T1069" s="7" t="str">
        <f>IF(ISBLANK(patch[[#This Row],[mergeDate]]), "", MID(YEAR(patch[[#This Row],[mergeDate]]), 3,2)&amp;"'ww"&amp;WEEKNUM(patch[[#This Row],[mergeDate]]))</f>
        <v>16'ww39</v>
      </c>
      <c r="U1069" s="7" t="str">
        <f>IF(ISBLANK(patch[[#This Row],[mergeDate]]), U1068, MID(YEAR(patch[[#This Row],[mergeDate]]), 3,2)&amp;"'m"&amp;MONTH(patch[[#This Row],[mergeDate]]))</f>
        <v>16'm9</v>
      </c>
      <c r="V1069" s="7" t="str">
        <f>IF(ISBLANK(patch[[#This Row],[project]]), "",SUM(patch[[#This Row],[BJ -1 num]:[SH -1 num]]))</f>
        <v/>
      </c>
      <c r="W1069" s="7" t="str">
        <f>IF(ISBLANK(patch[[#This Row],[project]]), "",COUNTIFS($A:$A,patch[[#This Row],[number]],$S:$S, "BJ And dev",$AC:$AC, "Review-1"))</f>
        <v/>
      </c>
      <c r="X1069" s="7" t="str">
        <f>IF(ISBLANK(patch[[#This Row],[project]]), "",COUNTIFS($A:$A,patch[[#This Row],[number]],$S:$S, "FL And dev",$AC:$AC, "Review-1"))</f>
        <v/>
      </c>
      <c r="Y1069" s="7" t="str">
        <f>IF(ISBLANK(patch[[#This Row],[project]]), "",COUNTIFS($A:$A,patch[[#This Row],[number]],$S:$S, "SH And dev",$AC:$AC, "Review-1"))</f>
        <v/>
      </c>
      <c r="Z1069" s="7" t="str">
        <f>IF(ISBLANK(patch[[#This Row],[project]]), "",COUNTIFS($A:$A,patch[[#This Row],[number]],$S:$S, "BJ And dev",$AD:$AD, "&lt;&gt;IntegratorValidationComment"))</f>
        <v/>
      </c>
      <c r="AA1069" s="7" t="str">
        <f>IF(ISBLANK(patch[[#This Row],[project]]), "",COUNTIFS($A:$A,patch[[#This Row],[number]],$S:$S, "FL And dev",$AD:$AD, "&lt;&gt;IntegratorValidationComment"))</f>
        <v/>
      </c>
      <c r="AB1069" s="7" t="str">
        <f>IF(ISBLANK(patch[[#This Row],[project]]), "",COUNTIFS($A:$A,patch[[#This Row],[number]],$S:$S, "SH And dev",$AD:$AD, "&lt;&gt;IntegratorValidationComment"))</f>
        <v/>
      </c>
      <c r="AC1069" s="7" t="str">
        <f>IF(OR(ISNUMBER(FIND("Review-1", patch[[#This Row],[comments]])), ISNUMBER(FIND("Approver-1", patch[[#This Row],[comments]]))), "Review-1", "")</f>
        <v/>
      </c>
      <c r="AD10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69" s="7">
        <f>IF(ISBLANK(patch[[#This Row],[number]]),AE1068,patch[[#This Row],[ifCommon]])</f>
        <v>0</v>
      </c>
    </row>
    <row r="1070" spans="1:31">
      <c r="A1070" s="151">
        <v>146835</v>
      </c>
      <c r="B1070" s="151"/>
      <c r="C1070" s="151"/>
      <c r="D1070" s="151"/>
      <c r="E1070" s="151"/>
      <c r="F1070" s="151"/>
      <c r="G1070" s="151"/>
      <c r="H1070" s="151"/>
      <c r="I1070" s="151"/>
      <c r="J1070" s="152">
        <v>42634.752303240741</v>
      </c>
      <c r="K1070" s="151"/>
      <c r="L1070" s="151" t="s">
        <v>59</v>
      </c>
      <c r="M1070" s="152">
        <v>42634.392789351848</v>
      </c>
      <c r="N1070" s="151" t="s">
        <v>3128</v>
      </c>
      <c r="O1070" s="151"/>
      <c r="P1070" s="151"/>
      <c r="Q1070" s="7" t="str">
        <f>IF(ISBLANK(patch[[#This Row],[OwnerEmail]]),Q1069,patch[[#This Row],[OwnerEmail]])</f>
        <v>bin.b.yang@intel.com</v>
      </c>
      <c r="R1070" s="7" t="str">
        <f>_xlfn.IFNA(VLOOKUP(patch[[#This Row],[tmp-owner.email]],OrgTree!$A:$K, 11, 0), "not ICG SWFW")</f>
        <v>BJ And dev</v>
      </c>
      <c r="S1070" s="7" t="str">
        <f>IF(patch[[#This Row],[reviewer]]=patch[[#This Row],[tmp-owner.email]], "author", _xlfn.IFNA(VLOOKUP(patch[[#This Row],[reviewer]],OrgTree!$A:$K, 11, 0), "not ICG SWFW"))</f>
        <v>BJ And dev</v>
      </c>
      <c r="T1070" s="7" t="str">
        <f>IF(ISBLANK(patch[[#This Row],[mergeDate]]), "", MID(YEAR(patch[[#This Row],[mergeDate]]), 3,2)&amp;"'ww"&amp;WEEKNUM(patch[[#This Row],[mergeDate]]))</f>
        <v>16'ww39</v>
      </c>
      <c r="U1070" s="7" t="str">
        <f>IF(ISBLANK(patch[[#This Row],[mergeDate]]), U1069, MID(YEAR(patch[[#This Row],[mergeDate]]), 3,2)&amp;"'m"&amp;MONTH(patch[[#This Row],[mergeDate]]))</f>
        <v>16'm9</v>
      </c>
      <c r="V1070" s="7" t="str">
        <f>IF(ISBLANK(patch[[#This Row],[project]]), "",SUM(patch[[#This Row],[BJ -1 num]:[SH -1 num]]))</f>
        <v/>
      </c>
      <c r="W1070" s="7" t="str">
        <f>IF(ISBLANK(patch[[#This Row],[project]]), "",COUNTIFS($A:$A,patch[[#This Row],[number]],$S:$S, "BJ And dev",$AC:$AC, "Review-1"))</f>
        <v/>
      </c>
      <c r="X1070" s="7" t="str">
        <f>IF(ISBLANK(patch[[#This Row],[project]]), "",COUNTIFS($A:$A,patch[[#This Row],[number]],$S:$S, "FL And dev",$AC:$AC, "Review-1"))</f>
        <v/>
      </c>
      <c r="Y1070" s="7" t="str">
        <f>IF(ISBLANK(patch[[#This Row],[project]]), "",COUNTIFS($A:$A,patch[[#This Row],[number]],$S:$S, "SH And dev",$AC:$AC, "Review-1"))</f>
        <v/>
      </c>
      <c r="Z1070" s="7" t="str">
        <f>IF(ISBLANK(patch[[#This Row],[project]]), "",COUNTIFS($A:$A,patch[[#This Row],[number]],$S:$S, "BJ And dev",$AD:$AD, "&lt;&gt;IntegratorValidationComment"))</f>
        <v/>
      </c>
      <c r="AA1070" s="7" t="str">
        <f>IF(ISBLANK(patch[[#This Row],[project]]), "",COUNTIFS($A:$A,patch[[#This Row],[number]],$S:$S, "FL And dev",$AD:$AD, "&lt;&gt;IntegratorValidationComment"))</f>
        <v/>
      </c>
      <c r="AB1070" s="7" t="str">
        <f>IF(ISBLANK(patch[[#This Row],[project]]), "",COUNTIFS($A:$A,patch[[#This Row],[number]],$S:$S, "SH And dev",$AD:$AD, "&lt;&gt;IntegratorValidationComment"))</f>
        <v/>
      </c>
      <c r="AC1070" s="7" t="str">
        <f>IF(OR(ISNUMBER(FIND("Review-1", patch[[#This Row],[comments]])), ISNUMBER(FIND("Approver-1", patch[[#This Row],[comments]]))), "Review-1", "")</f>
        <v/>
      </c>
      <c r="AD10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70" s="7">
        <f>IF(ISBLANK(patch[[#This Row],[number]]),AE1069,patch[[#This Row],[ifCommon]])</f>
        <v>0</v>
      </c>
    </row>
    <row r="1071" spans="1:31">
      <c r="A1071" s="151">
        <v>146835</v>
      </c>
      <c r="B1071" s="151"/>
      <c r="C1071" s="151"/>
      <c r="D1071" s="151"/>
      <c r="E1071" s="151"/>
      <c r="F1071" s="151"/>
      <c r="G1071" s="151"/>
      <c r="H1071" s="151"/>
      <c r="I1071" s="151"/>
      <c r="J1071" s="152">
        <v>42634.752303240741</v>
      </c>
      <c r="K1071" s="151"/>
      <c r="L1071" s="151" t="s">
        <v>72</v>
      </c>
      <c r="M1071" s="152">
        <v>42634.432372685187</v>
      </c>
      <c r="N1071" s="151" t="s">
        <v>2429</v>
      </c>
      <c r="O1071" s="151"/>
      <c r="P1071" s="151"/>
      <c r="Q1071" s="7" t="str">
        <f>IF(ISBLANK(patch[[#This Row],[OwnerEmail]]),Q1070,patch[[#This Row],[OwnerEmail]])</f>
        <v>bin.b.yang@intel.com</v>
      </c>
      <c r="R1071" s="7" t="str">
        <f>_xlfn.IFNA(VLOOKUP(patch[[#This Row],[tmp-owner.email]],OrgTree!$A:$K, 11, 0), "not ICG SWFW")</f>
        <v>BJ And dev</v>
      </c>
      <c r="S1071" s="7" t="str">
        <f>IF(patch[[#This Row],[reviewer]]=patch[[#This Row],[tmp-owner.email]], "author", _xlfn.IFNA(VLOOKUP(patch[[#This Row],[reviewer]],OrgTree!$A:$K, 11, 0), "not ICG SWFW"))</f>
        <v>author</v>
      </c>
      <c r="T1071" s="7" t="str">
        <f>IF(ISBLANK(patch[[#This Row],[mergeDate]]), "", MID(YEAR(patch[[#This Row],[mergeDate]]), 3,2)&amp;"'ww"&amp;WEEKNUM(patch[[#This Row],[mergeDate]]))</f>
        <v>16'ww39</v>
      </c>
      <c r="U1071" s="7" t="str">
        <f>IF(ISBLANK(patch[[#This Row],[mergeDate]]), U1070, MID(YEAR(patch[[#This Row],[mergeDate]]), 3,2)&amp;"'m"&amp;MONTH(patch[[#This Row],[mergeDate]]))</f>
        <v>16'm9</v>
      </c>
      <c r="V1071" s="7" t="str">
        <f>IF(ISBLANK(patch[[#This Row],[project]]), "",SUM(patch[[#This Row],[BJ -1 num]:[SH -1 num]]))</f>
        <v/>
      </c>
      <c r="W1071" s="7" t="str">
        <f>IF(ISBLANK(patch[[#This Row],[project]]), "",COUNTIFS($A:$A,patch[[#This Row],[number]],$S:$S, "BJ And dev",$AC:$AC, "Review-1"))</f>
        <v/>
      </c>
      <c r="X1071" s="7" t="str">
        <f>IF(ISBLANK(patch[[#This Row],[project]]), "",COUNTIFS($A:$A,patch[[#This Row],[number]],$S:$S, "FL And dev",$AC:$AC, "Review-1"))</f>
        <v/>
      </c>
      <c r="Y1071" s="7" t="str">
        <f>IF(ISBLANK(patch[[#This Row],[project]]), "",COUNTIFS($A:$A,patch[[#This Row],[number]],$S:$S, "SH And dev",$AC:$AC, "Review-1"))</f>
        <v/>
      </c>
      <c r="Z1071" s="7" t="str">
        <f>IF(ISBLANK(patch[[#This Row],[project]]), "",COUNTIFS($A:$A,patch[[#This Row],[number]],$S:$S, "BJ And dev",$AD:$AD, "&lt;&gt;IntegratorValidationComment"))</f>
        <v/>
      </c>
      <c r="AA1071" s="7" t="str">
        <f>IF(ISBLANK(patch[[#This Row],[project]]), "",COUNTIFS($A:$A,patch[[#This Row],[number]],$S:$S, "FL And dev",$AD:$AD, "&lt;&gt;IntegratorValidationComment"))</f>
        <v/>
      </c>
      <c r="AB1071" s="7" t="str">
        <f>IF(ISBLANK(patch[[#This Row],[project]]), "",COUNTIFS($A:$A,patch[[#This Row],[number]],$S:$S, "SH And dev",$AD:$AD, "&lt;&gt;IntegratorValidationComment"))</f>
        <v/>
      </c>
      <c r="AC1071" s="7" t="str">
        <f>IF(OR(ISNUMBER(FIND("Review-1", patch[[#This Row],[comments]])), ISNUMBER(FIND("Approver-1", patch[[#This Row],[comments]]))), "Review-1", "")</f>
        <v/>
      </c>
      <c r="AD10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71" s="7">
        <f>IF(ISBLANK(patch[[#This Row],[number]]),AE1070,patch[[#This Row],[ifCommon]])</f>
        <v>0</v>
      </c>
    </row>
    <row r="1072" spans="1:31">
      <c r="A1072" s="151">
        <v>146835</v>
      </c>
      <c r="B1072" s="151"/>
      <c r="C1072" s="151"/>
      <c r="D1072" s="151"/>
      <c r="E1072" s="151"/>
      <c r="F1072" s="151"/>
      <c r="G1072" s="151"/>
      <c r="H1072" s="151"/>
      <c r="I1072" s="151"/>
      <c r="J1072" s="152">
        <v>42634.752303240741</v>
      </c>
      <c r="K1072" s="151"/>
      <c r="L1072" s="151" t="s">
        <v>72</v>
      </c>
      <c r="M1072" s="152">
        <v>42634.432372685187</v>
      </c>
      <c r="N1072" s="151" t="s">
        <v>65</v>
      </c>
      <c r="O1072" s="151"/>
      <c r="P1072" s="151"/>
      <c r="Q1072" s="7" t="str">
        <f>IF(ISBLANK(patch[[#This Row],[OwnerEmail]]),Q1071,patch[[#This Row],[OwnerEmail]])</f>
        <v>bin.b.yang@intel.com</v>
      </c>
      <c r="R1072" s="7" t="str">
        <f>_xlfn.IFNA(VLOOKUP(patch[[#This Row],[tmp-owner.email]],OrgTree!$A:$K, 11, 0), "not ICG SWFW")</f>
        <v>BJ And dev</v>
      </c>
      <c r="S1072" s="7" t="str">
        <f>IF(patch[[#This Row],[reviewer]]=patch[[#This Row],[tmp-owner.email]], "author", _xlfn.IFNA(VLOOKUP(patch[[#This Row],[reviewer]],OrgTree!$A:$K, 11, 0), "not ICG SWFW"))</f>
        <v>author</v>
      </c>
      <c r="T1072" s="7" t="str">
        <f>IF(ISBLANK(patch[[#This Row],[mergeDate]]), "", MID(YEAR(patch[[#This Row],[mergeDate]]), 3,2)&amp;"'ww"&amp;WEEKNUM(patch[[#This Row],[mergeDate]]))</f>
        <v>16'ww39</v>
      </c>
      <c r="U1072" s="7" t="str">
        <f>IF(ISBLANK(patch[[#This Row],[mergeDate]]), U1071, MID(YEAR(patch[[#This Row],[mergeDate]]), 3,2)&amp;"'m"&amp;MONTH(patch[[#This Row],[mergeDate]]))</f>
        <v>16'm9</v>
      </c>
      <c r="V1072" s="7" t="str">
        <f>IF(ISBLANK(patch[[#This Row],[project]]), "",SUM(patch[[#This Row],[BJ -1 num]:[SH -1 num]]))</f>
        <v/>
      </c>
      <c r="W1072" s="7" t="str">
        <f>IF(ISBLANK(patch[[#This Row],[project]]), "",COUNTIFS($A:$A,patch[[#This Row],[number]],$S:$S, "BJ And dev",$AC:$AC, "Review-1"))</f>
        <v/>
      </c>
      <c r="X1072" s="7" t="str">
        <f>IF(ISBLANK(patch[[#This Row],[project]]), "",COUNTIFS($A:$A,patch[[#This Row],[number]],$S:$S, "FL And dev",$AC:$AC, "Review-1"))</f>
        <v/>
      </c>
      <c r="Y1072" s="7" t="str">
        <f>IF(ISBLANK(patch[[#This Row],[project]]), "",COUNTIFS($A:$A,patch[[#This Row],[number]],$S:$S, "SH And dev",$AC:$AC, "Review-1"))</f>
        <v/>
      </c>
      <c r="Z1072" s="7" t="str">
        <f>IF(ISBLANK(patch[[#This Row],[project]]), "",COUNTIFS($A:$A,patch[[#This Row],[number]],$S:$S, "BJ And dev",$AD:$AD, "&lt;&gt;IntegratorValidationComment"))</f>
        <v/>
      </c>
      <c r="AA1072" s="7" t="str">
        <f>IF(ISBLANK(patch[[#This Row],[project]]), "",COUNTIFS($A:$A,patch[[#This Row],[number]],$S:$S, "FL And dev",$AD:$AD, "&lt;&gt;IntegratorValidationComment"))</f>
        <v/>
      </c>
      <c r="AB1072" s="7" t="str">
        <f>IF(ISBLANK(patch[[#This Row],[project]]), "",COUNTIFS($A:$A,patch[[#This Row],[number]],$S:$S, "SH And dev",$AD:$AD, "&lt;&gt;IntegratorValidationComment"))</f>
        <v/>
      </c>
      <c r="AC1072" s="7" t="str">
        <f>IF(OR(ISNUMBER(FIND("Review-1", patch[[#This Row],[comments]])), ISNUMBER(FIND("Approver-1", patch[[#This Row],[comments]]))), "Review-1", "")</f>
        <v/>
      </c>
      <c r="AD10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72" s="7">
        <f>IF(ISBLANK(patch[[#This Row],[number]]),AE1071,patch[[#This Row],[ifCommon]])</f>
        <v>0</v>
      </c>
    </row>
    <row r="1073" spans="1:31">
      <c r="A1073" s="151">
        <v>146835</v>
      </c>
      <c r="B1073" s="151"/>
      <c r="C1073" s="151"/>
      <c r="D1073" s="151"/>
      <c r="E1073" s="151"/>
      <c r="F1073" s="151"/>
      <c r="G1073" s="151"/>
      <c r="H1073" s="151"/>
      <c r="I1073" s="151"/>
      <c r="J1073" s="152">
        <v>42634.752303240741</v>
      </c>
      <c r="K1073" s="151"/>
      <c r="L1073" s="151" t="s">
        <v>24</v>
      </c>
      <c r="M1073" s="152">
        <v>42634.43681712963</v>
      </c>
      <c r="N1073" s="151" t="s">
        <v>1873</v>
      </c>
      <c r="O1073" s="151"/>
      <c r="P1073" s="151"/>
      <c r="Q1073" s="7" t="str">
        <f>IF(ISBLANK(patch[[#This Row],[OwnerEmail]]),Q1072,patch[[#This Row],[OwnerEmail]])</f>
        <v>bin.b.yang@intel.com</v>
      </c>
      <c r="R1073" s="7" t="str">
        <f>_xlfn.IFNA(VLOOKUP(patch[[#This Row],[tmp-owner.email]],OrgTree!$A:$K, 11, 0), "not ICG SWFW")</f>
        <v>BJ And dev</v>
      </c>
      <c r="S1073" s="7" t="str">
        <f>IF(patch[[#This Row],[reviewer]]=patch[[#This Row],[tmp-owner.email]], "author", _xlfn.IFNA(VLOOKUP(patch[[#This Row],[reviewer]],OrgTree!$A:$K, 11, 0), "not ICG SWFW"))</f>
        <v>BJ And dev</v>
      </c>
      <c r="T1073" s="7" t="str">
        <f>IF(ISBLANK(patch[[#This Row],[mergeDate]]), "", MID(YEAR(patch[[#This Row],[mergeDate]]), 3,2)&amp;"'ww"&amp;WEEKNUM(patch[[#This Row],[mergeDate]]))</f>
        <v>16'ww39</v>
      </c>
      <c r="U1073" s="7" t="str">
        <f>IF(ISBLANK(patch[[#This Row],[mergeDate]]), U1072, MID(YEAR(patch[[#This Row],[mergeDate]]), 3,2)&amp;"'m"&amp;MONTH(patch[[#This Row],[mergeDate]]))</f>
        <v>16'm9</v>
      </c>
      <c r="V1073" s="7" t="str">
        <f>IF(ISBLANK(patch[[#This Row],[project]]), "",SUM(patch[[#This Row],[BJ -1 num]:[SH -1 num]]))</f>
        <v/>
      </c>
      <c r="W1073" s="7" t="str">
        <f>IF(ISBLANK(patch[[#This Row],[project]]), "",COUNTIFS($A:$A,patch[[#This Row],[number]],$S:$S, "BJ And dev",$AC:$AC, "Review-1"))</f>
        <v/>
      </c>
      <c r="X1073" s="7" t="str">
        <f>IF(ISBLANK(patch[[#This Row],[project]]), "",COUNTIFS($A:$A,patch[[#This Row],[number]],$S:$S, "FL And dev",$AC:$AC, "Review-1"))</f>
        <v/>
      </c>
      <c r="Y1073" s="7" t="str">
        <f>IF(ISBLANK(patch[[#This Row],[project]]), "",COUNTIFS($A:$A,patch[[#This Row],[number]],$S:$S, "SH And dev",$AC:$AC, "Review-1"))</f>
        <v/>
      </c>
      <c r="Z1073" s="7" t="str">
        <f>IF(ISBLANK(patch[[#This Row],[project]]), "",COUNTIFS($A:$A,patch[[#This Row],[number]],$S:$S, "BJ And dev",$AD:$AD, "&lt;&gt;IntegratorValidationComment"))</f>
        <v/>
      </c>
      <c r="AA1073" s="7" t="str">
        <f>IF(ISBLANK(patch[[#This Row],[project]]), "",COUNTIFS($A:$A,patch[[#This Row],[number]],$S:$S, "FL And dev",$AD:$AD, "&lt;&gt;IntegratorValidationComment"))</f>
        <v/>
      </c>
      <c r="AB1073" s="7" t="str">
        <f>IF(ISBLANK(patch[[#This Row],[project]]), "",COUNTIFS($A:$A,patch[[#This Row],[number]],$S:$S, "SH And dev",$AD:$AD, "&lt;&gt;IntegratorValidationComment"))</f>
        <v/>
      </c>
      <c r="AC1073" s="7" t="str">
        <f>IF(OR(ISNUMBER(FIND("Review-1", patch[[#This Row],[comments]])), ISNUMBER(FIND("Approver-1", patch[[#This Row],[comments]]))), "Review-1", "")</f>
        <v/>
      </c>
      <c r="AD10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73" s="7">
        <f>IF(ISBLANK(patch[[#This Row],[number]]),AE1072,patch[[#This Row],[ifCommon]])</f>
        <v>0</v>
      </c>
    </row>
    <row r="1074" spans="1:31">
      <c r="A1074" s="151">
        <v>146835</v>
      </c>
      <c r="B1074" s="151"/>
      <c r="C1074" s="151"/>
      <c r="D1074" s="151"/>
      <c r="E1074" s="151"/>
      <c r="F1074" s="151"/>
      <c r="G1074" s="151"/>
      <c r="H1074" s="151"/>
      <c r="I1074" s="152"/>
      <c r="J1074" s="152">
        <v>42634.752303240741</v>
      </c>
      <c r="K1074" s="151"/>
      <c r="L1074" s="151" t="s">
        <v>72</v>
      </c>
      <c r="M1074" s="152">
        <v>42634.436886574083</v>
      </c>
      <c r="N1074" s="151" t="s">
        <v>27</v>
      </c>
      <c r="O1074" s="151"/>
      <c r="P1074" s="151"/>
      <c r="Q1074" s="7" t="str">
        <f>IF(ISBLANK(patch[[#This Row],[OwnerEmail]]),Q1073,patch[[#This Row],[OwnerEmail]])</f>
        <v>bin.b.yang@intel.com</v>
      </c>
      <c r="R1074" s="7" t="str">
        <f>_xlfn.IFNA(VLOOKUP(patch[[#This Row],[tmp-owner.email]],OrgTree!$A:$K, 11, 0), "not ICG SWFW")</f>
        <v>BJ And dev</v>
      </c>
      <c r="S1074" s="7" t="str">
        <f>IF(patch[[#This Row],[reviewer]]=patch[[#This Row],[tmp-owner.email]], "author", _xlfn.IFNA(VLOOKUP(patch[[#This Row],[reviewer]],OrgTree!$A:$K, 11, 0), "not ICG SWFW"))</f>
        <v>author</v>
      </c>
      <c r="T1074" s="7" t="str">
        <f>IF(ISBLANK(patch[[#This Row],[mergeDate]]), "", MID(YEAR(patch[[#This Row],[mergeDate]]), 3,2)&amp;"'ww"&amp;WEEKNUM(patch[[#This Row],[mergeDate]]))</f>
        <v>16'ww39</v>
      </c>
      <c r="U1074" s="7" t="str">
        <f>IF(ISBLANK(patch[[#This Row],[mergeDate]]), U1073, MID(YEAR(patch[[#This Row],[mergeDate]]), 3,2)&amp;"'m"&amp;MONTH(patch[[#This Row],[mergeDate]]))</f>
        <v>16'm9</v>
      </c>
      <c r="V1074" s="7" t="str">
        <f>IF(ISBLANK(patch[[#This Row],[project]]), "",SUM(patch[[#This Row],[BJ -1 num]:[SH -1 num]]))</f>
        <v/>
      </c>
      <c r="W1074" s="7" t="str">
        <f>IF(ISBLANK(patch[[#This Row],[project]]), "",COUNTIFS($A:$A,patch[[#This Row],[number]],$S:$S, "BJ And dev",$AC:$AC, "Review-1"))</f>
        <v/>
      </c>
      <c r="X1074" s="7" t="str">
        <f>IF(ISBLANK(patch[[#This Row],[project]]), "",COUNTIFS($A:$A,patch[[#This Row],[number]],$S:$S, "FL And dev",$AC:$AC, "Review-1"))</f>
        <v/>
      </c>
      <c r="Y1074" s="7" t="str">
        <f>IF(ISBLANK(patch[[#This Row],[project]]), "",COUNTIFS($A:$A,patch[[#This Row],[number]],$S:$S, "SH And dev",$AC:$AC, "Review-1"))</f>
        <v/>
      </c>
      <c r="Z1074" s="7" t="str">
        <f>IF(ISBLANK(patch[[#This Row],[project]]), "",COUNTIFS($A:$A,patch[[#This Row],[number]],$S:$S, "BJ And dev",$AD:$AD, "&lt;&gt;IntegratorValidationComment"))</f>
        <v/>
      </c>
      <c r="AA1074" s="7" t="str">
        <f>IF(ISBLANK(patch[[#This Row],[project]]), "",COUNTIFS($A:$A,patch[[#This Row],[number]],$S:$S, "FL And dev",$AD:$AD, "&lt;&gt;IntegratorValidationComment"))</f>
        <v/>
      </c>
      <c r="AB1074" s="7" t="str">
        <f>IF(ISBLANK(patch[[#This Row],[project]]), "",COUNTIFS($A:$A,patch[[#This Row],[number]],$S:$S, "SH And dev",$AD:$AD, "&lt;&gt;IntegratorValidationComment"))</f>
        <v/>
      </c>
      <c r="AC1074" s="7" t="str">
        <f>IF(OR(ISNUMBER(FIND("Review-1", patch[[#This Row],[comments]])), ISNUMBER(FIND("Approver-1", patch[[#This Row],[comments]]))), "Review-1", "")</f>
        <v/>
      </c>
      <c r="AD10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74" s="7">
        <f>IF(ISBLANK(patch[[#This Row],[number]]),AE1073,patch[[#This Row],[ifCommon]])</f>
        <v>0</v>
      </c>
    </row>
    <row r="1075" spans="1:31">
      <c r="A1075" s="151">
        <v>146835</v>
      </c>
      <c r="B1075" s="151"/>
      <c r="C1075" s="151"/>
      <c r="D1075" s="151"/>
      <c r="E1075" s="151"/>
      <c r="F1075" s="151"/>
      <c r="G1075" s="151"/>
      <c r="H1075" s="151"/>
      <c r="I1075" s="151"/>
      <c r="J1075" s="152">
        <v>42634.752303240741</v>
      </c>
      <c r="K1075" s="151"/>
      <c r="L1075" s="151" t="s">
        <v>59</v>
      </c>
      <c r="M1075" s="152">
        <v>42634.438923611109</v>
      </c>
      <c r="N1075" s="151" t="s">
        <v>3129</v>
      </c>
      <c r="O1075" s="151"/>
      <c r="P1075" s="151"/>
      <c r="Q1075" s="7" t="str">
        <f>IF(ISBLANK(patch[[#This Row],[OwnerEmail]]),Q1074,patch[[#This Row],[OwnerEmail]])</f>
        <v>bin.b.yang@intel.com</v>
      </c>
      <c r="R1075" s="7" t="str">
        <f>_xlfn.IFNA(VLOOKUP(patch[[#This Row],[tmp-owner.email]],OrgTree!$A:$K, 11, 0), "not ICG SWFW")</f>
        <v>BJ And dev</v>
      </c>
      <c r="S1075" s="7" t="str">
        <f>IF(patch[[#This Row],[reviewer]]=patch[[#This Row],[tmp-owner.email]], "author", _xlfn.IFNA(VLOOKUP(patch[[#This Row],[reviewer]],OrgTree!$A:$K, 11, 0), "not ICG SWFW"))</f>
        <v>BJ And dev</v>
      </c>
      <c r="T1075" s="7" t="str">
        <f>IF(ISBLANK(patch[[#This Row],[mergeDate]]), "", MID(YEAR(patch[[#This Row],[mergeDate]]), 3,2)&amp;"'ww"&amp;WEEKNUM(patch[[#This Row],[mergeDate]]))</f>
        <v>16'ww39</v>
      </c>
      <c r="U1075" s="7" t="str">
        <f>IF(ISBLANK(patch[[#This Row],[mergeDate]]), U1074, MID(YEAR(patch[[#This Row],[mergeDate]]), 3,2)&amp;"'m"&amp;MONTH(patch[[#This Row],[mergeDate]]))</f>
        <v>16'm9</v>
      </c>
      <c r="V1075" s="7" t="str">
        <f>IF(ISBLANK(patch[[#This Row],[project]]), "",SUM(patch[[#This Row],[BJ -1 num]:[SH -1 num]]))</f>
        <v/>
      </c>
      <c r="W1075" s="7" t="str">
        <f>IF(ISBLANK(patch[[#This Row],[project]]), "",COUNTIFS($A:$A,patch[[#This Row],[number]],$S:$S, "BJ And dev",$AC:$AC, "Review-1"))</f>
        <v/>
      </c>
      <c r="X1075" s="7" t="str">
        <f>IF(ISBLANK(patch[[#This Row],[project]]), "",COUNTIFS($A:$A,patch[[#This Row],[number]],$S:$S, "FL And dev",$AC:$AC, "Review-1"))</f>
        <v/>
      </c>
      <c r="Y1075" s="7" t="str">
        <f>IF(ISBLANK(patch[[#This Row],[project]]), "",COUNTIFS($A:$A,patch[[#This Row],[number]],$S:$S, "SH And dev",$AC:$AC, "Review-1"))</f>
        <v/>
      </c>
      <c r="Z1075" s="7" t="str">
        <f>IF(ISBLANK(patch[[#This Row],[project]]), "",COUNTIFS($A:$A,patch[[#This Row],[number]],$S:$S, "BJ And dev",$AD:$AD, "&lt;&gt;IntegratorValidationComment"))</f>
        <v/>
      </c>
      <c r="AA1075" s="7" t="str">
        <f>IF(ISBLANK(patch[[#This Row],[project]]), "",COUNTIFS($A:$A,patch[[#This Row],[number]],$S:$S, "FL And dev",$AD:$AD, "&lt;&gt;IntegratorValidationComment"))</f>
        <v/>
      </c>
      <c r="AB1075" s="7" t="str">
        <f>IF(ISBLANK(patch[[#This Row],[project]]), "",COUNTIFS($A:$A,patch[[#This Row],[number]],$S:$S, "SH And dev",$AD:$AD, "&lt;&gt;IntegratorValidationComment"))</f>
        <v/>
      </c>
      <c r="AC1075" s="7" t="str">
        <f>IF(OR(ISNUMBER(FIND("Review-1", patch[[#This Row],[comments]])), ISNUMBER(FIND("Approver-1", patch[[#This Row],[comments]]))), "Review-1", "")</f>
        <v/>
      </c>
      <c r="AD10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75" s="7">
        <f>IF(ISBLANK(patch[[#This Row],[number]]),AE1074,patch[[#This Row],[ifCommon]])</f>
        <v>0</v>
      </c>
    </row>
    <row r="1076" spans="1:31">
      <c r="A1076" s="151">
        <v>146835</v>
      </c>
      <c r="B1076" s="151"/>
      <c r="C1076" s="151"/>
      <c r="D1076" s="151"/>
      <c r="E1076" s="151"/>
      <c r="F1076" s="151"/>
      <c r="G1076" s="151"/>
      <c r="H1076" s="151"/>
      <c r="I1076" s="151"/>
      <c r="J1076" s="152">
        <v>42634.752303240741</v>
      </c>
      <c r="K1076" s="151"/>
      <c r="L1076" s="151" t="s">
        <v>59</v>
      </c>
      <c r="M1076" s="152">
        <v>42634.441342592603</v>
      </c>
      <c r="N1076" s="151" t="s">
        <v>3130</v>
      </c>
      <c r="O1076" s="151"/>
      <c r="P1076" s="151"/>
      <c r="Q1076" s="7" t="str">
        <f>IF(ISBLANK(patch[[#This Row],[OwnerEmail]]),Q1075,patch[[#This Row],[OwnerEmail]])</f>
        <v>bin.b.yang@intel.com</v>
      </c>
      <c r="R1076" s="7" t="str">
        <f>_xlfn.IFNA(VLOOKUP(patch[[#This Row],[tmp-owner.email]],OrgTree!$A:$K, 11, 0), "not ICG SWFW")</f>
        <v>BJ And dev</v>
      </c>
      <c r="S1076" s="7" t="str">
        <f>IF(patch[[#This Row],[reviewer]]=patch[[#This Row],[tmp-owner.email]], "author", _xlfn.IFNA(VLOOKUP(patch[[#This Row],[reviewer]],OrgTree!$A:$K, 11, 0), "not ICG SWFW"))</f>
        <v>BJ And dev</v>
      </c>
      <c r="T1076" s="7" t="str">
        <f>IF(ISBLANK(patch[[#This Row],[mergeDate]]), "", MID(YEAR(patch[[#This Row],[mergeDate]]), 3,2)&amp;"'ww"&amp;WEEKNUM(patch[[#This Row],[mergeDate]]))</f>
        <v>16'ww39</v>
      </c>
      <c r="U1076" s="7" t="str">
        <f>IF(ISBLANK(patch[[#This Row],[mergeDate]]), U1075, MID(YEAR(patch[[#This Row],[mergeDate]]), 3,2)&amp;"'m"&amp;MONTH(patch[[#This Row],[mergeDate]]))</f>
        <v>16'm9</v>
      </c>
      <c r="V1076" s="7" t="str">
        <f>IF(ISBLANK(patch[[#This Row],[project]]), "",SUM(patch[[#This Row],[BJ -1 num]:[SH -1 num]]))</f>
        <v/>
      </c>
      <c r="W1076" s="7" t="str">
        <f>IF(ISBLANK(patch[[#This Row],[project]]), "",COUNTIFS($A:$A,patch[[#This Row],[number]],$S:$S, "BJ And dev",$AC:$AC, "Review-1"))</f>
        <v/>
      </c>
      <c r="X1076" s="7" t="str">
        <f>IF(ISBLANK(patch[[#This Row],[project]]), "",COUNTIFS($A:$A,patch[[#This Row],[number]],$S:$S, "FL And dev",$AC:$AC, "Review-1"))</f>
        <v/>
      </c>
      <c r="Y1076" s="7" t="str">
        <f>IF(ISBLANK(patch[[#This Row],[project]]), "",COUNTIFS($A:$A,patch[[#This Row],[number]],$S:$S, "SH And dev",$AC:$AC, "Review-1"))</f>
        <v/>
      </c>
      <c r="Z1076" s="7" t="str">
        <f>IF(ISBLANK(patch[[#This Row],[project]]), "",COUNTIFS($A:$A,patch[[#This Row],[number]],$S:$S, "BJ And dev",$AD:$AD, "&lt;&gt;IntegratorValidationComment"))</f>
        <v/>
      </c>
      <c r="AA1076" s="7" t="str">
        <f>IF(ISBLANK(patch[[#This Row],[project]]), "",COUNTIFS($A:$A,patch[[#This Row],[number]],$S:$S, "FL And dev",$AD:$AD, "&lt;&gt;IntegratorValidationComment"))</f>
        <v/>
      </c>
      <c r="AB1076" s="7" t="str">
        <f>IF(ISBLANK(patch[[#This Row],[project]]), "",COUNTIFS($A:$A,patch[[#This Row],[number]],$S:$S, "SH And dev",$AD:$AD, "&lt;&gt;IntegratorValidationComment"))</f>
        <v/>
      </c>
      <c r="AC1076" s="7" t="str">
        <f>IF(OR(ISNUMBER(FIND("Review-1", patch[[#This Row],[comments]])), ISNUMBER(FIND("Approver-1", patch[[#This Row],[comments]]))), "Review-1", "")</f>
        <v/>
      </c>
      <c r="AD10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76" s="7">
        <f>IF(ISBLANK(patch[[#This Row],[number]]),AE1075,patch[[#This Row],[ifCommon]])</f>
        <v>0</v>
      </c>
    </row>
    <row r="1077" spans="1:31">
      <c r="A1077" s="151">
        <v>146835</v>
      </c>
      <c r="B1077" s="151"/>
      <c r="C1077" s="151"/>
      <c r="D1077" s="151"/>
      <c r="E1077" s="151"/>
      <c r="F1077" s="151"/>
      <c r="G1077" s="151"/>
      <c r="H1077" s="151"/>
      <c r="I1077" s="151"/>
      <c r="J1077" s="152">
        <v>42634.752303240741</v>
      </c>
      <c r="K1077" s="151"/>
      <c r="L1077" s="151" t="s">
        <v>1203</v>
      </c>
      <c r="M1077" s="152">
        <v>42634.442314814813</v>
      </c>
      <c r="N1077" s="151" t="s">
        <v>27</v>
      </c>
      <c r="O1077" s="151"/>
      <c r="P1077" s="151"/>
      <c r="Q1077" s="7" t="str">
        <f>IF(ISBLANK(patch[[#This Row],[OwnerEmail]]),Q1076,patch[[#This Row],[OwnerEmail]])</f>
        <v>bin.b.yang@intel.com</v>
      </c>
      <c r="R1077" s="7" t="str">
        <f>_xlfn.IFNA(VLOOKUP(patch[[#This Row],[tmp-owner.email]],OrgTree!$A:$K, 11, 0), "not ICG SWFW")</f>
        <v>BJ And dev</v>
      </c>
      <c r="S1077" s="7" t="str">
        <f>IF(patch[[#This Row],[reviewer]]=patch[[#This Row],[tmp-owner.email]], "author", _xlfn.IFNA(VLOOKUP(patch[[#This Row],[reviewer]],OrgTree!$A:$K, 11, 0), "not ICG SWFW"))</f>
        <v>BJ And dev</v>
      </c>
      <c r="T1077" s="7" t="str">
        <f>IF(ISBLANK(patch[[#This Row],[mergeDate]]), "", MID(YEAR(patch[[#This Row],[mergeDate]]), 3,2)&amp;"'ww"&amp;WEEKNUM(patch[[#This Row],[mergeDate]]))</f>
        <v>16'ww39</v>
      </c>
      <c r="U1077" s="7" t="str">
        <f>IF(ISBLANK(patch[[#This Row],[mergeDate]]), U1076, MID(YEAR(patch[[#This Row],[mergeDate]]), 3,2)&amp;"'m"&amp;MONTH(patch[[#This Row],[mergeDate]]))</f>
        <v>16'm9</v>
      </c>
      <c r="V1077" s="7" t="str">
        <f>IF(ISBLANK(patch[[#This Row],[project]]), "",SUM(patch[[#This Row],[BJ -1 num]:[SH -1 num]]))</f>
        <v/>
      </c>
      <c r="W1077" s="7" t="str">
        <f>IF(ISBLANK(patch[[#This Row],[project]]), "",COUNTIFS($A:$A,patch[[#This Row],[number]],$S:$S, "BJ And dev",$AC:$AC, "Review-1"))</f>
        <v/>
      </c>
      <c r="X1077" s="7" t="str">
        <f>IF(ISBLANK(patch[[#This Row],[project]]), "",COUNTIFS($A:$A,patch[[#This Row],[number]],$S:$S, "FL And dev",$AC:$AC, "Review-1"))</f>
        <v/>
      </c>
      <c r="Y1077" s="7" t="str">
        <f>IF(ISBLANK(patch[[#This Row],[project]]), "",COUNTIFS($A:$A,patch[[#This Row],[number]],$S:$S, "SH And dev",$AC:$AC, "Review-1"))</f>
        <v/>
      </c>
      <c r="Z1077" s="7" t="str">
        <f>IF(ISBLANK(patch[[#This Row],[project]]), "",COUNTIFS($A:$A,patch[[#This Row],[number]],$S:$S, "BJ And dev",$AD:$AD, "&lt;&gt;IntegratorValidationComment"))</f>
        <v/>
      </c>
      <c r="AA1077" s="7" t="str">
        <f>IF(ISBLANK(patch[[#This Row],[project]]), "",COUNTIFS($A:$A,patch[[#This Row],[number]],$S:$S, "FL And dev",$AD:$AD, "&lt;&gt;IntegratorValidationComment"))</f>
        <v/>
      </c>
      <c r="AB1077" s="7" t="str">
        <f>IF(ISBLANK(patch[[#This Row],[project]]), "",COUNTIFS($A:$A,patch[[#This Row],[number]],$S:$S, "SH And dev",$AD:$AD, "&lt;&gt;IntegratorValidationComment"))</f>
        <v/>
      </c>
      <c r="AC1077" s="7" t="str">
        <f>IF(OR(ISNUMBER(FIND("Review-1", patch[[#This Row],[comments]])), ISNUMBER(FIND("Approver-1", patch[[#This Row],[comments]]))), "Review-1", "")</f>
        <v/>
      </c>
      <c r="AD10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77" s="7">
        <f>IF(ISBLANK(patch[[#This Row],[number]]),AE1076,patch[[#This Row],[ifCommon]])</f>
        <v>0</v>
      </c>
    </row>
    <row r="1078" spans="1:31">
      <c r="A1078" s="151">
        <v>146835</v>
      </c>
      <c r="B1078" s="151"/>
      <c r="C1078" s="151"/>
      <c r="D1078" s="151"/>
      <c r="E1078" s="151"/>
      <c r="F1078" s="151"/>
      <c r="G1078" s="151"/>
      <c r="H1078" s="151"/>
      <c r="I1078" s="151"/>
      <c r="J1078" s="152">
        <v>42634.752303240741</v>
      </c>
      <c r="K1078" s="151"/>
      <c r="L1078" s="151" t="s">
        <v>115</v>
      </c>
      <c r="M1078" s="152">
        <v>42634.548506944448</v>
      </c>
      <c r="N1078" s="151" t="s">
        <v>2495</v>
      </c>
      <c r="O1078" s="151"/>
      <c r="P1078" s="151"/>
      <c r="Q1078" s="7" t="str">
        <f>IF(ISBLANK(patch[[#This Row],[OwnerEmail]]),Q1077,patch[[#This Row],[OwnerEmail]])</f>
        <v>bin.b.yang@intel.com</v>
      </c>
      <c r="R1078" s="7" t="str">
        <f>_xlfn.IFNA(VLOOKUP(patch[[#This Row],[tmp-owner.email]],OrgTree!$A:$K, 11, 0), "not ICG SWFW")</f>
        <v>BJ And dev</v>
      </c>
      <c r="S1078" s="7" t="str">
        <f>IF(patch[[#This Row],[reviewer]]=patch[[#This Row],[tmp-owner.email]], "author", _xlfn.IFNA(VLOOKUP(patch[[#This Row],[reviewer]],OrgTree!$A:$K, 11, 0), "not ICG SWFW"))</f>
        <v>Val</v>
      </c>
      <c r="T1078" s="7" t="str">
        <f>IF(ISBLANK(patch[[#This Row],[mergeDate]]), "", MID(YEAR(patch[[#This Row],[mergeDate]]), 3,2)&amp;"'ww"&amp;WEEKNUM(patch[[#This Row],[mergeDate]]))</f>
        <v>16'ww39</v>
      </c>
      <c r="U1078" s="7" t="str">
        <f>IF(ISBLANK(patch[[#This Row],[mergeDate]]), U1077, MID(YEAR(patch[[#This Row],[mergeDate]]), 3,2)&amp;"'m"&amp;MONTH(patch[[#This Row],[mergeDate]]))</f>
        <v>16'm9</v>
      </c>
      <c r="V1078" s="7" t="str">
        <f>IF(ISBLANK(patch[[#This Row],[project]]), "",SUM(patch[[#This Row],[BJ -1 num]:[SH -1 num]]))</f>
        <v/>
      </c>
      <c r="W1078" s="7" t="str">
        <f>IF(ISBLANK(patch[[#This Row],[project]]), "",COUNTIFS($A:$A,patch[[#This Row],[number]],$S:$S, "BJ And dev",$AC:$AC, "Review-1"))</f>
        <v/>
      </c>
      <c r="X1078" s="7" t="str">
        <f>IF(ISBLANK(patch[[#This Row],[project]]), "",COUNTIFS($A:$A,patch[[#This Row],[number]],$S:$S, "FL And dev",$AC:$AC, "Review-1"))</f>
        <v/>
      </c>
      <c r="Y1078" s="7" t="str">
        <f>IF(ISBLANK(patch[[#This Row],[project]]), "",COUNTIFS($A:$A,patch[[#This Row],[number]],$S:$S, "SH And dev",$AC:$AC, "Review-1"))</f>
        <v/>
      </c>
      <c r="Z1078" s="7" t="str">
        <f>IF(ISBLANK(patch[[#This Row],[project]]), "",COUNTIFS($A:$A,patch[[#This Row],[number]],$S:$S, "BJ And dev",$AD:$AD, "&lt;&gt;IntegratorValidationComment"))</f>
        <v/>
      </c>
      <c r="AA1078" s="7" t="str">
        <f>IF(ISBLANK(patch[[#This Row],[project]]), "",COUNTIFS($A:$A,patch[[#This Row],[number]],$S:$S, "FL And dev",$AD:$AD, "&lt;&gt;IntegratorValidationComment"))</f>
        <v/>
      </c>
      <c r="AB1078" s="7" t="str">
        <f>IF(ISBLANK(patch[[#This Row],[project]]), "",COUNTIFS($A:$A,patch[[#This Row],[number]],$S:$S, "SH And dev",$AD:$AD, "&lt;&gt;IntegratorValidationComment"))</f>
        <v/>
      </c>
      <c r="AC1078" s="7" t="str">
        <f>IF(OR(ISNUMBER(FIND("Review-1", patch[[#This Row],[comments]])), ISNUMBER(FIND("Approver-1", patch[[#This Row],[comments]]))), "Review-1", "")</f>
        <v/>
      </c>
      <c r="AD10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078" s="7">
        <f>IF(ISBLANK(patch[[#This Row],[number]]),AE1077,patch[[#This Row],[ifCommon]])</f>
        <v>0</v>
      </c>
    </row>
    <row r="1079" spans="1:31">
      <c r="A1079" s="151">
        <v>144258</v>
      </c>
      <c r="B1079" s="151" t="s">
        <v>2490</v>
      </c>
      <c r="C1079" s="151" t="s">
        <v>2491</v>
      </c>
      <c r="D1079" s="151" t="s">
        <v>3131</v>
      </c>
      <c r="E1079" s="151" t="s">
        <v>72</v>
      </c>
      <c r="F1079" s="151" t="s">
        <v>23</v>
      </c>
      <c r="G1079" s="151" t="s">
        <v>3132</v>
      </c>
      <c r="H1079" s="151" t="s">
        <v>3133</v>
      </c>
      <c r="I1079" s="152">
        <v>42622.447025462963</v>
      </c>
      <c r="J1079" s="152">
        <v>42632.753587962958</v>
      </c>
      <c r="K1079" s="151" t="s">
        <v>2445</v>
      </c>
      <c r="L1079" s="151" t="s">
        <v>72</v>
      </c>
      <c r="M1079" s="152">
        <v>42622.447025462963</v>
      </c>
      <c r="N1079" s="151" t="s">
        <v>2428</v>
      </c>
      <c r="O1079" s="151"/>
      <c r="P1079" s="151" t="s">
        <v>3134</v>
      </c>
      <c r="Q1079" s="7" t="str">
        <f>IF(ISBLANK(patch[[#This Row],[OwnerEmail]]),Q1078,patch[[#This Row],[OwnerEmail]])</f>
        <v>bin.b.yang@intel.com</v>
      </c>
      <c r="R1079" s="7" t="str">
        <f>_xlfn.IFNA(VLOOKUP(patch[[#This Row],[tmp-owner.email]],OrgTree!$A:$K, 11, 0), "not ICG SWFW")</f>
        <v>BJ And dev</v>
      </c>
      <c r="S1079" s="7" t="str">
        <f>IF(patch[[#This Row],[reviewer]]=patch[[#This Row],[tmp-owner.email]], "author", _xlfn.IFNA(VLOOKUP(patch[[#This Row],[reviewer]],OrgTree!$A:$K, 11, 0), "not ICG SWFW"))</f>
        <v>author</v>
      </c>
      <c r="T1079" s="7" t="str">
        <f>IF(ISBLANK(patch[[#This Row],[mergeDate]]), "", MID(YEAR(patch[[#This Row],[mergeDate]]), 3,2)&amp;"'ww"&amp;WEEKNUM(patch[[#This Row],[mergeDate]]))</f>
        <v>16'ww39</v>
      </c>
      <c r="U1079" s="7" t="str">
        <f>IF(ISBLANK(patch[[#This Row],[mergeDate]]), U1078, MID(YEAR(patch[[#This Row],[mergeDate]]), 3,2)&amp;"'m"&amp;MONTH(patch[[#This Row],[mergeDate]]))</f>
        <v>16'm9</v>
      </c>
      <c r="V1079" s="7">
        <f>IF(ISBLANK(patch[[#This Row],[project]]), "",SUM(patch[[#This Row],[BJ -1 num]:[SH -1 num]]))</f>
        <v>2</v>
      </c>
      <c r="W1079" s="7">
        <f>IF(ISBLANK(patch[[#This Row],[project]]), "",COUNTIFS($A:$A,patch[[#This Row],[number]],$S:$S, "BJ And dev",$AC:$AC, "Review-1"))</f>
        <v>2</v>
      </c>
      <c r="X1079" s="7">
        <f>IF(ISBLANK(patch[[#This Row],[project]]), "",COUNTIFS($A:$A,patch[[#This Row],[number]],$S:$S, "FL And dev",$AC:$AC, "Review-1"))</f>
        <v>0</v>
      </c>
      <c r="Y1079" s="7">
        <f>IF(ISBLANK(patch[[#This Row],[project]]), "",COUNTIFS($A:$A,patch[[#This Row],[number]],$S:$S, "SH And dev",$AC:$AC, "Review-1"))</f>
        <v>0</v>
      </c>
      <c r="Z1079" s="7">
        <f>IF(ISBLANK(patch[[#This Row],[project]]), "",COUNTIFS($A:$A,patch[[#This Row],[number]],$S:$S, "BJ And dev",$AD:$AD, "&lt;&gt;IntegratorValidationComment"))</f>
        <v>33</v>
      </c>
      <c r="AA1079" s="7">
        <f>IF(ISBLANK(patch[[#This Row],[project]]), "",COUNTIFS($A:$A,patch[[#This Row],[number]],$S:$S, "FL And dev",$AD:$AD, "&lt;&gt;IntegratorValidationComment"))</f>
        <v>0</v>
      </c>
      <c r="AB1079" s="7">
        <f>IF(ISBLANK(patch[[#This Row],[project]]), "",COUNTIFS($A:$A,patch[[#This Row],[number]],$S:$S, "SH And dev",$AD:$AD, "&lt;&gt;IntegratorValidationComment"))</f>
        <v>0</v>
      </c>
      <c r="AC1079" s="7" t="str">
        <f>IF(OR(ISNUMBER(FIND("Review-1", patch[[#This Row],[comments]])), ISNUMBER(FIND("Approver-1", patch[[#This Row],[comments]]))), "Review-1", "")</f>
        <v/>
      </c>
      <c r="AD10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79" s="7" t="str">
        <f>IF(ISBLANK(patch[[#This Row],[number]]),AE1078,patch[[#This Row],[ifCommon]])</f>
        <v>not AndrHAL</v>
      </c>
    </row>
    <row r="1080" spans="1:31">
      <c r="A1080" s="151">
        <v>144258</v>
      </c>
      <c r="B1080" s="151"/>
      <c r="C1080" s="151"/>
      <c r="D1080" s="151"/>
      <c r="E1080" s="151"/>
      <c r="F1080" s="151"/>
      <c r="G1080" s="151"/>
      <c r="H1080" s="151"/>
      <c r="I1080" s="151"/>
      <c r="J1080" s="152">
        <v>42632.753587962958</v>
      </c>
      <c r="K1080" s="151"/>
      <c r="L1080" s="151" t="s">
        <v>72</v>
      </c>
      <c r="M1080" s="152">
        <v>42622.447025462963</v>
      </c>
      <c r="N1080" s="151" t="s">
        <v>25</v>
      </c>
      <c r="O1080" s="151"/>
      <c r="P1080" s="151"/>
      <c r="Q1080" s="7" t="str">
        <f>IF(ISBLANK(patch[[#This Row],[OwnerEmail]]),Q1079,patch[[#This Row],[OwnerEmail]])</f>
        <v>bin.b.yang@intel.com</v>
      </c>
      <c r="R1080" s="7" t="str">
        <f>_xlfn.IFNA(VLOOKUP(patch[[#This Row],[tmp-owner.email]],OrgTree!$A:$K, 11, 0), "not ICG SWFW")</f>
        <v>BJ And dev</v>
      </c>
      <c r="S1080" s="7" t="str">
        <f>IF(patch[[#This Row],[reviewer]]=patch[[#This Row],[tmp-owner.email]], "author", _xlfn.IFNA(VLOOKUP(patch[[#This Row],[reviewer]],OrgTree!$A:$K, 11, 0), "not ICG SWFW"))</f>
        <v>author</v>
      </c>
      <c r="T1080" s="7" t="str">
        <f>IF(ISBLANK(patch[[#This Row],[mergeDate]]), "", MID(YEAR(patch[[#This Row],[mergeDate]]), 3,2)&amp;"'ww"&amp;WEEKNUM(patch[[#This Row],[mergeDate]]))</f>
        <v>16'ww39</v>
      </c>
      <c r="U1080" s="7" t="str">
        <f>IF(ISBLANK(patch[[#This Row],[mergeDate]]), U1079, MID(YEAR(patch[[#This Row],[mergeDate]]), 3,2)&amp;"'m"&amp;MONTH(patch[[#This Row],[mergeDate]]))</f>
        <v>16'm9</v>
      </c>
      <c r="V1080" s="7" t="str">
        <f>IF(ISBLANK(patch[[#This Row],[project]]), "",SUM(patch[[#This Row],[BJ -1 num]:[SH -1 num]]))</f>
        <v/>
      </c>
      <c r="W1080" s="7" t="str">
        <f>IF(ISBLANK(patch[[#This Row],[project]]), "",COUNTIFS($A:$A,patch[[#This Row],[number]],$S:$S, "BJ And dev",$AC:$AC, "Review-1"))</f>
        <v/>
      </c>
      <c r="X1080" s="7" t="str">
        <f>IF(ISBLANK(patch[[#This Row],[project]]), "",COUNTIFS($A:$A,patch[[#This Row],[number]],$S:$S, "FL And dev",$AC:$AC, "Review-1"))</f>
        <v/>
      </c>
      <c r="Y1080" s="7" t="str">
        <f>IF(ISBLANK(patch[[#This Row],[project]]), "",COUNTIFS($A:$A,patch[[#This Row],[number]],$S:$S, "SH And dev",$AC:$AC, "Review-1"))</f>
        <v/>
      </c>
      <c r="Z1080" s="7" t="str">
        <f>IF(ISBLANK(patch[[#This Row],[project]]), "",COUNTIFS($A:$A,patch[[#This Row],[number]],$S:$S, "BJ And dev",$AD:$AD, "&lt;&gt;IntegratorValidationComment"))</f>
        <v/>
      </c>
      <c r="AA1080" s="7" t="str">
        <f>IF(ISBLANK(patch[[#This Row],[project]]), "",COUNTIFS($A:$A,patch[[#This Row],[number]],$S:$S, "FL And dev",$AD:$AD, "&lt;&gt;IntegratorValidationComment"))</f>
        <v/>
      </c>
      <c r="AB1080" s="7" t="str">
        <f>IF(ISBLANK(patch[[#This Row],[project]]), "",COUNTIFS($A:$A,patch[[#This Row],[number]],$S:$S, "SH And dev",$AD:$AD, "&lt;&gt;IntegratorValidationComment"))</f>
        <v/>
      </c>
      <c r="AC1080" s="7" t="str">
        <f>IF(OR(ISNUMBER(FIND("Review-1", patch[[#This Row],[comments]])), ISNUMBER(FIND("Approver-1", patch[[#This Row],[comments]]))), "Review-1", "")</f>
        <v/>
      </c>
      <c r="AD10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80" s="7">
        <f>IF(ISBLANK(patch[[#This Row],[number]]),AE1079,patch[[#This Row],[ifCommon]])</f>
        <v>0</v>
      </c>
    </row>
    <row r="1081" spans="1:31">
      <c r="A1081" s="151">
        <v>144258</v>
      </c>
      <c r="B1081" s="151"/>
      <c r="C1081" s="151"/>
      <c r="D1081" s="151"/>
      <c r="E1081" s="151"/>
      <c r="F1081" s="151"/>
      <c r="G1081" s="151"/>
      <c r="H1081" s="151"/>
      <c r="I1081" s="151"/>
      <c r="J1081" s="152">
        <v>42632.753587962958</v>
      </c>
      <c r="K1081" s="151"/>
      <c r="L1081" s="151" t="s">
        <v>72</v>
      </c>
      <c r="M1081" s="152">
        <v>42622.453784722216</v>
      </c>
      <c r="N1081" s="151" t="s">
        <v>2429</v>
      </c>
      <c r="O1081" s="151"/>
      <c r="P1081" s="151"/>
      <c r="Q1081" s="7" t="str">
        <f>IF(ISBLANK(patch[[#This Row],[OwnerEmail]]),Q1080,patch[[#This Row],[OwnerEmail]])</f>
        <v>bin.b.yang@intel.com</v>
      </c>
      <c r="R1081" s="7" t="str">
        <f>_xlfn.IFNA(VLOOKUP(patch[[#This Row],[tmp-owner.email]],OrgTree!$A:$K, 11, 0), "not ICG SWFW")</f>
        <v>BJ And dev</v>
      </c>
      <c r="S1081" s="7" t="str">
        <f>IF(patch[[#This Row],[reviewer]]=patch[[#This Row],[tmp-owner.email]], "author", _xlfn.IFNA(VLOOKUP(patch[[#This Row],[reviewer]],OrgTree!$A:$K, 11, 0), "not ICG SWFW"))</f>
        <v>author</v>
      </c>
      <c r="T1081" s="7" t="str">
        <f>IF(ISBLANK(patch[[#This Row],[mergeDate]]), "", MID(YEAR(patch[[#This Row],[mergeDate]]), 3,2)&amp;"'ww"&amp;WEEKNUM(patch[[#This Row],[mergeDate]]))</f>
        <v>16'ww39</v>
      </c>
      <c r="U1081" s="7" t="str">
        <f>IF(ISBLANK(patch[[#This Row],[mergeDate]]), U1080, MID(YEAR(patch[[#This Row],[mergeDate]]), 3,2)&amp;"'m"&amp;MONTH(patch[[#This Row],[mergeDate]]))</f>
        <v>16'm9</v>
      </c>
      <c r="V1081" s="7" t="str">
        <f>IF(ISBLANK(patch[[#This Row],[project]]), "",SUM(patch[[#This Row],[BJ -1 num]:[SH -1 num]]))</f>
        <v/>
      </c>
      <c r="W1081" s="7" t="str">
        <f>IF(ISBLANK(patch[[#This Row],[project]]), "",COUNTIFS($A:$A,patch[[#This Row],[number]],$S:$S, "BJ And dev",$AC:$AC, "Review-1"))</f>
        <v/>
      </c>
      <c r="X1081" s="7" t="str">
        <f>IF(ISBLANK(patch[[#This Row],[project]]), "",COUNTIFS($A:$A,patch[[#This Row],[number]],$S:$S, "FL And dev",$AC:$AC, "Review-1"))</f>
        <v/>
      </c>
      <c r="Y1081" s="7" t="str">
        <f>IF(ISBLANK(patch[[#This Row],[project]]), "",COUNTIFS($A:$A,patch[[#This Row],[number]],$S:$S, "SH And dev",$AC:$AC, "Review-1"))</f>
        <v/>
      </c>
      <c r="Z1081" s="7" t="str">
        <f>IF(ISBLANK(patch[[#This Row],[project]]), "",COUNTIFS($A:$A,patch[[#This Row],[number]],$S:$S, "BJ And dev",$AD:$AD, "&lt;&gt;IntegratorValidationComment"))</f>
        <v/>
      </c>
      <c r="AA1081" s="7" t="str">
        <f>IF(ISBLANK(patch[[#This Row],[project]]), "",COUNTIFS($A:$A,patch[[#This Row],[number]],$S:$S, "FL And dev",$AD:$AD, "&lt;&gt;IntegratorValidationComment"))</f>
        <v/>
      </c>
      <c r="AB1081" s="7" t="str">
        <f>IF(ISBLANK(patch[[#This Row],[project]]), "",COUNTIFS($A:$A,patch[[#This Row],[number]],$S:$S, "SH And dev",$AD:$AD, "&lt;&gt;IntegratorValidationComment"))</f>
        <v/>
      </c>
      <c r="AC1081" s="7" t="str">
        <f>IF(OR(ISNUMBER(FIND("Review-1", patch[[#This Row],[comments]])), ISNUMBER(FIND("Approver-1", patch[[#This Row],[comments]]))), "Review-1", "")</f>
        <v/>
      </c>
      <c r="AD10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81" s="7">
        <f>IF(ISBLANK(patch[[#This Row],[number]]),AE1080,patch[[#This Row],[ifCommon]])</f>
        <v>0</v>
      </c>
    </row>
    <row r="1082" spans="1:31">
      <c r="A1082" s="151">
        <v>144258</v>
      </c>
      <c r="B1082" s="151"/>
      <c r="C1082" s="151"/>
      <c r="D1082" s="151"/>
      <c r="E1082" s="151"/>
      <c r="F1082" s="151"/>
      <c r="G1082" s="151"/>
      <c r="H1082" s="151"/>
      <c r="I1082" s="151"/>
      <c r="J1082" s="152">
        <v>42632.753587962958</v>
      </c>
      <c r="K1082" s="151"/>
      <c r="L1082" s="151" t="s">
        <v>72</v>
      </c>
      <c r="M1082" s="152">
        <v>42622.453784722216</v>
      </c>
      <c r="N1082" s="151" t="s">
        <v>2456</v>
      </c>
      <c r="O1082" s="151"/>
      <c r="P1082" s="151"/>
      <c r="Q1082" s="7" t="str">
        <f>IF(ISBLANK(patch[[#This Row],[OwnerEmail]]),Q1081,patch[[#This Row],[OwnerEmail]])</f>
        <v>bin.b.yang@intel.com</v>
      </c>
      <c r="R1082" s="7" t="str">
        <f>_xlfn.IFNA(VLOOKUP(patch[[#This Row],[tmp-owner.email]],OrgTree!$A:$K, 11, 0), "not ICG SWFW")</f>
        <v>BJ And dev</v>
      </c>
      <c r="S1082" s="7" t="str">
        <f>IF(patch[[#This Row],[reviewer]]=patch[[#This Row],[tmp-owner.email]], "author", _xlfn.IFNA(VLOOKUP(patch[[#This Row],[reviewer]],OrgTree!$A:$K, 11, 0), "not ICG SWFW"))</f>
        <v>author</v>
      </c>
      <c r="T1082" s="7" t="str">
        <f>IF(ISBLANK(patch[[#This Row],[mergeDate]]), "", MID(YEAR(patch[[#This Row],[mergeDate]]), 3,2)&amp;"'ww"&amp;WEEKNUM(patch[[#This Row],[mergeDate]]))</f>
        <v>16'ww39</v>
      </c>
      <c r="U1082" s="7" t="str">
        <f>IF(ISBLANK(patch[[#This Row],[mergeDate]]), U1081, MID(YEAR(patch[[#This Row],[mergeDate]]), 3,2)&amp;"'m"&amp;MONTH(patch[[#This Row],[mergeDate]]))</f>
        <v>16'm9</v>
      </c>
      <c r="V1082" s="7" t="str">
        <f>IF(ISBLANK(patch[[#This Row],[project]]), "",SUM(patch[[#This Row],[BJ -1 num]:[SH -1 num]]))</f>
        <v/>
      </c>
      <c r="W1082" s="7" t="str">
        <f>IF(ISBLANK(patch[[#This Row],[project]]), "",COUNTIFS($A:$A,patch[[#This Row],[number]],$S:$S, "BJ And dev",$AC:$AC, "Review-1"))</f>
        <v/>
      </c>
      <c r="X1082" s="7" t="str">
        <f>IF(ISBLANK(patch[[#This Row],[project]]), "",COUNTIFS($A:$A,patch[[#This Row],[number]],$S:$S, "FL And dev",$AC:$AC, "Review-1"))</f>
        <v/>
      </c>
      <c r="Y1082" s="7" t="str">
        <f>IF(ISBLANK(patch[[#This Row],[project]]), "",COUNTIFS($A:$A,patch[[#This Row],[number]],$S:$S, "SH And dev",$AC:$AC, "Review-1"))</f>
        <v/>
      </c>
      <c r="Z1082" s="7" t="str">
        <f>IF(ISBLANK(patch[[#This Row],[project]]), "",COUNTIFS($A:$A,patch[[#This Row],[number]],$S:$S, "BJ And dev",$AD:$AD, "&lt;&gt;IntegratorValidationComment"))</f>
        <v/>
      </c>
      <c r="AA1082" s="7" t="str">
        <f>IF(ISBLANK(patch[[#This Row],[project]]), "",COUNTIFS($A:$A,patch[[#This Row],[number]],$S:$S, "FL And dev",$AD:$AD, "&lt;&gt;IntegratorValidationComment"))</f>
        <v/>
      </c>
      <c r="AB1082" s="7" t="str">
        <f>IF(ISBLANK(patch[[#This Row],[project]]), "",COUNTIFS($A:$A,patch[[#This Row],[number]],$S:$S, "SH And dev",$AD:$AD, "&lt;&gt;IntegratorValidationComment"))</f>
        <v/>
      </c>
      <c r="AC1082" s="7" t="str">
        <f>IF(OR(ISNUMBER(FIND("Review-1", patch[[#This Row],[comments]])), ISNUMBER(FIND("Approver-1", patch[[#This Row],[comments]]))), "Review-1", "")</f>
        <v/>
      </c>
      <c r="AD10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82" s="7">
        <f>IF(ISBLANK(patch[[#This Row],[number]]),AE1081,patch[[#This Row],[ifCommon]])</f>
        <v>0</v>
      </c>
    </row>
    <row r="1083" spans="1:31">
      <c r="A1083" s="151">
        <v>144258</v>
      </c>
      <c r="B1083" s="151"/>
      <c r="C1083" s="151"/>
      <c r="D1083" s="151"/>
      <c r="E1083" s="151"/>
      <c r="F1083" s="151"/>
      <c r="G1083" s="151"/>
      <c r="H1083" s="151"/>
      <c r="I1083" s="151"/>
      <c r="J1083" s="152">
        <v>42632.753587962958</v>
      </c>
      <c r="K1083" s="151"/>
      <c r="L1083" s="151" t="s">
        <v>59</v>
      </c>
      <c r="M1083" s="152">
        <v>42622.45484953704</v>
      </c>
      <c r="N1083" s="151" t="s">
        <v>3135</v>
      </c>
      <c r="O1083" s="151"/>
      <c r="P1083" s="151"/>
      <c r="Q1083" s="7" t="str">
        <f>IF(ISBLANK(patch[[#This Row],[OwnerEmail]]),Q1082,patch[[#This Row],[OwnerEmail]])</f>
        <v>bin.b.yang@intel.com</v>
      </c>
      <c r="R1083" s="7" t="str">
        <f>_xlfn.IFNA(VLOOKUP(patch[[#This Row],[tmp-owner.email]],OrgTree!$A:$K, 11, 0), "not ICG SWFW")</f>
        <v>BJ And dev</v>
      </c>
      <c r="S1083" s="7" t="str">
        <f>IF(patch[[#This Row],[reviewer]]=patch[[#This Row],[tmp-owner.email]], "author", _xlfn.IFNA(VLOOKUP(patch[[#This Row],[reviewer]],OrgTree!$A:$K, 11, 0), "not ICG SWFW"))</f>
        <v>BJ And dev</v>
      </c>
      <c r="T1083" s="7" t="str">
        <f>IF(ISBLANK(patch[[#This Row],[mergeDate]]), "", MID(YEAR(patch[[#This Row],[mergeDate]]), 3,2)&amp;"'ww"&amp;WEEKNUM(patch[[#This Row],[mergeDate]]))</f>
        <v>16'ww39</v>
      </c>
      <c r="U1083" s="7" t="str">
        <f>IF(ISBLANK(patch[[#This Row],[mergeDate]]), U1082, MID(YEAR(patch[[#This Row],[mergeDate]]), 3,2)&amp;"'m"&amp;MONTH(patch[[#This Row],[mergeDate]]))</f>
        <v>16'm9</v>
      </c>
      <c r="V1083" s="7" t="str">
        <f>IF(ISBLANK(patch[[#This Row],[project]]), "",SUM(patch[[#This Row],[BJ -1 num]:[SH -1 num]]))</f>
        <v/>
      </c>
      <c r="W1083" s="7" t="str">
        <f>IF(ISBLANK(patch[[#This Row],[project]]), "",COUNTIFS($A:$A,patch[[#This Row],[number]],$S:$S, "BJ And dev",$AC:$AC, "Review-1"))</f>
        <v/>
      </c>
      <c r="X1083" s="7" t="str">
        <f>IF(ISBLANK(patch[[#This Row],[project]]), "",COUNTIFS($A:$A,patch[[#This Row],[number]],$S:$S, "FL And dev",$AC:$AC, "Review-1"))</f>
        <v/>
      </c>
      <c r="Y1083" s="7" t="str">
        <f>IF(ISBLANK(patch[[#This Row],[project]]), "",COUNTIFS($A:$A,patch[[#This Row],[number]],$S:$S, "SH And dev",$AC:$AC, "Review-1"))</f>
        <v/>
      </c>
      <c r="Z1083" s="7" t="str">
        <f>IF(ISBLANK(patch[[#This Row],[project]]), "",COUNTIFS($A:$A,patch[[#This Row],[number]],$S:$S, "BJ And dev",$AD:$AD, "&lt;&gt;IntegratorValidationComment"))</f>
        <v/>
      </c>
      <c r="AA1083" s="7" t="str">
        <f>IF(ISBLANK(patch[[#This Row],[project]]), "",COUNTIFS($A:$A,patch[[#This Row],[number]],$S:$S, "FL And dev",$AD:$AD, "&lt;&gt;IntegratorValidationComment"))</f>
        <v/>
      </c>
      <c r="AB1083" s="7" t="str">
        <f>IF(ISBLANK(patch[[#This Row],[project]]), "",COUNTIFS($A:$A,patch[[#This Row],[number]],$S:$S, "SH And dev",$AD:$AD, "&lt;&gt;IntegratorValidationComment"))</f>
        <v/>
      </c>
      <c r="AC1083" s="7" t="str">
        <f>IF(OR(ISNUMBER(FIND("Review-1", patch[[#This Row],[comments]])), ISNUMBER(FIND("Approver-1", patch[[#This Row],[comments]]))), "Review-1", "")</f>
        <v/>
      </c>
      <c r="AD10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83" s="7">
        <f>IF(ISBLANK(patch[[#This Row],[number]]),AE1082,patch[[#This Row],[ifCommon]])</f>
        <v>0</v>
      </c>
    </row>
    <row r="1084" spans="1:31">
      <c r="A1084" s="151">
        <v>144258</v>
      </c>
      <c r="B1084" s="151"/>
      <c r="C1084" s="151"/>
      <c r="D1084" s="151"/>
      <c r="E1084" s="151"/>
      <c r="F1084" s="151"/>
      <c r="G1084" s="151"/>
      <c r="H1084" s="151"/>
      <c r="I1084" s="151"/>
      <c r="J1084" s="152">
        <v>42632.753587962958</v>
      </c>
      <c r="K1084" s="151"/>
      <c r="L1084" s="151" t="s">
        <v>59</v>
      </c>
      <c r="M1084" s="152">
        <v>42622.456504629627</v>
      </c>
      <c r="N1084" s="151" t="s">
        <v>3136</v>
      </c>
      <c r="O1084" s="151"/>
      <c r="P1084" s="151"/>
      <c r="Q1084" s="7" t="str">
        <f>IF(ISBLANK(patch[[#This Row],[OwnerEmail]]),Q1083,patch[[#This Row],[OwnerEmail]])</f>
        <v>bin.b.yang@intel.com</v>
      </c>
      <c r="R1084" s="7" t="str">
        <f>_xlfn.IFNA(VLOOKUP(patch[[#This Row],[tmp-owner.email]],OrgTree!$A:$K, 11, 0), "not ICG SWFW")</f>
        <v>BJ And dev</v>
      </c>
      <c r="S1084" s="7" t="str">
        <f>IF(patch[[#This Row],[reviewer]]=patch[[#This Row],[tmp-owner.email]], "author", _xlfn.IFNA(VLOOKUP(patch[[#This Row],[reviewer]],OrgTree!$A:$K, 11, 0), "not ICG SWFW"))</f>
        <v>BJ And dev</v>
      </c>
      <c r="T1084" s="7" t="str">
        <f>IF(ISBLANK(patch[[#This Row],[mergeDate]]), "", MID(YEAR(patch[[#This Row],[mergeDate]]), 3,2)&amp;"'ww"&amp;WEEKNUM(patch[[#This Row],[mergeDate]]))</f>
        <v>16'ww39</v>
      </c>
      <c r="U1084" s="7" t="str">
        <f>IF(ISBLANK(patch[[#This Row],[mergeDate]]), U1083, MID(YEAR(patch[[#This Row],[mergeDate]]), 3,2)&amp;"'m"&amp;MONTH(patch[[#This Row],[mergeDate]]))</f>
        <v>16'm9</v>
      </c>
      <c r="V1084" s="7" t="str">
        <f>IF(ISBLANK(patch[[#This Row],[project]]), "",SUM(patch[[#This Row],[BJ -1 num]:[SH -1 num]]))</f>
        <v/>
      </c>
      <c r="W1084" s="7" t="str">
        <f>IF(ISBLANK(patch[[#This Row],[project]]), "",COUNTIFS($A:$A,patch[[#This Row],[number]],$S:$S, "BJ And dev",$AC:$AC, "Review-1"))</f>
        <v/>
      </c>
      <c r="X1084" s="7" t="str">
        <f>IF(ISBLANK(patch[[#This Row],[project]]), "",COUNTIFS($A:$A,patch[[#This Row],[number]],$S:$S, "FL And dev",$AC:$AC, "Review-1"))</f>
        <v/>
      </c>
      <c r="Y1084" s="7" t="str">
        <f>IF(ISBLANK(patch[[#This Row],[project]]), "",COUNTIFS($A:$A,patch[[#This Row],[number]],$S:$S, "SH And dev",$AC:$AC, "Review-1"))</f>
        <v/>
      </c>
      <c r="Z1084" s="7" t="str">
        <f>IF(ISBLANK(patch[[#This Row],[project]]), "",COUNTIFS($A:$A,patch[[#This Row],[number]],$S:$S, "BJ And dev",$AD:$AD, "&lt;&gt;IntegratorValidationComment"))</f>
        <v/>
      </c>
      <c r="AA1084" s="7" t="str">
        <f>IF(ISBLANK(patch[[#This Row],[project]]), "",COUNTIFS($A:$A,patch[[#This Row],[number]],$S:$S, "FL And dev",$AD:$AD, "&lt;&gt;IntegratorValidationComment"))</f>
        <v/>
      </c>
      <c r="AB1084" s="7" t="str">
        <f>IF(ISBLANK(patch[[#This Row],[project]]), "",COUNTIFS($A:$A,patch[[#This Row],[number]],$S:$S, "SH And dev",$AD:$AD, "&lt;&gt;IntegratorValidationComment"))</f>
        <v/>
      </c>
      <c r="AC1084" s="7" t="str">
        <f>IF(OR(ISNUMBER(FIND("Review-1", patch[[#This Row],[comments]])), ISNUMBER(FIND("Approver-1", patch[[#This Row],[comments]]))), "Review-1", "")</f>
        <v/>
      </c>
      <c r="AD10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84" s="7">
        <f>IF(ISBLANK(patch[[#This Row],[number]]),AE1083,patch[[#This Row],[ifCommon]])</f>
        <v>0</v>
      </c>
    </row>
    <row r="1085" spans="1:31">
      <c r="A1085" s="151">
        <v>144258</v>
      </c>
      <c r="B1085" s="151"/>
      <c r="C1085" s="151"/>
      <c r="D1085" s="151"/>
      <c r="E1085" s="151"/>
      <c r="F1085" s="151"/>
      <c r="G1085" s="151"/>
      <c r="H1085" s="151"/>
      <c r="I1085" s="152"/>
      <c r="J1085" s="152">
        <v>42632.753587962958</v>
      </c>
      <c r="K1085" s="151"/>
      <c r="L1085" s="151" t="s">
        <v>59</v>
      </c>
      <c r="M1085" s="152">
        <v>42622.456956018519</v>
      </c>
      <c r="N1085" s="151" t="s">
        <v>3137</v>
      </c>
      <c r="O1085" s="151"/>
      <c r="P1085" s="151"/>
      <c r="Q1085" s="7" t="str">
        <f>IF(ISBLANK(patch[[#This Row],[OwnerEmail]]),Q1084,patch[[#This Row],[OwnerEmail]])</f>
        <v>bin.b.yang@intel.com</v>
      </c>
      <c r="R1085" s="7" t="str">
        <f>_xlfn.IFNA(VLOOKUP(patch[[#This Row],[tmp-owner.email]],OrgTree!$A:$K, 11, 0), "not ICG SWFW")</f>
        <v>BJ And dev</v>
      </c>
      <c r="S1085" s="7" t="str">
        <f>IF(patch[[#This Row],[reviewer]]=patch[[#This Row],[tmp-owner.email]], "author", _xlfn.IFNA(VLOOKUP(patch[[#This Row],[reviewer]],OrgTree!$A:$K, 11, 0), "not ICG SWFW"))</f>
        <v>BJ And dev</v>
      </c>
      <c r="T1085" s="7" t="str">
        <f>IF(ISBLANK(patch[[#This Row],[mergeDate]]), "", MID(YEAR(patch[[#This Row],[mergeDate]]), 3,2)&amp;"'ww"&amp;WEEKNUM(patch[[#This Row],[mergeDate]]))</f>
        <v>16'ww39</v>
      </c>
      <c r="U1085" s="7" t="str">
        <f>IF(ISBLANK(patch[[#This Row],[mergeDate]]), U1084, MID(YEAR(patch[[#This Row],[mergeDate]]), 3,2)&amp;"'m"&amp;MONTH(patch[[#This Row],[mergeDate]]))</f>
        <v>16'm9</v>
      </c>
      <c r="V1085" s="7" t="str">
        <f>IF(ISBLANK(patch[[#This Row],[project]]), "",SUM(patch[[#This Row],[BJ -1 num]:[SH -1 num]]))</f>
        <v/>
      </c>
      <c r="W1085" s="7" t="str">
        <f>IF(ISBLANK(patch[[#This Row],[project]]), "",COUNTIFS($A:$A,patch[[#This Row],[number]],$S:$S, "BJ And dev",$AC:$AC, "Review-1"))</f>
        <v/>
      </c>
      <c r="X1085" s="7" t="str">
        <f>IF(ISBLANK(patch[[#This Row],[project]]), "",COUNTIFS($A:$A,patch[[#This Row],[number]],$S:$S, "FL And dev",$AC:$AC, "Review-1"))</f>
        <v/>
      </c>
      <c r="Y1085" s="7" t="str">
        <f>IF(ISBLANK(patch[[#This Row],[project]]), "",COUNTIFS($A:$A,patch[[#This Row],[number]],$S:$S, "SH And dev",$AC:$AC, "Review-1"))</f>
        <v/>
      </c>
      <c r="Z1085" s="7" t="str">
        <f>IF(ISBLANK(patch[[#This Row],[project]]), "",COUNTIFS($A:$A,patch[[#This Row],[number]],$S:$S, "BJ And dev",$AD:$AD, "&lt;&gt;IntegratorValidationComment"))</f>
        <v/>
      </c>
      <c r="AA1085" s="7" t="str">
        <f>IF(ISBLANK(patch[[#This Row],[project]]), "",COUNTIFS($A:$A,patch[[#This Row],[number]],$S:$S, "FL And dev",$AD:$AD, "&lt;&gt;IntegratorValidationComment"))</f>
        <v/>
      </c>
      <c r="AB1085" s="7" t="str">
        <f>IF(ISBLANK(patch[[#This Row],[project]]), "",COUNTIFS($A:$A,patch[[#This Row],[number]],$S:$S, "SH And dev",$AD:$AD, "&lt;&gt;IntegratorValidationComment"))</f>
        <v/>
      </c>
      <c r="AC1085" s="7" t="str">
        <f>IF(OR(ISNUMBER(FIND("Review-1", patch[[#This Row],[comments]])), ISNUMBER(FIND("Approver-1", patch[[#This Row],[comments]]))), "Review-1", "")</f>
        <v/>
      </c>
      <c r="AD10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85" s="7">
        <f>IF(ISBLANK(patch[[#This Row],[number]]),AE1084,patch[[#This Row],[ifCommon]])</f>
        <v>0</v>
      </c>
    </row>
    <row r="1086" spans="1:31">
      <c r="A1086" s="151">
        <v>144258</v>
      </c>
      <c r="B1086" s="151"/>
      <c r="C1086" s="151"/>
      <c r="D1086" s="151"/>
      <c r="E1086" s="151"/>
      <c r="F1086" s="151"/>
      <c r="G1086" s="151"/>
      <c r="H1086" s="151"/>
      <c r="I1086" s="151"/>
      <c r="J1086" s="152">
        <v>42632.753587962958</v>
      </c>
      <c r="K1086" s="151"/>
      <c r="L1086" s="151" t="s">
        <v>59</v>
      </c>
      <c r="M1086" s="152">
        <v>42622.460972222223</v>
      </c>
      <c r="N1086" s="151" t="s">
        <v>3138</v>
      </c>
      <c r="O1086" s="151"/>
      <c r="P1086" s="151"/>
      <c r="Q1086" s="7" t="str">
        <f>IF(ISBLANK(patch[[#This Row],[OwnerEmail]]),Q1085,patch[[#This Row],[OwnerEmail]])</f>
        <v>bin.b.yang@intel.com</v>
      </c>
      <c r="R1086" s="7" t="str">
        <f>_xlfn.IFNA(VLOOKUP(patch[[#This Row],[tmp-owner.email]],OrgTree!$A:$K, 11, 0), "not ICG SWFW")</f>
        <v>BJ And dev</v>
      </c>
      <c r="S1086" s="7" t="str">
        <f>IF(patch[[#This Row],[reviewer]]=patch[[#This Row],[tmp-owner.email]], "author", _xlfn.IFNA(VLOOKUP(patch[[#This Row],[reviewer]],OrgTree!$A:$K, 11, 0), "not ICG SWFW"))</f>
        <v>BJ And dev</v>
      </c>
      <c r="T1086" s="7" t="str">
        <f>IF(ISBLANK(patch[[#This Row],[mergeDate]]), "", MID(YEAR(patch[[#This Row],[mergeDate]]), 3,2)&amp;"'ww"&amp;WEEKNUM(patch[[#This Row],[mergeDate]]))</f>
        <v>16'ww39</v>
      </c>
      <c r="U1086" s="7" t="str">
        <f>IF(ISBLANK(patch[[#This Row],[mergeDate]]), U1085, MID(YEAR(patch[[#This Row],[mergeDate]]), 3,2)&amp;"'m"&amp;MONTH(patch[[#This Row],[mergeDate]]))</f>
        <v>16'm9</v>
      </c>
      <c r="V1086" s="7" t="str">
        <f>IF(ISBLANK(patch[[#This Row],[project]]), "",SUM(patch[[#This Row],[BJ -1 num]:[SH -1 num]]))</f>
        <v/>
      </c>
      <c r="W1086" s="7" t="str">
        <f>IF(ISBLANK(patch[[#This Row],[project]]), "",COUNTIFS($A:$A,patch[[#This Row],[number]],$S:$S, "BJ And dev",$AC:$AC, "Review-1"))</f>
        <v/>
      </c>
      <c r="X1086" s="7" t="str">
        <f>IF(ISBLANK(patch[[#This Row],[project]]), "",COUNTIFS($A:$A,patch[[#This Row],[number]],$S:$S, "FL And dev",$AC:$AC, "Review-1"))</f>
        <v/>
      </c>
      <c r="Y1086" s="7" t="str">
        <f>IF(ISBLANK(patch[[#This Row],[project]]), "",COUNTIFS($A:$A,patch[[#This Row],[number]],$S:$S, "SH And dev",$AC:$AC, "Review-1"))</f>
        <v/>
      </c>
      <c r="Z1086" s="7" t="str">
        <f>IF(ISBLANK(patch[[#This Row],[project]]), "",COUNTIFS($A:$A,patch[[#This Row],[number]],$S:$S, "BJ And dev",$AD:$AD, "&lt;&gt;IntegratorValidationComment"))</f>
        <v/>
      </c>
      <c r="AA1086" s="7" t="str">
        <f>IF(ISBLANK(patch[[#This Row],[project]]), "",COUNTIFS($A:$A,patch[[#This Row],[number]],$S:$S, "FL And dev",$AD:$AD, "&lt;&gt;IntegratorValidationComment"))</f>
        <v/>
      </c>
      <c r="AB1086" s="7" t="str">
        <f>IF(ISBLANK(patch[[#This Row],[project]]), "",COUNTIFS($A:$A,patch[[#This Row],[number]],$S:$S, "SH And dev",$AD:$AD, "&lt;&gt;IntegratorValidationComment"))</f>
        <v/>
      </c>
      <c r="AC1086" s="7" t="str">
        <f>IF(OR(ISNUMBER(FIND("Review-1", patch[[#This Row],[comments]])), ISNUMBER(FIND("Approver-1", patch[[#This Row],[comments]]))), "Review-1", "")</f>
        <v/>
      </c>
      <c r="AD10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86" s="7">
        <f>IF(ISBLANK(patch[[#This Row],[number]]),AE1085,patch[[#This Row],[ifCommon]])</f>
        <v>0</v>
      </c>
    </row>
    <row r="1087" spans="1:31">
      <c r="A1087" s="151">
        <v>144258</v>
      </c>
      <c r="B1087" s="151"/>
      <c r="C1087" s="151"/>
      <c r="D1087" s="151"/>
      <c r="E1087" s="151"/>
      <c r="F1087" s="151"/>
      <c r="G1087" s="151"/>
      <c r="H1087" s="151"/>
      <c r="I1087" s="151"/>
      <c r="J1087" s="152">
        <v>42632.753587962958</v>
      </c>
      <c r="K1087" s="151"/>
      <c r="L1087" s="151" t="s">
        <v>59</v>
      </c>
      <c r="M1087" s="152">
        <v>42622.463287037041</v>
      </c>
      <c r="N1087" s="151" t="s">
        <v>3139</v>
      </c>
      <c r="O1087" s="151"/>
      <c r="P1087" s="151"/>
      <c r="Q1087" s="7" t="str">
        <f>IF(ISBLANK(patch[[#This Row],[OwnerEmail]]),Q1086,patch[[#This Row],[OwnerEmail]])</f>
        <v>bin.b.yang@intel.com</v>
      </c>
      <c r="R1087" s="7" t="str">
        <f>_xlfn.IFNA(VLOOKUP(patch[[#This Row],[tmp-owner.email]],OrgTree!$A:$K, 11, 0), "not ICG SWFW")</f>
        <v>BJ And dev</v>
      </c>
      <c r="S1087" s="7" t="str">
        <f>IF(patch[[#This Row],[reviewer]]=patch[[#This Row],[tmp-owner.email]], "author", _xlfn.IFNA(VLOOKUP(patch[[#This Row],[reviewer]],OrgTree!$A:$K, 11, 0), "not ICG SWFW"))</f>
        <v>BJ And dev</v>
      </c>
      <c r="T1087" s="7" t="str">
        <f>IF(ISBLANK(patch[[#This Row],[mergeDate]]), "", MID(YEAR(patch[[#This Row],[mergeDate]]), 3,2)&amp;"'ww"&amp;WEEKNUM(patch[[#This Row],[mergeDate]]))</f>
        <v>16'ww39</v>
      </c>
      <c r="U1087" s="7" t="str">
        <f>IF(ISBLANK(patch[[#This Row],[mergeDate]]), U1086, MID(YEAR(patch[[#This Row],[mergeDate]]), 3,2)&amp;"'m"&amp;MONTH(patch[[#This Row],[mergeDate]]))</f>
        <v>16'm9</v>
      </c>
      <c r="V1087" s="7" t="str">
        <f>IF(ISBLANK(patch[[#This Row],[project]]), "",SUM(patch[[#This Row],[BJ -1 num]:[SH -1 num]]))</f>
        <v/>
      </c>
      <c r="W1087" s="7" t="str">
        <f>IF(ISBLANK(patch[[#This Row],[project]]), "",COUNTIFS($A:$A,patch[[#This Row],[number]],$S:$S, "BJ And dev",$AC:$AC, "Review-1"))</f>
        <v/>
      </c>
      <c r="X1087" s="7" t="str">
        <f>IF(ISBLANK(patch[[#This Row],[project]]), "",COUNTIFS($A:$A,patch[[#This Row],[number]],$S:$S, "FL And dev",$AC:$AC, "Review-1"))</f>
        <v/>
      </c>
      <c r="Y1087" s="7" t="str">
        <f>IF(ISBLANK(patch[[#This Row],[project]]), "",COUNTIFS($A:$A,patch[[#This Row],[number]],$S:$S, "SH And dev",$AC:$AC, "Review-1"))</f>
        <v/>
      </c>
      <c r="Z1087" s="7" t="str">
        <f>IF(ISBLANK(patch[[#This Row],[project]]), "",COUNTIFS($A:$A,patch[[#This Row],[number]],$S:$S, "BJ And dev",$AD:$AD, "&lt;&gt;IntegratorValidationComment"))</f>
        <v/>
      </c>
      <c r="AA1087" s="7" t="str">
        <f>IF(ISBLANK(patch[[#This Row],[project]]), "",COUNTIFS($A:$A,patch[[#This Row],[number]],$S:$S, "FL And dev",$AD:$AD, "&lt;&gt;IntegratorValidationComment"))</f>
        <v/>
      </c>
      <c r="AB1087" s="7" t="str">
        <f>IF(ISBLANK(patch[[#This Row],[project]]), "",COUNTIFS($A:$A,patch[[#This Row],[number]],$S:$S, "SH And dev",$AD:$AD, "&lt;&gt;IntegratorValidationComment"))</f>
        <v/>
      </c>
      <c r="AC1087" s="7" t="str">
        <f>IF(OR(ISNUMBER(FIND("Review-1", patch[[#This Row],[comments]])), ISNUMBER(FIND("Approver-1", patch[[#This Row],[comments]]))), "Review-1", "")</f>
        <v/>
      </c>
      <c r="AD10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87" s="7">
        <f>IF(ISBLANK(patch[[#This Row],[number]]),AE1086,patch[[#This Row],[ifCommon]])</f>
        <v>0</v>
      </c>
    </row>
    <row r="1088" spans="1:31">
      <c r="A1088" s="151">
        <v>144258</v>
      </c>
      <c r="B1088" s="151"/>
      <c r="C1088" s="151"/>
      <c r="D1088" s="151"/>
      <c r="E1088" s="151"/>
      <c r="F1088" s="151"/>
      <c r="G1088" s="151"/>
      <c r="H1088" s="151"/>
      <c r="I1088" s="151"/>
      <c r="J1088" s="152">
        <v>42632.753587962958</v>
      </c>
      <c r="K1088" s="151"/>
      <c r="L1088" s="151" t="s">
        <v>59</v>
      </c>
      <c r="M1088" s="152">
        <v>42622.466053240743</v>
      </c>
      <c r="N1088" s="151" t="s">
        <v>3140</v>
      </c>
      <c r="O1088" s="151"/>
      <c r="P1088" s="151"/>
      <c r="Q1088" s="7" t="str">
        <f>IF(ISBLANK(patch[[#This Row],[OwnerEmail]]),Q1087,patch[[#This Row],[OwnerEmail]])</f>
        <v>bin.b.yang@intel.com</v>
      </c>
      <c r="R1088" s="7" t="str">
        <f>_xlfn.IFNA(VLOOKUP(patch[[#This Row],[tmp-owner.email]],OrgTree!$A:$K, 11, 0), "not ICG SWFW")</f>
        <v>BJ And dev</v>
      </c>
      <c r="S1088" s="7" t="str">
        <f>IF(patch[[#This Row],[reviewer]]=patch[[#This Row],[tmp-owner.email]], "author", _xlfn.IFNA(VLOOKUP(patch[[#This Row],[reviewer]],OrgTree!$A:$K, 11, 0), "not ICG SWFW"))</f>
        <v>BJ And dev</v>
      </c>
      <c r="T1088" s="7" t="str">
        <f>IF(ISBLANK(patch[[#This Row],[mergeDate]]), "", MID(YEAR(patch[[#This Row],[mergeDate]]), 3,2)&amp;"'ww"&amp;WEEKNUM(patch[[#This Row],[mergeDate]]))</f>
        <v>16'ww39</v>
      </c>
      <c r="U1088" s="7" t="str">
        <f>IF(ISBLANK(patch[[#This Row],[mergeDate]]), U1087, MID(YEAR(patch[[#This Row],[mergeDate]]), 3,2)&amp;"'m"&amp;MONTH(patch[[#This Row],[mergeDate]]))</f>
        <v>16'm9</v>
      </c>
      <c r="V1088" s="7" t="str">
        <f>IF(ISBLANK(patch[[#This Row],[project]]), "",SUM(patch[[#This Row],[BJ -1 num]:[SH -1 num]]))</f>
        <v/>
      </c>
      <c r="W1088" s="7" t="str">
        <f>IF(ISBLANK(patch[[#This Row],[project]]), "",COUNTIFS($A:$A,patch[[#This Row],[number]],$S:$S, "BJ And dev",$AC:$AC, "Review-1"))</f>
        <v/>
      </c>
      <c r="X1088" s="7" t="str">
        <f>IF(ISBLANK(patch[[#This Row],[project]]), "",COUNTIFS($A:$A,patch[[#This Row],[number]],$S:$S, "FL And dev",$AC:$AC, "Review-1"))</f>
        <v/>
      </c>
      <c r="Y1088" s="7" t="str">
        <f>IF(ISBLANK(patch[[#This Row],[project]]), "",COUNTIFS($A:$A,patch[[#This Row],[number]],$S:$S, "SH And dev",$AC:$AC, "Review-1"))</f>
        <v/>
      </c>
      <c r="Z1088" s="7" t="str">
        <f>IF(ISBLANK(patch[[#This Row],[project]]), "",COUNTIFS($A:$A,patch[[#This Row],[number]],$S:$S, "BJ And dev",$AD:$AD, "&lt;&gt;IntegratorValidationComment"))</f>
        <v/>
      </c>
      <c r="AA1088" s="7" t="str">
        <f>IF(ISBLANK(patch[[#This Row],[project]]), "",COUNTIFS($A:$A,patch[[#This Row],[number]],$S:$S, "FL And dev",$AD:$AD, "&lt;&gt;IntegratorValidationComment"))</f>
        <v/>
      </c>
      <c r="AB1088" s="7" t="str">
        <f>IF(ISBLANK(patch[[#This Row],[project]]), "",COUNTIFS($A:$A,patch[[#This Row],[number]],$S:$S, "SH And dev",$AD:$AD, "&lt;&gt;IntegratorValidationComment"))</f>
        <v/>
      </c>
      <c r="AC1088" s="7" t="str">
        <f>IF(OR(ISNUMBER(FIND("Review-1", patch[[#This Row],[comments]])), ISNUMBER(FIND("Approver-1", patch[[#This Row],[comments]]))), "Review-1", "")</f>
        <v/>
      </c>
      <c r="AD10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88" s="7">
        <f>IF(ISBLANK(patch[[#This Row],[number]]),AE1087,patch[[#This Row],[ifCommon]])</f>
        <v>0</v>
      </c>
    </row>
    <row r="1089" spans="1:31">
      <c r="A1089" s="151">
        <v>144258</v>
      </c>
      <c r="B1089" s="151"/>
      <c r="C1089" s="151"/>
      <c r="D1089" s="151"/>
      <c r="E1089" s="151"/>
      <c r="F1089" s="151"/>
      <c r="G1089" s="151"/>
      <c r="H1089" s="151"/>
      <c r="I1089" s="151"/>
      <c r="J1089" s="152">
        <v>42632.753587962958</v>
      </c>
      <c r="K1089" s="151"/>
      <c r="L1089" s="151" t="s">
        <v>72</v>
      </c>
      <c r="M1089" s="152">
        <v>42622.471435185187</v>
      </c>
      <c r="N1089" s="151" t="s">
        <v>1829</v>
      </c>
      <c r="O1089" s="151"/>
      <c r="P1089" s="151"/>
      <c r="Q1089" s="7" t="str">
        <f>IF(ISBLANK(patch[[#This Row],[OwnerEmail]]),Q1088,patch[[#This Row],[OwnerEmail]])</f>
        <v>bin.b.yang@intel.com</v>
      </c>
      <c r="R1089" s="7" t="str">
        <f>_xlfn.IFNA(VLOOKUP(patch[[#This Row],[tmp-owner.email]],OrgTree!$A:$K, 11, 0), "not ICG SWFW")</f>
        <v>BJ And dev</v>
      </c>
      <c r="S1089" s="7" t="str">
        <f>IF(patch[[#This Row],[reviewer]]=patch[[#This Row],[tmp-owner.email]], "author", _xlfn.IFNA(VLOOKUP(patch[[#This Row],[reviewer]],OrgTree!$A:$K, 11, 0), "not ICG SWFW"))</f>
        <v>author</v>
      </c>
      <c r="T1089" s="7" t="str">
        <f>IF(ISBLANK(patch[[#This Row],[mergeDate]]), "", MID(YEAR(patch[[#This Row],[mergeDate]]), 3,2)&amp;"'ww"&amp;WEEKNUM(patch[[#This Row],[mergeDate]]))</f>
        <v>16'ww39</v>
      </c>
      <c r="U1089" s="7" t="str">
        <f>IF(ISBLANK(patch[[#This Row],[mergeDate]]), U1088, MID(YEAR(patch[[#This Row],[mergeDate]]), 3,2)&amp;"'m"&amp;MONTH(patch[[#This Row],[mergeDate]]))</f>
        <v>16'm9</v>
      </c>
      <c r="V1089" s="7" t="str">
        <f>IF(ISBLANK(patch[[#This Row],[project]]), "",SUM(patch[[#This Row],[BJ -1 num]:[SH -1 num]]))</f>
        <v/>
      </c>
      <c r="W1089" s="7" t="str">
        <f>IF(ISBLANK(patch[[#This Row],[project]]), "",COUNTIFS($A:$A,patch[[#This Row],[number]],$S:$S, "BJ And dev",$AC:$AC, "Review-1"))</f>
        <v/>
      </c>
      <c r="X1089" s="7" t="str">
        <f>IF(ISBLANK(patch[[#This Row],[project]]), "",COUNTIFS($A:$A,patch[[#This Row],[number]],$S:$S, "FL And dev",$AC:$AC, "Review-1"))</f>
        <v/>
      </c>
      <c r="Y1089" s="7" t="str">
        <f>IF(ISBLANK(patch[[#This Row],[project]]), "",COUNTIFS($A:$A,patch[[#This Row],[number]],$S:$S, "SH And dev",$AC:$AC, "Review-1"))</f>
        <v/>
      </c>
      <c r="Z1089" s="7" t="str">
        <f>IF(ISBLANK(patch[[#This Row],[project]]), "",COUNTIFS($A:$A,patch[[#This Row],[number]],$S:$S, "BJ And dev",$AD:$AD, "&lt;&gt;IntegratorValidationComment"))</f>
        <v/>
      </c>
      <c r="AA1089" s="7" t="str">
        <f>IF(ISBLANK(patch[[#This Row],[project]]), "",COUNTIFS($A:$A,patch[[#This Row],[number]],$S:$S, "FL And dev",$AD:$AD, "&lt;&gt;IntegratorValidationComment"))</f>
        <v/>
      </c>
      <c r="AB1089" s="7" t="str">
        <f>IF(ISBLANK(patch[[#This Row],[project]]), "",COUNTIFS($A:$A,patch[[#This Row],[number]],$S:$S, "SH And dev",$AD:$AD, "&lt;&gt;IntegratorValidationComment"))</f>
        <v/>
      </c>
      <c r="AC1089" s="7" t="str">
        <f>IF(OR(ISNUMBER(FIND("Review-1", patch[[#This Row],[comments]])), ISNUMBER(FIND("Approver-1", patch[[#This Row],[comments]]))), "Review-1", "")</f>
        <v/>
      </c>
      <c r="AD10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89" s="7">
        <f>IF(ISBLANK(patch[[#This Row],[number]]),AE1088,patch[[#This Row],[ifCommon]])</f>
        <v>0</v>
      </c>
    </row>
    <row r="1090" spans="1:31">
      <c r="A1090" s="151">
        <v>144258</v>
      </c>
      <c r="B1090" s="151"/>
      <c r="C1090" s="151"/>
      <c r="D1090" s="151"/>
      <c r="E1090" s="151"/>
      <c r="F1090" s="151"/>
      <c r="G1090" s="151"/>
      <c r="H1090" s="151"/>
      <c r="I1090" s="151"/>
      <c r="J1090" s="152">
        <v>42632.753587962958</v>
      </c>
      <c r="K1090" s="151"/>
      <c r="L1090" s="151" t="s">
        <v>72</v>
      </c>
      <c r="M1090" s="152">
        <v>42622.471446759257</v>
      </c>
      <c r="N1090" s="151" t="s">
        <v>2450</v>
      </c>
      <c r="O1090" s="151"/>
      <c r="P1090" s="151"/>
      <c r="Q1090" s="7" t="str">
        <f>IF(ISBLANK(patch[[#This Row],[OwnerEmail]]),Q1089,patch[[#This Row],[OwnerEmail]])</f>
        <v>bin.b.yang@intel.com</v>
      </c>
      <c r="R1090" s="7" t="str">
        <f>_xlfn.IFNA(VLOOKUP(patch[[#This Row],[tmp-owner.email]],OrgTree!$A:$K, 11, 0), "not ICG SWFW")</f>
        <v>BJ And dev</v>
      </c>
      <c r="S1090" s="7" t="str">
        <f>IF(patch[[#This Row],[reviewer]]=patch[[#This Row],[tmp-owner.email]], "author", _xlfn.IFNA(VLOOKUP(patch[[#This Row],[reviewer]],OrgTree!$A:$K, 11, 0), "not ICG SWFW"))</f>
        <v>author</v>
      </c>
      <c r="T1090" s="7" t="str">
        <f>IF(ISBLANK(patch[[#This Row],[mergeDate]]), "", MID(YEAR(patch[[#This Row],[mergeDate]]), 3,2)&amp;"'ww"&amp;WEEKNUM(patch[[#This Row],[mergeDate]]))</f>
        <v>16'ww39</v>
      </c>
      <c r="U1090" s="7" t="str">
        <f>IF(ISBLANK(patch[[#This Row],[mergeDate]]), U1089, MID(YEAR(patch[[#This Row],[mergeDate]]), 3,2)&amp;"'m"&amp;MONTH(patch[[#This Row],[mergeDate]]))</f>
        <v>16'm9</v>
      </c>
      <c r="V1090" s="7" t="str">
        <f>IF(ISBLANK(patch[[#This Row],[project]]), "",SUM(patch[[#This Row],[BJ -1 num]:[SH -1 num]]))</f>
        <v/>
      </c>
      <c r="W1090" s="7" t="str">
        <f>IF(ISBLANK(patch[[#This Row],[project]]), "",COUNTIFS($A:$A,patch[[#This Row],[number]],$S:$S, "BJ And dev",$AC:$AC, "Review-1"))</f>
        <v/>
      </c>
      <c r="X1090" s="7" t="str">
        <f>IF(ISBLANK(patch[[#This Row],[project]]), "",COUNTIFS($A:$A,patch[[#This Row],[number]],$S:$S, "FL And dev",$AC:$AC, "Review-1"))</f>
        <v/>
      </c>
      <c r="Y1090" s="7" t="str">
        <f>IF(ISBLANK(patch[[#This Row],[project]]), "",COUNTIFS($A:$A,patch[[#This Row],[number]],$S:$S, "SH And dev",$AC:$AC, "Review-1"))</f>
        <v/>
      </c>
      <c r="Z1090" s="7" t="str">
        <f>IF(ISBLANK(patch[[#This Row],[project]]), "",COUNTIFS($A:$A,patch[[#This Row],[number]],$S:$S, "BJ And dev",$AD:$AD, "&lt;&gt;IntegratorValidationComment"))</f>
        <v/>
      </c>
      <c r="AA1090" s="7" t="str">
        <f>IF(ISBLANK(patch[[#This Row],[project]]), "",COUNTIFS($A:$A,patch[[#This Row],[number]],$S:$S, "FL And dev",$AD:$AD, "&lt;&gt;IntegratorValidationComment"))</f>
        <v/>
      </c>
      <c r="AB1090" s="7" t="str">
        <f>IF(ISBLANK(patch[[#This Row],[project]]), "",COUNTIFS($A:$A,patch[[#This Row],[number]],$S:$S, "SH And dev",$AD:$AD, "&lt;&gt;IntegratorValidationComment"))</f>
        <v/>
      </c>
      <c r="AC1090" s="7" t="str">
        <f>IF(OR(ISNUMBER(FIND("Review-1", patch[[#This Row],[comments]])), ISNUMBER(FIND("Approver-1", patch[[#This Row],[comments]]))), "Review-1", "")</f>
        <v/>
      </c>
      <c r="AD10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90" s="7">
        <f>IF(ISBLANK(patch[[#This Row],[number]]),AE1089,patch[[#This Row],[ifCommon]])</f>
        <v>0</v>
      </c>
    </row>
    <row r="1091" spans="1:31">
      <c r="A1091" s="151">
        <v>144258</v>
      </c>
      <c r="B1091" s="151"/>
      <c r="C1091" s="151"/>
      <c r="D1091" s="151"/>
      <c r="E1091" s="151"/>
      <c r="F1091" s="151"/>
      <c r="G1091" s="151"/>
      <c r="H1091" s="151"/>
      <c r="I1091" s="151"/>
      <c r="J1091" s="152">
        <v>42632.753587962958</v>
      </c>
      <c r="K1091" s="151"/>
      <c r="L1091" s="151" t="s">
        <v>59</v>
      </c>
      <c r="M1091" s="152">
        <v>42622.475543981483</v>
      </c>
      <c r="N1091" s="151" t="s">
        <v>3141</v>
      </c>
      <c r="O1091" s="151"/>
      <c r="P1091" s="151"/>
      <c r="Q1091" s="7" t="str">
        <f>IF(ISBLANK(patch[[#This Row],[OwnerEmail]]),Q1090,patch[[#This Row],[OwnerEmail]])</f>
        <v>bin.b.yang@intel.com</v>
      </c>
      <c r="R1091" s="7" t="str">
        <f>_xlfn.IFNA(VLOOKUP(patch[[#This Row],[tmp-owner.email]],OrgTree!$A:$K, 11, 0), "not ICG SWFW")</f>
        <v>BJ And dev</v>
      </c>
      <c r="S1091" s="7" t="str">
        <f>IF(patch[[#This Row],[reviewer]]=patch[[#This Row],[tmp-owner.email]], "author", _xlfn.IFNA(VLOOKUP(patch[[#This Row],[reviewer]],OrgTree!$A:$K, 11, 0), "not ICG SWFW"))</f>
        <v>BJ And dev</v>
      </c>
      <c r="T1091" s="7" t="str">
        <f>IF(ISBLANK(patch[[#This Row],[mergeDate]]), "", MID(YEAR(patch[[#This Row],[mergeDate]]), 3,2)&amp;"'ww"&amp;WEEKNUM(patch[[#This Row],[mergeDate]]))</f>
        <v>16'ww39</v>
      </c>
      <c r="U1091" s="7" t="str">
        <f>IF(ISBLANK(patch[[#This Row],[mergeDate]]), U1090, MID(YEAR(patch[[#This Row],[mergeDate]]), 3,2)&amp;"'m"&amp;MONTH(patch[[#This Row],[mergeDate]]))</f>
        <v>16'm9</v>
      </c>
      <c r="V1091" s="7" t="str">
        <f>IF(ISBLANK(patch[[#This Row],[project]]), "",SUM(patch[[#This Row],[BJ -1 num]:[SH -1 num]]))</f>
        <v/>
      </c>
      <c r="W1091" s="7" t="str">
        <f>IF(ISBLANK(patch[[#This Row],[project]]), "",COUNTIFS($A:$A,patch[[#This Row],[number]],$S:$S, "BJ And dev",$AC:$AC, "Review-1"))</f>
        <v/>
      </c>
      <c r="X1091" s="7" t="str">
        <f>IF(ISBLANK(patch[[#This Row],[project]]), "",COUNTIFS($A:$A,patch[[#This Row],[number]],$S:$S, "FL And dev",$AC:$AC, "Review-1"))</f>
        <v/>
      </c>
      <c r="Y1091" s="7" t="str">
        <f>IF(ISBLANK(patch[[#This Row],[project]]), "",COUNTIFS($A:$A,patch[[#This Row],[number]],$S:$S, "SH And dev",$AC:$AC, "Review-1"))</f>
        <v/>
      </c>
      <c r="Z1091" s="7" t="str">
        <f>IF(ISBLANK(patch[[#This Row],[project]]), "",COUNTIFS($A:$A,patch[[#This Row],[number]],$S:$S, "BJ And dev",$AD:$AD, "&lt;&gt;IntegratorValidationComment"))</f>
        <v/>
      </c>
      <c r="AA1091" s="7" t="str">
        <f>IF(ISBLANK(patch[[#This Row],[project]]), "",COUNTIFS($A:$A,patch[[#This Row],[number]],$S:$S, "FL And dev",$AD:$AD, "&lt;&gt;IntegratorValidationComment"))</f>
        <v/>
      </c>
      <c r="AB1091" s="7" t="str">
        <f>IF(ISBLANK(patch[[#This Row],[project]]), "",COUNTIFS($A:$A,patch[[#This Row],[number]],$S:$S, "SH And dev",$AD:$AD, "&lt;&gt;IntegratorValidationComment"))</f>
        <v/>
      </c>
      <c r="AC1091" s="7" t="str">
        <f>IF(OR(ISNUMBER(FIND("Review-1", patch[[#This Row],[comments]])), ISNUMBER(FIND("Approver-1", patch[[#This Row],[comments]]))), "Review-1", "")</f>
        <v/>
      </c>
      <c r="AD10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91" s="7">
        <f>IF(ISBLANK(patch[[#This Row],[number]]),AE1090,patch[[#This Row],[ifCommon]])</f>
        <v>0</v>
      </c>
    </row>
    <row r="1092" spans="1:31">
      <c r="A1092" s="151">
        <v>144258</v>
      </c>
      <c r="B1092" s="151"/>
      <c r="C1092" s="151"/>
      <c r="D1092" s="151"/>
      <c r="E1092" s="151"/>
      <c r="F1092" s="151"/>
      <c r="G1092" s="151"/>
      <c r="H1092" s="151"/>
      <c r="I1092" s="151"/>
      <c r="J1092" s="152">
        <v>42632.753587962958</v>
      </c>
      <c r="K1092" s="151"/>
      <c r="L1092" s="151" t="s">
        <v>59</v>
      </c>
      <c r="M1092" s="152">
        <v>42622.478217592587</v>
      </c>
      <c r="N1092" s="151" t="s">
        <v>3142</v>
      </c>
      <c r="O1092" s="151"/>
      <c r="P1092" s="151"/>
      <c r="Q1092" s="7" t="str">
        <f>IF(ISBLANK(patch[[#This Row],[OwnerEmail]]),Q1091,patch[[#This Row],[OwnerEmail]])</f>
        <v>bin.b.yang@intel.com</v>
      </c>
      <c r="R1092" s="7" t="str">
        <f>_xlfn.IFNA(VLOOKUP(patch[[#This Row],[tmp-owner.email]],OrgTree!$A:$K, 11, 0), "not ICG SWFW")</f>
        <v>BJ And dev</v>
      </c>
      <c r="S1092" s="7" t="str">
        <f>IF(patch[[#This Row],[reviewer]]=patch[[#This Row],[tmp-owner.email]], "author", _xlfn.IFNA(VLOOKUP(patch[[#This Row],[reviewer]],OrgTree!$A:$K, 11, 0), "not ICG SWFW"))</f>
        <v>BJ And dev</v>
      </c>
      <c r="T1092" s="7" t="str">
        <f>IF(ISBLANK(patch[[#This Row],[mergeDate]]), "", MID(YEAR(patch[[#This Row],[mergeDate]]), 3,2)&amp;"'ww"&amp;WEEKNUM(patch[[#This Row],[mergeDate]]))</f>
        <v>16'ww39</v>
      </c>
      <c r="U1092" s="7" t="str">
        <f>IF(ISBLANK(patch[[#This Row],[mergeDate]]), U1091, MID(YEAR(patch[[#This Row],[mergeDate]]), 3,2)&amp;"'m"&amp;MONTH(patch[[#This Row],[mergeDate]]))</f>
        <v>16'm9</v>
      </c>
      <c r="V1092" s="7" t="str">
        <f>IF(ISBLANK(patch[[#This Row],[project]]), "",SUM(patch[[#This Row],[BJ -1 num]:[SH -1 num]]))</f>
        <v/>
      </c>
      <c r="W1092" s="7" t="str">
        <f>IF(ISBLANK(patch[[#This Row],[project]]), "",COUNTIFS($A:$A,patch[[#This Row],[number]],$S:$S, "BJ And dev",$AC:$AC, "Review-1"))</f>
        <v/>
      </c>
      <c r="X1092" s="7" t="str">
        <f>IF(ISBLANK(patch[[#This Row],[project]]), "",COUNTIFS($A:$A,patch[[#This Row],[number]],$S:$S, "FL And dev",$AC:$AC, "Review-1"))</f>
        <v/>
      </c>
      <c r="Y1092" s="7" t="str">
        <f>IF(ISBLANK(patch[[#This Row],[project]]), "",COUNTIFS($A:$A,patch[[#This Row],[number]],$S:$S, "SH And dev",$AC:$AC, "Review-1"))</f>
        <v/>
      </c>
      <c r="Z1092" s="7" t="str">
        <f>IF(ISBLANK(patch[[#This Row],[project]]), "",COUNTIFS($A:$A,patch[[#This Row],[number]],$S:$S, "BJ And dev",$AD:$AD, "&lt;&gt;IntegratorValidationComment"))</f>
        <v/>
      </c>
      <c r="AA1092" s="7" t="str">
        <f>IF(ISBLANK(patch[[#This Row],[project]]), "",COUNTIFS($A:$A,patch[[#This Row],[number]],$S:$S, "FL And dev",$AD:$AD, "&lt;&gt;IntegratorValidationComment"))</f>
        <v/>
      </c>
      <c r="AB1092" s="7" t="str">
        <f>IF(ISBLANK(patch[[#This Row],[project]]), "",COUNTIFS($A:$A,patch[[#This Row],[number]],$S:$S, "SH And dev",$AD:$AD, "&lt;&gt;IntegratorValidationComment"))</f>
        <v/>
      </c>
      <c r="AC1092" s="7" t="str">
        <f>IF(OR(ISNUMBER(FIND("Review-1", patch[[#This Row],[comments]])), ISNUMBER(FIND("Approver-1", patch[[#This Row],[comments]]))), "Review-1", "")</f>
        <v/>
      </c>
      <c r="AD10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92" s="7">
        <f>IF(ISBLANK(patch[[#This Row],[number]]),AE1091,patch[[#This Row],[ifCommon]])</f>
        <v>0</v>
      </c>
    </row>
    <row r="1093" spans="1:31">
      <c r="A1093" s="151">
        <v>144258</v>
      </c>
      <c r="B1093" s="151"/>
      <c r="C1093" s="151"/>
      <c r="D1093" s="151"/>
      <c r="E1093" s="151"/>
      <c r="F1093" s="151"/>
      <c r="G1093" s="151"/>
      <c r="H1093" s="151"/>
      <c r="I1093" s="151"/>
      <c r="J1093" s="152">
        <v>42632.753587962958</v>
      </c>
      <c r="K1093" s="151"/>
      <c r="L1093" s="151" t="s">
        <v>2508</v>
      </c>
      <c r="M1093" s="152">
        <v>42622.513379629629</v>
      </c>
      <c r="N1093" s="151" t="s">
        <v>48</v>
      </c>
      <c r="O1093" s="151"/>
      <c r="P1093" s="151"/>
      <c r="Q1093" s="7" t="str">
        <f>IF(ISBLANK(patch[[#This Row],[OwnerEmail]]),Q1092,patch[[#This Row],[OwnerEmail]])</f>
        <v>bin.b.yang@intel.com</v>
      </c>
      <c r="R1093" s="7" t="str">
        <f>_xlfn.IFNA(VLOOKUP(patch[[#This Row],[tmp-owner.email]],OrgTree!$A:$K, 11, 0), "not ICG SWFW")</f>
        <v>BJ And dev</v>
      </c>
      <c r="S1093" s="7" t="str">
        <f>IF(patch[[#This Row],[reviewer]]=patch[[#This Row],[tmp-owner.email]], "author", _xlfn.IFNA(VLOOKUP(patch[[#This Row],[reviewer]],OrgTree!$A:$K, 11, 0), "not ICG SWFW"))</f>
        <v>not ICG SWFW</v>
      </c>
      <c r="T1093" s="7" t="str">
        <f>IF(ISBLANK(patch[[#This Row],[mergeDate]]), "", MID(YEAR(patch[[#This Row],[mergeDate]]), 3,2)&amp;"'ww"&amp;WEEKNUM(patch[[#This Row],[mergeDate]]))</f>
        <v>16'ww39</v>
      </c>
      <c r="U1093" s="7" t="str">
        <f>IF(ISBLANK(patch[[#This Row],[mergeDate]]), U1092, MID(YEAR(patch[[#This Row],[mergeDate]]), 3,2)&amp;"'m"&amp;MONTH(patch[[#This Row],[mergeDate]]))</f>
        <v>16'm9</v>
      </c>
      <c r="V1093" s="7" t="str">
        <f>IF(ISBLANK(patch[[#This Row],[project]]), "",SUM(patch[[#This Row],[BJ -1 num]:[SH -1 num]]))</f>
        <v/>
      </c>
      <c r="W1093" s="7" t="str">
        <f>IF(ISBLANK(patch[[#This Row],[project]]), "",COUNTIFS($A:$A,patch[[#This Row],[number]],$S:$S, "BJ And dev",$AC:$AC, "Review-1"))</f>
        <v/>
      </c>
      <c r="X1093" s="7" t="str">
        <f>IF(ISBLANK(patch[[#This Row],[project]]), "",COUNTIFS($A:$A,patch[[#This Row],[number]],$S:$S, "FL And dev",$AC:$AC, "Review-1"))</f>
        <v/>
      </c>
      <c r="Y1093" s="7" t="str">
        <f>IF(ISBLANK(patch[[#This Row],[project]]), "",COUNTIFS($A:$A,patch[[#This Row],[number]],$S:$S, "SH And dev",$AC:$AC, "Review-1"))</f>
        <v/>
      </c>
      <c r="Z1093" s="7" t="str">
        <f>IF(ISBLANK(patch[[#This Row],[project]]), "",COUNTIFS($A:$A,patch[[#This Row],[number]],$S:$S, "BJ And dev",$AD:$AD, "&lt;&gt;IntegratorValidationComment"))</f>
        <v/>
      </c>
      <c r="AA1093" s="7" t="str">
        <f>IF(ISBLANK(patch[[#This Row],[project]]), "",COUNTIFS($A:$A,patch[[#This Row],[number]],$S:$S, "FL And dev",$AD:$AD, "&lt;&gt;IntegratorValidationComment"))</f>
        <v/>
      </c>
      <c r="AB1093" s="7" t="str">
        <f>IF(ISBLANK(patch[[#This Row],[project]]), "",COUNTIFS($A:$A,patch[[#This Row],[number]],$S:$S, "SH And dev",$AD:$AD, "&lt;&gt;IntegratorValidationComment"))</f>
        <v/>
      </c>
      <c r="AC1093" s="7" t="str">
        <f>IF(OR(ISNUMBER(FIND("Review-1", patch[[#This Row],[comments]])), ISNUMBER(FIND("Approver-1", patch[[#This Row],[comments]]))), "Review-1", "")</f>
        <v/>
      </c>
      <c r="AD10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93" s="7">
        <f>IF(ISBLANK(patch[[#This Row],[number]]),AE1092,patch[[#This Row],[ifCommon]])</f>
        <v>0</v>
      </c>
    </row>
    <row r="1094" spans="1:31">
      <c r="A1094" s="151">
        <v>144258</v>
      </c>
      <c r="B1094" s="151"/>
      <c r="C1094" s="151"/>
      <c r="D1094" s="151"/>
      <c r="E1094" s="151"/>
      <c r="F1094" s="151"/>
      <c r="G1094" s="151"/>
      <c r="H1094" s="151"/>
      <c r="I1094" s="151"/>
      <c r="J1094" s="152">
        <v>42632.753587962958</v>
      </c>
      <c r="K1094" s="151"/>
      <c r="L1094" s="151" t="s">
        <v>59</v>
      </c>
      <c r="M1094" s="152">
        <v>42622.515752314823</v>
      </c>
      <c r="N1094" s="151" t="s">
        <v>2471</v>
      </c>
      <c r="O1094" s="151" t="s">
        <v>3143</v>
      </c>
      <c r="P1094" s="151"/>
      <c r="Q1094" s="7" t="str">
        <f>IF(ISBLANK(patch[[#This Row],[OwnerEmail]]),Q1093,patch[[#This Row],[OwnerEmail]])</f>
        <v>bin.b.yang@intel.com</v>
      </c>
      <c r="R1094" s="7" t="str">
        <f>_xlfn.IFNA(VLOOKUP(patch[[#This Row],[tmp-owner.email]],OrgTree!$A:$K, 11, 0), "not ICG SWFW")</f>
        <v>BJ And dev</v>
      </c>
      <c r="S1094" s="7" t="str">
        <f>IF(patch[[#This Row],[reviewer]]=patch[[#This Row],[tmp-owner.email]], "author", _xlfn.IFNA(VLOOKUP(patch[[#This Row],[reviewer]],OrgTree!$A:$K, 11, 0), "not ICG SWFW"))</f>
        <v>BJ And dev</v>
      </c>
      <c r="T1094" s="7" t="str">
        <f>IF(ISBLANK(patch[[#This Row],[mergeDate]]), "", MID(YEAR(patch[[#This Row],[mergeDate]]), 3,2)&amp;"'ww"&amp;WEEKNUM(patch[[#This Row],[mergeDate]]))</f>
        <v>16'ww39</v>
      </c>
      <c r="U1094" s="7" t="str">
        <f>IF(ISBLANK(patch[[#This Row],[mergeDate]]), U1093, MID(YEAR(patch[[#This Row],[mergeDate]]), 3,2)&amp;"'m"&amp;MONTH(patch[[#This Row],[mergeDate]]))</f>
        <v>16'm9</v>
      </c>
      <c r="V1094" s="7" t="str">
        <f>IF(ISBLANK(patch[[#This Row],[project]]), "",SUM(patch[[#This Row],[BJ -1 num]:[SH -1 num]]))</f>
        <v/>
      </c>
      <c r="W1094" s="7" t="str">
        <f>IF(ISBLANK(patch[[#This Row],[project]]), "",COUNTIFS($A:$A,patch[[#This Row],[number]],$S:$S, "BJ And dev",$AC:$AC, "Review-1"))</f>
        <v/>
      </c>
      <c r="X1094" s="7" t="str">
        <f>IF(ISBLANK(patch[[#This Row],[project]]), "",COUNTIFS($A:$A,patch[[#This Row],[number]],$S:$S, "FL And dev",$AC:$AC, "Review-1"))</f>
        <v/>
      </c>
      <c r="Y1094" s="7" t="str">
        <f>IF(ISBLANK(patch[[#This Row],[project]]), "",COUNTIFS($A:$A,patch[[#This Row],[number]],$S:$S, "SH And dev",$AC:$AC, "Review-1"))</f>
        <v/>
      </c>
      <c r="Z1094" s="7" t="str">
        <f>IF(ISBLANK(patch[[#This Row],[project]]), "",COUNTIFS($A:$A,patch[[#This Row],[number]],$S:$S, "BJ And dev",$AD:$AD, "&lt;&gt;IntegratorValidationComment"))</f>
        <v/>
      </c>
      <c r="AA1094" s="7" t="str">
        <f>IF(ISBLANK(patch[[#This Row],[project]]), "",COUNTIFS($A:$A,patch[[#This Row],[number]],$S:$S, "FL And dev",$AD:$AD, "&lt;&gt;IntegratorValidationComment"))</f>
        <v/>
      </c>
      <c r="AB1094" s="7" t="str">
        <f>IF(ISBLANK(patch[[#This Row],[project]]), "",COUNTIFS($A:$A,patch[[#This Row],[number]],$S:$S, "SH And dev",$AD:$AD, "&lt;&gt;IntegratorValidationComment"))</f>
        <v/>
      </c>
      <c r="AC1094" s="7" t="str">
        <f>IF(OR(ISNUMBER(FIND("Review-1", patch[[#This Row],[comments]])), ISNUMBER(FIND("Approver-1", patch[[#This Row],[comments]]))), "Review-1", "")</f>
        <v/>
      </c>
      <c r="AD10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94" s="7">
        <f>IF(ISBLANK(patch[[#This Row],[number]]),AE1093,patch[[#This Row],[ifCommon]])</f>
        <v>0</v>
      </c>
    </row>
    <row r="1095" spans="1:31">
      <c r="A1095" s="151">
        <v>144258</v>
      </c>
      <c r="B1095" s="151"/>
      <c r="C1095" s="151"/>
      <c r="D1095" s="151"/>
      <c r="E1095" s="151"/>
      <c r="F1095" s="151"/>
      <c r="G1095" s="151"/>
      <c r="H1095" s="151"/>
      <c r="I1095" s="151"/>
      <c r="J1095" s="152">
        <v>42632.753587962958</v>
      </c>
      <c r="K1095" s="151"/>
      <c r="L1095" s="151" t="s">
        <v>2508</v>
      </c>
      <c r="M1095" s="152">
        <v>42622.516145833331</v>
      </c>
      <c r="N1095" s="151" t="s">
        <v>2470</v>
      </c>
      <c r="O1095" s="151" t="s">
        <v>3144</v>
      </c>
      <c r="P1095" s="151"/>
      <c r="Q1095" s="7" t="str">
        <f>IF(ISBLANK(patch[[#This Row],[OwnerEmail]]),Q1094,patch[[#This Row],[OwnerEmail]])</f>
        <v>bin.b.yang@intel.com</v>
      </c>
      <c r="R1095" s="7" t="str">
        <f>_xlfn.IFNA(VLOOKUP(patch[[#This Row],[tmp-owner.email]],OrgTree!$A:$K, 11, 0), "not ICG SWFW")</f>
        <v>BJ And dev</v>
      </c>
      <c r="S1095" s="7" t="str">
        <f>IF(patch[[#This Row],[reviewer]]=patch[[#This Row],[tmp-owner.email]], "author", _xlfn.IFNA(VLOOKUP(patch[[#This Row],[reviewer]],OrgTree!$A:$K, 11, 0), "not ICG SWFW"))</f>
        <v>not ICG SWFW</v>
      </c>
      <c r="T1095" s="7" t="str">
        <f>IF(ISBLANK(patch[[#This Row],[mergeDate]]), "", MID(YEAR(patch[[#This Row],[mergeDate]]), 3,2)&amp;"'ww"&amp;WEEKNUM(patch[[#This Row],[mergeDate]]))</f>
        <v>16'ww39</v>
      </c>
      <c r="U1095" s="7" t="str">
        <f>IF(ISBLANK(patch[[#This Row],[mergeDate]]), U1094, MID(YEAR(patch[[#This Row],[mergeDate]]), 3,2)&amp;"'m"&amp;MONTH(patch[[#This Row],[mergeDate]]))</f>
        <v>16'm9</v>
      </c>
      <c r="V1095" s="7" t="str">
        <f>IF(ISBLANK(patch[[#This Row],[project]]), "",SUM(patch[[#This Row],[BJ -1 num]:[SH -1 num]]))</f>
        <v/>
      </c>
      <c r="W1095" s="7" t="str">
        <f>IF(ISBLANK(patch[[#This Row],[project]]), "",COUNTIFS($A:$A,patch[[#This Row],[number]],$S:$S, "BJ And dev",$AC:$AC, "Review-1"))</f>
        <v/>
      </c>
      <c r="X1095" s="7" t="str">
        <f>IF(ISBLANK(patch[[#This Row],[project]]), "",COUNTIFS($A:$A,patch[[#This Row],[number]],$S:$S, "FL And dev",$AC:$AC, "Review-1"))</f>
        <v/>
      </c>
      <c r="Y1095" s="7" t="str">
        <f>IF(ISBLANK(patch[[#This Row],[project]]), "",COUNTIFS($A:$A,patch[[#This Row],[number]],$S:$S, "SH And dev",$AC:$AC, "Review-1"))</f>
        <v/>
      </c>
      <c r="Z1095" s="7" t="str">
        <f>IF(ISBLANK(patch[[#This Row],[project]]), "",COUNTIFS($A:$A,patch[[#This Row],[number]],$S:$S, "BJ And dev",$AD:$AD, "&lt;&gt;IntegratorValidationComment"))</f>
        <v/>
      </c>
      <c r="AA1095" s="7" t="str">
        <f>IF(ISBLANK(patch[[#This Row],[project]]), "",COUNTIFS($A:$A,patch[[#This Row],[number]],$S:$S, "FL And dev",$AD:$AD, "&lt;&gt;IntegratorValidationComment"))</f>
        <v/>
      </c>
      <c r="AB1095" s="7" t="str">
        <f>IF(ISBLANK(patch[[#This Row],[project]]), "",COUNTIFS($A:$A,patch[[#This Row],[number]],$S:$S, "SH And dev",$AD:$AD, "&lt;&gt;IntegratorValidationComment"))</f>
        <v/>
      </c>
      <c r="AC1095" s="7" t="str">
        <f>IF(OR(ISNUMBER(FIND("Review-1", patch[[#This Row],[comments]])), ISNUMBER(FIND("Approver-1", patch[[#This Row],[comments]]))), "Review-1", "")</f>
        <v/>
      </c>
      <c r="AD10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95" s="7">
        <f>IF(ISBLANK(patch[[#This Row],[number]]),AE1094,patch[[#This Row],[ifCommon]])</f>
        <v>0</v>
      </c>
    </row>
    <row r="1096" spans="1:31">
      <c r="A1096" s="151">
        <v>144258</v>
      </c>
      <c r="B1096" s="151"/>
      <c r="C1096" s="151"/>
      <c r="D1096" s="151"/>
      <c r="E1096" s="151"/>
      <c r="F1096" s="151"/>
      <c r="G1096" s="151"/>
      <c r="H1096" s="151"/>
      <c r="I1096" s="151"/>
      <c r="J1096" s="152">
        <v>42632.753587962958</v>
      </c>
      <c r="K1096" s="151"/>
      <c r="L1096" s="151" t="s">
        <v>1237</v>
      </c>
      <c r="M1096" s="152">
        <v>42622.570069444453</v>
      </c>
      <c r="N1096" s="151" t="s">
        <v>2470</v>
      </c>
      <c r="O1096" s="151" t="s">
        <v>3145</v>
      </c>
      <c r="P1096" s="151"/>
      <c r="Q1096" s="7" t="str">
        <f>IF(ISBLANK(patch[[#This Row],[OwnerEmail]]),Q1095,patch[[#This Row],[OwnerEmail]])</f>
        <v>bin.b.yang@intel.com</v>
      </c>
      <c r="R1096" s="7" t="str">
        <f>_xlfn.IFNA(VLOOKUP(patch[[#This Row],[tmp-owner.email]],OrgTree!$A:$K, 11, 0), "not ICG SWFW")</f>
        <v>BJ And dev</v>
      </c>
      <c r="S1096" s="7" t="str">
        <f>IF(patch[[#This Row],[reviewer]]=patch[[#This Row],[tmp-owner.email]], "author", _xlfn.IFNA(VLOOKUP(patch[[#This Row],[reviewer]],OrgTree!$A:$K, 11, 0), "not ICG SWFW"))</f>
        <v>BJ And dev</v>
      </c>
      <c r="T1096" s="7" t="str">
        <f>IF(ISBLANK(patch[[#This Row],[mergeDate]]), "", MID(YEAR(patch[[#This Row],[mergeDate]]), 3,2)&amp;"'ww"&amp;WEEKNUM(patch[[#This Row],[mergeDate]]))</f>
        <v>16'ww39</v>
      </c>
      <c r="U1096" s="7" t="str">
        <f>IF(ISBLANK(patch[[#This Row],[mergeDate]]), U1095, MID(YEAR(patch[[#This Row],[mergeDate]]), 3,2)&amp;"'m"&amp;MONTH(patch[[#This Row],[mergeDate]]))</f>
        <v>16'm9</v>
      </c>
      <c r="V1096" s="7" t="str">
        <f>IF(ISBLANK(patch[[#This Row],[project]]), "",SUM(patch[[#This Row],[BJ -1 num]:[SH -1 num]]))</f>
        <v/>
      </c>
      <c r="W1096" s="7" t="str">
        <f>IF(ISBLANK(patch[[#This Row],[project]]), "",COUNTIFS($A:$A,patch[[#This Row],[number]],$S:$S, "BJ And dev",$AC:$AC, "Review-1"))</f>
        <v/>
      </c>
      <c r="X1096" s="7" t="str">
        <f>IF(ISBLANK(patch[[#This Row],[project]]), "",COUNTIFS($A:$A,patch[[#This Row],[number]],$S:$S, "FL And dev",$AC:$AC, "Review-1"))</f>
        <v/>
      </c>
      <c r="Y1096" s="7" t="str">
        <f>IF(ISBLANK(patch[[#This Row],[project]]), "",COUNTIFS($A:$A,patch[[#This Row],[number]],$S:$S, "SH And dev",$AC:$AC, "Review-1"))</f>
        <v/>
      </c>
      <c r="Z1096" s="7" t="str">
        <f>IF(ISBLANK(patch[[#This Row],[project]]), "",COUNTIFS($A:$A,patch[[#This Row],[number]],$S:$S, "BJ And dev",$AD:$AD, "&lt;&gt;IntegratorValidationComment"))</f>
        <v/>
      </c>
      <c r="AA1096" s="7" t="str">
        <f>IF(ISBLANK(patch[[#This Row],[project]]), "",COUNTIFS($A:$A,patch[[#This Row],[number]],$S:$S, "FL And dev",$AD:$AD, "&lt;&gt;IntegratorValidationComment"))</f>
        <v/>
      </c>
      <c r="AB1096" s="7" t="str">
        <f>IF(ISBLANK(patch[[#This Row],[project]]), "",COUNTIFS($A:$A,patch[[#This Row],[number]],$S:$S, "SH And dev",$AD:$AD, "&lt;&gt;IntegratorValidationComment"))</f>
        <v/>
      </c>
      <c r="AC1096" s="7" t="str">
        <f>IF(OR(ISNUMBER(FIND("Review-1", patch[[#This Row],[comments]])), ISNUMBER(FIND("Approver-1", patch[[#This Row],[comments]]))), "Review-1", "")</f>
        <v/>
      </c>
      <c r="AD10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96" s="7">
        <f>IF(ISBLANK(patch[[#This Row],[number]]),AE1095,patch[[#This Row],[ifCommon]])</f>
        <v>0</v>
      </c>
    </row>
    <row r="1097" spans="1:31">
      <c r="A1097" s="151">
        <v>144258</v>
      </c>
      <c r="B1097" s="151"/>
      <c r="C1097" s="151"/>
      <c r="D1097" s="151"/>
      <c r="E1097" s="151"/>
      <c r="F1097" s="151"/>
      <c r="G1097" s="151"/>
      <c r="H1097" s="151"/>
      <c r="I1097" s="151"/>
      <c r="J1097" s="152">
        <v>42632.753587962958</v>
      </c>
      <c r="K1097" s="151"/>
      <c r="L1097" s="151" t="s">
        <v>72</v>
      </c>
      <c r="M1097" s="152">
        <v>42622.57234953704</v>
      </c>
      <c r="N1097" s="151" t="s">
        <v>3146</v>
      </c>
      <c r="O1097" s="151" t="s">
        <v>3147</v>
      </c>
      <c r="P1097" s="151"/>
      <c r="Q1097" s="7" t="str">
        <f>IF(ISBLANK(patch[[#This Row],[OwnerEmail]]),Q1096,patch[[#This Row],[OwnerEmail]])</f>
        <v>bin.b.yang@intel.com</v>
      </c>
      <c r="R1097" s="7" t="str">
        <f>_xlfn.IFNA(VLOOKUP(patch[[#This Row],[tmp-owner.email]],OrgTree!$A:$K, 11, 0), "not ICG SWFW")</f>
        <v>BJ And dev</v>
      </c>
      <c r="S1097" s="7" t="str">
        <f>IF(patch[[#This Row],[reviewer]]=patch[[#This Row],[tmp-owner.email]], "author", _xlfn.IFNA(VLOOKUP(patch[[#This Row],[reviewer]],OrgTree!$A:$K, 11, 0), "not ICG SWFW"))</f>
        <v>author</v>
      </c>
      <c r="T1097" s="7" t="str">
        <f>IF(ISBLANK(patch[[#This Row],[mergeDate]]), "", MID(YEAR(patch[[#This Row],[mergeDate]]), 3,2)&amp;"'ww"&amp;WEEKNUM(patch[[#This Row],[mergeDate]]))</f>
        <v>16'ww39</v>
      </c>
      <c r="U1097" s="7" t="str">
        <f>IF(ISBLANK(patch[[#This Row],[mergeDate]]), U1096, MID(YEAR(patch[[#This Row],[mergeDate]]), 3,2)&amp;"'m"&amp;MONTH(patch[[#This Row],[mergeDate]]))</f>
        <v>16'm9</v>
      </c>
      <c r="V1097" s="7" t="str">
        <f>IF(ISBLANK(patch[[#This Row],[project]]), "",SUM(patch[[#This Row],[BJ -1 num]:[SH -1 num]]))</f>
        <v/>
      </c>
      <c r="W1097" s="7" t="str">
        <f>IF(ISBLANK(patch[[#This Row],[project]]), "",COUNTIFS($A:$A,patch[[#This Row],[number]],$S:$S, "BJ And dev",$AC:$AC, "Review-1"))</f>
        <v/>
      </c>
      <c r="X1097" s="7" t="str">
        <f>IF(ISBLANK(patch[[#This Row],[project]]), "",COUNTIFS($A:$A,patch[[#This Row],[number]],$S:$S, "FL And dev",$AC:$AC, "Review-1"))</f>
        <v/>
      </c>
      <c r="Y1097" s="7" t="str">
        <f>IF(ISBLANK(patch[[#This Row],[project]]), "",COUNTIFS($A:$A,patch[[#This Row],[number]],$S:$S, "SH And dev",$AC:$AC, "Review-1"))</f>
        <v/>
      </c>
      <c r="Z1097" s="7" t="str">
        <f>IF(ISBLANK(patch[[#This Row],[project]]), "",COUNTIFS($A:$A,patch[[#This Row],[number]],$S:$S, "BJ And dev",$AD:$AD, "&lt;&gt;IntegratorValidationComment"))</f>
        <v/>
      </c>
      <c r="AA1097" s="7" t="str">
        <f>IF(ISBLANK(patch[[#This Row],[project]]), "",COUNTIFS($A:$A,patch[[#This Row],[number]],$S:$S, "FL And dev",$AD:$AD, "&lt;&gt;IntegratorValidationComment"))</f>
        <v/>
      </c>
      <c r="AB1097" s="7" t="str">
        <f>IF(ISBLANK(patch[[#This Row],[project]]), "",COUNTIFS($A:$A,patch[[#This Row],[number]],$S:$S, "SH And dev",$AD:$AD, "&lt;&gt;IntegratorValidationComment"))</f>
        <v/>
      </c>
      <c r="AC1097" s="7" t="str">
        <f>IF(OR(ISNUMBER(FIND("Review-1", patch[[#This Row],[comments]])), ISNUMBER(FIND("Approver-1", patch[[#This Row],[comments]]))), "Review-1", "")</f>
        <v/>
      </c>
      <c r="AD10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97" s="7">
        <f>IF(ISBLANK(patch[[#This Row],[number]]),AE1096,patch[[#This Row],[ifCommon]])</f>
        <v>0</v>
      </c>
    </row>
    <row r="1098" spans="1:31">
      <c r="A1098" s="151">
        <v>144258</v>
      </c>
      <c r="B1098" s="151"/>
      <c r="C1098" s="151"/>
      <c r="D1098" s="151"/>
      <c r="E1098" s="151"/>
      <c r="F1098" s="151"/>
      <c r="G1098" s="151"/>
      <c r="H1098" s="151"/>
      <c r="I1098" s="152"/>
      <c r="J1098" s="152">
        <v>42632.753587962958</v>
      </c>
      <c r="K1098" s="151"/>
      <c r="L1098" s="151" t="s">
        <v>24</v>
      </c>
      <c r="M1098" s="152">
        <v>42622.644004629627</v>
      </c>
      <c r="N1098" s="151" t="s">
        <v>2528</v>
      </c>
      <c r="O1098" s="151" t="s">
        <v>3148</v>
      </c>
      <c r="P1098" s="151"/>
      <c r="Q1098" s="7" t="str">
        <f>IF(ISBLANK(patch[[#This Row],[OwnerEmail]]),Q1097,patch[[#This Row],[OwnerEmail]])</f>
        <v>bin.b.yang@intel.com</v>
      </c>
      <c r="R1098" s="7" t="str">
        <f>_xlfn.IFNA(VLOOKUP(patch[[#This Row],[tmp-owner.email]],OrgTree!$A:$K, 11, 0), "not ICG SWFW")</f>
        <v>BJ And dev</v>
      </c>
      <c r="S1098" s="7" t="str">
        <f>IF(patch[[#This Row],[reviewer]]=patch[[#This Row],[tmp-owner.email]], "author", _xlfn.IFNA(VLOOKUP(patch[[#This Row],[reviewer]],OrgTree!$A:$K, 11, 0), "not ICG SWFW"))</f>
        <v>BJ And dev</v>
      </c>
      <c r="T1098" s="7" t="str">
        <f>IF(ISBLANK(patch[[#This Row],[mergeDate]]), "", MID(YEAR(patch[[#This Row],[mergeDate]]), 3,2)&amp;"'ww"&amp;WEEKNUM(patch[[#This Row],[mergeDate]]))</f>
        <v>16'ww39</v>
      </c>
      <c r="U1098" s="7" t="str">
        <f>IF(ISBLANK(patch[[#This Row],[mergeDate]]), U1097, MID(YEAR(patch[[#This Row],[mergeDate]]), 3,2)&amp;"'m"&amp;MONTH(patch[[#This Row],[mergeDate]]))</f>
        <v>16'm9</v>
      </c>
      <c r="V1098" s="7" t="str">
        <f>IF(ISBLANK(patch[[#This Row],[project]]), "",SUM(patch[[#This Row],[BJ -1 num]:[SH -1 num]]))</f>
        <v/>
      </c>
      <c r="W1098" s="7" t="str">
        <f>IF(ISBLANK(patch[[#This Row],[project]]), "",COUNTIFS($A:$A,patch[[#This Row],[number]],$S:$S, "BJ And dev",$AC:$AC, "Review-1"))</f>
        <v/>
      </c>
      <c r="X1098" s="7" t="str">
        <f>IF(ISBLANK(patch[[#This Row],[project]]), "",COUNTIFS($A:$A,patch[[#This Row],[number]],$S:$S, "FL And dev",$AC:$AC, "Review-1"))</f>
        <v/>
      </c>
      <c r="Y1098" s="7" t="str">
        <f>IF(ISBLANK(patch[[#This Row],[project]]), "",COUNTIFS($A:$A,patch[[#This Row],[number]],$S:$S, "SH And dev",$AC:$AC, "Review-1"))</f>
        <v/>
      </c>
      <c r="Z1098" s="7" t="str">
        <f>IF(ISBLANK(patch[[#This Row],[project]]), "",COUNTIFS($A:$A,patch[[#This Row],[number]],$S:$S, "BJ And dev",$AD:$AD, "&lt;&gt;IntegratorValidationComment"))</f>
        <v/>
      </c>
      <c r="AA1098" s="7" t="str">
        <f>IF(ISBLANK(patch[[#This Row],[project]]), "",COUNTIFS($A:$A,patch[[#This Row],[number]],$S:$S, "FL And dev",$AD:$AD, "&lt;&gt;IntegratorValidationComment"))</f>
        <v/>
      </c>
      <c r="AB1098" s="7" t="str">
        <f>IF(ISBLANK(patch[[#This Row],[project]]), "",COUNTIFS($A:$A,patch[[#This Row],[number]],$S:$S, "SH And dev",$AD:$AD, "&lt;&gt;IntegratorValidationComment"))</f>
        <v/>
      </c>
      <c r="AC1098" s="7" t="str">
        <f>IF(OR(ISNUMBER(FIND("Review-1", patch[[#This Row],[comments]])), ISNUMBER(FIND("Approver-1", patch[[#This Row],[comments]]))), "Review-1", "")</f>
        <v/>
      </c>
      <c r="AD10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98" s="7">
        <f>IF(ISBLANK(patch[[#This Row],[number]]),AE1097,patch[[#This Row],[ifCommon]])</f>
        <v>0</v>
      </c>
    </row>
    <row r="1099" spans="1:31">
      <c r="A1099" s="151">
        <v>144258</v>
      </c>
      <c r="B1099" s="151"/>
      <c r="C1099" s="151"/>
      <c r="D1099" s="151"/>
      <c r="E1099" s="151"/>
      <c r="F1099" s="151"/>
      <c r="G1099" s="151"/>
      <c r="H1099" s="151"/>
      <c r="I1099" s="151"/>
      <c r="J1099" s="152">
        <v>42632.753587962958</v>
      </c>
      <c r="K1099" s="151"/>
      <c r="L1099" s="151" t="s">
        <v>24</v>
      </c>
      <c r="M1099" s="152">
        <v>42622.644421296303</v>
      </c>
      <c r="N1099" s="151" t="s">
        <v>3149</v>
      </c>
      <c r="O1099" s="151"/>
      <c r="P1099" s="151"/>
      <c r="Q1099" s="7" t="str">
        <f>IF(ISBLANK(patch[[#This Row],[OwnerEmail]]),Q1098,patch[[#This Row],[OwnerEmail]])</f>
        <v>bin.b.yang@intel.com</v>
      </c>
      <c r="R1099" s="7" t="str">
        <f>_xlfn.IFNA(VLOOKUP(patch[[#This Row],[tmp-owner.email]],OrgTree!$A:$K, 11, 0), "not ICG SWFW")</f>
        <v>BJ And dev</v>
      </c>
      <c r="S1099" s="7" t="str">
        <f>IF(patch[[#This Row],[reviewer]]=patch[[#This Row],[tmp-owner.email]], "author", _xlfn.IFNA(VLOOKUP(patch[[#This Row],[reviewer]],OrgTree!$A:$K, 11, 0), "not ICG SWFW"))</f>
        <v>BJ And dev</v>
      </c>
      <c r="T1099" s="7" t="str">
        <f>IF(ISBLANK(patch[[#This Row],[mergeDate]]), "", MID(YEAR(patch[[#This Row],[mergeDate]]), 3,2)&amp;"'ww"&amp;WEEKNUM(patch[[#This Row],[mergeDate]]))</f>
        <v>16'ww39</v>
      </c>
      <c r="U1099" s="7" t="str">
        <f>IF(ISBLANK(patch[[#This Row],[mergeDate]]), U1098, MID(YEAR(patch[[#This Row],[mergeDate]]), 3,2)&amp;"'m"&amp;MONTH(patch[[#This Row],[mergeDate]]))</f>
        <v>16'm9</v>
      </c>
      <c r="V1099" s="7" t="str">
        <f>IF(ISBLANK(patch[[#This Row],[project]]), "",SUM(patch[[#This Row],[BJ -1 num]:[SH -1 num]]))</f>
        <v/>
      </c>
      <c r="W1099" s="7" t="str">
        <f>IF(ISBLANK(patch[[#This Row],[project]]), "",COUNTIFS($A:$A,patch[[#This Row],[number]],$S:$S, "BJ And dev",$AC:$AC, "Review-1"))</f>
        <v/>
      </c>
      <c r="X1099" s="7" t="str">
        <f>IF(ISBLANK(patch[[#This Row],[project]]), "",COUNTIFS($A:$A,patch[[#This Row],[number]],$S:$S, "FL And dev",$AC:$AC, "Review-1"))</f>
        <v/>
      </c>
      <c r="Y1099" s="7" t="str">
        <f>IF(ISBLANK(patch[[#This Row],[project]]), "",COUNTIFS($A:$A,patch[[#This Row],[number]],$S:$S, "SH And dev",$AC:$AC, "Review-1"))</f>
        <v/>
      </c>
      <c r="Z1099" s="7" t="str">
        <f>IF(ISBLANK(patch[[#This Row],[project]]), "",COUNTIFS($A:$A,patch[[#This Row],[number]],$S:$S, "BJ And dev",$AD:$AD, "&lt;&gt;IntegratorValidationComment"))</f>
        <v/>
      </c>
      <c r="AA1099" s="7" t="str">
        <f>IF(ISBLANK(patch[[#This Row],[project]]), "",COUNTIFS($A:$A,patch[[#This Row],[number]],$S:$S, "FL And dev",$AD:$AD, "&lt;&gt;IntegratorValidationComment"))</f>
        <v/>
      </c>
      <c r="AB1099" s="7" t="str">
        <f>IF(ISBLANK(patch[[#This Row],[project]]), "",COUNTIFS($A:$A,patch[[#This Row],[number]],$S:$S, "SH And dev",$AD:$AD, "&lt;&gt;IntegratorValidationComment"))</f>
        <v/>
      </c>
      <c r="AC1099" s="7" t="str">
        <f>IF(OR(ISNUMBER(FIND("Review-1", patch[[#This Row],[comments]])), ISNUMBER(FIND("Approver-1", patch[[#This Row],[comments]]))), "Review-1", "")</f>
        <v>Review-1</v>
      </c>
      <c r="AD10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099" s="7">
        <f>IF(ISBLANK(patch[[#This Row],[number]]),AE1098,patch[[#This Row],[ifCommon]])</f>
        <v>0</v>
      </c>
    </row>
    <row r="1100" spans="1:31">
      <c r="A1100" s="151">
        <v>144258</v>
      </c>
      <c r="B1100" s="151"/>
      <c r="C1100" s="151"/>
      <c r="D1100" s="151"/>
      <c r="E1100" s="151"/>
      <c r="F1100" s="151"/>
      <c r="G1100" s="151"/>
      <c r="H1100" s="151"/>
      <c r="I1100" s="151"/>
      <c r="J1100" s="152">
        <v>42632.753587962958</v>
      </c>
      <c r="K1100" s="151"/>
      <c r="L1100" s="151" t="s">
        <v>24</v>
      </c>
      <c r="M1100" s="152">
        <v>42622.649606481478</v>
      </c>
      <c r="N1100" s="151" t="s">
        <v>2566</v>
      </c>
      <c r="O1100" s="151"/>
      <c r="P1100" s="151"/>
      <c r="Q1100" s="7" t="str">
        <f>IF(ISBLANK(patch[[#This Row],[OwnerEmail]]),Q1099,patch[[#This Row],[OwnerEmail]])</f>
        <v>bin.b.yang@intel.com</v>
      </c>
      <c r="R1100" s="7" t="str">
        <f>_xlfn.IFNA(VLOOKUP(patch[[#This Row],[tmp-owner.email]],OrgTree!$A:$K, 11, 0), "not ICG SWFW")</f>
        <v>BJ And dev</v>
      </c>
      <c r="S1100" s="7" t="str">
        <f>IF(patch[[#This Row],[reviewer]]=patch[[#This Row],[tmp-owner.email]], "author", _xlfn.IFNA(VLOOKUP(patch[[#This Row],[reviewer]],OrgTree!$A:$K, 11, 0), "not ICG SWFW"))</f>
        <v>BJ And dev</v>
      </c>
      <c r="T1100" s="7" t="str">
        <f>IF(ISBLANK(patch[[#This Row],[mergeDate]]), "", MID(YEAR(patch[[#This Row],[mergeDate]]), 3,2)&amp;"'ww"&amp;WEEKNUM(patch[[#This Row],[mergeDate]]))</f>
        <v>16'ww39</v>
      </c>
      <c r="U1100" s="7" t="str">
        <f>IF(ISBLANK(patch[[#This Row],[mergeDate]]), U1099, MID(YEAR(patch[[#This Row],[mergeDate]]), 3,2)&amp;"'m"&amp;MONTH(patch[[#This Row],[mergeDate]]))</f>
        <v>16'm9</v>
      </c>
      <c r="V1100" s="7" t="str">
        <f>IF(ISBLANK(patch[[#This Row],[project]]), "",SUM(patch[[#This Row],[BJ -1 num]:[SH -1 num]]))</f>
        <v/>
      </c>
      <c r="W1100" s="7" t="str">
        <f>IF(ISBLANK(patch[[#This Row],[project]]), "",COUNTIFS($A:$A,patch[[#This Row],[number]],$S:$S, "BJ And dev",$AC:$AC, "Review-1"))</f>
        <v/>
      </c>
      <c r="X1100" s="7" t="str">
        <f>IF(ISBLANK(patch[[#This Row],[project]]), "",COUNTIFS($A:$A,patch[[#This Row],[number]],$S:$S, "FL And dev",$AC:$AC, "Review-1"))</f>
        <v/>
      </c>
      <c r="Y1100" s="7" t="str">
        <f>IF(ISBLANK(patch[[#This Row],[project]]), "",COUNTIFS($A:$A,patch[[#This Row],[number]],$S:$S, "SH And dev",$AC:$AC, "Review-1"))</f>
        <v/>
      </c>
      <c r="Z1100" s="7" t="str">
        <f>IF(ISBLANK(patch[[#This Row],[project]]), "",COUNTIFS($A:$A,patch[[#This Row],[number]],$S:$S, "BJ And dev",$AD:$AD, "&lt;&gt;IntegratorValidationComment"))</f>
        <v/>
      </c>
      <c r="AA1100" s="7" t="str">
        <f>IF(ISBLANK(patch[[#This Row],[project]]), "",COUNTIFS($A:$A,patch[[#This Row],[number]],$S:$S, "FL And dev",$AD:$AD, "&lt;&gt;IntegratorValidationComment"))</f>
        <v/>
      </c>
      <c r="AB1100" s="7" t="str">
        <f>IF(ISBLANK(patch[[#This Row],[project]]), "",COUNTIFS($A:$A,patch[[#This Row],[number]],$S:$S, "SH And dev",$AD:$AD, "&lt;&gt;IntegratorValidationComment"))</f>
        <v/>
      </c>
      <c r="AC1100" s="7" t="str">
        <f>IF(OR(ISNUMBER(FIND("Review-1", patch[[#This Row],[comments]])), ISNUMBER(FIND("Approver-1", patch[[#This Row],[comments]]))), "Review-1", "")</f>
        <v/>
      </c>
      <c r="AD11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00" s="7">
        <f>IF(ISBLANK(patch[[#This Row],[number]]),AE1099,patch[[#This Row],[ifCommon]])</f>
        <v>0</v>
      </c>
    </row>
    <row r="1101" spans="1:31">
      <c r="A1101" s="151">
        <v>144258</v>
      </c>
      <c r="B1101" s="151"/>
      <c r="C1101" s="151"/>
      <c r="D1101" s="151"/>
      <c r="E1101" s="151"/>
      <c r="F1101" s="151"/>
      <c r="G1101" s="151"/>
      <c r="H1101" s="151"/>
      <c r="I1101" s="151"/>
      <c r="J1101" s="152">
        <v>42632.753587962958</v>
      </c>
      <c r="K1101" s="151"/>
      <c r="L1101" s="151" t="s">
        <v>72</v>
      </c>
      <c r="M1101" s="152">
        <v>42625.093391203707</v>
      </c>
      <c r="N1101" s="151" t="s">
        <v>2471</v>
      </c>
      <c r="O1101" s="151" t="s">
        <v>3150</v>
      </c>
      <c r="P1101" s="151"/>
      <c r="Q1101" s="7" t="str">
        <f>IF(ISBLANK(patch[[#This Row],[OwnerEmail]]),Q1100,patch[[#This Row],[OwnerEmail]])</f>
        <v>bin.b.yang@intel.com</v>
      </c>
      <c r="R1101" s="7" t="str">
        <f>_xlfn.IFNA(VLOOKUP(patch[[#This Row],[tmp-owner.email]],OrgTree!$A:$K, 11, 0), "not ICG SWFW")</f>
        <v>BJ And dev</v>
      </c>
      <c r="S1101" s="7" t="str">
        <f>IF(patch[[#This Row],[reviewer]]=patch[[#This Row],[tmp-owner.email]], "author", _xlfn.IFNA(VLOOKUP(patch[[#This Row],[reviewer]],OrgTree!$A:$K, 11, 0), "not ICG SWFW"))</f>
        <v>author</v>
      </c>
      <c r="T1101" s="7" t="str">
        <f>IF(ISBLANK(patch[[#This Row],[mergeDate]]), "", MID(YEAR(patch[[#This Row],[mergeDate]]), 3,2)&amp;"'ww"&amp;WEEKNUM(patch[[#This Row],[mergeDate]]))</f>
        <v>16'ww39</v>
      </c>
      <c r="U1101" s="7" t="str">
        <f>IF(ISBLANK(patch[[#This Row],[mergeDate]]), U1100, MID(YEAR(patch[[#This Row],[mergeDate]]), 3,2)&amp;"'m"&amp;MONTH(patch[[#This Row],[mergeDate]]))</f>
        <v>16'm9</v>
      </c>
      <c r="V1101" s="7" t="str">
        <f>IF(ISBLANK(patch[[#This Row],[project]]), "",SUM(patch[[#This Row],[BJ -1 num]:[SH -1 num]]))</f>
        <v/>
      </c>
      <c r="W1101" s="7" t="str">
        <f>IF(ISBLANK(patch[[#This Row],[project]]), "",COUNTIFS($A:$A,patch[[#This Row],[number]],$S:$S, "BJ And dev",$AC:$AC, "Review-1"))</f>
        <v/>
      </c>
      <c r="X1101" s="7" t="str">
        <f>IF(ISBLANK(patch[[#This Row],[project]]), "",COUNTIFS($A:$A,patch[[#This Row],[number]],$S:$S, "FL And dev",$AC:$AC, "Review-1"))</f>
        <v/>
      </c>
      <c r="Y1101" s="7" t="str">
        <f>IF(ISBLANK(patch[[#This Row],[project]]), "",COUNTIFS($A:$A,patch[[#This Row],[number]],$S:$S, "SH And dev",$AC:$AC, "Review-1"))</f>
        <v/>
      </c>
      <c r="Z1101" s="7" t="str">
        <f>IF(ISBLANK(patch[[#This Row],[project]]), "",COUNTIFS($A:$A,patch[[#This Row],[number]],$S:$S, "BJ And dev",$AD:$AD, "&lt;&gt;IntegratorValidationComment"))</f>
        <v/>
      </c>
      <c r="AA1101" s="7" t="str">
        <f>IF(ISBLANK(patch[[#This Row],[project]]), "",COUNTIFS($A:$A,patch[[#This Row],[number]],$S:$S, "FL And dev",$AD:$AD, "&lt;&gt;IntegratorValidationComment"))</f>
        <v/>
      </c>
      <c r="AB1101" s="7" t="str">
        <f>IF(ISBLANK(patch[[#This Row],[project]]), "",COUNTIFS($A:$A,patch[[#This Row],[number]],$S:$S, "SH And dev",$AD:$AD, "&lt;&gt;IntegratorValidationComment"))</f>
        <v/>
      </c>
      <c r="AC1101" s="7" t="str">
        <f>IF(OR(ISNUMBER(FIND("Review-1", patch[[#This Row],[comments]])), ISNUMBER(FIND("Approver-1", patch[[#This Row],[comments]]))), "Review-1", "")</f>
        <v/>
      </c>
      <c r="AD11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01" s="7">
        <f>IF(ISBLANK(patch[[#This Row],[number]]),AE1100,patch[[#This Row],[ifCommon]])</f>
        <v>0</v>
      </c>
    </row>
    <row r="1102" spans="1:31">
      <c r="A1102" s="151">
        <v>144258</v>
      </c>
      <c r="B1102" s="151"/>
      <c r="C1102" s="151"/>
      <c r="D1102" s="151"/>
      <c r="E1102" s="151"/>
      <c r="F1102" s="151"/>
      <c r="G1102" s="151"/>
      <c r="H1102" s="151"/>
      <c r="I1102" s="151"/>
      <c r="J1102" s="152">
        <v>42632.753587962958</v>
      </c>
      <c r="K1102" s="151"/>
      <c r="L1102" s="151" t="s">
        <v>72</v>
      </c>
      <c r="M1102" s="152">
        <v>42626.336759259262</v>
      </c>
      <c r="N1102" s="151" t="s">
        <v>2536</v>
      </c>
      <c r="O1102" s="151"/>
      <c r="P1102" s="151"/>
      <c r="Q1102" s="7" t="str">
        <f>IF(ISBLANK(patch[[#This Row],[OwnerEmail]]),Q1101,patch[[#This Row],[OwnerEmail]])</f>
        <v>bin.b.yang@intel.com</v>
      </c>
      <c r="R1102" s="7" t="str">
        <f>_xlfn.IFNA(VLOOKUP(patch[[#This Row],[tmp-owner.email]],OrgTree!$A:$K, 11, 0), "not ICG SWFW")</f>
        <v>BJ And dev</v>
      </c>
      <c r="S1102" s="7" t="str">
        <f>IF(patch[[#This Row],[reviewer]]=patch[[#This Row],[tmp-owner.email]], "author", _xlfn.IFNA(VLOOKUP(patch[[#This Row],[reviewer]],OrgTree!$A:$K, 11, 0), "not ICG SWFW"))</f>
        <v>author</v>
      </c>
      <c r="T1102" s="7" t="str">
        <f>IF(ISBLANK(patch[[#This Row],[mergeDate]]), "", MID(YEAR(patch[[#This Row],[mergeDate]]), 3,2)&amp;"'ww"&amp;WEEKNUM(patch[[#This Row],[mergeDate]]))</f>
        <v>16'ww39</v>
      </c>
      <c r="U1102" s="7" t="str">
        <f>IF(ISBLANK(patch[[#This Row],[mergeDate]]), U1101, MID(YEAR(patch[[#This Row],[mergeDate]]), 3,2)&amp;"'m"&amp;MONTH(patch[[#This Row],[mergeDate]]))</f>
        <v>16'm9</v>
      </c>
      <c r="V1102" s="7" t="str">
        <f>IF(ISBLANK(patch[[#This Row],[project]]), "",SUM(patch[[#This Row],[BJ -1 num]:[SH -1 num]]))</f>
        <v/>
      </c>
      <c r="W1102" s="7" t="str">
        <f>IF(ISBLANK(patch[[#This Row],[project]]), "",COUNTIFS($A:$A,patch[[#This Row],[number]],$S:$S, "BJ And dev",$AC:$AC, "Review-1"))</f>
        <v/>
      </c>
      <c r="X1102" s="7" t="str">
        <f>IF(ISBLANK(patch[[#This Row],[project]]), "",COUNTIFS($A:$A,patch[[#This Row],[number]],$S:$S, "FL And dev",$AC:$AC, "Review-1"))</f>
        <v/>
      </c>
      <c r="Y1102" s="7" t="str">
        <f>IF(ISBLANK(patch[[#This Row],[project]]), "",COUNTIFS($A:$A,patch[[#This Row],[number]],$S:$S, "SH And dev",$AC:$AC, "Review-1"))</f>
        <v/>
      </c>
      <c r="Z1102" s="7" t="str">
        <f>IF(ISBLANK(patch[[#This Row],[project]]), "",COUNTIFS($A:$A,patch[[#This Row],[number]],$S:$S, "BJ And dev",$AD:$AD, "&lt;&gt;IntegratorValidationComment"))</f>
        <v/>
      </c>
      <c r="AA1102" s="7" t="str">
        <f>IF(ISBLANK(patch[[#This Row],[project]]), "",COUNTIFS($A:$A,patch[[#This Row],[number]],$S:$S, "FL And dev",$AD:$AD, "&lt;&gt;IntegratorValidationComment"))</f>
        <v/>
      </c>
      <c r="AB1102" s="7" t="str">
        <f>IF(ISBLANK(patch[[#This Row],[project]]), "",COUNTIFS($A:$A,patch[[#This Row],[number]],$S:$S, "SH And dev",$AD:$AD, "&lt;&gt;IntegratorValidationComment"))</f>
        <v/>
      </c>
      <c r="AC1102" s="7" t="str">
        <f>IF(OR(ISNUMBER(FIND("Review-1", patch[[#This Row],[comments]])), ISNUMBER(FIND("Approver-1", patch[[#This Row],[comments]]))), "Review-1", "")</f>
        <v/>
      </c>
      <c r="AD11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02" s="7">
        <f>IF(ISBLANK(patch[[#This Row],[number]]),AE1101,patch[[#This Row],[ifCommon]])</f>
        <v>0</v>
      </c>
    </row>
    <row r="1103" spans="1:31">
      <c r="A1103" s="151">
        <v>144258</v>
      </c>
      <c r="B1103" s="151"/>
      <c r="C1103" s="151"/>
      <c r="D1103" s="151"/>
      <c r="E1103" s="151"/>
      <c r="F1103" s="151"/>
      <c r="G1103" s="151"/>
      <c r="H1103" s="151"/>
      <c r="I1103" s="151"/>
      <c r="J1103" s="152">
        <v>42632.753587962958</v>
      </c>
      <c r="K1103" s="151"/>
      <c r="L1103" s="151" t="s">
        <v>72</v>
      </c>
      <c r="M1103" s="152">
        <v>42626.336770833332</v>
      </c>
      <c r="N1103" s="151" t="s">
        <v>2451</v>
      </c>
      <c r="O1103" s="151"/>
      <c r="P1103" s="151"/>
      <c r="Q1103" s="7" t="str">
        <f>IF(ISBLANK(patch[[#This Row],[OwnerEmail]]),Q1102,patch[[#This Row],[OwnerEmail]])</f>
        <v>bin.b.yang@intel.com</v>
      </c>
      <c r="R1103" s="7" t="str">
        <f>_xlfn.IFNA(VLOOKUP(patch[[#This Row],[tmp-owner.email]],OrgTree!$A:$K, 11, 0), "not ICG SWFW")</f>
        <v>BJ And dev</v>
      </c>
      <c r="S1103" s="7" t="str">
        <f>IF(patch[[#This Row],[reviewer]]=patch[[#This Row],[tmp-owner.email]], "author", _xlfn.IFNA(VLOOKUP(patch[[#This Row],[reviewer]],OrgTree!$A:$K, 11, 0), "not ICG SWFW"))</f>
        <v>author</v>
      </c>
      <c r="T1103" s="7" t="str">
        <f>IF(ISBLANK(patch[[#This Row],[mergeDate]]), "", MID(YEAR(patch[[#This Row],[mergeDate]]), 3,2)&amp;"'ww"&amp;WEEKNUM(patch[[#This Row],[mergeDate]]))</f>
        <v>16'ww39</v>
      </c>
      <c r="U1103" s="7" t="str">
        <f>IF(ISBLANK(patch[[#This Row],[mergeDate]]), U1102, MID(YEAR(patch[[#This Row],[mergeDate]]), 3,2)&amp;"'m"&amp;MONTH(patch[[#This Row],[mergeDate]]))</f>
        <v>16'm9</v>
      </c>
      <c r="V1103" s="7" t="str">
        <f>IF(ISBLANK(patch[[#This Row],[project]]), "",SUM(patch[[#This Row],[BJ -1 num]:[SH -1 num]]))</f>
        <v/>
      </c>
      <c r="W1103" s="7" t="str">
        <f>IF(ISBLANK(patch[[#This Row],[project]]), "",COUNTIFS($A:$A,patch[[#This Row],[number]],$S:$S, "BJ And dev",$AC:$AC, "Review-1"))</f>
        <v/>
      </c>
      <c r="X1103" s="7" t="str">
        <f>IF(ISBLANK(patch[[#This Row],[project]]), "",COUNTIFS($A:$A,patch[[#This Row],[number]],$S:$S, "FL And dev",$AC:$AC, "Review-1"))</f>
        <v/>
      </c>
      <c r="Y1103" s="7" t="str">
        <f>IF(ISBLANK(patch[[#This Row],[project]]), "",COUNTIFS($A:$A,patch[[#This Row],[number]],$S:$S, "SH And dev",$AC:$AC, "Review-1"))</f>
        <v/>
      </c>
      <c r="Z1103" s="7" t="str">
        <f>IF(ISBLANK(patch[[#This Row],[project]]), "",COUNTIFS($A:$A,patch[[#This Row],[number]],$S:$S, "BJ And dev",$AD:$AD, "&lt;&gt;IntegratorValidationComment"))</f>
        <v/>
      </c>
      <c r="AA1103" s="7" t="str">
        <f>IF(ISBLANK(patch[[#This Row],[project]]), "",COUNTIFS($A:$A,patch[[#This Row],[number]],$S:$S, "FL And dev",$AD:$AD, "&lt;&gt;IntegratorValidationComment"))</f>
        <v/>
      </c>
      <c r="AB1103" s="7" t="str">
        <f>IF(ISBLANK(patch[[#This Row],[project]]), "",COUNTIFS($A:$A,patch[[#This Row],[number]],$S:$S, "SH And dev",$AD:$AD, "&lt;&gt;IntegratorValidationComment"))</f>
        <v/>
      </c>
      <c r="AC1103" s="7" t="str">
        <f>IF(OR(ISNUMBER(FIND("Review-1", patch[[#This Row],[comments]])), ISNUMBER(FIND("Approver-1", patch[[#This Row],[comments]]))), "Review-1", "")</f>
        <v/>
      </c>
      <c r="AD11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03" s="7">
        <f>IF(ISBLANK(patch[[#This Row],[number]]),AE1102,patch[[#This Row],[ifCommon]])</f>
        <v>0</v>
      </c>
    </row>
    <row r="1104" spans="1:31">
      <c r="A1104" s="151">
        <v>144258</v>
      </c>
      <c r="B1104" s="151"/>
      <c r="C1104" s="151"/>
      <c r="D1104" s="151"/>
      <c r="E1104" s="151"/>
      <c r="F1104" s="151"/>
      <c r="G1104" s="151"/>
      <c r="H1104" s="151"/>
      <c r="I1104" s="151"/>
      <c r="J1104" s="152">
        <v>42632.753587962958</v>
      </c>
      <c r="K1104" s="151"/>
      <c r="L1104" s="151" t="s">
        <v>59</v>
      </c>
      <c r="M1104" s="152">
        <v>42626.377164351848</v>
      </c>
      <c r="N1104" s="151" t="s">
        <v>3151</v>
      </c>
      <c r="O1104" s="151"/>
      <c r="P1104" s="151"/>
      <c r="Q1104" s="7" t="str">
        <f>IF(ISBLANK(patch[[#This Row],[OwnerEmail]]),Q1103,patch[[#This Row],[OwnerEmail]])</f>
        <v>bin.b.yang@intel.com</v>
      </c>
      <c r="R1104" s="7" t="str">
        <f>_xlfn.IFNA(VLOOKUP(patch[[#This Row],[tmp-owner.email]],OrgTree!$A:$K, 11, 0), "not ICG SWFW")</f>
        <v>BJ And dev</v>
      </c>
      <c r="S1104" s="7" t="str">
        <f>IF(patch[[#This Row],[reviewer]]=patch[[#This Row],[tmp-owner.email]], "author", _xlfn.IFNA(VLOOKUP(patch[[#This Row],[reviewer]],OrgTree!$A:$K, 11, 0), "not ICG SWFW"))</f>
        <v>BJ And dev</v>
      </c>
      <c r="T1104" s="7" t="str">
        <f>IF(ISBLANK(patch[[#This Row],[mergeDate]]), "", MID(YEAR(patch[[#This Row],[mergeDate]]), 3,2)&amp;"'ww"&amp;WEEKNUM(patch[[#This Row],[mergeDate]]))</f>
        <v>16'ww39</v>
      </c>
      <c r="U1104" s="7" t="str">
        <f>IF(ISBLANK(patch[[#This Row],[mergeDate]]), U1103, MID(YEAR(patch[[#This Row],[mergeDate]]), 3,2)&amp;"'m"&amp;MONTH(patch[[#This Row],[mergeDate]]))</f>
        <v>16'm9</v>
      </c>
      <c r="V1104" s="7" t="str">
        <f>IF(ISBLANK(patch[[#This Row],[project]]), "",SUM(patch[[#This Row],[BJ -1 num]:[SH -1 num]]))</f>
        <v/>
      </c>
      <c r="W1104" s="7" t="str">
        <f>IF(ISBLANK(patch[[#This Row],[project]]), "",COUNTIFS($A:$A,patch[[#This Row],[number]],$S:$S, "BJ And dev",$AC:$AC, "Review-1"))</f>
        <v/>
      </c>
      <c r="X1104" s="7" t="str">
        <f>IF(ISBLANK(patch[[#This Row],[project]]), "",COUNTIFS($A:$A,patch[[#This Row],[number]],$S:$S, "FL And dev",$AC:$AC, "Review-1"))</f>
        <v/>
      </c>
      <c r="Y1104" s="7" t="str">
        <f>IF(ISBLANK(patch[[#This Row],[project]]), "",COUNTIFS($A:$A,patch[[#This Row],[number]],$S:$S, "SH And dev",$AC:$AC, "Review-1"))</f>
        <v/>
      </c>
      <c r="Z1104" s="7" t="str">
        <f>IF(ISBLANK(patch[[#This Row],[project]]), "",COUNTIFS($A:$A,patch[[#This Row],[number]],$S:$S, "BJ And dev",$AD:$AD, "&lt;&gt;IntegratorValidationComment"))</f>
        <v/>
      </c>
      <c r="AA1104" s="7" t="str">
        <f>IF(ISBLANK(patch[[#This Row],[project]]), "",COUNTIFS($A:$A,patch[[#This Row],[number]],$S:$S, "FL And dev",$AD:$AD, "&lt;&gt;IntegratorValidationComment"))</f>
        <v/>
      </c>
      <c r="AB1104" s="7" t="str">
        <f>IF(ISBLANK(patch[[#This Row],[project]]), "",COUNTIFS($A:$A,patch[[#This Row],[number]],$S:$S, "SH And dev",$AD:$AD, "&lt;&gt;IntegratorValidationComment"))</f>
        <v/>
      </c>
      <c r="AC1104" s="7" t="str">
        <f>IF(OR(ISNUMBER(FIND("Review-1", patch[[#This Row],[comments]])), ISNUMBER(FIND("Approver-1", patch[[#This Row],[comments]]))), "Review-1", "")</f>
        <v/>
      </c>
      <c r="AD11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04" s="7">
        <f>IF(ISBLANK(patch[[#This Row],[number]]),AE1103,patch[[#This Row],[ifCommon]])</f>
        <v>0</v>
      </c>
    </row>
    <row r="1105" spans="1:31">
      <c r="A1105" s="151">
        <v>144258</v>
      </c>
      <c r="B1105" s="151"/>
      <c r="C1105" s="151"/>
      <c r="D1105" s="151"/>
      <c r="E1105" s="151"/>
      <c r="F1105" s="151"/>
      <c r="G1105" s="151"/>
      <c r="H1105" s="151"/>
      <c r="I1105" s="151"/>
      <c r="J1105" s="152">
        <v>42632.753587962958</v>
      </c>
      <c r="K1105" s="151"/>
      <c r="L1105" s="151" t="s">
        <v>59</v>
      </c>
      <c r="M1105" s="152">
        <v>42626.38013888889</v>
      </c>
      <c r="N1105" s="151" t="s">
        <v>3152</v>
      </c>
      <c r="O1105" s="151"/>
      <c r="P1105" s="151"/>
      <c r="Q1105" s="7" t="str">
        <f>IF(ISBLANK(patch[[#This Row],[OwnerEmail]]),Q1104,patch[[#This Row],[OwnerEmail]])</f>
        <v>bin.b.yang@intel.com</v>
      </c>
      <c r="R1105" s="7" t="str">
        <f>_xlfn.IFNA(VLOOKUP(patch[[#This Row],[tmp-owner.email]],OrgTree!$A:$K, 11, 0), "not ICG SWFW")</f>
        <v>BJ And dev</v>
      </c>
      <c r="S1105" s="7" t="str">
        <f>IF(patch[[#This Row],[reviewer]]=patch[[#This Row],[tmp-owner.email]], "author", _xlfn.IFNA(VLOOKUP(patch[[#This Row],[reviewer]],OrgTree!$A:$K, 11, 0), "not ICG SWFW"))</f>
        <v>BJ And dev</v>
      </c>
      <c r="T1105" s="7" t="str">
        <f>IF(ISBLANK(patch[[#This Row],[mergeDate]]), "", MID(YEAR(patch[[#This Row],[mergeDate]]), 3,2)&amp;"'ww"&amp;WEEKNUM(patch[[#This Row],[mergeDate]]))</f>
        <v>16'ww39</v>
      </c>
      <c r="U1105" s="7" t="str">
        <f>IF(ISBLANK(patch[[#This Row],[mergeDate]]), U1104, MID(YEAR(patch[[#This Row],[mergeDate]]), 3,2)&amp;"'m"&amp;MONTH(patch[[#This Row],[mergeDate]]))</f>
        <v>16'm9</v>
      </c>
      <c r="V1105" s="7" t="str">
        <f>IF(ISBLANK(patch[[#This Row],[project]]), "",SUM(patch[[#This Row],[BJ -1 num]:[SH -1 num]]))</f>
        <v/>
      </c>
      <c r="W1105" s="7" t="str">
        <f>IF(ISBLANK(patch[[#This Row],[project]]), "",COUNTIFS($A:$A,patch[[#This Row],[number]],$S:$S, "BJ And dev",$AC:$AC, "Review-1"))</f>
        <v/>
      </c>
      <c r="X1105" s="7" t="str">
        <f>IF(ISBLANK(patch[[#This Row],[project]]), "",COUNTIFS($A:$A,patch[[#This Row],[number]],$S:$S, "FL And dev",$AC:$AC, "Review-1"))</f>
        <v/>
      </c>
      <c r="Y1105" s="7" t="str">
        <f>IF(ISBLANK(patch[[#This Row],[project]]), "",COUNTIFS($A:$A,patch[[#This Row],[number]],$S:$S, "SH And dev",$AC:$AC, "Review-1"))</f>
        <v/>
      </c>
      <c r="Z1105" s="7" t="str">
        <f>IF(ISBLANK(patch[[#This Row],[project]]), "",COUNTIFS($A:$A,patch[[#This Row],[number]],$S:$S, "BJ And dev",$AD:$AD, "&lt;&gt;IntegratorValidationComment"))</f>
        <v/>
      </c>
      <c r="AA1105" s="7" t="str">
        <f>IF(ISBLANK(patch[[#This Row],[project]]), "",COUNTIFS($A:$A,patch[[#This Row],[number]],$S:$S, "FL And dev",$AD:$AD, "&lt;&gt;IntegratorValidationComment"))</f>
        <v/>
      </c>
      <c r="AB1105" s="7" t="str">
        <f>IF(ISBLANK(patch[[#This Row],[project]]), "",COUNTIFS($A:$A,patch[[#This Row],[number]],$S:$S, "SH And dev",$AD:$AD, "&lt;&gt;IntegratorValidationComment"))</f>
        <v/>
      </c>
      <c r="AC1105" s="7" t="str">
        <f>IF(OR(ISNUMBER(FIND("Review-1", patch[[#This Row],[comments]])), ISNUMBER(FIND("Approver-1", patch[[#This Row],[comments]]))), "Review-1", "")</f>
        <v/>
      </c>
      <c r="AD11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05" s="7">
        <f>IF(ISBLANK(patch[[#This Row],[number]]),AE1104,patch[[#This Row],[ifCommon]])</f>
        <v>0</v>
      </c>
    </row>
    <row r="1106" spans="1:31">
      <c r="A1106" s="151">
        <v>144258</v>
      </c>
      <c r="B1106" s="151"/>
      <c r="C1106" s="151"/>
      <c r="D1106" s="151"/>
      <c r="E1106" s="151"/>
      <c r="F1106" s="151"/>
      <c r="G1106" s="151"/>
      <c r="H1106" s="151"/>
      <c r="I1106" s="151"/>
      <c r="J1106" s="152">
        <v>42632.753587962958</v>
      </c>
      <c r="K1106" s="151"/>
      <c r="L1106" s="151" t="s">
        <v>24</v>
      </c>
      <c r="M1106" s="152">
        <v>42626.418275462973</v>
      </c>
      <c r="N1106" s="151" t="s">
        <v>1890</v>
      </c>
      <c r="O1106" s="151"/>
      <c r="P1106" s="151"/>
      <c r="Q1106" s="7" t="str">
        <f>IF(ISBLANK(patch[[#This Row],[OwnerEmail]]),Q1105,patch[[#This Row],[OwnerEmail]])</f>
        <v>bin.b.yang@intel.com</v>
      </c>
      <c r="R1106" s="7" t="str">
        <f>_xlfn.IFNA(VLOOKUP(patch[[#This Row],[tmp-owner.email]],OrgTree!$A:$K, 11, 0), "not ICG SWFW")</f>
        <v>BJ And dev</v>
      </c>
      <c r="S1106" s="7" t="str">
        <f>IF(patch[[#This Row],[reviewer]]=patch[[#This Row],[tmp-owner.email]], "author", _xlfn.IFNA(VLOOKUP(patch[[#This Row],[reviewer]],OrgTree!$A:$K, 11, 0), "not ICG SWFW"))</f>
        <v>BJ And dev</v>
      </c>
      <c r="T1106" s="7" t="str">
        <f>IF(ISBLANK(patch[[#This Row],[mergeDate]]), "", MID(YEAR(patch[[#This Row],[mergeDate]]), 3,2)&amp;"'ww"&amp;WEEKNUM(patch[[#This Row],[mergeDate]]))</f>
        <v>16'ww39</v>
      </c>
      <c r="U1106" s="7" t="str">
        <f>IF(ISBLANK(patch[[#This Row],[mergeDate]]), U1105, MID(YEAR(patch[[#This Row],[mergeDate]]), 3,2)&amp;"'m"&amp;MONTH(patch[[#This Row],[mergeDate]]))</f>
        <v>16'm9</v>
      </c>
      <c r="V1106" s="7" t="str">
        <f>IF(ISBLANK(patch[[#This Row],[project]]), "",SUM(patch[[#This Row],[BJ -1 num]:[SH -1 num]]))</f>
        <v/>
      </c>
      <c r="W1106" s="7" t="str">
        <f>IF(ISBLANK(patch[[#This Row],[project]]), "",COUNTIFS($A:$A,patch[[#This Row],[number]],$S:$S, "BJ And dev",$AC:$AC, "Review-1"))</f>
        <v/>
      </c>
      <c r="X1106" s="7" t="str">
        <f>IF(ISBLANK(patch[[#This Row],[project]]), "",COUNTIFS($A:$A,patch[[#This Row],[number]],$S:$S, "FL And dev",$AC:$AC, "Review-1"))</f>
        <v/>
      </c>
      <c r="Y1106" s="7" t="str">
        <f>IF(ISBLANK(patch[[#This Row],[project]]), "",COUNTIFS($A:$A,patch[[#This Row],[number]],$S:$S, "SH And dev",$AC:$AC, "Review-1"))</f>
        <v/>
      </c>
      <c r="Z1106" s="7" t="str">
        <f>IF(ISBLANK(patch[[#This Row],[project]]), "",COUNTIFS($A:$A,patch[[#This Row],[number]],$S:$S, "BJ And dev",$AD:$AD, "&lt;&gt;IntegratorValidationComment"))</f>
        <v/>
      </c>
      <c r="AA1106" s="7" t="str">
        <f>IF(ISBLANK(patch[[#This Row],[project]]), "",COUNTIFS($A:$A,patch[[#This Row],[number]],$S:$S, "FL And dev",$AD:$AD, "&lt;&gt;IntegratorValidationComment"))</f>
        <v/>
      </c>
      <c r="AB1106" s="7" t="str">
        <f>IF(ISBLANK(patch[[#This Row],[project]]), "",COUNTIFS($A:$A,patch[[#This Row],[number]],$S:$S, "SH And dev",$AD:$AD, "&lt;&gt;IntegratorValidationComment"))</f>
        <v/>
      </c>
      <c r="AC1106" s="7" t="str">
        <f>IF(OR(ISNUMBER(FIND("Review-1", patch[[#This Row],[comments]])), ISNUMBER(FIND("Approver-1", patch[[#This Row],[comments]]))), "Review-1", "")</f>
        <v/>
      </c>
      <c r="AD11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06" s="7">
        <f>IF(ISBLANK(patch[[#This Row],[number]]),AE1105,patch[[#This Row],[ifCommon]])</f>
        <v>0</v>
      </c>
    </row>
    <row r="1107" spans="1:31">
      <c r="A1107" s="151">
        <v>144258</v>
      </c>
      <c r="B1107" s="151"/>
      <c r="C1107" s="151"/>
      <c r="D1107" s="151"/>
      <c r="E1107" s="151"/>
      <c r="F1107" s="151"/>
      <c r="G1107" s="151"/>
      <c r="H1107" s="151"/>
      <c r="I1107" s="151"/>
      <c r="J1107" s="152">
        <v>42632.753587962958</v>
      </c>
      <c r="K1107" s="151"/>
      <c r="L1107" s="151" t="s">
        <v>24</v>
      </c>
      <c r="M1107" s="152">
        <v>42626.418645833342</v>
      </c>
      <c r="N1107" s="151" t="s">
        <v>3153</v>
      </c>
      <c r="O1107" s="151"/>
      <c r="P1107" s="151"/>
      <c r="Q1107" s="7" t="str">
        <f>IF(ISBLANK(patch[[#This Row],[OwnerEmail]]),Q1106,patch[[#This Row],[OwnerEmail]])</f>
        <v>bin.b.yang@intel.com</v>
      </c>
      <c r="R1107" s="7" t="str">
        <f>_xlfn.IFNA(VLOOKUP(patch[[#This Row],[tmp-owner.email]],OrgTree!$A:$K, 11, 0), "not ICG SWFW")</f>
        <v>BJ And dev</v>
      </c>
      <c r="S1107" s="7" t="str">
        <f>IF(patch[[#This Row],[reviewer]]=patch[[#This Row],[tmp-owner.email]], "author", _xlfn.IFNA(VLOOKUP(patch[[#This Row],[reviewer]],OrgTree!$A:$K, 11, 0), "not ICG SWFW"))</f>
        <v>BJ And dev</v>
      </c>
      <c r="T1107" s="7" t="str">
        <f>IF(ISBLANK(patch[[#This Row],[mergeDate]]), "", MID(YEAR(patch[[#This Row],[mergeDate]]), 3,2)&amp;"'ww"&amp;WEEKNUM(patch[[#This Row],[mergeDate]]))</f>
        <v>16'ww39</v>
      </c>
      <c r="U1107" s="7" t="str">
        <f>IF(ISBLANK(patch[[#This Row],[mergeDate]]), U1106, MID(YEAR(patch[[#This Row],[mergeDate]]), 3,2)&amp;"'m"&amp;MONTH(patch[[#This Row],[mergeDate]]))</f>
        <v>16'm9</v>
      </c>
      <c r="V1107" s="7" t="str">
        <f>IF(ISBLANK(patch[[#This Row],[project]]), "",SUM(patch[[#This Row],[BJ -1 num]:[SH -1 num]]))</f>
        <v/>
      </c>
      <c r="W1107" s="7" t="str">
        <f>IF(ISBLANK(patch[[#This Row],[project]]), "",COUNTIFS($A:$A,patch[[#This Row],[number]],$S:$S, "BJ And dev",$AC:$AC, "Review-1"))</f>
        <v/>
      </c>
      <c r="X1107" s="7" t="str">
        <f>IF(ISBLANK(patch[[#This Row],[project]]), "",COUNTIFS($A:$A,patch[[#This Row],[number]],$S:$S, "FL And dev",$AC:$AC, "Review-1"))</f>
        <v/>
      </c>
      <c r="Y1107" s="7" t="str">
        <f>IF(ISBLANK(patch[[#This Row],[project]]), "",COUNTIFS($A:$A,patch[[#This Row],[number]],$S:$S, "SH And dev",$AC:$AC, "Review-1"))</f>
        <v/>
      </c>
      <c r="Z1107" s="7" t="str">
        <f>IF(ISBLANK(patch[[#This Row],[project]]), "",COUNTIFS($A:$A,patch[[#This Row],[number]],$S:$S, "BJ And dev",$AD:$AD, "&lt;&gt;IntegratorValidationComment"))</f>
        <v/>
      </c>
      <c r="AA1107" s="7" t="str">
        <f>IF(ISBLANK(patch[[#This Row],[project]]), "",COUNTIFS($A:$A,patch[[#This Row],[number]],$S:$S, "FL And dev",$AD:$AD, "&lt;&gt;IntegratorValidationComment"))</f>
        <v/>
      </c>
      <c r="AB1107" s="7" t="str">
        <f>IF(ISBLANK(patch[[#This Row],[project]]), "",COUNTIFS($A:$A,patch[[#This Row],[number]],$S:$S, "SH And dev",$AD:$AD, "&lt;&gt;IntegratorValidationComment"))</f>
        <v/>
      </c>
      <c r="AC1107" s="7" t="str">
        <f>IF(OR(ISNUMBER(FIND("Review-1", patch[[#This Row],[comments]])), ISNUMBER(FIND("Approver-1", patch[[#This Row],[comments]]))), "Review-1", "")</f>
        <v/>
      </c>
      <c r="AD11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07" s="7">
        <f>IF(ISBLANK(patch[[#This Row],[number]]),AE1106,patch[[#This Row],[ifCommon]])</f>
        <v>0</v>
      </c>
    </row>
    <row r="1108" spans="1:31">
      <c r="A1108" s="151">
        <v>144258</v>
      </c>
      <c r="B1108" s="151"/>
      <c r="C1108" s="151"/>
      <c r="D1108" s="151"/>
      <c r="E1108" s="151"/>
      <c r="F1108" s="151"/>
      <c r="G1108" s="151"/>
      <c r="H1108" s="151"/>
      <c r="I1108" s="151"/>
      <c r="J1108" s="152">
        <v>42632.753587962958</v>
      </c>
      <c r="K1108" s="151"/>
      <c r="L1108" s="151" t="s">
        <v>3154</v>
      </c>
      <c r="M1108" s="152">
        <v>42626.978194444448</v>
      </c>
      <c r="N1108" s="151" t="s">
        <v>31</v>
      </c>
      <c r="O1108" s="151"/>
      <c r="P1108" s="151"/>
      <c r="Q1108" s="7" t="str">
        <f>IF(ISBLANK(patch[[#This Row],[OwnerEmail]]),Q1107,patch[[#This Row],[OwnerEmail]])</f>
        <v>bin.b.yang@intel.com</v>
      </c>
      <c r="R1108" s="7" t="str">
        <f>_xlfn.IFNA(VLOOKUP(patch[[#This Row],[tmp-owner.email]],OrgTree!$A:$K, 11, 0), "not ICG SWFW")</f>
        <v>BJ And dev</v>
      </c>
      <c r="S1108" s="7" t="str">
        <f>IF(patch[[#This Row],[reviewer]]=patch[[#This Row],[tmp-owner.email]], "author", _xlfn.IFNA(VLOOKUP(patch[[#This Row],[reviewer]],OrgTree!$A:$K, 11, 0), "not ICG SWFW"))</f>
        <v>not ICG SWFW</v>
      </c>
      <c r="T1108" s="7" t="str">
        <f>IF(ISBLANK(patch[[#This Row],[mergeDate]]), "", MID(YEAR(patch[[#This Row],[mergeDate]]), 3,2)&amp;"'ww"&amp;WEEKNUM(patch[[#This Row],[mergeDate]]))</f>
        <v>16'ww39</v>
      </c>
      <c r="U1108" s="7" t="str">
        <f>IF(ISBLANK(patch[[#This Row],[mergeDate]]), U1107, MID(YEAR(patch[[#This Row],[mergeDate]]), 3,2)&amp;"'m"&amp;MONTH(patch[[#This Row],[mergeDate]]))</f>
        <v>16'm9</v>
      </c>
      <c r="V1108" s="7" t="str">
        <f>IF(ISBLANK(patch[[#This Row],[project]]), "",SUM(patch[[#This Row],[BJ -1 num]:[SH -1 num]]))</f>
        <v/>
      </c>
      <c r="W1108" s="7" t="str">
        <f>IF(ISBLANK(patch[[#This Row],[project]]), "",COUNTIFS($A:$A,patch[[#This Row],[number]],$S:$S, "BJ And dev",$AC:$AC, "Review-1"))</f>
        <v/>
      </c>
      <c r="X1108" s="7" t="str">
        <f>IF(ISBLANK(patch[[#This Row],[project]]), "",COUNTIFS($A:$A,patch[[#This Row],[number]],$S:$S, "FL And dev",$AC:$AC, "Review-1"))</f>
        <v/>
      </c>
      <c r="Y1108" s="7" t="str">
        <f>IF(ISBLANK(patch[[#This Row],[project]]), "",COUNTIFS($A:$A,patch[[#This Row],[number]],$S:$S, "SH And dev",$AC:$AC, "Review-1"))</f>
        <v/>
      </c>
      <c r="Z1108" s="7" t="str">
        <f>IF(ISBLANK(patch[[#This Row],[project]]), "",COUNTIFS($A:$A,patch[[#This Row],[number]],$S:$S, "BJ And dev",$AD:$AD, "&lt;&gt;IntegratorValidationComment"))</f>
        <v/>
      </c>
      <c r="AA1108" s="7" t="str">
        <f>IF(ISBLANK(patch[[#This Row],[project]]), "",COUNTIFS($A:$A,patch[[#This Row],[number]],$S:$S, "FL And dev",$AD:$AD, "&lt;&gt;IntegratorValidationComment"))</f>
        <v/>
      </c>
      <c r="AB1108" s="7" t="str">
        <f>IF(ISBLANK(patch[[#This Row],[project]]), "",COUNTIFS($A:$A,patch[[#This Row],[number]],$S:$S, "SH And dev",$AD:$AD, "&lt;&gt;IntegratorValidationComment"))</f>
        <v/>
      </c>
      <c r="AC1108" s="7" t="str">
        <f>IF(OR(ISNUMBER(FIND("Review-1", patch[[#This Row],[comments]])), ISNUMBER(FIND("Approver-1", patch[[#This Row],[comments]]))), "Review-1", "")</f>
        <v/>
      </c>
      <c r="AD11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08" s="7">
        <f>IF(ISBLANK(patch[[#This Row],[number]]),AE1107,patch[[#This Row],[ifCommon]])</f>
        <v>0</v>
      </c>
    </row>
    <row r="1109" spans="1:31">
      <c r="A1109" s="151">
        <v>144258</v>
      </c>
      <c r="B1109" s="151"/>
      <c r="C1109" s="151"/>
      <c r="D1109" s="151"/>
      <c r="E1109" s="151"/>
      <c r="F1109" s="151"/>
      <c r="G1109" s="151"/>
      <c r="H1109" s="151"/>
      <c r="I1109" s="152"/>
      <c r="J1109" s="152">
        <v>42632.753587962958</v>
      </c>
      <c r="K1109" s="151"/>
      <c r="L1109" s="151" t="s">
        <v>68</v>
      </c>
      <c r="M1109" s="152">
        <v>42627.429409722223</v>
      </c>
      <c r="N1109" s="151" t="s">
        <v>3155</v>
      </c>
      <c r="O1109" s="151" t="s">
        <v>3156</v>
      </c>
      <c r="P1109" s="151"/>
      <c r="Q1109" s="7" t="str">
        <f>IF(ISBLANK(patch[[#This Row],[OwnerEmail]]),Q1108,patch[[#This Row],[OwnerEmail]])</f>
        <v>bin.b.yang@intel.com</v>
      </c>
      <c r="R1109" s="7" t="str">
        <f>_xlfn.IFNA(VLOOKUP(patch[[#This Row],[tmp-owner.email]],OrgTree!$A:$K, 11, 0), "not ICG SWFW")</f>
        <v>BJ And dev</v>
      </c>
      <c r="S1109" s="7" t="str">
        <f>IF(patch[[#This Row],[reviewer]]=patch[[#This Row],[tmp-owner.email]], "author", _xlfn.IFNA(VLOOKUP(patch[[#This Row],[reviewer]],OrgTree!$A:$K, 11, 0), "not ICG SWFW"))</f>
        <v>BJ And dev</v>
      </c>
      <c r="T1109" s="7" t="str">
        <f>IF(ISBLANK(patch[[#This Row],[mergeDate]]), "", MID(YEAR(patch[[#This Row],[mergeDate]]), 3,2)&amp;"'ww"&amp;WEEKNUM(patch[[#This Row],[mergeDate]]))</f>
        <v>16'ww39</v>
      </c>
      <c r="U1109" s="7" t="str">
        <f>IF(ISBLANK(patch[[#This Row],[mergeDate]]), U1108, MID(YEAR(patch[[#This Row],[mergeDate]]), 3,2)&amp;"'m"&amp;MONTH(patch[[#This Row],[mergeDate]]))</f>
        <v>16'm9</v>
      </c>
      <c r="V1109" s="7" t="str">
        <f>IF(ISBLANK(patch[[#This Row],[project]]), "",SUM(patch[[#This Row],[BJ -1 num]:[SH -1 num]]))</f>
        <v/>
      </c>
      <c r="W1109" s="7" t="str">
        <f>IF(ISBLANK(patch[[#This Row],[project]]), "",COUNTIFS($A:$A,patch[[#This Row],[number]],$S:$S, "BJ And dev",$AC:$AC, "Review-1"))</f>
        <v/>
      </c>
      <c r="X1109" s="7" t="str">
        <f>IF(ISBLANK(patch[[#This Row],[project]]), "",COUNTIFS($A:$A,patch[[#This Row],[number]],$S:$S, "FL And dev",$AC:$AC, "Review-1"))</f>
        <v/>
      </c>
      <c r="Y1109" s="7" t="str">
        <f>IF(ISBLANK(patch[[#This Row],[project]]), "",COUNTIFS($A:$A,patch[[#This Row],[number]],$S:$S, "SH And dev",$AC:$AC, "Review-1"))</f>
        <v/>
      </c>
      <c r="Z1109" s="7" t="str">
        <f>IF(ISBLANK(patch[[#This Row],[project]]), "",COUNTIFS($A:$A,patch[[#This Row],[number]],$S:$S, "BJ And dev",$AD:$AD, "&lt;&gt;IntegratorValidationComment"))</f>
        <v/>
      </c>
      <c r="AA1109" s="7" t="str">
        <f>IF(ISBLANK(patch[[#This Row],[project]]), "",COUNTIFS($A:$A,patch[[#This Row],[number]],$S:$S, "FL And dev",$AD:$AD, "&lt;&gt;IntegratorValidationComment"))</f>
        <v/>
      </c>
      <c r="AB1109" s="7" t="str">
        <f>IF(ISBLANK(patch[[#This Row],[project]]), "",COUNTIFS($A:$A,patch[[#This Row],[number]],$S:$S, "SH And dev",$AD:$AD, "&lt;&gt;IntegratorValidationComment"))</f>
        <v/>
      </c>
      <c r="AC1109" s="7" t="str">
        <f>IF(OR(ISNUMBER(FIND("Review-1", patch[[#This Row],[comments]])), ISNUMBER(FIND("Approver-1", patch[[#This Row],[comments]]))), "Review-1", "")</f>
        <v>Review-1</v>
      </c>
      <c r="AD11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09" s="7">
        <f>IF(ISBLANK(patch[[#This Row],[number]]),AE1108,patch[[#This Row],[ifCommon]])</f>
        <v>0</v>
      </c>
    </row>
    <row r="1110" spans="1:31">
      <c r="A1110" s="151">
        <v>144258</v>
      </c>
      <c r="B1110" s="151"/>
      <c r="C1110" s="151"/>
      <c r="D1110" s="151"/>
      <c r="E1110" s="151"/>
      <c r="F1110" s="151"/>
      <c r="G1110" s="151"/>
      <c r="H1110" s="151"/>
      <c r="I1110" s="151"/>
      <c r="J1110" s="152">
        <v>42632.753587962958</v>
      </c>
      <c r="K1110" s="151"/>
      <c r="L1110" s="151" t="s">
        <v>68</v>
      </c>
      <c r="M1110" s="152">
        <v>42627.467962962961</v>
      </c>
      <c r="N1110" s="151" t="s">
        <v>3157</v>
      </c>
      <c r="O1110" s="151"/>
      <c r="P1110" s="151"/>
      <c r="Q1110" s="7" t="str">
        <f>IF(ISBLANK(patch[[#This Row],[OwnerEmail]]),Q1109,patch[[#This Row],[OwnerEmail]])</f>
        <v>bin.b.yang@intel.com</v>
      </c>
      <c r="R1110" s="7" t="str">
        <f>_xlfn.IFNA(VLOOKUP(patch[[#This Row],[tmp-owner.email]],OrgTree!$A:$K, 11, 0), "not ICG SWFW")</f>
        <v>BJ And dev</v>
      </c>
      <c r="S1110" s="7" t="str">
        <f>IF(patch[[#This Row],[reviewer]]=patch[[#This Row],[tmp-owner.email]], "author", _xlfn.IFNA(VLOOKUP(patch[[#This Row],[reviewer]],OrgTree!$A:$K, 11, 0), "not ICG SWFW"))</f>
        <v>BJ And dev</v>
      </c>
      <c r="T1110" s="7" t="str">
        <f>IF(ISBLANK(patch[[#This Row],[mergeDate]]), "", MID(YEAR(patch[[#This Row],[mergeDate]]), 3,2)&amp;"'ww"&amp;WEEKNUM(patch[[#This Row],[mergeDate]]))</f>
        <v>16'ww39</v>
      </c>
      <c r="U1110" s="7" t="str">
        <f>IF(ISBLANK(patch[[#This Row],[mergeDate]]), U1109, MID(YEAR(patch[[#This Row],[mergeDate]]), 3,2)&amp;"'m"&amp;MONTH(patch[[#This Row],[mergeDate]]))</f>
        <v>16'm9</v>
      </c>
      <c r="V1110" s="7" t="str">
        <f>IF(ISBLANK(patch[[#This Row],[project]]), "",SUM(patch[[#This Row],[BJ -1 num]:[SH -1 num]]))</f>
        <v/>
      </c>
      <c r="W1110" s="7" t="str">
        <f>IF(ISBLANK(patch[[#This Row],[project]]), "",COUNTIFS($A:$A,patch[[#This Row],[number]],$S:$S, "BJ And dev",$AC:$AC, "Review-1"))</f>
        <v/>
      </c>
      <c r="X1110" s="7" t="str">
        <f>IF(ISBLANK(patch[[#This Row],[project]]), "",COUNTIFS($A:$A,patch[[#This Row],[number]],$S:$S, "FL And dev",$AC:$AC, "Review-1"))</f>
        <v/>
      </c>
      <c r="Y1110" s="7" t="str">
        <f>IF(ISBLANK(patch[[#This Row],[project]]), "",COUNTIFS($A:$A,patch[[#This Row],[number]],$S:$S, "SH And dev",$AC:$AC, "Review-1"))</f>
        <v/>
      </c>
      <c r="Z1110" s="7" t="str">
        <f>IF(ISBLANK(patch[[#This Row],[project]]), "",COUNTIFS($A:$A,patch[[#This Row],[number]],$S:$S, "BJ And dev",$AD:$AD, "&lt;&gt;IntegratorValidationComment"))</f>
        <v/>
      </c>
      <c r="AA1110" s="7" t="str">
        <f>IF(ISBLANK(patch[[#This Row],[project]]), "",COUNTIFS($A:$A,patch[[#This Row],[number]],$S:$S, "FL And dev",$AD:$AD, "&lt;&gt;IntegratorValidationComment"))</f>
        <v/>
      </c>
      <c r="AB1110" s="7" t="str">
        <f>IF(ISBLANK(patch[[#This Row],[project]]), "",COUNTIFS($A:$A,patch[[#This Row],[number]],$S:$S, "SH And dev",$AD:$AD, "&lt;&gt;IntegratorValidationComment"))</f>
        <v/>
      </c>
      <c r="AC1110" s="7" t="str">
        <f>IF(OR(ISNUMBER(FIND("Review-1", patch[[#This Row],[comments]])), ISNUMBER(FIND("Approver-1", patch[[#This Row],[comments]]))), "Review-1", "")</f>
        <v/>
      </c>
      <c r="AD11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10" s="7">
        <f>IF(ISBLANK(patch[[#This Row],[number]]),AE1109,patch[[#This Row],[ifCommon]])</f>
        <v>0</v>
      </c>
    </row>
    <row r="1111" spans="1:31">
      <c r="A1111" s="151">
        <v>144258</v>
      </c>
      <c r="B1111" s="151"/>
      <c r="C1111" s="151"/>
      <c r="D1111" s="151"/>
      <c r="E1111" s="151"/>
      <c r="F1111" s="151"/>
      <c r="G1111" s="151"/>
      <c r="H1111" s="151"/>
      <c r="I1111" s="151"/>
      <c r="J1111" s="152">
        <v>42632.753587962958</v>
      </c>
      <c r="K1111" s="151"/>
      <c r="L1111" s="151" t="s">
        <v>72</v>
      </c>
      <c r="M1111" s="152">
        <v>42628.234502314823</v>
      </c>
      <c r="N1111" s="151" t="s">
        <v>1855</v>
      </c>
      <c r="O1111" s="151"/>
      <c r="P1111" s="151"/>
      <c r="Q1111" s="7" t="str">
        <f>IF(ISBLANK(patch[[#This Row],[OwnerEmail]]),Q1110,patch[[#This Row],[OwnerEmail]])</f>
        <v>bin.b.yang@intel.com</v>
      </c>
      <c r="R1111" s="7" t="str">
        <f>_xlfn.IFNA(VLOOKUP(patch[[#This Row],[tmp-owner.email]],OrgTree!$A:$K, 11, 0), "not ICG SWFW")</f>
        <v>BJ And dev</v>
      </c>
      <c r="S1111" s="7" t="str">
        <f>IF(patch[[#This Row],[reviewer]]=patch[[#This Row],[tmp-owner.email]], "author", _xlfn.IFNA(VLOOKUP(patch[[#This Row],[reviewer]],OrgTree!$A:$K, 11, 0), "not ICG SWFW"))</f>
        <v>author</v>
      </c>
      <c r="T1111" s="7" t="str">
        <f>IF(ISBLANK(patch[[#This Row],[mergeDate]]), "", MID(YEAR(patch[[#This Row],[mergeDate]]), 3,2)&amp;"'ww"&amp;WEEKNUM(patch[[#This Row],[mergeDate]]))</f>
        <v>16'ww39</v>
      </c>
      <c r="U1111" s="7" t="str">
        <f>IF(ISBLANK(patch[[#This Row],[mergeDate]]), U1110, MID(YEAR(patch[[#This Row],[mergeDate]]), 3,2)&amp;"'m"&amp;MONTH(patch[[#This Row],[mergeDate]]))</f>
        <v>16'm9</v>
      </c>
      <c r="V1111" s="7" t="str">
        <f>IF(ISBLANK(patch[[#This Row],[project]]), "",SUM(patch[[#This Row],[BJ -1 num]:[SH -1 num]]))</f>
        <v/>
      </c>
      <c r="W1111" s="7" t="str">
        <f>IF(ISBLANK(patch[[#This Row],[project]]), "",COUNTIFS($A:$A,patch[[#This Row],[number]],$S:$S, "BJ And dev",$AC:$AC, "Review-1"))</f>
        <v/>
      </c>
      <c r="X1111" s="7" t="str">
        <f>IF(ISBLANK(patch[[#This Row],[project]]), "",COUNTIFS($A:$A,patch[[#This Row],[number]],$S:$S, "FL And dev",$AC:$AC, "Review-1"))</f>
        <v/>
      </c>
      <c r="Y1111" s="7" t="str">
        <f>IF(ISBLANK(patch[[#This Row],[project]]), "",COUNTIFS($A:$A,patch[[#This Row],[number]],$S:$S, "SH And dev",$AC:$AC, "Review-1"))</f>
        <v/>
      </c>
      <c r="Z1111" s="7" t="str">
        <f>IF(ISBLANK(patch[[#This Row],[project]]), "",COUNTIFS($A:$A,patch[[#This Row],[number]],$S:$S, "BJ And dev",$AD:$AD, "&lt;&gt;IntegratorValidationComment"))</f>
        <v/>
      </c>
      <c r="AA1111" s="7" t="str">
        <f>IF(ISBLANK(patch[[#This Row],[project]]), "",COUNTIFS($A:$A,patch[[#This Row],[number]],$S:$S, "FL And dev",$AD:$AD, "&lt;&gt;IntegratorValidationComment"))</f>
        <v/>
      </c>
      <c r="AB1111" s="7" t="str">
        <f>IF(ISBLANK(patch[[#This Row],[project]]), "",COUNTIFS($A:$A,patch[[#This Row],[number]],$S:$S, "SH And dev",$AD:$AD, "&lt;&gt;IntegratorValidationComment"))</f>
        <v/>
      </c>
      <c r="AC1111" s="7" t="str">
        <f>IF(OR(ISNUMBER(FIND("Review-1", patch[[#This Row],[comments]])), ISNUMBER(FIND("Approver-1", patch[[#This Row],[comments]]))), "Review-1", "")</f>
        <v/>
      </c>
      <c r="AD11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11" s="7">
        <f>IF(ISBLANK(patch[[#This Row],[number]]),AE1110,patch[[#This Row],[ifCommon]])</f>
        <v>0</v>
      </c>
    </row>
    <row r="1112" spans="1:31">
      <c r="A1112" s="151">
        <v>144258</v>
      </c>
      <c r="B1112" s="151"/>
      <c r="C1112" s="151"/>
      <c r="D1112" s="151"/>
      <c r="E1112" s="151"/>
      <c r="F1112" s="151"/>
      <c r="G1112" s="151"/>
      <c r="H1112" s="151"/>
      <c r="I1112" s="151"/>
      <c r="J1112" s="152">
        <v>42632.753587962958</v>
      </c>
      <c r="K1112" s="151"/>
      <c r="L1112" s="151" t="s">
        <v>72</v>
      </c>
      <c r="M1112" s="152">
        <v>42628.234525462962</v>
      </c>
      <c r="N1112" s="151" t="s">
        <v>2453</v>
      </c>
      <c r="O1112" s="151"/>
      <c r="P1112" s="151"/>
      <c r="Q1112" s="7" t="str">
        <f>IF(ISBLANK(patch[[#This Row],[OwnerEmail]]),Q1111,patch[[#This Row],[OwnerEmail]])</f>
        <v>bin.b.yang@intel.com</v>
      </c>
      <c r="R1112" s="7" t="str">
        <f>_xlfn.IFNA(VLOOKUP(patch[[#This Row],[tmp-owner.email]],OrgTree!$A:$K, 11, 0), "not ICG SWFW")</f>
        <v>BJ And dev</v>
      </c>
      <c r="S1112" s="7" t="str">
        <f>IF(patch[[#This Row],[reviewer]]=patch[[#This Row],[tmp-owner.email]], "author", _xlfn.IFNA(VLOOKUP(patch[[#This Row],[reviewer]],OrgTree!$A:$K, 11, 0), "not ICG SWFW"))</f>
        <v>author</v>
      </c>
      <c r="T1112" s="7" t="str">
        <f>IF(ISBLANK(patch[[#This Row],[mergeDate]]), "", MID(YEAR(patch[[#This Row],[mergeDate]]), 3,2)&amp;"'ww"&amp;WEEKNUM(patch[[#This Row],[mergeDate]]))</f>
        <v>16'ww39</v>
      </c>
      <c r="U1112" s="7" t="str">
        <f>IF(ISBLANK(patch[[#This Row],[mergeDate]]), U1111, MID(YEAR(patch[[#This Row],[mergeDate]]), 3,2)&amp;"'m"&amp;MONTH(patch[[#This Row],[mergeDate]]))</f>
        <v>16'm9</v>
      </c>
      <c r="V1112" s="7" t="str">
        <f>IF(ISBLANK(patch[[#This Row],[project]]), "",SUM(patch[[#This Row],[BJ -1 num]:[SH -1 num]]))</f>
        <v/>
      </c>
      <c r="W1112" s="7" t="str">
        <f>IF(ISBLANK(patch[[#This Row],[project]]), "",COUNTIFS($A:$A,patch[[#This Row],[number]],$S:$S, "BJ And dev",$AC:$AC, "Review-1"))</f>
        <v/>
      </c>
      <c r="X1112" s="7" t="str">
        <f>IF(ISBLANK(patch[[#This Row],[project]]), "",COUNTIFS($A:$A,patch[[#This Row],[number]],$S:$S, "FL And dev",$AC:$AC, "Review-1"))</f>
        <v/>
      </c>
      <c r="Y1112" s="7" t="str">
        <f>IF(ISBLANK(patch[[#This Row],[project]]), "",COUNTIFS($A:$A,patch[[#This Row],[number]],$S:$S, "SH And dev",$AC:$AC, "Review-1"))</f>
        <v/>
      </c>
      <c r="Z1112" s="7" t="str">
        <f>IF(ISBLANK(patch[[#This Row],[project]]), "",COUNTIFS($A:$A,patch[[#This Row],[number]],$S:$S, "BJ And dev",$AD:$AD, "&lt;&gt;IntegratorValidationComment"))</f>
        <v/>
      </c>
      <c r="AA1112" s="7" t="str">
        <f>IF(ISBLANK(patch[[#This Row],[project]]), "",COUNTIFS($A:$A,patch[[#This Row],[number]],$S:$S, "FL And dev",$AD:$AD, "&lt;&gt;IntegratorValidationComment"))</f>
        <v/>
      </c>
      <c r="AB1112" s="7" t="str">
        <f>IF(ISBLANK(patch[[#This Row],[project]]), "",COUNTIFS($A:$A,patch[[#This Row],[number]],$S:$S, "SH And dev",$AD:$AD, "&lt;&gt;IntegratorValidationComment"))</f>
        <v/>
      </c>
      <c r="AC1112" s="7" t="str">
        <f>IF(OR(ISNUMBER(FIND("Review-1", patch[[#This Row],[comments]])), ISNUMBER(FIND("Approver-1", patch[[#This Row],[comments]]))), "Review-1", "")</f>
        <v/>
      </c>
      <c r="AD11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12" s="7">
        <f>IF(ISBLANK(patch[[#This Row],[number]]),AE1111,patch[[#This Row],[ifCommon]])</f>
        <v>0</v>
      </c>
    </row>
    <row r="1113" spans="1:31">
      <c r="A1113" s="151">
        <v>144258</v>
      </c>
      <c r="B1113" s="151"/>
      <c r="C1113" s="151"/>
      <c r="D1113" s="151"/>
      <c r="E1113" s="151"/>
      <c r="F1113" s="151"/>
      <c r="G1113" s="151"/>
      <c r="H1113" s="151"/>
      <c r="I1113" s="151"/>
      <c r="J1113" s="152">
        <v>42632.753587962958</v>
      </c>
      <c r="K1113" s="151"/>
      <c r="L1113" s="151" t="s">
        <v>2508</v>
      </c>
      <c r="M1113" s="152">
        <v>42628.237870370373</v>
      </c>
      <c r="N1113" s="151" t="s">
        <v>3158</v>
      </c>
      <c r="O1113" s="151" t="s">
        <v>3159</v>
      </c>
      <c r="P1113" s="151"/>
      <c r="Q1113" s="7" t="str">
        <f>IF(ISBLANK(patch[[#This Row],[OwnerEmail]]),Q1112,patch[[#This Row],[OwnerEmail]])</f>
        <v>bin.b.yang@intel.com</v>
      </c>
      <c r="R1113" s="7" t="str">
        <f>_xlfn.IFNA(VLOOKUP(patch[[#This Row],[tmp-owner.email]],OrgTree!$A:$K, 11, 0), "not ICG SWFW")</f>
        <v>BJ And dev</v>
      </c>
      <c r="S1113" s="7" t="str">
        <f>IF(patch[[#This Row],[reviewer]]=patch[[#This Row],[tmp-owner.email]], "author", _xlfn.IFNA(VLOOKUP(patch[[#This Row],[reviewer]],OrgTree!$A:$K, 11, 0), "not ICG SWFW"))</f>
        <v>not ICG SWFW</v>
      </c>
      <c r="T1113" s="7" t="str">
        <f>IF(ISBLANK(patch[[#This Row],[mergeDate]]), "", MID(YEAR(patch[[#This Row],[mergeDate]]), 3,2)&amp;"'ww"&amp;WEEKNUM(patch[[#This Row],[mergeDate]]))</f>
        <v>16'ww39</v>
      </c>
      <c r="U1113" s="7" t="str">
        <f>IF(ISBLANK(patch[[#This Row],[mergeDate]]), U1112, MID(YEAR(patch[[#This Row],[mergeDate]]), 3,2)&amp;"'m"&amp;MONTH(patch[[#This Row],[mergeDate]]))</f>
        <v>16'm9</v>
      </c>
      <c r="V1113" s="7" t="str">
        <f>IF(ISBLANK(patch[[#This Row],[project]]), "",SUM(patch[[#This Row],[BJ -1 num]:[SH -1 num]]))</f>
        <v/>
      </c>
      <c r="W1113" s="7" t="str">
        <f>IF(ISBLANK(patch[[#This Row],[project]]), "",COUNTIFS($A:$A,patch[[#This Row],[number]],$S:$S, "BJ And dev",$AC:$AC, "Review-1"))</f>
        <v/>
      </c>
      <c r="X1113" s="7" t="str">
        <f>IF(ISBLANK(patch[[#This Row],[project]]), "",COUNTIFS($A:$A,patch[[#This Row],[number]],$S:$S, "FL And dev",$AC:$AC, "Review-1"))</f>
        <v/>
      </c>
      <c r="Y1113" s="7" t="str">
        <f>IF(ISBLANK(patch[[#This Row],[project]]), "",COUNTIFS($A:$A,patch[[#This Row],[number]],$S:$S, "SH And dev",$AC:$AC, "Review-1"))</f>
        <v/>
      </c>
      <c r="Z1113" s="7" t="str">
        <f>IF(ISBLANK(patch[[#This Row],[project]]), "",COUNTIFS($A:$A,patch[[#This Row],[number]],$S:$S, "BJ And dev",$AD:$AD, "&lt;&gt;IntegratorValidationComment"))</f>
        <v/>
      </c>
      <c r="AA1113" s="7" t="str">
        <f>IF(ISBLANK(patch[[#This Row],[project]]), "",COUNTIFS($A:$A,patch[[#This Row],[number]],$S:$S, "FL And dev",$AD:$AD, "&lt;&gt;IntegratorValidationComment"))</f>
        <v/>
      </c>
      <c r="AB1113" s="7" t="str">
        <f>IF(ISBLANK(patch[[#This Row],[project]]), "",COUNTIFS($A:$A,patch[[#This Row],[number]],$S:$S, "SH And dev",$AD:$AD, "&lt;&gt;IntegratorValidationComment"))</f>
        <v/>
      </c>
      <c r="AC1113" s="7" t="str">
        <f>IF(OR(ISNUMBER(FIND("Review-1", patch[[#This Row],[comments]])), ISNUMBER(FIND("Approver-1", patch[[#This Row],[comments]]))), "Review-1", "")</f>
        <v>Review-1</v>
      </c>
      <c r="AD11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13" s="7">
        <f>IF(ISBLANK(patch[[#This Row],[number]]),AE1112,patch[[#This Row],[ifCommon]])</f>
        <v>0</v>
      </c>
    </row>
    <row r="1114" spans="1:31">
      <c r="A1114" s="151">
        <v>144258</v>
      </c>
      <c r="B1114" s="151"/>
      <c r="C1114" s="151"/>
      <c r="D1114" s="151"/>
      <c r="E1114" s="151"/>
      <c r="F1114" s="151"/>
      <c r="G1114" s="151"/>
      <c r="H1114" s="151"/>
      <c r="I1114" s="151"/>
      <c r="J1114" s="152">
        <v>42632.753587962958</v>
      </c>
      <c r="K1114" s="151"/>
      <c r="L1114" s="151" t="s">
        <v>72</v>
      </c>
      <c r="M1114" s="152">
        <v>42628.253807870373</v>
      </c>
      <c r="N1114" s="151" t="s">
        <v>2465</v>
      </c>
      <c r="O1114" s="151"/>
      <c r="P1114" s="151"/>
      <c r="Q1114" s="7" t="str">
        <f>IF(ISBLANK(patch[[#This Row],[OwnerEmail]]),Q1113,patch[[#This Row],[OwnerEmail]])</f>
        <v>bin.b.yang@intel.com</v>
      </c>
      <c r="R1114" s="7" t="str">
        <f>_xlfn.IFNA(VLOOKUP(patch[[#This Row],[tmp-owner.email]],OrgTree!$A:$K, 11, 0), "not ICG SWFW")</f>
        <v>BJ And dev</v>
      </c>
      <c r="S1114" s="7" t="str">
        <f>IF(patch[[#This Row],[reviewer]]=patch[[#This Row],[tmp-owner.email]], "author", _xlfn.IFNA(VLOOKUP(patch[[#This Row],[reviewer]],OrgTree!$A:$K, 11, 0), "not ICG SWFW"))</f>
        <v>author</v>
      </c>
      <c r="T1114" s="7" t="str">
        <f>IF(ISBLANK(patch[[#This Row],[mergeDate]]), "", MID(YEAR(patch[[#This Row],[mergeDate]]), 3,2)&amp;"'ww"&amp;WEEKNUM(patch[[#This Row],[mergeDate]]))</f>
        <v>16'ww39</v>
      </c>
      <c r="U1114" s="7" t="str">
        <f>IF(ISBLANK(patch[[#This Row],[mergeDate]]), U1113, MID(YEAR(patch[[#This Row],[mergeDate]]), 3,2)&amp;"'m"&amp;MONTH(patch[[#This Row],[mergeDate]]))</f>
        <v>16'm9</v>
      </c>
      <c r="V1114" s="7" t="str">
        <f>IF(ISBLANK(patch[[#This Row],[project]]), "",SUM(patch[[#This Row],[BJ -1 num]:[SH -1 num]]))</f>
        <v/>
      </c>
      <c r="W1114" s="7" t="str">
        <f>IF(ISBLANK(patch[[#This Row],[project]]), "",COUNTIFS($A:$A,patch[[#This Row],[number]],$S:$S, "BJ And dev",$AC:$AC, "Review-1"))</f>
        <v/>
      </c>
      <c r="X1114" s="7" t="str">
        <f>IF(ISBLANK(patch[[#This Row],[project]]), "",COUNTIFS($A:$A,patch[[#This Row],[number]],$S:$S, "FL And dev",$AC:$AC, "Review-1"))</f>
        <v/>
      </c>
      <c r="Y1114" s="7" t="str">
        <f>IF(ISBLANK(patch[[#This Row],[project]]), "",COUNTIFS($A:$A,patch[[#This Row],[number]],$S:$S, "SH And dev",$AC:$AC, "Review-1"))</f>
        <v/>
      </c>
      <c r="Z1114" s="7" t="str">
        <f>IF(ISBLANK(patch[[#This Row],[project]]), "",COUNTIFS($A:$A,patch[[#This Row],[number]],$S:$S, "BJ And dev",$AD:$AD, "&lt;&gt;IntegratorValidationComment"))</f>
        <v/>
      </c>
      <c r="AA1114" s="7" t="str">
        <f>IF(ISBLANK(patch[[#This Row],[project]]), "",COUNTIFS($A:$A,patch[[#This Row],[number]],$S:$S, "FL And dev",$AD:$AD, "&lt;&gt;IntegratorValidationComment"))</f>
        <v/>
      </c>
      <c r="AB1114" s="7" t="str">
        <f>IF(ISBLANK(patch[[#This Row],[project]]), "",COUNTIFS($A:$A,patch[[#This Row],[number]],$S:$S, "SH And dev",$AD:$AD, "&lt;&gt;IntegratorValidationComment"))</f>
        <v/>
      </c>
      <c r="AC1114" s="7" t="str">
        <f>IF(OR(ISNUMBER(FIND("Review-1", patch[[#This Row],[comments]])), ISNUMBER(FIND("Approver-1", patch[[#This Row],[comments]]))), "Review-1", "")</f>
        <v/>
      </c>
      <c r="AD11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14" s="7">
        <f>IF(ISBLANK(patch[[#This Row],[number]]),AE1113,patch[[#This Row],[ifCommon]])</f>
        <v>0</v>
      </c>
    </row>
    <row r="1115" spans="1:31">
      <c r="A1115" s="151">
        <v>144258</v>
      </c>
      <c r="B1115" s="151"/>
      <c r="C1115" s="151"/>
      <c r="D1115" s="151"/>
      <c r="E1115" s="151"/>
      <c r="F1115" s="151"/>
      <c r="G1115" s="151"/>
      <c r="H1115" s="151"/>
      <c r="I1115" s="151"/>
      <c r="J1115" s="152">
        <v>42632.753587962958</v>
      </c>
      <c r="K1115" s="151"/>
      <c r="L1115" s="151" t="s">
        <v>72</v>
      </c>
      <c r="M1115" s="152">
        <v>42628.253807870373</v>
      </c>
      <c r="N1115" s="151" t="s">
        <v>1842</v>
      </c>
      <c r="O1115" s="151"/>
      <c r="P1115" s="151"/>
      <c r="Q1115" s="7" t="str">
        <f>IF(ISBLANK(patch[[#This Row],[OwnerEmail]]),Q1114,patch[[#This Row],[OwnerEmail]])</f>
        <v>bin.b.yang@intel.com</v>
      </c>
      <c r="R1115" s="7" t="str">
        <f>_xlfn.IFNA(VLOOKUP(patch[[#This Row],[tmp-owner.email]],OrgTree!$A:$K, 11, 0), "not ICG SWFW")</f>
        <v>BJ And dev</v>
      </c>
      <c r="S1115" s="7" t="str">
        <f>IF(patch[[#This Row],[reviewer]]=patch[[#This Row],[tmp-owner.email]], "author", _xlfn.IFNA(VLOOKUP(patch[[#This Row],[reviewer]],OrgTree!$A:$K, 11, 0), "not ICG SWFW"))</f>
        <v>author</v>
      </c>
      <c r="T1115" s="7" t="str">
        <f>IF(ISBLANK(patch[[#This Row],[mergeDate]]), "", MID(YEAR(patch[[#This Row],[mergeDate]]), 3,2)&amp;"'ww"&amp;WEEKNUM(patch[[#This Row],[mergeDate]]))</f>
        <v>16'ww39</v>
      </c>
      <c r="U1115" s="7" t="str">
        <f>IF(ISBLANK(patch[[#This Row],[mergeDate]]), U1114, MID(YEAR(patch[[#This Row],[mergeDate]]), 3,2)&amp;"'m"&amp;MONTH(patch[[#This Row],[mergeDate]]))</f>
        <v>16'm9</v>
      </c>
      <c r="V1115" s="7" t="str">
        <f>IF(ISBLANK(patch[[#This Row],[project]]), "",SUM(patch[[#This Row],[BJ -1 num]:[SH -1 num]]))</f>
        <v/>
      </c>
      <c r="W1115" s="7" t="str">
        <f>IF(ISBLANK(patch[[#This Row],[project]]), "",COUNTIFS($A:$A,patch[[#This Row],[number]],$S:$S, "BJ And dev",$AC:$AC, "Review-1"))</f>
        <v/>
      </c>
      <c r="X1115" s="7" t="str">
        <f>IF(ISBLANK(patch[[#This Row],[project]]), "",COUNTIFS($A:$A,patch[[#This Row],[number]],$S:$S, "FL And dev",$AC:$AC, "Review-1"))</f>
        <v/>
      </c>
      <c r="Y1115" s="7" t="str">
        <f>IF(ISBLANK(patch[[#This Row],[project]]), "",COUNTIFS($A:$A,patch[[#This Row],[number]],$S:$S, "SH And dev",$AC:$AC, "Review-1"))</f>
        <v/>
      </c>
      <c r="Z1115" s="7" t="str">
        <f>IF(ISBLANK(patch[[#This Row],[project]]), "",COUNTIFS($A:$A,patch[[#This Row],[number]],$S:$S, "BJ And dev",$AD:$AD, "&lt;&gt;IntegratorValidationComment"))</f>
        <v/>
      </c>
      <c r="AA1115" s="7" t="str">
        <f>IF(ISBLANK(patch[[#This Row],[project]]), "",COUNTIFS($A:$A,patch[[#This Row],[number]],$S:$S, "FL And dev",$AD:$AD, "&lt;&gt;IntegratorValidationComment"))</f>
        <v/>
      </c>
      <c r="AB1115" s="7" t="str">
        <f>IF(ISBLANK(patch[[#This Row],[project]]), "",COUNTIFS($A:$A,patch[[#This Row],[number]],$S:$S, "SH And dev",$AD:$AD, "&lt;&gt;IntegratorValidationComment"))</f>
        <v/>
      </c>
      <c r="AC1115" s="7" t="str">
        <f>IF(OR(ISNUMBER(FIND("Review-1", patch[[#This Row],[comments]])), ISNUMBER(FIND("Approver-1", patch[[#This Row],[comments]]))), "Review-1", "")</f>
        <v/>
      </c>
      <c r="AD11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15" s="7">
        <f>IF(ISBLANK(patch[[#This Row],[number]]),AE1114,patch[[#This Row],[ifCommon]])</f>
        <v>0</v>
      </c>
    </row>
    <row r="1116" spans="1:31">
      <c r="A1116" s="151">
        <v>144258</v>
      </c>
      <c r="B1116" s="151"/>
      <c r="C1116" s="151"/>
      <c r="D1116" s="151"/>
      <c r="E1116" s="151"/>
      <c r="F1116" s="151"/>
      <c r="G1116" s="151"/>
      <c r="H1116" s="151"/>
      <c r="I1116" s="151"/>
      <c r="J1116" s="152">
        <v>42632.753587962958</v>
      </c>
      <c r="K1116" s="151"/>
      <c r="L1116" s="151" t="s">
        <v>72</v>
      </c>
      <c r="M1116" s="152">
        <v>42628.255231481482</v>
      </c>
      <c r="N1116" s="151" t="s">
        <v>1862</v>
      </c>
      <c r="O1116" s="151"/>
      <c r="P1116" s="151"/>
      <c r="Q1116" s="7" t="str">
        <f>IF(ISBLANK(patch[[#This Row],[OwnerEmail]]),Q1115,patch[[#This Row],[OwnerEmail]])</f>
        <v>bin.b.yang@intel.com</v>
      </c>
      <c r="R1116" s="7" t="str">
        <f>_xlfn.IFNA(VLOOKUP(patch[[#This Row],[tmp-owner.email]],OrgTree!$A:$K, 11, 0), "not ICG SWFW")</f>
        <v>BJ And dev</v>
      </c>
      <c r="S1116" s="7" t="str">
        <f>IF(patch[[#This Row],[reviewer]]=patch[[#This Row],[tmp-owner.email]], "author", _xlfn.IFNA(VLOOKUP(patch[[#This Row],[reviewer]],OrgTree!$A:$K, 11, 0), "not ICG SWFW"))</f>
        <v>author</v>
      </c>
      <c r="T1116" s="7" t="str">
        <f>IF(ISBLANK(patch[[#This Row],[mergeDate]]), "", MID(YEAR(patch[[#This Row],[mergeDate]]), 3,2)&amp;"'ww"&amp;WEEKNUM(patch[[#This Row],[mergeDate]]))</f>
        <v>16'ww39</v>
      </c>
      <c r="U1116" s="7" t="str">
        <f>IF(ISBLANK(patch[[#This Row],[mergeDate]]), U1115, MID(YEAR(patch[[#This Row],[mergeDate]]), 3,2)&amp;"'m"&amp;MONTH(patch[[#This Row],[mergeDate]]))</f>
        <v>16'm9</v>
      </c>
      <c r="V1116" s="7" t="str">
        <f>IF(ISBLANK(patch[[#This Row],[project]]), "",SUM(patch[[#This Row],[BJ -1 num]:[SH -1 num]]))</f>
        <v/>
      </c>
      <c r="W1116" s="7" t="str">
        <f>IF(ISBLANK(patch[[#This Row],[project]]), "",COUNTIFS($A:$A,patch[[#This Row],[number]],$S:$S, "BJ And dev",$AC:$AC, "Review-1"))</f>
        <v/>
      </c>
      <c r="X1116" s="7" t="str">
        <f>IF(ISBLANK(patch[[#This Row],[project]]), "",COUNTIFS($A:$A,patch[[#This Row],[number]],$S:$S, "FL And dev",$AC:$AC, "Review-1"))</f>
        <v/>
      </c>
      <c r="Y1116" s="7" t="str">
        <f>IF(ISBLANK(patch[[#This Row],[project]]), "",COUNTIFS($A:$A,patch[[#This Row],[number]],$S:$S, "SH And dev",$AC:$AC, "Review-1"))</f>
        <v/>
      </c>
      <c r="Z1116" s="7" t="str">
        <f>IF(ISBLANK(patch[[#This Row],[project]]), "",COUNTIFS($A:$A,patch[[#This Row],[number]],$S:$S, "BJ And dev",$AD:$AD, "&lt;&gt;IntegratorValidationComment"))</f>
        <v/>
      </c>
      <c r="AA1116" s="7" t="str">
        <f>IF(ISBLANK(patch[[#This Row],[project]]), "",COUNTIFS($A:$A,patch[[#This Row],[number]],$S:$S, "FL And dev",$AD:$AD, "&lt;&gt;IntegratorValidationComment"))</f>
        <v/>
      </c>
      <c r="AB1116" s="7" t="str">
        <f>IF(ISBLANK(patch[[#This Row],[project]]), "",COUNTIFS($A:$A,patch[[#This Row],[number]],$S:$S, "SH And dev",$AD:$AD, "&lt;&gt;IntegratorValidationComment"))</f>
        <v/>
      </c>
      <c r="AC1116" s="7" t="str">
        <f>IF(OR(ISNUMBER(FIND("Review-1", patch[[#This Row],[comments]])), ISNUMBER(FIND("Approver-1", patch[[#This Row],[comments]]))), "Review-1", "")</f>
        <v/>
      </c>
      <c r="AD11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16" s="7">
        <f>IF(ISBLANK(patch[[#This Row],[number]]),AE1115,patch[[#This Row],[ifCommon]])</f>
        <v>0</v>
      </c>
    </row>
    <row r="1117" spans="1:31">
      <c r="A1117" s="151">
        <v>144258</v>
      </c>
      <c r="B1117" s="151"/>
      <c r="C1117" s="151"/>
      <c r="D1117" s="151"/>
      <c r="E1117" s="151"/>
      <c r="F1117" s="151"/>
      <c r="G1117" s="151"/>
      <c r="H1117" s="151"/>
      <c r="I1117" s="151"/>
      <c r="J1117" s="152">
        <v>42632.753587962958</v>
      </c>
      <c r="K1117" s="151"/>
      <c r="L1117" s="151" t="s">
        <v>72</v>
      </c>
      <c r="M1117" s="152">
        <v>42628.255243055559</v>
      </c>
      <c r="N1117" s="151" t="s">
        <v>2466</v>
      </c>
      <c r="O1117" s="151"/>
      <c r="P1117" s="151"/>
      <c r="Q1117" s="7" t="str">
        <f>IF(ISBLANK(patch[[#This Row],[OwnerEmail]]),Q1116,patch[[#This Row],[OwnerEmail]])</f>
        <v>bin.b.yang@intel.com</v>
      </c>
      <c r="R1117" s="7" t="str">
        <f>_xlfn.IFNA(VLOOKUP(patch[[#This Row],[tmp-owner.email]],OrgTree!$A:$K, 11, 0), "not ICG SWFW")</f>
        <v>BJ And dev</v>
      </c>
      <c r="S1117" s="7" t="str">
        <f>IF(patch[[#This Row],[reviewer]]=patch[[#This Row],[tmp-owner.email]], "author", _xlfn.IFNA(VLOOKUP(patch[[#This Row],[reviewer]],OrgTree!$A:$K, 11, 0), "not ICG SWFW"))</f>
        <v>author</v>
      </c>
      <c r="T1117" s="7" t="str">
        <f>IF(ISBLANK(patch[[#This Row],[mergeDate]]), "", MID(YEAR(patch[[#This Row],[mergeDate]]), 3,2)&amp;"'ww"&amp;WEEKNUM(patch[[#This Row],[mergeDate]]))</f>
        <v>16'ww39</v>
      </c>
      <c r="U1117" s="7" t="str">
        <f>IF(ISBLANK(patch[[#This Row],[mergeDate]]), U1116, MID(YEAR(patch[[#This Row],[mergeDate]]), 3,2)&amp;"'m"&amp;MONTH(patch[[#This Row],[mergeDate]]))</f>
        <v>16'm9</v>
      </c>
      <c r="V1117" s="7" t="str">
        <f>IF(ISBLANK(patch[[#This Row],[project]]), "",SUM(patch[[#This Row],[BJ -1 num]:[SH -1 num]]))</f>
        <v/>
      </c>
      <c r="W1117" s="7" t="str">
        <f>IF(ISBLANK(patch[[#This Row],[project]]), "",COUNTIFS($A:$A,patch[[#This Row],[number]],$S:$S, "BJ And dev",$AC:$AC, "Review-1"))</f>
        <v/>
      </c>
      <c r="X1117" s="7" t="str">
        <f>IF(ISBLANK(patch[[#This Row],[project]]), "",COUNTIFS($A:$A,patch[[#This Row],[number]],$S:$S, "FL And dev",$AC:$AC, "Review-1"))</f>
        <v/>
      </c>
      <c r="Y1117" s="7" t="str">
        <f>IF(ISBLANK(patch[[#This Row],[project]]), "",COUNTIFS($A:$A,patch[[#This Row],[number]],$S:$S, "SH And dev",$AC:$AC, "Review-1"))</f>
        <v/>
      </c>
      <c r="Z1117" s="7" t="str">
        <f>IF(ISBLANK(patch[[#This Row],[project]]), "",COUNTIFS($A:$A,patch[[#This Row],[number]],$S:$S, "BJ And dev",$AD:$AD, "&lt;&gt;IntegratorValidationComment"))</f>
        <v/>
      </c>
      <c r="AA1117" s="7" t="str">
        <f>IF(ISBLANK(patch[[#This Row],[project]]), "",COUNTIFS($A:$A,patch[[#This Row],[number]],$S:$S, "FL And dev",$AD:$AD, "&lt;&gt;IntegratorValidationComment"))</f>
        <v/>
      </c>
      <c r="AB1117" s="7" t="str">
        <f>IF(ISBLANK(patch[[#This Row],[project]]), "",COUNTIFS($A:$A,patch[[#This Row],[number]],$S:$S, "SH And dev",$AD:$AD, "&lt;&gt;IntegratorValidationComment"))</f>
        <v/>
      </c>
      <c r="AC1117" s="7" t="str">
        <f>IF(OR(ISNUMBER(FIND("Review-1", patch[[#This Row],[comments]])), ISNUMBER(FIND("Approver-1", patch[[#This Row],[comments]]))), "Review-1", "")</f>
        <v/>
      </c>
      <c r="AD11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17" s="7">
        <f>IF(ISBLANK(patch[[#This Row],[number]]),AE1116,patch[[#This Row],[ifCommon]])</f>
        <v>0</v>
      </c>
    </row>
    <row r="1118" spans="1:31">
      <c r="A1118" s="151">
        <v>144258</v>
      </c>
      <c r="B1118" s="151"/>
      <c r="C1118" s="151"/>
      <c r="D1118" s="151"/>
      <c r="E1118" s="151"/>
      <c r="F1118" s="151"/>
      <c r="G1118" s="151"/>
      <c r="H1118" s="151"/>
      <c r="I1118" s="152"/>
      <c r="J1118" s="152">
        <v>42632.753587962958</v>
      </c>
      <c r="K1118" s="151"/>
      <c r="L1118" s="151" t="s">
        <v>72</v>
      </c>
      <c r="M1118" s="152">
        <v>42628.257997685178</v>
      </c>
      <c r="N1118" s="151" t="s">
        <v>2524</v>
      </c>
      <c r="O1118" s="151"/>
      <c r="P1118" s="151"/>
      <c r="Q1118" s="7" t="str">
        <f>IF(ISBLANK(patch[[#This Row],[OwnerEmail]]),Q1117,patch[[#This Row],[OwnerEmail]])</f>
        <v>bin.b.yang@intel.com</v>
      </c>
      <c r="R1118" s="7" t="str">
        <f>_xlfn.IFNA(VLOOKUP(patch[[#This Row],[tmp-owner.email]],OrgTree!$A:$K, 11, 0), "not ICG SWFW")</f>
        <v>BJ And dev</v>
      </c>
      <c r="S1118" s="7" t="str">
        <f>IF(patch[[#This Row],[reviewer]]=patch[[#This Row],[tmp-owner.email]], "author", _xlfn.IFNA(VLOOKUP(patch[[#This Row],[reviewer]],OrgTree!$A:$K, 11, 0), "not ICG SWFW"))</f>
        <v>author</v>
      </c>
      <c r="T1118" s="7" t="str">
        <f>IF(ISBLANK(patch[[#This Row],[mergeDate]]), "", MID(YEAR(patch[[#This Row],[mergeDate]]), 3,2)&amp;"'ww"&amp;WEEKNUM(patch[[#This Row],[mergeDate]]))</f>
        <v>16'ww39</v>
      </c>
      <c r="U1118" s="7" t="str">
        <f>IF(ISBLANK(patch[[#This Row],[mergeDate]]), U1117, MID(YEAR(patch[[#This Row],[mergeDate]]), 3,2)&amp;"'m"&amp;MONTH(patch[[#This Row],[mergeDate]]))</f>
        <v>16'm9</v>
      </c>
      <c r="V1118" s="7" t="str">
        <f>IF(ISBLANK(patch[[#This Row],[project]]), "",SUM(patch[[#This Row],[BJ -1 num]:[SH -1 num]]))</f>
        <v/>
      </c>
      <c r="W1118" s="7" t="str">
        <f>IF(ISBLANK(patch[[#This Row],[project]]), "",COUNTIFS($A:$A,patch[[#This Row],[number]],$S:$S, "BJ And dev",$AC:$AC, "Review-1"))</f>
        <v/>
      </c>
      <c r="X1118" s="7" t="str">
        <f>IF(ISBLANK(patch[[#This Row],[project]]), "",COUNTIFS($A:$A,patch[[#This Row],[number]],$S:$S, "FL And dev",$AC:$AC, "Review-1"))</f>
        <v/>
      </c>
      <c r="Y1118" s="7" t="str">
        <f>IF(ISBLANK(patch[[#This Row],[project]]), "",COUNTIFS($A:$A,patch[[#This Row],[number]],$S:$S, "SH And dev",$AC:$AC, "Review-1"))</f>
        <v/>
      </c>
      <c r="Z1118" s="7" t="str">
        <f>IF(ISBLANK(patch[[#This Row],[project]]), "",COUNTIFS($A:$A,patch[[#This Row],[number]],$S:$S, "BJ And dev",$AD:$AD, "&lt;&gt;IntegratorValidationComment"))</f>
        <v/>
      </c>
      <c r="AA1118" s="7" t="str">
        <f>IF(ISBLANK(patch[[#This Row],[project]]), "",COUNTIFS($A:$A,patch[[#This Row],[number]],$S:$S, "FL And dev",$AD:$AD, "&lt;&gt;IntegratorValidationComment"))</f>
        <v/>
      </c>
      <c r="AB1118" s="7" t="str">
        <f>IF(ISBLANK(patch[[#This Row],[project]]), "",COUNTIFS($A:$A,patch[[#This Row],[number]],$S:$S, "SH And dev",$AD:$AD, "&lt;&gt;IntegratorValidationComment"))</f>
        <v/>
      </c>
      <c r="AC1118" s="7" t="str">
        <f>IF(OR(ISNUMBER(FIND("Review-1", patch[[#This Row],[comments]])), ISNUMBER(FIND("Approver-1", patch[[#This Row],[comments]]))), "Review-1", "")</f>
        <v/>
      </c>
      <c r="AD11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18" s="7">
        <f>IF(ISBLANK(patch[[#This Row],[number]]),AE1117,patch[[#This Row],[ifCommon]])</f>
        <v>0</v>
      </c>
    </row>
    <row r="1119" spans="1:31">
      <c r="A1119" s="151">
        <v>144258</v>
      </c>
      <c r="B1119" s="151"/>
      <c r="C1119" s="151"/>
      <c r="D1119" s="151"/>
      <c r="E1119" s="151"/>
      <c r="F1119" s="151"/>
      <c r="G1119" s="151"/>
      <c r="H1119" s="151"/>
      <c r="I1119" s="151"/>
      <c r="J1119" s="152">
        <v>42632.753587962958</v>
      </c>
      <c r="K1119" s="151"/>
      <c r="L1119" s="151" t="s">
        <v>72</v>
      </c>
      <c r="M1119" s="152">
        <v>42628.258009259262</v>
      </c>
      <c r="N1119" s="151" t="s">
        <v>2467</v>
      </c>
      <c r="O1119" s="151"/>
      <c r="P1119" s="151"/>
      <c r="Q1119" s="7" t="str">
        <f>IF(ISBLANK(patch[[#This Row],[OwnerEmail]]),Q1118,patch[[#This Row],[OwnerEmail]])</f>
        <v>bin.b.yang@intel.com</v>
      </c>
      <c r="R1119" s="7" t="str">
        <f>_xlfn.IFNA(VLOOKUP(patch[[#This Row],[tmp-owner.email]],OrgTree!$A:$K, 11, 0), "not ICG SWFW")</f>
        <v>BJ And dev</v>
      </c>
      <c r="S1119" s="7" t="str">
        <f>IF(patch[[#This Row],[reviewer]]=patch[[#This Row],[tmp-owner.email]], "author", _xlfn.IFNA(VLOOKUP(patch[[#This Row],[reviewer]],OrgTree!$A:$K, 11, 0), "not ICG SWFW"))</f>
        <v>author</v>
      </c>
      <c r="T1119" s="7" t="str">
        <f>IF(ISBLANK(patch[[#This Row],[mergeDate]]), "", MID(YEAR(patch[[#This Row],[mergeDate]]), 3,2)&amp;"'ww"&amp;WEEKNUM(patch[[#This Row],[mergeDate]]))</f>
        <v>16'ww39</v>
      </c>
      <c r="U1119" s="7" t="str">
        <f>IF(ISBLANK(patch[[#This Row],[mergeDate]]), U1118, MID(YEAR(patch[[#This Row],[mergeDate]]), 3,2)&amp;"'m"&amp;MONTH(patch[[#This Row],[mergeDate]]))</f>
        <v>16'm9</v>
      </c>
      <c r="V1119" s="7" t="str">
        <f>IF(ISBLANK(patch[[#This Row],[project]]), "",SUM(patch[[#This Row],[BJ -1 num]:[SH -1 num]]))</f>
        <v/>
      </c>
      <c r="W1119" s="7" t="str">
        <f>IF(ISBLANK(patch[[#This Row],[project]]), "",COUNTIFS($A:$A,patch[[#This Row],[number]],$S:$S, "BJ And dev",$AC:$AC, "Review-1"))</f>
        <v/>
      </c>
      <c r="X1119" s="7" t="str">
        <f>IF(ISBLANK(patch[[#This Row],[project]]), "",COUNTIFS($A:$A,patch[[#This Row],[number]],$S:$S, "FL And dev",$AC:$AC, "Review-1"))</f>
        <v/>
      </c>
      <c r="Y1119" s="7" t="str">
        <f>IF(ISBLANK(patch[[#This Row],[project]]), "",COUNTIFS($A:$A,patch[[#This Row],[number]],$S:$S, "SH And dev",$AC:$AC, "Review-1"))</f>
        <v/>
      </c>
      <c r="Z1119" s="7" t="str">
        <f>IF(ISBLANK(patch[[#This Row],[project]]), "",COUNTIFS($A:$A,patch[[#This Row],[number]],$S:$S, "BJ And dev",$AD:$AD, "&lt;&gt;IntegratorValidationComment"))</f>
        <v/>
      </c>
      <c r="AA1119" s="7" t="str">
        <f>IF(ISBLANK(patch[[#This Row],[project]]), "",COUNTIFS($A:$A,patch[[#This Row],[number]],$S:$S, "FL And dev",$AD:$AD, "&lt;&gt;IntegratorValidationComment"))</f>
        <v/>
      </c>
      <c r="AB1119" s="7" t="str">
        <f>IF(ISBLANK(patch[[#This Row],[project]]), "",COUNTIFS($A:$A,patch[[#This Row],[number]],$S:$S, "SH And dev",$AD:$AD, "&lt;&gt;IntegratorValidationComment"))</f>
        <v/>
      </c>
      <c r="AC1119" s="7" t="str">
        <f>IF(OR(ISNUMBER(FIND("Review-1", patch[[#This Row],[comments]])), ISNUMBER(FIND("Approver-1", patch[[#This Row],[comments]]))), "Review-1", "")</f>
        <v/>
      </c>
      <c r="AD11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19" s="7">
        <f>IF(ISBLANK(patch[[#This Row],[number]]),AE1118,patch[[#This Row],[ifCommon]])</f>
        <v>0</v>
      </c>
    </row>
    <row r="1120" spans="1:31">
      <c r="A1120" s="151">
        <v>144258</v>
      </c>
      <c r="B1120" s="151"/>
      <c r="C1120" s="151"/>
      <c r="D1120" s="151"/>
      <c r="E1120" s="151"/>
      <c r="F1120" s="151"/>
      <c r="G1120" s="151"/>
      <c r="H1120" s="151"/>
      <c r="I1120" s="151"/>
      <c r="J1120" s="152">
        <v>42632.753587962958</v>
      </c>
      <c r="K1120" s="151"/>
      <c r="L1120" s="151" t="s">
        <v>2508</v>
      </c>
      <c r="M1120" s="152">
        <v>42628.260046296287</v>
      </c>
      <c r="N1120" s="151" t="s">
        <v>3160</v>
      </c>
      <c r="O1120" s="151"/>
      <c r="P1120" s="151"/>
      <c r="Q1120" s="7" t="str">
        <f>IF(ISBLANK(patch[[#This Row],[OwnerEmail]]),Q1119,patch[[#This Row],[OwnerEmail]])</f>
        <v>bin.b.yang@intel.com</v>
      </c>
      <c r="R1120" s="7" t="str">
        <f>_xlfn.IFNA(VLOOKUP(patch[[#This Row],[tmp-owner.email]],OrgTree!$A:$K, 11, 0), "not ICG SWFW")</f>
        <v>BJ And dev</v>
      </c>
      <c r="S1120" s="7" t="str">
        <f>IF(patch[[#This Row],[reviewer]]=patch[[#This Row],[tmp-owner.email]], "author", _xlfn.IFNA(VLOOKUP(patch[[#This Row],[reviewer]],OrgTree!$A:$K, 11, 0), "not ICG SWFW"))</f>
        <v>not ICG SWFW</v>
      </c>
      <c r="T1120" s="7" t="str">
        <f>IF(ISBLANK(patch[[#This Row],[mergeDate]]), "", MID(YEAR(patch[[#This Row],[mergeDate]]), 3,2)&amp;"'ww"&amp;WEEKNUM(patch[[#This Row],[mergeDate]]))</f>
        <v>16'ww39</v>
      </c>
      <c r="U1120" s="7" t="str">
        <f>IF(ISBLANK(patch[[#This Row],[mergeDate]]), U1119, MID(YEAR(patch[[#This Row],[mergeDate]]), 3,2)&amp;"'m"&amp;MONTH(patch[[#This Row],[mergeDate]]))</f>
        <v>16'm9</v>
      </c>
      <c r="V1120" s="7" t="str">
        <f>IF(ISBLANK(patch[[#This Row],[project]]), "",SUM(patch[[#This Row],[BJ -1 num]:[SH -1 num]]))</f>
        <v/>
      </c>
      <c r="W1120" s="7" t="str">
        <f>IF(ISBLANK(patch[[#This Row],[project]]), "",COUNTIFS($A:$A,patch[[#This Row],[number]],$S:$S, "BJ And dev",$AC:$AC, "Review-1"))</f>
        <v/>
      </c>
      <c r="X1120" s="7" t="str">
        <f>IF(ISBLANK(patch[[#This Row],[project]]), "",COUNTIFS($A:$A,patch[[#This Row],[number]],$S:$S, "FL And dev",$AC:$AC, "Review-1"))</f>
        <v/>
      </c>
      <c r="Y1120" s="7" t="str">
        <f>IF(ISBLANK(patch[[#This Row],[project]]), "",COUNTIFS($A:$A,patch[[#This Row],[number]],$S:$S, "SH And dev",$AC:$AC, "Review-1"))</f>
        <v/>
      </c>
      <c r="Z1120" s="7" t="str">
        <f>IF(ISBLANK(patch[[#This Row],[project]]), "",COUNTIFS($A:$A,patch[[#This Row],[number]],$S:$S, "BJ And dev",$AD:$AD, "&lt;&gt;IntegratorValidationComment"))</f>
        <v/>
      </c>
      <c r="AA1120" s="7" t="str">
        <f>IF(ISBLANK(patch[[#This Row],[project]]), "",COUNTIFS($A:$A,patch[[#This Row],[number]],$S:$S, "FL And dev",$AD:$AD, "&lt;&gt;IntegratorValidationComment"))</f>
        <v/>
      </c>
      <c r="AB1120" s="7" t="str">
        <f>IF(ISBLANK(patch[[#This Row],[project]]), "",COUNTIFS($A:$A,patch[[#This Row],[number]],$S:$S, "SH And dev",$AD:$AD, "&lt;&gt;IntegratorValidationComment"))</f>
        <v/>
      </c>
      <c r="AC1120" s="7" t="str">
        <f>IF(OR(ISNUMBER(FIND("Review-1", patch[[#This Row],[comments]])), ISNUMBER(FIND("Approver-1", patch[[#This Row],[comments]]))), "Review-1", "")</f>
        <v/>
      </c>
      <c r="AD11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20" s="7">
        <f>IF(ISBLANK(patch[[#This Row],[number]]),AE1119,patch[[#This Row],[ifCommon]])</f>
        <v>0</v>
      </c>
    </row>
    <row r="1121" spans="1:31">
      <c r="A1121" s="151">
        <v>144258</v>
      </c>
      <c r="B1121" s="151"/>
      <c r="C1121" s="151"/>
      <c r="D1121" s="151"/>
      <c r="E1121" s="151"/>
      <c r="F1121" s="151"/>
      <c r="G1121" s="151"/>
      <c r="H1121" s="151"/>
      <c r="I1121" s="151"/>
      <c r="J1121" s="152">
        <v>42632.753587962958</v>
      </c>
      <c r="K1121" s="151"/>
      <c r="L1121" s="151" t="s">
        <v>72</v>
      </c>
      <c r="M1121" s="152">
        <v>42628.261307870373</v>
      </c>
      <c r="N1121" s="151" t="s">
        <v>1849</v>
      </c>
      <c r="O1121" s="151"/>
      <c r="P1121" s="151"/>
      <c r="Q1121" s="7" t="str">
        <f>IF(ISBLANK(patch[[#This Row],[OwnerEmail]]),Q1120,patch[[#This Row],[OwnerEmail]])</f>
        <v>bin.b.yang@intel.com</v>
      </c>
      <c r="R1121" s="7" t="str">
        <f>_xlfn.IFNA(VLOOKUP(patch[[#This Row],[tmp-owner.email]],OrgTree!$A:$K, 11, 0), "not ICG SWFW")</f>
        <v>BJ And dev</v>
      </c>
      <c r="S1121" s="7" t="str">
        <f>IF(patch[[#This Row],[reviewer]]=patch[[#This Row],[tmp-owner.email]], "author", _xlfn.IFNA(VLOOKUP(patch[[#This Row],[reviewer]],OrgTree!$A:$K, 11, 0), "not ICG SWFW"))</f>
        <v>author</v>
      </c>
      <c r="T1121" s="7" t="str">
        <f>IF(ISBLANK(patch[[#This Row],[mergeDate]]), "", MID(YEAR(patch[[#This Row],[mergeDate]]), 3,2)&amp;"'ww"&amp;WEEKNUM(patch[[#This Row],[mergeDate]]))</f>
        <v>16'ww39</v>
      </c>
      <c r="U1121" s="7" t="str">
        <f>IF(ISBLANK(patch[[#This Row],[mergeDate]]), U1120, MID(YEAR(patch[[#This Row],[mergeDate]]), 3,2)&amp;"'m"&amp;MONTH(patch[[#This Row],[mergeDate]]))</f>
        <v>16'm9</v>
      </c>
      <c r="V1121" s="7" t="str">
        <f>IF(ISBLANK(patch[[#This Row],[project]]), "",SUM(patch[[#This Row],[BJ -1 num]:[SH -1 num]]))</f>
        <v/>
      </c>
      <c r="W1121" s="7" t="str">
        <f>IF(ISBLANK(patch[[#This Row],[project]]), "",COUNTIFS($A:$A,patch[[#This Row],[number]],$S:$S, "BJ And dev",$AC:$AC, "Review-1"))</f>
        <v/>
      </c>
      <c r="X1121" s="7" t="str">
        <f>IF(ISBLANK(patch[[#This Row],[project]]), "",COUNTIFS($A:$A,patch[[#This Row],[number]],$S:$S, "FL And dev",$AC:$AC, "Review-1"))</f>
        <v/>
      </c>
      <c r="Y1121" s="7" t="str">
        <f>IF(ISBLANK(patch[[#This Row],[project]]), "",COUNTIFS($A:$A,patch[[#This Row],[number]],$S:$S, "SH And dev",$AC:$AC, "Review-1"))</f>
        <v/>
      </c>
      <c r="Z1121" s="7" t="str">
        <f>IF(ISBLANK(patch[[#This Row],[project]]), "",COUNTIFS($A:$A,patch[[#This Row],[number]],$S:$S, "BJ And dev",$AD:$AD, "&lt;&gt;IntegratorValidationComment"))</f>
        <v/>
      </c>
      <c r="AA1121" s="7" t="str">
        <f>IF(ISBLANK(patch[[#This Row],[project]]), "",COUNTIFS($A:$A,patch[[#This Row],[number]],$S:$S, "FL And dev",$AD:$AD, "&lt;&gt;IntegratorValidationComment"))</f>
        <v/>
      </c>
      <c r="AB1121" s="7" t="str">
        <f>IF(ISBLANK(patch[[#This Row],[project]]), "",COUNTIFS($A:$A,patch[[#This Row],[number]],$S:$S, "SH And dev",$AD:$AD, "&lt;&gt;IntegratorValidationComment"))</f>
        <v/>
      </c>
      <c r="AC1121" s="7" t="str">
        <f>IF(OR(ISNUMBER(FIND("Review-1", patch[[#This Row],[comments]])), ISNUMBER(FIND("Approver-1", patch[[#This Row],[comments]]))), "Review-1", "")</f>
        <v/>
      </c>
      <c r="AD11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21" s="7">
        <f>IF(ISBLANK(patch[[#This Row],[number]]),AE1120,patch[[#This Row],[ifCommon]])</f>
        <v>0</v>
      </c>
    </row>
    <row r="1122" spans="1:31">
      <c r="A1122" s="151">
        <v>144258</v>
      </c>
      <c r="B1122" s="151"/>
      <c r="C1122" s="151"/>
      <c r="D1122" s="151"/>
      <c r="E1122" s="151"/>
      <c r="F1122" s="151"/>
      <c r="G1122" s="151"/>
      <c r="H1122" s="151"/>
      <c r="I1122" s="151"/>
      <c r="J1122" s="152">
        <v>42632.753587962958</v>
      </c>
      <c r="K1122" s="151"/>
      <c r="L1122" s="151" t="s">
        <v>3154</v>
      </c>
      <c r="M1122" s="152">
        <v>42628.296030092592</v>
      </c>
      <c r="N1122" s="151" t="s">
        <v>1849</v>
      </c>
      <c r="O1122" s="151"/>
      <c r="P1122" s="151"/>
      <c r="Q1122" s="7" t="str">
        <f>IF(ISBLANK(patch[[#This Row],[OwnerEmail]]),Q1121,patch[[#This Row],[OwnerEmail]])</f>
        <v>bin.b.yang@intel.com</v>
      </c>
      <c r="R1122" s="7" t="str">
        <f>_xlfn.IFNA(VLOOKUP(patch[[#This Row],[tmp-owner.email]],OrgTree!$A:$K, 11, 0), "not ICG SWFW")</f>
        <v>BJ And dev</v>
      </c>
      <c r="S1122" s="7" t="str">
        <f>IF(patch[[#This Row],[reviewer]]=patch[[#This Row],[tmp-owner.email]], "author", _xlfn.IFNA(VLOOKUP(patch[[#This Row],[reviewer]],OrgTree!$A:$K, 11, 0), "not ICG SWFW"))</f>
        <v>not ICG SWFW</v>
      </c>
      <c r="T1122" s="7" t="str">
        <f>IF(ISBLANK(patch[[#This Row],[mergeDate]]), "", MID(YEAR(patch[[#This Row],[mergeDate]]), 3,2)&amp;"'ww"&amp;WEEKNUM(patch[[#This Row],[mergeDate]]))</f>
        <v>16'ww39</v>
      </c>
      <c r="U1122" s="7" t="str">
        <f>IF(ISBLANK(patch[[#This Row],[mergeDate]]), U1121, MID(YEAR(patch[[#This Row],[mergeDate]]), 3,2)&amp;"'m"&amp;MONTH(patch[[#This Row],[mergeDate]]))</f>
        <v>16'm9</v>
      </c>
      <c r="V1122" s="7" t="str">
        <f>IF(ISBLANK(patch[[#This Row],[project]]), "",SUM(patch[[#This Row],[BJ -1 num]:[SH -1 num]]))</f>
        <v/>
      </c>
      <c r="W1122" s="7" t="str">
        <f>IF(ISBLANK(patch[[#This Row],[project]]), "",COUNTIFS($A:$A,patch[[#This Row],[number]],$S:$S, "BJ And dev",$AC:$AC, "Review-1"))</f>
        <v/>
      </c>
      <c r="X1122" s="7" t="str">
        <f>IF(ISBLANK(patch[[#This Row],[project]]), "",COUNTIFS($A:$A,patch[[#This Row],[number]],$S:$S, "FL And dev",$AC:$AC, "Review-1"))</f>
        <v/>
      </c>
      <c r="Y1122" s="7" t="str">
        <f>IF(ISBLANK(patch[[#This Row],[project]]), "",COUNTIFS($A:$A,patch[[#This Row],[number]],$S:$S, "SH And dev",$AC:$AC, "Review-1"))</f>
        <v/>
      </c>
      <c r="Z1122" s="7" t="str">
        <f>IF(ISBLANK(patch[[#This Row],[project]]), "",COUNTIFS($A:$A,patch[[#This Row],[number]],$S:$S, "BJ And dev",$AD:$AD, "&lt;&gt;IntegratorValidationComment"))</f>
        <v/>
      </c>
      <c r="AA1122" s="7" t="str">
        <f>IF(ISBLANK(patch[[#This Row],[project]]), "",COUNTIFS($A:$A,patch[[#This Row],[number]],$S:$S, "FL And dev",$AD:$AD, "&lt;&gt;IntegratorValidationComment"))</f>
        <v/>
      </c>
      <c r="AB1122" s="7" t="str">
        <f>IF(ISBLANK(patch[[#This Row],[project]]), "",COUNTIFS($A:$A,patch[[#This Row],[number]],$S:$S, "SH And dev",$AD:$AD, "&lt;&gt;IntegratorValidationComment"))</f>
        <v/>
      </c>
      <c r="AC1122" s="7" t="str">
        <f>IF(OR(ISNUMBER(FIND("Review-1", patch[[#This Row],[comments]])), ISNUMBER(FIND("Approver-1", patch[[#This Row],[comments]]))), "Review-1", "")</f>
        <v/>
      </c>
      <c r="AD11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22" s="7">
        <f>IF(ISBLANK(patch[[#This Row],[number]]),AE1121,patch[[#This Row],[ifCommon]])</f>
        <v>0</v>
      </c>
    </row>
    <row r="1123" spans="1:31">
      <c r="A1123" s="151">
        <v>144258</v>
      </c>
      <c r="B1123" s="151"/>
      <c r="C1123" s="151"/>
      <c r="D1123" s="151"/>
      <c r="E1123" s="151"/>
      <c r="F1123" s="151"/>
      <c r="G1123" s="151"/>
      <c r="H1123" s="151"/>
      <c r="I1123" s="152"/>
      <c r="J1123" s="152">
        <v>42632.753587962958</v>
      </c>
      <c r="K1123" s="151"/>
      <c r="L1123" s="151" t="s">
        <v>24</v>
      </c>
      <c r="M1123" s="152">
        <v>42628.368344907409</v>
      </c>
      <c r="N1123" s="151" t="s">
        <v>2502</v>
      </c>
      <c r="O1123" s="151"/>
      <c r="P1123" s="151"/>
      <c r="Q1123" s="7" t="str">
        <f>IF(ISBLANK(patch[[#This Row],[OwnerEmail]]),Q1122,patch[[#This Row],[OwnerEmail]])</f>
        <v>bin.b.yang@intel.com</v>
      </c>
      <c r="R1123" s="7" t="str">
        <f>_xlfn.IFNA(VLOOKUP(patch[[#This Row],[tmp-owner.email]],OrgTree!$A:$K, 11, 0), "not ICG SWFW")</f>
        <v>BJ And dev</v>
      </c>
      <c r="S1123" s="7" t="str">
        <f>IF(patch[[#This Row],[reviewer]]=patch[[#This Row],[tmp-owner.email]], "author", _xlfn.IFNA(VLOOKUP(patch[[#This Row],[reviewer]],OrgTree!$A:$K, 11, 0), "not ICG SWFW"))</f>
        <v>BJ And dev</v>
      </c>
      <c r="T1123" s="7" t="str">
        <f>IF(ISBLANK(patch[[#This Row],[mergeDate]]), "", MID(YEAR(patch[[#This Row],[mergeDate]]), 3,2)&amp;"'ww"&amp;WEEKNUM(patch[[#This Row],[mergeDate]]))</f>
        <v>16'ww39</v>
      </c>
      <c r="U1123" s="7" t="str">
        <f>IF(ISBLANK(patch[[#This Row],[mergeDate]]), U1122, MID(YEAR(patch[[#This Row],[mergeDate]]), 3,2)&amp;"'m"&amp;MONTH(patch[[#This Row],[mergeDate]]))</f>
        <v>16'm9</v>
      </c>
      <c r="V1123" s="7" t="str">
        <f>IF(ISBLANK(patch[[#This Row],[project]]), "",SUM(patch[[#This Row],[BJ -1 num]:[SH -1 num]]))</f>
        <v/>
      </c>
      <c r="W1123" s="7" t="str">
        <f>IF(ISBLANK(patch[[#This Row],[project]]), "",COUNTIFS($A:$A,patch[[#This Row],[number]],$S:$S, "BJ And dev",$AC:$AC, "Review-1"))</f>
        <v/>
      </c>
      <c r="X1123" s="7" t="str">
        <f>IF(ISBLANK(patch[[#This Row],[project]]), "",COUNTIFS($A:$A,patch[[#This Row],[number]],$S:$S, "FL And dev",$AC:$AC, "Review-1"))</f>
        <v/>
      </c>
      <c r="Y1123" s="7" t="str">
        <f>IF(ISBLANK(patch[[#This Row],[project]]), "",COUNTIFS($A:$A,patch[[#This Row],[number]],$S:$S, "SH And dev",$AC:$AC, "Review-1"))</f>
        <v/>
      </c>
      <c r="Z1123" s="7" t="str">
        <f>IF(ISBLANK(patch[[#This Row],[project]]), "",COUNTIFS($A:$A,patch[[#This Row],[number]],$S:$S, "BJ And dev",$AD:$AD, "&lt;&gt;IntegratorValidationComment"))</f>
        <v/>
      </c>
      <c r="AA1123" s="7" t="str">
        <f>IF(ISBLANK(patch[[#This Row],[project]]), "",COUNTIFS($A:$A,patch[[#This Row],[number]],$S:$S, "FL And dev",$AD:$AD, "&lt;&gt;IntegratorValidationComment"))</f>
        <v/>
      </c>
      <c r="AB1123" s="7" t="str">
        <f>IF(ISBLANK(patch[[#This Row],[project]]), "",COUNTIFS($A:$A,patch[[#This Row],[number]],$S:$S, "SH And dev",$AD:$AD, "&lt;&gt;IntegratorValidationComment"))</f>
        <v/>
      </c>
      <c r="AC1123" s="7" t="str">
        <f>IF(OR(ISNUMBER(FIND("Review-1", patch[[#This Row],[comments]])), ISNUMBER(FIND("Approver-1", patch[[#This Row],[comments]]))), "Review-1", "")</f>
        <v/>
      </c>
      <c r="AD11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23" s="7">
        <f>IF(ISBLANK(patch[[#This Row],[number]]),AE1122,patch[[#This Row],[ifCommon]])</f>
        <v>0</v>
      </c>
    </row>
    <row r="1124" spans="1:31">
      <c r="A1124" s="151">
        <v>144258</v>
      </c>
      <c r="B1124" s="151"/>
      <c r="C1124" s="151"/>
      <c r="D1124" s="151"/>
      <c r="E1124" s="151"/>
      <c r="F1124" s="151"/>
      <c r="G1124" s="151"/>
      <c r="H1124" s="151"/>
      <c r="I1124" s="151"/>
      <c r="J1124" s="152">
        <v>42632.753587962958</v>
      </c>
      <c r="K1124" s="151"/>
      <c r="L1124" s="151" t="s">
        <v>1237</v>
      </c>
      <c r="M1124" s="152">
        <v>42628.369039351863</v>
      </c>
      <c r="N1124" s="151" t="s">
        <v>1849</v>
      </c>
      <c r="O1124" s="151"/>
      <c r="P1124" s="151"/>
      <c r="Q1124" s="7" t="str">
        <f>IF(ISBLANK(patch[[#This Row],[OwnerEmail]]),Q1123,patch[[#This Row],[OwnerEmail]])</f>
        <v>bin.b.yang@intel.com</v>
      </c>
      <c r="R1124" s="7" t="str">
        <f>_xlfn.IFNA(VLOOKUP(patch[[#This Row],[tmp-owner.email]],OrgTree!$A:$K, 11, 0), "not ICG SWFW")</f>
        <v>BJ And dev</v>
      </c>
      <c r="S1124" s="7" t="str">
        <f>IF(patch[[#This Row],[reviewer]]=patch[[#This Row],[tmp-owner.email]], "author", _xlfn.IFNA(VLOOKUP(patch[[#This Row],[reviewer]],OrgTree!$A:$K, 11, 0), "not ICG SWFW"))</f>
        <v>BJ And dev</v>
      </c>
      <c r="T1124" s="7" t="str">
        <f>IF(ISBLANK(patch[[#This Row],[mergeDate]]), "", MID(YEAR(patch[[#This Row],[mergeDate]]), 3,2)&amp;"'ww"&amp;WEEKNUM(patch[[#This Row],[mergeDate]]))</f>
        <v>16'ww39</v>
      </c>
      <c r="U1124" s="7" t="str">
        <f>IF(ISBLANK(patch[[#This Row],[mergeDate]]), U1123, MID(YEAR(patch[[#This Row],[mergeDate]]), 3,2)&amp;"'m"&amp;MONTH(patch[[#This Row],[mergeDate]]))</f>
        <v>16'm9</v>
      </c>
      <c r="V1124" s="7" t="str">
        <f>IF(ISBLANK(patch[[#This Row],[project]]), "",SUM(patch[[#This Row],[BJ -1 num]:[SH -1 num]]))</f>
        <v/>
      </c>
      <c r="W1124" s="7" t="str">
        <f>IF(ISBLANK(patch[[#This Row],[project]]), "",COUNTIFS($A:$A,patch[[#This Row],[number]],$S:$S, "BJ And dev",$AC:$AC, "Review-1"))</f>
        <v/>
      </c>
      <c r="X1124" s="7" t="str">
        <f>IF(ISBLANK(patch[[#This Row],[project]]), "",COUNTIFS($A:$A,patch[[#This Row],[number]],$S:$S, "FL And dev",$AC:$AC, "Review-1"))</f>
        <v/>
      </c>
      <c r="Y1124" s="7" t="str">
        <f>IF(ISBLANK(patch[[#This Row],[project]]), "",COUNTIFS($A:$A,patch[[#This Row],[number]],$S:$S, "SH And dev",$AC:$AC, "Review-1"))</f>
        <v/>
      </c>
      <c r="Z1124" s="7" t="str">
        <f>IF(ISBLANK(patch[[#This Row],[project]]), "",COUNTIFS($A:$A,patch[[#This Row],[number]],$S:$S, "BJ And dev",$AD:$AD, "&lt;&gt;IntegratorValidationComment"))</f>
        <v/>
      </c>
      <c r="AA1124" s="7" t="str">
        <f>IF(ISBLANK(patch[[#This Row],[project]]), "",COUNTIFS($A:$A,patch[[#This Row],[number]],$S:$S, "FL And dev",$AD:$AD, "&lt;&gt;IntegratorValidationComment"))</f>
        <v/>
      </c>
      <c r="AB1124" s="7" t="str">
        <f>IF(ISBLANK(patch[[#This Row],[project]]), "",COUNTIFS($A:$A,patch[[#This Row],[number]],$S:$S, "SH And dev",$AD:$AD, "&lt;&gt;IntegratorValidationComment"))</f>
        <v/>
      </c>
      <c r="AC1124" s="7" t="str">
        <f>IF(OR(ISNUMBER(FIND("Review-1", patch[[#This Row],[comments]])), ISNUMBER(FIND("Approver-1", patch[[#This Row],[comments]]))), "Review-1", "")</f>
        <v/>
      </c>
      <c r="AD11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24" s="7">
        <f>IF(ISBLANK(patch[[#This Row],[number]]),AE1123,patch[[#This Row],[ifCommon]])</f>
        <v>0</v>
      </c>
    </row>
    <row r="1125" spans="1:31">
      <c r="A1125" s="151">
        <v>144258</v>
      </c>
      <c r="B1125" s="151"/>
      <c r="C1125" s="151"/>
      <c r="D1125" s="151"/>
      <c r="E1125" s="151"/>
      <c r="F1125" s="151"/>
      <c r="G1125" s="151"/>
      <c r="H1125" s="151"/>
      <c r="I1125" s="151"/>
      <c r="J1125" s="152">
        <v>42632.753587962958</v>
      </c>
      <c r="K1125" s="151"/>
      <c r="L1125" s="151" t="s">
        <v>59</v>
      </c>
      <c r="M1125" s="152">
        <v>42628.371261574073</v>
      </c>
      <c r="N1125" s="151" t="s">
        <v>3161</v>
      </c>
      <c r="O1125" s="151"/>
      <c r="P1125" s="151"/>
      <c r="Q1125" s="7" t="str">
        <f>IF(ISBLANK(patch[[#This Row],[OwnerEmail]]),Q1124,patch[[#This Row],[OwnerEmail]])</f>
        <v>bin.b.yang@intel.com</v>
      </c>
      <c r="R1125" s="7" t="str">
        <f>_xlfn.IFNA(VLOOKUP(patch[[#This Row],[tmp-owner.email]],OrgTree!$A:$K, 11, 0), "not ICG SWFW")</f>
        <v>BJ And dev</v>
      </c>
      <c r="S1125" s="7" t="str">
        <f>IF(patch[[#This Row],[reviewer]]=patch[[#This Row],[tmp-owner.email]], "author", _xlfn.IFNA(VLOOKUP(patch[[#This Row],[reviewer]],OrgTree!$A:$K, 11, 0), "not ICG SWFW"))</f>
        <v>BJ And dev</v>
      </c>
      <c r="T1125" s="7" t="str">
        <f>IF(ISBLANK(patch[[#This Row],[mergeDate]]), "", MID(YEAR(patch[[#This Row],[mergeDate]]), 3,2)&amp;"'ww"&amp;WEEKNUM(patch[[#This Row],[mergeDate]]))</f>
        <v>16'ww39</v>
      </c>
      <c r="U1125" s="7" t="str">
        <f>IF(ISBLANK(patch[[#This Row],[mergeDate]]), U1124, MID(YEAR(patch[[#This Row],[mergeDate]]), 3,2)&amp;"'m"&amp;MONTH(patch[[#This Row],[mergeDate]]))</f>
        <v>16'm9</v>
      </c>
      <c r="V1125" s="7" t="str">
        <f>IF(ISBLANK(patch[[#This Row],[project]]), "",SUM(patch[[#This Row],[BJ -1 num]:[SH -1 num]]))</f>
        <v/>
      </c>
      <c r="W1125" s="7" t="str">
        <f>IF(ISBLANK(patch[[#This Row],[project]]), "",COUNTIFS($A:$A,patch[[#This Row],[number]],$S:$S, "BJ And dev",$AC:$AC, "Review-1"))</f>
        <v/>
      </c>
      <c r="X1125" s="7" t="str">
        <f>IF(ISBLANK(patch[[#This Row],[project]]), "",COUNTIFS($A:$A,patch[[#This Row],[number]],$S:$S, "FL And dev",$AC:$AC, "Review-1"))</f>
        <v/>
      </c>
      <c r="Y1125" s="7" t="str">
        <f>IF(ISBLANK(patch[[#This Row],[project]]), "",COUNTIFS($A:$A,patch[[#This Row],[number]],$S:$S, "SH And dev",$AC:$AC, "Review-1"))</f>
        <v/>
      </c>
      <c r="Z1125" s="7" t="str">
        <f>IF(ISBLANK(patch[[#This Row],[project]]), "",COUNTIFS($A:$A,patch[[#This Row],[number]],$S:$S, "BJ And dev",$AD:$AD, "&lt;&gt;IntegratorValidationComment"))</f>
        <v/>
      </c>
      <c r="AA1125" s="7" t="str">
        <f>IF(ISBLANK(patch[[#This Row],[project]]), "",COUNTIFS($A:$A,patch[[#This Row],[number]],$S:$S, "FL And dev",$AD:$AD, "&lt;&gt;IntegratorValidationComment"))</f>
        <v/>
      </c>
      <c r="AB1125" s="7" t="str">
        <f>IF(ISBLANK(patch[[#This Row],[project]]), "",COUNTIFS($A:$A,patch[[#This Row],[number]],$S:$S, "SH And dev",$AD:$AD, "&lt;&gt;IntegratorValidationComment"))</f>
        <v/>
      </c>
      <c r="AC1125" s="7" t="str">
        <f>IF(OR(ISNUMBER(FIND("Review-1", patch[[#This Row],[comments]])), ISNUMBER(FIND("Approver-1", patch[[#This Row],[comments]]))), "Review-1", "")</f>
        <v/>
      </c>
      <c r="AD11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25" s="7">
        <f>IF(ISBLANK(patch[[#This Row],[number]]),AE1124,patch[[#This Row],[ifCommon]])</f>
        <v>0</v>
      </c>
    </row>
    <row r="1126" spans="1:31">
      <c r="A1126" s="151">
        <v>144258</v>
      </c>
      <c r="B1126" s="151"/>
      <c r="C1126" s="151"/>
      <c r="D1126" s="151"/>
      <c r="E1126" s="151"/>
      <c r="F1126" s="151"/>
      <c r="G1126" s="151"/>
      <c r="H1126" s="151"/>
      <c r="I1126" s="151"/>
      <c r="J1126" s="152">
        <v>42632.753587962958</v>
      </c>
      <c r="K1126" s="151"/>
      <c r="L1126" s="151" t="s">
        <v>59</v>
      </c>
      <c r="M1126" s="152">
        <v>42628.376400462963</v>
      </c>
      <c r="N1126" s="151" t="s">
        <v>3162</v>
      </c>
      <c r="O1126" s="151"/>
      <c r="P1126" s="151"/>
      <c r="Q1126" s="7" t="str">
        <f>IF(ISBLANK(patch[[#This Row],[OwnerEmail]]),Q1125,patch[[#This Row],[OwnerEmail]])</f>
        <v>bin.b.yang@intel.com</v>
      </c>
      <c r="R1126" s="7" t="str">
        <f>_xlfn.IFNA(VLOOKUP(patch[[#This Row],[tmp-owner.email]],OrgTree!$A:$K, 11, 0), "not ICG SWFW")</f>
        <v>BJ And dev</v>
      </c>
      <c r="S1126" s="7" t="str">
        <f>IF(patch[[#This Row],[reviewer]]=patch[[#This Row],[tmp-owner.email]], "author", _xlfn.IFNA(VLOOKUP(patch[[#This Row],[reviewer]],OrgTree!$A:$K, 11, 0), "not ICG SWFW"))</f>
        <v>BJ And dev</v>
      </c>
      <c r="T1126" s="7" t="str">
        <f>IF(ISBLANK(patch[[#This Row],[mergeDate]]), "", MID(YEAR(patch[[#This Row],[mergeDate]]), 3,2)&amp;"'ww"&amp;WEEKNUM(patch[[#This Row],[mergeDate]]))</f>
        <v>16'ww39</v>
      </c>
      <c r="U1126" s="7" t="str">
        <f>IF(ISBLANK(patch[[#This Row],[mergeDate]]), U1125, MID(YEAR(patch[[#This Row],[mergeDate]]), 3,2)&amp;"'m"&amp;MONTH(patch[[#This Row],[mergeDate]]))</f>
        <v>16'm9</v>
      </c>
      <c r="V1126" s="7" t="str">
        <f>IF(ISBLANK(patch[[#This Row],[project]]), "",SUM(patch[[#This Row],[BJ -1 num]:[SH -1 num]]))</f>
        <v/>
      </c>
      <c r="W1126" s="7" t="str">
        <f>IF(ISBLANK(patch[[#This Row],[project]]), "",COUNTIFS($A:$A,patch[[#This Row],[number]],$S:$S, "BJ And dev",$AC:$AC, "Review-1"))</f>
        <v/>
      </c>
      <c r="X1126" s="7" t="str">
        <f>IF(ISBLANK(patch[[#This Row],[project]]), "",COUNTIFS($A:$A,patch[[#This Row],[number]],$S:$S, "FL And dev",$AC:$AC, "Review-1"))</f>
        <v/>
      </c>
      <c r="Y1126" s="7" t="str">
        <f>IF(ISBLANK(patch[[#This Row],[project]]), "",COUNTIFS($A:$A,patch[[#This Row],[number]],$S:$S, "SH And dev",$AC:$AC, "Review-1"))</f>
        <v/>
      </c>
      <c r="Z1126" s="7" t="str">
        <f>IF(ISBLANK(patch[[#This Row],[project]]), "",COUNTIFS($A:$A,patch[[#This Row],[number]],$S:$S, "BJ And dev",$AD:$AD, "&lt;&gt;IntegratorValidationComment"))</f>
        <v/>
      </c>
      <c r="AA1126" s="7" t="str">
        <f>IF(ISBLANK(patch[[#This Row],[project]]), "",COUNTIFS($A:$A,patch[[#This Row],[number]],$S:$S, "FL And dev",$AD:$AD, "&lt;&gt;IntegratorValidationComment"))</f>
        <v/>
      </c>
      <c r="AB1126" s="7" t="str">
        <f>IF(ISBLANK(patch[[#This Row],[project]]), "",COUNTIFS($A:$A,patch[[#This Row],[number]],$S:$S, "SH And dev",$AD:$AD, "&lt;&gt;IntegratorValidationComment"))</f>
        <v/>
      </c>
      <c r="AC1126" s="7" t="str">
        <f>IF(OR(ISNUMBER(FIND("Review-1", patch[[#This Row],[comments]])), ISNUMBER(FIND("Approver-1", patch[[#This Row],[comments]]))), "Review-1", "")</f>
        <v/>
      </c>
      <c r="AD11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26" s="7">
        <f>IF(ISBLANK(patch[[#This Row],[number]]),AE1125,patch[[#This Row],[ifCommon]])</f>
        <v>0</v>
      </c>
    </row>
    <row r="1127" spans="1:31">
      <c r="A1127" s="151">
        <v>144258</v>
      </c>
      <c r="B1127" s="151"/>
      <c r="C1127" s="151"/>
      <c r="D1127" s="151"/>
      <c r="E1127" s="151"/>
      <c r="F1127" s="151"/>
      <c r="G1127" s="151"/>
      <c r="H1127" s="151"/>
      <c r="I1127" s="151"/>
      <c r="J1127" s="152">
        <v>42632.753587962958</v>
      </c>
      <c r="K1127" s="151"/>
      <c r="L1127" s="151" t="s">
        <v>59</v>
      </c>
      <c r="M1127" s="152">
        <v>42628.377685185187</v>
      </c>
      <c r="N1127" s="151" t="s">
        <v>3163</v>
      </c>
      <c r="O1127" s="151"/>
      <c r="P1127" s="151"/>
      <c r="Q1127" s="7" t="str">
        <f>IF(ISBLANK(patch[[#This Row],[OwnerEmail]]),Q1126,patch[[#This Row],[OwnerEmail]])</f>
        <v>bin.b.yang@intel.com</v>
      </c>
      <c r="R1127" s="7" t="str">
        <f>_xlfn.IFNA(VLOOKUP(patch[[#This Row],[tmp-owner.email]],OrgTree!$A:$K, 11, 0), "not ICG SWFW")</f>
        <v>BJ And dev</v>
      </c>
      <c r="S1127" s="7" t="str">
        <f>IF(patch[[#This Row],[reviewer]]=patch[[#This Row],[tmp-owner.email]], "author", _xlfn.IFNA(VLOOKUP(patch[[#This Row],[reviewer]],OrgTree!$A:$K, 11, 0), "not ICG SWFW"))</f>
        <v>BJ And dev</v>
      </c>
      <c r="T1127" s="7" t="str">
        <f>IF(ISBLANK(patch[[#This Row],[mergeDate]]), "", MID(YEAR(patch[[#This Row],[mergeDate]]), 3,2)&amp;"'ww"&amp;WEEKNUM(patch[[#This Row],[mergeDate]]))</f>
        <v>16'ww39</v>
      </c>
      <c r="U1127" s="7" t="str">
        <f>IF(ISBLANK(patch[[#This Row],[mergeDate]]), U1126, MID(YEAR(patch[[#This Row],[mergeDate]]), 3,2)&amp;"'m"&amp;MONTH(patch[[#This Row],[mergeDate]]))</f>
        <v>16'm9</v>
      </c>
      <c r="V1127" s="7" t="str">
        <f>IF(ISBLANK(patch[[#This Row],[project]]), "",SUM(patch[[#This Row],[BJ -1 num]:[SH -1 num]]))</f>
        <v/>
      </c>
      <c r="W1127" s="7" t="str">
        <f>IF(ISBLANK(patch[[#This Row],[project]]), "",COUNTIFS($A:$A,patch[[#This Row],[number]],$S:$S, "BJ And dev",$AC:$AC, "Review-1"))</f>
        <v/>
      </c>
      <c r="X1127" s="7" t="str">
        <f>IF(ISBLANK(patch[[#This Row],[project]]), "",COUNTIFS($A:$A,patch[[#This Row],[number]],$S:$S, "FL And dev",$AC:$AC, "Review-1"))</f>
        <v/>
      </c>
      <c r="Y1127" s="7" t="str">
        <f>IF(ISBLANK(patch[[#This Row],[project]]), "",COUNTIFS($A:$A,patch[[#This Row],[number]],$S:$S, "SH And dev",$AC:$AC, "Review-1"))</f>
        <v/>
      </c>
      <c r="Z1127" s="7" t="str">
        <f>IF(ISBLANK(patch[[#This Row],[project]]), "",COUNTIFS($A:$A,patch[[#This Row],[number]],$S:$S, "BJ And dev",$AD:$AD, "&lt;&gt;IntegratorValidationComment"))</f>
        <v/>
      </c>
      <c r="AA1127" s="7" t="str">
        <f>IF(ISBLANK(patch[[#This Row],[project]]), "",COUNTIFS($A:$A,patch[[#This Row],[number]],$S:$S, "FL And dev",$AD:$AD, "&lt;&gt;IntegratorValidationComment"))</f>
        <v/>
      </c>
      <c r="AB1127" s="7" t="str">
        <f>IF(ISBLANK(patch[[#This Row],[project]]), "",COUNTIFS($A:$A,patch[[#This Row],[number]],$S:$S, "SH And dev",$AD:$AD, "&lt;&gt;IntegratorValidationComment"))</f>
        <v/>
      </c>
      <c r="AC1127" s="7" t="str">
        <f>IF(OR(ISNUMBER(FIND("Review-1", patch[[#This Row],[comments]])), ISNUMBER(FIND("Approver-1", patch[[#This Row],[comments]]))), "Review-1", "")</f>
        <v/>
      </c>
      <c r="AD11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27" s="7">
        <f>IF(ISBLANK(patch[[#This Row],[number]]),AE1126,patch[[#This Row],[ifCommon]])</f>
        <v>0</v>
      </c>
    </row>
    <row r="1128" spans="1:31">
      <c r="A1128" s="151">
        <v>144258</v>
      </c>
      <c r="B1128" s="151"/>
      <c r="C1128" s="151"/>
      <c r="D1128" s="151"/>
      <c r="E1128" s="151"/>
      <c r="F1128" s="151"/>
      <c r="G1128" s="151"/>
      <c r="H1128" s="151"/>
      <c r="I1128" s="151"/>
      <c r="J1128" s="152">
        <v>42632.753587962958</v>
      </c>
      <c r="K1128" s="151"/>
      <c r="L1128" s="151" t="s">
        <v>59</v>
      </c>
      <c r="M1128" s="152">
        <v>42628.382245370369</v>
      </c>
      <c r="N1128" s="151" t="s">
        <v>3164</v>
      </c>
      <c r="O1128" s="151"/>
      <c r="P1128" s="151"/>
      <c r="Q1128" s="7" t="str">
        <f>IF(ISBLANK(patch[[#This Row],[OwnerEmail]]),Q1127,patch[[#This Row],[OwnerEmail]])</f>
        <v>bin.b.yang@intel.com</v>
      </c>
      <c r="R1128" s="7" t="str">
        <f>_xlfn.IFNA(VLOOKUP(patch[[#This Row],[tmp-owner.email]],OrgTree!$A:$K, 11, 0), "not ICG SWFW")</f>
        <v>BJ And dev</v>
      </c>
      <c r="S1128" s="7" t="str">
        <f>IF(patch[[#This Row],[reviewer]]=patch[[#This Row],[tmp-owner.email]], "author", _xlfn.IFNA(VLOOKUP(patch[[#This Row],[reviewer]],OrgTree!$A:$K, 11, 0), "not ICG SWFW"))</f>
        <v>BJ And dev</v>
      </c>
      <c r="T1128" s="7" t="str">
        <f>IF(ISBLANK(patch[[#This Row],[mergeDate]]), "", MID(YEAR(patch[[#This Row],[mergeDate]]), 3,2)&amp;"'ww"&amp;WEEKNUM(patch[[#This Row],[mergeDate]]))</f>
        <v>16'ww39</v>
      </c>
      <c r="U1128" s="7" t="str">
        <f>IF(ISBLANK(patch[[#This Row],[mergeDate]]), U1127, MID(YEAR(patch[[#This Row],[mergeDate]]), 3,2)&amp;"'m"&amp;MONTH(patch[[#This Row],[mergeDate]]))</f>
        <v>16'm9</v>
      </c>
      <c r="V1128" s="7" t="str">
        <f>IF(ISBLANK(patch[[#This Row],[project]]), "",SUM(patch[[#This Row],[BJ -1 num]:[SH -1 num]]))</f>
        <v/>
      </c>
      <c r="W1128" s="7" t="str">
        <f>IF(ISBLANK(patch[[#This Row],[project]]), "",COUNTIFS($A:$A,patch[[#This Row],[number]],$S:$S, "BJ And dev",$AC:$AC, "Review-1"))</f>
        <v/>
      </c>
      <c r="X1128" s="7" t="str">
        <f>IF(ISBLANK(patch[[#This Row],[project]]), "",COUNTIFS($A:$A,patch[[#This Row],[number]],$S:$S, "FL And dev",$AC:$AC, "Review-1"))</f>
        <v/>
      </c>
      <c r="Y1128" s="7" t="str">
        <f>IF(ISBLANK(patch[[#This Row],[project]]), "",COUNTIFS($A:$A,patch[[#This Row],[number]],$S:$S, "SH And dev",$AC:$AC, "Review-1"))</f>
        <v/>
      </c>
      <c r="Z1128" s="7" t="str">
        <f>IF(ISBLANK(patch[[#This Row],[project]]), "",COUNTIFS($A:$A,patch[[#This Row],[number]],$S:$S, "BJ And dev",$AD:$AD, "&lt;&gt;IntegratorValidationComment"))</f>
        <v/>
      </c>
      <c r="AA1128" s="7" t="str">
        <f>IF(ISBLANK(patch[[#This Row],[project]]), "",COUNTIFS($A:$A,patch[[#This Row],[number]],$S:$S, "FL And dev",$AD:$AD, "&lt;&gt;IntegratorValidationComment"))</f>
        <v/>
      </c>
      <c r="AB1128" s="7" t="str">
        <f>IF(ISBLANK(patch[[#This Row],[project]]), "",COUNTIFS($A:$A,patch[[#This Row],[number]],$S:$S, "SH And dev",$AD:$AD, "&lt;&gt;IntegratorValidationComment"))</f>
        <v/>
      </c>
      <c r="AC1128" s="7" t="str">
        <f>IF(OR(ISNUMBER(FIND("Review-1", patch[[#This Row],[comments]])), ISNUMBER(FIND("Approver-1", patch[[#This Row],[comments]]))), "Review-1", "")</f>
        <v/>
      </c>
      <c r="AD11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28" s="7">
        <f>IF(ISBLANK(patch[[#This Row],[number]]),AE1127,patch[[#This Row],[ifCommon]])</f>
        <v>0</v>
      </c>
    </row>
    <row r="1129" spans="1:31">
      <c r="A1129" s="151">
        <v>144258</v>
      </c>
      <c r="B1129" s="151"/>
      <c r="C1129" s="151"/>
      <c r="D1129" s="151"/>
      <c r="E1129" s="151"/>
      <c r="F1129" s="151"/>
      <c r="G1129" s="151"/>
      <c r="H1129" s="151"/>
      <c r="I1129" s="151"/>
      <c r="J1129" s="152">
        <v>42632.753587962958</v>
      </c>
      <c r="K1129" s="151"/>
      <c r="L1129" s="151" t="s">
        <v>72</v>
      </c>
      <c r="M1129" s="152">
        <v>42628.415995370371</v>
      </c>
      <c r="N1129" s="151" t="s">
        <v>2468</v>
      </c>
      <c r="O1129" s="151"/>
      <c r="P1129" s="151"/>
      <c r="Q1129" s="7" t="str">
        <f>IF(ISBLANK(patch[[#This Row],[OwnerEmail]]),Q1128,patch[[#This Row],[OwnerEmail]])</f>
        <v>bin.b.yang@intel.com</v>
      </c>
      <c r="R1129" s="7" t="str">
        <f>_xlfn.IFNA(VLOOKUP(patch[[#This Row],[tmp-owner.email]],OrgTree!$A:$K, 11, 0), "not ICG SWFW")</f>
        <v>BJ And dev</v>
      </c>
      <c r="S1129" s="7" t="str">
        <f>IF(patch[[#This Row],[reviewer]]=patch[[#This Row],[tmp-owner.email]], "author", _xlfn.IFNA(VLOOKUP(patch[[#This Row],[reviewer]],OrgTree!$A:$K, 11, 0), "not ICG SWFW"))</f>
        <v>author</v>
      </c>
      <c r="T1129" s="7" t="str">
        <f>IF(ISBLANK(patch[[#This Row],[mergeDate]]), "", MID(YEAR(patch[[#This Row],[mergeDate]]), 3,2)&amp;"'ww"&amp;WEEKNUM(patch[[#This Row],[mergeDate]]))</f>
        <v>16'ww39</v>
      </c>
      <c r="U1129" s="7" t="str">
        <f>IF(ISBLANK(patch[[#This Row],[mergeDate]]), U1128, MID(YEAR(patch[[#This Row],[mergeDate]]), 3,2)&amp;"'m"&amp;MONTH(patch[[#This Row],[mergeDate]]))</f>
        <v>16'm9</v>
      </c>
      <c r="V1129" s="7" t="str">
        <f>IF(ISBLANK(patch[[#This Row],[project]]), "",SUM(patch[[#This Row],[BJ -1 num]:[SH -1 num]]))</f>
        <v/>
      </c>
      <c r="W1129" s="7" t="str">
        <f>IF(ISBLANK(patch[[#This Row],[project]]), "",COUNTIFS($A:$A,patch[[#This Row],[number]],$S:$S, "BJ And dev",$AC:$AC, "Review-1"))</f>
        <v/>
      </c>
      <c r="X1129" s="7" t="str">
        <f>IF(ISBLANK(patch[[#This Row],[project]]), "",COUNTIFS($A:$A,patch[[#This Row],[number]],$S:$S, "FL And dev",$AC:$AC, "Review-1"))</f>
        <v/>
      </c>
      <c r="Y1129" s="7" t="str">
        <f>IF(ISBLANK(patch[[#This Row],[project]]), "",COUNTIFS($A:$A,patch[[#This Row],[number]],$S:$S, "SH And dev",$AC:$AC, "Review-1"))</f>
        <v/>
      </c>
      <c r="Z1129" s="7" t="str">
        <f>IF(ISBLANK(patch[[#This Row],[project]]), "",COUNTIFS($A:$A,patch[[#This Row],[number]],$S:$S, "BJ And dev",$AD:$AD, "&lt;&gt;IntegratorValidationComment"))</f>
        <v/>
      </c>
      <c r="AA1129" s="7" t="str">
        <f>IF(ISBLANK(patch[[#This Row],[project]]), "",COUNTIFS($A:$A,patch[[#This Row],[number]],$S:$S, "FL And dev",$AD:$AD, "&lt;&gt;IntegratorValidationComment"))</f>
        <v/>
      </c>
      <c r="AB1129" s="7" t="str">
        <f>IF(ISBLANK(patch[[#This Row],[project]]), "",COUNTIFS($A:$A,patch[[#This Row],[number]],$S:$S, "SH And dev",$AD:$AD, "&lt;&gt;IntegratorValidationComment"))</f>
        <v/>
      </c>
      <c r="AC1129" s="7" t="str">
        <f>IF(OR(ISNUMBER(FIND("Review-1", patch[[#This Row],[comments]])), ISNUMBER(FIND("Approver-1", patch[[#This Row],[comments]]))), "Review-1", "")</f>
        <v/>
      </c>
      <c r="AD11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29" s="7">
        <f>IF(ISBLANK(patch[[#This Row],[number]]),AE1128,patch[[#This Row],[ifCommon]])</f>
        <v>0</v>
      </c>
    </row>
    <row r="1130" spans="1:31">
      <c r="A1130" s="151">
        <v>144258</v>
      </c>
      <c r="B1130" s="151"/>
      <c r="C1130" s="151"/>
      <c r="D1130" s="151"/>
      <c r="E1130" s="151"/>
      <c r="F1130" s="151"/>
      <c r="G1130" s="151"/>
      <c r="H1130" s="151"/>
      <c r="I1130" s="151"/>
      <c r="J1130" s="152">
        <v>42632.753587962958</v>
      </c>
      <c r="K1130" s="151"/>
      <c r="L1130" s="151" t="s">
        <v>72</v>
      </c>
      <c r="M1130" s="152">
        <v>42628.415995370371</v>
      </c>
      <c r="N1130" s="151" t="s">
        <v>1896</v>
      </c>
      <c r="O1130" s="151"/>
      <c r="P1130" s="151"/>
      <c r="Q1130" s="7" t="str">
        <f>IF(ISBLANK(patch[[#This Row],[OwnerEmail]]),Q1129,patch[[#This Row],[OwnerEmail]])</f>
        <v>bin.b.yang@intel.com</v>
      </c>
      <c r="R1130" s="7" t="str">
        <f>_xlfn.IFNA(VLOOKUP(patch[[#This Row],[tmp-owner.email]],OrgTree!$A:$K, 11, 0), "not ICG SWFW")</f>
        <v>BJ And dev</v>
      </c>
      <c r="S1130" s="7" t="str">
        <f>IF(patch[[#This Row],[reviewer]]=patch[[#This Row],[tmp-owner.email]], "author", _xlfn.IFNA(VLOOKUP(patch[[#This Row],[reviewer]],OrgTree!$A:$K, 11, 0), "not ICG SWFW"))</f>
        <v>author</v>
      </c>
      <c r="T1130" s="7" t="str">
        <f>IF(ISBLANK(patch[[#This Row],[mergeDate]]), "", MID(YEAR(patch[[#This Row],[mergeDate]]), 3,2)&amp;"'ww"&amp;WEEKNUM(patch[[#This Row],[mergeDate]]))</f>
        <v>16'ww39</v>
      </c>
      <c r="U1130" s="7" t="str">
        <f>IF(ISBLANK(patch[[#This Row],[mergeDate]]), U1129, MID(YEAR(patch[[#This Row],[mergeDate]]), 3,2)&amp;"'m"&amp;MONTH(patch[[#This Row],[mergeDate]]))</f>
        <v>16'm9</v>
      </c>
      <c r="V1130" s="7" t="str">
        <f>IF(ISBLANK(patch[[#This Row],[project]]), "",SUM(patch[[#This Row],[BJ -1 num]:[SH -1 num]]))</f>
        <v/>
      </c>
      <c r="W1130" s="7" t="str">
        <f>IF(ISBLANK(patch[[#This Row],[project]]), "",COUNTIFS($A:$A,patch[[#This Row],[number]],$S:$S, "BJ And dev",$AC:$AC, "Review-1"))</f>
        <v/>
      </c>
      <c r="X1130" s="7" t="str">
        <f>IF(ISBLANK(patch[[#This Row],[project]]), "",COUNTIFS($A:$A,patch[[#This Row],[number]],$S:$S, "FL And dev",$AC:$AC, "Review-1"))</f>
        <v/>
      </c>
      <c r="Y1130" s="7" t="str">
        <f>IF(ISBLANK(patch[[#This Row],[project]]), "",COUNTIFS($A:$A,patch[[#This Row],[number]],$S:$S, "SH And dev",$AC:$AC, "Review-1"))</f>
        <v/>
      </c>
      <c r="Z1130" s="7" t="str">
        <f>IF(ISBLANK(patch[[#This Row],[project]]), "",COUNTIFS($A:$A,patch[[#This Row],[number]],$S:$S, "BJ And dev",$AD:$AD, "&lt;&gt;IntegratorValidationComment"))</f>
        <v/>
      </c>
      <c r="AA1130" s="7" t="str">
        <f>IF(ISBLANK(patch[[#This Row],[project]]), "",COUNTIFS($A:$A,patch[[#This Row],[number]],$S:$S, "FL And dev",$AD:$AD, "&lt;&gt;IntegratorValidationComment"))</f>
        <v/>
      </c>
      <c r="AB1130" s="7" t="str">
        <f>IF(ISBLANK(patch[[#This Row],[project]]), "",COUNTIFS($A:$A,patch[[#This Row],[number]],$S:$S, "SH And dev",$AD:$AD, "&lt;&gt;IntegratorValidationComment"))</f>
        <v/>
      </c>
      <c r="AC1130" s="7" t="str">
        <f>IF(OR(ISNUMBER(FIND("Review-1", patch[[#This Row],[comments]])), ISNUMBER(FIND("Approver-1", patch[[#This Row],[comments]]))), "Review-1", "")</f>
        <v/>
      </c>
      <c r="AD11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30" s="7">
        <f>IF(ISBLANK(patch[[#This Row],[number]]),AE1129,patch[[#This Row],[ifCommon]])</f>
        <v>0</v>
      </c>
    </row>
    <row r="1131" spans="1:31">
      <c r="A1131" s="151">
        <v>144258</v>
      </c>
      <c r="B1131" s="151"/>
      <c r="C1131" s="151"/>
      <c r="D1131" s="151"/>
      <c r="E1131" s="151"/>
      <c r="F1131" s="151"/>
      <c r="G1131" s="151"/>
      <c r="H1131" s="151"/>
      <c r="I1131" s="151"/>
      <c r="J1131" s="152">
        <v>42632.753587962958</v>
      </c>
      <c r="K1131" s="151"/>
      <c r="L1131" s="151" t="s">
        <v>72</v>
      </c>
      <c r="M1131" s="152">
        <v>42628.416597222233</v>
      </c>
      <c r="N1131" s="151" t="s">
        <v>2569</v>
      </c>
      <c r="O1131" s="151"/>
      <c r="P1131" s="151"/>
      <c r="Q1131" s="7" t="str">
        <f>IF(ISBLANK(patch[[#This Row],[OwnerEmail]]),Q1130,patch[[#This Row],[OwnerEmail]])</f>
        <v>bin.b.yang@intel.com</v>
      </c>
      <c r="R1131" s="7" t="str">
        <f>_xlfn.IFNA(VLOOKUP(patch[[#This Row],[tmp-owner.email]],OrgTree!$A:$K, 11, 0), "not ICG SWFW")</f>
        <v>BJ And dev</v>
      </c>
      <c r="S1131" s="7" t="str">
        <f>IF(patch[[#This Row],[reviewer]]=patch[[#This Row],[tmp-owner.email]], "author", _xlfn.IFNA(VLOOKUP(patch[[#This Row],[reviewer]],OrgTree!$A:$K, 11, 0), "not ICG SWFW"))</f>
        <v>author</v>
      </c>
      <c r="T1131" s="7" t="str">
        <f>IF(ISBLANK(patch[[#This Row],[mergeDate]]), "", MID(YEAR(patch[[#This Row],[mergeDate]]), 3,2)&amp;"'ww"&amp;WEEKNUM(patch[[#This Row],[mergeDate]]))</f>
        <v>16'ww39</v>
      </c>
      <c r="U1131" s="7" t="str">
        <f>IF(ISBLANK(patch[[#This Row],[mergeDate]]), U1130, MID(YEAR(patch[[#This Row],[mergeDate]]), 3,2)&amp;"'m"&amp;MONTH(patch[[#This Row],[mergeDate]]))</f>
        <v>16'm9</v>
      </c>
      <c r="V1131" s="7" t="str">
        <f>IF(ISBLANK(patch[[#This Row],[project]]), "",SUM(patch[[#This Row],[BJ -1 num]:[SH -1 num]]))</f>
        <v/>
      </c>
      <c r="W1131" s="7" t="str">
        <f>IF(ISBLANK(patch[[#This Row],[project]]), "",COUNTIFS($A:$A,patch[[#This Row],[number]],$S:$S, "BJ And dev",$AC:$AC, "Review-1"))</f>
        <v/>
      </c>
      <c r="X1131" s="7" t="str">
        <f>IF(ISBLANK(patch[[#This Row],[project]]), "",COUNTIFS($A:$A,patch[[#This Row],[number]],$S:$S, "FL And dev",$AC:$AC, "Review-1"))</f>
        <v/>
      </c>
      <c r="Y1131" s="7" t="str">
        <f>IF(ISBLANK(patch[[#This Row],[project]]), "",COUNTIFS($A:$A,patch[[#This Row],[number]],$S:$S, "SH And dev",$AC:$AC, "Review-1"))</f>
        <v/>
      </c>
      <c r="Z1131" s="7" t="str">
        <f>IF(ISBLANK(patch[[#This Row],[project]]), "",COUNTIFS($A:$A,patch[[#This Row],[number]],$S:$S, "BJ And dev",$AD:$AD, "&lt;&gt;IntegratorValidationComment"))</f>
        <v/>
      </c>
      <c r="AA1131" s="7" t="str">
        <f>IF(ISBLANK(patch[[#This Row],[project]]), "",COUNTIFS($A:$A,patch[[#This Row],[number]],$S:$S, "FL And dev",$AD:$AD, "&lt;&gt;IntegratorValidationComment"))</f>
        <v/>
      </c>
      <c r="AB1131" s="7" t="str">
        <f>IF(ISBLANK(patch[[#This Row],[project]]), "",COUNTIFS($A:$A,patch[[#This Row],[number]],$S:$S, "SH And dev",$AD:$AD, "&lt;&gt;IntegratorValidationComment"))</f>
        <v/>
      </c>
      <c r="AC1131" s="7" t="str">
        <f>IF(OR(ISNUMBER(FIND("Review-1", patch[[#This Row],[comments]])), ISNUMBER(FIND("Approver-1", patch[[#This Row],[comments]]))), "Review-1", "")</f>
        <v/>
      </c>
      <c r="AD11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31" s="7">
        <f>IF(ISBLANK(patch[[#This Row],[number]]),AE1130,patch[[#This Row],[ifCommon]])</f>
        <v>0</v>
      </c>
    </row>
    <row r="1132" spans="1:31">
      <c r="A1132" s="151">
        <v>144258</v>
      </c>
      <c r="B1132" s="151"/>
      <c r="C1132" s="151"/>
      <c r="D1132" s="151"/>
      <c r="E1132" s="151"/>
      <c r="F1132" s="151"/>
      <c r="G1132" s="151"/>
      <c r="H1132" s="151"/>
      <c r="I1132" s="151"/>
      <c r="J1132" s="152">
        <v>42632.753587962958</v>
      </c>
      <c r="K1132" s="151"/>
      <c r="L1132" s="151" t="s">
        <v>72</v>
      </c>
      <c r="M1132" s="152">
        <v>42628.416608796288</v>
      </c>
      <c r="N1132" s="151" t="s">
        <v>2469</v>
      </c>
      <c r="O1132" s="151"/>
      <c r="P1132" s="151"/>
      <c r="Q1132" s="7" t="str">
        <f>IF(ISBLANK(patch[[#This Row],[OwnerEmail]]),Q1131,patch[[#This Row],[OwnerEmail]])</f>
        <v>bin.b.yang@intel.com</v>
      </c>
      <c r="R1132" s="7" t="str">
        <f>_xlfn.IFNA(VLOOKUP(patch[[#This Row],[tmp-owner.email]],OrgTree!$A:$K, 11, 0), "not ICG SWFW")</f>
        <v>BJ And dev</v>
      </c>
      <c r="S1132" s="7" t="str">
        <f>IF(patch[[#This Row],[reviewer]]=patch[[#This Row],[tmp-owner.email]], "author", _xlfn.IFNA(VLOOKUP(patch[[#This Row],[reviewer]],OrgTree!$A:$K, 11, 0), "not ICG SWFW"))</f>
        <v>author</v>
      </c>
      <c r="T1132" s="7" t="str">
        <f>IF(ISBLANK(patch[[#This Row],[mergeDate]]), "", MID(YEAR(patch[[#This Row],[mergeDate]]), 3,2)&amp;"'ww"&amp;WEEKNUM(patch[[#This Row],[mergeDate]]))</f>
        <v>16'ww39</v>
      </c>
      <c r="U1132" s="7" t="str">
        <f>IF(ISBLANK(patch[[#This Row],[mergeDate]]), U1131, MID(YEAR(patch[[#This Row],[mergeDate]]), 3,2)&amp;"'m"&amp;MONTH(patch[[#This Row],[mergeDate]]))</f>
        <v>16'm9</v>
      </c>
      <c r="V1132" s="7" t="str">
        <f>IF(ISBLANK(patch[[#This Row],[project]]), "",SUM(patch[[#This Row],[BJ -1 num]:[SH -1 num]]))</f>
        <v/>
      </c>
      <c r="W1132" s="7" t="str">
        <f>IF(ISBLANK(patch[[#This Row],[project]]), "",COUNTIFS($A:$A,patch[[#This Row],[number]],$S:$S, "BJ And dev",$AC:$AC, "Review-1"))</f>
        <v/>
      </c>
      <c r="X1132" s="7" t="str">
        <f>IF(ISBLANK(patch[[#This Row],[project]]), "",COUNTIFS($A:$A,patch[[#This Row],[number]],$S:$S, "FL And dev",$AC:$AC, "Review-1"))</f>
        <v/>
      </c>
      <c r="Y1132" s="7" t="str">
        <f>IF(ISBLANK(patch[[#This Row],[project]]), "",COUNTIFS($A:$A,patch[[#This Row],[number]],$S:$S, "SH And dev",$AC:$AC, "Review-1"))</f>
        <v/>
      </c>
      <c r="Z1132" s="7" t="str">
        <f>IF(ISBLANK(patch[[#This Row],[project]]), "",COUNTIFS($A:$A,patch[[#This Row],[number]],$S:$S, "BJ And dev",$AD:$AD, "&lt;&gt;IntegratorValidationComment"))</f>
        <v/>
      </c>
      <c r="AA1132" s="7" t="str">
        <f>IF(ISBLANK(patch[[#This Row],[project]]), "",COUNTIFS($A:$A,patch[[#This Row],[number]],$S:$S, "FL And dev",$AD:$AD, "&lt;&gt;IntegratorValidationComment"))</f>
        <v/>
      </c>
      <c r="AB1132" s="7" t="str">
        <f>IF(ISBLANK(patch[[#This Row],[project]]), "",COUNTIFS($A:$A,patch[[#This Row],[number]],$S:$S, "SH And dev",$AD:$AD, "&lt;&gt;IntegratorValidationComment"))</f>
        <v/>
      </c>
      <c r="AC1132" s="7" t="str">
        <f>IF(OR(ISNUMBER(FIND("Review-1", patch[[#This Row],[comments]])), ISNUMBER(FIND("Approver-1", patch[[#This Row],[comments]]))), "Review-1", "")</f>
        <v/>
      </c>
      <c r="AD11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32" s="7">
        <f>IF(ISBLANK(patch[[#This Row],[number]]),AE1131,patch[[#This Row],[ifCommon]])</f>
        <v>0</v>
      </c>
    </row>
    <row r="1133" spans="1:31">
      <c r="A1133" s="151">
        <v>144258</v>
      </c>
      <c r="B1133" s="151"/>
      <c r="C1133" s="151"/>
      <c r="D1133" s="151"/>
      <c r="E1133" s="151"/>
      <c r="F1133" s="151"/>
      <c r="G1133" s="151"/>
      <c r="H1133" s="151"/>
      <c r="I1133" s="151"/>
      <c r="J1133" s="152">
        <v>42632.753587962958</v>
      </c>
      <c r="K1133" s="151"/>
      <c r="L1133" s="151" t="s">
        <v>59</v>
      </c>
      <c r="M1133" s="152">
        <v>42628.418067129627</v>
      </c>
      <c r="N1133" s="151" t="s">
        <v>3165</v>
      </c>
      <c r="O1133" s="151"/>
      <c r="P1133" s="151"/>
      <c r="Q1133" s="7" t="str">
        <f>IF(ISBLANK(patch[[#This Row],[OwnerEmail]]),Q1132,patch[[#This Row],[OwnerEmail]])</f>
        <v>bin.b.yang@intel.com</v>
      </c>
      <c r="R1133" s="7" t="str">
        <f>_xlfn.IFNA(VLOOKUP(patch[[#This Row],[tmp-owner.email]],OrgTree!$A:$K, 11, 0), "not ICG SWFW")</f>
        <v>BJ And dev</v>
      </c>
      <c r="S1133" s="7" t="str">
        <f>IF(patch[[#This Row],[reviewer]]=patch[[#This Row],[tmp-owner.email]], "author", _xlfn.IFNA(VLOOKUP(patch[[#This Row],[reviewer]],OrgTree!$A:$K, 11, 0), "not ICG SWFW"))</f>
        <v>BJ And dev</v>
      </c>
      <c r="T1133" s="7" t="str">
        <f>IF(ISBLANK(patch[[#This Row],[mergeDate]]), "", MID(YEAR(patch[[#This Row],[mergeDate]]), 3,2)&amp;"'ww"&amp;WEEKNUM(patch[[#This Row],[mergeDate]]))</f>
        <v>16'ww39</v>
      </c>
      <c r="U1133" s="7" t="str">
        <f>IF(ISBLANK(patch[[#This Row],[mergeDate]]), U1132, MID(YEAR(patch[[#This Row],[mergeDate]]), 3,2)&amp;"'m"&amp;MONTH(patch[[#This Row],[mergeDate]]))</f>
        <v>16'm9</v>
      </c>
      <c r="V1133" s="7" t="str">
        <f>IF(ISBLANK(patch[[#This Row],[project]]), "",SUM(patch[[#This Row],[BJ -1 num]:[SH -1 num]]))</f>
        <v/>
      </c>
      <c r="W1133" s="7" t="str">
        <f>IF(ISBLANK(patch[[#This Row],[project]]), "",COUNTIFS($A:$A,patch[[#This Row],[number]],$S:$S, "BJ And dev",$AC:$AC, "Review-1"))</f>
        <v/>
      </c>
      <c r="X1133" s="7" t="str">
        <f>IF(ISBLANK(patch[[#This Row],[project]]), "",COUNTIFS($A:$A,patch[[#This Row],[number]],$S:$S, "FL And dev",$AC:$AC, "Review-1"))</f>
        <v/>
      </c>
      <c r="Y1133" s="7" t="str">
        <f>IF(ISBLANK(patch[[#This Row],[project]]), "",COUNTIFS($A:$A,patch[[#This Row],[number]],$S:$S, "SH And dev",$AC:$AC, "Review-1"))</f>
        <v/>
      </c>
      <c r="Z1133" s="7" t="str">
        <f>IF(ISBLANK(patch[[#This Row],[project]]), "",COUNTIFS($A:$A,patch[[#This Row],[number]],$S:$S, "BJ And dev",$AD:$AD, "&lt;&gt;IntegratorValidationComment"))</f>
        <v/>
      </c>
      <c r="AA1133" s="7" t="str">
        <f>IF(ISBLANK(patch[[#This Row],[project]]), "",COUNTIFS($A:$A,patch[[#This Row],[number]],$S:$S, "FL And dev",$AD:$AD, "&lt;&gt;IntegratorValidationComment"))</f>
        <v/>
      </c>
      <c r="AB1133" s="7" t="str">
        <f>IF(ISBLANK(patch[[#This Row],[project]]), "",COUNTIFS($A:$A,patch[[#This Row],[number]],$S:$S, "SH And dev",$AD:$AD, "&lt;&gt;IntegratorValidationComment"))</f>
        <v/>
      </c>
      <c r="AC1133" s="7" t="str">
        <f>IF(OR(ISNUMBER(FIND("Review-1", patch[[#This Row],[comments]])), ISNUMBER(FIND("Approver-1", patch[[#This Row],[comments]]))), "Review-1", "")</f>
        <v/>
      </c>
      <c r="AD11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33" s="7">
        <f>IF(ISBLANK(patch[[#This Row],[number]]),AE1132,patch[[#This Row],[ifCommon]])</f>
        <v>0</v>
      </c>
    </row>
    <row r="1134" spans="1:31">
      <c r="A1134" s="151">
        <v>144258</v>
      </c>
      <c r="B1134" s="151"/>
      <c r="C1134" s="151"/>
      <c r="D1134" s="151"/>
      <c r="E1134" s="151"/>
      <c r="F1134" s="151"/>
      <c r="G1134" s="151"/>
      <c r="H1134" s="151"/>
      <c r="I1134" s="151"/>
      <c r="J1134" s="152">
        <v>42632.753587962958</v>
      </c>
      <c r="K1134" s="151"/>
      <c r="L1134" s="151" t="s">
        <v>72</v>
      </c>
      <c r="M1134" s="152">
        <v>42628.418090277781</v>
      </c>
      <c r="N1134" s="151" t="s">
        <v>1859</v>
      </c>
      <c r="O1134" s="151"/>
      <c r="P1134" s="151"/>
      <c r="Q1134" s="7" t="str">
        <f>IF(ISBLANK(patch[[#This Row],[OwnerEmail]]),Q1133,patch[[#This Row],[OwnerEmail]])</f>
        <v>bin.b.yang@intel.com</v>
      </c>
      <c r="R1134" s="7" t="str">
        <f>_xlfn.IFNA(VLOOKUP(patch[[#This Row],[tmp-owner.email]],OrgTree!$A:$K, 11, 0), "not ICG SWFW")</f>
        <v>BJ And dev</v>
      </c>
      <c r="S1134" s="7" t="str">
        <f>IF(patch[[#This Row],[reviewer]]=patch[[#This Row],[tmp-owner.email]], "author", _xlfn.IFNA(VLOOKUP(patch[[#This Row],[reviewer]],OrgTree!$A:$K, 11, 0), "not ICG SWFW"))</f>
        <v>author</v>
      </c>
      <c r="T1134" s="7" t="str">
        <f>IF(ISBLANK(patch[[#This Row],[mergeDate]]), "", MID(YEAR(patch[[#This Row],[mergeDate]]), 3,2)&amp;"'ww"&amp;WEEKNUM(patch[[#This Row],[mergeDate]]))</f>
        <v>16'ww39</v>
      </c>
      <c r="U1134" s="7" t="str">
        <f>IF(ISBLANK(patch[[#This Row],[mergeDate]]), U1133, MID(YEAR(patch[[#This Row],[mergeDate]]), 3,2)&amp;"'m"&amp;MONTH(patch[[#This Row],[mergeDate]]))</f>
        <v>16'm9</v>
      </c>
      <c r="V1134" s="7" t="str">
        <f>IF(ISBLANK(patch[[#This Row],[project]]), "",SUM(patch[[#This Row],[BJ -1 num]:[SH -1 num]]))</f>
        <v/>
      </c>
      <c r="W1134" s="7" t="str">
        <f>IF(ISBLANK(patch[[#This Row],[project]]), "",COUNTIFS($A:$A,patch[[#This Row],[number]],$S:$S, "BJ And dev",$AC:$AC, "Review-1"))</f>
        <v/>
      </c>
      <c r="X1134" s="7" t="str">
        <f>IF(ISBLANK(patch[[#This Row],[project]]), "",COUNTIFS($A:$A,patch[[#This Row],[number]],$S:$S, "FL And dev",$AC:$AC, "Review-1"))</f>
        <v/>
      </c>
      <c r="Y1134" s="7" t="str">
        <f>IF(ISBLANK(patch[[#This Row],[project]]), "",COUNTIFS($A:$A,patch[[#This Row],[number]],$S:$S, "SH And dev",$AC:$AC, "Review-1"))</f>
        <v/>
      </c>
      <c r="Z1134" s="7" t="str">
        <f>IF(ISBLANK(patch[[#This Row],[project]]), "",COUNTIFS($A:$A,patch[[#This Row],[number]],$S:$S, "BJ And dev",$AD:$AD, "&lt;&gt;IntegratorValidationComment"))</f>
        <v/>
      </c>
      <c r="AA1134" s="7" t="str">
        <f>IF(ISBLANK(patch[[#This Row],[project]]), "",COUNTIFS($A:$A,patch[[#This Row],[number]],$S:$S, "FL And dev",$AD:$AD, "&lt;&gt;IntegratorValidationComment"))</f>
        <v/>
      </c>
      <c r="AB1134" s="7" t="str">
        <f>IF(ISBLANK(patch[[#This Row],[project]]), "",COUNTIFS($A:$A,patch[[#This Row],[number]],$S:$S, "SH And dev",$AD:$AD, "&lt;&gt;IntegratorValidationComment"))</f>
        <v/>
      </c>
      <c r="AC1134" s="7" t="str">
        <f>IF(OR(ISNUMBER(FIND("Review-1", patch[[#This Row],[comments]])), ISNUMBER(FIND("Approver-1", patch[[#This Row],[comments]]))), "Review-1", "")</f>
        <v/>
      </c>
      <c r="AD11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34" s="7">
        <f>IF(ISBLANK(patch[[#This Row],[number]]),AE1133,patch[[#This Row],[ifCommon]])</f>
        <v>0</v>
      </c>
    </row>
    <row r="1135" spans="1:31">
      <c r="A1135" s="151">
        <v>144258</v>
      </c>
      <c r="B1135" s="151"/>
      <c r="C1135" s="151"/>
      <c r="D1135" s="151"/>
      <c r="E1135" s="151"/>
      <c r="F1135" s="151"/>
      <c r="G1135" s="151"/>
      <c r="H1135" s="151"/>
      <c r="I1135" s="151"/>
      <c r="J1135" s="152">
        <v>42632.753587962958</v>
      </c>
      <c r="K1135" s="151"/>
      <c r="L1135" s="151" t="s">
        <v>59</v>
      </c>
      <c r="M1135" s="152">
        <v>42628.419259259259</v>
      </c>
      <c r="N1135" s="151" t="s">
        <v>3166</v>
      </c>
      <c r="O1135" s="151"/>
      <c r="P1135" s="151"/>
      <c r="Q1135" s="7" t="str">
        <f>IF(ISBLANK(patch[[#This Row],[OwnerEmail]]),Q1134,patch[[#This Row],[OwnerEmail]])</f>
        <v>bin.b.yang@intel.com</v>
      </c>
      <c r="R1135" s="7" t="str">
        <f>_xlfn.IFNA(VLOOKUP(patch[[#This Row],[tmp-owner.email]],OrgTree!$A:$K, 11, 0), "not ICG SWFW")</f>
        <v>BJ And dev</v>
      </c>
      <c r="S1135" s="7" t="str">
        <f>IF(patch[[#This Row],[reviewer]]=patch[[#This Row],[tmp-owner.email]], "author", _xlfn.IFNA(VLOOKUP(patch[[#This Row],[reviewer]],OrgTree!$A:$K, 11, 0), "not ICG SWFW"))</f>
        <v>BJ And dev</v>
      </c>
      <c r="T1135" s="7" t="str">
        <f>IF(ISBLANK(patch[[#This Row],[mergeDate]]), "", MID(YEAR(patch[[#This Row],[mergeDate]]), 3,2)&amp;"'ww"&amp;WEEKNUM(patch[[#This Row],[mergeDate]]))</f>
        <v>16'ww39</v>
      </c>
      <c r="U1135" s="7" t="str">
        <f>IF(ISBLANK(patch[[#This Row],[mergeDate]]), U1134, MID(YEAR(patch[[#This Row],[mergeDate]]), 3,2)&amp;"'m"&amp;MONTH(patch[[#This Row],[mergeDate]]))</f>
        <v>16'm9</v>
      </c>
      <c r="V1135" s="7" t="str">
        <f>IF(ISBLANK(patch[[#This Row],[project]]), "",SUM(patch[[#This Row],[BJ -1 num]:[SH -1 num]]))</f>
        <v/>
      </c>
      <c r="W1135" s="7" t="str">
        <f>IF(ISBLANK(patch[[#This Row],[project]]), "",COUNTIFS($A:$A,patch[[#This Row],[number]],$S:$S, "BJ And dev",$AC:$AC, "Review-1"))</f>
        <v/>
      </c>
      <c r="X1135" s="7" t="str">
        <f>IF(ISBLANK(patch[[#This Row],[project]]), "",COUNTIFS($A:$A,patch[[#This Row],[number]],$S:$S, "FL And dev",$AC:$AC, "Review-1"))</f>
        <v/>
      </c>
      <c r="Y1135" s="7" t="str">
        <f>IF(ISBLANK(patch[[#This Row],[project]]), "",COUNTIFS($A:$A,patch[[#This Row],[number]],$S:$S, "SH And dev",$AC:$AC, "Review-1"))</f>
        <v/>
      </c>
      <c r="Z1135" s="7" t="str">
        <f>IF(ISBLANK(patch[[#This Row],[project]]), "",COUNTIFS($A:$A,patch[[#This Row],[number]],$S:$S, "BJ And dev",$AD:$AD, "&lt;&gt;IntegratorValidationComment"))</f>
        <v/>
      </c>
      <c r="AA1135" s="7" t="str">
        <f>IF(ISBLANK(patch[[#This Row],[project]]), "",COUNTIFS($A:$A,patch[[#This Row],[number]],$S:$S, "FL And dev",$AD:$AD, "&lt;&gt;IntegratorValidationComment"))</f>
        <v/>
      </c>
      <c r="AB1135" s="7" t="str">
        <f>IF(ISBLANK(patch[[#This Row],[project]]), "",COUNTIFS($A:$A,patch[[#This Row],[number]],$S:$S, "SH And dev",$AD:$AD, "&lt;&gt;IntegratorValidationComment"))</f>
        <v/>
      </c>
      <c r="AC1135" s="7" t="str">
        <f>IF(OR(ISNUMBER(FIND("Review-1", patch[[#This Row],[comments]])), ISNUMBER(FIND("Approver-1", patch[[#This Row],[comments]]))), "Review-1", "")</f>
        <v/>
      </c>
      <c r="AD11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35" s="7">
        <f>IF(ISBLANK(patch[[#This Row],[number]]),AE1134,patch[[#This Row],[ifCommon]])</f>
        <v>0</v>
      </c>
    </row>
    <row r="1136" spans="1:31">
      <c r="A1136" s="151">
        <v>144258</v>
      </c>
      <c r="B1136" s="151"/>
      <c r="C1136" s="151"/>
      <c r="D1136" s="151"/>
      <c r="E1136" s="151"/>
      <c r="F1136" s="151"/>
      <c r="G1136" s="151"/>
      <c r="H1136" s="151"/>
      <c r="I1136" s="151"/>
      <c r="J1136" s="152">
        <v>42632.753587962958</v>
      </c>
      <c r="K1136" s="151"/>
      <c r="L1136" s="151" t="s">
        <v>72</v>
      </c>
      <c r="M1136" s="152">
        <v>42628.43136574074</v>
      </c>
      <c r="N1136" s="151" t="s">
        <v>2472</v>
      </c>
      <c r="O1136" s="151"/>
      <c r="P1136" s="151"/>
      <c r="Q1136" s="7" t="str">
        <f>IF(ISBLANK(patch[[#This Row],[OwnerEmail]]),Q1135,patch[[#This Row],[OwnerEmail]])</f>
        <v>bin.b.yang@intel.com</v>
      </c>
      <c r="R1136" s="7" t="str">
        <f>_xlfn.IFNA(VLOOKUP(patch[[#This Row],[tmp-owner.email]],OrgTree!$A:$K, 11, 0), "not ICG SWFW")</f>
        <v>BJ And dev</v>
      </c>
      <c r="S1136" s="7" t="str">
        <f>IF(patch[[#This Row],[reviewer]]=patch[[#This Row],[tmp-owner.email]], "author", _xlfn.IFNA(VLOOKUP(patch[[#This Row],[reviewer]],OrgTree!$A:$K, 11, 0), "not ICG SWFW"))</f>
        <v>author</v>
      </c>
      <c r="T1136" s="7" t="str">
        <f>IF(ISBLANK(patch[[#This Row],[mergeDate]]), "", MID(YEAR(patch[[#This Row],[mergeDate]]), 3,2)&amp;"'ww"&amp;WEEKNUM(patch[[#This Row],[mergeDate]]))</f>
        <v>16'ww39</v>
      </c>
      <c r="U1136" s="7" t="str">
        <f>IF(ISBLANK(patch[[#This Row],[mergeDate]]), U1135, MID(YEAR(patch[[#This Row],[mergeDate]]), 3,2)&amp;"'m"&amp;MONTH(patch[[#This Row],[mergeDate]]))</f>
        <v>16'm9</v>
      </c>
      <c r="V1136" s="7" t="str">
        <f>IF(ISBLANK(patch[[#This Row],[project]]), "",SUM(patch[[#This Row],[BJ -1 num]:[SH -1 num]]))</f>
        <v/>
      </c>
      <c r="W1136" s="7" t="str">
        <f>IF(ISBLANK(patch[[#This Row],[project]]), "",COUNTIFS($A:$A,patch[[#This Row],[number]],$S:$S, "BJ And dev",$AC:$AC, "Review-1"))</f>
        <v/>
      </c>
      <c r="X1136" s="7" t="str">
        <f>IF(ISBLANK(patch[[#This Row],[project]]), "",COUNTIFS($A:$A,patch[[#This Row],[number]],$S:$S, "FL And dev",$AC:$AC, "Review-1"))</f>
        <v/>
      </c>
      <c r="Y1136" s="7" t="str">
        <f>IF(ISBLANK(patch[[#This Row],[project]]), "",COUNTIFS($A:$A,patch[[#This Row],[number]],$S:$S, "SH And dev",$AC:$AC, "Review-1"))</f>
        <v/>
      </c>
      <c r="Z1136" s="7" t="str">
        <f>IF(ISBLANK(patch[[#This Row],[project]]), "",COUNTIFS($A:$A,patch[[#This Row],[number]],$S:$S, "BJ And dev",$AD:$AD, "&lt;&gt;IntegratorValidationComment"))</f>
        <v/>
      </c>
      <c r="AA1136" s="7" t="str">
        <f>IF(ISBLANK(patch[[#This Row],[project]]), "",COUNTIFS($A:$A,patch[[#This Row],[number]],$S:$S, "FL And dev",$AD:$AD, "&lt;&gt;IntegratorValidationComment"))</f>
        <v/>
      </c>
      <c r="AB1136" s="7" t="str">
        <f>IF(ISBLANK(patch[[#This Row],[project]]), "",COUNTIFS($A:$A,patch[[#This Row],[number]],$S:$S, "SH And dev",$AD:$AD, "&lt;&gt;IntegratorValidationComment"))</f>
        <v/>
      </c>
      <c r="AC1136" s="7" t="str">
        <f>IF(OR(ISNUMBER(FIND("Review-1", patch[[#This Row],[comments]])), ISNUMBER(FIND("Approver-1", patch[[#This Row],[comments]]))), "Review-1", "")</f>
        <v/>
      </c>
      <c r="AD11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36" s="7">
        <f>IF(ISBLANK(patch[[#This Row],[number]]),AE1135,patch[[#This Row],[ifCommon]])</f>
        <v>0</v>
      </c>
    </row>
    <row r="1137" spans="1:31">
      <c r="A1137" s="151">
        <v>144258</v>
      </c>
      <c r="B1137" s="151"/>
      <c r="C1137" s="151"/>
      <c r="D1137" s="151"/>
      <c r="E1137" s="151"/>
      <c r="F1137" s="151"/>
      <c r="G1137" s="151"/>
      <c r="H1137" s="151"/>
      <c r="I1137" s="151"/>
      <c r="J1137" s="152">
        <v>42632.753587962958</v>
      </c>
      <c r="K1137" s="151"/>
      <c r="L1137" s="151" t="s">
        <v>72</v>
      </c>
      <c r="M1137" s="152">
        <v>42628.43136574074</v>
      </c>
      <c r="N1137" s="151" t="s">
        <v>1963</v>
      </c>
      <c r="O1137" s="151"/>
      <c r="P1137" s="151"/>
      <c r="Q1137" s="7" t="str">
        <f>IF(ISBLANK(patch[[#This Row],[OwnerEmail]]),Q1136,patch[[#This Row],[OwnerEmail]])</f>
        <v>bin.b.yang@intel.com</v>
      </c>
      <c r="R1137" s="7" t="str">
        <f>_xlfn.IFNA(VLOOKUP(patch[[#This Row],[tmp-owner.email]],OrgTree!$A:$K, 11, 0), "not ICG SWFW")</f>
        <v>BJ And dev</v>
      </c>
      <c r="S1137" s="7" t="str">
        <f>IF(patch[[#This Row],[reviewer]]=patch[[#This Row],[tmp-owner.email]], "author", _xlfn.IFNA(VLOOKUP(patch[[#This Row],[reviewer]],OrgTree!$A:$K, 11, 0), "not ICG SWFW"))</f>
        <v>author</v>
      </c>
      <c r="T1137" s="7" t="str">
        <f>IF(ISBLANK(patch[[#This Row],[mergeDate]]), "", MID(YEAR(patch[[#This Row],[mergeDate]]), 3,2)&amp;"'ww"&amp;WEEKNUM(patch[[#This Row],[mergeDate]]))</f>
        <v>16'ww39</v>
      </c>
      <c r="U1137" s="7" t="str">
        <f>IF(ISBLANK(patch[[#This Row],[mergeDate]]), U1136, MID(YEAR(patch[[#This Row],[mergeDate]]), 3,2)&amp;"'m"&amp;MONTH(patch[[#This Row],[mergeDate]]))</f>
        <v>16'm9</v>
      </c>
      <c r="V1137" s="7" t="str">
        <f>IF(ISBLANK(patch[[#This Row],[project]]), "",SUM(patch[[#This Row],[BJ -1 num]:[SH -1 num]]))</f>
        <v/>
      </c>
      <c r="W1137" s="7" t="str">
        <f>IF(ISBLANK(patch[[#This Row],[project]]), "",COUNTIFS($A:$A,patch[[#This Row],[number]],$S:$S, "BJ And dev",$AC:$AC, "Review-1"))</f>
        <v/>
      </c>
      <c r="X1137" s="7" t="str">
        <f>IF(ISBLANK(patch[[#This Row],[project]]), "",COUNTIFS($A:$A,patch[[#This Row],[number]],$S:$S, "FL And dev",$AC:$AC, "Review-1"))</f>
        <v/>
      </c>
      <c r="Y1137" s="7" t="str">
        <f>IF(ISBLANK(patch[[#This Row],[project]]), "",COUNTIFS($A:$A,patch[[#This Row],[number]],$S:$S, "SH And dev",$AC:$AC, "Review-1"))</f>
        <v/>
      </c>
      <c r="Z1137" s="7" t="str">
        <f>IF(ISBLANK(patch[[#This Row],[project]]), "",COUNTIFS($A:$A,patch[[#This Row],[number]],$S:$S, "BJ And dev",$AD:$AD, "&lt;&gt;IntegratorValidationComment"))</f>
        <v/>
      </c>
      <c r="AA1137" s="7" t="str">
        <f>IF(ISBLANK(patch[[#This Row],[project]]), "",COUNTIFS($A:$A,patch[[#This Row],[number]],$S:$S, "FL And dev",$AD:$AD, "&lt;&gt;IntegratorValidationComment"))</f>
        <v/>
      </c>
      <c r="AB1137" s="7" t="str">
        <f>IF(ISBLANK(patch[[#This Row],[project]]), "",COUNTIFS($A:$A,patch[[#This Row],[number]],$S:$S, "SH And dev",$AD:$AD, "&lt;&gt;IntegratorValidationComment"))</f>
        <v/>
      </c>
      <c r="AC1137" s="7" t="str">
        <f>IF(OR(ISNUMBER(FIND("Review-1", patch[[#This Row],[comments]])), ISNUMBER(FIND("Approver-1", patch[[#This Row],[comments]]))), "Review-1", "")</f>
        <v/>
      </c>
      <c r="AD11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37" s="7">
        <f>IF(ISBLANK(patch[[#This Row],[number]]),AE1136,patch[[#This Row],[ifCommon]])</f>
        <v>0</v>
      </c>
    </row>
    <row r="1138" spans="1:31">
      <c r="A1138" s="151">
        <v>144258</v>
      </c>
      <c r="B1138" s="151"/>
      <c r="C1138" s="151"/>
      <c r="D1138" s="151"/>
      <c r="E1138" s="151"/>
      <c r="F1138" s="151"/>
      <c r="G1138" s="151"/>
      <c r="H1138" s="151"/>
      <c r="I1138" s="151"/>
      <c r="J1138" s="152">
        <v>42632.753587962958</v>
      </c>
      <c r="K1138" s="151"/>
      <c r="L1138" s="151" t="s">
        <v>72</v>
      </c>
      <c r="M1138" s="152">
        <v>42628.431516203702</v>
      </c>
      <c r="N1138" s="151" t="s">
        <v>3167</v>
      </c>
      <c r="O1138" s="151"/>
      <c r="P1138" s="151"/>
      <c r="Q1138" s="7" t="str">
        <f>IF(ISBLANK(patch[[#This Row],[OwnerEmail]]),Q1137,patch[[#This Row],[OwnerEmail]])</f>
        <v>bin.b.yang@intel.com</v>
      </c>
      <c r="R1138" s="7" t="str">
        <f>_xlfn.IFNA(VLOOKUP(patch[[#This Row],[tmp-owner.email]],OrgTree!$A:$K, 11, 0), "not ICG SWFW")</f>
        <v>BJ And dev</v>
      </c>
      <c r="S1138" s="7" t="str">
        <f>IF(patch[[#This Row],[reviewer]]=patch[[#This Row],[tmp-owner.email]], "author", _xlfn.IFNA(VLOOKUP(patch[[#This Row],[reviewer]],OrgTree!$A:$K, 11, 0), "not ICG SWFW"))</f>
        <v>author</v>
      </c>
      <c r="T1138" s="7" t="str">
        <f>IF(ISBLANK(patch[[#This Row],[mergeDate]]), "", MID(YEAR(patch[[#This Row],[mergeDate]]), 3,2)&amp;"'ww"&amp;WEEKNUM(patch[[#This Row],[mergeDate]]))</f>
        <v>16'ww39</v>
      </c>
      <c r="U1138" s="7" t="str">
        <f>IF(ISBLANK(patch[[#This Row],[mergeDate]]), U1137, MID(YEAR(patch[[#This Row],[mergeDate]]), 3,2)&amp;"'m"&amp;MONTH(patch[[#This Row],[mergeDate]]))</f>
        <v>16'm9</v>
      </c>
      <c r="V1138" s="7" t="str">
        <f>IF(ISBLANK(patch[[#This Row],[project]]), "",SUM(patch[[#This Row],[BJ -1 num]:[SH -1 num]]))</f>
        <v/>
      </c>
      <c r="W1138" s="7" t="str">
        <f>IF(ISBLANK(patch[[#This Row],[project]]), "",COUNTIFS($A:$A,patch[[#This Row],[number]],$S:$S, "BJ And dev",$AC:$AC, "Review-1"))</f>
        <v/>
      </c>
      <c r="X1138" s="7" t="str">
        <f>IF(ISBLANK(patch[[#This Row],[project]]), "",COUNTIFS($A:$A,patch[[#This Row],[number]],$S:$S, "FL And dev",$AC:$AC, "Review-1"))</f>
        <v/>
      </c>
      <c r="Y1138" s="7" t="str">
        <f>IF(ISBLANK(patch[[#This Row],[project]]), "",COUNTIFS($A:$A,patch[[#This Row],[number]],$S:$S, "SH And dev",$AC:$AC, "Review-1"))</f>
        <v/>
      </c>
      <c r="Z1138" s="7" t="str">
        <f>IF(ISBLANK(patch[[#This Row],[project]]), "",COUNTIFS($A:$A,patch[[#This Row],[number]],$S:$S, "BJ And dev",$AD:$AD, "&lt;&gt;IntegratorValidationComment"))</f>
        <v/>
      </c>
      <c r="AA1138" s="7" t="str">
        <f>IF(ISBLANK(patch[[#This Row],[project]]), "",COUNTIFS($A:$A,patch[[#This Row],[number]],$S:$S, "FL And dev",$AD:$AD, "&lt;&gt;IntegratorValidationComment"))</f>
        <v/>
      </c>
      <c r="AB1138" s="7" t="str">
        <f>IF(ISBLANK(patch[[#This Row],[project]]), "",COUNTIFS($A:$A,patch[[#This Row],[number]],$S:$S, "SH And dev",$AD:$AD, "&lt;&gt;IntegratorValidationComment"))</f>
        <v/>
      </c>
      <c r="AC1138" s="7" t="str">
        <f>IF(OR(ISNUMBER(FIND("Review-1", patch[[#This Row],[comments]])), ISNUMBER(FIND("Approver-1", patch[[#This Row],[comments]]))), "Review-1", "")</f>
        <v/>
      </c>
      <c r="AD11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38" s="7">
        <f>IF(ISBLANK(patch[[#This Row],[number]]),AE1137,patch[[#This Row],[ifCommon]])</f>
        <v>0</v>
      </c>
    </row>
    <row r="1139" spans="1:31">
      <c r="A1139" s="151">
        <v>144258</v>
      </c>
      <c r="B1139" s="151"/>
      <c r="C1139" s="151"/>
      <c r="D1139" s="151"/>
      <c r="E1139" s="151"/>
      <c r="F1139" s="151"/>
      <c r="G1139" s="151"/>
      <c r="H1139" s="151"/>
      <c r="I1139" s="151"/>
      <c r="J1139" s="152">
        <v>42632.753587962958</v>
      </c>
      <c r="K1139" s="151"/>
      <c r="L1139" s="151" t="s">
        <v>72</v>
      </c>
      <c r="M1139" s="152">
        <v>42628.431527777779</v>
      </c>
      <c r="N1139" s="151" t="s">
        <v>2473</v>
      </c>
      <c r="O1139" s="151"/>
      <c r="P1139" s="151"/>
      <c r="Q1139" s="7" t="str">
        <f>IF(ISBLANK(patch[[#This Row],[OwnerEmail]]),Q1138,patch[[#This Row],[OwnerEmail]])</f>
        <v>bin.b.yang@intel.com</v>
      </c>
      <c r="R1139" s="7" t="str">
        <f>_xlfn.IFNA(VLOOKUP(patch[[#This Row],[tmp-owner.email]],OrgTree!$A:$K, 11, 0), "not ICG SWFW")</f>
        <v>BJ And dev</v>
      </c>
      <c r="S1139" s="7" t="str">
        <f>IF(patch[[#This Row],[reviewer]]=patch[[#This Row],[tmp-owner.email]], "author", _xlfn.IFNA(VLOOKUP(patch[[#This Row],[reviewer]],OrgTree!$A:$K, 11, 0), "not ICG SWFW"))</f>
        <v>author</v>
      </c>
      <c r="T1139" s="7" t="str">
        <f>IF(ISBLANK(patch[[#This Row],[mergeDate]]), "", MID(YEAR(patch[[#This Row],[mergeDate]]), 3,2)&amp;"'ww"&amp;WEEKNUM(patch[[#This Row],[mergeDate]]))</f>
        <v>16'ww39</v>
      </c>
      <c r="U1139" s="7" t="str">
        <f>IF(ISBLANK(patch[[#This Row],[mergeDate]]), U1138, MID(YEAR(patch[[#This Row],[mergeDate]]), 3,2)&amp;"'m"&amp;MONTH(patch[[#This Row],[mergeDate]]))</f>
        <v>16'm9</v>
      </c>
      <c r="V1139" s="7" t="str">
        <f>IF(ISBLANK(patch[[#This Row],[project]]), "",SUM(patch[[#This Row],[BJ -1 num]:[SH -1 num]]))</f>
        <v/>
      </c>
      <c r="W1139" s="7" t="str">
        <f>IF(ISBLANK(patch[[#This Row],[project]]), "",COUNTIFS($A:$A,patch[[#This Row],[number]],$S:$S, "BJ And dev",$AC:$AC, "Review-1"))</f>
        <v/>
      </c>
      <c r="X1139" s="7" t="str">
        <f>IF(ISBLANK(patch[[#This Row],[project]]), "",COUNTIFS($A:$A,patch[[#This Row],[number]],$S:$S, "FL And dev",$AC:$AC, "Review-1"))</f>
        <v/>
      </c>
      <c r="Y1139" s="7" t="str">
        <f>IF(ISBLANK(patch[[#This Row],[project]]), "",COUNTIFS($A:$A,patch[[#This Row],[number]],$S:$S, "SH And dev",$AC:$AC, "Review-1"))</f>
        <v/>
      </c>
      <c r="Z1139" s="7" t="str">
        <f>IF(ISBLANK(patch[[#This Row],[project]]), "",COUNTIFS($A:$A,patch[[#This Row],[number]],$S:$S, "BJ And dev",$AD:$AD, "&lt;&gt;IntegratorValidationComment"))</f>
        <v/>
      </c>
      <c r="AA1139" s="7" t="str">
        <f>IF(ISBLANK(patch[[#This Row],[project]]), "",COUNTIFS($A:$A,patch[[#This Row],[number]],$S:$S, "FL And dev",$AD:$AD, "&lt;&gt;IntegratorValidationComment"))</f>
        <v/>
      </c>
      <c r="AB1139" s="7" t="str">
        <f>IF(ISBLANK(patch[[#This Row],[project]]), "",COUNTIFS($A:$A,patch[[#This Row],[number]],$S:$S, "SH And dev",$AD:$AD, "&lt;&gt;IntegratorValidationComment"))</f>
        <v/>
      </c>
      <c r="AC1139" s="7" t="str">
        <f>IF(OR(ISNUMBER(FIND("Review-1", patch[[#This Row],[comments]])), ISNUMBER(FIND("Approver-1", patch[[#This Row],[comments]]))), "Review-1", "")</f>
        <v/>
      </c>
      <c r="AD11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39" s="7">
        <f>IF(ISBLANK(patch[[#This Row],[number]]),AE1138,patch[[#This Row],[ifCommon]])</f>
        <v>0</v>
      </c>
    </row>
    <row r="1140" spans="1:31">
      <c r="A1140" s="151">
        <v>144258</v>
      </c>
      <c r="B1140" s="151"/>
      <c r="C1140" s="151"/>
      <c r="D1140" s="151"/>
      <c r="E1140" s="151"/>
      <c r="F1140" s="151"/>
      <c r="G1140" s="151"/>
      <c r="H1140" s="151"/>
      <c r="I1140" s="151"/>
      <c r="J1140" s="152">
        <v>42632.753587962958</v>
      </c>
      <c r="K1140" s="151"/>
      <c r="L1140" s="151" t="s">
        <v>59</v>
      </c>
      <c r="M1140" s="152">
        <v>42628.433298611111</v>
      </c>
      <c r="N1140" s="151" t="s">
        <v>3168</v>
      </c>
      <c r="O1140" s="151"/>
      <c r="P1140" s="151"/>
      <c r="Q1140" s="7" t="str">
        <f>IF(ISBLANK(patch[[#This Row],[OwnerEmail]]),Q1139,patch[[#This Row],[OwnerEmail]])</f>
        <v>bin.b.yang@intel.com</v>
      </c>
      <c r="R1140" s="7" t="str">
        <f>_xlfn.IFNA(VLOOKUP(patch[[#This Row],[tmp-owner.email]],OrgTree!$A:$K, 11, 0), "not ICG SWFW")</f>
        <v>BJ And dev</v>
      </c>
      <c r="S1140" s="7" t="str">
        <f>IF(patch[[#This Row],[reviewer]]=patch[[#This Row],[tmp-owner.email]], "author", _xlfn.IFNA(VLOOKUP(patch[[#This Row],[reviewer]],OrgTree!$A:$K, 11, 0), "not ICG SWFW"))</f>
        <v>BJ And dev</v>
      </c>
      <c r="T1140" s="7" t="str">
        <f>IF(ISBLANK(patch[[#This Row],[mergeDate]]), "", MID(YEAR(patch[[#This Row],[mergeDate]]), 3,2)&amp;"'ww"&amp;WEEKNUM(patch[[#This Row],[mergeDate]]))</f>
        <v>16'ww39</v>
      </c>
      <c r="U1140" s="7" t="str">
        <f>IF(ISBLANK(patch[[#This Row],[mergeDate]]), U1139, MID(YEAR(patch[[#This Row],[mergeDate]]), 3,2)&amp;"'m"&amp;MONTH(patch[[#This Row],[mergeDate]]))</f>
        <v>16'm9</v>
      </c>
      <c r="V1140" s="7" t="str">
        <f>IF(ISBLANK(patch[[#This Row],[project]]), "",SUM(patch[[#This Row],[BJ -1 num]:[SH -1 num]]))</f>
        <v/>
      </c>
      <c r="W1140" s="7" t="str">
        <f>IF(ISBLANK(patch[[#This Row],[project]]), "",COUNTIFS($A:$A,patch[[#This Row],[number]],$S:$S, "BJ And dev",$AC:$AC, "Review-1"))</f>
        <v/>
      </c>
      <c r="X1140" s="7" t="str">
        <f>IF(ISBLANK(patch[[#This Row],[project]]), "",COUNTIFS($A:$A,patch[[#This Row],[number]],$S:$S, "FL And dev",$AC:$AC, "Review-1"))</f>
        <v/>
      </c>
      <c r="Y1140" s="7" t="str">
        <f>IF(ISBLANK(patch[[#This Row],[project]]), "",COUNTIFS($A:$A,patch[[#This Row],[number]],$S:$S, "SH And dev",$AC:$AC, "Review-1"))</f>
        <v/>
      </c>
      <c r="Z1140" s="7" t="str">
        <f>IF(ISBLANK(patch[[#This Row],[project]]), "",COUNTIFS($A:$A,patch[[#This Row],[number]],$S:$S, "BJ And dev",$AD:$AD, "&lt;&gt;IntegratorValidationComment"))</f>
        <v/>
      </c>
      <c r="AA1140" s="7" t="str">
        <f>IF(ISBLANK(patch[[#This Row],[project]]), "",COUNTIFS($A:$A,patch[[#This Row],[number]],$S:$S, "FL And dev",$AD:$AD, "&lt;&gt;IntegratorValidationComment"))</f>
        <v/>
      </c>
      <c r="AB1140" s="7" t="str">
        <f>IF(ISBLANK(patch[[#This Row],[project]]), "",COUNTIFS($A:$A,patch[[#This Row],[number]],$S:$S, "SH And dev",$AD:$AD, "&lt;&gt;IntegratorValidationComment"))</f>
        <v/>
      </c>
      <c r="AC1140" s="7" t="str">
        <f>IF(OR(ISNUMBER(FIND("Review-1", patch[[#This Row],[comments]])), ISNUMBER(FIND("Approver-1", patch[[#This Row],[comments]]))), "Review-1", "")</f>
        <v/>
      </c>
      <c r="AD11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40" s="7">
        <f>IF(ISBLANK(patch[[#This Row],[number]]),AE1139,patch[[#This Row],[ifCommon]])</f>
        <v>0</v>
      </c>
    </row>
    <row r="1141" spans="1:31">
      <c r="A1141" s="151">
        <v>144258</v>
      </c>
      <c r="B1141" s="151"/>
      <c r="C1141" s="151"/>
      <c r="D1141" s="151"/>
      <c r="E1141" s="151"/>
      <c r="F1141" s="151"/>
      <c r="G1141" s="151"/>
      <c r="H1141" s="151"/>
      <c r="I1141" s="151"/>
      <c r="J1141" s="152">
        <v>42632.753587962958</v>
      </c>
      <c r="K1141" s="151"/>
      <c r="L1141" s="151" t="s">
        <v>59</v>
      </c>
      <c r="M1141" s="152">
        <v>42628.435960648138</v>
      </c>
      <c r="N1141" s="151" t="s">
        <v>3169</v>
      </c>
      <c r="O1141" s="151"/>
      <c r="P1141" s="151"/>
      <c r="Q1141" s="7" t="str">
        <f>IF(ISBLANK(patch[[#This Row],[OwnerEmail]]),Q1140,patch[[#This Row],[OwnerEmail]])</f>
        <v>bin.b.yang@intel.com</v>
      </c>
      <c r="R1141" s="7" t="str">
        <f>_xlfn.IFNA(VLOOKUP(patch[[#This Row],[tmp-owner.email]],OrgTree!$A:$K, 11, 0), "not ICG SWFW")</f>
        <v>BJ And dev</v>
      </c>
      <c r="S1141" s="7" t="str">
        <f>IF(patch[[#This Row],[reviewer]]=patch[[#This Row],[tmp-owner.email]], "author", _xlfn.IFNA(VLOOKUP(patch[[#This Row],[reviewer]],OrgTree!$A:$K, 11, 0), "not ICG SWFW"))</f>
        <v>BJ And dev</v>
      </c>
      <c r="T1141" s="7" t="str">
        <f>IF(ISBLANK(patch[[#This Row],[mergeDate]]), "", MID(YEAR(patch[[#This Row],[mergeDate]]), 3,2)&amp;"'ww"&amp;WEEKNUM(patch[[#This Row],[mergeDate]]))</f>
        <v>16'ww39</v>
      </c>
      <c r="U1141" s="7" t="str">
        <f>IF(ISBLANK(patch[[#This Row],[mergeDate]]), U1140, MID(YEAR(patch[[#This Row],[mergeDate]]), 3,2)&amp;"'m"&amp;MONTH(patch[[#This Row],[mergeDate]]))</f>
        <v>16'm9</v>
      </c>
      <c r="V1141" s="7" t="str">
        <f>IF(ISBLANK(patch[[#This Row],[project]]), "",SUM(patch[[#This Row],[BJ -1 num]:[SH -1 num]]))</f>
        <v/>
      </c>
      <c r="W1141" s="7" t="str">
        <f>IF(ISBLANK(patch[[#This Row],[project]]), "",COUNTIFS($A:$A,patch[[#This Row],[number]],$S:$S, "BJ And dev",$AC:$AC, "Review-1"))</f>
        <v/>
      </c>
      <c r="X1141" s="7" t="str">
        <f>IF(ISBLANK(patch[[#This Row],[project]]), "",COUNTIFS($A:$A,patch[[#This Row],[number]],$S:$S, "FL And dev",$AC:$AC, "Review-1"))</f>
        <v/>
      </c>
      <c r="Y1141" s="7" t="str">
        <f>IF(ISBLANK(patch[[#This Row],[project]]), "",COUNTIFS($A:$A,patch[[#This Row],[number]],$S:$S, "SH And dev",$AC:$AC, "Review-1"))</f>
        <v/>
      </c>
      <c r="Z1141" s="7" t="str">
        <f>IF(ISBLANK(patch[[#This Row],[project]]), "",COUNTIFS($A:$A,patch[[#This Row],[number]],$S:$S, "BJ And dev",$AD:$AD, "&lt;&gt;IntegratorValidationComment"))</f>
        <v/>
      </c>
      <c r="AA1141" s="7" t="str">
        <f>IF(ISBLANK(patch[[#This Row],[project]]), "",COUNTIFS($A:$A,patch[[#This Row],[number]],$S:$S, "FL And dev",$AD:$AD, "&lt;&gt;IntegratorValidationComment"))</f>
        <v/>
      </c>
      <c r="AB1141" s="7" t="str">
        <f>IF(ISBLANK(patch[[#This Row],[project]]), "",COUNTIFS($A:$A,patch[[#This Row],[number]],$S:$S, "SH And dev",$AD:$AD, "&lt;&gt;IntegratorValidationComment"))</f>
        <v/>
      </c>
      <c r="AC1141" s="7" t="str">
        <f>IF(OR(ISNUMBER(FIND("Review-1", patch[[#This Row],[comments]])), ISNUMBER(FIND("Approver-1", patch[[#This Row],[comments]]))), "Review-1", "")</f>
        <v/>
      </c>
      <c r="AD11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41" s="7">
        <f>IF(ISBLANK(patch[[#This Row],[number]]),AE1140,patch[[#This Row],[ifCommon]])</f>
        <v>0</v>
      </c>
    </row>
    <row r="1142" spans="1:31">
      <c r="A1142" s="151">
        <v>144258</v>
      </c>
      <c r="B1142" s="151"/>
      <c r="C1142" s="151"/>
      <c r="D1142" s="151"/>
      <c r="E1142" s="151"/>
      <c r="F1142" s="151"/>
      <c r="G1142" s="151"/>
      <c r="H1142" s="151"/>
      <c r="I1142" s="152"/>
      <c r="J1142" s="152">
        <v>42632.753587962958</v>
      </c>
      <c r="K1142" s="151"/>
      <c r="L1142" s="151" t="s">
        <v>72</v>
      </c>
      <c r="M1142" s="152">
        <v>42628.43608796296</v>
      </c>
      <c r="N1142" s="151" t="s">
        <v>2482</v>
      </c>
      <c r="O1142" s="151"/>
      <c r="P1142" s="151"/>
      <c r="Q1142" s="7" t="str">
        <f>IF(ISBLANK(patch[[#This Row],[OwnerEmail]]),Q1141,patch[[#This Row],[OwnerEmail]])</f>
        <v>bin.b.yang@intel.com</v>
      </c>
      <c r="R1142" s="7" t="str">
        <f>_xlfn.IFNA(VLOOKUP(patch[[#This Row],[tmp-owner.email]],OrgTree!$A:$K, 11, 0), "not ICG SWFW")</f>
        <v>BJ And dev</v>
      </c>
      <c r="S1142" s="7" t="str">
        <f>IF(patch[[#This Row],[reviewer]]=patch[[#This Row],[tmp-owner.email]], "author", _xlfn.IFNA(VLOOKUP(patch[[#This Row],[reviewer]],OrgTree!$A:$K, 11, 0), "not ICG SWFW"))</f>
        <v>author</v>
      </c>
      <c r="T1142" s="7" t="str">
        <f>IF(ISBLANK(patch[[#This Row],[mergeDate]]), "", MID(YEAR(patch[[#This Row],[mergeDate]]), 3,2)&amp;"'ww"&amp;WEEKNUM(patch[[#This Row],[mergeDate]]))</f>
        <v>16'ww39</v>
      </c>
      <c r="U1142" s="7" t="str">
        <f>IF(ISBLANK(patch[[#This Row],[mergeDate]]), U1141, MID(YEAR(patch[[#This Row],[mergeDate]]), 3,2)&amp;"'m"&amp;MONTH(patch[[#This Row],[mergeDate]]))</f>
        <v>16'm9</v>
      </c>
      <c r="V1142" s="7" t="str">
        <f>IF(ISBLANK(patch[[#This Row],[project]]), "",SUM(patch[[#This Row],[BJ -1 num]:[SH -1 num]]))</f>
        <v/>
      </c>
      <c r="W1142" s="7" t="str">
        <f>IF(ISBLANK(patch[[#This Row],[project]]), "",COUNTIFS($A:$A,patch[[#This Row],[number]],$S:$S, "BJ And dev",$AC:$AC, "Review-1"))</f>
        <v/>
      </c>
      <c r="X1142" s="7" t="str">
        <f>IF(ISBLANK(patch[[#This Row],[project]]), "",COUNTIFS($A:$A,patch[[#This Row],[number]],$S:$S, "FL And dev",$AC:$AC, "Review-1"))</f>
        <v/>
      </c>
      <c r="Y1142" s="7" t="str">
        <f>IF(ISBLANK(patch[[#This Row],[project]]), "",COUNTIFS($A:$A,patch[[#This Row],[number]],$S:$S, "SH And dev",$AC:$AC, "Review-1"))</f>
        <v/>
      </c>
      <c r="Z1142" s="7" t="str">
        <f>IF(ISBLANK(patch[[#This Row],[project]]), "",COUNTIFS($A:$A,patch[[#This Row],[number]],$S:$S, "BJ And dev",$AD:$AD, "&lt;&gt;IntegratorValidationComment"))</f>
        <v/>
      </c>
      <c r="AA1142" s="7" t="str">
        <f>IF(ISBLANK(patch[[#This Row],[project]]), "",COUNTIFS($A:$A,patch[[#This Row],[number]],$S:$S, "FL And dev",$AD:$AD, "&lt;&gt;IntegratorValidationComment"))</f>
        <v/>
      </c>
      <c r="AB1142" s="7" t="str">
        <f>IF(ISBLANK(patch[[#This Row],[project]]), "",COUNTIFS($A:$A,patch[[#This Row],[number]],$S:$S, "SH And dev",$AD:$AD, "&lt;&gt;IntegratorValidationComment"))</f>
        <v/>
      </c>
      <c r="AC1142" s="7" t="str">
        <f>IF(OR(ISNUMBER(FIND("Review-1", patch[[#This Row],[comments]])), ISNUMBER(FIND("Approver-1", patch[[#This Row],[comments]]))), "Review-1", "")</f>
        <v/>
      </c>
      <c r="AD11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42" s="7">
        <f>IF(ISBLANK(patch[[#This Row],[number]]),AE1141,patch[[#This Row],[ifCommon]])</f>
        <v>0</v>
      </c>
    </row>
    <row r="1143" spans="1:31">
      <c r="A1143" s="151">
        <v>144258</v>
      </c>
      <c r="B1143" s="151"/>
      <c r="C1143" s="151"/>
      <c r="D1143" s="151"/>
      <c r="E1143" s="151"/>
      <c r="F1143" s="151"/>
      <c r="G1143" s="151"/>
      <c r="H1143" s="151"/>
      <c r="I1143" s="151"/>
      <c r="J1143" s="152">
        <v>42632.753587962958</v>
      </c>
      <c r="K1143" s="151"/>
      <c r="L1143" s="151" t="s">
        <v>59</v>
      </c>
      <c r="M1143" s="152">
        <v>42628.43613425926</v>
      </c>
      <c r="N1143" s="151" t="s">
        <v>2482</v>
      </c>
      <c r="O1143" s="151"/>
      <c r="P1143" s="151"/>
      <c r="Q1143" s="7" t="str">
        <f>IF(ISBLANK(patch[[#This Row],[OwnerEmail]]),Q1142,patch[[#This Row],[OwnerEmail]])</f>
        <v>bin.b.yang@intel.com</v>
      </c>
      <c r="R1143" s="7" t="str">
        <f>_xlfn.IFNA(VLOOKUP(patch[[#This Row],[tmp-owner.email]],OrgTree!$A:$K, 11, 0), "not ICG SWFW")</f>
        <v>BJ And dev</v>
      </c>
      <c r="S1143" s="7" t="str">
        <f>IF(patch[[#This Row],[reviewer]]=patch[[#This Row],[tmp-owner.email]], "author", _xlfn.IFNA(VLOOKUP(patch[[#This Row],[reviewer]],OrgTree!$A:$K, 11, 0), "not ICG SWFW"))</f>
        <v>BJ And dev</v>
      </c>
      <c r="T1143" s="7" t="str">
        <f>IF(ISBLANK(patch[[#This Row],[mergeDate]]), "", MID(YEAR(patch[[#This Row],[mergeDate]]), 3,2)&amp;"'ww"&amp;WEEKNUM(patch[[#This Row],[mergeDate]]))</f>
        <v>16'ww39</v>
      </c>
      <c r="U1143" s="7" t="str">
        <f>IF(ISBLANK(patch[[#This Row],[mergeDate]]), U1142, MID(YEAR(patch[[#This Row],[mergeDate]]), 3,2)&amp;"'m"&amp;MONTH(patch[[#This Row],[mergeDate]]))</f>
        <v>16'm9</v>
      </c>
      <c r="V1143" s="7" t="str">
        <f>IF(ISBLANK(patch[[#This Row],[project]]), "",SUM(patch[[#This Row],[BJ -1 num]:[SH -1 num]]))</f>
        <v/>
      </c>
      <c r="W1143" s="7" t="str">
        <f>IF(ISBLANK(patch[[#This Row],[project]]), "",COUNTIFS($A:$A,patch[[#This Row],[number]],$S:$S, "BJ And dev",$AC:$AC, "Review-1"))</f>
        <v/>
      </c>
      <c r="X1143" s="7" t="str">
        <f>IF(ISBLANK(patch[[#This Row],[project]]), "",COUNTIFS($A:$A,patch[[#This Row],[number]],$S:$S, "FL And dev",$AC:$AC, "Review-1"))</f>
        <v/>
      </c>
      <c r="Y1143" s="7" t="str">
        <f>IF(ISBLANK(patch[[#This Row],[project]]), "",COUNTIFS($A:$A,patch[[#This Row],[number]],$S:$S, "SH And dev",$AC:$AC, "Review-1"))</f>
        <v/>
      </c>
      <c r="Z1143" s="7" t="str">
        <f>IF(ISBLANK(patch[[#This Row],[project]]), "",COUNTIFS($A:$A,patch[[#This Row],[number]],$S:$S, "BJ And dev",$AD:$AD, "&lt;&gt;IntegratorValidationComment"))</f>
        <v/>
      </c>
      <c r="AA1143" s="7" t="str">
        <f>IF(ISBLANK(patch[[#This Row],[project]]), "",COUNTIFS($A:$A,patch[[#This Row],[number]],$S:$S, "FL And dev",$AD:$AD, "&lt;&gt;IntegratorValidationComment"))</f>
        <v/>
      </c>
      <c r="AB1143" s="7" t="str">
        <f>IF(ISBLANK(patch[[#This Row],[project]]), "",COUNTIFS($A:$A,patch[[#This Row],[number]],$S:$S, "SH And dev",$AD:$AD, "&lt;&gt;IntegratorValidationComment"))</f>
        <v/>
      </c>
      <c r="AC1143" s="7" t="str">
        <f>IF(OR(ISNUMBER(FIND("Review-1", patch[[#This Row],[comments]])), ISNUMBER(FIND("Approver-1", patch[[#This Row],[comments]]))), "Review-1", "")</f>
        <v/>
      </c>
      <c r="AD11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43" s="7">
        <f>IF(ISBLANK(patch[[#This Row],[number]]),AE1142,patch[[#This Row],[ifCommon]])</f>
        <v>0</v>
      </c>
    </row>
    <row r="1144" spans="1:31">
      <c r="A1144" s="151">
        <v>144258</v>
      </c>
      <c r="B1144" s="151"/>
      <c r="C1144" s="151"/>
      <c r="D1144" s="151"/>
      <c r="E1144" s="151"/>
      <c r="F1144" s="151"/>
      <c r="G1144" s="151"/>
      <c r="H1144" s="151"/>
      <c r="I1144" s="152"/>
      <c r="J1144" s="152">
        <v>42632.753587962958</v>
      </c>
      <c r="K1144" s="151"/>
      <c r="L1144" s="151" t="s">
        <v>59</v>
      </c>
      <c r="M1144" s="152">
        <v>42628.436249999999</v>
      </c>
      <c r="N1144" s="151" t="s">
        <v>2483</v>
      </c>
      <c r="O1144" s="151"/>
      <c r="P1144" s="151"/>
      <c r="Q1144" s="7" t="str">
        <f>IF(ISBLANK(patch[[#This Row],[OwnerEmail]]),Q1143,patch[[#This Row],[OwnerEmail]])</f>
        <v>bin.b.yang@intel.com</v>
      </c>
      <c r="R1144" s="7" t="str">
        <f>_xlfn.IFNA(VLOOKUP(patch[[#This Row],[tmp-owner.email]],OrgTree!$A:$K, 11, 0), "not ICG SWFW")</f>
        <v>BJ And dev</v>
      </c>
      <c r="S1144" s="7" t="str">
        <f>IF(patch[[#This Row],[reviewer]]=patch[[#This Row],[tmp-owner.email]], "author", _xlfn.IFNA(VLOOKUP(patch[[#This Row],[reviewer]],OrgTree!$A:$K, 11, 0), "not ICG SWFW"))</f>
        <v>BJ And dev</v>
      </c>
      <c r="T1144" s="7" t="str">
        <f>IF(ISBLANK(patch[[#This Row],[mergeDate]]), "", MID(YEAR(patch[[#This Row],[mergeDate]]), 3,2)&amp;"'ww"&amp;WEEKNUM(patch[[#This Row],[mergeDate]]))</f>
        <v>16'ww39</v>
      </c>
      <c r="U1144" s="7" t="str">
        <f>IF(ISBLANK(patch[[#This Row],[mergeDate]]), U1143, MID(YEAR(patch[[#This Row],[mergeDate]]), 3,2)&amp;"'m"&amp;MONTH(patch[[#This Row],[mergeDate]]))</f>
        <v>16'm9</v>
      </c>
      <c r="V1144" s="7" t="str">
        <f>IF(ISBLANK(patch[[#This Row],[project]]), "",SUM(patch[[#This Row],[BJ -1 num]:[SH -1 num]]))</f>
        <v/>
      </c>
      <c r="W1144" s="7" t="str">
        <f>IF(ISBLANK(patch[[#This Row],[project]]), "",COUNTIFS($A:$A,patch[[#This Row],[number]],$S:$S, "BJ And dev",$AC:$AC, "Review-1"))</f>
        <v/>
      </c>
      <c r="X1144" s="7" t="str">
        <f>IF(ISBLANK(patch[[#This Row],[project]]), "",COUNTIFS($A:$A,patch[[#This Row],[number]],$S:$S, "FL And dev",$AC:$AC, "Review-1"))</f>
        <v/>
      </c>
      <c r="Y1144" s="7" t="str">
        <f>IF(ISBLANK(patch[[#This Row],[project]]), "",COUNTIFS($A:$A,patch[[#This Row],[number]],$S:$S, "SH And dev",$AC:$AC, "Review-1"))</f>
        <v/>
      </c>
      <c r="Z1144" s="7" t="str">
        <f>IF(ISBLANK(patch[[#This Row],[project]]), "",COUNTIFS($A:$A,patch[[#This Row],[number]],$S:$S, "BJ And dev",$AD:$AD, "&lt;&gt;IntegratorValidationComment"))</f>
        <v/>
      </c>
      <c r="AA1144" s="7" t="str">
        <f>IF(ISBLANK(patch[[#This Row],[project]]), "",COUNTIFS($A:$A,patch[[#This Row],[number]],$S:$S, "FL And dev",$AD:$AD, "&lt;&gt;IntegratorValidationComment"))</f>
        <v/>
      </c>
      <c r="AB1144" s="7" t="str">
        <f>IF(ISBLANK(patch[[#This Row],[project]]), "",COUNTIFS($A:$A,patch[[#This Row],[number]],$S:$S, "SH And dev",$AD:$AD, "&lt;&gt;IntegratorValidationComment"))</f>
        <v/>
      </c>
      <c r="AC1144" s="7" t="str">
        <f>IF(OR(ISNUMBER(FIND("Review-1", patch[[#This Row],[comments]])), ISNUMBER(FIND("Approver-1", patch[[#This Row],[comments]]))), "Review-1", "")</f>
        <v/>
      </c>
      <c r="AD11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44" s="7">
        <f>IF(ISBLANK(patch[[#This Row],[number]]),AE1143,patch[[#This Row],[ifCommon]])</f>
        <v>0</v>
      </c>
    </row>
    <row r="1145" spans="1:31">
      <c r="A1145" s="151">
        <v>144258</v>
      </c>
      <c r="B1145" s="151"/>
      <c r="C1145" s="151"/>
      <c r="D1145" s="151"/>
      <c r="E1145" s="151"/>
      <c r="F1145" s="151"/>
      <c r="G1145" s="151"/>
      <c r="H1145" s="151"/>
      <c r="I1145" s="151"/>
      <c r="J1145" s="152">
        <v>42632.753587962958</v>
      </c>
      <c r="K1145" s="151"/>
      <c r="L1145" s="151" t="s">
        <v>24</v>
      </c>
      <c r="M1145" s="152">
        <v>42631.751331018517</v>
      </c>
      <c r="N1145" s="151" t="s">
        <v>3170</v>
      </c>
      <c r="O1145" s="151"/>
      <c r="P1145" s="151"/>
      <c r="Q1145" s="7" t="str">
        <f>IF(ISBLANK(patch[[#This Row],[OwnerEmail]]),Q1144,patch[[#This Row],[OwnerEmail]])</f>
        <v>bin.b.yang@intel.com</v>
      </c>
      <c r="R1145" s="7" t="str">
        <f>_xlfn.IFNA(VLOOKUP(patch[[#This Row],[tmp-owner.email]],OrgTree!$A:$K, 11, 0), "not ICG SWFW")</f>
        <v>BJ And dev</v>
      </c>
      <c r="S1145" s="7" t="str">
        <f>IF(patch[[#This Row],[reviewer]]=patch[[#This Row],[tmp-owner.email]], "author", _xlfn.IFNA(VLOOKUP(patch[[#This Row],[reviewer]],OrgTree!$A:$K, 11, 0), "not ICG SWFW"))</f>
        <v>BJ And dev</v>
      </c>
      <c r="T1145" s="7" t="str">
        <f>IF(ISBLANK(patch[[#This Row],[mergeDate]]), "", MID(YEAR(patch[[#This Row],[mergeDate]]), 3,2)&amp;"'ww"&amp;WEEKNUM(patch[[#This Row],[mergeDate]]))</f>
        <v>16'ww39</v>
      </c>
      <c r="U1145" s="7" t="str">
        <f>IF(ISBLANK(patch[[#This Row],[mergeDate]]), U1144, MID(YEAR(patch[[#This Row],[mergeDate]]), 3,2)&amp;"'m"&amp;MONTH(patch[[#This Row],[mergeDate]]))</f>
        <v>16'm9</v>
      </c>
      <c r="V1145" s="7" t="str">
        <f>IF(ISBLANK(patch[[#This Row],[project]]), "",SUM(patch[[#This Row],[BJ -1 num]:[SH -1 num]]))</f>
        <v/>
      </c>
      <c r="W1145" s="7" t="str">
        <f>IF(ISBLANK(patch[[#This Row],[project]]), "",COUNTIFS($A:$A,patch[[#This Row],[number]],$S:$S, "BJ And dev",$AC:$AC, "Review-1"))</f>
        <v/>
      </c>
      <c r="X1145" s="7" t="str">
        <f>IF(ISBLANK(patch[[#This Row],[project]]), "",COUNTIFS($A:$A,patch[[#This Row],[number]],$S:$S, "FL And dev",$AC:$AC, "Review-1"))</f>
        <v/>
      </c>
      <c r="Y1145" s="7" t="str">
        <f>IF(ISBLANK(patch[[#This Row],[project]]), "",COUNTIFS($A:$A,patch[[#This Row],[number]],$S:$S, "SH And dev",$AC:$AC, "Review-1"))</f>
        <v/>
      </c>
      <c r="Z1145" s="7" t="str">
        <f>IF(ISBLANK(patch[[#This Row],[project]]), "",COUNTIFS($A:$A,patch[[#This Row],[number]],$S:$S, "BJ And dev",$AD:$AD, "&lt;&gt;IntegratorValidationComment"))</f>
        <v/>
      </c>
      <c r="AA1145" s="7" t="str">
        <f>IF(ISBLANK(patch[[#This Row],[project]]), "",COUNTIFS($A:$A,patch[[#This Row],[number]],$S:$S, "FL And dev",$AD:$AD, "&lt;&gt;IntegratorValidationComment"))</f>
        <v/>
      </c>
      <c r="AB1145" s="7" t="str">
        <f>IF(ISBLANK(patch[[#This Row],[project]]), "",COUNTIFS($A:$A,patch[[#This Row],[number]],$S:$S, "SH And dev",$AD:$AD, "&lt;&gt;IntegratorValidationComment"))</f>
        <v/>
      </c>
      <c r="AC1145" s="7" t="str">
        <f>IF(OR(ISNUMBER(FIND("Review-1", patch[[#This Row],[comments]])), ISNUMBER(FIND("Approver-1", patch[[#This Row],[comments]]))), "Review-1", "")</f>
        <v/>
      </c>
      <c r="AD11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45" s="7">
        <f>IF(ISBLANK(patch[[#This Row],[number]]),AE1144,patch[[#This Row],[ifCommon]])</f>
        <v>0</v>
      </c>
    </row>
    <row r="1146" spans="1:31">
      <c r="A1146" s="151">
        <v>144258</v>
      </c>
      <c r="B1146" s="151"/>
      <c r="C1146" s="151"/>
      <c r="D1146" s="151"/>
      <c r="E1146" s="151"/>
      <c r="F1146" s="151"/>
      <c r="G1146" s="151"/>
      <c r="H1146" s="151"/>
      <c r="I1146" s="151"/>
      <c r="J1146" s="152">
        <v>42632.753587962958</v>
      </c>
      <c r="K1146" s="151"/>
      <c r="L1146" s="151" t="s">
        <v>115</v>
      </c>
      <c r="M1146" s="152">
        <v>42632.425381944442</v>
      </c>
      <c r="N1146" s="151" t="s">
        <v>2562</v>
      </c>
      <c r="O1146" s="151"/>
      <c r="P1146" s="151"/>
      <c r="Q1146" s="7" t="str">
        <f>IF(ISBLANK(patch[[#This Row],[OwnerEmail]]),Q1145,patch[[#This Row],[OwnerEmail]])</f>
        <v>bin.b.yang@intel.com</v>
      </c>
      <c r="R1146" s="7" t="str">
        <f>_xlfn.IFNA(VLOOKUP(patch[[#This Row],[tmp-owner.email]],OrgTree!$A:$K, 11, 0), "not ICG SWFW")</f>
        <v>BJ And dev</v>
      </c>
      <c r="S1146" s="7" t="str">
        <f>IF(patch[[#This Row],[reviewer]]=patch[[#This Row],[tmp-owner.email]], "author", _xlfn.IFNA(VLOOKUP(patch[[#This Row],[reviewer]],OrgTree!$A:$K, 11, 0), "not ICG SWFW"))</f>
        <v>Val</v>
      </c>
      <c r="T1146" s="7" t="str">
        <f>IF(ISBLANK(patch[[#This Row],[mergeDate]]), "", MID(YEAR(patch[[#This Row],[mergeDate]]), 3,2)&amp;"'ww"&amp;WEEKNUM(patch[[#This Row],[mergeDate]]))</f>
        <v>16'ww39</v>
      </c>
      <c r="U1146" s="7" t="str">
        <f>IF(ISBLANK(patch[[#This Row],[mergeDate]]), U1145, MID(YEAR(patch[[#This Row],[mergeDate]]), 3,2)&amp;"'m"&amp;MONTH(patch[[#This Row],[mergeDate]]))</f>
        <v>16'm9</v>
      </c>
      <c r="V1146" s="7" t="str">
        <f>IF(ISBLANK(patch[[#This Row],[project]]), "",SUM(patch[[#This Row],[BJ -1 num]:[SH -1 num]]))</f>
        <v/>
      </c>
      <c r="W1146" s="7" t="str">
        <f>IF(ISBLANK(patch[[#This Row],[project]]), "",COUNTIFS($A:$A,patch[[#This Row],[number]],$S:$S, "BJ And dev",$AC:$AC, "Review-1"))</f>
        <v/>
      </c>
      <c r="X1146" s="7" t="str">
        <f>IF(ISBLANK(patch[[#This Row],[project]]), "",COUNTIFS($A:$A,patch[[#This Row],[number]],$S:$S, "FL And dev",$AC:$AC, "Review-1"))</f>
        <v/>
      </c>
      <c r="Y1146" s="7" t="str">
        <f>IF(ISBLANK(patch[[#This Row],[project]]), "",COUNTIFS($A:$A,patch[[#This Row],[number]],$S:$S, "SH And dev",$AC:$AC, "Review-1"))</f>
        <v/>
      </c>
      <c r="Z1146" s="7" t="str">
        <f>IF(ISBLANK(patch[[#This Row],[project]]), "",COUNTIFS($A:$A,patch[[#This Row],[number]],$S:$S, "BJ And dev",$AD:$AD, "&lt;&gt;IntegratorValidationComment"))</f>
        <v/>
      </c>
      <c r="AA1146" s="7" t="str">
        <f>IF(ISBLANK(patch[[#This Row],[project]]), "",COUNTIFS($A:$A,patch[[#This Row],[number]],$S:$S, "FL And dev",$AD:$AD, "&lt;&gt;IntegratorValidationComment"))</f>
        <v/>
      </c>
      <c r="AB1146" s="7" t="str">
        <f>IF(ISBLANK(patch[[#This Row],[project]]), "",COUNTIFS($A:$A,patch[[#This Row],[number]],$S:$S, "SH And dev",$AD:$AD, "&lt;&gt;IntegratorValidationComment"))</f>
        <v/>
      </c>
      <c r="AC1146" s="7" t="str">
        <f>IF(OR(ISNUMBER(FIND("Review-1", patch[[#This Row],[comments]])), ISNUMBER(FIND("Approver-1", patch[[#This Row],[comments]]))), "Review-1", "")</f>
        <v/>
      </c>
      <c r="AD11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146" s="7">
        <f>IF(ISBLANK(patch[[#This Row],[number]]),AE1145,patch[[#This Row],[ifCommon]])</f>
        <v>0</v>
      </c>
    </row>
    <row r="1147" spans="1:31">
      <c r="A1147" s="151">
        <v>144258</v>
      </c>
      <c r="B1147" s="151"/>
      <c r="C1147" s="151"/>
      <c r="D1147" s="151"/>
      <c r="E1147" s="151"/>
      <c r="F1147" s="151"/>
      <c r="G1147" s="151"/>
      <c r="H1147" s="151"/>
      <c r="I1147" s="151"/>
      <c r="J1147" s="152">
        <v>42632.753587962958</v>
      </c>
      <c r="K1147" s="151"/>
      <c r="L1147" s="151" t="s">
        <v>32</v>
      </c>
      <c r="M1147" s="152">
        <v>42634.611724537041</v>
      </c>
      <c r="N1147" s="151" t="s">
        <v>3171</v>
      </c>
      <c r="O1147" s="151"/>
      <c r="P1147" s="151"/>
      <c r="Q1147" s="7" t="str">
        <f>IF(ISBLANK(patch[[#This Row],[OwnerEmail]]),Q1146,patch[[#This Row],[OwnerEmail]])</f>
        <v>bin.b.yang@intel.com</v>
      </c>
      <c r="R1147" s="7" t="str">
        <f>_xlfn.IFNA(VLOOKUP(patch[[#This Row],[tmp-owner.email]],OrgTree!$A:$K, 11, 0), "not ICG SWFW")</f>
        <v>BJ And dev</v>
      </c>
      <c r="S1147" s="7" t="str">
        <f>IF(patch[[#This Row],[reviewer]]=patch[[#This Row],[tmp-owner.email]], "author", _xlfn.IFNA(VLOOKUP(patch[[#This Row],[reviewer]],OrgTree!$A:$K, 11, 0), "not ICG SWFW"))</f>
        <v>BJ And dev</v>
      </c>
      <c r="T1147" s="7" t="str">
        <f>IF(ISBLANK(patch[[#This Row],[mergeDate]]), "", MID(YEAR(patch[[#This Row],[mergeDate]]), 3,2)&amp;"'ww"&amp;WEEKNUM(patch[[#This Row],[mergeDate]]))</f>
        <v>16'ww39</v>
      </c>
      <c r="U1147" s="7" t="str">
        <f>IF(ISBLANK(patch[[#This Row],[mergeDate]]), U1146, MID(YEAR(patch[[#This Row],[mergeDate]]), 3,2)&amp;"'m"&amp;MONTH(patch[[#This Row],[mergeDate]]))</f>
        <v>16'm9</v>
      </c>
      <c r="V1147" s="7" t="str">
        <f>IF(ISBLANK(patch[[#This Row],[project]]), "",SUM(patch[[#This Row],[BJ -1 num]:[SH -1 num]]))</f>
        <v/>
      </c>
      <c r="W1147" s="7" t="str">
        <f>IF(ISBLANK(patch[[#This Row],[project]]), "",COUNTIFS($A:$A,patch[[#This Row],[number]],$S:$S, "BJ And dev",$AC:$AC, "Review-1"))</f>
        <v/>
      </c>
      <c r="X1147" s="7" t="str">
        <f>IF(ISBLANK(patch[[#This Row],[project]]), "",COUNTIFS($A:$A,patch[[#This Row],[number]],$S:$S, "FL And dev",$AC:$AC, "Review-1"))</f>
        <v/>
      </c>
      <c r="Y1147" s="7" t="str">
        <f>IF(ISBLANK(patch[[#This Row],[project]]), "",COUNTIFS($A:$A,patch[[#This Row],[number]],$S:$S, "SH And dev",$AC:$AC, "Review-1"))</f>
        <v/>
      </c>
      <c r="Z1147" s="7" t="str">
        <f>IF(ISBLANK(patch[[#This Row],[project]]), "",COUNTIFS($A:$A,patch[[#This Row],[number]],$S:$S, "BJ And dev",$AD:$AD, "&lt;&gt;IntegratorValidationComment"))</f>
        <v/>
      </c>
      <c r="AA1147" s="7" t="str">
        <f>IF(ISBLANK(patch[[#This Row],[project]]), "",COUNTIFS($A:$A,patch[[#This Row],[number]],$S:$S, "FL And dev",$AD:$AD, "&lt;&gt;IntegratorValidationComment"))</f>
        <v/>
      </c>
      <c r="AB1147" s="7" t="str">
        <f>IF(ISBLANK(patch[[#This Row],[project]]), "",COUNTIFS($A:$A,patch[[#This Row],[number]],$S:$S, "SH And dev",$AD:$AD, "&lt;&gt;IntegratorValidationComment"))</f>
        <v/>
      </c>
      <c r="AC1147" s="7" t="str">
        <f>IF(OR(ISNUMBER(FIND("Review-1", patch[[#This Row],[comments]])), ISNUMBER(FIND("Approver-1", patch[[#This Row],[comments]]))), "Review-1", "")</f>
        <v/>
      </c>
      <c r="AD11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47" s="7">
        <f>IF(ISBLANK(patch[[#This Row],[number]]),AE1146,patch[[#This Row],[ifCommon]])</f>
        <v>0</v>
      </c>
    </row>
    <row r="1148" spans="1:31">
      <c r="A1148" s="151">
        <v>145542</v>
      </c>
      <c r="B1148" s="151" t="s">
        <v>2490</v>
      </c>
      <c r="C1148" s="151" t="s">
        <v>2491</v>
      </c>
      <c r="D1148" s="151" t="s">
        <v>3056</v>
      </c>
      <c r="E1148" s="151" t="s">
        <v>72</v>
      </c>
      <c r="F1148" s="151" t="s">
        <v>23</v>
      </c>
      <c r="G1148" s="151" t="s">
        <v>3057</v>
      </c>
      <c r="H1148" s="151" t="s">
        <v>3058</v>
      </c>
      <c r="I1148" s="152">
        <v>42629.415127314824</v>
      </c>
      <c r="J1148" s="152">
        <v>42633.709780092591</v>
      </c>
      <c r="K1148" s="151" t="s">
        <v>2445</v>
      </c>
      <c r="L1148" s="151" t="s">
        <v>72</v>
      </c>
      <c r="M1148" s="152">
        <v>42629.415127314824</v>
      </c>
      <c r="N1148" s="151" t="s">
        <v>25</v>
      </c>
      <c r="O1148" s="151"/>
      <c r="P1148" s="151" t="s">
        <v>2554</v>
      </c>
      <c r="Q1148" s="7" t="str">
        <f>IF(ISBLANK(patch[[#This Row],[OwnerEmail]]),Q1147,patch[[#This Row],[OwnerEmail]])</f>
        <v>bin.b.yang@intel.com</v>
      </c>
      <c r="R1148" s="7" t="str">
        <f>_xlfn.IFNA(VLOOKUP(patch[[#This Row],[tmp-owner.email]],OrgTree!$A:$K, 11, 0), "not ICG SWFW")</f>
        <v>BJ And dev</v>
      </c>
      <c r="S1148" s="7" t="str">
        <f>IF(patch[[#This Row],[reviewer]]=patch[[#This Row],[tmp-owner.email]], "author", _xlfn.IFNA(VLOOKUP(patch[[#This Row],[reviewer]],OrgTree!$A:$K, 11, 0), "not ICG SWFW"))</f>
        <v>author</v>
      </c>
      <c r="T1148" s="7" t="str">
        <f>IF(ISBLANK(patch[[#This Row],[mergeDate]]), "", MID(YEAR(patch[[#This Row],[mergeDate]]), 3,2)&amp;"'ww"&amp;WEEKNUM(patch[[#This Row],[mergeDate]]))</f>
        <v>16'ww39</v>
      </c>
      <c r="U1148" s="7" t="str">
        <f>IF(ISBLANK(patch[[#This Row],[mergeDate]]), U1147, MID(YEAR(patch[[#This Row],[mergeDate]]), 3,2)&amp;"'m"&amp;MONTH(patch[[#This Row],[mergeDate]]))</f>
        <v>16'm9</v>
      </c>
      <c r="V1148" s="7">
        <f>IF(ISBLANK(patch[[#This Row],[project]]), "",SUM(patch[[#This Row],[BJ -1 num]:[SH -1 num]]))</f>
        <v>1</v>
      </c>
      <c r="W1148" s="7">
        <f>IF(ISBLANK(patch[[#This Row],[project]]), "",COUNTIFS($A:$A,patch[[#This Row],[number]],$S:$S, "BJ And dev",$AC:$AC, "Review-1"))</f>
        <v>1</v>
      </c>
      <c r="X1148" s="7">
        <f>IF(ISBLANK(patch[[#This Row],[project]]), "",COUNTIFS($A:$A,patch[[#This Row],[number]],$S:$S, "FL And dev",$AC:$AC, "Review-1"))</f>
        <v>0</v>
      </c>
      <c r="Y1148" s="7">
        <f>IF(ISBLANK(patch[[#This Row],[project]]), "",COUNTIFS($A:$A,patch[[#This Row],[number]],$S:$S, "SH And dev",$AC:$AC, "Review-1"))</f>
        <v>0</v>
      </c>
      <c r="Z1148" s="7">
        <f>IF(ISBLANK(patch[[#This Row],[project]]), "",COUNTIFS($A:$A,patch[[#This Row],[number]],$S:$S, "BJ And dev",$AD:$AD, "&lt;&gt;IntegratorValidationComment"))</f>
        <v>7</v>
      </c>
      <c r="AA1148" s="7">
        <f>IF(ISBLANK(patch[[#This Row],[project]]), "",COUNTIFS($A:$A,patch[[#This Row],[number]],$S:$S, "FL And dev",$AD:$AD, "&lt;&gt;IntegratorValidationComment"))</f>
        <v>0</v>
      </c>
      <c r="AB1148" s="7">
        <f>IF(ISBLANK(patch[[#This Row],[project]]), "",COUNTIFS($A:$A,patch[[#This Row],[number]],$S:$S, "SH And dev",$AD:$AD, "&lt;&gt;IntegratorValidationComment"))</f>
        <v>0</v>
      </c>
      <c r="AC1148" s="7" t="str">
        <f>IF(OR(ISNUMBER(FIND("Review-1", patch[[#This Row],[comments]])), ISNUMBER(FIND("Approver-1", patch[[#This Row],[comments]]))), "Review-1", "")</f>
        <v/>
      </c>
      <c r="AD11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48" s="7" t="str">
        <f>IF(ISBLANK(patch[[#This Row],[number]]),AE1147,patch[[#This Row],[ifCommon]])</f>
        <v>not AndrHAL</v>
      </c>
    </row>
    <row r="1149" spans="1:31">
      <c r="A1149" s="151">
        <v>145542</v>
      </c>
      <c r="B1149" s="151"/>
      <c r="C1149" s="151"/>
      <c r="D1149" s="151"/>
      <c r="E1149" s="151"/>
      <c r="F1149" s="151"/>
      <c r="G1149" s="151"/>
      <c r="H1149" s="151"/>
      <c r="I1149" s="151"/>
      <c r="J1149" s="152">
        <v>42633.709780092591</v>
      </c>
      <c r="K1149" s="151"/>
      <c r="L1149" s="151" t="s">
        <v>72</v>
      </c>
      <c r="M1149" s="152">
        <v>42629.415127314824</v>
      </c>
      <c r="N1149" s="151" t="s">
        <v>2428</v>
      </c>
      <c r="O1149" s="151"/>
      <c r="P1149" s="151"/>
      <c r="Q1149" s="7" t="str">
        <f>IF(ISBLANK(patch[[#This Row],[OwnerEmail]]),Q1148,patch[[#This Row],[OwnerEmail]])</f>
        <v>bin.b.yang@intel.com</v>
      </c>
      <c r="R1149" s="7" t="str">
        <f>_xlfn.IFNA(VLOOKUP(patch[[#This Row],[tmp-owner.email]],OrgTree!$A:$K, 11, 0), "not ICG SWFW")</f>
        <v>BJ And dev</v>
      </c>
      <c r="S1149" s="7" t="str">
        <f>IF(patch[[#This Row],[reviewer]]=patch[[#This Row],[tmp-owner.email]], "author", _xlfn.IFNA(VLOOKUP(patch[[#This Row],[reviewer]],OrgTree!$A:$K, 11, 0), "not ICG SWFW"))</f>
        <v>author</v>
      </c>
      <c r="T1149" s="7" t="str">
        <f>IF(ISBLANK(patch[[#This Row],[mergeDate]]), "", MID(YEAR(patch[[#This Row],[mergeDate]]), 3,2)&amp;"'ww"&amp;WEEKNUM(patch[[#This Row],[mergeDate]]))</f>
        <v>16'ww39</v>
      </c>
      <c r="U1149" s="7" t="str">
        <f>IF(ISBLANK(patch[[#This Row],[mergeDate]]), U1148, MID(YEAR(patch[[#This Row],[mergeDate]]), 3,2)&amp;"'m"&amp;MONTH(patch[[#This Row],[mergeDate]]))</f>
        <v>16'm9</v>
      </c>
      <c r="V1149" s="7" t="str">
        <f>IF(ISBLANK(patch[[#This Row],[project]]), "",SUM(patch[[#This Row],[BJ -1 num]:[SH -1 num]]))</f>
        <v/>
      </c>
      <c r="W1149" s="7" t="str">
        <f>IF(ISBLANK(patch[[#This Row],[project]]), "",COUNTIFS($A:$A,patch[[#This Row],[number]],$S:$S, "BJ And dev",$AC:$AC, "Review-1"))</f>
        <v/>
      </c>
      <c r="X1149" s="7" t="str">
        <f>IF(ISBLANK(patch[[#This Row],[project]]), "",COUNTIFS($A:$A,patch[[#This Row],[number]],$S:$S, "FL And dev",$AC:$AC, "Review-1"))</f>
        <v/>
      </c>
      <c r="Y1149" s="7" t="str">
        <f>IF(ISBLANK(patch[[#This Row],[project]]), "",COUNTIFS($A:$A,patch[[#This Row],[number]],$S:$S, "SH And dev",$AC:$AC, "Review-1"))</f>
        <v/>
      </c>
      <c r="Z1149" s="7" t="str">
        <f>IF(ISBLANK(patch[[#This Row],[project]]), "",COUNTIFS($A:$A,patch[[#This Row],[number]],$S:$S, "BJ And dev",$AD:$AD, "&lt;&gt;IntegratorValidationComment"))</f>
        <v/>
      </c>
      <c r="AA1149" s="7" t="str">
        <f>IF(ISBLANK(patch[[#This Row],[project]]), "",COUNTIFS($A:$A,patch[[#This Row],[number]],$S:$S, "FL And dev",$AD:$AD, "&lt;&gt;IntegratorValidationComment"))</f>
        <v/>
      </c>
      <c r="AB1149" s="7" t="str">
        <f>IF(ISBLANK(patch[[#This Row],[project]]), "",COUNTIFS($A:$A,patch[[#This Row],[number]],$S:$S, "SH And dev",$AD:$AD, "&lt;&gt;IntegratorValidationComment"))</f>
        <v/>
      </c>
      <c r="AC1149" s="7" t="str">
        <f>IF(OR(ISNUMBER(FIND("Review-1", patch[[#This Row],[comments]])), ISNUMBER(FIND("Approver-1", patch[[#This Row],[comments]]))), "Review-1", "")</f>
        <v/>
      </c>
      <c r="AD11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49" s="7">
        <f>IF(ISBLANK(patch[[#This Row],[number]]),AE1148,patch[[#This Row],[ifCommon]])</f>
        <v>0</v>
      </c>
    </row>
    <row r="1150" spans="1:31">
      <c r="A1150" s="151">
        <v>145542</v>
      </c>
      <c r="B1150" s="151"/>
      <c r="C1150" s="151"/>
      <c r="D1150" s="151"/>
      <c r="E1150" s="151"/>
      <c r="F1150" s="151"/>
      <c r="G1150" s="151"/>
      <c r="H1150" s="151"/>
      <c r="I1150" s="151"/>
      <c r="J1150" s="152">
        <v>42633.709780092591</v>
      </c>
      <c r="K1150" s="151"/>
      <c r="L1150" s="151" t="s">
        <v>72</v>
      </c>
      <c r="M1150" s="152">
        <v>42629.416851851849</v>
      </c>
      <c r="N1150" s="151" t="s">
        <v>40</v>
      </c>
      <c r="O1150" s="151"/>
      <c r="P1150" s="151"/>
      <c r="Q1150" s="7" t="str">
        <f>IF(ISBLANK(patch[[#This Row],[OwnerEmail]]),Q1149,patch[[#This Row],[OwnerEmail]])</f>
        <v>bin.b.yang@intel.com</v>
      </c>
      <c r="R1150" s="7" t="str">
        <f>_xlfn.IFNA(VLOOKUP(patch[[#This Row],[tmp-owner.email]],OrgTree!$A:$K, 11, 0), "not ICG SWFW")</f>
        <v>BJ And dev</v>
      </c>
      <c r="S1150" s="7" t="str">
        <f>IF(patch[[#This Row],[reviewer]]=patch[[#This Row],[tmp-owner.email]], "author", _xlfn.IFNA(VLOOKUP(patch[[#This Row],[reviewer]],OrgTree!$A:$K, 11, 0), "not ICG SWFW"))</f>
        <v>author</v>
      </c>
      <c r="T1150" s="7" t="str">
        <f>IF(ISBLANK(patch[[#This Row],[mergeDate]]), "", MID(YEAR(patch[[#This Row],[mergeDate]]), 3,2)&amp;"'ww"&amp;WEEKNUM(patch[[#This Row],[mergeDate]]))</f>
        <v>16'ww39</v>
      </c>
      <c r="U1150" s="7" t="str">
        <f>IF(ISBLANK(patch[[#This Row],[mergeDate]]), U1149, MID(YEAR(patch[[#This Row],[mergeDate]]), 3,2)&amp;"'m"&amp;MONTH(patch[[#This Row],[mergeDate]]))</f>
        <v>16'm9</v>
      </c>
      <c r="V1150" s="7" t="str">
        <f>IF(ISBLANK(patch[[#This Row],[project]]), "",SUM(patch[[#This Row],[BJ -1 num]:[SH -1 num]]))</f>
        <v/>
      </c>
      <c r="W1150" s="7" t="str">
        <f>IF(ISBLANK(patch[[#This Row],[project]]), "",COUNTIFS($A:$A,patch[[#This Row],[number]],$S:$S, "BJ And dev",$AC:$AC, "Review-1"))</f>
        <v/>
      </c>
      <c r="X1150" s="7" t="str">
        <f>IF(ISBLANK(patch[[#This Row],[project]]), "",COUNTIFS($A:$A,patch[[#This Row],[number]],$S:$S, "FL And dev",$AC:$AC, "Review-1"))</f>
        <v/>
      </c>
      <c r="Y1150" s="7" t="str">
        <f>IF(ISBLANK(patch[[#This Row],[project]]), "",COUNTIFS($A:$A,patch[[#This Row],[number]],$S:$S, "SH And dev",$AC:$AC, "Review-1"))</f>
        <v/>
      </c>
      <c r="Z1150" s="7" t="str">
        <f>IF(ISBLANK(patch[[#This Row],[project]]), "",COUNTIFS($A:$A,patch[[#This Row],[number]],$S:$S, "BJ And dev",$AD:$AD, "&lt;&gt;IntegratorValidationComment"))</f>
        <v/>
      </c>
      <c r="AA1150" s="7" t="str">
        <f>IF(ISBLANK(patch[[#This Row],[project]]), "",COUNTIFS($A:$A,patch[[#This Row],[number]],$S:$S, "FL And dev",$AD:$AD, "&lt;&gt;IntegratorValidationComment"))</f>
        <v/>
      </c>
      <c r="AB1150" s="7" t="str">
        <f>IF(ISBLANK(patch[[#This Row],[project]]), "",COUNTIFS($A:$A,patch[[#This Row],[number]],$S:$S, "SH And dev",$AD:$AD, "&lt;&gt;IntegratorValidationComment"))</f>
        <v/>
      </c>
      <c r="AC1150" s="7" t="str">
        <f>IF(OR(ISNUMBER(FIND("Review-1", patch[[#This Row],[comments]])), ISNUMBER(FIND("Approver-1", patch[[#This Row],[comments]]))), "Review-1", "")</f>
        <v/>
      </c>
      <c r="AD11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50" s="7">
        <f>IF(ISBLANK(patch[[#This Row],[number]]),AE1149,patch[[#This Row],[ifCommon]])</f>
        <v>0</v>
      </c>
    </row>
    <row r="1151" spans="1:31">
      <c r="A1151" s="151">
        <v>145542</v>
      </c>
      <c r="B1151" s="151"/>
      <c r="C1151" s="151"/>
      <c r="D1151" s="151"/>
      <c r="E1151" s="151"/>
      <c r="F1151" s="151"/>
      <c r="G1151" s="151"/>
      <c r="H1151" s="151"/>
      <c r="I1151" s="151"/>
      <c r="J1151" s="152">
        <v>42633.709780092591</v>
      </c>
      <c r="K1151" s="151"/>
      <c r="L1151" s="151" t="s">
        <v>59</v>
      </c>
      <c r="M1151" s="152">
        <v>42629.418124999997</v>
      </c>
      <c r="N1151" s="151" t="s">
        <v>3172</v>
      </c>
      <c r="O1151" s="151"/>
      <c r="P1151" s="151"/>
      <c r="Q1151" s="7" t="str">
        <f>IF(ISBLANK(patch[[#This Row],[OwnerEmail]]),Q1150,patch[[#This Row],[OwnerEmail]])</f>
        <v>bin.b.yang@intel.com</v>
      </c>
      <c r="R1151" s="7" t="str">
        <f>_xlfn.IFNA(VLOOKUP(patch[[#This Row],[tmp-owner.email]],OrgTree!$A:$K, 11, 0), "not ICG SWFW")</f>
        <v>BJ And dev</v>
      </c>
      <c r="S1151" s="7" t="str">
        <f>IF(patch[[#This Row],[reviewer]]=patch[[#This Row],[tmp-owner.email]], "author", _xlfn.IFNA(VLOOKUP(patch[[#This Row],[reviewer]],OrgTree!$A:$K, 11, 0), "not ICG SWFW"))</f>
        <v>BJ And dev</v>
      </c>
      <c r="T1151" s="7" t="str">
        <f>IF(ISBLANK(patch[[#This Row],[mergeDate]]), "", MID(YEAR(patch[[#This Row],[mergeDate]]), 3,2)&amp;"'ww"&amp;WEEKNUM(patch[[#This Row],[mergeDate]]))</f>
        <v>16'ww39</v>
      </c>
      <c r="U1151" s="7" t="str">
        <f>IF(ISBLANK(patch[[#This Row],[mergeDate]]), U1150, MID(YEAR(patch[[#This Row],[mergeDate]]), 3,2)&amp;"'m"&amp;MONTH(patch[[#This Row],[mergeDate]]))</f>
        <v>16'm9</v>
      </c>
      <c r="V1151" s="7" t="str">
        <f>IF(ISBLANK(patch[[#This Row],[project]]), "",SUM(patch[[#This Row],[BJ -1 num]:[SH -1 num]]))</f>
        <v/>
      </c>
      <c r="W1151" s="7" t="str">
        <f>IF(ISBLANK(patch[[#This Row],[project]]), "",COUNTIFS($A:$A,patch[[#This Row],[number]],$S:$S, "BJ And dev",$AC:$AC, "Review-1"))</f>
        <v/>
      </c>
      <c r="X1151" s="7" t="str">
        <f>IF(ISBLANK(patch[[#This Row],[project]]), "",COUNTIFS($A:$A,patch[[#This Row],[number]],$S:$S, "FL And dev",$AC:$AC, "Review-1"))</f>
        <v/>
      </c>
      <c r="Y1151" s="7" t="str">
        <f>IF(ISBLANK(patch[[#This Row],[project]]), "",COUNTIFS($A:$A,patch[[#This Row],[number]],$S:$S, "SH And dev",$AC:$AC, "Review-1"))</f>
        <v/>
      </c>
      <c r="Z1151" s="7" t="str">
        <f>IF(ISBLANK(patch[[#This Row],[project]]), "",COUNTIFS($A:$A,patch[[#This Row],[number]],$S:$S, "BJ And dev",$AD:$AD, "&lt;&gt;IntegratorValidationComment"))</f>
        <v/>
      </c>
      <c r="AA1151" s="7" t="str">
        <f>IF(ISBLANK(patch[[#This Row],[project]]), "",COUNTIFS($A:$A,patch[[#This Row],[number]],$S:$S, "FL And dev",$AD:$AD, "&lt;&gt;IntegratorValidationComment"))</f>
        <v/>
      </c>
      <c r="AB1151" s="7" t="str">
        <f>IF(ISBLANK(patch[[#This Row],[project]]), "",COUNTIFS($A:$A,patch[[#This Row],[number]],$S:$S, "SH And dev",$AD:$AD, "&lt;&gt;IntegratorValidationComment"))</f>
        <v/>
      </c>
      <c r="AC1151" s="7" t="str">
        <f>IF(OR(ISNUMBER(FIND("Review-1", patch[[#This Row],[comments]])), ISNUMBER(FIND("Approver-1", patch[[#This Row],[comments]]))), "Review-1", "")</f>
        <v/>
      </c>
      <c r="AD11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51" s="7">
        <f>IF(ISBLANK(patch[[#This Row],[number]]),AE1150,patch[[#This Row],[ifCommon]])</f>
        <v>0</v>
      </c>
    </row>
    <row r="1152" spans="1:31">
      <c r="A1152" s="151">
        <v>145542</v>
      </c>
      <c r="B1152" s="151"/>
      <c r="C1152" s="151"/>
      <c r="D1152" s="151"/>
      <c r="E1152" s="151"/>
      <c r="F1152" s="151"/>
      <c r="G1152" s="151"/>
      <c r="H1152" s="151"/>
      <c r="I1152" s="151"/>
      <c r="J1152" s="152">
        <v>42633.709780092591</v>
      </c>
      <c r="K1152" s="151"/>
      <c r="L1152" s="151" t="s">
        <v>59</v>
      </c>
      <c r="M1152" s="152">
        <v>42629.420787037037</v>
      </c>
      <c r="N1152" s="151" t="s">
        <v>3173</v>
      </c>
      <c r="O1152" s="151"/>
      <c r="P1152" s="151"/>
      <c r="Q1152" s="7" t="str">
        <f>IF(ISBLANK(patch[[#This Row],[OwnerEmail]]),Q1151,patch[[#This Row],[OwnerEmail]])</f>
        <v>bin.b.yang@intel.com</v>
      </c>
      <c r="R1152" s="7" t="str">
        <f>_xlfn.IFNA(VLOOKUP(patch[[#This Row],[tmp-owner.email]],OrgTree!$A:$K, 11, 0), "not ICG SWFW")</f>
        <v>BJ And dev</v>
      </c>
      <c r="S1152" s="7" t="str">
        <f>IF(patch[[#This Row],[reviewer]]=patch[[#This Row],[tmp-owner.email]], "author", _xlfn.IFNA(VLOOKUP(patch[[#This Row],[reviewer]],OrgTree!$A:$K, 11, 0), "not ICG SWFW"))</f>
        <v>BJ And dev</v>
      </c>
      <c r="T1152" s="7" t="str">
        <f>IF(ISBLANK(patch[[#This Row],[mergeDate]]), "", MID(YEAR(patch[[#This Row],[mergeDate]]), 3,2)&amp;"'ww"&amp;WEEKNUM(patch[[#This Row],[mergeDate]]))</f>
        <v>16'ww39</v>
      </c>
      <c r="U1152" s="7" t="str">
        <f>IF(ISBLANK(patch[[#This Row],[mergeDate]]), U1151, MID(YEAR(patch[[#This Row],[mergeDate]]), 3,2)&amp;"'m"&amp;MONTH(patch[[#This Row],[mergeDate]]))</f>
        <v>16'm9</v>
      </c>
      <c r="V1152" s="7" t="str">
        <f>IF(ISBLANK(patch[[#This Row],[project]]), "",SUM(patch[[#This Row],[BJ -1 num]:[SH -1 num]]))</f>
        <v/>
      </c>
      <c r="W1152" s="7" t="str">
        <f>IF(ISBLANK(patch[[#This Row],[project]]), "",COUNTIFS($A:$A,patch[[#This Row],[number]],$S:$S, "BJ And dev",$AC:$AC, "Review-1"))</f>
        <v/>
      </c>
      <c r="X1152" s="7" t="str">
        <f>IF(ISBLANK(patch[[#This Row],[project]]), "",COUNTIFS($A:$A,patch[[#This Row],[number]],$S:$S, "FL And dev",$AC:$AC, "Review-1"))</f>
        <v/>
      </c>
      <c r="Y1152" s="7" t="str">
        <f>IF(ISBLANK(patch[[#This Row],[project]]), "",COUNTIFS($A:$A,patch[[#This Row],[number]],$S:$S, "SH And dev",$AC:$AC, "Review-1"))</f>
        <v/>
      </c>
      <c r="Z1152" s="7" t="str">
        <f>IF(ISBLANK(patch[[#This Row],[project]]), "",COUNTIFS($A:$A,patch[[#This Row],[number]],$S:$S, "BJ And dev",$AD:$AD, "&lt;&gt;IntegratorValidationComment"))</f>
        <v/>
      </c>
      <c r="AA1152" s="7" t="str">
        <f>IF(ISBLANK(patch[[#This Row],[project]]), "",COUNTIFS($A:$A,patch[[#This Row],[number]],$S:$S, "FL And dev",$AD:$AD, "&lt;&gt;IntegratorValidationComment"))</f>
        <v/>
      </c>
      <c r="AB1152" s="7" t="str">
        <f>IF(ISBLANK(patch[[#This Row],[project]]), "",COUNTIFS($A:$A,patch[[#This Row],[number]],$S:$S, "SH And dev",$AD:$AD, "&lt;&gt;IntegratorValidationComment"))</f>
        <v/>
      </c>
      <c r="AC1152" s="7" t="str">
        <f>IF(OR(ISNUMBER(FIND("Review-1", patch[[#This Row],[comments]])), ISNUMBER(FIND("Approver-1", patch[[#This Row],[comments]]))), "Review-1", "")</f>
        <v/>
      </c>
      <c r="AD11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52" s="7">
        <f>IF(ISBLANK(patch[[#This Row],[number]]),AE1151,patch[[#This Row],[ifCommon]])</f>
        <v>0</v>
      </c>
    </row>
    <row r="1153" spans="1:31">
      <c r="A1153" s="151">
        <v>145542</v>
      </c>
      <c r="B1153" s="151"/>
      <c r="C1153" s="151"/>
      <c r="D1153" s="151"/>
      <c r="E1153" s="151"/>
      <c r="F1153" s="151"/>
      <c r="G1153" s="151"/>
      <c r="H1153" s="151"/>
      <c r="I1153" s="151"/>
      <c r="J1153" s="152">
        <v>42633.709780092591</v>
      </c>
      <c r="K1153" s="151"/>
      <c r="L1153" s="151" t="s">
        <v>72</v>
      </c>
      <c r="M1153" s="152">
        <v>42629.421516203707</v>
      </c>
      <c r="N1153" s="151" t="s">
        <v>2429</v>
      </c>
      <c r="O1153" s="151"/>
      <c r="P1153" s="151"/>
      <c r="Q1153" s="7" t="str">
        <f>IF(ISBLANK(patch[[#This Row],[OwnerEmail]]),Q1152,patch[[#This Row],[OwnerEmail]])</f>
        <v>bin.b.yang@intel.com</v>
      </c>
      <c r="R1153" s="7" t="str">
        <f>_xlfn.IFNA(VLOOKUP(patch[[#This Row],[tmp-owner.email]],OrgTree!$A:$K, 11, 0), "not ICG SWFW")</f>
        <v>BJ And dev</v>
      </c>
      <c r="S1153" s="7" t="str">
        <f>IF(patch[[#This Row],[reviewer]]=patch[[#This Row],[tmp-owner.email]], "author", _xlfn.IFNA(VLOOKUP(patch[[#This Row],[reviewer]],OrgTree!$A:$K, 11, 0), "not ICG SWFW"))</f>
        <v>author</v>
      </c>
      <c r="T1153" s="7" t="str">
        <f>IF(ISBLANK(patch[[#This Row],[mergeDate]]), "", MID(YEAR(patch[[#This Row],[mergeDate]]), 3,2)&amp;"'ww"&amp;WEEKNUM(patch[[#This Row],[mergeDate]]))</f>
        <v>16'ww39</v>
      </c>
      <c r="U1153" s="7" t="str">
        <f>IF(ISBLANK(patch[[#This Row],[mergeDate]]), U1152, MID(YEAR(patch[[#This Row],[mergeDate]]), 3,2)&amp;"'m"&amp;MONTH(patch[[#This Row],[mergeDate]]))</f>
        <v>16'm9</v>
      </c>
      <c r="V1153" s="7" t="str">
        <f>IF(ISBLANK(patch[[#This Row],[project]]), "",SUM(patch[[#This Row],[BJ -1 num]:[SH -1 num]]))</f>
        <v/>
      </c>
      <c r="W1153" s="7" t="str">
        <f>IF(ISBLANK(patch[[#This Row],[project]]), "",COUNTIFS($A:$A,patch[[#This Row],[number]],$S:$S, "BJ And dev",$AC:$AC, "Review-1"))</f>
        <v/>
      </c>
      <c r="X1153" s="7" t="str">
        <f>IF(ISBLANK(patch[[#This Row],[project]]), "",COUNTIFS($A:$A,patch[[#This Row],[number]],$S:$S, "FL And dev",$AC:$AC, "Review-1"))</f>
        <v/>
      </c>
      <c r="Y1153" s="7" t="str">
        <f>IF(ISBLANK(patch[[#This Row],[project]]), "",COUNTIFS($A:$A,patch[[#This Row],[number]],$S:$S, "SH And dev",$AC:$AC, "Review-1"))</f>
        <v/>
      </c>
      <c r="Z1153" s="7" t="str">
        <f>IF(ISBLANK(patch[[#This Row],[project]]), "",COUNTIFS($A:$A,patch[[#This Row],[number]],$S:$S, "BJ And dev",$AD:$AD, "&lt;&gt;IntegratorValidationComment"))</f>
        <v/>
      </c>
      <c r="AA1153" s="7" t="str">
        <f>IF(ISBLANK(patch[[#This Row],[project]]), "",COUNTIFS($A:$A,patch[[#This Row],[number]],$S:$S, "FL And dev",$AD:$AD, "&lt;&gt;IntegratorValidationComment"))</f>
        <v/>
      </c>
      <c r="AB1153" s="7" t="str">
        <f>IF(ISBLANK(patch[[#This Row],[project]]), "",COUNTIFS($A:$A,patch[[#This Row],[number]],$S:$S, "SH And dev",$AD:$AD, "&lt;&gt;IntegratorValidationComment"))</f>
        <v/>
      </c>
      <c r="AC1153" s="7" t="str">
        <f>IF(OR(ISNUMBER(FIND("Review-1", patch[[#This Row],[comments]])), ISNUMBER(FIND("Approver-1", patch[[#This Row],[comments]]))), "Review-1", "")</f>
        <v/>
      </c>
      <c r="AD11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53" s="7">
        <f>IF(ISBLANK(patch[[#This Row],[number]]),AE1152,patch[[#This Row],[ifCommon]])</f>
        <v>0</v>
      </c>
    </row>
    <row r="1154" spans="1:31">
      <c r="A1154" s="151">
        <v>145542</v>
      </c>
      <c r="B1154" s="151"/>
      <c r="C1154" s="151"/>
      <c r="D1154" s="151"/>
      <c r="E1154" s="151"/>
      <c r="F1154" s="151"/>
      <c r="G1154" s="151"/>
      <c r="H1154" s="151"/>
      <c r="I1154" s="151"/>
      <c r="J1154" s="152">
        <v>42633.709780092591</v>
      </c>
      <c r="K1154" s="151"/>
      <c r="L1154" s="151" t="s">
        <v>72</v>
      </c>
      <c r="M1154" s="152">
        <v>42629.421516203707</v>
      </c>
      <c r="N1154" s="151" t="s">
        <v>29</v>
      </c>
      <c r="O1154" s="151"/>
      <c r="P1154" s="151"/>
      <c r="Q1154" s="7" t="str">
        <f>IF(ISBLANK(patch[[#This Row],[OwnerEmail]]),Q1153,patch[[#This Row],[OwnerEmail]])</f>
        <v>bin.b.yang@intel.com</v>
      </c>
      <c r="R1154" s="7" t="str">
        <f>_xlfn.IFNA(VLOOKUP(patch[[#This Row],[tmp-owner.email]],OrgTree!$A:$K, 11, 0), "not ICG SWFW")</f>
        <v>BJ And dev</v>
      </c>
      <c r="S1154" s="7" t="str">
        <f>IF(patch[[#This Row],[reviewer]]=patch[[#This Row],[tmp-owner.email]], "author", _xlfn.IFNA(VLOOKUP(patch[[#This Row],[reviewer]],OrgTree!$A:$K, 11, 0), "not ICG SWFW"))</f>
        <v>author</v>
      </c>
      <c r="T1154" s="7" t="str">
        <f>IF(ISBLANK(patch[[#This Row],[mergeDate]]), "", MID(YEAR(patch[[#This Row],[mergeDate]]), 3,2)&amp;"'ww"&amp;WEEKNUM(patch[[#This Row],[mergeDate]]))</f>
        <v>16'ww39</v>
      </c>
      <c r="U1154" s="7" t="str">
        <f>IF(ISBLANK(patch[[#This Row],[mergeDate]]), U1153, MID(YEAR(patch[[#This Row],[mergeDate]]), 3,2)&amp;"'m"&amp;MONTH(patch[[#This Row],[mergeDate]]))</f>
        <v>16'm9</v>
      </c>
      <c r="V1154" s="7" t="str">
        <f>IF(ISBLANK(patch[[#This Row],[project]]), "",SUM(patch[[#This Row],[BJ -1 num]:[SH -1 num]]))</f>
        <v/>
      </c>
      <c r="W1154" s="7" t="str">
        <f>IF(ISBLANK(patch[[#This Row],[project]]), "",COUNTIFS($A:$A,patch[[#This Row],[number]],$S:$S, "BJ And dev",$AC:$AC, "Review-1"))</f>
        <v/>
      </c>
      <c r="X1154" s="7" t="str">
        <f>IF(ISBLANK(patch[[#This Row],[project]]), "",COUNTIFS($A:$A,patch[[#This Row],[number]],$S:$S, "FL And dev",$AC:$AC, "Review-1"))</f>
        <v/>
      </c>
      <c r="Y1154" s="7" t="str">
        <f>IF(ISBLANK(patch[[#This Row],[project]]), "",COUNTIFS($A:$A,patch[[#This Row],[number]],$S:$S, "SH And dev",$AC:$AC, "Review-1"))</f>
        <v/>
      </c>
      <c r="Z1154" s="7" t="str">
        <f>IF(ISBLANK(patch[[#This Row],[project]]), "",COUNTIFS($A:$A,patch[[#This Row],[number]],$S:$S, "BJ And dev",$AD:$AD, "&lt;&gt;IntegratorValidationComment"))</f>
        <v/>
      </c>
      <c r="AA1154" s="7" t="str">
        <f>IF(ISBLANK(patch[[#This Row],[project]]), "",COUNTIFS($A:$A,patch[[#This Row],[number]],$S:$S, "FL And dev",$AD:$AD, "&lt;&gt;IntegratorValidationComment"))</f>
        <v/>
      </c>
      <c r="AB1154" s="7" t="str">
        <f>IF(ISBLANK(patch[[#This Row],[project]]), "",COUNTIFS($A:$A,patch[[#This Row],[number]],$S:$S, "SH And dev",$AD:$AD, "&lt;&gt;IntegratorValidationComment"))</f>
        <v/>
      </c>
      <c r="AC1154" s="7" t="str">
        <f>IF(OR(ISNUMBER(FIND("Review-1", patch[[#This Row],[comments]])), ISNUMBER(FIND("Approver-1", patch[[#This Row],[comments]]))), "Review-1", "")</f>
        <v/>
      </c>
      <c r="AD11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54" s="7">
        <f>IF(ISBLANK(patch[[#This Row],[number]]),AE1153,patch[[#This Row],[ifCommon]])</f>
        <v>0</v>
      </c>
    </row>
    <row r="1155" spans="1:31">
      <c r="A1155" s="151">
        <v>145542</v>
      </c>
      <c r="B1155" s="151"/>
      <c r="C1155" s="151"/>
      <c r="D1155" s="151"/>
      <c r="E1155" s="151"/>
      <c r="F1155" s="151"/>
      <c r="G1155" s="151"/>
      <c r="H1155" s="151"/>
      <c r="I1155" s="151"/>
      <c r="J1155" s="152">
        <v>42633.709780092591</v>
      </c>
      <c r="K1155" s="151"/>
      <c r="L1155" s="151" t="s">
        <v>72</v>
      </c>
      <c r="M1155" s="152">
        <v>42629.423229166663</v>
      </c>
      <c r="N1155" s="151" t="s">
        <v>27</v>
      </c>
      <c r="O1155" s="151"/>
      <c r="P1155" s="151"/>
      <c r="Q1155" s="7" t="str">
        <f>IF(ISBLANK(patch[[#This Row],[OwnerEmail]]),Q1154,patch[[#This Row],[OwnerEmail]])</f>
        <v>bin.b.yang@intel.com</v>
      </c>
      <c r="R1155" s="7" t="str">
        <f>_xlfn.IFNA(VLOOKUP(patch[[#This Row],[tmp-owner.email]],OrgTree!$A:$K, 11, 0), "not ICG SWFW")</f>
        <v>BJ And dev</v>
      </c>
      <c r="S1155" s="7" t="str">
        <f>IF(patch[[#This Row],[reviewer]]=patch[[#This Row],[tmp-owner.email]], "author", _xlfn.IFNA(VLOOKUP(patch[[#This Row],[reviewer]],OrgTree!$A:$K, 11, 0), "not ICG SWFW"))</f>
        <v>author</v>
      </c>
      <c r="T1155" s="7" t="str">
        <f>IF(ISBLANK(patch[[#This Row],[mergeDate]]), "", MID(YEAR(patch[[#This Row],[mergeDate]]), 3,2)&amp;"'ww"&amp;WEEKNUM(patch[[#This Row],[mergeDate]]))</f>
        <v>16'ww39</v>
      </c>
      <c r="U1155" s="7" t="str">
        <f>IF(ISBLANK(patch[[#This Row],[mergeDate]]), U1154, MID(YEAR(patch[[#This Row],[mergeDate]]), 3,2)&amp;"'m"&amp;MONTH(patch[[#This Row],[mergeDate]]))</f>
        <v>16'm9</v>
      </c>
      <c r="V1155" s="7" t="str">
        <f>IF(ISBLANK(patch[[#This Row],[project]]), "",SUM(patch[[#This Row],[BJ -1 num]:[SH -1 num]]))</f>
        <v/>
      </c>
      <c r="W1155" s="7" t="str">
        <f>IF(ISBLANK(patch[[#This Row],[project]]), "",COUNTIFS($A:$A,patch[[#This Row],[number]],$S:$S, "BJ And dev",$AC:$AC, "Review-1"))</f>
        <v/>
      </c>
      <c r="X1155" s="7" t="str">
        <f>IF(ISBLANK(patch[[#This Row],[project]]), "",COUNTIFS($A:$A,patch[[#This Row],[number]],$S:$S, "FL And dev",$AC:$AC, "Review-1"))</f>
        <v/>
      </c>
      <c r="Y1155" s="7" t="str">
        <f>IF(ISBLANK(patch[[#This Row],[project]]), "",COUNTIFS($A:$A,patch[[#This Row],[number]],$S:$S, "SH And dev",$AC:$AC, "Review-1"))</f>
        <v/>
      </c>
      <c r="Z1155" s="7" t="str">
        <f>IF(ISBLANK(patch[[#This Row],[project]]), "",COUNTIFS($A:$A,patch[[#This Row],[number]],$S:$S, "BJ And dev",$AD:$AD, "&lt;&gt;IntegratorValidationComment"))</f>
        <v/>
      </c>
      <c r="AA1155" s="7" t="str">
        <f>IF(ISBLANK(patch[[#This Row],[project]]), "",COUNTIFS($A:$A,patch[[#This Row],[number]],$S:$S, "FL And dev",$AD:$AD, "&lt;&gt;IntegratorValidationComment"))</f>
        <v/>
      </c>
      <c r="AB1155" s="7" t="str">
        <f>IF(ISBLANK(patch[[#This Row],[project]]), "",COUNTIFS($A:$A,patch[[#This Row],[number]],$S:$S, "SH And dev",$AD:$AD, "&lt;&gt;IntegratorValidationComment"))</f>
        <v/>
      </c>
      <c r="AC1155" s="7" t="str">
        <f>IF(OR(ISNUMBER(FIND("Review-1", patch[[#This Row],[comments]])), ISNUMBER(FIND("Approver-1", patch[[#This Row],[comments]]))), "Review-1", "")</f>
        <v/>
      </c>
      <c r="AD11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55" s="7">
        <f>IF(ISBLANK(patch[[#This Row],[number]]),AE1154,patch[[#This Row],[ifCommon]])</f>
        <v>0</v>
      </c>
    </row>
    <row r="1156" spans="1:31">
      <c r="A1156" s="151">
        <v>145542</v>
      </c>
      <c r="B1156" s="151"/>
      <c r="C1156" s="151"/>
      <c r="D1156" s="151"/>
      <c r="E1156" s="151"/>
      <c r="F1156" s="151"/>
      <c r="G1156" s="151"/>
      <c r="H1156" s="151"/>
      <c r="I1156" s="151"/>
      <c r="J1156" s="152">
        <v>42633.709780092591</v>
      </c>
      <c r="K1156" s="151"/>
      <c r="L1156" s="151" t="s">
        <v>59</v>
      </c>
      <c r="M1156" s="152">
        <v>42629.42496527778</v>
      </c>
      <c r="N1156" s="151" t="s">
        <v>3174</v>
      </c>
      <c r="O1156" s="151"/>
      <c r="P1156" s="151"/>
      <c r="Q1156" s="7" t="str">
        <f>IF(ISBLANK(patch[[#This Row],[OwnerEmail]]),Q1155,patch[[#This Row],[OwnerEmail]])</f>
        <v>bin.b.yang@intel.com</v>
      </c>
      <c r="R1156" s="7" t="str">
        <f>_xlfn.IFNA(VLOOKUP(patch[[#This Row],[tmp-owner.email]],OrgTree!$A:$K, 11, 0), "not ICG SWFW")</f>
        <v>BJ And dev</v>
      </c>
      <c r="S1156" s="7" t="str">
        <f>IF(patch[[#This Row],[reviewer]]=patch[[#This Row],[tmp-owner.email]], "author", _xlfn.IFNA(VLOOKUP(patch[[#This Row],[reviewer]],OrgTree!$A:$K, 11, 0), "not ICG SWFW"))</f>
        <v>BJ And dev</v>
      </c>
      <c r="T1156" s="7" t="str">
        <f>IF(ISBLANK(patch[[#This Row],[mergeDate]]), "", MID(YEAR(patch[[#This Row],[mergeDate]]), 3,2)&amp;"'ww"&amp;WEEKNUM(patch[[#This Row],[mergeDate]]))</f>
        <v>16'ww39</v>
      </c>
      <c r="U1156" s="7" t="str">
        <f>IF(ISBLANK(patch[[#This Row],[mergeDate]]), U1155, MID(YEAR(patch[[#This Row],[mergeDate]]), 3,2)&amp;"'m"&amp;MONTH(patch[[#This Row],[mergeDate]]))</f>
        <v>16'm9</v>
      </c>
      <c r="V1156" s="7" t="str">
        <f>IF(ISBLANK(patch[[#This Row],[project]]), "",SUM(patch[[#This Row],[BJ -1 num]:[SH -1 num]]))</f>
        <v/>
      </c>
      <c r="W1156" s="7" t="str">
        <f>IF(ISBLANK(patch[[#This Row],[project]]), "",COUNTIFS($A:$A,patch[[#This Row],[number]],$S:$S, "BJ And dev",$AC:$AC, "Review-1"))</f>
        <v/>
      </c>
      <c r="X1156" s="7" t="str">
        <f>IF(ISBLANK(patch[[#This Row],[project]]), "",COUNTIFS($A:$A,patch[[#This Row],[number]],$S:$S, "FL And dev",$AC:$AC, "Review-1"))</f>
        <v/>
      </c>
      <c r="Y1156" s="7" t="str">
        <f>IF(ISBLANK(patch[[#This Row],[project]]), "",COUNTIFS($A:$A,patch[[#This Row],[number]],$S:$S, "SH And dev",$AC:$AC, "Review-1"))</f>
        <v/>
      </c>
      <c r="Z1156" s="7" t="str">
        <f>IF(ISBLANK(patch[[#This Row],[project]]), "",COUNTIFS($A:$A,patch[[#This Row],[number]],$S:$S, "BJ And dev",$AD:$AD, "&lt;&gt;IntegratorValidationComment"))</f>
        <v/>
      </c>
      <c r="AA1156" s="7" t="str">
        <f>IF(ISBLANK(patch[[#This Row],[project]]), "",COUNTIFS($A:$A,patch[[#This Row],[number]],$S:$S, "FL And dev",$AD:$AD, "&lt;&gt;IntegratorValidationComment"))</f>
        <v/>
      </c>
      <c r="AB1156" s="7" t="str">
        <f>IF(ISBLANK(patch[[#This Row],[project]]), "",COUNTIFS($A:$A,patch[[#This Row],[number]],$S:$S, "SH And dev",$AD:$AD, "&lt;&gt;IntegratorValidationComment"))</f>
        <v/>
      </c>
      <c r="AC1156" s="7" t="str">
        <f>IF(OR(ISNUMBER(FIND("Review-1", patch[[#This Row],[comments]])), ISNUMBER(FIND("Approver-1", patch[[#This Row],[comments]]))), "Review-1", "")</f>
        <v/>
      </c>
      <c r="AD11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56" s="7">
        <f>IF(ISBLANK(patch[[#This Row],[number]]),AE1155,patch[[#This Row],[ifCommon]])</f>
        <v>0</v>
      </c>
    </row>
    <row r="1157" spans="1:31">
      <c r="A1157" s="151">
        <v>145542</v>
      </c>
      <c r="B1157" s="151"/>
      <c r="C1157" s="151"/>
      <c r="D1157" s="151"/>
      <c r="E1157" s="151"/>
      <c r="F1157" s="151"/>
      <c r="G1157" s="151"/>
      <c r="H1157" s="151"/>
      <c r="I1157" s="151"/>
      <c r="J1157" s="152">
        <v>42633.709780092591</v>
      </c>
      <c r="K1157" s="151"/>
      <c r="L1157" s="151" t="s">
        <v>59</v>
      </c>
      <c r="M1157" s="152">
        <v>42629.427615740737</v>
      </c>
      <c r="N1157" s="151" t="s">
        <v>3175</v>
      </c>
      <c r="O1157" s="151"/>
      <c r="P1157" s="151"/>
      <c r="Q1157" s="7" t="str">
        <f>IF(ISBLANK(patch[[#This Row],[OwnerEmail]]),Q1156,patch[[#This Row],[OwnerEmail]])</f>
        <v>bin.b.yang@intel.com</v>
      </c>
      <c r="R1157" s="7" t="str">
        <f>_xlfn.IFNA(VLOOKUP(patch[[#This Row],[tmp-owner.email]],OrgTree!$A:$K, 11, 0), "not ICG SWFW")</f>
        <v>BJ And dev</v>
      </c>
      <c r="S1157" s="7" t="str">
        <f>IF(patch[[#This Row],[reviewer]]=patch[[#This Row],[tmp-owner.email]], "author", _xlfn.IFNA(VLOOKUP(patch[[#This Row],[reviewer]],OrgTree!$A:$K, 11, 0), "not ICG SWFW"))</f>
        <v>BJ And dev</v>
      </c>
      <c r="T1157" s="7" t="str">
        <f>IF(ISBLANK(patch[[#This Row],[mergeDate]]), "", MID(YEAR(patch[[#This Row],[mergeDate]]), 3,2)&amp;"'ww"&amp;WEEKNUM(patch[[#This Row],[mergeDate]]))</f>
        <v>16'ww39</v>
      </c>
      <c r="U1157" s="7" t="str">
        <f>IF(ISBLANK(patch[[#This Row],[mergeDate]]), U1156, MID(YEAR(patch[[#This Row],[mergeDate]]), 3,2)&amp;"'m"&amp;MONTH(patch[[#This Row],[mergeDate]]))</f>
        <v>16'm9</v>
      </c>
      <c r="V1157" s="7" t="str">
        <f>IF(ISBLANK(patch[[#This Row],[project]]), "",SUM(patch[[#This Row],[BJ -1 num]:[SH -1 num]]))</f>
        <v/>
      </c>
      <c r="W1157" s="7" t="str">
        <f>IF(ISBLANK(patch[[#This Row],[project]]), "",COUNTIFS($A:$A,patch[[#This Row],[number]],$S:$S, "BJ And dev",$AC:$AC, "Review-1"))</f>
        <v/>
      </c>
      <c r="X1157" s="7" t="str">
        <f>IF(ISBLANK(patch[[#This Row],[project]]), "",COUNTIFS($A:$A,patch[[#This Row],[number]],$S:$S, "FL And dev",$AC:$AC, "Review-1"))</f>
        <v/>
      </c>
      <c r="Y1157" s="7" t="str">
        <f>IF(ISBLANK(patch[[#This Row],[project]]), "",COUNTIFS($A:$A,patch[[#This Row],[number]],$S:$S, "SH And dev",$AC:$AC, "Review-1"))</f>
        <v/>
      </c>
      <c r="Z1157" s="7" t="str">
        <f>IF(ISBLANK(patch[[#This Row],[project]]), "",COUNTIFS($A:$A,patch[[#This Row],[number]],$S:$S, "BJ And dev",$AD:$AD, "&lt;&gt;IntegratorValidationComment"))</f>
        <v/>
      </c>
      <c r="AA1157" s="7" t="str">
        <f>IF(ISBLANK(patch[[#This Row],[project]]), "",COUNTIFS($A:$A,patch[[#This Row],[number]],$S:$S, "FL And dev",$AD:$AD, "&lt;&gt;IntegratorValidationComment"))</f>
        <v/>
      </c>
      <c r="AB1157" s="7" t="str">
        <f>IF(ISBLANK(patch[[#This Row],[project]]), "",COUNTIFS($A:$A,patch[[#This Row],[number]],$S:$S, "SH And dev",$AD:$AD, "&lt;&gt;IntegratorValidationComment"))</f>
        <v/>
      </c>
      <c r="AC1157" s="7" t="str">
        <f>IF(OR(ISNUMBER(FIND("Review-1", patch[[#This Row],[comments]])), ISNUMBER(FIND("Approver-1", patch[[#This Row],[comments]]))), "Review-1", "")</f>
        <v/>
      </c>
      <c r="AD11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57" s="7">
        <f>IF(ISBLANK(patch[[#This Row],[number]]),AE1156,patch[[#This Row],[ifCommon]])</f>
        <v>0</v>
      </c>
    </row>
    <row r="1158" spans="1:31">
      <c r="A1158" s="151">
        <v>145542</v>
      </c>
      <c r="B1158" s="151"/>
      <c r="C1158" s="151"/>
      <c r="D1158" s="151"/>
      <c r="E1158" s="151"/>
      <c r="F1158" s="151"/>
      <c r="G1158" s="151"/>
      <c r="H1158" s="151"/>
      <c r="I1158" s="151"/>
      <c r="J1158" s="152">
        <v>42633.709780092591</v>
      </c>
      <c r="K1158" s="151"/>
      <c r="L1158" s="151" t="s">
        <v>32</v>
      </c>
      <c r="M1158" s="152">
        <v>42630.583182870367</v>
      </c>
      <c r="N1158" s="151" t="s">
        <v>2500</v>
      </c>
      <c r="O1158" s="151" t="s">
        <v>3176</v>
      </c>
      <c r="P1158" s="151"/>
      <c r="Q1158" s="7" t="str">
        <f>IF(ISBLANK(patch[[#This Row],[OwnerEmail]]),Q1157,patch[[#This Row],[OwnerEmail]])</f>
        <v>bin.b.yang@intel.com</v>
      </c>
      <c r="R1158" s="7" t="str">
        <f>_xlfn.IFNA(VLOOKUP(patch[[#This Row],[tmp-owner.email]],OrgTree!$A:$K, 11, 0), "not ICG SWFW")</f>
        <v>BJ And dev</v>
      </c>
      <c r="S1158" s="7" t="str">
        <f>IF(patch[[#This Row],[reviewer]]=patch[[#This Row],[tmp-owner.email]], "author", _xlfn.IFNA(VLOOKUP(patch[[#This Row],[reviewer]],OrgTree!$A:$K, 11, 0), "not ICG SWFW"))</f>
        <v>BJ And dev</v>
      </c>
      <c r="T1158" s="7" t="str">
        <f>IF(ISBLANK(patch[[#This Row],[mergeDate]]), "", MID(YEAR(patch[[#This Row],[mergeDate]]), 3,2)&amp;"'ww"&amp;WEEKNUM(patch[[#This Row],[mergeDate]]))</f>
        <v>16'ww39</v>
      </c>
      <c r="U1158" s="7" t="str">
        <f>IF(ISBLANK(patch[[#This Row],[mergeDate]]), U1157, MID(YEAR(patch[[#This Row],[mergeDate]]), 3,2)&amp;"'m"&amp;MONTH(patch[[#This Row],[mergeDate]]))</f>
        <v>16'm9</v>
      </c>
      <c r="V1158" s="7" t="str">
        <f>IF(ISBLANK(patch[[#This Row],[project]]), "",SUM(patch[[#This Row],[BJ -1 num]:[SH -1 num]]))</f>
        <v/>
      </c>
      <c r="W1158" s="7" t="str">
        <f>IF(ISBLANK(patch[[#This Row],[project]]), "",COUNTIFS($A:$A,patch[[#This Row],[number]],$S:$S, "BJ And dev",$AC:$AC, "Review-1"))</f>
        <v/>
      </c>
      <c r="X1158" s="7" t="str">
        <f>IF(ISBLANK(patch[[#This Row],[project]]), "",COUNTIFS($A:$A,patch[[#This Row],[number]],$S:$S, "FL And dev",$AC:$AC, "Review-1"))</f>
        <v/>
      </c>
      <c r="Y1158" s="7" t="str">
        <f>IF(ISBLANK(patch[[#This Row],[project]]), "",COUNTIFS($A:$A,patch[[#This Row],[number]],$S:$S, "SH And dev",$AC:$AC, "Review-1"))</f>
        <v/>
      </c>
      <c r="Z1158" s="7" t="str">
        <f>IF(ISBLANK(patch[[#This Row],[project]]), "",COUNTIFS($A:$A,patch[[#This Row],[number]],$S:$S, "BJ And dev",$AD:$AD, "&lt;&gt;IntegratorValidationComment"))</f>
        <v/>
      </c>
      <c r="AA1158" s="7" t="str">
        <f>IF(ISBLANK(patch[[#This Row],[project]]), "",COUNTIFS($A:$A,patch[[#This Row],[number]],$S:$S, "FL And dev",$AD:$AD, "&lt;&gt;IntegratorValidationComment"))</f>
        <v/>
      </c>
      <c r="AB1158" s="7" t="str">
        <f>IF(ISBLANK(patch[[#This Row],[project]]), "",COUNTIFS($A:$A,patch[[#This Row],[number]],$S:$S, "SH And dev",$AD:$AD, "&lt;&gt;IntegratorValidationComment"))</f>
        <v/>
      </c>
      <c r="AC1158" s="7" t="str">
        <f>IF(OR(ISNUMBER(FIND("Review-1", patch[[#This Row],[comments]])), ISNUMBER(FIND("Approver-1", patch[[#This Row],[comments]]))), "Review-1", "")</f>
        <v>Review-1</v>
      </c>
      <c r="AD11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58" s="7">
        <f>IF(ISBLANK(patch[[#This Row],[number]]),AE1157,patch[[#This Row],[ifCommon]])</f>
        <v>0</v>
      </c>
    </row>
    <row r="1159" spans="1:31">
      <c r="A1159" s="151">
        <v>145542</v>
      </c>
      <c r="B1159" s="151"/>
      <c r="C1159" s="151"/>
      <c r="D1159" s="151"/>
      <c r="E1159" s="151"/>
      <c r="F1159" s="151"/>
      <c r="G1159" s="151"/>
      <c r="H1159" s="151"/>
      <c r="I1159" s="151"/>
      <c r="J1159" s="152">
        <v>42633.709780092591</v>
      </c>
      <c r="K1159" s="151"/>
      <c r="L1159" s="151" t="s">
        <v>72</v>
      </c>
      <c r="M1159" s="152">
        <v>42631.545578703714</v>
      </c>
      <c r="N1159" s="151" t="s">
        <v>2480</v>
      </c>
      <c r="O1159" s="151" t="s">
        <v>3177</v>
      </c>
      <c r="P1159" s="151"/>
      <c r="Q1159" s="7" t="str">
        <f>IF(ISBLANK(patch[[#This Row],[OwnerEmail]]),Q1158,patch[[#This Row],[OwnerEmail]])</f>
        <v>bin.b.yang@intel.com</v>
      </c>
      <c r="R1159" s="7" t="str">
        <f>_xlfn.IFNA(VLOOKUP(patch[[#This Row],[tmp-owner.email]],OrgTree!$A:$K, 11, 0), "not ICG SWFW")</f>
        <v>BJ And dev</v>
      </c>
      <c r="S1159" s="7" t="str">
        <f>IF(patch[[#This Row],[reviewer]]=patch[[#This Row],[tmp-owner.email]], "author", _xlfn.IFNA(VLOOKUP(patch[[#This Row],[reviewer]],OrgTree!$A:$K, 11, 0), "not ICG SWFW"))</f>
        <v>author</v>
      </c>
      <c r="T1159" s="7" t="str">
        <f>IF(ISBLANK(patch[[#This Row],[mergeDate]]), "", MID(YEAR(patch[[#This Row],[mergeDate]]), 3,2)&amp;"'ww"&amp;WEEKNUM(patch[[#This Row],[mergeDate]]))</f>
        <v>16'ww39</v>
      </c>
      <c r="U1159" s="7" t="str">
        <f>IF(ISBLANK(patch[[#This Row],[mergeDate]]), U1158, MID(YEAR(patch[[#This Row],[mergeDate]]), 3,2)&amp;"'m"&amp;MONTH(patch[[#This Row],[mergeDate]]))</f>
        <v>16'm9</v>
      </c>
      <c r="V1159" s="7" t="str">
        <f>IF(ISBLANK(patch[[#This Row],[project]]), "",SUM(patch[[#This Row],[BJ -1 num]:[SH -1 num]]))</f>
        <v/>
      </c>
      <c r="W1159" s="7" t="str">
        <f>IF(ISBLANK(patch[[#This Row],[project]]), "",COUNTIFS($A:$A,patch[[#This Row],[number]],$S:$S, "BJ And dev",$AC:$AC, "Review-1"))</f>
        <v/>
      </c>
      <c r="X1159" s="7" t="str">
        <f>IF(ISBLANK(patch[[#This Row],[project]]), "",COUNTIFS($A:$A,patch[[#This Row],[number]],$S:$S, "FL And dev",$AC:$AC, "Review-1"))</f>
        <v/>
      </c>
      <c r="Y1159" s="7" t="str">
        <f>IF(ISBLANK(patch[[#This Row],[project]]), "",COUNTIFS($A:$A,patch[[#This Row],[number]],$S:$S, "SH And dev",$AC:$AC, "Review-1"))</f>
        <v/>
      </c>
      <c r="Z1159" s="7" t="str">
        <f>IF(ISBLANK(patch[[#This Row],[project]]), "",COUNTIFS($A:$A,patch[[#This Row],[number]],$S:$S, "BJ And dev",$AD:$AD, "&lt;&gt;IntegratorValidationComment"))</f>
        <v/>
      </c>
      <c r="AA1159" s="7" t="str">
        <f>IF(ISBLANK(patch[[#This Row],[project]]), "",COUNTIFS($A:$A,patch[[#This Row],[number]],$S:$S, "FL And dev",$AD:$AD, "&lt;&gt;IntegratorValidationComment"))</f>
        <v/>
      </c>
      <c r="AB1159" s="7" t="str">
        <f>IF(ISBLANK(patch[[#This Row],[project]]), "",COUNTIFS($A:$A,patch[[#This Row],[number]],$S:$S, "SH And dev",$AD:$AD, "&lt;&gt;IntegratorValidationComment"))</f>
        <v/>
      </c>
      <c r="AC1159" s="7" t="str">
        <f>IF(OR(ISNUMBER(FIND("Review-1", patch[[#This Row],[comments]])), ISNUMBER(FIND("Approver-1", patch[[#This Row],[comments]]))), "Review-1", "")</f>
        <v/>
      </c>
      <c r="AD11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59" s="7">
        <f>IF(ISBLANK(patch[[#This Row],[number]]),AE1158,patch[[#This Row],[ifCommon]])</f>
        <v>0</v>
      </c>
    </row>
    <row r="1160" spans="1:31">
      <c r="A1160" s="151">
        <v>145542</v>
      </c>
      <c r="B1160" s="151"/>
      <c r="C1160" s="151"/>
      <c r="D1160" s="151"/>
      <c r="E1160" s="151"/>
      <c r="F1160" s="151"/>
      <c r="G1160" s="151"/>
      <c r="H1160" s="151"/>
      <c r="I1160" s="151"/>
      <c r="J1160" s="152">
        <v>42633.709780092591</v>
      </c>
      <c r="K1160" s="151"/>
      <c r="L1160" s="151" t="s">
        <v>59</v>
      </c>
      <c r="M1160" s="152">
        <v>42631.631550925929</v>
      </c>
      <c r="N1160" s="151" t="s">
        <v>2535</v>
      </c>
      <c r="O1160" s="151" t="s">
        <v>3178</v>
      </c>
      <c r="P1160" s="151"/>
      <c r="Q1160" s="7" t="str">
        <f>IF(ISBLANK(patch[[#This Row],[OwnerEmail]]),Q1159,patch[[#This Row],[OwnerEmail]])</f>
        <v>bin.b.yang@intel.com</v>
      </c>
      <c r="R1160" s="7" t="str">
        <f>_xlfn.IFNA(VLOOKUP(patch[[#This Row],[tmp-owner.email]],OrgTree!$A:$K, 11, 0), "not ICG SWFW")</f>
        <v>BJ And dev</v>
      </c>
      <c r="S1160" s="7" t="str">
        <f>IF(patch[[#This Row],[reviewer]]=patch[[#This Row],[tmp-owner.email]], "author", _xlfn.IFNA(VLOOKUP(patch[[#This Row],[reviewer]],OrgTree!$A:$K, 11, 0), "not ICG SWFW"))</f>
        <v>BJ And dev</v>
      </c>
      <c r="T1160" s="7" t="str">
        <f>IF(ISBLANK(patch[[#This Row],[mergeDate]]), "", MID(YEAR(patch[[#This Row],[mergeDate]]), 3,2)&amp;"'ww"&amp;WEEKNUM(patch[[#This Row],[mergeDate]]))</f>
        <v>16'ww39</v>
      </c>
      <c r="U1160" s="7" t="str">
        <f>IF(ISBLANK(patch[[#This Row],[mergeDate]]), U1159, MID(YEAR(patch[[#This Row],[mergeDate]]), 3,2)&amp;"'m"&amp;MONTH(patch[[#This Row],[mergeDate]]))</f>
        <v>16'm9</v>
      </c>
      <c r="V1160" s="7" t="str">
        <f>IF(ISBLANK(patch[[#This Row],[project]]), "",SUM(patch[[#This Row],[BJ -1 num]:[SH -1 num]]))</f>
        <v/>
      </c>
      <c r="W1160" s="7" t="str">
        <f>IF(ISBLANK(patch[[#This Row],[project]]), "",COUNTIFS($A:$A,patch[[#This Row],[number]],$S:$S, "BJ And dev",$AC:$AC, "Review-1"))</f>
        <v/>
      </c>
      <c r="X1160" s="7" t="str">
        <f>IF(ISBLANK(patch[[#This Row],[project]]), "",COUNTIFS($A:$A,patch[[#This Row],[number]],$S:$S, "FL And dev",$AC:$AC, "Review-1"))</f>
        <v/>
      </c>
      <c r="Y1160" s="7" t="str">
        <f>IF(ISBLANK(patch[[#This Row],[project]]), "",COUNTIFS($A:$A,patch[[#This Row],[number]],$S:$S, "SH And dev",$AC:$AC, "Review-1"))</f>
        <v/>
      </c>
      <c r="Z1160" s="7" t="str">
        <f>IF(ISBLANK(patch[[#This Row],[project]]), "",COUNTIFS($A:$A,patch[[#This Row],[number]],$S:$S, "BJ And dev",$AD:$AD, "&lt;&gt;IntegratorValidationComment"))</f>
        <v/>
      </c>
      <c r="AA1160" s="7" t="str">
        <f>IF(ISBLANK(patch[[#This Row],[project]]), "",COUNTIFS($A:$A,patch[[#This Row],[number]],$S:$S, "FL And dev",$AD:$AD, "&lt;&gt;IntegratorValidationComment"))</f>
        <v/>
      </c>
      <c r="AB1160" s="7" t="str">
        <f>IF(ISBLANK(patch[[#This Row],[project]]), "",COUNTIFS($A:$A,patch[[#This Row],[number]],$S:$S, "SH And dev",$AD:$AD, "&lt;&gt;IntegratorValidationComment"))</f>
        <v/>
      </c>
      <c r="AC1160" s="7" t="str">
        <f>IF(OR(ISNUMBER(FIND("Review-1", patch[[#This Row],[comments]])), ISNUMBER(FIND("Approver-1", patch[[#This Row],[comments]]))), "Review-1", "")</f>
        <v/>
      </c>
      <c r="AD11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60" s="7">
        <f>IF(ISBLANK(patch[[#This Row],[number]]),AE1159,patch[[#This Row],[ifCommon]])</f>
        <v>0</v>
      </c>
    </row>
    <row r="1161" spans="1:31">
      <c r="A1161" s="151">
        <v>145542</v>
      </c>
      <c r="B1161" s="151"/>
      <c r="C1161" s="151"/>
      <c r="D1161" s="151"/>
      <c r="E1161" s="151"/>
      <c r="F1161" s="151"/>
      <c r="G1161" s="151"/>
      <c r="H1161" s="151"/>
      <c r="I1161" s="151"/>
      <c r="J1161" s="152">
        <v>42633.709780092591</v>
      </c>
      <c r="K1161" s="151"/>
      <c r="L1161" s="151" t="s">
        <v>32</v>
      </c>
      <c r="M1161" s="152">
        <v>42631.776388888888</v>
      </c>
      <c r="N1161" s="151" t="s">
        <v>3179</v>
      </c>
      <c r="O1161" s="151" t="s">
        <v>3180</v>
      </c>
      <c r="P1161" s="151"/>
      <c r="Q1161" s="7" t="str">
        <f>IF(ISBLANK(patch[[#This Row],[OwnerEmail]]),Q1160,patch[[#This Row],[OwnerEmail]])</f>
        <v>bin.b.yang@intel.com</v>
      </c>
      <c r="R1161" s="7" t="str">
        <f>_xlfn.IFNA(VLOOKUP(patch[[#This Row],[tmp-owner.email]],OrgTree!$A:$K, 11, 0), "not ICG SWFW")</f>
        <v>BJ And dev</v>
      </c>
      <c r="S1161" s="7" t="str">
        <f>IF(patch[[#This Row],[reviewer]]=patch[[#This Row],[tmp-owner.email]], "author", _xlfn.IFNA(VLOOKUP(patch[[#This Row],[reviewer]],OrgTree!$A:$K, 11, 0), "not ICG SWFW"))</f>
        <v>BJ And dev</v>
      </c>
      <c r="T1161" s="7" t="str">
        <f>IF(ISBLANK(patch[[#This Row],[mergeDate]]), "", MID(YEAR(patch[[#This Row],[mergeDate]]), 3,2)&amp;"'ww"&amp;WEEKNUM(patch[[#This Row],[mergeDate]]))</f>
        <v>16'ww39</v>
      </c>
      <c r="U1161" s="7" t="str">
        <f>IF(ISBLANK(patch[[#This Row],[mergeDate]]), U1160, MID(YEAR(patch[[#This Row],[mergeDate]]), 3,2)&amp;"'m"&amp;MONTH(patch[[#This Row],[mergeDate]]))</f>
        <v>16'm9</v>
      </c>
      <c r="V1161" s="7" t="str">
        <f>IF(ISBLANK(patch[[#This Row],[project]]), "",SUM(patch[[#This Row],[BJ -1 num]:[SH -1 num]]))</f>
        <v/>
      </c>
      <c r="W1161" s="7" t="str">
        <f>IF(ISBLANK(patch[[#This Row],[project]]), "",COUNTIFS($A:$A,patch[[#This Row],[number]],$S:$S, "BJ And dev",$AC:$AC, "Review-1"))</f>
        <v/>
      </c>
      <c r="X1161" s="7" t="str">
        <f>IF(ISBLANK(patch[[#This Row],[project]]), "",COUNTIFS($A:$A,patch[[#This Row],[number]],$S:$S, "FL And dev",$AC:$AC, "Review-1"))</f>
        <v/>
      </c>
      <c r="Y1161" s="7" t="str">
        <f>IF(ISBLANK(patch[[#This Row],[project]]), "",COUNTIFS($A:$A,patch[[#This Row],[number]],$S:$S, "SH And dev",$AC:$AC, "Review-1"))</f>
        <v/>
      </c>
      <c r="Z1161" s="7" t="str">
        <f>IF(ISBLANK(patch[[#This Row],[project]]), "",COUNTIFS($A:$A,patch[[#This Row],[number]],$S:$S, "BJ And dev",$AD:$AD, "&lt;&gt;IntegratorValidationComment"))</f>
        <v/>
      </c>
      <c r="AA1161" s="7" t="str">
        <f>IF(ISBLANK(patch[[#This Row],[project]]), "",COUNTIFS($A:$A,patch[[#This Row],[number]],$S:$S, "FL And dev",$AD:$AD, "&lt;&gt;IntegratorValidationComment"))</f>
        <v/>
      </c>
      <c r="AB1161" s="7" t="str">
        <f>IF(ISBLANK(patch[[#This Row],[project]]), "",COUNTIFS($A:$A,patch[[#This Row],[number]],$S:$S, "SH And dev",$AD:$AD, "&lt;&gt;IntegratorValidationComment"))</f>
        <v/>
      </c>
      <c r="AC1161" s="7" t="str">
        <f>IF(OR(ISNUMBER(FIND("Review-1", patch[[#This Row],[comments]])), ISNUMBER(FIND("Approver-1", patch[[#This Row],[comments]]))), "Review-1", "")</f>
        <v/>
      </c>
      <c r="AD11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61" s="7">
        <f>IF(ISBLANK(patch[[#This Row],[number]]),AE1160,patch[[#This Row],[ifCommon]])</f>
        <v>0</v>
      </c>
    </row>
    <row r="1162" spans="1:31">
      <c r="A1162" s="151">
        <v>145542</v>
      </c>
      <c r="B1162" s="151"/>
      <c r="C1162" s="151"/>
      <c r="D1162" s="151"/>
      <c r="E1162" s="151"/>
      <c r="F1162" s="151"/>
      <c r="G1162" s="151"/>
      <c r="H1162" s="151"/>
      <c r="I1162" s="151"/>
      <c r="J1162" s="152">
        <v>42633.709780092591</v>
      </c>
      <c r="K1162" s="151"/>
      <c r="L1162" s="151" t="s">
        <v>115</v>
      </c>
      <c r="M1162" s="152">
        <v>42632.425243055557</v>
      </c>
      <c r="N1162" s="151" t="s">
        <v>2495</v>
      </c>
      <c r="O1162" s="151"/>
      <c r="P1162" s="151"/>
      <c r="Q1162" s="7" t="str">
        <f>IF(ISBLANK(patch[[#This Row],[OwnerEmail]]),Q1161,patch[[#This Row],[OwnerEmail]])</f>
        <v>bin.b.yang@intel.com</v>
      </c>
      <c r="R1162" s="7" t="str">
        <f>_xlfn.IFNA(VLOOKUP(patch[[#This Row],[tmp-owner.email]],OrgTree!$A:$K, 11, 0), "not ICG SWFW")</f>
        <v>BJ And dev</v>
      </c>
      <c r="S1162" s="7" t="str">
        <f>IF(patch[[#This Row],[reviewer]]=patch[[#This Row],[tmp-owner.email]], "author", _xlfn.IFNA(VLOOKUP(patch[[#This Row],[reviewer]],OrgTree!$A:$K, 11, 0), "not ICG SWFW"))</f>
        <v>Val</v>
      </c>
      <c r="T1162" s="7" t="str">
        <f>IF(ISBLANK(patch[[#This Row],[mergeDate]]), "", MID(YEAR(patch[[#This Row],[mergeDate]]), 3,2)&amp;"'ww"&amp;WEEKNUM(patch[[#This Row],[mergeDate]]))</f>
        <v>16'ww39</v>
      </c>
      <c r="U1162" s="7" t="str">
        <f>IF(ISBLANK(patch[[#This Row],[mergeDate]]), U1161, MID(YEAR(patch[[#This Row],[mergeDate]]), 3,2)&amp;"'m"&amp;MONTH(patch[[#This Row],[mergeDate]]))</f>
        <v>16'm9</v>
      </c>
      <c r="V1162" s="7" t="str">
        <f>IF(ISBLANK(patch[[#This Row],[project]]), "",SUM(patch[[#This Row],[BJ -1 num]:[SH -1 num]]))</f>
        <v/>
      </c>
      <c r="W1162" s="7" t="str">
        <f>IF(ISBLANK(patch[[#This Row],[project]]), "",COUNTIFS($A:$A,patch[[#This Row],[number]],$S:$S, "BJ And dev",$AC:$AC, "Review-1"))</f>
        <v/>
      </c>
      <c r="X1162" s="7" t="str">
        <f>IF(ISBLANK(patch[[#This Row],[project]]), "",COUNTIFS($A:$A,patch[[#This Row],[number]],$S:$S, "FL And dev",$AC:$AC, "Review-1"))</f>
        <v/>
      </c>
      <c r="Y1162" s="7" t="str">
        <f>IF(ISBLANK(patch[[#This Row],[project]]), "",COUNTIFS($A:$A,patch[[#This Row],[number]],$S:$S, "SH And dev",$AC:$AC, "Review-1"))</f>
        <v/>
      </c>
      <c r="Z1162" s="7" t="str">
        <f>IF(ISBLANK(patch[[#This Row],[project]]), "",COUNTIFS($A:$A,patch[[#This Row],[number]],$S:$S, "BJ And dev",$AD:$AD, "&lt;&gt;IntegratorValidationComment"))</f>
        <v/>
      </c>
      <c r="AA1162" s="7" t="str">
        <f>IF(ISBLANK(patch[[#This Row],[project]]), "",COUNTIFS($A:$A,patch[[#This Row],[number]],$S:$S, "FL And dev",$AD:$AD, "&lt;&gt;IntegratorValidationComment"))</f>
        <v/>
      </c>
      <c r="AB1162" s="7" t="str">
        <f>IF(ISBLANK(patch[[#This Row],[project]]), "",COUNTIFS($A:$A,patch[[#This Row],[number]],$S:$S, "SH And dev",$AD:$AD, "&lt;&gt;IntegratorValidationComment"))</f>
        <v/>
      </c>
      <c r="AC1162" s="7" t="str">
        <f>IF(OR(ISNUMBER(FIND("Review-1", patch[[#This Row],[comments]])), ISNUMBER(FIND("Approver-1", patch[[#This Row],[comments]]))), "Review-1", "")</f>
        <v/>
      </c>
      <c r="AD11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162" s="7">
        <f>IF(ISBLANK(patch[[#This Row],[number]]),AE1161,patch[[#This Row],[ifCommon]])</f>
        <v>0</v>
      </c>
    </row>
    <row r="1163" spans="1:31">
      <c r="A1163" s="151">
        <v>145024</v>
      </c>
      <c r="B1163" s="151" t="s">
        <v>2490</v>
      </c>
      <c r="C1163" s="151" t="s">
        <v>2491</v>
      </c>
      <c r="D1163" s="151" t="s">
        <v>3026</v>
      </c>
      <c r="E1163" s="151" t="s">
        <v>72</v>
      </c>
      <c r="F1163" s="151" t="s">
        <v>23</v>
      </c>
      <c r="G1163" s="151" t="s">
        <v>3027</v>
      </c>
      <c r="H1163" s="151" t="s">
        <v>3028</v>
      </c>
      <c r="I1163" s="152">
        <v>42627.340509259258</v>
      </c>
      <c r="J1163" s="152">
        <v>42633.710104166668</v>
      </c>
      <c r="K1163" s="151" t="s">
        <v>2445</v>
      </c>
      <c r="L1163" s="151" t="s">
        <v>72</v>
      </c>
      <c r="M1163" s="152">
        <v>42627.340509259258</v>
      </c>
      <c r="N1163" s="151" t="s">
        <v>2428</v>
      </c>
      <c r="O1163" s="151"/>
      <c r="P1163" s="151" t="s">
        <v>3181</v>
      </c>
      <c r="Q1163" s="7" t="str">
        <f>IF(ISBLANK(patch[[#This Row],[OwnerEmail]]),Q1162,patch[[#This Row],[OwnerEmail]])</f>
        <v>bin.b.yang@intel.com</v>
      </c>
      <c r="R1163" s="7" t="str">
        <f>_xlfn.IFNA(VLOOKUP(patch[[#This Row],[tmp-owner.email]],OrgTree!$A:$K, 11, 0), "not ICG SWFW")</f>
        <v>BJ And dev</v>
      </c>
      <c r="S1163" s="7" t="str">
        <f>IF(patch[[#This Row],[reviewer]]=patch[[#This Row],[tmp-owner.email]], "author", _xlfn.IFNA(VLOOKUP(patch[[#This Row],[reviewer]],OrgTree!$A:$K, 11, 0), "not ICG SWFW"))</f>
        <v>author</v>
      </c>
      <c r="T1163" s="7" t="str">
        <f>IF(ISBLANK(patch[[#This Row],[mergeDate]]), "", MID(YEAR(patch[[#This Row],[mergeDate]]), 3,2)&amp;"'ww"&amp;WEEKNUM(patch[[#This Row],[mergeDate]]))</f>
        <v>16'ww39</v>
      </c>
      <c r="U1163" s="7" t="str">
        <f>IF(ISBLANK(patch[[#This Row],[mergeDate]]), U1162, MID(YEAR(patch[[#This Row],[mergeDate]]), 3,2)&amp;"'m"&amp;MONTH(patch[[#This Row],[mergeDate]]))</f>
        <v>16'm9</v>
      </c>
      <c r="V1163" s="7">
        <f>IF(ISBLANK(patch[[#This Row],[project]]), "",SUM(patch[[#This Row],[BJ -1 num]:[SH -1 num]]))</f>
        <v>0</v>
      </c>
      <c r="W1163" s="7">
        <f>IF(ISBLANK(patch[[#This Row],[project]]), "",COUNTIFS($A:$A,patch[[#This Row],[number]],$S:$S, "BJ And dev",$AC:$AC, "Review-1"))</f>
        <v>0</v>
      </c>
      <c r="X1163" s="7">
        <f>IF(ISBLANK(patch[[#This Row],[project]]), "",COUNTIFS($A:$A,patch[[#This Row],[number]],$S:$S, "FL And dev",$AC:$AC, "Review-1"))</f>
        <v>0</v>
      </c>
      <c r="Y1163" s="7">
        <f>IF(ISBLANK(patch[[#This Row],[project]]), "",COUNTIFS($A:$A,patch[[#This Row],[number]],$S:$S, "SH And dev",$AC:$AC, "Review-1"))</f>
        <v>0</v>
      </c>
      <c r="Z1163" s="7">
        <f>IF(ISBLANK(patch[[#This Row],[project]]), "",COUNTIFS($A:$A,patch[[#This Row],[number]],$S:$S, "BJ And dev",$AD:$AD, "&lt;&gt;IntegratorValidationComment"))</f>
        <v>11</v>
      </c>
      <c r="AA1163" s="7">
        <f>IF(ISBLANK(patch[[#This Row],[project]]), "",COUNTIFS($A:$A,patch[[#This Row],[number]],$S:$S, "FL And dev",$AD:$AD, "&lt;&gt;IntegratorValidationComment"))</f>
        <v>0</v>
      </c>
      <c r="AB1163" s="7">
        <f>IF(ISBLANK(patch[[#This Row],[project]]), "",COUNTIFS($A:$A,patch[[#This Row],[number]],$S:$S, "SH And dev",$AD:$AD, "&lt;&gt;IntegratorValidationComment"))</f>
        <v>0</v>
      </c>
      <c r="AC1163" s="7" t="str">
        <f>IF(OR(ISNUMBER(FIND("Review-1", patch[[#This Row],[comments]])), ISNUMBER(FIND("Approver-1", patch[[#This Row],[comments]]))), "Review-1", "")</f>
        <v/>
      </c>
      <c r="AD11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63" s="7" t="str">
        <f>IF(ISBLANK(patch[[#This Row],[number]]),AE1162,patch[[#This Row],[ifCommon]])</f>
        <v>not AndrHAL</v>
      </c>
    </row>
    <row r="1164" spans="1:31">
      <c r="A1164" s="151">
        <v>145024</v>
      </c>
      <c r="B1164" s="151"/>
      <c r="C1164" s="151"/>
      <c r="D1164" s="151"/>
      <c r="E1164" s="151"/>
      <c r="F1164" s="151"/>
      <c r="G1164" s="151"/>
      <c r="H1164" s="151"/>
      <c r="I1164" s="151"/>
      <c r="J1164" s="152">
        <v>42633.710104166668</v>
      </c>
      <c r="K1164" s="151"/>
      <c r="L1164" s="151" t="s">
        <v>72</v>
      </c>
      <c r="M1164" s="152">
        <v>42627.340509259258</v>
      </c>
      <c r="N1164" s="151" t="s">
        <v>25</v>
      </c>
      <c r="O1164" s="151"/>
      <c r="P1164" s="151"/>
      <c r="Q1164" s="7" t="str">
        <f>IF(ISBLANK(patch[[#This Row],[OwnerEmail]]),Q1163,patch[[#This Row],[OwnerEmail]])</f>
        <v>bin.b.yang@intel.com</v>
      </c>
      <c r="R1164" s="7" t="str">
        <f>_xlfn.IFNA(VLOOKUP(patch[[#This Row],[tmp-owner.email]],OrgTree!$A:$K, 11, 0), "not ICG SWFW")</f>
        <v>BJ And dev</v>
      </c>
      <c r="S1164" s="7" t="str">
        <f>IF(patch[[#This Row],[reviewer]]=patch[[#This Row],[tmp-owner.email]], "author", _xlfn.IFNA(VLOOKUP(patch[[#This Row],[reviewer]],OrgTree!$A:$K, 11, 0), "not ICG SWFW"))</f>
        <v>author</v>
      </c>
      <c r="T1164" s="7" t="str">
        <f>IF(ISBLANK(patch[[#This Row],[mergeDate]]), "", MID(YEAR(patch[[#This Row],[mergeDate]]), 3,2)&amp;"'ww"&amp;WEEKNUM(patch[[#This Row],[mergeDate]]))</f>
        <v>16'ww39</v>
      </c>
      <c r="U1164" s="7" t="str">
        <f>IF(ISBLANK(patch[[#This Row],[mergeDate]]), U1163, MID(YEAR(patch[[#This Row],[mergeDate]]), 3,2)&amp;"'m"&amp;MONTH(patch[[#This Row],[mergeDate]]))</f>
        <v>16'm9</v>
      </c>
      <c r="V1164" s="7" t="str">
        <f>IF(ISBLANK(patch[[#This Row],[project]]), "",SUM(patch[[#This Row],[BJ -1 num]:[SH -1 num]]))</f>
        <v/>
      </c>
      <c r="W1164" s="7" t="str">
        <f>IF(ISBLANK(patch[[#This Row],[project]]), "",COUNTIFS($A:$A,patch[[#This Row],[number]],$S:$S, "BJ And dev",$AC:$AC, "Review-1"))</f>
        <v/>
      </c>
      <c r="X1164" s="7" t="str">
        <f>IF(ISBLANK(patch[[#This Row],[project]]), "",COUNTIFS($A:$A,patch[[#This Row],[number]],$S:$S, "FL And dev",$AC:$AC, "Review-1"))</f>
        <v/>
      </c>
      <c r="Y1164" s="7" t="str">
        <f>IF(ISBLANK(patch[[#This Row],[project]]), "",COUNTIFS($A:$A,patch[[#This Row],[number]],$S:$S, "SH And dev",$AC:$AC, "Review-1"))</f>
        <v/>
      </c>
      <c r="Z1164" s="7" t="str">
        <f>IF(ISBLANK(patch[[#This Row],[project]]), "",COUNTIFS($A:$A,patch[[#This Row],[number]],$S:$S, "BJ And dev",$AD:$AD, "&lt;&gt;IntegratorValidationComment"))</f>
        <v/>
      </c>
      <c r="AA1164" s="7" t="str">
        <f>IF(ISBLANK(patch[[#This Row],[project]]), "",COUNTIFS($A:$A,patch[[#This Row],[number]],$S:$S, "FL And dev",$AD:$AD, "&lt;&gt;IntegratorValidationComment"))</f>
        <v/>
      </c>
      <c r="AB1164" s="7" t="str">
        <f>IF(ISBLANK(patch[[#This Row],[project]]), "",COUNTIFS($A:$A,patch[[#This Row],[number]],$S:$S, "SH And dev",$AD:$AD, "&lt;&gt;IntegratorValidationComment"))</f>
        <v/>
      </c>
      <c r="AC1164" s="7" t="str">
        <f>IF(OR(ISNUMBER(FIND("Review-1", patch[[#This Row],[comments]])), ISNUMBER(FIND("Approver-1", patch[[#This Row],[comments]]))), "Review-1", "")</f>
        <v/>
      </c>
      <c r="AD11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64" s="7">
        <f>IF(ISBLANK(patch[[#This Row],[number]]),AE1163,patch[[#This Row],[ifCommon]])</f>
        <v>0</v>
      </c>
    </row>
    <row r="1165" spans="1:31">
      <c r="A1165" s="151">
        <v>145024</v>
      </c>
      <c r="B1165" s="151"/>
      <c r="C1165" s="151"/>
      <c r="D1165" s="151"/>
      <c r="E1165" s="151"/>
      <c r="F1165" s="151"/>
      <c r="G1165" s="151"/>
      <c r="H1165" s="151"/>
      <c r="I1165" s="151"/>
      <c r="J1165" s="152">
        <v>42633.710104166668</v>
      </c>
      <c r="K1165" s="151"/>
      <c r="L1165" s="151" t="s">
        <v>59</v>
      </c>
      <c r="M1165" s="152">
        <v>42627.377546296288</v>
      </c>
      <c r="N1165" s="151" t="s">
        <v>3182</v>
      </c>
      <c r="O1165" s="151"/>
      <c r="P1165" s="151"/>
      <c r="Q1165" s="7" t="str">
        <f>IF(ISBLANK(patch[[#This Row],[OwnerEmail]]),Q1164,patch[[#This Row],[OwnerEmail]])</f>
        <v>bin.b.yang@intel.com</v>
      </c>
      <c r="R1165" s="7" t="str">
        <f>_xlfn.IFNA(VLOOKUP(patch[[#This Row],[tmp-owner.email]],OrgTree!$A:$K, 11, 0), "not ICG SWFW")</f>
        <v>BJ And dev</v>
      </c>
      <c r="S1165" s="7" t="str">
        <f>IF(patch[[#This Row],[reviewer]]=patch[[#This Row],[tmp-owner.email]], "author", _xlfn.IFNA(VLOOKUP(patch[[#This Row],[reviewer]],OrgTree!$A:$K, 11, 0), "not ICG SWFW"))</f>
        <v>BJ And dev</v>
      </c>
      <c r="T1165" s="7" t="str">
        <f>IF(ISBLANK(patch[[#This Row],[mergeDate]]), "", MID(YEAR(patch[[#This Row],[mergeDate]]), 3,2)&amp;"'ww"&amp;WEEKNUM(patch[[#This Row],[mergeDate]]))</f>
        <v>16'ww39</v>
      </c>
      <c r="U1165" s="7" t="str">
        <f>IF(ISBLANK(patch[[#This Row],[mergeDate]]), U1164, MID(YEAR(patch[[#This Row],[mergeDate]]), 3,2)&amp;"'m"&amp;MONTH(patch[[#This Row],[mergeDate]]))</f>
        <v>16'm9</v>
      </c>
      <c r="V1165" s="7" t="str">
        <f>IF(ISBLANK(patch[[#This Row],[project]]), "",SUM(patch[[#This Row],[BJ -1 num]:[SH -1 num]]))</f>
        <v/>
      </c>
      <c r="W1165" s="7" t="str">
        <f>IF(ISBLANK(patch[[#This Row],[project]]), "",COUNTIFS($A:$A,patch[[#This Row],[number]],$S:$S, "BJ And dev",$AC:$AC, "Review-1"))</f>
        <v/>
      </c>
      <c r="X1165" s="7" t="str">
        <f>IF(ISBLANK(patch[[#This Row],[project]]), "",COUNTIFS($A:$A,patch[[#This Row],[number]],$S:$S, "FL And dev",$AC:$AC, "Review-1"))</f>
        <v/>
      </c>
      <c r="Y1165" s="7" t="str">
        <f>IF(ISBLANK(patch[[#This Row],[project]]), "",COUNTIFS($A:$A,patch[[#This Row],[number]],$S:$S, "SH And dev",$AC:$AC, "Review-1"))</f>
        <v/>
      </c>
      <c r="Z1165" s="7" t="str">
        <f>IF(ISBLANK(patch[[#This Row],[project]]), "",COUNTIFS($A:$A,patch[[#This Row],[number]],$S:$S, "BJ And dev",$AD:$AD, "&lt;&gt;IntegratorValidationComment"))</f>
        <v/>
      </c>
      <c r="AA1165" s="7" t="str">
        <f>IF(ISBLANK(patch[[#This Row],[project]]), "",COUNTIFS($A:$A,patch[[#This Row],[number]],$S:$S, "FL And dev",$AD:$AD, "&lt;&gt;IntegratorValidationComment"))</f>
        <v/>
      </c>
      <c r="AB1165" s="7" t="str">
        <f>IF(ISBLANK(patch[[#This Row],[project]]), "",COUNTIFS($A:$A,patch[[#This Row],[number]],$S:$S, "SH And dev",$AD:$AD, "&lt;&gt;IntegratorValidationComment"))</f>
        <v/>
      </c>
      <c r="AC1165" s="7" t="str">
        <f>IF(OR(ISNUMBER(FIND("Review-1", patch[[#This Row],[comments]])), ISNUMBER(FIND("Approver-1", patch[[#This Row],[comments]]))), "Review-1", "")</f>
        <v/>
      </c>
      <c r="AD11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65" s="7">
        <f>IF(ISBLANK(patch[[#This Row],[number]]),AE1164,patch[[#This Row],[ifCommon]])</f>
        <v>0</v>
      </c>
    </row>
    <row r="1166" spans="1:31">
      <c r="A1166" s="151">
        <v>145024</v>
      </c>
      <c r="B1166" s="151"/>
      <c r="C1166" s="151"/>
      <c r="D1166" s="151"/>
      <c r="E1166" s="151"/>
      <c r="F1166" s="151"/>
      <c r="G1166" s="151"/>
      <c r="H1166" s="151"/>
      <c r="I1166" s="151"/>
      <c r="J1166" s="152">
        <v>42633.710104166668</v>
      </c>
      <c r="K1166" s="151"/>
      <c r="L1166" s="151" t="s">
        <v>59</v>
      </c>
      <c r="M1166" s="152">
        <v>42627.382071759261</v>
      </c>
      <c r="N1166" s="151" t="s">
        <v>3183</v>
      </c>
      <c r="O1166" s="151"/>
      <c r="P1166" s="151"/>
      <c r="Q1166" s="7" t="str">
        <f>IF(ISBLANK(patch[[#This Row],[OwnerEmail]]),Q1165,patch[[#This Row],[OwnerEmail]])</f>
        <v>bin.b.yang@intel.com</v>
      </c>
      <c r="R1166" s="7" t="str">
        <f>_xlfn.IFNA(VLOOKUP(patch[[#This Row],[tmp-owner.email]],OrgTree!$A:$K, 11, 0), "not ICG SWFW")</f>
        <v>BJ And dev</v>
      </c>
      <c r="S1166" s="7" t="str">
        <f>IF(patch[[#This Row],[reviewer]]=patch[[#This Row],[tmp-owner.email]], "author", _xlfn.IFNA(VLOOKUP(patch[[#This Row],[reviewer]],OrgTree!$A:$K, 11, 0), "not ICG SWFW"))</f>
        <v>BJ And dev</v>
      </c>
      <c r="T1166" s="7" t="str">
        <f>IF(ISBLANK(patch[[#This Row],[mergeDate]]), "", MID(YEAR(patch[[#This Row],[mergeDate]]), 3,2)&amp;"'ww"&amp;WEEKNUM(patch[[#This Row],[mergeDate]]))</f>
        <v>16'ww39</v>
      </c>
      <c r="U1166" s="7" t="str">
        <f>IF(ISBLANK(patch[[#This Row],[mergeDate]]), U1165, MID(YEAR(patch[[#This Row],[mergeDate]]), 3,2)&amp;"'m"&amp;MONTH(patch[[#This Row],[mergeDate]]))</f>
        <v>16'm9</v>
      </c>
      <c r="V1166" s="7" t="str">
        <f>IF(ISBLANK(patch[[#This Row],[project]]), "",SUM(patch[[#This Row],[BJ -1 num]:[SH -1 num]]))</f>
        <v/>
      </c>
      <c r="W1166" s="7" t="str">
        <f>IF(ISBLANK(patch[[#This Row],[project]]), "",COUNTIFS($A:$A,patch[[#This Row],[number]],$S:$S, "BJ And dev",$AC:$AC, "Review-1"))</f>
        <v/>
      </c>
      <c r="X1166" s="7" t="str">
        <f>IF(ISBLANK(patch[[#This Row],[project]]), "",COUNTIFS($A:$A,patch[[#This Row],[number]],$S:$S, "FL And dev",$AC:$AC, "Review-1"))</f>
        <v/>
      </c>
      <c r="Y1166" s="7" t="str">
        <f>IF(ISBLANK(patch[[#This Row],[project]]), "",COUNTIFS($A:$A,patch[[#This Row],[number]],$S:$S, "SH And dev",$AC:$AC, "Review-1"))</f>
        <v/>
      </c>
      <c r="Z1166" s="7" t="str">
        <f>IF(ISBLANK(patch[[#This Row],[project]]), "",COUNTIFS($A:$A,patch[[#This Row],[number]],$S:$S, "BJ And dev",$AD:$AD, "&lt;&gt;IntegratorValidationComment"))</f>
        <v/>
      </c>
      <c r="AA1166" s="7" t="str">
        <f>IF(ISBLANK(patch[[#This Row],[project]]), "",COUNTIFS($A:$A,patch[[#This Row],[number]],$S:$S, "FL And dev",$AD:$AD, "&lt;&gt;IntegratorValidationComment"))</f>
        <v/>
      </c>
      <c r="AB1166" s="7" t="str">
        <f>IF(ISBLANK(patch[[#This Row],[project]]), "",COUNTIFS($A:$A,patch[[#This Row],[number]],$S:$S, "SH And dev",$AD:$AD, "&lt;&gt;IntegratorValidationComment"))</f>
        <v/>
      </c>
      <c r="AC1166" s="7" t="str">
        <f>IF(OR(ISNUMBER(FIND("Review-1", patch[[#This Row],[comments]])), ISNUMBER(FIND("Approver-1", patch[[#This Row],[comments]]))), "Review-1", "")</f>
        <v/>
      </c>
      <c r="AD11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66" s="7">
        <f>IF(ISBLANK(patch[[#This Row],[number]]),AE1165,patch[[#This Row],[ifCommon]])</f>
        <v>0</v>
      </c>
    </row>
    <row r="1167" spans="1:31">
      <c r="A1167" s="151">
        <v>145024</v>
      </c>
      <c r="B1167" s="151"/>
      <c r="C1167" s="151"/>
      <c r="D1167" s="151"/>
      <c r="E1167" s="151"/>
      <c r="F1167" s="151"/>
      <c r="G1167" s="151"/>
      <c r="H1167" s="151"/>
      <c r="I1167" s="151"/>
      <c r="J1167" s="152">
        <v>42633.710104166668</v>
      </c>
      <c r="K1167" s="151"/>
      <c r="L1167" s="151" t="s">
        <v>72</v>
      </c>
      <c r="M1167" s="152">
        <v>42627.416342592587</v>
      </c>
      <c r="N1167" s="151" t="s">
        <v>2449</v>
      </c>
      <c r="O1167" s="151"/>
      <c r="P1167" s="151"/>
      <c r="Q1167" s="7" t="str">
        <f>IF(ISBLANK(patch[[#This Row],[OwnerEmail]]),Q1166,patch[[#This Row],[OwnerEmail]])</f>
        <v>bin.b.yang@intel.com</v>
      </c>
      <c r="R1167" s="7" t="str">
        <f>_xlfn.IFNA(VLOOKUP(patch[[#This Row],[tmp-owner.email]],OrgTree!$A:$K, 11, 0), "not ICG SWFW")</f>
        <v>BJ And dev</v>
      </c>
      <c r="S1167" s="7" t="str">
        <f>IF(patch[[#This Row],[reviewer]]=patch[[#This Row],[tmp-owner.email]], "author", _xlfn.IFNA(VLOOKUP(patch[[#This Row],[reviewer]],OrgTree!$A:$K, 11, 0), "not ICG SWFW"))</f>
        <v>author</v>
      </c>
      <c r="T1167" s="7" t="str">
        <f>IF(ISBLANK(patch[[#This Row],[mergeDate]]), "", MID(YEAR(patch[[#This Row],[mergeDate]]), 3,2)&amp;"'ww"&amp;WEEKNUM(patch[[#This Row],[mergeDate]]))</f>
        <v>16'ww39</v>
      </c>
      <c r="U1167" s="7" t="str">
        <f>IF(ISBLANK(patch[[#This Row],[mergeDate]]), U1166, MID(YEAR(patch[[#This Row],[mergeDate]]), 3,2)&amp;"'m"&amp;MONTH(patch[[#This Row],[mergeDate]]))</f>
        <v>16'm9</v>
      </c>
      <c r="V1167" s="7" t="str">
        <f>IF(ISBLANK(patch[[#This Row],[project]]), "",SUM(patch[[#This Row],[BJ -1 num]:[SH -1 num]]))</f>
        <v/>
      </c>
      <c r="W1167" s="7" t="str">
        <f>IF(ISBLANK(patch[[#This Row],[project]]), "",COUNTIFS($A:$A,patch[[#This Row],[number]],$S:$S, "BJ And dev",$AC:$AC, "Review-1"))</f>
        <v/>
      </c>
      <c r="X1167" s="7" t="str">
        <f>IF(ISBLANK(patch[[#This Row],[project]]), "",COUNTIFS($A:$A,patch[[#This Row],[number]],$S:$S, "FL And dev",$AC:$AC, "Review-1"))</f>
        <v/>
      </c>
      <c r="Y1167" s="7" t="str">
        <f>IF(ISBLANK(patch[[#This Row],[project]]), "",COUNTIFS($A:$A,patch[[#This Row],[number]],$S:$S, "SH And dev",$AC:$AC, "Review-1"))</f>
        <v/>
      </c>
      <c r="Z1167" s="7" t="str">
        <f>IF(ISBLANK(patch[[#This Row],[project]]), "",COUNTIFS($A:$A,patch[[#This Row],[number]],$S:$S, "BJ And dev",$AD:$AD, "&lt;&gt;IntegratorValidationComment"))</f>
        <v/>
      </c>
      <c r="AA1167" s="7" t="str">
        <f>IF(ISBLANK(patch[[#This Row],[project]]), "",COUNTIFS($A:$A,patch[[#This Row],[number]],$S:$S, "FL And dev",$AD:$AD, "&lt;&gt;IntegratorValidationComment"))</f>
        <v/>
      </c>
      <c r="AB1167" s="7" t="str">
        <f>IF(ISBLANK(patch[[#This Row],[project]]), "",COUNTIFS($A:$A,patch[[#This Row],[number]],$S:$S, "SH And dev",$AD:$AD, "&lt;&gt;IntegratorValidationComment"))</f>
        <v/>
      </c>
      <c r="AC1167" s="7" t="str">
        <f>IF(OR(ISNUMBER(FIND("Review-1", patch[[#This Row],[comments]])), ISNUMBER(FIND("Approver-1", patch[[#This Row],[comments]]))), "Review-1", "")</f>
        <v/>
      </c>
      <c r="AD11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67" s="7">
        <f>IF(ISBLANK(patch[[#This Row],[number]]),AE1166,patch[[#This Row],[ifCommon]])</f>
        <v>0</v>
      </c>
    </row>
    <row r="1168" spans="1:31">
      <c r="A1168" s="151">
        <v>145024</v>
      </c>
      <c r="B1168" s="151"/>
      <c r="C1168" s="151"/>
      <c r="D1168" s="151"/>
      <c r="E1168" s="151"/>
      <c r="F1168" s="151"/>
      <c r="G1168" s="151"/>
      <c r="H1168" s="151"/>
      <c r="I1168" s="151"/>
      <c r="J1168" s="152">
        <v>42633.710104166668</v>
      </c>
      <c r="K1168" s="151"/>
      <c r="L1168" s="151" t="s">
        <v>72</v>
      </c>
      <c r="M1168" s="152">
        <v>42628.464236111111</v>
      </c>
      <c r="N1168" s="151" t="s">
        <v>65</v>
      </c>
      <c r="O1168" s="151"/>
      <c r="P1168" s="151"/>
      <c r="Q1168" s="7" t="str">
        <f>IF(ISBLANK(patch[[#This Row],[OwnerEmail]]),Q1167,patch[[#This Row],[OwnerEmail]])</f>
        <v>bin.b.yang@intel.com</v>
      </c>
      <c r="R1168" s="7" t="str">
        <f>_xlfn.IFNA(VLOOKUP(patch[[#This Row],[tmp-owner.email]],OrgTree!$A:$K, 11, 0), "not ICG SWFW")</f>
        <v>BJ And dev</v>
      </c>
      <c r="S1168" s="7" t="str">
        <f>IF(patch[[#This Row],[reviewer]]=patch[[#This Row],[tmp-owner.email]], "author", _xlfn.IFNA(VLOOKUP(patch[[#This Row],[reviewer]],OrgTree!$A:$K, 11, 0), "not ICG SWFW"))</f>
        <v>author</v>
      </c>
      <c r="T1168" s="7" t="str">
        <f>IF(ISBLANK(patch[[#This Row],[mergeDate]]), "", MID(YEAR(patch[[#This Row],[mergeDate]]), 3,2)&amp;"'ww"&amp;WEEKNUM(patch[[#This Row],[mergeDate]]))</f>
        <v>16'ww39</v>
      </c>
      <c r="U1168" s="7" t="str">
        <f>IF(ISBLANK(patch[[#This Row],[mergeDate]]), U1167, MID(YEAR(patch[[#This Row],[mergeDate]]), 3,2)&amp;"'m"&amp;MONTH(patch[[#This Row],[mergeDate]]))</f>
        <v>16'm9</v>
      </c>
      <c r="V1168" s="7" t="str">
        <f>IF(ISBLANK(patch[[#This Row],[project]]), "",SUM(patch[[#This Row],[BJ -1 num]:[SH -1 num]]))</f>
        <v/>
      </c>
      <c r="W1168" s="7" t="str">
        <f>IF(ISBLANK(patch[[#This Row],[project]]), "",COUNTIFS($A:$A,patch[[#This Row],[number]],$S:$S, "BJ And dev",$AC:$AC, "Review-1"))</f>
        <v/>
      </c>
      <c r="X1168" s="7" t="str">
        <f>IF(ISBLANK(patch[[#This Row],[project]]), "",COUNTIFS($A:$A,patch[[#This Row],[number]],$S:$S, "FL And dev",$AC:$AC, "Review-1"))</f>
        <v/>
      </c>
      <c r="Y1168" s="7" t="str">
        <f>IF(ISBLANK(patch[[#This Row],[project]]), "",COUNTIFS($A:$A,patch[[#This Row],[number]],$S:$S, "SH And dev",$AC:$AC, "Review-1"))</f>
        <v/>
      </c>
      <c r="Z1168" s="7" t="str">
        <f>IF(ISBLANK(patch[[#This Row],[project]]), "",COUNTIFS($A:$A,patch[[#This Row],[number]],$S:$S, "BJ And dev",$AD:$AD, "&lt;&gt;IntegratorValidationComment"))</f>
        <v/>
      </c>
      <c r="AA1168" s="7" t="str">
        <f>IF(ISBLANK(patch[[#This Row],[project]]), "",COUNTIFS($A:$A,patch[[#This Row],[number]],$S:$S, "FL And dev",$AD:$AD, "&lt;&gt;IntegratorValidationComment"))</f>
        <v/>
      </c>
      <c r="AB1168" s="7" t="str">
        <f>IF(ISBLANK(patch[[#This Row],[project]]), "",COUNTIFS($A:$A,patch[[#This Row],[number]],$S:$S, "SH And dev",$AD:$AD, "&lt;&gt;IntegratorValidationComment"))</f>
        <v/>
      </c>
      <c r="AC1168" s="7" t="str">
        <f>IF(OR(ISNUMBER(FIND("Review-1", patch[[#This Row],[comments]])), ISNUMBER(FIND("Approver-1", patch[[#This Row],[comments]]))), "Review-1", "")</f>
        <v/>
      </c>
      <c r="AD11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68" s="7">
        <f>IF(ISBLANK(patch[[#This Row],[number]]),AE1167,patch[[#This Row],[ifCommon]])</f>
        <v>0</v>
      </c>
    </row>
    <row r="1169" spans="1:31">
      <c r="A1169" s="151">
        <v>145024</v>
      </c>
      <c r="B1169" s="151"/>
      <c r="C1169" s="151"/>
      <c r="D1169" s="151"/>
      <c r="E1169" s="151"/>
      <c r="F1169" s="151"/>
      <c r="G1169" s="151"/>
      <c r="H1169" s="151"/>
      <c r="I1169" s="151"/>
      <c r="J1169" s="152">
        <v>42633.710104166668</v>
      </c>
      <c r="K1169" s="151"/>
      <c r="L1169" s="151" t="s">
        <v>72</v>
      </c>
      <c r="M1169" s="152">
        <v>42628.464247685188</v>
      </c>
      <c r="N1169" s="151" t="s">
        <v>2429</v>
      </c>
      <c r="O1169" s="151"/>
      <c r="P1169" s="151"/>
      <c r="Q1169" s="7" t="str">
        <f>IF(ISBLANK(patch[[#This Row],[OwnerEmail]]),Q1168,patch[[#This Row],[OwnerEmail]])</f>
        <v>bin.b.yang@intel.com</v>
      </c>
      <c r="R1169" s="7" t="str">
        <f>_xlfn.IFNA(VLOOKUP(patch[[#This Row],[tmp-owner.email]],OrgTree!$A:$K, 11, 0), "not ICG SWFW")</f>
        <v>BJ And dev</v>
      </c>
      <c r="S1169" s="7" t="str">
        <f>IF(patch[[#This Row],[reviewer]]=patch[[#This Row],[tmp-owner.email]], "author", _xlfn.IFNA(VLOOKUP(patch[[#This Row],[reviewer]],OrgTree!$A:$K, 11, 0), "not ICG SWFW"))</f>
        <v>author</v>
      </c>
      <c r="T1169" s="7" t="str">
        <f>IF(ISBLANK(patch[[#This Row],[mergeDate]]), "", MID(YEAR(patch[[#This Row],[mergeDate]]), 3,2)&amp;"'ww"&amp;WEEKNUM(patch[[#This Row],[mergeDate]]))</f>
        <v>16'ww39</v>
      </c>
      <c r="U1169" s="7" t="str">
        <f>IF(ISBLANK(patch[[#This Row],[mergeDate]]), U1168, MID(YEAR(patch[[#This Row],[mergeDate]]), 3,2)&amp;"'m"&amp;MONTH(patch[[#This Row],[mergeDate]]))</f>
        <v>16'm9</v>
      </c>
      <c r="V1169" s="7" t="str">
        <f>IF(ISBLANK(patch[[#This Row],[project]]), "",SUM(patch[[#This Row],[BJ -1 num]:[SH -1 num]]))</f>
        <v/>
      </c>
      <c r="W1169" s="7" t="str">
        <f>IF(ISBLANK(patch[[#This Row],[project]]), "",COUNTIFS($A:$A,patch[[#This Row],[number]],$S:$S, "BJ And dev",$AC:$AC, "Review-1"))</f>
        <v/>
      </c>
      <c r="X1169" s="7" t="str">
        <f>IF(ISBLANK(patch[[#This Row],[project]]), "",COUNTIFS($A:$A,patch[[#This Row],[number]],$S:$S, "FL And dev",$AC:$AC, "Review-1"))</f>
        <v/>
      </c>
      <c r="Y1169" s="7" t="str">
        <f>IF(ISBLANK(patch[[#This Row],[project]]), "",COUNTIFS($A:$A,patch[[#This Row],[number]],$S:$S, "SH And dev",$AC:$AC, "Review-1"))</f>
        <v/>
      </c>
      <c r="Z1169" s="7" t="str">
        <f>IF(ISBLANK(patch[[#This Row],[project]]), "",COUNTIFS($A:$A,patch[[#This Row],[number]],$S:$S, "BJ And dev",$AD:$AD, "&lt;&gt;IntegratorValidationComment"))</f>
        <v/>
      </c>
      <c r="AA1169" s="7" t="str">
        <f>IF(ISBLANK(patch[[#This Row],[project]]), "",COUNTIFS($A:$A,patch[[#This Row],[number]],$S:$S, "FL And dev",$AD:$AD, "&lt;&gt;IntegratorValidationComment"))</f>
        <v/>
      </c>
      <c r="AB1169" s="7" t="str">
        <f>IF(ISBLANK(patch[[#This Row],[project]]), "",COUNTIFS($A:$A,patch[[#This Row],[number]],$S:$S, "SH And dev",$AD:$AD, "&lt;&gt;IntegratorValidationComment"))</f>
        <v/>
      </c>
      <c r="AC1169" s="7" t="str">
        <f>IF(OR(ISNUMBER(FIND("Review-1", patch[[#This Row],[comments]])), ISNUMBER(FIND("Approver-1", patch[[#This Row],[comments]]))), "Review-1", "")</f>
        <v/>
      </c>
      <c r="AD11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69" s="7">
        <f>IF(ISBLANK(patch[[#This Row],[number]]),AE1168,patch[[#This Row],[ifCommon]])</f>
        <v>0</v>
      </c>
    </row>
    <row r="1170" spans="1:31">
      <c r="A1170" s="151">
        <v>145024</v>
      </c>
      <c r="B1170" s="151"/>
      <c r="C1170" s="151"/>
      <c r="D1170" s="151"/>
      <c r="E1170" s="151"/>
      <c r="F1170" s="151"/>
      <c r="G1170" s="151"/>
      <c r="H1170" s="151"/>
      <c r="I1170" s="151"/>
      <c r="J1170" s="152">
        <v>42633.710104166668</v>
      </c>
      <c r="K1170" s="151"/>
      <c r="L1170" s="151" t="s">
        <v>59</v>
      </c>
      <c r="M1170" s="152">
        <v>42628.466898148137</v>
      </c>
      <c r="N1170" s="151" t="s">
        <v>3184</v>
      </c>
      <c r="O1170" s="151"/>
      <c r="P1170" s="151"/>
      <c r="Q1170" s="7" t="str">
        <f>IF(ISBLANK(patch[[#This Row],[OwnerEmail]]),Q1169,patch[[#This Row],[OwnerEmail]])</f>
        <v>bin.b.yang@intel.com</v>
      </c>
      <c r="R1170" s="7" t="str">
        <f>_xlfn.IFNA(VLOOKUP(patch[[#This Row],[tmp-owner.email]],OrgTree!$A:$K, 11, 0), "not ICG SWFW")</f>
        <v>BJ And dev</v>
      </c>
      <c r="S1170" s="7" t="str">
        <f>IF(patch[[#This Row],[reviewer]]=patch[[#This Row],[tmp-owner.email]], "author", _xlfn.IFNA(VLOOKUP(patch[[#This Row],[reviewer]],OrgTree!$A:$K, 11, 0), "not ICG SWFW"))</f>
        <v>BJ And dev</v>
      </c>
      <c r="T1170" s="7" t="str">
        <f>IF(ISBLANK(patch[[#This Row],[mergeDate]]), "", MID(YEAR(patch[[#This Row],[mergeDate]]), 3,2)&amp;"'ww"&amp;WEEKNUM(patch[[#This Row],[mergeDate]]))</f>
        <v>16'ww39</v>
      </c>
      <c r="U1170" s="7" t="str">
        <f>IF(ISBLANK(patch[[#This Row],[mergeDate]]), U1169, MID(YEAR(patch[[#This Row],[mergeDate]]), 3,2)&amp;"'m"&amp;MONTH(patch[[#This Row],[mergeDate]]))</f>
        <v>16'm9</v>
      </c>
      <c r="V1170" s="7" t="str">
        <f>IF(ISBLANK(patch[[#This Row],[project]]), "",SUM(patch[[#This Row],[BJ -1 num]:[SH -1 num]]))</f>
        <v/>
      </c>
      <c r="W1170" s="7" t="str">
        <f>IF(ISBLANK(patch[[#This Row],[project]]), "",COUNTIFS($A:$A,patch[[#This Row],[number]],$S:$S, "BJ And dev",$AC:$AC, "Review-1"))</f>
        <v/>
      </c>
      <c r="X1170" s="7" t="str">
        <f>IF(ISBLANK(patch[[#This Row],[project]]), "",COUNTIFS($A:$A,patch[[#This Row],[number]],$S:$S, "FL And dev",$AC:$AC, "Review-1"))</f>
        <v/>
      </c>
      <c r="Y1170" s="7" t="str">
        <f>IF(ISBLANK(patch[[#This Row],[project]]), "",COUNTIFS($A:$A,patch[[#This Row],[number]],$S:$S, "SH And dev",$AC:$AC, "Review-1"))</f>
        <v/>
      </c>
      <c r="Z1170" s="7" t="str">
        <f>IF(ISBLANK(patch[[#This Row],[project]]), "",COUNTIFS($A:$A,patch[[#This Row],[number]],$S:$S, "BJ And dev",$AD:$AD, "&lt;&gt;IntegratorValidationComment"))</f>
        <v/>
      </c>
      <c r="AA1170" s="7" t="str">
        <f>IF(ISBLANK(patch[[#This Row],[project]]), "",COUNTIFS($A:$A,patch[[#This Row],[number]],$S:$S, "FL And dev",$AD:$AD, "&lt;&gt;IntegratorValidationComment"))</f>
        <v/>
      </c>
      <c r="AB1170" s="7" t="str">
        <f>IF(ISBLANK(patch[[#This Row],[project]]), "",COUNTIFS($A:$A,patch[[#This Row],[number]],$S:$S, "SH And dev",$AD:$AD, "&lt;&gt;IntegratorValidationComment"))</f>
        <v/>
      </c>
      <c r="AC1170" s="7" t="str">
        <f>IF(OR(ISNUMBER(FIND("Review-1", patch[[#This Row],[comments]])), ISNUMBER(FIND("Approver-1", patch[[#This Row],[comments]]))), "Review-1", "")</f>
        <v/>
      </c>
      <c r="AD11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70" s="7">
        <f>IF(ISBLANK(patch[[#This Row],[number]]),AE1169,patch[[#This Row],[ifCommon]])</f>
        <v>0</v>
      </c>
    </row>
    <row r="1171" spans="1:31">
      <c r="A1171" s="151">
        <v>145024</v>
      </c>
      <c r="B1171" s="151"/>
      <c r="C1171" s="151"/>
      <c r="D1171" s="151"/>
      <c r="E1171" s="151"/>
      <c r="F1171" s="151"/>
      <c r="G1171" s="151"/>
      <c r="H1171" s="151"/>
      <c r="I1171" s="151"/>
      <c r="J1171" s="152">
        <v>42633.710104166668</v>
      </c>
      <c r="K1171" s="151"/>
      <c r="L1171" s="151" t="s">
        <v>59</v>
      </c>
      <c r="M1171" s="152">
        <v>42628.47</v>
      </c>
      <c r="N1171" s="151" t="s">
        <v>3185</v>
      </c>
      <c r="O1171" s="151"/>
      <c r="P1171" s="151"/>
      <c r="Q1171" s="7" t="str">
        <f>IF(ISBLANK(patch[[#This Row],[OwnerEmail]]),Q1170,patch[[#This Row],[OwnerEmail]])</f>
        <v>bin.b.yang@intel.com</v>
      </c>
      <c r="R1171" s="7" t="str">
        <f>_xlfn.IFNA(VLOOKUP(patch[[#This Row],[tmp-owner.email]],OrgTree!$A:$K, 11, 0), "not ICG SWFW")</f>
        <v>BJ And dev</v>
      </c>
      <c r="S1171" s="7" t="str">
        <f>IF(patch[[#This Row],[reviewer]]=patch[[#This Row],[tmp-owner.email]], "author", _xlfn.IFNA(VLOOKUP(patch[[#This Row],[reviewer]],OrgTree!$A:$K, 11, 0), "not ICG SWFW"))</f>
        <v>BJ And dev</v>
      </c>
      <c r="T1171" s="7" t="str">
        <f>IF(ISBLANK(patch[[#This Row],[mergeDate]]), "", MID(YEAR(patch[[#This Row],[mergeDate]]), 3,2)&amp;"'ww"&amp;WEEKNUM(patch[[#This Row],[mergeDate]]))</f>
        <v>16'ww39</v>
      </c>
      <c r="U1171" s="7" t="str">
        <f>IF(ISBLANK(patch[[#This Row],[mergeDate]]), U1170, MID(YEAR(patch[[#This Row],[mergeDate]]), 3,2)&amp;"'m"&amp;MONTH(patch[[#This Row],[mergeDate]]))</f>
        <v>16'm9</v>
      </c>
      <c r="V1171" s="7" t="str">
        <f>IF(ISBLANK(patch[[#This Row],[project]]), "",SUM(patch[[#This Row],[BJ -1 num]:[SH -1 num]]))</f>
        <v/>
      </c>
      <c r="W1171" s="7" t="str">
        <f>IF(ISBLANK(patch[[#This Row],[project]]), "",COUNTIFS($A:$A,patch[[#This Row],[number]],$S:$S, "BJ And dev",$AC:$AC, "Review-1"))</f>
        <v/>
      </c>
      <c r="X1171" s="7" t="str">
        <f>IF(ISBLANK(patch[[#This Row],[project]]), "",COUNTIFS($A:$A,patch[[#This Row],[number]],$S:$S, "FL And dev",$AC:$AC, "Review-1"))</f>
        <v/>
      </c>
      <c r="Y1171" s="7" t="str">
        <f>IF(ISBLANK(patch[[#This Row],[project]]), "",COUNTIFS($A:$A,patch[[#This Row],[number]],$S:$S, "SH And dev",$AC:$AC, "Review-1"))</f>
        <v/>
      </c>
      <c r="Z1171" s="7" t="str">
        <f>IF(ISBLANK(patch[[#This Row],[project]]), "",COUNTIFS($A:$A,patch[[#This Row],[number]],$S:$S, "BJ And dev",$AD:$AD, "&lt;&gt;IntegratorValidationComment"))</f>
        <v/>
      </c>
      <c r="AA1171" s="7" t="str">
        <f>IF(ISBLANK(patch[[#This Row],[project]]), "",COUNTIFS($A:$A,patch[[#This Row],[number]],$S:$S, "FL And dev",$AD:$AD, "&lt;&gt;IntegratorValidationComment"))</f>
        <v/>
      </c>
      <c r="AB1171" s="7" t="str">
        <f>IF(ISBLANK(patch[[#This Row],[project]]), "",COUNTIFS($A:$A,patch[[#This Row],[number]],$S:$S, "SH And dev",$AD:$AD, "&lt;&gt;IntegratorValidationComment"))</f>
        <v/>
      </c>
      <c r="AC1171" s="7" t="str">
        <f>IF(OR(ISNUMBER(FIND("Review-1", patch[[#This Row],[comments]])), ISNUMBER(FIND("Approver-1", patch[[#This Row],[comments]]))), "Review-1", "")</f>
        <v/>
      </c>
      <c r="AD11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71" s="7">
        <f>IF(ISBLANK(patch[[#This Row],[number]]),AE1170,patch[[#This Row],[ifCommon]])</f>
        <v>0</v>
      </c>
    </row>
    <row r="1172" spans="1:31">
      <c r="A1172" s="151">
        <v>145024</v>
      </c>
      <c r="B1172" s="151"/>
      <c r="C1172" s="151"/>
      <c r="D1172" s="151"/>
      <c r="E1172" s="151"/>
      <c r="F1172" s="151"/>
      <c r="G1172" s="151"/>
      <c r="H1172" s="151"/>
      <c r="I1172" s="151"/>
      <c r="J1172" s="152">
        <v>42633.710104166668</v>
      </c>
      <c r="K1172" s="151"/>
      <c r="L1172" s="151" t="s">
        <v>72</v>
      </c>
      <c r="M1172" s="152">
        <v>42628.526516203703</v>
      </c>
      <c r="N1172" s="151" t="s">
        <v>1829</v>
      </c>
      <c r="O1172" s="151"/>
      <c r="P1172" s="151"/>
      <c r="Q1172" s="7" t="str">
        <f>IF(ISBLANK(patch[[#This Row],[OwnerEmail]]),Q1171,patch[[#This Row],[OwnerEmail]])</f>
        <v>bin.b.yang@intel.com</v>
      </c>
      <c r="R1172" s="7" t="str">
        <f>_xlfn.IFNA(VLOOKUP(patch[[#This Row],[tmp-owner.email]],OrgTree!$A:$K, 11, 0), "not ICG SWFW")</f>
        <v>BJ And dev</v>
      </c>
      <c r="S1172" s="7" t="str">
        <f>IF(patch[[#This Row],[reviewer]]=patch[[#This Row],[tmp-owner.email]], "author", _xlfn.IFNA(VLOOKUP(patch[[#This Row],[reviewer]],OrgTree!$A:$K, 11, 0), "not ICG SWFW"))</f>
        <v>author</v>
      </c>
      <c r="T1172" s="7" t="str">
        <f>IF(ISBLANK(patch[[#This Row],[mergeDate]]), "", MID(YEAR(patch[[#This Row],[mergeDate]]), 3,2)&amp;"'ww"&amp;WEEKNUM(patch[[#This Row],[mergeDate]]))</f>
        <v>16'ww39</v>
      </c>
      <c r="U1172" s="7" t="str">
        <f>IF(ISBLANK(patch[[#This Row],[mergeDate]]), U1171, MID(YEAR(patch[[#This Row],[mergeDate]]), 3,2)&amp;"'m"&amp;MONTH(patch[[#This Row],[mergeDate]]))</f>
        <v>16'm9</v>
      </c>
      <c r="V1172" s="7" t="str">
        <f>IF(ISBLANK(patch[[#This Row],[project]]), "",SUM(patch[[#This Row],[BJ -1 num]:[SH -1 num]]))</f>
        <v/>
      </c>
      <c r="W1172" s="7" t="str">
        <f>IF(ISBLANK(patch[[#This Row],[project]]), "",COUNTIFS($A:$A,patch[[#This Row],[number]],$S:$S, "BJ And dev",$AC:$AC, "Review-1"))</f>
        <v/>
      </c>
      <c r="X1172" s="7" t="str">
        <f>IF(ISBLANK(patch[[#This Row],[project]]), "",COUNTIFS($A:$A,patch[[#This Row],[number]],$S:$S, "FL And dev",$AC:$AC, "Review-1"))</f>
        <v/>
      </c>
      <c r="Y1172" s="7" t="str">
        <f>IF(ISBLANK(patch[[#This Row],[project]]), "",COUNTIFS($A:$A,patch[[#This Row],[number]],$S:$S, "SH And dev",$AC:$AC, "Review-1"))</f>
        <v/>
      </c>
      <c r="Z1172" s="7" t="str">
        <f>IF(ISBLANK(patch[[#This Row],[project]]), "",COUNTIFS($A:$A,patch[[#This Row],[number]],$S:$S, "BJ And dev",$AD:$AD, "&lt;&gt;IntegratorValidationComment"))</f>
        <v/>
      </c>
      <c r="AA1172" s="7" t="str">
        <f>IF(ISBLANK(patch[[#This Row],[project]]), "",COUNTIFS($A:$A,patch[[#This Row],[number]],$S:$S, "FL And dev",$AD:$AD, "&lt;&gt;IntegratorValidationComment"))</f>
        <v/>
      </c>
      <c r="AB1172" s="7" t="str">
        <f>IF(ISBLANK(patch[[#This Row],[project]]), "",COUNTIFS($A:$A,patch[[#This Row],[number]],$S:$S, "SH And dev",$AD:$AD, "&lt;&gt;IntegratorValidationComment"))</f>
        <v/>
      </c>
      <c r="AC1172" s="7" t="str">
        <f>IF(OR(ISNUMBER(FIND("Review-1", patch[[#This Row],[comments]])), ISNUMBER(FIND("Approver-1", patch[[#This Row],[comments]]))), "Review-1", "")</f>
        <v/>
      </c>
      <c r="AD11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72" s="7">
        <f>IF(ISBLANK(patch[[#This Row],[number]]),AE1171,patch[[#This Row],[ifCommon]])</f>
        <v>0</v>
      </c>
    </row>
    <row r="1173" spans="1:31">
      <c r="A1173" s="151">
        <v>145024</v>
      </c>
      <c r="B1173" s="151"/>
      <c r="C1173" s="151"/>
      <c r="D1173" s="151"/>
      <c r="E1173" s="151"/>
      <c r="F1173" s="151"/>
      <c r="G1173" s="151"/>
      <c r="H1173" s="151"/>
      <c r="I1173" s="151"/>
      <c r="J1173" s="152">
        <v>42633.710104166668</v>
      </c>
      <c r="K1173" s="151"/>
      <c r="L1173" s="151" t="s">
        <v>72</v>
      </c>
      <c r="M1173" s="152">
        <v>42628.526655092603</v>
      </c>
      <c r="N1173" s="151" t="s">
        <v>2450</v>
      </c>
      <c r="O1173" s="151"/>
      <c r="P1173" s="151"/>
      <c r="Q1173" s="7" t="str">
        <f>IF(ISBLANK(patch[[#This Row],[OwnerEmail]]),Q1172,patch[[#This Row],[OwnerEmail]])</f>
        <v>bin.b.yang@intel.com</v>
      </c>
      <c r="R1173" s="7" t="str">
        <f>_xlfn.IFNA(VLOOKUP(patch[[#This Row],[tmp-owner.email]],OrgTree!$A:$K, 11, 0), "not ICG SWFW")</f>
        <v>BJ And dev</v>
      </c>
      <c r="S1173" s="7" t="str">
        <f>IF(patch[[#This Row],[reviewer]]=patch[[#This Row],[tmp-owner.email]], "author", _xlfn.IFNA(VLOOKUP(patch[[#This Row],[reviewer]],OrgTree!$A:$K, 11, 0), "not ICG SWFW"))</f>
        <v>author</v>
      </c>
      <c r="T1173" s="7" t="str">
        <f>IF(ISBLANK(patch[[#This Row],[mergeDate]]), "", MID(YEAR(patch[[#This Row],[mergeDate]]), 3,2)&amp;"'ww"&amp;WEEKNUM(patch[[#This Row],[mergeDate]]))</f>
        <v>16'ww39</v>
      </c>
      <c r="U1173" s="7" t="str">
        <f>IF(ISBLANK(patch[[#This Row],[mergeDate]]), U1172, MID(YEAR(patch[[#This Row],[mergeDate]]), 3,2)&amp;"'m"&amp;MONTH(patch[[#This Row],[mergeDate]]))</f>
        <v>16'm9</v>
      </c>
      <c r="V1173" s="7" t="str">
        <f>IF(ISBLANK(patch[[#This Row],[project]]), "",SUM(patch[[#This Row],[BJ -1 num]:[SH -1 num]]))</f>
        <v/>
      </c>
      <c r="W1173" s="7" t="str">
        <f>IF(ISBLANK(patch[[#This Row],[project]]), "",COUNTIFS($A:$A,patch[[#This Row],[number]],$S:$S, "BJ And dev",$AC:$AC, "Review-1"))</f>
        <v/>
      </c>
      <c r="X1173" s="7" t="str">
        <f>IF(ISBLANK(patch[[#This Row],[project]]), "",COUNTIFS($A:$A,patch[[#This Row],[number]],$S:$S, "FL And dev",$AC:$AC, "Review-1"))</f>
        <v/>
      </c>
      <c r="Y1173" s="7" t="str">
        <f>IF(ISBLANK(patch[[#This Row],[project]]), "",COUNTIFS($A:$A,patch[[#This Row],[number]],$S:$S, "SH And dev",$AC:$AC, "Review-1"))</f>
        <v/>
      </c>
      <c r="Z1173" s="7" t="str">
        <f>IF(ISBLANK(patch[[#This Row],[project]]), "",COUNTIFS($A:$A,patch[[#This Row],[number]],$S:$S, "BJ And dev",$AD:$AD, "&lt;&gt;IntegratorValidationComment"))</f>
        <v/>
      </c>
      <c r="AA1173" s="7" t="str">
        <f>IF(ISBLANK(patch[[#This Row],[project]]), "",COUNTIFS($A:$A,patch[[#This Row],[number]],$S:$S, "FL And dev",$AD:$AD, "&lt;&gt;IntegratorValidationComment"))</f>
        <v/>
      </c>
      <c r="AB1173" s="7" t="str">
        <f>IF(ISBLANK(patch[[#This Row],[project]]), "",COUNTIFS($A:$A,patch[[#This Row],[number]],$S:$S, "SH And dev",$AD:$AD, "&lt;&gt;IntegratorValidationComment"))</f>
        <v/>
      </c>
      <c r="AC1173" s="7" t="str">
        <f>IF(OR(ISNUMBER(FIND("Review-1", patch[[#This Row],[comments]])), ISNUMBER(FIND("Approver-1", patch[[#This Row],[comments]]))), "Review-1", "")</f>
        <v/>
      </c>
      <c r="AD11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73" s="7">
        <f>IF(ISBLANK(patch[[#This Row],[number]]),AE1172,patch[[#This Row],[ifCommon]])</f>
        <v>0</v>
      </c>
    </row>
    <row r="1174" spans="1:31">
      <c r="A1174" s="151">
        <v>145024</v>
      </c>
      <c r="B1174" s="151"/>
      <c r="C1174" s="151"/>
      <c r="D1174" s="151"/>
      <c r="E1174" s="151"/>
      <c r="F1174" s="151"/>
      <c r="G1174" s="151"/>
      <c r="H1174" s="151"/>
      <c r="I1174" s="151"/>
      <c r="J1174" s="152">
        <v>42633.710104166668</v>
      </c>
      <c r="K1174" s="151"/>
      <c r="L1174" s="151" t="s">
        <v>59</v>
      </c>
      <c r="M1174" s="152">
        <v>42628.529421296298</v>
      </c>
      <c r="N1174" s="151" t="s">
        <v>3186</v>
      </c>
      <c r="O1174" s="151"/>
      <c r="P1174" s="151"/>
      <c r="Q1174" s="7" t="str">
        <f>IF(ISBLANK(patch[[#This Row],[OwnerEmail]]),Q1173,patch[[#This Row],[OwnerEmail]])</f>
        <v>bin.b.yang@intel.com</v>
      </c>
      <c r="R1174" s="7" t="str">
        <f>_xlfn.IFNA(VLOOKUP(patch[[#This Row],[tmp-owner.email]],OrgTree!$A:$K, 11, 0), "not ICG SWFW")</f>
        <v>BJ And dev</v>
      </c>
      <c r="S1174" s="7" t="str">
        <f>IF(patch[[#This Row],[reviewer]]=patch[[#This Row],[tmp-owner.email]], "author", _xlfn.IFNA(VLOOKUP(patch[[#This Row],[reviewer]],OrgTree!$A:$K, 11, 0), "not ICG SWFW"))</f>
        <v>BJ And dev</v>
      </c>
      <c r="T1174" s="7" t="str">
        <f>IF(ISBLANK(patch[[#This Row],[mergeDate]]), "", MID(YEAR(patch[[#This Row],[mergeDate]]), 3,2)&amp;"'ww"&amp;WEEKNUM(patch[[#This Row],[mergeDate]]))</f>
        <v>16'ww39</v>
      </c>
      <c r="U1174" s="7" t="str">
        <f>IF(ISBLANK(patch[[#This Row],[mergeDate]]), U1173, MID(YEAR(patch[[#This Row],[mergeDate]]), 3,2)&amp;"'m"&amp;MONTH(patch[[#This Row],[mergeDate]]))</f>
        <v>16'm9</v>
      </c>
      <c r="V1174" s="7" t="str">
        <f>IF(ISBLANK(patch[[#This Row],[project]]), "",SUM(patch[[#This Row],[BJ -1 num]:[SH -1 num]]))</f>
        <v/>
      </c>
      <c r="W1174" s="7" t="str">
        <f>IF(ISBLANK(patch[[#This Row],[project]]), "",COUNTIFS($A:$A,patch[[#This Row],[number]],$S:$S, "BJ And dev",$AC:$AC, "Review-1"))</f>
        <v/>
      </c>
      <c r="X1174" s="7" t="str">
        <f>IF(ISBLANK(patch[[#This Row],[project]]), "",COUNTIFS($A:$A,patch[[#This Row],[number]],$S:$S, "FL And dev",$AC:$AC, "Review-1"))</f>
        <v/>
      </c>
      <c r="Y1174" s="7" t="str">
        <f>IF(ISBLANK(patch[[#This Row],[project]]), "",COUNTIFS($A:$A,patch[[#This Row],[number]],$S:$S, "SH And dev",$AC:$AC, "Review-1"))</f>
        <v/>
      </c>
      <c r="Z1174" s="7" t="str">
        <f>IF(ISBLANK(patch[[#This Row],[project]]), "",COUNTIFS($A:$A,patch[[#This Row],[number]],$S:$S, "BJ And dev",$AD:$AD, "&lt;&gt;IntegratorValidationComment"))</f>
        <v/>
      </c>
      <c r="AA1174" s="7" t="str">
        <f>IF(ISBLANK(patch[[#This Row],[project]]), "",COUNTIFS($A:$A,patch[[#This Row],[number]],$S:$S, "FL And dev",$AD:$AD, "&lt;&gt;IntegratorValidationComment"))</f>
        <v/>
      </c>
      <c r="AB1174" s="7" t="str">
        <f>IF(ISBLANK(patch[[#This Row],[project]]), "",COUNTIFS($A:$A,patch[[#This Row],[number]],$S:$S, "SH And dev",$AD:$AD, "&lt;&gt;IntegratorValidationComment"))</f>
        <v/>
      </c>
      <c r="AC1174" s="7" t="str">
        <f>IF(OR(ISNUMBER(FIND("Review-1", patch[[#This Row],[comments]])), ISNUMBER(FIND("Approver-1", patch[[#This Row],[comments]]))), "Review-1", "")</f>
        <v/>
      </c>
      <c r="AD11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74" s="7">
        <f>IF(ISBLANK(patch[[#This Row],[number]]),AE1173,patch[[#This Row],[ifCommon]])</f>
        <v>0</v>
      </c>
    </row>
    <row r="1175" spans="1:31">
      <c r="A1175" s="151">
        <v>145024</v>
      </c>
      <c r="B1175" s="151"/>
      <c r="C1175" s="151"/>
      <c r="D1175" s="151"/>
      <c r="E1175" s="151"/>
      <c r="F1175" s="151"/>
      <c r="G1175" s="151"/>
      <c r="H1175" s="151"/>
      <c r="I1175" s="151"/>
      <c r="J1175" s="152">
        <v>42633.710104166668</v>
      </c>
      <c r="K1175" s="151"/>
      <c r="L1175" s="151" t="s">
        <v>59</v>
      </c>
      <c r="M1175" s="152">
        <v>42628.53197916667</v>
      </c>
      <c r="N1175" s="151" t="s">
        <v>3187</v>
      </c>
      <c r="O1175" s="151"/>
      <c r="P1175" s="151"/>
      <c r="Q1175" s="7" t="str">
        <f>IF(ISBLANK(patch[[#This Row],[OwnerEmail]]),Q1174,patch[[#This Row],[OwnerEmail]])</f>
        <v>bin.b.yang@intel.com</v>
      </c>
      <c r="R1175" s="7" t="str">
        <f>_xlfn.IFNA(VLOOKUP(patch[[#This Row],[tmp-owner.email]],OrgTree!$A:$K, 11, 0), "not ICG SWFW")</f>
        <v>BJ And dev</v>
      </c>
      <c r="S1175" s="7" t="str">
        <f>IF(patch[[#This Row],[reviewer]]=patch[[#This Row],[tmp-owner.email]], "author", _xlfn.IFNA(VLOOKUP(patch[[#This Row],[reviewer]],OrgTree!$A:$K, 11, 0), "not ICG SWFW"))</f>
        <v>BJ And dev</v>
      </c>
      <c r="T1175" s="7" t="str">
        <f>IF(ISBLANK(patch[[#This Row],[mergeDate]]), "", MID(YEAR(patch[[#This Row],[mergeDate]]), 3,2)&amp;"'ww"&amp;WEEKNUM(patch[[#This Row],[mergeDate]]))</f>
        <v>16'ww39</v>
      </c>
      <c r="U1175" s="7" t="str">
        <f>IF(ISBLANK(patch[[#This Row],[mergeDate]]), U1174, MID(YEAR(patch[[#This Row],[mergeDate]]), 3,2)&amp;"'m"&amp;MONTH(patch[[#This Row],[mergeDate]]))</f>
        <v>16'm9</v>
      </c>
      <c r="V1175" s="7" t="str">
        <f>IF(ISBLANK(patch[[#This Row],[project]]), "",SUM(patch[[#This Row],[BJ -1 num]:[SH -1 num]]))</f>
        <v/>
      </c>
      <c r="W1175" s="7" t="str">
        <f>IF(ISBLANK(patch[[#This Row],[project]]), "",COUNTIFS($A:$A,patch[[#This Row],[number]],$S:$S, "BJ And dev",$AC:$AC, "Review-1"))</f>
        <v/>
      </c>
      <c r="X1175" s="7" t="str">
        <f>IF(ISBLANK(patch[[#This Row],[project]]), "",COUNTIFS($A:$A,patch[[#This Row],[number]],$S:$S, "FL And dev",$AC:$AC, "Review-1"))</f>
        <v/>
      </c>
      <c r="Y1175" s="7" t="str">
        <f>IF(ISBLANK(patch[[#This Row],[project]]), "",COUNTIFS($A:$A,patch[[#This Row],[number]],$S:$S, "SH And dev",$AC:$AC, "Review-1"))</f>
        <v/>
      </c>
      <c r="Z1175" s="7" t="str">
        <f>IF(ISBLANK(patch[[#This Row],[project]]), "",COUNTIFS($A:$A,patch[[#This Row],[number]],$S:$S, "BJ And dev",$AD:$AD, "&lt;&gt;IntegratorValidationComment"))</f>
        <v/>
      </c>
      <c r="AA1175" s="7" t="str">
        <f>IF(ISBLANK(patch[[#This Row],[project]]), "",COUNTIFS($A:$A,patch[[#This Row],[number]],$S:$S, "FL And dev",$AD:$AD, "&lt;&gt;IntegratorValidationComment"))</f>
        <v/>
      </c>
      <c r="AB1175" s="7" t="str">
        <f>IF(ISBLANK(patch[[#This Row],[project]]), "",COUNTIFS($A:$A,patch[[#This Row],[number]],$S:$S, "SH And dev",$AD:$AD, "&lt;&gt;IntegratorValidationComment"))</f>
        <v/>
      </c>
      <c r="AC1175" s="7" t="str">
        <f>IF(OR(ISNUMBER(FIND("Review-1", patch[[#This Row],[comments]])), ISNUMBER(FIND("Approver-1", patch[[#This Row],[comments]]))), "Review-1", "")</f>
        <v/>
      </c>
      <c r="AD11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75" s="7">
        <f>IF(ISBLANK(patch[[#This Row],[number]]),AE1174,patch[[#This Row],[ifCommon]])</f>
        <v>0</v>
      </c>
    </row>
    <row r="1176" spans="1:31">
      <c r="A1176" s="151">
        <v>145024</v>
      </c>
      <c r="B1176" s="151"/>
      <c r="C1176" s="151"/>
      <c r="D1176" s="151"/>
      <c r="E1176" s="151"/>
      <c r="F1176" s="151"/>
      <c r="G1176" s="151"/>
      <c r="H1176" s="151"/>
      <c r="I1176" s="152"/>
      <c r="J1176" s="152">
        <v>42633.710104166668</v>
      </c>
      <c r="K1176" s="151"/>
      <c r="L1176" s="151" t="s">
        <v>32</v>
      </c>
      <c r="M1176" s="152">
        <v>42630.583622685182</v>
      </c>
      <c r="N1176" s="151" t="s">
        <v>48</v>
      </c>
      <c r="O1176" s="151"/>
      <c r="P1176" s="151"/>
      <c r="Q1176" s="7" t="str">
        <f>IF(ISBLANK(patch[[#This Row],[OwnerEmail]]),Q1175,patch[[#This Row],[OwnerEmail]])</f>
        <v>bin.b.yang@intel.com</v>
      </c>
      <c r="R1176" s="7" t="str">
        <f>_xlfn.IFNA(VLOOKUP(patch[[#This Row],[tmp-owner.email]],OrgTree!$A:$K, 11, 0), "not ICG SWFW")</f>
        <v>BJ And dev</v>
      </c>
      <c r="S1176" s="7" t="str">
        <f>IF(patch[[#This Row],[reviewer]]=patch[[#This Row],[tmp-owner.email]], "author", _xlfn.IFNA(VLOOKUP(patch[[#This Row],[reviewer]],OrgTree!$A:$K, 11, 0), "not ICG SWFW"))</f>
        <v>BJ And dev</v>
      </c>
      <c r="T1176" s="7" t="str">
        <f>IF(ISBLANK(patch[[#This Row],[mergeDate]]), "", MID(YEAR(patch[[#This Row],[mergeDate]]), 3,2)&amp;"'ww"&amp;WEEKNUM(patch[[#This Row],[mergeDate]]))</f>
        <v>16'ww39</v>
      </c>
      <c r="U1176" s="7" t="str">
        <f>IF(ISBLANK(patch[[#This Row],[mergeDate]]), U1175, MID(YEAR(patch[[#This Row],[mergeDate]]), 3,2)&amp;"'m"&amp;MONTH(patch[[#This Row],[mergeDate]]))</f>
        <v>16'm9</v>
      </c>
      <c r="V1176" s="7" t="str">
        <f>IF(ISBLANK(patch[[#This Row],[project]]), "",SUM(patch[[#This Row],[BJ -1 num]:[SH -1 num]]))</f>
        <v/>
      </c>
      <c r="W1176" s="7" t="str">
        <f>IF(ISBLANK(patch[[#This Row],[project]]), "",COUNTIFS($A:$A,patch[[#This Row],[number]],$S:$S, "BJ And dev",$AC:$AC, "Review-1"))</f>
        <v/>
      </c>
      <c r="X1176" s="7" t="str">
        <f>IF(ISBLANK(patch[[#This Row],[project]]), "",COUNTIFS($A:$A,patch[[#This Row],[number]],$S:$S, "FL And dev",$AC:$AC, "Review-1"))</f>
        <v/>
      </c>
      <c r="Y1176" s="7" t="str">
        <f>IF(ISBLANK(patch[[#This Row],[project]]), "",COUNTIFS($A:$A,patch[[#This Row],[number]],$S:$S, "SH And dev",$AC:$AC, "Review-1"))</f>
        <v/>
      </c>
      <c r="Z1176" s="7" t="str">
        <f>IF(ISBLANK(patch[[#This Row],[project]]), "",COUNTIFS($A:$A,patch[[#This Row],[number]],$S:$S, "BJ And dev",$AD:$AD, "&lt;&gt;IntegratorValidationComment"))</f>
        <v/>
      </c>
      <c r="AA1176" s="7" t="str">
        <f>IF(ISBLANK(patch[[#This Row],[project]]), "",COUNTIFS($A:$A,patch[[#This Row],[number]],$S:$S, "FL And dev",$AD:$AD, "&lt;&gt;IntegratorValidationComment"))</f>
        <v/>
      </c>
      <c r="AB1176" s="7" t="str">
        <f>IF(ISBLANK(patch[[#This Row],[project]]), "",COUNTIFS($A:$A,patch[[#This Row],[number]],$S:$S, "SH And dev",$AD:$AD, "&lt;&gt;IntegratorValidationComment"))</f>
        <v/>
      </c>
      <c r="AC1176" s="7" t="str">
        <f>IF(OR(ISNUMBER(FIND("Review-1", patch[[#This Row],[comments]])), ISNUMBER(FIND("Approver-1", patch[[#This Row],[comments]]))), "Review-1", "")</f>
        <v/>
      </c>
      <c r="AD11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76" s="7">
        <f>IF(ISBLANK(patch[[#This Row],[number]]),AE1175,patch[[#This Row],[ifCommon]])</f>
        <v>0</v>
      </c>
    </row>
    <row r="1177" spans="1:31">
      <c r="A1177" s="151">
        <v>145024</v>
      </c>
      <c r="B1177" s="151"/>
      <c r="C1177" s="151"/>
      <c r="D1177" s="151"/>
      <c r="E1177" s="151"/>
      <c r="F1177" s="151"/>
      <c r="G1177" s="151"/>
      <c r="H1177" s="151"/>
      <c r="I1177" s="151"/>
      <c r="J1177" s="152">
        <v>42633.710104166668</v>
      </c>
      <c r="K1177" s="151"/>
      <c r="L1177" s="151" t="s">
        <v>115</v>
      </c>
      <c r="M1177" s="152">
        <v>42631.374988425923</v>
      </c>
      <c r="N1177" s="151" t="s">
        <v>2523</v>
      </c>
      <c r="O1177" s="151"/>
      <c r="P1177" s="151"/>
      <c r="Q1177" s="7" t="str">
        <f>IF(ISBLANK(patch[[#This Row],[OwnerEmail]]),Q1176,patch[[#This Row],[OwnerEmail]])</f>
        <v>bin.b.yang@intel.com</v>
      </c>
      <c r="R1177" s="7" t="str">
        <f>_xlfn.IFNA(VLOOKUP(patch[[#This Row],[tmp-owner.email]],OrgTree!$A:$K, 11, 0), "not ICG SWFW")</f>
        <v>BJ And dev</v>
      </c>
      <c r="S1177" s="7" t="str">
        <f>IF(patch[[#This Row],[reviewer]]=patch[[#This Row],[tmp-owner.email]], "author", _xlfn.IFNA(VLOOKUP(patch[[#This Row],[reviewer]],OrgTree!$A:$K, 11, 0), "not ICG SWFW"))</f>
        <v>Val</v>
      </c>
      <c r="T1177" s="7" t="str">
        <f>IF(ISBLANK(patch[[#This Row],[mergeDate]]), "", MID(YEAR(patch[[#This Row],[mergeDate]]), 3,2)&amp;"'ww"&amp;WEEKNUM(patch[[#This Row],[mergeDate]]))</f>
        <v>16'ww39</v>
      </c>
      <c r="U1177" s="7" t="str">
        <f>IF(ISBLANK(patch[[#This Row],[mergeDate]]), U1176, MID(YEAR(patch[[#This Row],[mergeDate]]), 3,2)&amp;"'m"&amp;MONTH(patch[[#This Row],[mergeDate]]))</f>
        <v>16'm9</v>
      </c>
      <c r="V1177" s="7" t="str">
        <f>IF(ISBLANK(patch[[#This Row],[project]]), "",SUM(patch[[#This Row],[BJ -1 num]:[SH -1 num]]))</f>
        <v/>
      </c>
      <c r="W1177" s="7" t="str">
        <f>IF(ISBLANK(patch[[#This Row],[project]]), "",COUNTIFS($A:$A,patch[[#This Row],[number]],$S:$S, "BJ And dev",$AC:$AC, "Review-1"))</f>
        <v/>
      </c>
      <c r="X1177" s="7" t="str">
        <f>IF(ISBLANK(patch[[#This Row],[project]]), "",COUNTIFS($A:$A,patch[[#This Row],[number]],$S:$S, "FL And dev",$AC:$AC, "Review-1"))</f>
        <v/>
      </c>
      <c r="Y1177" s="7" t="str">
        <f>IF(ISBLANK(patch[[#This Row],[project]]), "",COUNTIFS($A:$A,patch[[#This Row],[number]],$S:$S, "SH And dev",$AC:$AC, "Review-1"))</f>
        <v/>
      </c>
      <c r="Z1177" s="7" t="str">
        <f>IF(ISBLANK(patch[[#This Row],[project]]), "",COUNTIFS($A:$A,patch[[#This Row],[number]],$S:$S, "BJ And dev",$AD:$AD, "&lt;&gt;IntegratorValidationComment"))</f>
        <v/>
      </c>
      <c r="AA1177" s="7" t="str">
        <f>IF(ISBLANK(patch[[#This Row],[project]]), "",COUNTIFS($A:$A,patch[[#This Row],[number]],$S:$S, "FL And dev",$AD:$AD, "&lt;&gt;IntegratorValidationComment"))</f>
        <v/>
      </c>
      <c r="AB1177" s="7" t="str">
        <f>IF(ISBLANK(patch[[#This Row],[project]]), "",COUNTIFS($A:$A,patch[[#This Row],[number]],$S:$S, "SH And dev",$AD:$AD, "&lt;&gt;IntegratorValidationComment"))</f>
        <v/>
      </c>
      <c r="AC1177" s="7" t="str">
        <f>IF(OR(ISNUMBER(FIND("Review-1", patch[[#This Row],[comments]])), ISNUMBER(FIND("Approver-1", patch[[#This Row],[comments]]))), "Review-1", "")</f>
        <v/>
      </c>
      <c r="AD11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77" s="7">
        <f>IF(ISBLANK(patch[[#This Row],[number]]),AE1176,patch[[#This Row],[ifCommon]])</f>
        <v>0</v>
      </c>
    </row>
    <row r="1178" spans="1:31">
      <c r="A1178" s="151">
        <v>145024</v>
      </c>
      <c r="B1178" s="151"/>
      <c r="C1178" s="151"/>
      <c r="D1178" s="151"/>
      <c r="E1178" s="151"/>
      <c r="F1178" s="151"/>
      <c r="G1178" s="151"/>
      <c r="H1178" s="151"/>
      <c r="I1178" s="151"/>
      <c r="J1178" s="152">
        <v>42633.710104166668</v>
      </c>
      <c r="K1178" s="151"/>
      <c r="L1178" s="151" t="s">
        <v>72</v>
      </c>
      <c r="M1178" s="152">
        <v>42633.112233796302</v>
      </c>
      <c r="N1178" s="151" t="s">
        <v>49</v>
      </c>
      <c r="O1178" s="151"/>
      <c r="P1178" s="151"/>
      <c r="Q1178" s="7" t="str">
        <f>IF(ISBLANK(patch[[#This Row],[OwnerEmail]]),Q1177,patch[[#This Row],[OwnerEmail]])</f>
        <v>bin.b.yang@intel.com</v>
      </c>
      <c r="R1178" s="7" t="str">
        <f>_xlfn.IFNA(VLOOKUP(patch[[#This Row],[tmp-owner.email]],OrgTree!$A:$K, 11, 0), "not ICG SWFW")</f>
        <v>BJ And dev</v>
      </c>
      <c r="S1178" s="7" t="str">
        <f>IF(patch[[#This Row],[reviewer]]=patch[[#This Row],[tmp-owner.email]], "author", _xlfn.IFNA(VLOOKUP(patch[[#This Row],[reviewer]],OrgTree!$A:$K, 11, 0), "not ICG SWFW"))</f>
        <v>author</v>
      </c>
      <c r="T1178" s="7" t="str">
        <f>IF(ISBLANK(patch[[#This Row],[mergeDate]]), "", MID(YEAR(patch[[#This Row],[mergeDate]]), 3,2)&amp;"'ww"&amp;WEEKNUM(patch[[#This Row],[mergeDate]]))</f>
        <v>16'ww39</v>
      </c>
      <c r="U1178" s="7" t="str">
        <f>IF(ISBLANK(patch[[#This Row],[mergeDate]]), U1177, MID(YEAR(patch[[#This Row],[mergeDate]]), 3,2)&amp;"'m"&amp;MONTH(patch[[#This Row],[mergeDate]]))</f>
        <v>16'm9</v>
      </c>
      <c r="V1178" s="7" t="str">
        <f>IF(ISBLANK(patch[[#This Row],[project]]), "",SUM(patch[[#This Row],[BJ -1 num]:[SH -1 num]]))</f>
        <v/>
      </c>
      <c r="W1178" s="7" t="str">
        <f>IF(ISBLANK(patch[[#This Row],[project]]), "",COUNTIFS($A:$A,patch[[#This Row],[number]],$S:$S, "BJ And dev",$AC:$AC, "Review-1"))</f>
        <v/>
      </c>
      <c r="X1178" s="7" t="str">
        <f>IF(ISBLANK(patch[[#This Row],[project]]), "",COUNTIFS($A:$A,patch[[#This Row],[number]],$S:$S, "FL And dev",$AC:$AC, "Review-1"))</f>
        <v/>
      </c>
      <c r="Y1178" s="7" t="str">
        <f>IF(ISBLANK(patch[[#This Row],[project]]), "",COUNTIFS($A:$A,patch[[#This Row],[number]],$S:$S, "SH And dev",$AC:$AC, "Review-1"))</f>
        <v/>
      </c>
      <c r="Z1178" s="7" t="str">
        <f>IF(ISBLANK(patch[[#This Row],[project]]), "",COUNTIFS($A:$A,patch[[#This Row],[number]],$S:$S, "BJ And dev",$AD:$AD, "&lt;&gt;IntegratorValidationComment"))</f>
        <v/>
      </c>
      <c r="AA1178" s="7" t="str">
        <f>IF(ISBLANK(patch[[#This Row],[project]]), "",COUNTIFS($A:$A,patch[[#This Row],[number]],$S:$S, "FL And dev",$AD:$AD, "&lt;&gt;IntegratorValidationComment"))</f>
        <v/>
      </c>
      <c r="AB1178" s="7" t="str">
        <f>IF(ISBLANK(patch[[#This Row],[project]]), "",COUNTIFS($A:$A,patch[[#This Row],[number]],$S:$S, "SH And dev",$AD:$AD, "&lt;&gt;IntegratorValidationComment"))</f>
        <v/>
      </c>
      <c r="AC1178" s="7" t="str">
        <f>IF(OR(ISNUMBER(FIND("Review-1", patch[[#This Row],[comments]])), ISNUMBER(FIND("Approver-1", patch[[#This Row],[comments]]))), "Review-1", "")</f>
        <v/>
      </c>
      <c r="AD11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78" s="7">
        <f>IF(ISBLANK(patch[[#This Row],[number]]),AE1177,patch[[#This Row],[ifCommon]])</f>
        <v>0</v>
      </c>
    </row>
    <row r="1179" spans="1:31">
      <c r="A1179" s="151">
        <v>145024</v>
      </c>
      <c r="B1179" s="151"/>
      <c r="C1179" s="151"/>
      <c r="D1179" s="151"/>
      <c r="E1179" s="151"/>
      <c r="F1179" s="151"/>
      <c r="G1179" s="151"/>
      <c r="H1179" s="151"/>
      <c r="I1179" s="152"/>
      <c r="J1179" s="152">
        <v>42633.710104166668</v>
      </c>
      <c r="K1179" s="151"/>
      <c r="L1179" s="151" t="s">
        <v>72</v>
      </c>
      <c r="M1179" s="152">
        <v>42633.112233796302</v>
      </c>
      <c r="N1179" s="151" t="s">
        <v>2451</v>
      </c>
      <c r="O1179" s="151"/>
      <c r="P1179" s="151"/>
      <c r="Q1179" s="7" t="str">
        <f>IF(ISBLANK(patch[[#This Row],[OwnerEmail]]),Q1178,patch[[#This Row],[OwnerEmail]])</f>
        <v>bin.b.yang@intel.com</v>
      </c>
      <c r="R1179" s="7" t="str">
        <f>_xlfn.IFNA(VLOOKUP(patch[[#This Row],[tmp-owner.email]],OrgTree!$A:$K, 11, 0), "not ICG SWFW")</f>
        <v>BJ And dev</v>
      </c>
      <c r="S1179" s="7" t="str">
        <f>IF(patch[[#This Row],[reviewer]]=patch[[#This Row],[tmp-owner.email]], "author", _xlfn.IFNA(VLOOKUP(patch[[#This Row],[reviewer]],OrgTree!$A:$K, 11, 0), "not ICG SWFW"))</f>
        <v>author</v>
      </c>
      <c r="T1179" s="7" t="str">
        <f>IF(ISBLANK(patch[[#This Row],[mergeDate]]), "", MID(YEAR(patch[[#This Row],[mergeDate]]), 3,2)&amp;"'ww"&amp;WEEKNUM(patch[[#This Row],[mergeDate]]))</f>
        <v>16'ww39</v>
      </c>
      <c r="U1179" s="7" t="str">
        <f>IF(ISBLANK(patch[[#This Row],[mergeDate]]), U1178, MID(YEAR(patch[[#This Row],[mergeDate]]), 3,2)&amp;"'m"&amp;MONTH(patch[[#This Row],[mergeDate]]))</f>
        <v>16'm9</v>
      </c>
      <c r="V1179" s="7" t="str">
        <f>IF(ISBLANK(patch[[#This Row],[project]]), "",SUM(patch[[#This Row],[BJ -1 num]:[SH -1 num]]))</f>
        <v/>
      </c>
      <c r="W1179" s="7" t="str">
        <f>IF(ISBLANK(patch[[#This Row],[project]]), "",COUNTIFS($A:$A,patch[[#This Row],[number]],$S:$S, "BJ And dev",$AC:$AC, "Review-1"))</f>
        <v/>
      </c>
      <c r="X1179" s="7" t="str">
        <f>IF(ISBLANK(patch[[#This Row],[project]]), "",COUNTIFS($A:$A,patch[[#This Row],[number]],$S:$S, "FL And dev",$AC:$AC, "Review-1"))</f>
        <v/>
      </c>
      <c r="Y1179" s="7" t="str">
        <f>IF(ISBLANK(patch[[#This Row],[project]]), "",COUNTIFS($A:$A,patch[[#This Row],[number]],$S:$S, "SH And dev",$AC:$AC, "Review-1"))</f>
        <v/>
      </c>
      <c r="Z1179" s="7" t="str">
        <f>IF(ISBLANK(patch[[#This Row],[project]]), "",COUNTIFS($A:$A,patch[[#This Row],[number]],$S:$S, "BJ And dev",$AD:$AD, "&lt;&gt;IntegratorValidationComment"))</f>
        <v/>
      </c>
      <c r="AA1179" s="7" t="str">
        <f>IF(ISBLANK(patch[[#This Row],[project]]), "",COUNTIFS($A:$A,patch[[#This Row],[number]],$S:$S, "FL And dev",$AD:$AD, "&lt;&gt;IntegratorValidationComment"))</f>
        <v/>
      </c>
      <c r="AB1179" s="7" t="str">
        <f>IF(ISBLANK(patch[[#This Row],[project]]), "",COUNTIFS($A:$A,patch[[#This Row],[number]],$S:$S, "SH And dev",$AD:$AD, "&lt;&gt;IntegratorValidationComment"))</f>
        <v/>
      </c>
      <c r="AC1179" s="7" t="str">
        <f>IF(OR(ISNUMBER(FIND("Review-1", patch[[#This Row],[comments]])), ISNUMBER(FIND("Approver-1", patch[[#This Row],[comments]]))), "Review-1", "")</f>
        <v/>
      </c>
      <c r="AD11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79" s="7">
        <f>IF(ISBLANK(patch[[#This Row],[number]]),AE1178,patch[[#This Row],[ifCommon]])</f>
        <v>0</v>
      </c>
    </row>
    <row r="1180" spans="1:31">
      <c r="A1180" s="151">
        <v>145024</v>
      </c>
      <c r="B1180" s="151"/>
      <c r="C1180" s="151"/>
      <c r="D1180" s="151"/>
      <c r="E1180" s="151"/>
      <c r="F1180" s="151"/>
      <c r="G1180" s="151"/>
      <c r="H1180" s="151"/>
      <c r="I1180" s="151"/>
      <c r="J1180" s="152">
        <v>42633.710104166668</v>
      </c>
      <c r="K1180" s="151"/>
      <c r="L1180" s="151" t="s">
        <v>72</v>
      </c>
      <c r="M1180" s="152">
        <v>42633.113900462973</v>
      </c>
      <c r="N1180" s="151" t="s">
        <v>31</v>
      </c>
      <c r="O1180" s="151"/>
      <c r="P1180" s="151"/>
      <c r="Q1180" s="7" t="str">
        <f>IF(ISBLANK(patch[[#This Row],[OwnerEmail]]),Q1179,patch[[#This Row],[OwnerEmail]])</f>
        <v>bin.b.yang@intel.com</v>
      </c>
      <c r="R1180" s="7" t="str">
        <f>_xlfn.IFNA(VLOOKUP(patch[[#This Row],[tmp-owner.email]],OrgTree!$A:$K, 11, 0), "not ICG SWFW")</f>
        <v>BJ And dev</v>
      </c>
      <c r="S1180" s="7" t="str">
        <f>IF(patch[[#This Row],[reviewer]]=patch[[#This Row],[tmp-owner.email]], "author", _xlfn.IFNA(VLOOKUP(patch[[#This Row],[reviewer]],OrgTree!$A:$K, 11, 0), "not ICG SWFW"))</f>
        <v>author</v>
      </c>
      <c r="T1180" s="7" t="str">
        <f>IF(ISBLANK(patch[[#This Row],[mergeDate]]), "", MID(YEAR(patch[[#This Row],[mergeDate]]), 3,2)&amp;"'ww"&amp;WEEKNUM(patch[[#This Row],[mergeDate]]))</f>
        <v>16'ww39</v>
      </c>
      <c r="U1180" s="7" t="str">
        <f>IF(ISBLANK(patch[[#This Row],[mergeDate]]), U1179, MID(YEAR(patch[[#This Row],[mergeDate]]), 3,2)&amp;"'m"&amp;MONTH(patch[[#This Row],[mergeDate]]))</f>
        <v>16'm9</v>
      </c>
      <c r="V1180" s="7" t="str">
        <f>IF(ISBLANK(patch[[#This Row],[project]]), "",SUM(patch[[#This Row],[BJ -1 num]:[SH -1 num]]))</f>
        <v/>
      </c>
      <c r="W1180" s="7" t="str">
        <f>IF(ISBLANK(patch[[#This Row],[project]]), "",COUNTIFS($A:$A,patch[[#This Row],[number]],$S:$S, "BJ And dev",$AC:$AC, "Review-1"))</f>
        <v/>
      </c>
      <c r="X1180" s="7" t="str">
        <f>IF(ISBLANK(patch[[#This Row],[project]]), "",COUNTIFS($A:$A,patch[[#This Row],[number]],$S:$S, "FL And dev",$AC:$AC, "Review-1"))</f>
        <v/>
      </c>
      <c r="Y1180" s="7" t="str">
        <f>IF(ISBLANK(patch[[#This Row],[project]]), "",COUNTIFS($A:$A,patch[[#This Row],[number]],$S:$S, "SH And dev",$AC:$AC, "Review-1"))</f>
        <v/>
      </c>
      <c r="Z1180" s="7" t="str">
        <f>IF(ISBLANK(patch[[#This Row],[project]]), "",COUNTIFS($A:$A,patch[[#This Row],[number]],$S:$S, "BJ And dev",$AD:$AD, "&lt;&gt;IntegratorValidationComment"))</f>
        <v/>
      </c>
      <c r="AA1180" s="7" t="str">
        <f>IF(ISBLANK(patch[[#This Row],[project]]), "",COUNTIFS($A:$A,patch[[#This Row],[number]],$S:$S, "FL And dev",$AD:$AD, "&lt;&gt;IntegratorValidationComment"))</f>
        <v/>
      </c>
      <c r="AB1180" s="7" t="str">
        <f>IF(ISBLANK(patch[[#This Row],[project]]), "",COUNTIFS($A:$A,patch[[#This Row],[number]],$S:$S, "SH And dev",$AD:$AD, "&lt;&gt;IntegratorValidationComment"))</f>
        <v/>
      </c>
      <c r="AC1180" s="7" t="str">
        <f>IF(OR(ISNUMBER(FIND("Review-1", patch[[#This Row],[comments]])), ISNUMBER(FIND("Approver-1", patch[[#This Row],[comments]]))), "Review-1", "")</f>
        <v/>
      </c>
      <c r="AD11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80" s="7">
        <f>IF(ISBLANK(patch[[#This Row],[number]]),AE1179,patch[[#This Row],[ifCommon]])</f>
        <v>0</v>
      </c>
    </row>
    <row r="1181" spans="1:31">
      <c r="A1181" s="151">
        <v>145024</v>
      </c>
      <c r="B1181" s="151"/>
      <c r="C1181" s="151"/>
      <c r="D1181" s="151"/>
      <c r="E1181" s="151"/>
      <c r="F1181" s="151"/>
      <c r="G1181" s="151"/>
      <c r="H1181" s="151"/>
      <c r="I1181" s="151"/>
      <c r="J1181" s="152">
        <v>42633.710104166668</v>
      </c>
      <c r="K1181" s="151"/>
      <c r="L1181" s="151" t="s">
        <v>59</v>
      </c>
      <c r="M1181" s="152">
        <v>42633.376469907409</v>
      </c>
      <c r="N1181" s="151" t="s">
        <v>3188</v>
      </c>
      <c r="O1181" s="151"/>
      <c r="P1181" s="151"/>
      <c r="Q1181" s="7" t="str">
        <f>IF(ISBLANK(patch[[#This Row],[OwnerEmail]]),Q1180,patch[[#This Row],[OwnerEmail]])</f>
        <v>bin.b.yang@intel.com</v>
      </c>
      <c r="R1181" s="7" t="str">
        <f>_xlfn.IFNA(VLOOKUP(patch[[#This Row],[tmp-owner.email]],OrgTree!$A:$K, 11, 0), "not ICG SWFW")</f>
        <v>BJ And dev</v>
      </c>
      <c r="S1181" s="7" t="str">
        <f>IF(patch[[#This Row],[reviewer]]=patch[[#This Row],[tmp-owner.email]], "author", _xlfn.IFNA(VLOOKUP(patch[[#This Row],[reviewer]],OrgTree!$A:$K, 11, 0), "not ICG SWFW"))</f>
        <v>BJ And dev</v>
      </c>
      <c r="T1181" s="7" t="str">
        <f>IF(ISBLANK(patch[[#This Row],[mergeDate]]), "", MID(YEAR(patch[[#This Row],[mergeDate]]), 3,2)&amp;"'ww"&amp;WEEKNUM(patch[[#This Row],[mergeDate]]))</f>
        <v>16'ww39</v>
      </c>
      <c r="U1181" s="7" t="str">
        <f>IF(ISBLANK(patch[[#This Row],[mergeDate]]), U1180, MID(YEAR(patch[[#This Row],[mergeDate]]), 3,2)&amp;"'m"&amp;MONTH(patch[[#This Row],[mergeDate]]))</f>
        <v>16'm9</v>
      </c>
      <c r="V1181" s="7" t="str">
        <f>IF(ISBLANK(patch[[#This Row],[project]]), "",SUM(patch[[#This Row],[BJ -1 num]:[SH -1 num]]))</f>
        <v/>
      </c>
      <c r="W1181" s="7" t="str">
        <f>IF(ISBLANK(patch[[#This Row],[project]]), "",COUNTIFS($A:$A,patch[[#This Row],[number]],$S:$S, "BJ And dev",$AC:$AC, "Review-1"))</f>
        <v/>
      </c>
      <c r="X1181" s="7" t="str">
        <f>IF(ISBLANK(patch[[#This Row],[project]]), "",COUNTIFS($A:$A,patch[[#This Row],[number]],$S:$S, "FL And dev",$AC:$AC, "Review-1"))</f>
        <v/>
      </c>
      <c r="Y1181" s="7" t="str">
        <f>IF(ISBLANK(patch[[#This Row],[project]]), "",COUNTIFS($A:$A,patch[[#This Row],[number]],$S:$S, "SH And dev",$AC:$AC, "Review-1"))</f>
        <v/>
      </c>
      <c r="Z1181" s="7" t="str">
        <f>IF(ISBLANK(patch[[#This Row],[project]]), "",COUNTIFS($A:$A,patch[[#This Row],[number]],$S:$S, "BJ And dev",$AD:$AD, "&lt;&gt;IntegratorValidationComment"))</f>
        <v/>
      </c>
      <c r="AA1181" s="7" t="str">
        <f>IF(ISBLANK(patch[[#This Row],[project]]), "",COUNTIFS($A:$A,patch[[#This Row],[number]],$S:$S, "FL And dev",$AD:$AD, "&lt;&gt;IntegratorValidationComment"))</f>
        <v/>
      </c>
      <c r="AB1181" s="7" t="str">
        <f>IF(ISBLANK(patch[[#This Row],[project]]), "",COUNTIFS($A:$A,patch[[#This Row],[number]],$S:$S, "SH And dev",$AD:$AD, "&lt;&gt;IntegratorValidationComment"))</f>
        <v/>
      </c>
      <c r="AC1181" s="7" t="str">
        <f>IF(OR(ISNUMBER(FIND("Review-1", patch[[#This Row],[comments]])), ISNUMBER(FIND("Approver-1", patch[[#This Row],[comments]]))), "Review-1", "")</f>
        <v/>
      </c>
      <c r="AD11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81" s="7">
        <f>IF(ISBLANK(patch[[#This Row],[number]]),AE1180,patch[[#This Row],[ifCommon]])</f>
        <v>0</v>
      </c>
    </row>
    <row r="1182" spans="1:31">
      <c r="A1182" s="151">
        <v>145024</v>
      </c>
      <c r="B1182" s="151"/>
      <c r="C1182" s="151"/>
      <c r="D1182" s="151"/>
      <c r="E1182" s="151"/>
      <c r="F1182" s="151"/>
      <c r="G1182" s="151"/>
      <c r="H1182" s="151"/>
      <c r="I1182" s="151"/>
      <c r="J1182" s="152">
        <v>42633.710104166668</v>
      </c>
      <c r="K1182" s="151"/>
      <c r="L1182" s="151" t="s">
        <v>59</v>
      </c>
      <c r="M1182" s="152">
        <v>42633.379328703697</v>
      </c>
      <c r="N1182" s="151" t="s">
        <v>3189</v>
      </c>
      <c r="O1182" s="151"/>
      <c r="P1182" s="151"/>
      <c r="Q1182" s="7" t="str">
        <f>IF(ISBLANK(patch[[#This Row],[OwnerEmail]]),Q1181,patch[[#This Row],[OwnerEmail]])</f>
        <v>bin.b.yang@intel.com</v>
      </c>
      <c r="R1182" s="7" t="str">
        <f>_xlfn.IFNA(VLOOKUP(patch[[#This Row],[tmp-owner.email]],OrgTree!$A:$K, 11, 0), "not ICG SWFW")</f>
        <v>BJ And dev</v>
      </c>
      <c r="S1182" s="7" t="str">
        <f>IF(patch[[#This Row],[reviewer]]=patch[[#This Row],[tmp-owner.email]], "author", _xlfn.IFNA(VLOOKUP(patch[[#This Row],[reviewer]],OrgTree!$A:$K, 11, 0), "not ICG SWFW"))</f>
        <v>BJ And dev</v>
      </c>
      <c r="T1182" s="7" t="str">
        <f>IF(ISBLANK(patch[[#This Row],[mergeDate]]), "", MID(YEAR(patch[[#This Row],[mergeDate]]), 3,2)&amp;"'ww"&amp;WEEKNUM(patch[[#This Row],[mergeDate]]))</f>
        <v>16'ww39</v>
      </c>
      <c r="U1182" s="7" t="str">
        <f>IF(ISBLANK(patch[[#This Row],[mergeDate]]), U1181, MID(YEAR(patch[[#This Row],[mergeDate]]), 3,2)&amp;"'m"&amp;MONTH(patch[[#This Row],[mergeDate]]))</f>
        <v>16'm9</v>
      </c>
      <c r="V1182" s="7" t="str">
        <f>IF(ISBLANK(patch[[#This Row],[project]]), "",SUM(patch[[#This Row],[BJ -1 num]:[SH -1 num]]))</f>
        <v/>
      </c>
      <c r="W1182" s="7" t="str">
        <f>IF(ISBLANK(patch[[#This Row],[project]]), "",COUNTIFS($A:$A,patch[[#This Row],[number]],$S:$S, "BJ And dev",$AC:$AC, "Review-1"))</f>
        <v/>
      </c>
      <c r="X1182" s="7" t="str">
        <f>IF(ISBLANK(patch[[#This Row],[project]]), "",COUNTIFS($A:$A,patch[[#This Row],[number]],$S:$S, "FL And dev",$AC:$AC, "Review-1"))</f>
        <v/>
      </c>
      <c r="Y1182" s="7" t="str">
        <f>IF(ISBLANK(patch[[#This Row],[project]]), "",COUNTIFS($A:$A,patch[[#This Row],[number]],$S:$S, "SH And dev",$AC:$AC, "Review-1"))</f>
        <v/>
      </c>
      <c r="Z1182" s="7" t="str">
        <f>IF(ISBLANK(patch[[#This Row],[project]]), "",COUNTIFS($A:$A,patch[[#This Row],[number]],$S:$S, "BJ And dev",$AD:$AD, "&lt;&gt;IntegratorValidationComment"))</f>
        <v/>
      </c>
      <c r="AA1182" s="7" t="str">
        <f>IF(ISBLANK(patch[[#This Row],[project]]), "",COUNTIFS($A:$A,patch[[#This Row],[number]],$S:$S, "FL And dev",$AD:$AD, "&lt;&gt;IntegratorValidationComment"))</f>
        <v/>
      </c>
      <c r="AB1182" s="7" t="str">
        <f>IF(ISBLANK(patch[[#This Row],[project]]), "",COUNTIFS($A:$A,patch[[#This Row],[number]],$S:$S, "SH And dev",$AD:$AD, "&lt;&gt;IntegratorValidationComment"))</f>
        <v/>
      </c>
      <c r="AC1182" s="7" t="str">
        <f>IF(OR(ISNUMBER(FIND("Review-1", patch[[#This Row],[comments]])), ISNUMBER(FIND("Approver-1", patch[[#This Row],[comments]]))), "Review-1", "")</f>
        <v/>
      </c>
      <c r="AD11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82" s="7">
        <f>IF(ISBLANK(patch[[#This Row],[number]]),AE1181,patch[[#This Row],[ifCommon]])</f>
        <v>0</v>
      </c>
    </row>
    <row r="1183" spans="1:31">
      <c r="A1183" s="151">
        <v>145024</v>
      </c>
      <c r="B1183" s="151"/>
      <c r="C1183" s="151"/>
      <c r="D1183" s="151"/>
      <c r="E1183" s="151"/>
      <c r="F1183" s="151"/>
      <c r="G1183" s="151"/>
      <c r="H1183" s="151"/>
      <c r="I1183" s="151"/>
      <c r="J1183" s="152">
        <v>42633.710104166668</v>
      </c>
      <c r="K1183" s="151"/>
      <c r="L1183" s="151" t="s">
        <v>115</v>
      </c>
      <c r="M1183" s="152">
        <v>42633.418437499997</v>
      </c>
      <c r="N1183" s="151" t="s">
        <v>2496</v>
      </c>
      <c r="O1183" s="151"/>
      <c r="P1183" s="151"/>
      <c r="Q1183" s="7" t="str">
        <f>IF(ISBLANK(patch[[#This Row],[OwnerEmail]]),Q1182,patch[[#This Row],[OwnerEmail]])</f>
        <v>bin.b.yang@intel.com</v>
      </c>
      <c r="R1183" s="7" t="str">
        <f>_xlfn.IFNA(VLOOKUP(patch[[#This Row],[tmp-owner.email]],OrgTree!$A:$K, 11, 0), "not ICG SWFW")</f>
        <v>BJ And dev</v>
      </c>
      <c r="S1183" s="7" t="str">
        <f>IF(patch[[#This Row],[reviewer]]=patch[[#This Row],[tmp-owner.email]], "author", _xlfn.IFNA(VLOOKUP(patch[[#This Row],[reviewer]],OrgTree!$A:$K, 11, 0), "not ICG SWFW"))</f>
        <v>Val</v>
      </c>
      <c r="T1183" s="7" t="str">
        <f>IF(ISBLANK(patch[[#This Row],[mergeDate]]), "", MID(YEAR(patch[[#This Row],[mergeDate]]), 3,2)&amp;"'ww"&amp;WEEKNUM(patch[[#This Row],[mergeDate]]))</f>
        <v>16'ww39</v>
      </c>
      <c r="U1183" s="7" t="str">
        <f>IF(ISBLANK(patch[[#This Row],[mergeDate]]), U1182, MID(YEAR(patch[[#This Row],[mergeDate]]), 3,2)&amp;"'m"&amp;MONTH(patch[[#This Row],[mergeDate]]))</f>
        <v>16'm9</v>
      </c>
      <c r="V1183" s="7" t="str">
        <f>IF(ISBLANK(patch[[#This Row],[project]]), "",SUM(patch[[#This Row],[BJ -1 num]:[SH -1 num]]))</f>
        <v/>
      </c>
      <c r="W1183" s="7" t="str">
        <f>IF(ISBLANK(patch[[#This Row],[project]]), "",COUNTIFS($A:$A,patch[[#This Row],[number]],$S:$S, "BJ And dev",$AC:$AC, "Review-1"))</f>
        <v/>
      </c>
      <c r="X1183" s="7" t="str">
        <f>IF(ISBLANK(patch[[#This Row],[project]]), "",COUNTIFS($A:$A,patch[[#This Row],[number]],$S:$S, "FL And dev",$AC:$AC, "Review-1"))</f>
        <v/>
      </c>
      <c r="Y1183" s="7" t="str">
        <f>IF(ISBLANK(patch[[#This Row],[project]]), "",COUNTIFS($A:$A,patch[[#This Row],[number]],$S:$S, "SH And dev",$AC:$AC, "Review-1"))</f>
        <v/>
      </c>
      <c r="Z1183" s="7" t="str">
        <f>IF(ISBLANK(patch[[#This Row],[project]]), "",COUNTIFS($A:$A,patch[[#This Row],[number]],$S:$S, "BJ And dev",$AD:$AD, "&lt;&gt;IntegratorValidationComment"))</f>
        <v/>
      </c>
      <c r="AA1183" s="7" t="str">
        <f>IF(ISBLANK(patch[[#This Row],[project]]), "",COUNTIFS($A:$A,patch[[#This Row],[number]],$S:$S, "FL And dev",$AD:$AD, "&lt;&gt;IntegratorValidationComment"))</f>
        <v/>
      </c>
      <c r="AB1183" s="7" t="str">
        <f>IF(ISBLANK(patch[[#This Row],[project]]), "",COUNTIFS($A:$A,patch[[#This Row],[number]],$S:$S, "SH And dev",$AD:$AD, "&lt;&gt;IntegratorValidationComment"))</f>
        <v/>
      </c>
      <c r="AC1183" s="7" t="str">
        <f>IF(OR(ISNUMBER(FIND("Review-1", patch[[#This Row],[comments]])), ISNUMBER(FIND("Approver-1", patch[[#This Row],[comments]]))), "Review-1", "")</f>
        <v/>
      </c>
      <c r="AD11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183" s="7">
        <f>IF(ISBLANK(patch[[#This Row],[number]]),AE1182,patch[[#This Row],[ifCommon]])</f>
        <v>0</v>
      </c>
    </row>
    <row r="1184" spans="1:31">
      <c r="A1184" s="151">
        <v>145024</v>
      </c>
      <c r="B1184" s="151"/>
      <c r="C1184" s="151"/>
      <c r="D1184" s="151"/>
      <c r="E1184" s="151"/>
      <c r="F1184" s="151"/>
      <c r="G1184" s="151"/>
      <c r="H1184" s="151"/>
      <c r="I1184" s="151"/>
      <c r="J1184" s="152">
        <v>42633.710104166668</v>
      </c>
      <c r="K1184" s="151"/>
      <c r="L1184" s="151" t="s">
        <v>1237</v>
      </c>
      <c r="M1184" s="152">
        <v>42633.422662037039</v>
      </c>
      <c r="N1184" s="151" t="s">
        <v>31</v>
      </c>
      <c r="O1184" s="151"/>
      <c r="P1184" s="151"/>
      <c r="Q1184" s="7" t="str">
        <f>IF(ISBLANK(patch[[#This Row],[OwnerEmail]]),Q1183,patch[[#This Row],[OwnerEmail]])</f>
        <v>bin.b.yang@intel.com</v>
      </c>
      <c r="R1184" s="7" t="str">
        <f>_xlfn.IFNA(VLOOKUP(patch[[#This Row],[tmp-owner.email]],OrgTree!$A:$K, 11, 0), "not ICG SWFW")</f>
        <v>BJ And dev</v>
      </c>
      <c r="S1184" s="7" t="str">
        <f>IF(patch[[#This Row],[reviewer]]=patch[[#This Row],[tmp-owner.email]], "author", _xlfn.IFNA(VLOOKUP(patch[[#This Row],[reviewer]],OrgTree!$A:$K, 11, 0), "not ICG SWFW"))</f>
        <v>BJ And dev</v>
      </c>
      <c r="T1184" s="7" t="str">
        <f>IF(ISBLANK(patch[[#This Row],[mergeDate]]), "", MID(YEAR(patch[[#This Row],[mergeDate]]), 3,2)&amp;"'ww"&amp;WEEKNUM(patch[[#This Row],[mergeDate]]))</f>
        <v>16'ww39</v>
      </c>
      <c r="U1184" s="7" t="str">
        <f>IF(ISBLANK(patch[[#This Row],[mergeDate]]), U1183, MID(YEAR(patch[[#This Row],[mergeDate]]), 3,2)&amp;"'m"&amp;MONTH(patch[[#This Row],[mergeDate]]))</f>
        <v>16'm9</v>
      </c>
      <c r="V1184" s="7" t="str">
        <f>IF(ISBLANK(patch[[#This Row],[project]]), "",SUM(patch[[#This Row],[BJ -1 num]:[SH -1 num]]))</f>
        <v/>
      </c>
      <c r="W1184" s="7" t="str">
        <f>IF(ISBLANK(patch[[#This Row],[project]]), "",COUNTIFS($A:$A,patch[[#This Row],[number]],$S:$S, "BJ And dev",$AC:$AC, "Review-1"))</f>
        <v/>
      </c>
      <c r="X1184" s="7" t="str">
        <f>IF(ISBLANK(patch[[#This Row],[project]]), "",COUNTIFS($A:$A,patch[[#This Row],[number]],$S:$S, "FL And dev",$AC:$AC, "Review-1"))</f>
        <v/>
      </c>
      <c r="Y1184" s="7" t="str">
        <f>IF(ISBLANK(patch[[#This Row],[project]]), "",COUNTIFS($A:$A,patch[[#This Row],[number]],$S:$S, "SH And dev",$AC:$AC, "Review-1"))</f>
        <v/>
      </c>
      <c r="Z1184" s="7" t="str">
        <f>IF(ISBLANK(patch[[#This Row],[project]]), "",COUNTIFS($A:$A,patch[[#This Row],[number]],$S:$S, "BJ And dev",$AD:$AD, "&lt;&gt;IntegratorValidationComment"))</f>
        <v/>
      </c>
      <c r="AA1184" s="7" t="str">
        <f>IF(ISBLANK(patch[[#This Row],[project]]), "",COUNTIFS($A:$A,patch[[#This Row],[number]],$S:$S, "FL And dev",$AD:$AD, "&lt;&gt;IntegratorValidationComment"))</f>
        <v/>
      </c>
      <c r="AB1184" s="7" t="str">
        <f>IF(ISBLANK(patch[[#This Row],[project]]), "",COUNTIFS($A:$A,patch[[#This Row],[number]],$S:$S, "SH And dev",$AD:$AD, "&lt;&gt;IntegratorValidationComment"))</f>
        <v/>
      </c>
      <c r="AC1184" s="7" t="str">
        <f>IF(OR(ISNUMBER(FIND("Review-1", patch[[#This Row],[comments]])), ISNUMBER(FIND("Approver-1", patch[[#This Row],[comments]]))), "Review-1", "")</f>
        <v/>
      </c>
      <c r="AD11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84" s="7">
        <f>IF(ISBLANK(patch[[#This Row],[number]]),AE1183,patch[[#This Row],[ifCommon]])</f>
        <v>0</v>
      </c>
    </row>
    <row r="1185" spans="1:31">
      <c r="A1185" s="151">
        <v>145024</v>
      </c>
      <c r="B1185" s="151"/>
      <c r="C1185" s="151"/>
      <c r="D1185" s="151"/>
      <c r="E1185" s="151"/>
      <c r="F1185" s="151"/>
      <c r="G1185" s="151"/>
      <c r="H1185" s="151"/>
      <c r="I1185" s="151"/>
      <c r="J1185" s="152">
        <v>42633.710104166668</v>
      </c>
      <c r="K1185" s="151"/>
      <c r="L1185" s="151" t="s">
        <v>24</v>
      </c>
      <c r="M1185" s="152">
        <v>42633.433819444443</v>
      </c>
      <c r="N1185" s="151" t="s">
        <v>1890</v>
      </c>
      <c r="O1185" s="151"/>
      <c r="P1185" s="151"/>
      <c r="Q1185" s="7" t="str">
        <f>IF(ISBLANK(patch[[#This Row],[OwnerEmail]]),Q1184,patch[[#This Row],[OwnerEmail]])</f>
        <v>bin.b.yang@intel.com</v>
      </c>
      <c r="R1185" s="7" t="str">
        <f>_xlfn.IFNA(VLOOKUP(patch[[#This Row],[tmp-owner.email]],OrgTree!$A:$K, 11, 0), "not ICG SWFW")</f>
        <v>BJ And dev</v>
      </c>
      <c r="S1185" s="7" t="str">
        <f>IF(patch[[#This Row],[reviewer]]=patch[[#This Row],[tmp-owner.email]], "author", _xlfn.IFNA(VLOOKUP(patch[[#This Row],[reviewer]],OrgTree!$A:$K, 11, 0), "not ICG SWFW"))</f>
        <v>BJ And dev</v>
      </c>
      <c r="T1185" s="7" t="str">
        <f>IF(ISBLANK(patch[[#This Row],[mergeDate]]), "", MID(YEAR(patch[[#This Row],[mergeDate]]), 3,2)&amp;"'ww"&amp;WEEKNUM(patch[[#This Row],[mergeDate]]))</f>
        <v>16'ww39</v>
      </c>
      <c r="U1185" s="7" t="str">
        <f>IF(ISBLANK(patch[[#This Row],[mergeDate]]), U1184, MID(YEAR(patch[[#This Row],[mergeDate]]), 3,2)&amp;"'m"&amp;MONTH(patch[[#This Row],[mergeDate]]))</f>
        <v>16'm9</v>
      </c>
      <c r="V1185" s="7" t="str">
        <f>IF(ISBLANK(patch[[#This Row],[project]]), "",SUM(patch[[#This Row],[BJ -1 num]:[SH -1 num]]))</f>
        <v/>
      </c>
      <c r="W1185" s="7" t="str">
        <f>IF(ISBLANK(patch[[#This Row],[project]]), "",COUNTIFS($A:$A,patch[[#This Row],[number]],$S:$S, "BJ And dev",$AC:$AC, "Review-1"))</f>
        <v/>
      </c>
      <c r="X1185" s="7" t="str">
        <f>IF(ISBLANK(patch[[#This Row],[project]]), "",COUNTIFS($A:$A,patch[[#This Row],[number]],$S:$S, "FL And dev",$AC:$AC, "Review-1"))</f>
        <v/>
      </c>
      <c r="Y1185" s="7" t="str">
        <f>IF(ISBLANK(patch[[#This Row],[project]]), "",COUNTIFS($A:$A,patch[[#This Row],[number]],$S:$S, "SH And dev",$AC:$AC, "Review-1"))</f>
        <v/>
      </c>
      <c r="Z1185" s="7" t="str">
        <f>IF(ISBLANK(patch[[#This Row],[project]]), "",COUNTIFS($A:$A,patch[[#This Row],[number]],$S:$S, "BJ And dev",$AD:$AD, "&lt;&gt;IntegratorValidationComment"))</f>
        <v/>
      </c>
      <c r="AA1185" s="7" t="str">
        <f>IF(ISBLANK(patch[[#This Row],[project]]), "",COUNTIFS($A:$A,patch[[#This Row],[number]],$S:$S, "FL And dev",$AD:$AD, "&lt;&gt;IntegratorValidationComment"))</f>
        <v/>
      </c>
      <c r="AB1185" s="7" t="str">
        <f>IF(ISBLANK(patch[[#This Row],[project]]), "",COUNTIFS($A:$A,patch[[#This Row],[number]],$S:$S, "SH And dev",$AD:$AD, "&lt;&gt;IntegratorValidationComment"))</f>
        <v/>
      </c>
      <c r="AC1185" s="7" t="str">
        <f>IF(OR(ISNUMBER(FIND("Review-1", patch[[#This Row],[comments]])), ISNUMBER(FIND("Approver-1", patch[[#This Row],[comments]]))), "Review-1", "")</f>
        <v/>
      </c>
      <c r="AD11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85" s="7">
        <f>IF(ISBLANK(patch[[#This Row],[number]]),AE1184,patch[[#This Row],[ifCommon]])</f>
        <v>0</v>
      </c>
    </row>
    <row r="1186" spans="1:31">
      <c r="A1186" s="151">
        <v>146207</v>
      </c>
      <c r="B1186" s="151" t="s">
        <v>2490</v>
      </c>
      <c r="C1186" s="151" t="s">
        <v>2491</v>
      </c>
      <c r="D1186" s="151" t="s">
        <v>3030</v>
      </c>
      <c r="E1186" s="151" t="s">
        <v>24</v>
      </c>
      <c r="F1186" s="151" t="s">
        <v>23</v>
      </c>
      <c r="G1186" s="151" t="s">
        <v>3031</v>
      </c>
      <c r="H1186" s="151" t="s">
        <v>3032</v>
      </c>
      <c r="I1186" s="152">
        <v>42632.478773148148</v>
      </c>
      <c r="J1186" s="152">
        <v>42633.710069444453</v>
      </c>
      <c r="K1186" s="151" t="s">
        <v>2445</v>
      </c>
      <c r="L1186" s="151" t="s">
        <v>24</v>
      </c>
      <c r="M1186" s="152">
        <v>42632.478773148148</v>
      </c>
      <c r="N1186" s="151" t="s">
        <v>25</v>
      </c>
      <c r="O1186" s="151"/>
      <c r="P1186" s="151" t="s">
        <v>3190</v>
      </c>
      <c r="Q1186" s="7" t="str">
        <f>IF(ISBLANK(patch[[#This Row],[OwnerEmail]]),Q1185,patch[[#This Row],[OwnerEmail]])</f>
        <v>qingwu.zhang@intel.com</v>
      </c>
      <c r="R1186" s="7" t="str">
        <f>_xlfn.IFNA(VLOOKUP(patch[[#This Row],[tmp-owner.email]],OrgTree!$A:$K, 11, 0), "not ICG SWFW")</f>
        <v>BJ And dev</v>
      </c>
      <c r="S1186" s="7" t="str">
        <f>IF(patch[[#This Row],[reviewer]]=patch[[#This Row],[tmp-owner.email]], "author", _xlfn.IFNA(VLOOKUP(patch[[#This Row],[reviewer]],OrgTree!$A:$K, 11, 0), "not ICG SWFW"))</f>
        <v>author</v>
      </c>
      <c r="T1186" s="7" t="str">
        <f>IF(ISBLANK(patch[[#This Row],[mergeDate]]), "", MID(YEAR(patch[[#This Row],[mergeDate]]), 3,2)&amp;"'ww"&amp;WEEKNUM(patch[[#This Row],[mergeDate]]))</f>
        <v>16'ww39</v>
      </c>
      <c r="U1186" s="7" t="str">
        <f>IF(ISBLANK(patch[[#This Row],[mergeDate]]), U1185, MID(YEAR(patch[[#This Row],[mergeDate]]), 3,2)&amp;"'m"&amp;MONTH(patch[[#This Row],[mergeDate]]))</f>
        <v>16'm9</v>
      </c>
      <c r="V1186" s="7">
        <f>IF(ISBLANK(patch[[#This Row],[project]]), "",SUM(patch[[#This Row],[BJ -1 num]:[SH -1 num]]))</f>
        <v>0</v>
      </c>
      <c r="W1186" s="7">
        <f>IF(ISBLANK(patch[[#This Row],[project]]), "",COUNTIFS($A:$A,patch[[#This Row],[number]],$S:$S, "BJ And dev",$AC:$AC, "Review-1"))</f>
        <v>0</v>
      </c>
      <c r="X1186" s="7">
        <f>IF(ISBLANK(patch[[#This Row],[project]]), "",COUNTIFS($A:$A,patch[[#This Row],[number]],$S:$S, "FL And dev",$AC:$AC, "Review-1"))</f>
        <v>0</v>
      </c>
      <c r="Y1186" s="7">
        <f>IF(ISBLANK(patch[[#This Row],[project]]), "",COUNTIFS($A:$A,patch[[#This Row],[number]],$S:$S, "SH And dev",$AC:$AC, "Review-1"))</f>
        <v>0</v>
      </c>
      <c r="Z1186" s="7">
        <f>IF(ISBLANK(patch[[#This Row],[project]]), "",COUNTIFS($A:$A,patch[[#This Row],[number]],$S:$S, "BJ And dev",$AD:$AD, "&lt;&gt;IntegratorValidationComment"))</f>
        <v>9</v>
      </c>
      <c r="AA1186" s="7">
        <f>IF(ISBLANK(patch[[#This Row],[project]]), "",COUNTIFS($A:$A,patch[[#This Row],[number]],$S:$S, "FL And dev",$AD:$AD, "&lt;&gt;IntegratorValidationComment"))</f>
        <v>0</v>
      </c>
      <c r="AB1186" s="7">
        <f>IF(ISBLANK(patch[[#This Row],[project]]), "",COUNTIFS($A:$A,patch[[#This Row],[number]],$S:$S, "SH And dev",$AD:$AD, "&lt;&gt;IntegratorValidationComment"))</f>
        <v>0</v>
      </c>
      <c r="AC1186" s="7" t="str">
        <f>IF(OR(ISNUMBER(FIND("Review-1", patch[[#This Row],[comments]])), ISNUMBER(FIND("Approver-1", patch[[#This Row],[comments]]))), "Review-1", "")</f>
        <v/>
      </c>
      <c r="AD11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86" s="7" t="str">
        <f>IF(ISBLANK(patch[[#This Row],[number]]),AE1185,patch[[#This Row],[ifCommon]])</f>
        <v>not AndrHAL</v>
      </c>
    </row>
    <row r="1187" spans="1:31">
      <c r="A1187" s="151">
        <v>146207</v>
      </c>
      <c r="B1187" s="151"/>
      <c r="C1187" s="151"/>
      <c r="D1187" s="151"/>
      <c r="E1187" s="151"/>
      <c r="F1187" s="151"/>
      <c r="G1187" s="151"/>
      <c r="H1187" s="151"/>
      <c r="I1187" s="151"/>
      <c r="J1187" s="152">
        <v>42633.710069444453</v>
      </c>
      <c r="K1187" s="151"/>
      <c r="L1187" s="151" t="s">
        <v>24</v>
      </c>
      <c r="M1187" s="152">
        <v>42632.478773148148</v>
      </c>
      <c r="N1187" s="151" t="s">
        <v>2428</v>
      </c>
      <c r="O1187" s="151"/>
      <c r="P1187" s="151"/>
      <c r="Q1187" s="7" t="str">
        <f>IF(ISBLANK(patch[[#This Row],[OwnerEmail]]),Q1186,patch[[#This Row],[OwnerEmail]])</f>
        <v>qingwu.zhang@intel.com</v>
      </c>
      <c r="R1187" s="7" t="str">
        <f>_xlfn.IFNA(VLOOKUP(patch[[#This Row],[tmp-owner.email]],OrgTree!$A:$K, 11, 0), "not ICG SWFW")</f>
        <v>BJ And dev</v>
      </c>
      <c r="S1187" s="7" t="str">
        <f>IF(patch[[#This Row],[reviewer]]=patch[[#This Row],[tmp-owner.email]], "author", _xlfn.IFNA(VLOOKUP(patch[[#This Row],[reviewer]],OrgTree!$A:$K, 11, 0), "not ICG SWFW"))</f>
        <v>author</v>
      </c>
      <c r="T1187" s="7" t="str">
        <f>IF(ISBLANK(patch[[#This Row],[mergeDate]]), "", MID(YEAR(patch[[#This Row],[mergeDate]]), 3,2)&amp;"'ww"&amp;WEEKNUM(patch[[#This Row],[mergeDate]]))</f>
        <v>16'ww39</v>
      </c>
      <c r="U1187" s="7" t="str">
        <f>IF(ISBLANK(patch[[#This Row],[mergeDate]]), U1186, MID(YEAR(patch[[#This Row],[mergeDate]]), 3,2)&amp;"'m"&amp;MONTH(patch[[#This Row],[mergeDate]]))</f>
        <v>16'm9</v>
      </c>
      <c r="V1187" s="7" t="str">
        <f>IF(ISBLANK(patch[[#This Row],[project]]), "",SUM(patch[[#This Row],[BJ -1 num]:[SH -1 num]]))</f>
        <v/>
      </c>
      <c r="W1187" s="7" t="str">
        <f>IF(ISBLANK(patch[[#This Row],[project]]), "",COUNTIFS($A:$A,patch[[#This Row],[number]],$S:$S, "BJ And dev",$AC:$AC, "Review-1"))</f>
        <v/>
      </c>
      <c r="X1187" s="7" t="str">
        <f>IF(ISBLANK(patch[[#This Row],[project]]), "",COUNTIFS($A:$A,patch[[#This Row],[number]],$S:$S, "FL And dev",$AC:$AC, "Review-1"))</f>
        <v/>
      </c>
      <c r="Y1187" s="7" t="str">
        <f>IF(ISBLANK(patch[[#This Row],[project]]), "",COUNTIFS($A:$A,patch[[#This Row],[number]],$S:$S, "SH And dev",$AC:$AC, "Review-1"))</f>
        <v/>
      </c>
      <c r="Z1187" s="7" t="str">
        <f>IF(ISBLANK(patch[[#This Row],[project]]), "",COUNTIFS($A:$A,patch[[#This Row],[number]],$S:$S, "BJ And dev",$AD:$AD, "&lt;&gt;IntegratorValidationComment"))</f>
        <v/>
      </c>
      <c r="AA1187" s="7" t="str">
        <f>IF(ISBLANK(patch[[#This Row],[project]]), "",COUNTIFS($A:$A,patch[[#This Row],[number]],$S:$S, "FL And dev",$AD:$AD, "&lt;&gt;IntegratorValidationComment"))</f>
        <v/>
      </c>
      <c r="AB1187" s="7" t="str">
        <f>IF(ISBLANK(patch[[#This Row],[project]]), "",COUNTIFS($A:$A,patch[[#This Row],[number]],$S:$S, "SH And dev",$AD:$AD, "&lt;&gt;IntegratorValidationComment"))</f>
        <v/>
      </c>
      <c r="AC1187" s="7" t="str">
        <f>IF(OR(ISNUMBER(FIND("Review-1", patch[[#This Row],[comments]])), ISNUMBER(FIND("Approver-1", patch[[#This Row],[comments]]))), "Review-1", "")</f>
        <v/>
      </c>
      <c r="AD11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87" s="7">
        <f>IF(ISBLANK(patch[[#This Row],[number]]),AE1186,patch[[#This Row],[ifCommon]])</f>
        <v>0</v>
      </c>
    </row>
    <row r="1188" spans="1:31">
      <c r="A1188" s="151">
        <v>146207</v>
      </c>
      <c r="B1188" s="151"/>
      <c r="C1188" s="151"/>
      <c r="D1188" s="151"/>
      <c r="E1188" s="151"/>
      <c r="F1188" s="151"/>
      <c r="G1188" s="151"/>
      <c r="H1188" s="151"/>
      <c r="I1188" s="151"/>
      <c r="J1188" s="152">
        <v>42633.710069444453</v>
      </c>
      <c r="K1188" s="151"/>
      <c r="L1188" s="151" t="s">
        <v>59</v>
      </c>
      <c r="M1188" s="152">
        <v>42632.480081018519</v>
      </c>
      <c r="N1188" s="151" t="s">
        <v>3191</v>
      </c>
      <c r="O1188" s="151"/>
      <c r="P1188" s="151"/>
      <c r="Q1188" s="7" t="str">
        <f>IF(ISBLANK(patch[[#This Row],[OwnerEmail]]),Q1187,patch[[#This Row],[OwnerEmail]])</f>
        <v>qingwu.zhang@intel.com</v>
      </c>
      <c r="R1188" s="7" t="str">
        <f>_xlfn.IFNA(VLOOKUP(patch[[#This Row],[tmp-owner.email]],OrgTree!$A:$K, 11, 0), "not ICG SWFW")</f>
        <v>BJ And dev</v>
      </c>
      <c r="S1188" s="7" t="str">
        <f>IF(patch[[#This Row],[reviewer]]=patch[[#This Row],[tmp-owner.email]], "author", _xlfn.IFNA(VLOOKUP(patch[[#This Row],[reviewer]],OrgTree!$A:$K, 11, 0), "not ICG SWFW"))</f>
        <v>BJ And dev</v>
      </c>
      <c r="T1188" s="7" t="str">
        <f>IF(ISBLANK(patch[[#This Row],[mergeDate]]), "", MID(YEAR(patch[[#This Row],[mergeDate]]), 3,2)&amp;"'ww"&amp;WEEKNUM(patch[[#This Row],[mergeDate]]))</f>
        <v>16'ww39</v>
      </c>
      <c r="U1188" s="7" t="str">
        <f>IF(ISBLANK(patch[[#This Row],[mergeDate]]), U1187, MID(YEAR(patch[[#This Row],[mergeDate]]), 3,2)&amp;"'m"&amp;MONTH(patch[[#This Row],[mergeDate]]))</f>
        <v>16'm9</v>
      </c>
      <c r="V1188" s="7" t="str">
        <f>IF(ISBLANK(patch[[#This Row],[project]]), "",SUM(patch[[#This Row],[BJ -1 num]:[SH -1 num]]))</f>
        <v/>
      </c>
      <c r="W1188" s="7" t="str">
        <f>IF(ISBLANK(patch[[#This Row],[project]]), "",COUNTIFS($A:$A,patch[[#This Row],[number]],$S:$S, "BJ And dev",$AC:$AC, "Review-1"))</f>
        <v/>
      </c>
      <c r="X1188" s="7" t="str">
        <f>IF(ISBLANK(patch[[#This Row],[project]]), "",COUNTIFS($A:$A,patch[[#This Row],[number]],$S:$S, "FL And dev",$AC:$AC, "Review-1"))</f>
        <v/>
      </c>
      <c r="Y1188" s="7" t="str">
        <f>IF(ISBLANK(patch[[#This Row],[project]]), "",COUNTIFS($A:$A,patch[[#This Row],[number]],$S:$S, "SH And dev",$AC:$AC, "Review-1"))</f>
        <v/>
      </c>
      <c r="Z1188" s="7" t="str">
        <f>IF(ISBLANK(patch[[#This Row],[project]]), "",COUNTIFS($A:$A,patch[[#This Row],[number]],$S:$S, "BJ And dev",$AD:$AD, "&lt;&gt;IntegratorValidationComment"))</f>
        <v/>
      </c>
      <c r="AA1188" s="7" t="str">
        <f>IF(ISBLANK(patch[[#This Row],[project]]), "",COUNTIFS($A:$A,patch[[#This Row],[number]],$S:$S, "FL And dev",$AD:$AD, "&lt;&gt;IntegratorValidationComment"))</f>
        <v/>
      </c>
      <c r="AB1188" s="7" t="str">
        <f>IF(ISBLANK(patch[[#This Row],[project]]), "",COUNTIFS($A:$A,patch[[#This Row],[number]],$S:$S, "SH And dev",$AD:$AD, "&lt;&gt;IntegratorValidationComment"))</f>
        <v/>
      </c>
      <c r="AC1188" s="7" t="str">
        <f>IF(OR(ISNUMBER(FIND("Review-1", patch[[#This Row],[comments]])), ISNUMBER(FIND("Approver-1", patch[[#This Row],[comments]]))), "Review-1", "")</f>
        <v/>
      </c>
      <c r="AD11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88" s="7">
        <f>IF(ISBLANK(patch[[#This Row],[number]]),AE1187,patch[[#This Row],[ifCommon]])</f>
        <v>0</v>
      </c>
    </row>
    <row r="1189" spans="1:31">
      <c r="A1189" s="151">
        <v>146207</v>
      </c>
      <c r="B1189" s="151"/>
      <c r="C1189" s="151"/>
      <c r="D1189" s="151"/>
      <c r="E1189" s="151"/>
      <c r="F1189" s="151"/>
      <c r="G1189" s="151"/>
      <c r="H1189" s="151"/>
      <c r="I1189" s="151"/>
      <c r="J1189" s="152">
        <v>42633.710069444453</v>
      </c>
      <c r="K1189" s="151"/>
      <c r="L1189" s="151" t="s">
        <v>59</v>
      </c>
      <c r="M1189" s="152">
        <v>42632.481377314813</v>
      </c>
      <c r="N1189" s="151" t="s">
        <v>3192</v>
      </c>
      <c r="O1189" s="151"/>
      <c r="P1189" s="151"/>
      <c r="Q1189" s="7" t="str">
        <f>IF(ISBLANK(patch[[#This Row],[OwnerEmail]]),Q1188,patch[[#This Row],[OwnerEmail]])</f>
        <v>qingwu.zhang@intel.com</v>
      </c>
      <c r="R1189" s="7" t="str">
        <f>_xlfn.IFNA(VLOOKUP(patch[[#This Row],[tmp-owner.email]],OrgTree!$A:$K, 11, 0), "not ICG SWFW")</f>
        <v>BJ And dev</v>
      </c>
      <c r="S1189" s="7" t="str">
        <f>IF(patch[[#This Row],[reviewer]]=patch[[#This Row],[tmp-owner.email]], "author", _xlfn.IFNA(VLOOKUP(patch[[#This Row],[reviewer]],OrgTree!$A:$K, 11, 0), "not ICG SWFW"))</f>
        <v>BJ And dev</v>
      </c>
      <c r="T1189" s="7" t="str">
        <f>IF(ISBLANK(patch[[#This Row],[mergeDate]]), "", MID(YEAR(patch[[#This Row],[mergeDate]]), 3,2)&amp;"'ww"&amp;WEEKNUM(patch[[#This Row],[mergeDate]]))</f>
        <v>16'ww39</v>
      </c>
      <c r="U1189" s="7" t="str">
        <f>IF(ISBLANK(patch[[#This Row],[mergeDate]]), U1188, MID(YEAR(patch[[#This Row],[mergeDate]]), 3,2)&amp;"'m"&amp;MONTH(patch[[#This Row],[mergeDate]]))</f>
        <v>16'm9</v>
      </c>
      <c r="V1189" s="7" t="str">
        <f>IF(ISBLANK(patch[[#This Row],[project]]), "",SUM(patch[[#This Row],[BJ -1 num]:[SH -1 num]]))</f>
        <v/>
      </c>
      <c r="W1189" s="7" t="str">
        <f>IF(ISBLANK(patch[[#This Row],[project]]), "",COUNTIFS($A:$A,patch[[#This Row],[number]],$S:$S, "BJ And dev",$AC:$AC, "Review-1"))</f>
        <v/>
      </c>
      <c r="X1189" s="7" t="str">
        <f>IF(ISBLANK(patch[[#This Row],[project]]), "",COUNTIFS($A:$A,patch[[#This Row],[number]],$S:$S, "FL And dev",$AC:$AC, "Review-1"))</f>
        <v/>
      </c>
      <c r="Y1189" s="7" t="str">
        <f>IF(ISBLANK(patch[[#This Row],[project]]), "",COUNTIFS($A:$A,patch[[#This Row],[number]],$S:$S, "SH And dev",$AC:$AC, "Review-1"))</f>
        <v/>
      </c>
      <c r="Z1189" s="7" t="str">
        <f>IF(ISBLANK(patch[[#This Row],[project]]), "",COUNTIFS($A:$A,patch[[#This Row],[number]],$S:$S, "BJ And dev",$AD:$AD, "&lt;&gt;IntegratorValidationComment"))</f>
        <v/>
      </c>
      <c r="AA1189" s="7" t="str">
        <f>IF(ISBLANK(patch[[#This Row],[project]]), "",COUNTIFS($A:$A,patch[[#This Row],[number]],$S:$S, "FL And dev",$AD:$AD, "&lt;&gt;IntegratorValidationComment"))</f>
        <v/>
      </c>
      <c r="AB1189" s="7" t="str">
        <f>IF(ISBLANK(patch[[#This Row],[project]]), "",COUNTIFS($A:$A,patch[[#This Row],[number]],$S:$S, "SH And dev",$AD:$AD, "&lt;&gt;IntegratorValidationComment"))</f>
        <v/>
      </c>
      <c r="AC1189" s="7" t="str">
        <f>IF(OR(ISNUMBER(FIND("Review-1", patch[[#This Row],[comments]])), ISNUMBER(FIND("Approver-1", patch[[#This Row],[comments]]))), "Review-1", "")</f>
        <v/>
      </c>
      <c r="AD11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89" s="7">
        <f>IF(ISBLANK(patch[[#This Row],[number]]),AE1188,patch[[#This Row],[ifCommon]])</f>
        <v>0</v>
      </c>
    </row>
    <row r="1190" spans="1:31">
      <c r="A1190" s="151">
        <v>146207</v>
      </c>
      <c r="B1190" s="151"/>
      <c r="C1190" s="151"/>
      <c r="D1190" s="151"/>
      <c r="E1190" s="151"/>
      <c r="F1190" s="151"/>
      <c r="G1190" s="151"/>
      <c r="H1190" s="151"/>
      <c r="I1190" s="151"/>
      <c r="J1190" s="152">
        <v>42633.710069444453</v>
      </c>
      <c r="K1190" s="151"/>
      <c r="L1190" s="151" t="s">
        <v>24</v>
      </c>
      <c r="M1190" s="152">
        <v>42632.752569444441</v>
      </c>
      <c r="N1190" s="151" t="s">
        <v>2461</v>
      </c>
      <c r="O1190" s="151"/>
      <c r="P1190" s="151"/>
      <c r="Q1190" s="7" t="str">
        <f>IF(ISBLANK(patch[[#This Row],[OwnerEmail]]),Q1189,patch[[#This Row],[OwnerEmail]])</f>
        <v>qingwu.zhang@intel.com</v>
      </c>
      <c r="R1190" s="7" t="str">
        <f>_xlfn.IFNA(VLOOKUP(patch[[#This Row],[tmp-owner.email]],OrgTree!$A:$K, 11, 0), "not ICG SWFW")</f>
        <v>BJ And dev</v>
      </c>
      <c r="S1190" s="7" t="str">
        <f>IF(patch[[#This Row],[reviewer]]=patch[[#This Row],[tmp-owner.email]], "author", _xlfn.IFNA(VLOOKUP(patch[[#This Row],[reviewer]],OrgTree!$A:$K, 11, 0), "not ICG SWFW"))</f>
        <v>author</v>
      </c>
      <c r="T1190" s="7" t="str">
        <f>IF(ISBLANK(patch[[#This Row],[mergeDate]]), "", MID(YEAR(patch[[#This Row],[mergeDate]]), 3,2)&amp;"'ww"&amp;WEEKNUM(patch[[#This Row],[mergeDate]]))</f>
        <v>16'ww39</v>
      </c>
      <c r="U1190" s="7" t="str">
        <f>IF(ISBLANK(patch[[#This Row],[mergeDate]]), U1189, MID(YEAR(patch[[#This Row],[mergeDate]]), 3,2)&amp;"'m"&amp;MONTH(patch[[#This Row],[mergeDate]]))</f>
        <v>16'm9</v>
      </c>
      <c r="V1190" s="7" t="str">
        <f>IF(ISBLANK(patch[[#This Row],[project]]), "",SUM(patch[[#This Row],[BJ -1 num]:[SH -1 num]]))</f>
        <v/>
      </c>
      <c r="W1190" s="7" t="str">
        <f>IF(ISBLANK(patch[[#This Row],[project]]), "",COUNTIFS($A:$A,patch[[#This Row],[number]],$S:$S, "BJ And dev",$AC:$AC, "Review-1"))</f>
        <v/>
      </c>
      <c r="X1190" s="7" t="str">
        <f>IF(ISBLANK(patch[[#This Row],[project]]), "",COUNTIFS($A:$A,patch[[#This Row],[number]],$S:$S, "FL And dev",$AC:$AC, "Review-1"))</f>
        <v/>
      </c>
      <c r="Y1190" s="7" t="str">
        <f>IF(ISBLANK(patch[[#This Row],[project]]), "",COUNTIFS($A:$A,patch[[#This Row],[number]],$S:$S, "SH And dev",$AC:$AC, "Review-1"))</f>
        <v/>
      </c>
      <c r="Z1190" s="7" t="str">
        <f>IF(ISBLANK(patch[[#This Row],[project]]), "",COUNTIFS($A:$A,patch[[#This Row],[number]],$S:$S, "BJ And dev",$AD:$AD, "&lt;&gt;IntegratorValidationComment"))</f>
        <v/>
      </c>
      <c r="AA1190" s="7" t="str">
        <f>IF(ISBLANK(patch[[#This Row],[project]]), "",COUNTIFS($A:$A,patch[[#This Row],[number]],$S:$S, "FL And dev",$AD:$AD, "&lt;&gt;IntegratorValidationComment"))</f>
        <v/>
      </c>
      <c r="AB1190" s="7" t="str">
        <f>IF(ISBLANK(patch[[#This Row],[project]]), "",COUNTIFS($A:$A,patch[[#This Row],[number]],$S:$S, "SH And dev",$AD:$AD, "&lt;&gt;IntegratorValidationComment"))</f>
        <v/>
      </c>
      <c r="AC1190" s="7" t="str">
        <f>IF(OR(ISNUMBER(FIND("Review-1", patch[[#This Row],[comments]])), ISNUMBER(FIND("Approver-1", patch[[#This Row],[comments]]))), "Review-1", "")</f>
        <v/>
      </c>
      <c r="AD11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90" s="7">
        <f>IF(ISBLANK(patch[[#This Row],[number]]),AE1189,patch[[#This Row],[ifCommon]])</f>
        <v>0</v>
      </c>
    </row>
    <row r="1191" spans="1:31">
      <c r="A1191" s="151">
        <v>146207</v>
      </c>
      <c r="B1191" s="151"/>
      <c r="C1191" s="151"/>
      <c r="D1191" s="151"/>
      <c r="E1191" s="151"/>
      <c r="F1191" s="151"/>
      <c r="G1191" s="151"/>
      <c r="H1191" s="151"/>
      <c r="I1191" s="151"/>
      <c r="J1191" s="152">
        <v>42633.710069444453</v>
      </c>
      <c r="K1191" s="151"/>
      <c r="L1191" s="151" t="s">
        <v>24</v>
      </c>
      <c r="M1191" s="152">
        <v>42632.752569444441</v>
      </c>
      <c r="N1191" s="151" t="s">
        <v>2460</v>
      </c>
      <c r="O1191" s="151"/>
      <c r="P1191" s="151"/>
      <c r="Q1191" s="7" t="str">
        <f>IF(ISBLANK(patch[[#This Row],[OwnerEmail]]),Q1190,patch[[#This Row],[OwnerEmail]])</f>
        <v>qingwu.zhang@intel.com</v>
      </c>
      <c r="R1191" s="7" t="str">
        <f>_xlfn.IFNA(VLOOKUP(patch[[#This Row],[tmp-owner.email]],OrgTree!$A:$K, 11, 0), "not ICG SWFW")</f>
        <v>BJ And dev</v>
      </c>
      <c r="S1191" s="7" t="str">
        <f>IF(patch[[#This Row],[reviewer]]=patch[[#This Row],[tmp-owner.email]], "author", _xlfn.IFNA(VLOOKUP(patch[[#This Row],[reviewer]],OrgTree!$A:$K, 11, 0), "not ICG SWFW"))</f>
        <v>author</v>
      </c>
      <c r="T1191" s="7" t="str">
        <f>IF(ISBLANK(patch[[#This Row],[mergeDate]]), "", MID(YEAR(patch[[#This Row],[mergeDate]]), 3,2)&amp;"'ww"&amp;WEEKNUM(patch[[#This Row],[mergeDate]]))</f>
        <v>16'ww39</v>
      </c>
      <c r="U1191" s="7" t="str">
        <f>IF(ISBLANK(patch[[#This Row],[mergeDate]]), U1190, MID(YEAR(patch[[#This Row],[mergeDate]]), 3,2)&amp;"'m"&amp;MONTH(patch[[#This Row],[mergeDate]]))</f>
        <v>16'm9</v>
      </c>
      <c r="V1191" s="7" t="str">
        <f>IF(ISBLANK(patch[[#This Row],[project]]), "",SUM(patch[[#This Row],[BJ -1 num]:[SH -1 num]]))</f>
        <v/>
      </c>
      <c r="W1191" s="7" t="str">
        <f>IF(ISBLANK(patch[[#This Row],[project]]), "",COUNTIFS($A:$A,patch[[#This Row],[number]],$S:$S, "BJ And dev",$AC:$AC, "Review-1"))</f>
        <v/>
      </c>
      <c r="X1191" s="7" t="str">
        <f>IF(ISBLANK(patch[[#This Row],[project]]), "",COUNTIFS($A:$A,patch[[#This Row],[number]],$S:$S, "FL And dev",$AC:$AC, "Review-1"))</f>
        <v/>
      </c>
      <c r="Y1191" s="7" t="str">
        <f>IF(ISBLANK(patch[[#This Row],[project]]), "",COUNTIFS($A:$A,patch[[#This Row],[number]],$S:$S, "SH And dev",$AC:$AC, "Review-1"))</f>
        <v/>
      </c>
      <c r="Z1191" s="7" t="str">
        <f>IF(ISBLANK(patch[[#This Row],[project]]), "",COUNTIFS($A:$A,patch[[#This Row],[number]],$S:$S, "BJ And dev",$AD:$AD, "&lt;&gt;IntegratorValidationComment"))</f>
        <v/>
      </c>
      <c r="AA1191" s="7" t="str">
        <f>IF(ISBLANK(patch[[#This Row],[project]]), "",COUNTIFS($A:$A,patch[[#This Row],[number]],$S:$S, "FL And dev",$AD:$AD, "&lt;&gt;IntegratorValidationComment"))</f>
        <v/>
      </c>
      <c r="AB1191" s="7" t="str">
        <f>IF(ISBLANK(patch[[#This Row],[project]]), "",COUNTIFS($A:$A,patch[[#This Row],[number]],$S:$S, "SH And dev",$AD:$AD, "&lt;&gt;IntegratorValidationComment"))</f>
        <v/>
      </c>
      <c r="AC1191" s="7" t="str">
        <f>IF(OR(ISNUMBER(FIND("Review-1", patch[[#This Row],[comments]])), ISNUMBER(FIND("Approver-1", patch[[#This Row],[comments]]))), "Review-1", "")</f>
        <v/>
      </c>
      <c r="AD11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91" s="7">
        <f>IF(ISBLANK(patch[[#This Row],[number]]),AE1190,patch[[#This Row],[ifCommon]])</f>
        <v>0</v>
      </c>
    </row>
    <row r="1192" spans="1:31">
      <c r="A1192" s="151">
        <v>146207</v>
      </c>
      <c r="B1192" s="151"/>
      <c r="C1192" s="151"/>
      <c r="D1192" s="151"/>
      <c r="E1192" s="151"/>
      <c r="F1192" s="151"/>
      <c r="G1192" s="151"/>
      <c r="H1192" s="151"/>
      <c r="I1192" s="151"/>
      <c r="J1192" s="152">
        <v>42633.710069444453</v>
      </c>
      <c r="K1192" s="151"/>
      <c r="L1192" s="151" t="s">
        <v>24</v>
      </c>
      <c r="M1192" s="152">
        <v>42632.755069444444</v>
      </c>
      <c r="N1192" s="151" t="s">
        <v>1829</v>
      </c>
      <c r="O1192" s="151"/>
      <c r="P1192" s="151"/>
      <c r="Q1192" s="7" t="str">
        <f>IF(ISBLANK(patch[[#This Row],[OwnerEmail]]),Q1191,patch[[#This Row],[OwnerEmail]])</f>
        <v>qingwu.zhang@intel.com</v>
      </c>
      <c r="R1192" s="7" t="str">
        <f>_xlfn.IFNA(VLOOKUP(patch[[#This Row],[tmp-owner.email]],OrgTree!$A:$K, 11, 0), "not ICG SWFW")</f>
        <v>BJ And dev</v>
      </c>
      <c r="S1192" s="7" t="str">
        <f>IF(patch[[#This Row],[reviewer]]=patch[[#This Row],[tmp-owner.email]], "author", _xlfn.IFNA(VLOOKUP(patch[[#This Row],[reviewer]],OrgTree!$A:$K, 11, 0), "not ICG SWFW"))</f>
        <v>author</v>
      </c>
      <c r="T1192" s="7" t="str">
        <f>IF(ISBLANK(patch[[#This Row],[mergeDate]]), "", MID(YEAR(patch[[#This Row],[mergeDate]]), 3,2)&amp;"'ww"&amp;WEEKNUM(patch[[#This Row],[mergeDate]]))</f>
        <v>16'ww39</v>
      </c>
      <c r="U1192" s="7" t="str">
        <f>IF(ISBLANK(patch[[#This Row],[mergeDate]]), U1191, MID(YEAR(patch[[#This Row],[mergeDate]]), 3,2)&amp;"'m"&amp;MONTH(patch[[#This Row],[mergeDate]]))</f>
        <v>16'm9</v>
      </c>
      <c r="V1192" s="7" t="str">
        <f>IF(ISBLANK(patch[[#This Row],[project]]), "",SUM(patch[[#This Row],[BJ -1 num]:[SH -1 num]]))</f>
        <v/>
      </c>
      <c r="W1192" s="7" t="str">
        <f>IF(ISBLANK(patch[[#This Row],[project]]), "",COUNTIFS($A:$A,patch[[#This Row],[number]],$S:$S, "BJ And dev",$AC:$AC, "Review-1"))</f>
        <v/>
      </c>
      <c r="X1192" s="7" t="str">
        <f>IF(ISBLANK(patch[[#This Row],[project]]), "",COUNTIFS($A:$A,patch[[#This Row],[number]],$S:$S, "FL And dev",$AC:$AC, "Review-1"))</f>
        <v/>
      </c>
      <c r="Y1192" s="7" t="str">
        <f>IF(ISBLANK(patch[[#This Row],[project]]), "",COUNTIFS($A:$A,patch[[#This Row],[number]],$S:$S, "SH And dev",$AC:$AC, "Review-1"))</f>
        <v/>
      </c>
      <c r="Z1192" s="7" t="str">
        <f>IF(ISBLANK(patch[[#This Row],[project]]), "",COUNTIFS($A:$A,patch[[#This Row],[number]],$S:$S, "BJ And dev",$AD:$AD, "&lt;&gt;IntegratorValidationComment"))</f>
        <v/>
      </c>
      <c r="AA1192" s="7" t="str">
        <f>IF(ISBLANK(patch[[#This Row],[project]]), "",COUNTIFS($A:$A,patch[[#This Row],[number]],$S:$S, "FL And dev",$AD:$AD, "&lt;&gt;IntegratorValidationComment"))</f>
        <v/>
      </c>
      <c r="AB1192" s="7" t="str">
        <f>IF(ISBLANK(patch[[#This Row],[project]]), "",COUNTIFS($A:$A,patch[[#This Row],[number]],$S:$S, "SH And dev",$AD:$AD, "&lt;&gt;IntegratorValidationComment"))</f>
        <v/>
      </c>
      <c r="AC1192" s="7" t="str">
        <f>IF(OR(ISNUMBER(FIND("Review-1", patch[[#This Row],[comments]])), ISNUMBER(FIND("Approver-1", patch[[#This Row],[comments]]))), "Review-1", "")</f>
        <v/>
      </c>
      <c r="AD11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92" s="7">
        <f>IF(ISBLANK(patch[[#This Row],[number]]),AE1191,patch[[#This Row],[ifCommon]])</f>
        <v>0</v>
      </c>
    </row>
    <row r="1193" spans="1:31">
      <c r="A1193" s="151">
        <v>146207</v>
      </c>
      <c r="B1193" s="151"/>
      <c r="C1193" s="151"/>
      <c r="D1193" s="151"/>
      <c r="E1193" s="151"/>
      <c r="F1193" s="151"/>
      <c r="G1193" s="151"/>
      <c r="H1193" s="151"/>
      <c r="I1193" s="151"/>
      <c r="J1193" s="152">
        <v>42633.710069444453</v>
      </c>
      <c r="K1193" s="151"/>
      <c r="L1193" s="151" t="s">
        <v>24</v>
      </c>
      <c r="M1193" s="152">
        <v>42632.755069444444</v>
      </c>
      <c r="N1193" s="151" t="s">
        <v>2450</v>
      </c>
      <c r="O1193" s="151"/>
      <c r="P1193" s="151"/>
      <c r="Q1193" s="7" t="str">
        <f>IF(ISBLANK(patch[[#This Row],[OwnerEmail]]),Q1192,patch[[#This Row],[OwnerEmail]])</f>
        <v>qingwu.zhang@intel.com</v>
      </c>
      <c r="R1193" s="7" t="str">
        <f>_xlfn.IFNA(VLOOKUP(patch[[#This Row],[tmp-owner.email]],OrgTree!$A:$K, 11, 0), "not ICG SWFW")</f>
        <v>BJ And dev</v>
      </c>
      <c r="S1193" s="7" t="str">
        <f>IF(patch[[#This Row],[reviewer]]=patch[[#This Row],[tmp-owner.email]], "author", _xlfn.IFNA(VLOOKUP(patch[[#This Row],[reviewer]],OrgTree!$A:$K, 11, 0), "not ICG SWFW"))</f>
        <v>author</v>
      </c>
      <c r="T1193" s="7" t="str">
        <f>IF(ISBLANK(patch[[#This Row],[mergeDate]]), "", MID(YEAR(patch[[#This Row],[mergeDate]]), 3,2)&amp;"'ww"&amp;WEEKNUM(patch[[#This Row],[mergeDate]]))</f>
        <v>16'ww39</v>
      </c>
      <c r="U1193" s="7" t="str">
        <f>IF(ISBLANK(patch[[#This Row],[mergeDate]]), U1192, MID(YEAR(patch[[#This Row],[mergeDate]]), 3,2)&amp;"'m"&amp;MONTH(patch[[#This Row],[mergeDate]]))</f>
        <v>16'm9</v>
      </c>
      <c r="V1193" s="7" t="str">
        <f>IF(ISBLANK(patch[[#This Row],[project]]), "",SUM(patch[[#This Row],[BJ -1 num]:[SH -1 num]]))</f>
        <v/>
      </c>
      <c r="W1193" s="7" t="str">
        <f>IF(ISBLANK(patch[[#This Row],[project]]), "",COUNTIFS($A:$A,patch[[#This Row],[number]],$S:$S, "BJ And dev",$AC:$AC, "Review-1"))</f>
        <v/>
      </c>
      <c r="X1193" s="7" t="str">
        <f>IF(ISBLANK(patch[[#This Row],[project]]), "",COUNTIFS($A:$A,patch[[#This Row],[number]],$S:$S, "FL And dev",$AC:$AC, "Review-1"))</f>
        <v/>
      </c>
      <c r="Y1193" s="7" t="str">
        <f>IF(ISBLANK(patch[[#This Row],[project]]), "",COUNTIFS($A:$A,patch[[#This Row],[number]],$S:$S, "SH And dev",$AC:$AC, "Review-1"))</f>
        <v/>
      </c>
      <c r="Z1193" s="7" t="str">
        <f>IF(ISBLANK(patch[[#This Row],[project]]), "",COUNTIFS($A:$A,patch[[#This Row],[number]],$S:$S, "BJ And dev",$AD:$AD, "&lt;&gt;IntegratorValidationComment"))</f>
        <v/>
      </c>
      <c r="AA1193" s="7" t="str">
        <f>IF(ISBLANK(patch[[#This Row],[project]]), "",COUNTIFS($A:$A,patch[[#This Row],[number]],$S:$S, "FL And dev",$AD:$AD, "&lt;&gt;IntegratorValidationComment"))</f>
        <v/>
      </c>
      <c r="AB1193" s="7" t="str">
        <f>IF(ISBLANK(patch[[#This Row],[project]]), "",COUNTIFS($A:$A,patch[[#This Row],[number]],$S:$S, "SH And dev",$AD:$AD, "&lt;&gt;IntegratorValidationComment"))</f>
        <v/>
      </c>
      <c r="AC1193" s="7" t="str">
        <f>IF(OR(ISNUMBER(FIND("Review-1", patch[[#This Row],[comments]])), ISNUMBER(FIND("Approver-1", patch[[#This Row],[comments]]))), "Review-1", "")</f>
        <v/>
      </c>
      <c r="AD11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93" s="7">
        <f>IF(ISBLANK(patch[[#This Row],[number]]),AE1192,patch[[#This Row],[ifCommon]])</f>
        <v>0</v>
      </c>
    </row>
    <row r="1194" spans="1:31">
      <c r="A1194" s="151">
        <v>146207</v>
      </c>
      <c r="B1194" s="151"/>
      <c r="C1194" s="151"/>
      <c r="D1194" s="151"/>
      <c r="E1194" s="151"/>
      <c r="F1194" s="151"/>
      <c r="G1194" s="151"/>
      <c r="H1194" s="151"/>
      <c r="I1194" s="151"/>
      <c r="J1194" s="152">
        <v>42633.710069444453</v>
      </c>
      <c r="K1194" s="151"/>
      <c r="L1194" s="151" t="s">
        <v>24</v>
      </c>
      <c r="M1194" s="152">
        <v>42632.756412037037</v>
      </c>
      <c r="N1194" s="151" t="s">
        <v>48</v>
      </c>
      <c r="O1194" s="151"/>
      <c r="P1194" s="151"/>
      <c r="Q1194" s="7" t="str">
        <f>IF(ISBLANK(patch[[#This Row],[OwnerEmail]]),Q1193,patch[[#This Row],[OwnerEmail]])</f>
        <v>qingwu.zhang@intel.com</v>
      </c>
      <c r="R1194" s="7" t="str">
        <f>_xlfn.IFNA(VLOOKUP(patch[[#This Row],[tmp-owner.email]],OrgTree!$A:$K, 11, 0), "not ICG SWFW")</f>
        <v>BJ And dev</v>
      </c>
      <c r="S1194" s="7" t="str">
        <f>IF(patch[[#This Row],[reviewer]]=patch[[#This Row],[tmp-owner.email]], "author", _xlfn.IFNA(VLOOKUP(patch[[#This Row],[reviewer]],OrgTree!$A:$K, 11, 0), "not ICG SWFW"))</f>
        <v>author</v>
      </c>
      <c r="T1194" s="7" t="str">
        <f>IF(ISBLANK(patch[[#This Row],[mergeDate]]), "", MID(YEAR(patch[[#This Row],[mergeDate]]), 3,2)&amp;"'ww"&amp;WEEKNUM(patch[[#This Row],[mergeDate]]))</f>
        <v>16'ww39</v>
      </c>
      <c r="U1194" s="7" t="str">
        <f>IF(ISBLANK(patch[[#This Row],[mergeDate]]), U1193, MID(YEAR(patch[[#This Row],[mergeDate]]), 3,2)&amp;"'m"&amp;MONTH(patch[[#This Row],[mergeDate]]))</f>
        <v>16'm9</v>
      </c>
      <c r="V1194" s="7" t="str">
        <f>IF(ISBLANK(patch[[#This Row],[project]]), "",SUM(patch[[#This Row],[BJ -1 num]:[SH -1 num]]))</f>
        <v/>
      </c>
      <c r="W1194" s="7" t="str">
        <f>IF(ISBLANK(patch[[#This Row],[project]]), "",COUNTIFS($A:$A,patch[[#This Row],[number]],$S:$S, "BJ And dev",$AC:$AC, "Review-1"))</f>
        <v/>
      </c>
      <c r="X1194" s="7" t="str">
        <f>IF(ISBLANK(patch[[#This Row],[project]]), "",COUNTIFS($A:$A,patch[[#This Row],[number]],$S:$S, "FL And dev",$AC:$AC, "Review-1"))</f>
        <v/>
      </c>
      <c r="Y1194" s="7" t="str">
        <f>IF(ISBLANK(patch[[#This Row],[project]]), "",COUNTIFS($A:$A,patch[[#This Row],[number]],$S:$S, "SH And dev",$AC:$AC, "Review-1"))</f>
        <v/>
      </c>
      <c r="Z1194" s="7" t="str">
        <f>IF(ISBLANK(patch[[#This Row],[project]]), "",COUNTIFS($A:$A,patch[[#This Row],[number]],$S:$S, "BJ And dev",$AD:$AD, "&lt;&gt;IntegratorValidationComment"))</f>
        <v/>
      </c>
      <c r="AA1194" s="7" t="str">
        <f>IF(ISBLANK(patch[[#This Row],[project]]), "",COUNTIFS($A:$A,patch[[#This Row],[number]],$S:$S, "FL And dev",$AD:$AD, "&lt;&gt;IntegratorValidationComment"))</f>
        <v/>
      </c>
      <c r="AB1194" s="7" t="str">
        <f>IF(ISBLANK(patch[[#This Row],[project]]), "",COUNTIFS($A:$A,patch[[#This Row],[number]],$S:$S, "SH And dev",$AD:$AD, "&lt;&gt;IntegratorValidationComment"))</f>
        <v/>
      </c>
      <c r="AC1194" s="7" t="str">
        <f>IF(OR(ISNUMBER(FIND("Review-1", patch[[#This Row],[comments]])), ISNUMBER(FIND("Approver-1", patch[[#This Row],[comments]]))), "Review-1", "")</f>
        <v/>
      </c>
      <c r="AD11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94" s="7">
        <f>IF(ISBLANK(patch[[#This Row],[number]]),AE1193,patch[[#This Row],[ifCommon]])</f>
        <v>0</v>
      </c>
    </row>
    <row r="1195" spans="1:31">
      <c r="A1195" s="151">
        <v>146207</v>
      </c>
      <c r="B1195" s="151"/>
      <c r="C1195" s="151"/>
      <c r="D1195" s="151"/>
      <c r="E1195" s="151"/>
      <c r="F1195" s="151"/>
      <c r="G1195" s="151"/>
      <c r="H1195" s="151"/>
      <c r="I1195" s="151"/>
      <c r="J1195" s="152">
        <v>42633.710069444453</v>
      </c>
      <c r="K1195" s="151"/>
      <c r="L1195" s="151" t="s">
        <v>59</v>
      </c>
      <c r="M1195" s="152">
        <v>42632.757349537038</v>
      </c>
      <c r="N1195" s="151" t="s">
        <v>48</v>
      </c>
      <c r="O1195" s="151"/>
      <c r="P1195" s="151"/>
      <c r="Q1195" s="7" t="str">
        <f>IF(ISBLANK(patch[[#This Row],[OwnerEmail]]),Q1194,patch[[#This Row],[OwnerEmail]])</f>
        <v>qingwu.zhang@intel.com</v>
      </c>
      <c r="R1195" s="7" t="str">
        <f>_xlfn.IFNA(VLOOKUP(patch[[#This Row],[tmp-owner.email]],OrgTree!$A:$K, 11, 0), "not ICG SWFW")</f>
        <v>BJ And dev</v>
      </c>
      <c r="S1195" s="7" t="str">
        <f>IF(patch[[#This Row],[reviewer]]=patch[[#This Row],[tmp-owner.email]], "author", _xlfn.IFNA(VLOOKUP(patch[[#This Row],[reviewer]],OrgTree!$A:$K, 11, 0), "not ICG SWFW"))</f>
        <v>BJ And dev</v>
      </c>
      <c r="T1195" s="7" t="str">
        <f>IF(ISBLANK(patch[[#This Row],[mergeDate]]), "", MID(YEAR(patch[[#This Row],[mergeDate]]), 3,2)&amp;"'ww"&amp;WEEKNUM(patch[[#This Row],[mergeDate]]))</f>
        <v>16'ww39</v>
      </c>
      <c r="U1195" s="7" t="str">
        <f>IF(ISBLANK(patch[[#This Row],[mergeDate]]), U1194, MID(YEAR(patch[[#This Row],[mergeDate]]), 3,2)&amp;"'m"&amp;MONTH(patch[[#This Row],[mergeDate]]))</f>
        <v>16'm9</v>
      </c>
      <c r="V1195" s="7" t="str">
        <f>IF(ISBLANK(patch[[#This Row],[project]]), "",SUM(patch[[#This Row],[BJ -1 num]:[SH -1 num]]))</f>
        <v/>
      </c>
      <c r="W1195" s="7" t="str">
        <f>IF(ISBLANK(patch[[#This Row],[project]]), "",COUNTIFS($A:$A,patch[[#This Row],[number]],$S:$S, "BJ And dev",$AC:$AC, "Review-1"))</f>
        <v/>
      </c>
      <c r="X1195" s="7" t="str">
        <f>IF(ISBLANK(patch[[#This Row],[project]]), "",COUNTIFS($A:$A,patch[[#This Row],[number]],$S:$S, "FL And dev",$AC:$AC, "Review-1"))</f>
        <v/>
      </c>
      <c r="Y1195" s="7" t="str">
        <f>IF(ISBLANK(patch[[#This Row],[project]]), "",COUNTIFS($A:$A,patch[[#This Row],[number]],$S:$S, "SH And dev",$AC:$AC, "Review-1"))</f>
        <v/>
      </c>
      <c r="Z1195" s="7" t="str">
        <f>IF(ISBLANK(patch[[#This Row],[project]]), "",COUNTIFS($A:$A,patch[[#This Row],[number]],$S:$S, "BJ And dev",$AD:$AD, "&lt;&gt;IntegratorValidationComment"))</f>
        <v/>
      </c>
      <c r="AA1195" s="7" t="str">
        <f>IF(ISBLANK(patch[[#This Row],[project]]), "",COUNTIFS($A:$A,patch[[#This Row],[number]],$S:$S, "FL And dev",$AD:$AD, "&lt;&gt;IntegratorValidationComment"))</f>
        <v/>
      </c>
      <c r="AB1195" s="7" t="str">
        <f>IF(ISBLANK(patch[[#This Row],[project]]), "",COUNTIFS($A:$A,patch[[#This Row],[number]],$S:$S, "SH And dev",$AD:$AD, "&lt;&gt;IntegratorValidationComment"))</f>
        <v/>
      </c>
      <c r="AC1195" s="7" t="str">
        <f>IF(OR(ISNUMBER(FIND("Review-1", patch[[#This Row],[comments]])), ISNUMBER(FIND("Approver-1", patch[[#This Row],[comments]]))), "Review-1", "")</f>
        <v/>
      </c>
      <c r="AD11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95" s="7">
        <f>IF(ISBLANK(patch[[#This Row],[number]]),AE1194,patch[[#This Row],[ifCommon]])</f>
        <v>0</v>
      </c>
    </row>
    <row r="1196" spans="1:31">
      <c r="A1196" s="151">
        <v>146207</v>
      </c>
      <c r="B1196" s="151"/>
      <c r="C1196" s="151"/>
      <c r="D1196" s="151"/>
      <c r="E1196" s="151"/>
      <c r="F1196" s="151"/>
      <c r="G1196" s="151"/>
      <c r="H1196" s="151"/>
      <c r="I1196" s="151"/>
      <c r="J1196" s="152">
        <v>42633.710069444453</v>
      </c>
      <c r="K1196" s="151"/>
      <c r="L1196" s="151" t="s">
        <v>1237</v>
      </c>
      <c r="M1196" s="152">
        <v>42632.757870370369</v>
      </c>
      <c r="N1196" s="151" t="s">
        <v>48</v>
      </c>
      <c r="O1196" s="151"/>
      <c r="P1196" s="151"/>
      <c r="Q1196" s="7" t="str">
        <f>IF(ISBLANK(patch[[#This Row],[OwnerEmail]]),Q1195,patch[[#This Row],[OwnerEmail]])</f>
        <v>qingwu.zhang@intel.com</v>
      </c>
      <c r="R1196" s="7" t="str">
        <f>_xlfn.IFNA(VLOOKUP(patch[[#This Row],[tmp-owner.email]],OrgTree!$A:$K, 11, 0), "not ICG SWFW")</f>
        <v>BJ And dev</v>
      </c>
      <c r="S1196" s="7" t="str">
        <f>IF(patch[[#This Row],[reviewer]]=patch[[#This Row],[tmp-owner.email]], "author", _xlfn.IFNA(VLOOKUP(patch[[#This Row],[reviewer]],OrgTree!$A:$K, 11, 0), "not ICG SWFW"))</f>
        <v>BJ And dev</v>
      </c>
      <c r="T1196" s="7" t="str">
        <f>IF(ISBLANK(patch[[#This Row],[mergeDate]]), "", MID(YEAR(patch[[#This Row],[mergeDate]]), 3,2)&amp;"'ww"&amp;WEEKNUM(patch[[#This Row],[mergeDate]]))</f>
        <v>16'ww39</v>
      </c>
      <c r="U1196" s="7" t="str">
        <f>IF(ISBLANK(patch[[#This Row],[mergeDate]]), U1195, MID(YEAR(patch[[#This Row],[mergeDate]]), 3,2)&amp;"'m"&amp;MONTH(patch[[#This Row],[mergeDate]]))</f>
        <v>16'm9</v>
      </c>
      <c r="V1196" s="7" t="str">
        <f>IF(ISBLANK(patch[[#This Row],[project]]), "",SUM(patch[[#This Row],[BJ -1 num]:[SH -1 num]]))</f>
        <v/>
      </c>
      <c r="W1196" s="7" t="str">
        <f>IF(ISBLANK(patch[[#This Row],[project]]), "",COUNTIFS($A:$A,patch[[#This Row],[number]],$S:$S, "BJ And dev",$AC:$AC, "Review-1"))</f>
        <v/>
      </c>
      <c r="X1196" s="7" t="str">
        <f>IF(ISBLANK(patch[[#This Row],[project]]), "",COUNTIFS($A:$A,patch[[#This Row],[number]],$S:$S, "FL And dev",$AC:$AC, "Review-1"))</f>
        <v/>
      </c>
      <c r="Y1196" s="7" t="str">
        <f>IF(ISBLANK(patch[[#This Row],[project]]), "",COUNTIFS($A:$A,patch[[#This Row],[number]],$S:$S, "SH And dev",$AC:$AC, "Review-1"))</f>
        <v/>
      </c>
      <c r="Z1196" s="7" t="str">
        <f>IF(ISBLANK(patch[[#This Row],[project]]), "",COUNTIFS($A:$A,patch[[#This Row],[number]],$S:$S, "BJ And dev",$AD:$AD, "&lt;&gt;IntegratorValidationComment"))</f>
        <v/>
      </c>
      <c r="AA1196" s="7" t="str">
        <f>IF(ISBLANK(patch[[#This Row],[project]]), "",COUNTIFS($A:$A,patch[[#This Row],[number]],$S:$S, "FL And dev",$AD:$AD, "&lt;&gt;IntegratorValidationComment"))</f>
        <v/>
      </c>
      <c r="AB1196" s="7" t="str">
        <f>IF(ISBLANK(patch[[#This Row],[project]]), "",COUNTIFS($A:$A,patch[[#This Row],[number]],$S:$S, "SH And dev",$AD:$AD, "&lt;&gt;IntegratorValidationComment"))</f>
        <v/>
      </c>
      <c r="AC1196" s="7" t="str">
        <f>IF(OR(ISNUMBER(FIND("Review-1", patch[[#This Row],[comments]])), ISNUMBER(FIND("Approver-1", patch[[#This Row],[comments]]))), "Review-1", "")</f>
        <v/>
      </c>
      <c r="AD11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96" s="7">
        <f>IF(ISBLANK(patch[[#This Row],[number]]),AE1195,patch[[#This Row],[ifCommon]])</f>
        <v>0</v>
      </c>
    </row>
    <row r="1197" spans="1:31">
      <c r="A1197" s="151">
        <v>146207</v>
      </c>
      <c r="B1197" s="151"/>
      <c r="C1197" s="151"/>
      <c r="D1197" s="151"/>
      <c r="E1197" s="151"/>
      <c r="F1197" s="151"/>
      <c r="G1197" s="151"/>
      <c r="H1197" s="151"/>
      <c r="I1197" s="151"/>
      <c r="J1197" s="152">
        <v>42633.710069444453</v>
      </c>
      <c r="K1197" s="151"/>
      <c r="L1197" s="151" t="s">
        <v>59</v>
      </c>
      <c r="M1197" s="152">
        <v>42632.759780092587</v>
      </c>
      <c r="N1197" s="151" t="s">
        <v>3193</v>
      </c>
      <c r="O1197" s="151"/>
      <c r="P1197" s="151"/>
      <c r="Q1197" s="7" t="str">
        <f>IF(ISBLANK(patch[[#This Row],[OwnerEmail]]),Q1196,patch[[#This Row],[OwnerEmail]])</f>
        <v>qingwu.zhang@intel.com</v>
      </c>
      <c r="R1197" s="7" t="str">
        <f>_xlfn.IFNA(VLOOKUP(patch[[#This Row],[tmp-owner.email]],OrgTree!$A:$K, 11, 0), "not ICG SWFW")</f>
        <v>BJ And dev</v>
      </c>
      <c r="S1197" s="7" t="str">
        <f>IF(patch[[#This Row],[reviewer]]=patch[[#This Row],[tmp-owner.email]], "author", _xlfn.IFNA(VLOOKUP(patch[[#This Row],[reviewer]],OrgTree!$A:$K, 11, 0), "not ICG SWFW"))</f>
        <v>BJ And dev</v>
      </c>
      <c r="T1197" s="7" t="str">
        <f>IF(ISBLANK(patch[[#This Row],[mergeDate]]), "", MID(YEAR(patch[[#This Row],[mergeDate]]), 3,2)&amp;"'ww"&amp;WEEKNUM(patch[[#This Row],[mergeDate]]))</f>
        <v>16'ww39</v>
      </c>
      <c r="U1197" s="7" t="str">
        <f>IF(ISBLANK(patch[[#This Row],[mergeDate]]), U1196, MID(YEAR(patch[[#This Row],[mergeDate]]), 3,2)&amp;"'m"&amp;MONTH(patch[[#This Row],[mergeDate]]))</f>
        <v>16'm9</v>
      </c>
      <c r="V1197" s="7" t="str">
        <f>IF(ISBLANK(patch[[#This Row],[project]]), "",SUM(patch[[#This Row],[BJ -1 num]:[SH -1 num]]))</f>
        <v/>
      </c>
      <c r="W1197" s="7" t="str">
        <f>IF(ISBLANK(patch[[#This Row],[project]]), "",COUNTIFS($A:$A,patch[[#This Row],[number]],$S:$S, "BJ And dev",$AC:$AC, "Review-1"))</f>
        <v/>
      </c>
      <c r="X1197" s="7" t="str">
        <f>IF(ISBLANK(patch[[#This Row],[project]]), "",COUNTIFS($A:$A,patch[[#This Row],[number]],$S:$S, "FL And dev",$AC:$AC, "Review-1"))</f>
        <v/>
      </c>
      <c r="Y1197" s="7" t="str">
        <f>IF(ISBLANK(patch[[#This Row],[project]]), "",COUNTIFS($A:$A,patch[[#This Row],[number]],$S:$S, "SH And dev",$AC:$AC, "Review-1"))</f>
        <v/>
      </c>
      <c r="Z1197" s="7" t="str">
        <f>IF(ISBLANK(patch[[#This Row],[project]]), "",COUNTIFS($A:$A,patch[[#This Row],[number]],$S:$S, "BJ And dev",$AD:$AD, "&lt;&gt;IntegratorValidationComment"))</f>
        <v/>
      </c>
      <c r="AA1197" s="7" t="str">
        <f>IF(ISBLANK(patch[[#This Row],[project]]), "",COUNTIFS($A:$A,patch[[#This Row],[number]],$S:$S, "FL And dev",$AD:$AD, "&lt;&gt;IntegratorValidationComment"))</f>
        <v/>
      </c>
      <c r="AB1197" s="7" t="str">
        <f>IF(ISBLANK(patch[[#This Row],[project]]), "",COUNTIFS($A:$A,patch[[#This Row],[number]],$S:$S, "SH And dev",$AD:$AD, "&lt;&gt;IntegratorValidationComment"))</f>
        <v/>
      </c>
      <c r="AC1197" s="7" t="str">
        <f>IF(OR(ISNUMBER(FIND("Review-1", patch[[#This Row],[comments]])), ISNUMBER(FIND("Approver-1", patch[[#This Row],[comments]]))), "Review-1", "")</f>
        <v/>
      </c>
      <c r="AD11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97" s="7">
        <f>IF(ISBLANK(patch[[#This Row],[number]]),AE1196,patch[[#This Row],[ifCommon]])</f>
        <v>0</v>
      </c>
    </row>
    <row r="1198" spans="1:31">
      <c r="A1198" s="151">
        <v>146207</v>
      </c>
      <c r="B1198" s="151"/>
      <c r="C1198" s="151"/>
      <c r="D1198" s="151"/>
      <c r="E1198" s="151"/>
      <c r="F1198" s="151"/>
      <c r="G1198" s="151"/>
      <c r="H1198" s="151"/>
      <c r="I1198" s="151"/>
      <c r="J1198" s="152">
        <v>42633.710069444453</v>
      </c>
      <c r="K1198" s="151"/>
      <c r="L1198" s="151" t="s">
        <v>59</v>
      </c>
      <c r="M1198" s="152">
        <v>42632.763368055559</v>
      </c>
      <c r="N1198" s="151" t="s">
        <v>3194</v>
      </c>
      <c r="O1198" s="151"/>
      <c r="P1198" s="151"/>
      <c r="Q1198" s="7" t="str">
        <f>IF(ISBLANK(patch[[#This Row],[OwnerEmail]]),Q1197,patch[[#This Row],[OwnerEmail]])</f>
        <v>qingwu.zhang@intel.com</v>
      </c>
      <c r="R1198" s="7" t="str">
        <f>_xlfn.IFNA(VLOOKUP(patch[[#This Row],[tmp-owner.email]],OrgTree!$A:$K, 11, 0), "not ICG SWFW")</f>
        <v>BJ And dev</v>
      </c>
      <c r="S1198" s="7" t="str">
        <f>IF(patch[[#This Row],[reviewer]]=patch[[#This Row],[tmp-owner.email]], "author", _xlfn.IFNA(VLOOKUP(patch[[#This Row],[reviewer]],OrgTree!$A:$K, 11, 0), "not ICG SWFW"))</f>
        <v>BJ And dev</v>
      </c>
      <c r="T1198" s="7" t="str">
        <f>IF(ISBLANK(patch[[#This Row],[mergeDate]]), "", MID(YEAR(patch[[#This Row],[mergeDate]]), 3,2)&amp;"'ww"&amp;WEEKNUM(patch[[#This Row],[mergeDate]]))</f>
        <v>16'ww39</v>
      </c>
      <c r="U1198" s="7" t="str">
        <f>IF(ISBLANK(patch[[#This Row],[mergeDate]]), U1197, MID(YEAR(patch[[#This Row],[mergeDate]]), 3,2)&amp;"'m"&amp;MONTH(patch[[#This Row],[mergeDate]]))</f>
        <v>16'm9</v>
      </c>
      <c r="V1198" s="7" t="str">
        <f>IF(ISBLANK(patch[[#This Row],[project]]), "",SUM(patch[[#This Row],[BJ -1 num]:[SH -1 num]]))</f>
        <v/>
      </c>
      <c r="W1198" s="7" t="str">
        <f>IF(ISBLANK(patch[[#This Row],[project]]), "",COUNTIFS($A:$A,patch[[#This Row],[number]],$S:$S, "BJ And dev",$AC:$AC, "Review-1"))</f>
        <v/>
      </c>
      <c r="X1198" s="7" t="str">
        <f>IF(ISBLANK(patch[[#This Row],[project]]), "",COUNTIFS($A:$A,patch[[#This Row],[number]],$S:$S, "FL And dev",$AC:$AC, "Review-1"))</f>
        <v/>
      </c>
      <c r="Y1198" s="7" t="str">
        <f>IF(ISBLANK(patch[[#This Row],[project]]), "",COUNTIFS($A:$A,patch[[#This Row],[number]],$S:$S, "SH And dev",$AC:$AC, "Review-1"))</f>
        <v/>
      </c>
      <c r="Z1198" s="7" t="str">
        <f>IF(ISBLANK(patch[[#This Row],[project]]), "",COUNTIFS($A:$A,patch[[#This Row],[number]],$S:$S, "BJ And dev",$AD:$AD, "&lt;&gt;IntegratorValidationComment"))</f>
        <v/>
      </c>
      <c r="AA1198" s="7" t="str">
        <f>IF(ISBLANK(patch[[#This Row],[project]]), "",COUNTIFS($A:$A,patch[[#This Row],[number]],$S:$S, "FL And dev",$AD:$AD, "&lt;&gt;IntegratorValidationComment"))</f>
        <v/>
      </c>
      <c r="AB1198" s="7" t="str">
        <f>IF(ISBLANK(patch[[#This Row],[project]]), "",COUNTIFS($A:$A,patch[[#This Row],[number]],$S:$S, "SH And dev",$AD:$AD, "&lt;&gt;IntegratorValidationComment"))</f>
        <v/>
      </c>
      <c r="AC1198" s="7" t="str">
        <f>IF(OR(ISNUMBER(FIND("Review-1", patch[[#This Row],[comments]])), ISNUMBER(FIND("Approver-1", patch[[#This Row],[comments]]))), "Review-1", "")</f>
        <v/>
      </c>
      <c r="AD11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98" s="7">
        <f>IF(ISBLANK(patch[[#This Row],[number]]),AE1197,patch[[#This Row],[ifCommon]])</f>
        <v>0</v>
      </c>
    </row>
    <row r="1199" spans="1:31">
      <c r="A1199" s="151">
        <v>146207</v>
      </c>
      <c r="B1199" s="151"/>
      <c r="C1199" s="151"/>
      <c r="D1199" s="151"/>
      <c r="E1199" s="151"/>
      <c r="F1199" s="151"/>
      <c r="G1199" s="151"/>
      <c r="H1199" s="151"/>
      <c r="I1199" s="151"/>
      <c r="J1199" s="152">
        <v>42633.710069444453</v>
      </c>
      <c r="K1199" s="151"/>
      <c r="L1199" s="151" t="s">
        <v>59</v>
      </c>
      <c r="M1199" s="152">
        <v>42632.765833333331</v>
      </c>
      <c r="N1199" s="151" t="s">
        <v>3195</v>
      </c>
      <c r="O1199" s="151"/>
      <c r="P1199" s="151"/>
      <c r="Q1199" s="7" t="str">
        <f>IF(ISBLANK(patch[[#This Row],[OwnerEmail]]),Q1198,patch[[#This Row],[OwnerEmail]])</f>
        <v>qingwu.zhang@intel.com</v>
      </c>
      <c r="R1199" s="7" t="str">
        <f>_xlfn.IFNA(VLOOKUP(patch[[#This Row],[tmp-owner.email]],OrgTree!$A:$K, 11, 0), "not ICG SWFW")</f>
        <v>BJ And dev</v>
      </c>
      <c r="S1199" s="7" t="str">
        <f>IF(patch[[#This Row],[reviewer]]=patch[[#This Row],[tmp-owner.email]], "author", _xlfn.IFNA(VLOOKUP(patch[[#This Row],[reviewer]],OrgTree!$A:$K, 11, 0), "not ICG SWFW"))</f>
        <v>BJ And dev</v>
      </c>
      <c r="T1199" s="7" t="str">
        <f>IF(ISBLANK(patch[[#This Row],[mergeDate]]), "", MID(YEAR(patch[[#This Row],[mergeDate]]), 3,2)&amp;"'ww"&amp;WEEKNUM(patch[[#This Row],[mergeDate]]))</f>
        <v>16'ww39</v>
      </c>
      <c r="U1199" s="7" t="str">
        <f>IF(ISBLANK(patch[[#This Row],[mergeDate]]), U1198, MID(YEAR(patch[[#This Row],[mergeDate]]), 3,2)&amp;"'m"&amp;MONTH(patch[[#This Row],[mergeDate]]))</f>
        <v>16'm9</v>
      </c>
      <c r="V1199" s="7" t="str">
        <f>IF(ISBLANK(patch[[#This Row],[project]]), "",SUM(patch[[#This Row],[BJ -1 num]:[SH -1 num]]))</f>
        <v/>
      </c>
      <c r="W1199" s="7" t="str">
        <f>IF(ISBLANK(patch[[#This Row],[project]]), "",COUNTIFS($A:$A,patch[[#This Row],[number]],$S:$S, "BJ And dev",$AC:$AC, "Review-1"))</f>
        <v/>
      </c>
      <c r="X1199" s="7" t="str">
        <f>IF(ISBLANK(patch[[#This Row],[project]]), "",COUNTIFS($A:$A,patch[[#This Row],[number]],$S:$S, "FL And dev",$AC:$AC, "Review-1"))</f>
        <v/>
      </c>
      <c r="Y1199" s="7" t="str">
        <f>IF(ISBLANK(patch[[#This Row],[project]]), "",COUNTIFS($A:$A,patch[[#This Row],[number]],$S:$S, "SH And dev",$AC:$AC, "Review-1"))</f>
        <v/>
      </c>
      <c r="Z1199" s="7" t="str">
        <f>IF(ISBLANK(patch[[#This Row],[project]]), "",COUNTIFS($A:$A,patch[[#This Row],[number]],$S:$S, "BJ And dev",$AD:$AD, "&lt;&gt;IntegratorValidationComment"))</f>
        <v/>
      </c>
      <c r="AA1199" s="7" t="str">
        <f>IF(ISBLANK(patch[[#This Row],[project]]), "",COUNTIFS($A:$A,patch[[#This Row],[number]],$S:$S, "FL And dev",$AD:$AD, "&lt;&gt;IntegratorValidationComment"))</f>
        <v/>
      </c>
      <c r="AB1199" s="7" t="str">
        <f>IF(ISBLANK(patch[[#This Row],[project]]), "",COUNTIFS($A:$A,patch[[#This Row],[number]],$S:$S, "SH And dev",$AD:$AD, "&lt;&gt;IntegratorValidationComment"))</f>
        <v/>
      </c>
      <c r="AC1199" s="7" t="str">
        <f>IF(OR(ISNUMBER(FIND("Review-1", patch[[#This Row],[comments]])), ISNUMBER(FIND("Approver-1", patch[[#This Row],[comments]]))), "Review-1", "")</f>
        <v/>
      </c>
      <c r="AD11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199" s="7">
        <f>IF(ISBLANK(patch[[#This Row],[number]]),AE1198,patch[[#This Row],[ifCommon]])</f>
        <v>0</v>
      </c>
    </row>
    <row r="1200" spans="1:31">
      <c r="A1200" s="151">
        <v>146207</v>
      </c>
      <c r="B1200" s="151"/>
      <c r="C1200" s="151"/>
      <c r="D1200" s="151"/>
      <c r="E1200" s="151"/>
      <c r="F1200" s="151"/>
      <c r="G1200" s="151"/>
      <c r="H1200" s="151"/>
      <c r="I1200" s="151"/>
      <c r="J1200" s="152">
        <v>42633.710069444453</v>
      </c>
      <c r="K1200" s="151"/>
      <c r="L1200" s="151" t="s">
        <v>59</v>
      </c>
      <c r="M1200" s="152">
        <v>42632.766342592593</v>
      </c>
      <c r="N1200" s="151" t="s">
        <v>2484</v>
      </c>
      <c r="O1200" s="151"/>
      <c r="P1200" s="151"/>
      <c r="Q1200" s="7" t="str">
        <f>IF(ISBLANK(patch[[#This Row],[OwnerEmail]]),Q1199,patch[[#This Row],[OwnerEmail]])</f>
        <v>qingwu.zhang@intel.com</v>
      </c>
      <c r="R1200" s="7" t="str">
        <f>_xlfn.IFNA(VLOOKUP(patch[[#This Row],[tmp-owner.email]],OrgTree!$A:$K, 11, 0), "not ICG SWFW")</f>
        <v>BJ And dev</v>
      </c>
      <c r="S1200" s="7" t="str">
        <f>IF(patch[[#This Row],[reviewer]]=patch[[#This Row],[tmp-owner.email]], "author", _xlfn.IFNA(VLOOKUP(patch[[#This Row],[reviewer]],OrgTree!$A:$K, 11, 0), "not ICG SWFW"))</f>
        <v>BJ And dev</v>
      </c>
      <c r="T1200" s="7" t="str">
        <f>IF(ISBLANK(patch[[#This Row],[mergeDate]]), "", MID(YEAR(patch[[#This Row],[mergeDate]]), 3,2)&amp;"'ww"&amp;WEEKNUM(patch[[#This Row],[mergeDate]]))</f>
        <v>16'ww39</v>
      </c>
      <c r="U1200" s="7" t="str">
        <f>IF(ISBLANK(patch[[#This Row],[mergeDate]]), U1199, MID(YEAR(patch[[#This Row],[mergeDate]]), 3,2)&amp;"'m"&amp;MONTH(patch[[#This Row],[mergeDate]]))</f>
        <v>16'm9</v>
      </c>
      <c r="V1200" s="7" t="str">
        <f>IF(ISBLANK(patch[[#This Row],[project]]), "",SUM(patch[[#This Row],[BJ -1 num]:[SH -1 num]]))</f>
        <v/>
      </c>
      <c r="W1200" s="7" t="str">
        <f>IF(ISBLANK(patch[[#This Row],[project]]), "",COUNTIFS($A:$A,patch[[#This Row],[number]],$S:$S, "BJ And dev",$AC:$AC, "Review-1"))</f>
        <v/>
      </c>
      <c r="X1200" s="7" t="str">
        <f>IF(ISBLANK(patch[[#This Row],[project]]), "",COUNTIFS($A:$A,patch[[#This Row],[number]],$S:$S, "FL And dev",$AC:$AC, "Review-1"))</f>
        <v/>
      </c>
      <c r="Y1200" s="7" t="str">
        <f>IF(ISBLANK(patch[[#This Row],[project]]), "",COUNTIFS($A:$A,patch[[#This Row],[number]],$S:$S, "SH And dev",$AC:$AC, "Review-1"))</f>
        <v/>
      </c>
      <c r="Z1200" s="7" t="str">
        <f>IF(ISBLANK(patch[[#This Row],[project]]), "",COUNTIFS($A:$A,patch[[#This Row],[number]],$S:$S, "BJ And dev",$AD:$AD, "&lt;&gt;IntegratorValidationComment"))</f>
        <v/>
      </c>
      <c r="AA1200" s="7" t="str">
        <f>IF(ISBLANK(patch[[#This Row],[project]]), "",COUNTIFS($A:$A,patch[[#This Row],[number]],$S:$S, "FL And dev",$AD:$AD, "&lt;&gt;IntegratorValidationComment"))</f>
        <v/>
      </c>
      <c r="AB1200" s="7" t="str">
        <f>IF(ISBLANK(patch[[#This Row],[project]]), "",COUNTIFS($A:$A,patch[[#This Row],[number]],$S:$S, "SH And dev",$AD:$AD, "&lt;&gt;IntegratorValidationComment"))</f>
        <v/>
      </c>
      <c r="AC1200" s="7" t="str">
        <f>IF(OR(ISNUMBER(FIND("Review-1", patch[[#This Row],[comments]])), ISNUMBER(FIND("Approver-1", patch[[#This Row],[comments]]))), "Review-1", "")</f>
        <v/>
      </c>
      <c r="AD12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00" s="7">
        <f>IF(ISBLANK(patch[[#This Row],[number]]),AE1199,patch[[#This Row],[ifCommon]])</f>
        <v>0</v>
      </c>
    </row>
    <row r="1201" spans="1:31">
      <c r="A1201" s="151">
        <v>146207</v>
      </c>
      <c r="B1201" s="151"/>
      <c r="C1201" s="151"/>
      <c r="D1201" s="151"/>
      <c r="E1201" s="151"/>
      <c r="F1201" s="151"/>
      <c r="G1201" s="151"/>
      <c r="H1201" s="151"/>
      <c r="I1201" s="151"/>
      <c r="J1201" s="152">
        <v>42633.710069444453</v>
      </c>
      <c r="K1201" s="151"/>
      <c r="L1201" s="151" t="s">
        <v>115</v>
      </c>
      <c r="M1201" s="152">
        <v>42633.398275462961</v>
      </c>
      <c r="N1201" s="151" t="s">
        <v>2497</v>
      </c>
      <c r="O1201" s="151"/>
      <c r="P1201" s="151"/>
      <c r="Q1201" s="7" t="str">
        <f>IF(ISBLANK(patch[[#This Row],[OwnerEmail]]),Q1200,patch[[#This Row],[OwnerEmail]])</f>
        <v>qingwu.zhang@intel.com</v>
      </c>
      <c r="R1201" s="7" t="str">
        <f>_xlfn.IFNA(VLOOKUP(patch[[#This Row],[tmp-owner.email]],OrgTree!$A:$K, 11, 0), "not ICG SWFW")</f>
        <v>BJ And dev</v>
      </c>
      <c r="S1201" s="7" t="str">
        <f>IF(patch[[#This Row],[reviewer]]=patch[[#This Row],[tmp-owner.email]], "author", _xlfn.IFNA(VLOOKUP(patch[[#This Row],[reviewer]],OrgTree!$A:$K, 11, 0), "not ICG SWFW"))</f>
        <v>Val</v>
      </c>
      <c r="T1201" s="7" t="str">
        <f>IF(ISBLANK(patch[[#This Row],[mergeDate]]), "", MID(YEAR(patch[[#This Row],[mergeDate]]), 3,2)&amp;"'ww"&amp;WEEKNUM(patch[[#This Row],[mergeDate]]))</f>
        <v>16'ww39</v>
      </c>
      <c r="U1201" s="7" t="str">
        <f>IF(ISBLANK(patch[[#This Row],[mergeDate]]), U1200, MID(YEAR(patch[[#This Row],[mergeDate]]), 3,2)&amp;"'m"&amp;MONTH(patch[[#This Row],[mergeDate]]))</f>
        <v>16'm9</v>
      </c>
      <c r="V1201" s="7" t="str">
        <f>IF(ISBLANK(patch[[#This Row],[project]]), "",SUM(patch[[#This Row],[BJ -1 num]:[SH -1 num]]))</f>
        <v/>
      </c>
      <c r="W1201" s="7" t="str">
        <f>IF(ISBLANK(patch[[#This Row],[project]]), "",COUNTIFS($A:$A,patch[[#This Row],[number]],$S:$S, "BJ And dev",$AC:$AC, "Review-1"))</f>
        <v/>
      </c>
      <c r="X1201" s="7" t="str">
        <f>IF(ISBLANK(patch[[#This Row],[project]]), "",COUNTIFS($A:$A,patch[[#This Row],[number]],$S:$S, "FL And dev",$AC:$AC, "Review-1"))</f>
        <v/>
      </c>
      <c r="Y1201" s="7" t="str">
        <f>IF(ISBLANK(patch[[#This Row],[project]]), "",COUNTIFS($A:$A,patch[[#This Row],[number]],$S:$S, "SH And dev",$AC:$AC, "Review-1"))</f>
        <v/>
      </c>
      <c r="Z1201" s="7" t="str">
        <f>IF(ISBLANK(patch[[#This Row],[project]]), "",COUNTIFS($A:$A,patch[[#This Row],[number]],$S:$S, "BJ And dev",$AD:$AD, "&lt;&gt;IntegratorValidationComment"))</f>
        <v/>
      </c>
      <c r="AA1201" s="7" t="str">
        <f>IF(ISBLANK(patch[[#This Row],[project]]), "",COUNTIFS($A:$A,patch[[#This Row],[number]],$S:$S, "FL And dev",$AD:$AD, "&lt;&gt;IntegratorValidationComment"))</f>
        <v/>
      </c>
      <c r="AB1201" s="7" t="str">
        <f>IF(ISBLANK(patch[[#This Row],[project]]), "",COUNTIFS($A:$A,patch[[#This Row],[number]],$S:$S, "SH And dev",$AD:$AD, "&lt;&gt;IntegratorValidationComment"))</f>
        <v/>
      </c>
      <c r="AC1201" s="7" t="str">
        <f>IF(OR(ISNUMBER(FIND("Review-1", patch[[#This Row],[comments]])), ISNUMBER(FIND("Approver-1", patch[[#This Row],[comments]]))), "Review-1", "")</f>
        <v/>
      </c>
      <c r="AD12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201" s="7">
        <f>IF(ISBLANK(patch[[#This Row],[number]]),AE1200,patch[[#This Row],[ifCommon]])</f>
        <v>0</v>
      </c>
    </row>
    <row r="1202" spans="1:31">
      <c r="A1202" s="151">
        <v>146207</v>
      </c>
      <c r="B1202" s="151"/>
      <c r="C1202" s="151"/>
      <c r="D1202" s="151"/>
      <c r="E1202" s="151"/>
      <c r="F1202" s="151"/>
      <c r="G1202" s="151"/>
      <c r="H1202" s="151"/>
      <c r="I1202" s="151"/>
      <c r="J1202" s="152">
        <v>42633.710069444453</v>
      </c>
      <c r="K1202" s="151"/>
      <c r="L1202" s="151" t="s">
        <v>32</v>
      </c>
      <c r="M1202" s="152">
        <v>42633.618472222217</v>
      </c>
      <c r="N1202" s="151" t="s">
        <v>48</v>
      </c>
      <c r="O1202" s="151"/>
      <c r="P1202" s="151"/>
      <c r="Q1202" s="7" t="str">
        <f>IF(ISBLANK(patch[[#This Row],[OwnerEmail]]),Q1201,patch[[#This Row],[OwnerEmail]])</f>
        <v>qingwu.zhang@intel.com</v>
      </c>
      <c r="R1202" s="7" t="str">
        <f>_xlfn.IFNA(VLOOKUP(patch[[#This Row],[tmp-owner.email]],OrgTree!$A:$K, 11, 0), "not ICG SWFW")</f>
        <v>BJ And dev</v>
      </c>
      <c r="S1202" s="7" t="str">
        <f>IF(patch[[#This Row],[reviewer]]=patch[[#This Row],[tmp-owner.email]], "author", _xlfn.IFNA(VLOOKUP(patch[[#This Row],[reviewer]],OrgTree!$A:$K, 11, 0), "not ICG SWFW"))</f>
        <v>BJ And dev</v>
      </c>
      <c r="T1202" s="7" t="str">
        <f>IF(ISBLANK(patch[[#This Row],[mergeDate]]), "", MID(YEAR(patch[[#This Row],[mergeDate]]), 3,2)&amp;"'ww"&amp;WEEKNUM(patch[[#This Row],[mergeDate]]))</f>
        <v>16'ww39</v>
      </c>
      <c r="U1202" s="7" t="str">
        <f>IF(ISBLANK(patch[[#This Row],[mergeDate]]), U1201, MID(YEAR(patch[[#This Row],[mergeDate]]), 3,2)&amp;"'m"&amp;MONTH(patch[[#This Row],[mergeDate]]))</f>
        <v>16'm9</v>
      </c>
      <c r="V1202" s="7" t="str">
        <f>IF(ISBLANK(patch[[#This Row],[project]]), "",SUM(patch[[#This Row],[BJ -1 num]:[SH -1 num]]))</f>
        <v/>
      </c>
      <c r="W1202" s="7" t="str">
        <f>IF(ISBLANK(patch[[#This Row],[project]]), "",COUNTIFS($A:$A,patch[[#This Row],[number]],$S:$S, "BJ And dev",$AC:$AC, "Review-1"))</f>
        <v/>
      </c>
      <c r="X1202" s="7" t="str">
        <f>IF(ISBLANK(patch[[#This Row],[project]]), "",COUNTIFS($A:$A,patch[[#This Row],[number]],$S:$S, "FL And dev",$AC:$AC, "Review-1"))</f>
        <v/>
      </c>
      <c r="Y1202" s="7" t="str">
        <f>IF(ISBLANK(patch[[#This Row],[project]]), "",COUNTIFS($A:$A,patch[[#This Row],[number]],$S:$S, "SH And dev",$AC:$AC, "Review-1"))</f>
        <v/>
      </c>
      <c r="Z1202" s="7" t="str">
        <f>IF(ISBLANK(patch[[#This Row],[project]]), "",COUNTIFS($A:$A,patch[[#This Row],[number]],$S:$S, "BJ And dev",$AD:$AD, "&lt;&gt;IntegratorValidationComment"))</f>
        <v/>
      </c>
      <c r="AA1202" s="7" t="str">
        <f>IF(ISBLANK(patch[[#This Row],[project]]), "",COUNTIFS($A:$A,patch[[#This Row],[number]],$S:$S, "FL And dev",$AD:$AD, "&lt;&gt;IntegratorValidationComment"))</f>
        <v/>
      </c>
      <c r="AB1202" s="7" t="str">
        <f>IF(ISBLANK(patch[[#This Row],[project]]), "",COUNTIFS($A:$A,patch[[#This Row],[number]],$S:$S, "SH And dev",$AD:$AD, "&lt;&gt;IntegratorValidationComment"))</f>
        <v/>
      </c>
      <c r="AC1202" s="7" t="str">
        <f>IF(OR(ISNUMBER(FIND("Review-1", patch[[#This Row],[comments]])), ISNUMBER(FIND("Approver-1", patch[[#This Row],[comments]]))), "Review-1", "")</f>
        <v/>
      </c>
      <c r="AD12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02" s="7">
        <f>IF(ISBLANK(patch[[#This Row],[number]]),AE1201,patch[[#This Row],[ifCommon]])</f>
        <v>0</v>
      </c>
    </row>
    <row r="1203" spans="1:31">
      <c r="A1203" s="151">
        <v>146127</v>
      </c>
      <c r="B1203" s="151" t="s">
        <v>2493</v>
      </c>
      <c r="C1203" s="151" t="s">
        <v>2491</v>
      </c>
      <c r="D1203" s="151" t="s">
        <v>3084</v>
      </c>
      <c r="E1203" s="151" t="s">
        <v>63</v>
      </c>
      <c r="F1203" s="151" t="s">
        <v>23</v>
      </c>
      <c r="G1203" s="151" t="s">
        <v>3085</v>
      </c>
      <c r="H1203" s="151" t="s">
        <v>3086</v>
      </c>
      <c r="I1203" s="152">
        <v>42631.603518518517</v>
      </c>
      <c r="J1203" s="152">
        <v>42633.710138888891</v>
      </c>
      <c r="K1203" s="151" t="s">
        <v>2445</v>
      </c>
      <c r="L1203" s="151" t="s">
        <v>63</v>
      </c>
      <c r="M1203" s="152">
        <v>42631.603518518517</v>
      </c>
      <c r="N1203" s="151" t="s">
        <v>2428</v>
      </c>
      <c r="O1203" s="151"/>
      <c r="P1203" s="151" t="s">
        <v>3196</v>
      </c>
      <c r="Q1203" s="7" t="str">
        <f>IF(ISBLANK(patch[[#This Row],[OwnerEmail]]),Q1202,patch[[#This Row],[OwnerEmail]])</f>
        <v>zongx.li@intel.com</v>
      </c>
      <c r="R1203" s="7" t="str">
        <f>_xlfn.IFNA(VLOOKUP(patch[[#This Row],[tmp-owner.email]],OrgTree!$A:$K, 11, 0), "not ICG SWFW")</f>
        <v>BJ And dev</v>
      </c>
      <c r="S1203" s="7" t="str">
        <f>IF(patch[[#This Row],[reviewer]]=patch[[#This Row],[tmp-owner.email]], "author", _xlfn.IFNA(VLOOKUP(patch[[#This Row],[reviewer]],OrgTree!$A:$K, 11, 0), "not ICG SWFW"))</f>
        <v>author</v>
      </c>
      <c r="T1203" s="7" t="str">
        <f>IF(ISBLANK(patch[[#This Row],[mergeDate]]), "", MID(YEAR(patch[[#This Row],[mergeDate]]), 3,2)&amp;"'ww"&amp;WEEKNUM(patch[[#This Row],[mergeDate]]))</f>
        <v>16'ww39</v>
      </c>
      <c r="U1203" s="7" t="str">
        <f>IF(ISBLANK(patch[[#This Row],[mergeDate]]), U1202, MID(YEAR(patch[[#This Row],[mergeDate]]), 3,2)&amp;"'m"&amp;MONTH(patch[[#This Row],[mergeDate]]))</f>
        <v>16'm9</v>
      </c>
      <c r="V1203" s="7">
        <f>IF(ISBLANK(patch[[#This Row],[project]]), "",SUM(patch[[#This Row],[BJ -1 num]:[SH -1 num]]))</f>
        <v>1</v>
      </c>
      <c r="W1203" s="7">
        <f>IF(ISBLANK(patch[[#This Row],[project]]), "",COUNTIFS($A:$A,patch[[#This Row],[number]],$S:$S, "BJ And dev",$AC:$AC, "Review-1"))</f>
        <v>1</v>
      </c>
      <c r="X1203" s="7">
        <f>IF(ISBLANK(patch[[#This Row],[project]]), "",COUNTIFS($A:$A,patch[[#This Row],[number]],$S:$S, "FL And dev",$AC:$AC, "Review-1"))</f>
        <v>0</v>
      </c>
      <c r="Y1203" s="7">
        <f>IF(ISBLANK(patch[[#This Row],[project]]), "",COUNTIFS($A:$A,patch[[#This Row],[number]],$S:$S, "SH And dev",$AC:$AC, "Review-1"))</f>
        <v>0</v>
      </c>
      <c r="Z1203" s="7">
        <f>IF(ISBLANK(patch[[#This Row],[project]]), "",COUNTIFS($A:$A,patch[[#This Row],[number]],$S:$S, "BJ And dev",$AD:$AD, "&lt;&gt;IntegratorValidationComment"))</f>
        <v>12</v>
      </c>
      <c r="AA1203" s="7">
        <f>IF(ISBLANK(patch[[#This Row],[project]]), "",COUNTIFS($A:$A,patch[[#This Row],[number]],$S:$S, "FL And dev",$AD:$AD, "&lt;&gt;IntegratorValidationComment"))</f>
        <v>0</v>
      </c>
      <c r="AB1203" s="7">
        <f>IF(ISBLANK(patch[[#This Row],[project]]), "",COUNTIFS($A:$A,patch[[#This Row],[number]],$S:$S, "SH And dev",$AD:$AD, "&lt;&gt;IntegratorValidationComment"))</f>
        <v>0</v>
      </c>
      <c r="AC1203" s="7" t="str">
        <f>IF(OR(ISNUMBER(FIND("Review-1", patch[[#This Row],[comments]])), ISNUMBER(FIND("Approver-1", patch[[#This Row],[comments]]))), "Review-1", "")</f>
        <v/>
      </c>
      <c r="AD12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03" s="7" t="str">
        <f>IF(ISBLANK(patch[[#This Row],[number]]),AE1202,patch[[#This Row],[ifCommon]])</f>
        <v>not AndrHAL</v>
      </c>
    </row>
    <row r="1204" spans="1:31">
      <c r="A1204" s="151">
        <v>146127</v>
      </c>
      <c r="B1204" s="151"/>
      <c r="C1204" s="151"/>
      <c r="D1204" s="151"/>
      <c r="E1204" s="151"/>
      <c r="F1204" s="151"/>
      <c r="G1204" s="151"/>
      <c r="H1204" s="151"/>
      <c r="I1204" s="151"/>
      <c r="J1204" s="152">
        <v>42633.710138888891</v>
      </c>
      <c r="K1204" s="151"/>
      <c r="L1204" s="151" t="s">
        <v>63</v>
      </c>
      <c r="M1204" s="152">
        <v>42631.603518518517</v>
      </c>
      <c r="N1204" s="151" t="s">
        <v>25</v>
      </c>
      <c r="O1204" s="151"/>
      <c r="P1204" s="151"/>
      <c r="Q1204" s="7" t="str">
        <f>IF(ISBLANK(patch[[#This Row],[OwnerEmail]]),Q1203,patch[[#This Row],[OwnerEmail]])</f>
        <v>zongx.li@intel.com</v>
      </c>
      <c r="R1204" s="7" t="str">
        <f>_xlfn.IFNA(VLOOKUP(patch[[#This Row],[tmp-owner.email]],OrgTree!$A:$K, 11, 0), "not ICG SWFW")</f>
        <v>BJ And dev</v>
      </c>
      <c r="S1204" s="7" t="str">
        <f>IF(patch[[#This Row],[reviewer]]=patch[[#This Row],[tmp-owner.email]], "author", _xlfn.IFNA(VLOOKUP(patch[[#This Row],[reviewer]],OrgTree!$A:$K, 11, 0), "not ICG SWFW"))</f>
        <v>author</v>
      </c>
      <c r="T1204" s="7" t="str">
        <f>IF(ISBLANK(patch[[#This Row],[mergeDate]]), "", MID(YEAR(patch[[#This Row],[mergeDate]]), 3,2)&amp;"'ww"&amp;WEEKNUM(patch[[#This Row],[mergeDate]]))</f>
        <v>16'ww39</v>
      </c>
      <c r="U1204" s="7" t="str">
        <f>IF(ISBLANK(patch[[#This Row],[mergeDate]]), U1203, MID(YEAR(patch[[#This Row],[mergeDate]]), 3,2)&amp;"'m"&amp;MONTH(patch[[#This Row],[mergeDate]]))</f>
        <v>16'm9</v>
      </c>
      <c r="V1204" s="7" t="str">
        <f>IF(ISBLANK(patch[[#This Row],[project]]), "",SUM(patch[[#This Row],[BJ -1 num]:[SH -1 num]]))</f>
        <v/>
      </c>
      <c r="W1204" s="7" t="str">
        <f>IF(ISBLANK(patch[[#This Row],[project]]), "",COUNTIFS($A:$A,patch[[#This Row],[number]],$S:$S, "BJ And dev",$AC:$AC, "Review-1"))</f>
        <v/>
      </c>
      <c r="X1204" s="7" t="str">
        <f>IF(ISBLANK(patch[[#This Row],[project]]), "",COUNTIFS($A:$A,patch[[#This Row],[number]],$S:$S, "FL And dev",$AC:$AC, "Review-1"))</f>
        <v/>
      </c>
      <c r="Y1204" s="7" t="str">
        <f>IF(ISBLANK(patch[[#This Row],[project]]), "",COUNTIFS($A:$A,patch[[#This Row],[number]],$S:$S, "SH And dev",$AC:$AC, "Review-1"))</f>
        <v/>
      </c>
      <c r="Z1204" s="7" t="str">
        <f>IF(ISBLANK(patch[[#This Row],[project]]), "",COUNTIFS($A:$A,patch[[#This Row],[number]],$S:$S, "BJ And dev",$AD:$AD, "&lt;&gt;IntegratorValidationComment"))</f>
        <v/>
      </c>
      <c r="AA1204" s="7" t="str">
        <f>IF(ISBLANK(patch[[#This Row],[project]]), "",COUNTIFS($A:$A,patch[[#This Row],[number]],$S:$S, "FL And dev",$AD:$AD, "&lt;&gt;IntegratorValidationComment"))</f>
        <v/>
      </c>
      <c r="AB1204" s="7" t="str">
        <f>IF(ISBLANK(patch[[#This Row],[project]]), "",COUNTIFS($A:$A,patch[[#This Row],[number]],$S:$S, "SH And dev",$AD:$AD, "&lt;&gt;IntegratorValidationComment"))</f>
        <v/>
      </c>
      <c r="AC1204" s="7" t="str">
        <f>IF(OR(ISNUMBER(FIND("Review-1", patch[[#This Row],[comments]])), ISNUMBER(FIND("Approver-1", patch[[#This Row],[comments]]))), "Review-1", "")</f>
        <v/>
      </c>
      <c r="AD12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04" s="7">
        <f>IF(ISBLANK(patch[[#This Row],[number]]),AE1203,patch[[#This Row],[ifCommon]])</f>
        <v>0</v>
      </c>
    </row>
    <row r="1205" spans="1:31">
      <c r="A1205" s="151">
        <v>146127</v>
      </c>
      <c r="B1205" s="151"/>
      <c r="C1205" s="151"/>
      <c r="D1205" s="151"/>
      <c r="E1205" s="151"/>
      <c r="F1205" s="151"/>
      <c r="G1205" s="151"/>
      <c r="H1205" s="151"/>
      <c r="I1205" s="151"/>
      <c r="J1205" s="152">
        <v>42633.710138888891</v>
      </c>
      <c r="K1205" s="151"/>
      <c r="L1205" s="151" t="s">
        <v>63</v>
      </c>
      <c r="M1205" s="152">
        <v>42631.622974537036</v>
      </c>
      <c r="N1205" s="151" t="s">
        <v>29</v>
      </c>
      <c r="O1205" s="151"/>
      <c r="P1205" s="151"/>
      <c r="Q1205" s="7" t="str">
        <f>IF(ISBLANK(patch[[#This Row],[OwnerEmail]]),Q1204,patch[[#This Row],[OwnerEmail]])</f>
        <v>zongx.li@intel.com</v>
      </c>
      <c r="R1205" s="7" t="str">
        <f>_xlfn.IFNA(VLOOKUP(patch[[#This Row],[tmp-owner.email]],OrgTree!$A:$K, 11, 0), "not ICG SWFW")</f>
        <v>BJ And dev</v>
      </c>
      <c r="S1205" s="7" t="str">
        <f>IF(patch[[#This Row],[reviewer]]=patch[[#This Row],[tmp-owner.email]], "author", _xlfn.IFNA(VLOOKUP(patch[[#This Row],[reviewer]],OrgTree!$A:$K, 11, 0), "not ICG SWFW"))</f>
        <v>author</v>
      </c>
      <c r="T1205" s="7" t="str">
        <f>IF(ISBLANK(patch[[#This Row],[mergeDate]]), "", MID(YEAR(patch[[#This Row],[mergeDate]]), 3,2)&amp;"'ww"&amp;WEEKNUM(patch[[#This Row],[mergeDate]]))</f>
        <v>16'ww39</v>
      </c>
      <c r="U1205" s="7" t="str">
        <f>IF(ISBLANK(patch[[#This Row],[mergeDate]]), U1204, MID(YEAR(patch[[#This Row],[mergeDate]]), 3,2)&amp;"'m"&amp;MONTH(patch[[#This Row],[mergeDate]]))</f>
        <v>16'm9</v>
      </c>
      <c r="V1205" s="7" t="str">
        <f>IF(ISBLANK(patch[[#This Row],[project]]), "",SUM(patch[[#This Row],[BJ -1 num]:[SH -1 num]]))</f>
        <v/>
      </c>
      <c r="W1205" s="7" t="str">
        <f>IF(ISBLANK(patch[[#This Row],[project]]), "",COUNTIFS($A:$A,patch[[#This Row],[number]],$S:$S, "BJ And dev",$AC:$AC, "Review-1"))</f>
        <v/>
      </c>
      <c r="X1205" s="7" t="str">
        <f>IF(ISBLANK(patch[[#This Row],[project]]), "",COUNTIFS($A:$A,patch[[#This Row],[number]],$S:$S, "FL And dev",$AC:$AC, "Review-1"))</f>
        <v/>
      </c>
      <c r="Y1205" s="7" t="str">
        <f>IF(ISBLANK(patch[[#This Row],[project]]), "",COUNTIFS($A:$A,patch[[#This Row],[number]],$S:$S, "SH And dev",$AC:$AC, "Review-1"))</f>
        <v/>
      </c>
      <c r="Z1205" s="7" t="str">
        <f>IF(ISBLANK(patch[[#This Row],[project]]), "",COUNTIFS($A:$A,patch[[#This Row],[number]],$S:$S, "BJ And dev",$AD:$AD, "&lt;&gt;IntegratorValidationComment"))</f>
        <v/>
      </c>
      <c r="AA1205" s="7" t="str">
        <f>IF(ISBLANK(patch[[#This Row],[project]]), "",COUNTIFS($A:$A,patch[[#This Row],[number]],$S:$S, "FL And dev",$AD:$AD, "&lt;&gt;IntegratorValidationComment"))</f>
        <v/>
      </c>
      <c r="AB1205" s="7" t="str">
        <f>IF(ISBLANK(patch[[#This Row],[project]]), "",COUNTIFS($A:$A,patch[[#This Row],[number]],$S:$S, "SH And dev",$AD:$AD, "&lt;&gt;IntegratorValidationComment"))</f>
        <v/>
      </c>
      <c r="AC1205" s="7" t="str">
        <f>IF(OR(ISNUMBER(FIND("Review-1", patch[[#This Row],[comments]])), ISNUMBER(FIND("Approver-1", patch[[#This Row],[comments]]))), "Review-1", "")</f>
        <v/>
      </c>
      <c r="AD12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05" s="7">
        <f>IF(ISBLANK(patch[[#This Row],[number]]),AE1204,patch[[#This Row],[ifCommon]])</f>
        <v>0</v>
      </c>
    </row>
    <row r="1206" spans="1:31">
      <c r="A1206" s="151">
        <v>146127</v>
      </c>
      <c r="B1206" s="151"/>
      <c r="C1206" s="151"/>
      <c r="D1206" s="151"/>
      <c r="E1206" s="151"/>
      <c r="F1206" s="151"/>
      <c r="G1206" s="151"/>
      <c r="H1206" s="151"/>
      <c r="I1206" s="151"/>
      <c r="J1206" s="152">
        <v>42633.710138888891</v>
      </c>
      <c r="K1206" s="151"/>
      <c r="L1206" s="151" t="s">
        <v>63</v>
      </c>
      <c r="M1206" s="152">
        <v>42631.622974537036</v>
      </c>
      <c r="N1206" s="151" t="s">
        <v>2429</v>
      </c>
      <c r="O1206" s="151"/>
      <c r="P1206" s="151"/>
      <c r="Q1206" s="7" t="str">
        <f>IF(ISBLANK(patch[[#This Row],[OwnerEmail]]),Q1205,patch[[#This Row],[OwnerEmail]])</f>
        <v>zongx.li@intel.com</v>
      </c>
      <c r="R1206" s="7" t="str">
        <f>_xlfn.IFNA(VLOOKUP(patch[[#This Row],[tmp-owner.email]],OrgTree!$A:$K, 11, 0), "not ICG SWFW")</f>
        <v>BJ And dev</v>
      </c>
      <c r="S1206" s="7" t="str">
        <f>IF(patch[[#This Row],[reviewer]]=patch[[#This Row],[tmp-owner.email]], "author", _xlfn.IFNA(VLOOKUP(patch[[#This Row],[reviewer]],OrgTree!$A:$K, 11, 0), "not ICG SWFW"))</f>
        <v>author</v>
      </c>
      <c r="T1206" s="7" t="str">
        <f>IF(ISBLANK(patch[[#This Row],[mergeDate]]), "", MID(YEAR(patch[[#This Row],[mergeDate]]), 3,2)&amp;"'ww"&amp;WEEKNUM(patch[[#This Row],[mergeDate]]))</f>
        <v>16'ww39</v>
      </c>
      <c r="U1206" s="7" t="str">
        <f>IF(ISBLANK(patch[[#This Row],[mergeDate]]), U1205, MID(YEAR(patch[[#This Row],[mergeDate]]), 3,2)&amp;"'m"&amp;MONTH(patch[[#This Row],[mergeDate]]))</f>
        <v>16'm9</v>
      </c>
      <c r="V1206" s="7" t="str">
        <f>IF(ISBLANK(patch[[#This Row],[project]]), "",SUM(patch[[#This Row],[BJ -1 num]:[SH -1 num]]))</f>
        <v/>
      </c>
      <c r="W1206" s="7" t="str">
        <f>IF(ISBLANK(patch[[#This Row],[project]]), "",COUNTIFS($A:$A,patch[[#This Row],[number]],$S:$S, "BJ And dev",$AC:$AC, "Review-1"))</f>
        <v/>
      </c>
      <c r="X1206" s="7" t="str">
        <f>IF(ISBLANK(patch[[#This Row],[project]]), "",COUNTIFS($A:$A,patch[[#This Row],[number]],$S:$S, "FL And dev",$AC:$AC, "Review-1"))</f>
        <v/>
      </c>
      <c r="Y1206" s="7" t="str">
        <f>IF(ISBLANK(patch[[#This Row],[project]]), "",COUNTIFS($A:$A,patch[[#This Row],[number]],$S:$S, "SH And dev",$AC:$AC, "Review-1"))</f>
        <v/>
      </c>
      <c r="Z1206" s="7" t="str">
        <f>IF(ISBLANK(patch[[#This Row],[project]]), "",COUNTIFS($A:$A,patch[[#This Row],[number]],$S:$S, "BJ And dev",$AD:$AD, "&lt;&gt;IntegratorValidationComment"))</f>
        <v/>
      </c>
      <c r="AA1206" s="7" t="str">
        <f>IF(ISBLANK(patch[[#This Row],[project]]), "",COUNTIFS($A:$A,patch[[#This Row],[number]],$S:$S, "FL And dev",$AD:$AD, "&lt;&gt;IntegratorValidationComment"))</f>
        <v/>
      </c>
      <c r="AB1206" s="7" t="str">
        <f>IF(ISBLANK(patch[[#This Row],[project]]), "",COUNTIFS($A:$A,patch[[#This Row],[number]],$S:$S, "SH And dev",$AD:$AD, "&lt;&gt;IntegratorValidationComment"))</f>
        <v/>
      </c>
      <c r="AC1206" s="7" t="str">
        <f>IF(OR(ISNUMBER(FIND("Review-1", patch[[#This Row],[comments]])), ISNUMBER(FIND("Approver-1", patch[[#This Row],[comments]]))), "Review-1", "")</f>
        <v/>
      </c>
      <c r="AD12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06" s="7">
        <f>IF(ISBLANK(patch[[#This Row],[number]]),AE1205,patch[[#This Row],[ifCommon]])</f>
        <v>0</v>
      </c>
    </row>
    <row r="1207" spans="1:31">
      <c r="A1207" s="151">
        <v>146127</v>
      </c>
      <c r="B1207" s="151"/>
      <c r="C1207" s="151"/>
      <c r="D1207" s="151"/>
      <c r="E1207" s="151"/>
      <c r="F1207" s="151"/>
      <c r="G1207" s="151"/>
      <c r="H1207" s="151"/>
      <c r="I1207" s="151"/>
      <c r="J1207" s="152">
        <v>42633.710138888891</v>
      </c>
      <c r="K1207" s="151"/>
      <c r="L1207" s="151" t="s">
        <v>63</v>
      </c>
      <c r="M1207" s="152">
        <v>42631.669004629628</v>
      </c>
      <c r="N1207" s="151" t="s">
        <v>27</v>
      </c>
      <c r="O1207" s="151"/>
      <c r="P1207" s="151"/>
      <c r="Q1207" s="7" t="str">
        <f>IF(ISBLANK(patch[[#This Row],[OwnerEmail]]),Q1206,patch[[#This Row],[OwnerEmail]])</f>
        <v>zongx.li@intel.com</v>
      </c>
      <c r="R1207" s="7" t="str">
        <f>_xlfn.IFNA(VLOOKUP(patch[[#This Row],[tmp-owner.email]],OrgTree!$A:$K, 11, 0), "not ICG SWFW")</f>
        <v>BJ And dev</v>
      </c>
      <c r="S1207" s="7" t="str">
        <f>IF(patch[[#This Row],[reviewer]]=patch[[#This Row],[tmp-owner.email]], "author", _xlfn.IFNA(VLOOKUP(patch[[#This Row],[reviewer]],OrgTree!$A:$K, 11, 0), "not ICG SWFW"))</f>
        <v>author</v>
      </c>
      <c r="T1207" s="7" t="str">
        <f>IF(ISBLANK(patch[[#This Row],[mergeDate]]), "", MID(YEAR(patch[[#This Row],[mergeDate]]), 3,2)&amp;"'ww"&amp;WEEKNUM(patch[[#This Row],[mergeDate]]))</f>
        <v>16'ww39</v>
      </c>
      <c r="U1207" s="7" t="str">
        <f>IF(ISBLANK(patch[[#This Row],[mergeDate]]), U1206, MID(YEAR(patch[[#This Row],[mergeDate]]), 3,2)&amp;"'m"&amp;MONTH(patch[[#This Row],[mergeDate]]))</f>
        <v>16'm9</v>
      </c>
      <c r="V1207" s="7" t="str">
        <f>IF(ISBLANK(patch[[#This Row],[project]]), "",SUM(patch[[#This Row],[BJ -1 num]:[SH -1 num]]))</f>
        <v/>
      </c>
      <c r="W1207" s="7" t="str">
        <f>IF(ISBLANK(patch[[#This Row],[project]]), "",COUNTIFS($A:$A,patch[[#This Row],[number]],$S:$S, "BJ And dev",$AC:$AC, "Review-1"))</f>
        <v/>
      </c>
      <c r="X1207" s="7" t="str">
        <f>IF(ISBLANK(patch[[#This Row],[project]]), "",COUNTIFS($A:$A,patch[[#This Row],[number]],$S:$S, "FL And dev",$AC:$AC, "Review-1"))</f>
        <v/>
      </c>
      <c r="Y1207" s="7" t="str">
        <f>IF(ISBLANK(patch[[#This Row],[project]]), "",COUNTIFS($A:$A,patch[[#This Row],[number]],$S:$S, "SH And dev",$AC:$AC, "Review-1"))</f>
        <v/>
      </c>
      <c r="Z1207" s="7" t="str">
        <f>IF(ISBLANK(patch[[#This Row],[project]]), "",COUNTIFS($A:$A,patch[[#This Row],[number]],$S:$S, "BJ And dev",$AD:$AD, "&lt;&gt;IntegratorValidationComment"))</f>
        <v/>
      </c>
      <c r="AA1207" s="7" t="str">
        <f>IF(ISBLANK(patch[[#This Row],[project]]), "",COUNTIFS($A:$A,patch[[#This Row],[number]],$S:$S, "FL And dev",$AD:$AD, "&lt;&gt;IntegratorValidationComment"))</f>
        <v/>
      </c>
      <c r="AB1207" s="7" t="str">
        <f>IF(ISBLANK(patch[[#This Row],[project]]), "",COUNTIFS($A:$A,patch[[#This Row],[number]],$S:$S, "SH And dev",$AD:$AD, "&lt;&gt;IntegratorValidationComment"))</f>
        <v/>
      </c>
      <c r="AC1207" s="7" t="str">
        <f>IF(OR(ISNUMBER(FIND("Review-1", patch[[#This Row],[comments]])), ISNUMBER(FIND("Approver-1", patch[[#This Row],[comments]]))), "Review-1", "")</f>
        <v/>
      </c>
      <c r="AD12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07" s="7">
        <f>IF(ISBLANK(patch[[#This Row],[number]]),AE1206,patch[[#This Row],[ifCommon]])</f>
        <v>0</v>
      </c>
    </row>
    <row r="1208" spans="1:31">
      <c r="A1208" s="151">
        <v>146127</v>
      </c>
      <c r="B1208" s="151"/>
      <c r="C1208" s="151"/>
      <c r="D1208" s="151"/>
      <c r="E1208" s="151"/>
      <c r="F1208" s="151"/>
      <c r="G1208" s="151"/>
      <c r="H1208" s="151"/>
      <c r="I1208" s="151"/>
      <c r="J1208" s="152">
        <v>42633.710138888891</v>
      </c>
      <c r="K1208" s="151"/>
      <c r="L1208" s="151" t="s">
        <v>1203</v>
      </c>
      <c r="M1208" s="152">
        <v>42631.69902777778</v>
      </c>
      <c r="N1208" s="151" t="s">
        <v>2499</v>
      </c>
      <c r="O1208" s="151" t="s">
        <v>3197</v>
      </c>
      <c r="P1208" s="151"/>
      <c r="Q1208" s="7" t="str">
        <f>IF(ISBLANK(patch[[#This Row],[OwnerEmail]]),Q1207,patch[[#This Row],[OwnerEmail]])</f>
        <v>zongx.li@intel.com</v>
      </c>
      <c r="R1208" s="7" t="str">
        <f>_xlfn.IFNA(VLOOKUP(patch[[#This Row],[tmp-owner.email]],OrgTree!$A:$K, 11, 0), "not ICG SWFW")</f>
        <v>BJ And dev</v>
      </c>
      <c r="S1208" s="7" t="str">
        <f>IF(patch[[#This Row],[reviewer]]=patch[[#This Row],[tmp-owner.email]], "author", _xlfn.IFNA(VLOOKUP(patch[[#This Row],[reviewer]],OrgTree!$A:$K, 11, 0), "not ICG SWFW"))</f>
        <v>BJ And dev</v>
      </c>
      <c r="T1208" s="7" t="str">
        <f>IF(ISBLANK(patch[[#This Row],[mergeDate]]), "", MID(YEAR(patch[[#This Row],[mergeDate]]), 3,2)&amp;"'ww"&amp;WEEKNUM(patch[[#This Row],[mergeDate]]))</f>
        <v>16'ww39</v>
      </c>
      <c r="U1208" s="7" t="str">
        <f>IF(ISBLANK(patch[[#This Row],[mergeDate]]), U1207, MID(YEAR(patch[[#This Row],[mergeDate]]), 3,2)&amp;"'m"&amp;MONTH(patch[[#This Row],[mergeDate]]))</f>
        <v>16'm9</v>
      </c>
      <c r="V1208" s="7" t="str">
        <f>IF(ISBLANK(patch[[#This Row],[project]]), "",SUM(patch[[#This Row],[BJ -1 num]:[SH -1 num]]))</f>
        <v/>
      </c>
      <c r="W1208" s="7" t="str">
        <f>IF(ISBLANK(patch[[#This Row],[project]]), "",COUNTIFS($A:$A,patch[[#This Row],[number]],$S:$S, "BJ And dev",$AC:$AC, "Review-1"))</f>
        <v/>
      </c>
      <c r="X1208" s="7" t="str">
        <f>IF(ISBLANK(patch[[#This Row],[project]]), "",COUNTIFS($A:$A,patch[[#This Row],[number]],$S:$S, "FL And dev",$AC:$AC, "Review-1"))</f>
        <v/>
      </c>
      <c r="Y1208" s="7" t="str">
        <f>IF(ISBLANK(patch[[#This Row],[project]]), "",COUNTIFS($A:$A,patch[[#This Row],[number]],$S:$S, "SH And dev",$AC:$AC, "Review-1"))</f>
        <v/>
      </c>
      <c r="Z1208" s="7" t="str">
        <f>IF(ISBLANK(patch[[#This Row],[project]]), "",COUNTIFS($A:$A,patch[[#This Row],[number]],$S:$S, "BJ And dev",$AD:$AD, "&lt;&gt;IntegratorValidationComment"))</f>
        <v/>
      </c>
      <c r="AA1208" s="7" t="str">
        <f>IF(ISBLANK(patch[[#This Row],[project]]), "",COUNTIFS($A:$A,patch[[#This Row],[number]],$S:$S, "FL And dev",$AD:$AD, "&lt;&gt;IntegratorValidationComment"))</f>
        <v/>
      </c>
      <c r="AB1208" s="7" t="str">
        <f>IF(ISBLANK(patch[[#This Row],[project]]), "",COUNTIFS($A:$A,patch[[#This Row],[number]],$S:$S, "SH And dev",$AD:$AD, "&lt;&gt;IntegratorValidationComment"))</f>
        <v/>
      </c>
      <c r="AC1208" s="7" t="str">
        <f>IF(OR(ISNUMBER(FIND("Review-1", patch[[#This Row],[comments]])), ISNUMBER(FIND("Approver-1", patch[[#This Row],[comments]]))), "Review-1", "")</f>
        <v>Review-1</v>
      </c>
      <c r="AD12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08" s="7">
        <f>IF(ISBLANK(patch[[#This Row],[number]]),AE1207,patch[[#This Row],[ifCommon]])</f>
        <v>0</v>
      </c>
    </row>
    <row r="1209" spans="1:31">
      <c r="A1209" s="151">
        <v>146127</v>
      </c>
      <c r="B1209" s="151"/>
      <c r="C1209" s="151"/>
      <c r="D1209" s="151"/>
      <c r="E1209" s="151"/>
      <c r="F1209" s="151"/>
      <c r="G1209" s="151"/>
      <c r="H1209" s="151"/>
      <c r="I1209" s="151"/>
      <c r="J1209" s="152">
        <v>42633.710138888891</v>
      </c>
      <c r="K1209" s="151"/>
      <c r="L1209" s="151" t="s">
        <v>59</v>
      </c>
      <c r="M1209" s="152">
        <v>42631.796782407408</v>
      </c>
      <c r="N1209" s="151" t="s">
        <v>3198</v>
      </c>
      <c r="O1209" s="151"/>
      <c r="P1209" s="151"/>
      <c r="Q1209" s="7" t="str">
        <f>IF(ISBLANK(patch[[#This Row],[OwnerEmail]]),Q1208,patch[[#This Row],[OwnerEmail]])</f>
        <v>zongx.li@intel.com</v>
      </c>
      <c r="R1209" s="7" t="str">
        <f>_xlfn.IFNA(VLOOKUP(patch[[#This Row],[tmp-owner.email]],OrgTree!$A:$K, 11, 0), "not ICG SWFW")</f>
        <v>BJ And dev</v>
      </c>
      <c r="S1209" s="7" t="str">
        <f>IF(patch[[#This Row],[reviewer]]=patch[[#This Row],[tmp-owner.email]], "author", _xlfn.IFNA(VLOOKUP(patch[[#This Row],[reviewer]],OrgTree!$A:$K, 11, 0), "not ICG SWFW"))</f>
        <v>BJ And dev</v>
      </c>
      <c r="T1209" s="7" t="str">
        <f>IF(ISBLANK(patch[[#This Row],[mergeDate]]), "", MID(YEAR(patch[[#This Row],[mergeDate]]), 3,2)&amp;"'ww"&amp;WEEKNUM(patch[[#This Row],[mergeDate]]))</f>
        <v>16'ww39</v>
      </c>
      <c r="U1209" s="7" t="str">
        <f>IF(ISBLANK(patch[[#This Row],[mergeDate]]), U1208, MID(YEAR(patch[[#This Row],[mergeDate]]), 3,2)&amp;"'m"&amp;MONTH(patch[[#This Row],[mergeDate]]))</f>
        <v>16'm9</v>
      </c>
      <c r="V1209" s="7" t="str">
        <f>IF(ISBLANK(patch[[#This Row],[project]]), "",SUM(patch[[#This Row],[BJ -1 num]:[SH -1 num]]))</f>
        <v/>
      </c>
      <c r="W1209" s="7" t="str">
        <f>IF(ISBLANK(patch[[#This Row],[project]]), "",COUNTIFS($A:$A,patch[[#This Row],[number]],$S:$S, "BJ And dev",$AC:$AC, "Review-1"))</f>
        <v/>
      </c>
      <c r="X1209" s="7" t="str">
        <f>IF(ISBLANK(patch[[#This Row],[project]]), "",COUNTIFS($A:$A,patch[[#This Row],[number]],$S:$S, "FL And dev",$AC:$AC, "Review-1"))</f>
        <v/>
      </c>
      <c r="Y1209" s="7" t="str">
        <f>IF(ISBLANK(patch[[#This Row],[project]]), "",COUNTIFS($A:$A,patch[[#This Row],[number]],$S:$S, "SH And dev",$AC:$AC, "Review-1"))</f>
        <v/>
      </c>
      <c r="Z1209" s="7" t="str">
        <f>IF(ISBLANK(patch[[#This Row],[project]]), "",COUNTIFS($A:$A,patch[[#This Row],[number]],$S:$S, "BJ And dev",$AD:$AD, "&lt;&gt;IntegratorValidationComment"))</f>
        <v/>
      </c>
      <c r="AA1209" s="7" t="str">
        <f>IF(ISBLANK(patch[[#This Row],[project]]), "",COUNTIFS($A:$A,patch[[#This Row],[number]],$S:$S, "FL And dev",$AD:$AD, "&lt;&gt;IntegratorValidationComment"))</f>
        <v/>
      </c>
      <c r="AB1209" s="7" t="str">
        <f>IF(ISBLANK(patch[[#This Row],[project]]), "",COUNTIFS($A:$A,patch[[#This Row],[number]],$S:$S, "SH And dev",$AD:$AD, "&lt;&gt;IntegratorValidationComment"))</f>
        <v/>
      </c>
      <c r="AC1209" s="7" t="str">
        <f>IF(OR(ISNUMBER(FIND("Review-1", patch[[#This Row],[comments]])), ISNUMBER(FIND("Approver-1", patch[[#This Row],[comments]]))), "Review-1", "")</f>
        <v/>
      </c>
      <c r="AD12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09" s="7">
        <f>IF(ISBLANK(patch[[#This Row],[number]]),AE1208,patch[[#This Row],[ifCommon]])</f>
        <v>0</v>
      </c>
    </row>
    <row r="1210" spans="1:31">
      <c r="A1210" s="151">
        <v>146127</v>
      </c>
      <c r="B1210" s="151"/>
      <c r="C1210" s="151"/>
      <c r="D1210" s="151"/>
      <c r="E1210" s="151"/>
      <c r="F1210" s="151"/>
      <c r="G1210" s="151"/>
      <c r="H1210" s="151"/>
      <c r="I1210" s="151"/>
      <c r="J1210" s="152">
        <v>42633.710138888891</v>
      </c>
      <c r="K1210" s="151"/>
      <c r="L1210" s="151" t="s">
        <v>59</v>
      </c>
      <c r="M1210" s="152">
        <v>42631.824363425927</v>
      </c>
      <c r="N1210" s="151" t="s">
        <v>3199</v>
      </c>
      <c r="O1210" s="151"/>
      <c r="P1210" s="151"/>
      <c r="Q1210" s="7" t="str">
        <f>IF(ISBLANK(patch[[#This Row],[OwnerEmail]]),Q1209,patch[[#This Row],[OwnerEmail]])</f>
        <v>zongx.li@intel.com</v>
      </c>
      <c r="R1210" s="7" t="str">
        <f>_xlfn.IFNA(VLOOKUP(patch[[#This Row],[tmp-owner.email]],OrgTree!$A:$K, 11, 0), "not ICG SWFW")</f>
        <v>BJ And dev</v>
      </c>
      <c r="S1210" s="7" t="str">
        <f>IF(patch[[#This Row],[reviewer]]=patch[[#This Row],[tmp-owner.email]], "author", _xlfn.IFNA(VLOOKUP(patch[[#This Row],[reviewer]],OrgTree!$A:$K, 11, 0), "not ICG SWFW"))</f>
        <v>BJ And dev</v>
      </c>
      <c r="T1210" s="7" t="str">
        <f>IF(ISBLANK(patch[[#This Row],[mergeDate]]), "", MID(YEAR(patch[[#This Row],[mergeDate]]), 3,2)&amp;"'ww"&amp;WEEKNUM(patch[[#This Row],[mergeDate]]))</f>
        <v>16'ww39</v>
      </c>
      <c r="U1210" s="7" t="str">
        <f>IF(ISBLANK(patch[[#This Row],[mergeDate]]), U1209, MID(YEAR(patch[[#This Row],[mergeDate]]), 3,2)&amp;"'m"&amp;MONTH(patch[[#This Row],[mergeDate]]))</f>
        <v>16'm9</v>
      </c>
      <c r="V1210" s="7" t="str">
        <f>IF(ISBLANK(patch[[#This Row],[project]]), "",SUM(patch[[#This Row],[BJ -1 num]:[SH -1 num]]))</f>
        <v/>
      </c>
      <c r="W1210" s="7" t="str">
        <f>IF(ISBLANK(patch[[#This Row],[project]]), "",COUNTIFS($A:$A,patch[[#This Row],[number]],$S:$S, "BJ And dev",$AC:$AC, "Review-1"))</f>
        <v/>
      </c>
      <c r="X1210" s="7" t="str">
        <f>IF(ISBLANK(patch[[#This Row],[project]]), "",COUNTIFS($A:$A,patch[[#This Row],[number]],$S:$S, "FL And dev",$AC:$AC, "Review-1"))</f>
        <v/>
      </c>
      <c r="Y1210" s="7" t="str">
        <f>IF(ISBLANK(patch[[#This Row],[project]]), "",COUNTIFS($A:$A,patch[[#This Row],[number]],$S:$S, "SH And dev",$AC:$AC, "Review-1"))</f>
        <v/>
      </c>
      <c r="Z1210" s="7" t="str">
        <f>IF(ISBLANK(patch[[#This Row],[project]]), "",COUNTIFS($A:$A,patch[[#This Row],[number]],$S:$S, "BJ And dev",$AD:$AD, "&lt;&gt;IntegratorValidationComment"))</f>
        <v/>
      </c>
      <c r="AA1210" s="7" t="str">
        <f>IF(ISBLANK(patch[[#This Row],[project]]), "",COUNTIFS($A:$A,patch[[#This Row],[number]],$S:$S, "FL And dev",$AD:$AD, "&lt;&gt;IntegratorValidationComment"))</f>
        <v/>
      </c>
      <c r="AB1210" s="7" t="str">
        <f>IF(ISBLANK(patch[[#This Row],[project]]), "",COUNTIFS($A:$A,patch[[#This Row],[number]],$S:$S, "SH And dev",$AD:$AD, "&lt;&gt;IntegratorValidationComment"))</f>
        <v/>
      </c>
      <c r="AC1210" s="7" t="str">
        <f>IF(OR(ISNUMBER(FIND("Review-1", patch[[#This Row],[comments]])), ISNUMBER(FIND("Approver-1", patch[[#This Row],[comments]]))), "Review-1", "")</f>
        <v/>
      </c>
      <c r="AD12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10" s="7">
        <f>IF(ISBLANK(patch[[#This Row],[number]]),AE1209,patch[[#This Row],[ifCommon]])</f>
        <v>0</v>
      </c>
    </row>
    <row r="1211" spans="1:31">
      <c r="A1211" s="151">
        <v>146127</v>
      </c>
      <c r="B1211" s="151"/>
      <c r="C1211" s="151"/>
      <c r="D1211" s="151"/>
      <c r="E1211" s="151"/>
      <c r="F1211" s="151"/>
      <c r="G1211" s="151"/>
      <c r="H1211" s="151"/>
      <c r="I1211" s="152"/>
      <c r="J1211" s="152">
        <v>42633.710138888891</v>
      </c>
      <c r="K1211" s="151"/>
      <c r="L1211" s="151" t="s">
        <v>63</v>
      </c>
      <c r="M1211" s="152">
        <v>42632.434050925927</v>
      </c>
      <c r="N1211" s="151" t="s">
        <v>2450</v>
      </c>
      <c r="O1211" s="151"/>
      <c r="P1211" s="151"/>
      <c r="Q1211" s="7" t="str">
        <f>IF(ISBLANK(patch[[#This Row],[OwnerEmail]]),Q1210,patch[[#This Row],[OwnerEmail]])</f>
        <v>zongx.li@intel.com</v>
      </c>
      <c r="R1211" s="7" t="str">
        <f>_xlfn.IFNA(VLOOKUP(patch[[#This Row],[tmp-owner.email]],OrgTree!$A:$K, 11, 0), "not ICG SWFW")</f>
        <v>BJ And dev</v>
      </c>
      <c r="S1211" s="7" t="str">
        <f>IF(patch[[#This Row],[reviewer]]=patch[[#This Row],[tmp-owner.email]], "author", _xlfn.IFNA(VLOOKUP(patch[[#This Row],[reviewer]],OrgTree!$A:$K, 11, 0), "not ICG SWFW"))</f>
        <v>author</v>
      </c>
      <c r="T1211" s="7" t="str">
        <f>IF(ISBLANK(patch[[#This Row],[mergeDate]]), "", MID(YEAR(patch[[#This Row],[mergeDate]]), 3,2)&amp;"'ww"&amp;WEEKNUM(patch[[#This Row],[mergeDate]]))</f>
        <v>16'ww39</v>
      </c>
      <c r="U1211" s="7" t="str">
        <f>IF(ISBLANK(patch[[#This Row],[mergeDate]]), U1210, MID(YEAR(patch[[#This Row],[mergeDate]]), 3,2)&amp;"'m"&amp;MONTH(patch[[#This Row],[mergeDate]]))</f>
        <v>16'm9</v>
      </c>
      <c r="V1211" s="7" t="str">
        <f>IF(ISBLANK(patch[[#This Row],[project]]), "",SUM(patch[[#This Row],[BJ -1 num]:[SH -1 num]]))</f>
        <v/>
      </c>
      <c r="W1211" s="7" t="str">
        <f>IF(ISBLANK(patch[[#This Row],[project]]), "",COUNTIFS($A:$A,patch[[#This Row],[number]],$S:$S, "BJ And dev",$AC:$AC, "Review-1"))</f>
        <v/>
      </c>
      <c r="X1211" s="7" t="str">
        <f>IF(ISBLANK(patch[[#This Row],[project]]), "",COUNTIFS($A:$A,patch[[#This Row],[number]],$S:$S, "FL And dev",$AC:$AC, "Review-1"))</f>
        <v/>
      </c>
      <c r="Y1211" s="7" t="str">
        <f>IF(ISBLANK(patch[[#This Row],[project]]), "",COUNTIFS($A:$A,patch[[#This Row],[number]],$S:$S, "SH And dev",$AC:$AC, "Review-1"))</f>
        <v/>
      </c>
      <c r="Z1211" s="7" t="str">
        <f>IF(ISBLANK(patch[[#This Row],[project]]), "",COUNTIFS($A:$A,patch[[#This Row],[number]],$S:$S, "BJ And dev",$AD:$AD, "&lt;&gt;IntegratorValidationComment"))</f>
        <v/>
      </c>
      <c r="AA1211" s="7" t="str">
        <f>IF(ISBLANK(patch[[#This Row],[project]]), "",COUNTIFS($A:$A,patch[[#This Row],[number]],$S:$S, "FL And dev",$AD:$AD, "&lt;&gt;IntegratorValidationComment"))</f>
        <v/>
      </c>
      <c r="AB1211" s="7" t="str">
        <f>IF(ISBLANK(patch[[#This Row],[project]]), "",COUNTIFS($A:$A,patch[[#This Row],[number]],$S:$S, "SH And dev",$AD:$AD, "&lt;&gt;IntegratorValidationComment"))</f>
        <v/>
      </c>
      <c r="AC1211" s="7" t="str">
        <f>IF(OR(ISNUMBER(FIND("Review-1", patch[[#This Row],[comments]])), ISNUMBER(FIND("Approver-1", patch[[#This Row],[comments]]))), "Review-1", "")</f>
        <v/>
      </c>
      <c r="AD12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11" s="7">
        <f>IF(ISBLANK(patch[[#This Row],[number]]),AE1210,patch[[#This Row],[ifCommon]])</f>
        <v>0</v>
      </c>
    </row>
    <row r="1212" spans="1:31">
      <c r="A1212" s="151">
        <v>146127</v>
      </c>
      <c r="B1212" s="151"/>
      <c r="C1212" s="151"/>
      <c r="D1212" s="151"/>
      <c r="E1212" s="151"/>
      <c r="F1212" s="151"/>
      <c r="G1212" s="151"/>
      <c r="H1212" s="151"/>
      <c r="I1212" s="151"/>
      <c r="J1212" s="152">
        <v>42633.710138888891</v>
      </c>
      <c r="K1212" s="151"/>
      <c r="L1212" s="151" t="s">
        <v>63</v>
      </c>
      <c r="M1212" s="152">
        <v>42632.434050925927</v>
      </c>
      <c r="N1212" s="151" t="s">
        <v>1829</v>
      </c>
      <c r="O1212" s="151"/>
      <c r="P1212" s="151"/>
      <c r="Q1212" s="7" t="str">
        <f>IF(ISBLANK(patch[[#This Row],[OwnerEmail]]),Q1211,patch[[#This Row],[OwnerEmail]])</f>
        <v>zongx.li@intel.com</v>
      </c>
      <c r="R1212" s="7" t="str">
        <f>_xlfn.IFNA(VLOOKUP(patch[[#This Row],[tmp-owner.email]],OrgTree!$A:$K, 11, 0), "not ICG SWFW")</f>
        <v>BJ And dev</v>
      </c>
      <c r="S1212" s="7" t="str">
        <f>IF(patch[[#This Row],[reviewer]]=patch[[#This Row],[tmp-owner.email]], "author", _xlfn.IFNA(VLOOKUP(patch[[#This Row],[reviewer]],OrgTree!$A:$K, 11, 0), "not ICG SWFW"))</f>
        <v>author</v>
      </c>
      <c r="T1212" s="7" t="str">
        <f>IF(ISBLANK(patch[[#This Row],[mergeDate]]), "", MID(YEAR(patch[[#This Row],[mergeDate]]), 3,2)&amp;"'ww"&amp;WEEKNUM(patch[[#This Row],[mergeDate]]))</f>
        <v>16'ww39</v>
      </c>
      <c r="U1212" s="7" t="str">
        <f>IF(ISBLANK(patch[[#This Row],[mergeDate]]), U1211, MID(YEAR(patch[[#This Row],[mergeDate]]), 3,2)&amp;"'m"&amp;MONTH(patch[[#This Row],[mergeDate]]))</f>
        <v>16'm9</v>
      </c>
      <c r="V1212" s="7" t="str">
        <f>IF(ISBLANK(patch[[#This Row],[project]]), "",SUM(patch[[#This Row],[BJ -1 num]:[SH -1 num]]))</f>
        <v/>
      </c>
      <c r="W1212" s="7" t="str">
        <f>IF(ISBLANK(patch[[#This Row],[project]]), "",COUNTIFS($A:$A,patch[[#This Row],[number]],$S:$S, "BJ And dev",$AC:$AC, "Review-1"))</f>
        <v/>
      </c>
      <c r="X1212" s="7" t="str">
        <f>IF(ISBLANK(patch[[#This Row],[project]]), "",COUNTIFS($A:$A,patch[[#This Row],[number]],$S:$S, "FL And dev",$AC:$AC, "Review-1"))</f>
        <v/>
      </c>
      <c r="Y1212" s="7" t="str">
        <f>IF(ISBLANK(patch[[#This Row],[project]]), "",COUNTIFS($A:$A,patch[[#This Row],[number]],$S:$S, "SH And dev",$AC:$AC, "Review-1"))</f>
        <v/>
      </c>
      <c r="Z1212" s="7" t="str">
        <f>IF(ISBLANK(patch[[#This Row],[project]]), "",COUNTIFS($A:$A,patch[[#This Row],[number]],$S:$S, "BJ And dev",$AD:$AD, "&lt;&gt;IntegratorValidationComment"))</f>
        <v/>
      </c>
      <c r="AA1212" s="7" t="str">
        <f>IF(ISBLANK(patch[[#This Row],[project]]), "",COUNTIFS($A:$A,patch[[#This Row],[number]],$S:$S, "FL And dev",$AD:$AD, "&lt;&gt;IntegratorValidationComment"))</f>
        <v/>
      </c>
      <c r="AB1212" s="7" t="str">
        <f>IF(ISBLANK(patch[[#This Row],[project]]), "",COUNTIFS($A:$A,patch[[#This Row],[number]],$S:$S, "SH And dev",$AD:$AD, "&lt;&gt;IntegratorValidationComment"))</f>
        <v/>
      </c>
      <c r="AC1212" s="7" t="str">
        <f>IF(OR(ISNUMBER(FIND("Review-1", patch[[#This Row],[comments]])), ISNUMBER(FIND("Approver-1", patch[[#This Row],[comments]]))), "Review-1", "")</f>
        <v/>
      </c>
      <c r="AD12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12" s="7">
        <f>IF(ISBLANK(patch[[#This Row],[number]]),AE1211,patch[[#This Row],[ifCommon]])</f>
        <v>0</v>
      </c>
    </row>
    <row r="1213" spans="1:31">
      <c r="A1213" s="151">
        <v>146127</v>
      </c>
      <c r="B1213" s="151"/>
      <c r="C1213" s="151"/>
      <c r="D1213" s="151"/>
      <c r="E1213" s="151"/>
      <c r="F1213" s="151"/>
      <c r="G1213" s="151"/>
      <c r="H1213" s="151"/>
      <c r="I1213" s="151"/>
      <c r="J1213" s="152">
        <v>42633.710138888891</v>
      </c>
      <c r="K1213" s="151"/>
      <c r="L1213" s="151" t="s">
        <v>63</v>
      </c>
      <c r="M1213" s="152">
        <v>42632.435057870367</v>
      </c>
      <c r="N1213" s="151" t="s">
        <v>48</v>
      </c>
      <c r="O1213" s="151"/>
      <c r="P1213" s="151"/>
      <c r="Q1213" s="7" t="str">
        <f>IF(ISBLANK(patch[[#This Row],[OwnerEmail]]),Q1212,patch[[#This Row],[OwnerEmail]])</f>
        <v>zongx.li@intel.com</v>
      </c>
      <c r="R1213" s="7" t="str">
        <f>_xlfn.IFNA(VLOOKUP(patch[[#This Row],[tmp-owner.email]],OrgTree!$A:$K, 11, 0), "not ICG SWFW")</f>
        <v>BJ And dev</v>
      </c>
      <c r="S1213" s="7" t="str">
        <f>IF(patch[[#This Row],[reviewer]]=patch[[#This Row],[tmp-owner.email]], "author", _xlfn.IFNA(VLOOKUP(patch[[#This Row],[reviewer]],OrgTree!$A:$K, 11, 0), "not ICG SWFW"))</f>
        <v>author</v>
      </c>
      <c r="T1213" s="7" t="str">
        <f>IF(ISBLANK(patch[[#This Row],[mergeDate]]), "", MID(YEAR(patch[[#This Row],[mergeDate]]), 3,2)&amp;"'ww"&amp;WEEKNUM(patch[[#This Row],[mergeDate]]))</f>
        <v>16'ww39</v>
      </c>
      <c r="U1213" s="7" t="str">
        <f>IF(ISBLANK(patch[[#This Row],[mergeDate]]), U1212, MID(YEAR(patch[[#This Row],[mergeDate]]), 3,2)&amp;"'m"&amp;MONTH(patch[[#This Row],[mergeDate]]))</f>
        <v>16'm9</v>
      </c>
      <c r="V1213" s="7" t="str">
        <f>IF(ISBLANK(patch[[#This Row],[project]]), "",SUM(patch[[#This Row],[BJ -1 num]:[SH -1 num]]))</f>
        <v/>
      </c>
      <c r="W1213" s="7" t="str">
        <f>IF(ISBLANK(patch[[#This Row],[project]]), "",COUNTIFS($A:$A,patch[[#This Row],[number]],$S:$S, "BJ And dev",$AC:$AC, "Review-1"))</f>
        <v/>
      </c>
      <c r="X1213" s="7" t="str">
        <f>IF(ISBLANK(patch[[#This Row],[project]]), "",COUNTIFS($A:$A,patch[[#This Row],[number]],$S:$S, "FL And dev",$AC:$AC, "Review-1"))</f>
        <v/>
      </c>
      <c r="Y1213" s="7" t="str">
        <f>IF(ISBLANK(patch[[#This Row],[project]]), "",COUNTIFS($A:$A,patch[[#This Row],[number]],$S:$S, "SH And dev",$AC:$AC, "Review-1"))</f>
        <v/>
      </c>
      <c r="Z1213" s="7" t="str">
        <f>IF(ISBLANK(patch[[#This Row],[project]]), "",COUNTIFS($A:$A,patch[[#This Row],[number]],$S:$S, "BJ And dev",$AD:$AD, "&lt;&gt;IntegratorValidationComment"))</f>
        <v/>
      </c>
      <c r="AA1213" s="7" t="str">
        <f>IF(ISBLANK(patch[[#This Row],[project]]), "",COUNTIFS($A:$A,patch[[#This Row],[number]],$S:$S, "FL And dev",$AD:$AD, "&lt;&gt;IntegratorValidationComment"))</f>
        <v/>
      </c>
      <c r="AB1213" s="7" t="str">
        <f>IF(ISBLANK(patch[[#This Row],[project]]), "",COUNTIFS($A:$A,patch[[#This Row],[number]],$S:$S, "SH And dev",$AD:$AD, "&lt;&gt;IntegratorValidationComment"))</f>
        <v/>
      </c>
      <c r="AC1213" s="7" t="str">
        <f>IF(OR(ISNUMBER(FIND("Review-1", patch[[#This Row],[comments]])), ISNUMBER(FIND("Approver-1", patch[[#This Row],[comments]]))), "Review-1", "")</f>
        <v/>
      </c>
      <c r="AD12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13" s="7">
        <f>IF(ISBLANK(patch[[#This Row],[number]]),AE1212,patch[[#This Row],[ifCommon]])</f>
        <v>0</v>
      </c>
    </row>
    <row r="1214" spans="1:31">
      <c r="A1214" s="151">
        <v>146127</v>
      </c>
      <c r="B1214" s="151"/>
      <c r="C1214" s="151"/>
      <c r="D1214" s="151"/>
      <c r="E1214" s="151"/>
      <c r="F1214" s="151"/>
      <c r="G1214" s="151"/>
      <c r="H1214" s="151"/>
      <c r="I1214" s="151"/>
      <c r="J1214" s="152">
        <v>42633.710138888891</v>
      </c>
      <c r="K1214" s="151"/>
      <c r="L1214" s="151" t="s">
        <v>63</v>
      </c>
      <c r="M1214" s="152">
        <v>42632.4371875</v>
      </c>
      <c r="N1214" s="151" t="s">
        <v>2451</v>
      </c>
      <c r="O1214" s="151"/>
      <c r="P1214" s="151"/>
      <c r="Q1214" s="7" t="str">
        <f>IF(ISBLANK(patch[[#This Row],[OwnerEmail]]),Q1213,patch[[#This Row],[OwnerEmail]])</f>
        <v>zongx.li@intel.com</v>
      </c>
      <c r="R1214" s="7" t="str">
        <f>_xlfn.IFNA(VLOOKUP(patch[[#This Row],[tmp-owner.email]],OrgTree!$A:$K, 11, 0), "not ICG SWFW")</f>
        <v>BJ And dev</v>
      </c>
      <c r="S1214" s="7" t="str">
        <f>IF(patch[[#This Row],[reviewer]]=patch[[#This Row],[tmp-owner.email]], "author", _xlfn.IFNA(VLOOKUP(patch[[#This Row],[reviewer]],OrgTree!$A:$K, 11, 0), "not ICG SWFW"))</f>
        <v>author</v>
      </c>
      <c r="T1214" s="7" t="str">
        <f>IF(ISBLANK(patch[[#This Row],[mergeDate]]), "", MID(YEAR(patch[[#This Row],[mergeDate]]), 3,2)&amp;"'ww"&amp;WEEKNUM(patch[[#This Row],[mergeDate]]))</f>
        <v>16'ww39</v>
      </c>
      <c r="U1214" s="7" t="str">
        <f>IF(ISBLANK(patch[[#This Row],[mergeDate]]), U1213, MID(YEAR(patch[[#This Row],[mergeDate]]), 3,2)&amp;"'m"&amp;MONTH(patch[[#This Row],[mergeDate]]))</f>
        <v>16'm9</v>
      </c>
      <c r="V1214" s="7" t="str">
        <f>IF(ISBLANK(patch[[#This Row],[project]]), "",SUM(patch[[#This Row],[BJ -1 num]:[SH -1 num]]))</f>
        <v/>
      </c>
      <c r="W1214" s="7" t="str">
        <f>IF(ISBLANK(patch[[#This Row],[project]]), "",COUNTIFS($A:$A,patch[[#This Row],[number]],$S:$S, "BJ And dev",$AC:$AC, "Review-1"))</f>
        <v/>
      </c>
      <c r="X1214" s="7" t="str">
        <f>IF(ISBLANK(patch[[#This Row],[project]]), "",COUNTIFS($A:$A,patch[[#This Row],[number]],$S:$S, "FL And dev",$AC:$AC, "Review-1"))</f>
        <v/>
      </c>
      <c r="Y1214" s="7" t="str">
        <f>IF(ISBLANK(patch[[#This Row],[project]]), "",COUNTIFS($A:$A,patch[[#This Row],[number]],$S:$S, "SH And dev",$AC:$AC, "Review-1"))</f>
        <v/>
      </c>
      <c r="Z1214" s="7" t="str">
        <f>IF(ISBLANK(patch[[#This Row],[project]]), "",COUNTIFS($A:$A,patch[[#This Row],[number]],$S:$S, "BJ And dev",$AD:$AD, "&lt;&gt;IntegratorValidationComment"))</f>
        <v/>
      </c>
      <c r="AA1214" s="7" t="str">
        <f>IF(ISBLANK(patch[[#This Row],[project]]), "",COUNTIFS($A:$A,patch[[#This Row],[number]],$S:$S, "FL And dev",$AD:$AD, "&lt;&gt;IntegratorValidationComment"))</f>
        <v/>
      </c>
      <c r="AB1214" s="7" t="str">
        <f>IF(ISBLANK(patch[[#This Row],[project]]), "",COUNTIFS($A:$A,patch[[#This Row],[number]],$S:$S, "SH And dev",$AD:$AD, "&lt;&gt;IntegratorValidationComment"))</f>
        <v/>
      </c>
      <c r="AC1214" s="7" t="str">
        <f>IF(OR(ISNUMBER(FIND("Review-1", patch[[#This Row],[comments]])), ISNUMBER(FIND("Approver-1", patch[[#This Row],[comments]]))), "Review-1", "")</f>
        <v/>
      </c>
      <c r="AD12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14" s="7">
        <f>IF(ISBLANK(patch[[#This Row],[number]]),AE1213,patch[[#This Row],[ifCommon]])</f>
        <v>0</v>
      </c>
    </row>
    <row r="1215" spans="1:31">
      <c r="A1215" s="151">
        <v>146127</v>
      </c>
      <c r="B1215" s="151"/>
      <c r="C1215" s="151"/>
      <c r="D1215" s="151"/>
      <c r="E1215" s="151"/>
      <c r="F1215" s="151"/>
      <c r="G1215" s="151"/>
      <c r="H1215" s="151"/>
      <c r="I1215" s="151"/>
      <c r="J1215" s="152">
        <v>42633.710138888891</v>
      </c>
      <c r="K1215" s="151"/>
      <c r="L1215" s="151" t="s">
        <v>63</v>
      </c>
      <c r="M1215" s="152">
        <v>42632.4371875</v>
      </c>
      <c r="N1215" s="151" t="s">
        <v>2534</v>
      </c>
      <c r="O1215" s="151"/>
      <c r="P1215" s="151"/>
      <c r="Q1215" s="7" t="str">
        <f>IF(ISBLANK(patch[[#This Row],[OwnerEmail]]),Q1214,patch[[#This Row],[OwnerEmail]])</f>
        <v>zongx.li@intel.com</v>
      </c>
      <c r="R1215" s="7" t="str">
        <f>_xlfn.IFNA(VLOOKUP(patch[[#This Row],[tmp-owner.email]],OrgTree!$A:$K, 11, 0), "not ICG SWFW")</f>
        <v>BJ And dev</v>
      </c>
      <c r="S1215" s="7" t="str">
        <f>IF(patch[[#This Row],[reviewer]]=patch[[#This Row],[tmp-owner.email]], "author", _xlfn.IFNA(VLOOKUP(patch[[#This Row],[reviewer]],OrgTree!$A:$K, 11, 0), "not ICG SWFW"))</f>
        <v>author</v>
      </c>
      <c r="T1215" s="7" t="str">
        <f>IF(ISBLANK(patch[[#This Row],[mergeDate]]), "", MID(YEAR(patch[[#This Row],[mergeDate]]), 3,2)&amp;"'ww"&amp;WEEKNUM(patch[[#This Row],[mergeDate]]))</f>
        <v>16'ww39</v>
      </c>
      <c r="U1215" s="7" t="str">
        <f>IF(ISBLANK(patch[[#This Row],[mergeDate]]), U1214, MID(YEAR(patch[[#This Row],[mergeDate]]), 3,2)&amp;"'m"&amp;MONTH(patch[[#This Row],[mergeDate]]))</f>
        <v>16'm9</v>
      </c>
      <c r="V1215" s="7" t="str">
        <f>IF(ISBLANK(patch[[#This Row],[project]]), "",SUM(patch[[#This Row],[BJ -1 num]:[SH -1 num]]))</f>
        <v/>
      </c>
      <c r="W1215" s="7" t="str">
        <f>IF(ISBLANK(patch[[#This Row],[project]]), "",COUNTIFS($A:$A,patch[[#This Row],[number]],$S:$S, "BJ And dev",$AC:$AC, "Review-1"))</f>
        <v/>
      </c>
      <c r="X1215" s="7" t="str">
        <f>IF(ISBLANK(patch[[#This Row],[project]]), "",COUNTIFS($A:$A,patch[[#This Row],[number]],$S:$S, "FL And dev",$AC:$AC, "Review-1"))</f>
        <v/>
      </c>
      <c r="Y1215" s="7" t="str">
        <f>IF(ISBLANK(patch[[#This Row],[project]]), "",COUNTIFS($A:$A,patch[[#This Row],[number]],$S:$S, "SH And dev",$AC:$AC, "Review-1"))</f>
        <v/>
      </c>
      <c r="Z1215" s="7" t="str">
        <f>IF(ISBLANK(patch[[#This Row],[project]]), "",COUNTIFS($A:$A,patch[[#This Row],[number]],$S:$S, "BJ And dev",$AD:$AD, "&lt;&gt;IntegratorValidationComment"))</f>
        <v/>
      </c>
      <c r="AA1215" s="7" t="str">
        <f>IF(ISBLANK(patch[[#This Row],[project]]), "",COUNTIFS($A:$A,patch[[#This Row],[number]],$S:$S, "FL And dev",$AD:$AD, "&lt;&gt;IntegratorValidationComment"))</f>
        <v/>
      </c>
      <c r="AB1215" s="7" t="str">
        <f>IF(ISBLANK(patch[[#This Row],[project]]), "",COUNTIFS($A:$A,patch[[#This Row],[number]],$S:$S, "SH And dev",$AD:$AD, "&lt;&gt;IntegratorValidationComment"))</f>
        <v/>
      </c>
      <c r="AC1215" s="7" t="str">
        <f>IF(OR(ISNUMBER(FIND("Review-1", patch[[#This Row],[comments]])), ISNUMBER(FIND("Approver-1", patch[[#This Row],[comments]]))), "Review-1", "")</f>
        <v/>
      </c>
      <c r="AD12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15" s="7">
        <f>IF(ISBLANK(patch[[#This Row],[number]]),AE1214,patch[[#This Row],[ifCommon]])</f>
        <v>0</v>
      </c>
    </row>
    <row r="1216" spans="1:31">
      <c r="A1216" s="151">
        <v>146127</v>
      </c>
      <c r="B1216" s="151"/>
      <c r="C1216" s="151"/>
      <c r="D1216" s="151"/>
      <c r="E1216" s="151"/>
      <c r="F1216" s="151"/>
      <c r="G1216" s="151"/>
      <c r="H1216" s="151"/>
      <c r="I1216" s="151"/>
      <c r="J1216" s="152">
        <v>42633.710138888891</v>
      </c>
      <c r="K1216" s="151"/>
      <c r="L1216" s="151" t="s">
        <v>59</v>
      </c>
      <c r="M1216" s="152">
        <v>42632.438333333332</v>
      </c>
      <c r="N1216" s="151" t="s">
        <v>3200</v>
      </c>
      <c r="O1216" s="151"/>
      <c r="P1216" s="151"/>
      <c r="Q1216" s="7" t="str">
        <f>IF(ISBLANK(patch[[#This Row],[OwnerEmail]]),Q1215,patch[[#This Row],[OwnerEmail]])</f>
        <v>zongx.li@intel.com</v>
      </c>
      <c r="R1216" s="7" t="str">
        <f>_xlfn.IFNA(VLOOKUP(patch[[#This Row],[tmp-owner.email]],OrgTree!$A:$K, 11, 0), "not ICG SWFW")</f>
        <v>BJ And dev</v>
      </c>
      <c r="S1216" s="7" t="str">
        <f>IF(patch[[#This Row],[reviewer]]=patch[[#This Row],[tmp-owner.email]], "author", _xlfn.IFNA(VLOOKUP(patch[[#This Row],[reviewer]],OrgTree!$A:$K, 11, 0), "not ICG SWFW"))</f>
        <v>BJ And dev</v>
      </c>
      <c r="T1216" s="7" t="str">
        <f>IF(ISBLANK(patch[[#This Row],[mergeDate]]), "", MID(YEAR(patch[[#This Row],[mergeDate]]), 3,2)&amp;"'ww"&amp;WEEKNUM(patch[[#This Row],[mergeDate]]))</f>
        <v>16'ww39</v>
      </c>
      <c r="U1216" s="7" t="str">
        <f>IF(ISBLANK(patch[[#This Row],[mergeDate]]), U1215, MID(YEAR(patch[[#This Row],[mergeDate]]), 3,2)&amp;"'m"&amp;MONTH(patch[[#This Row],[mergeDate]]))</f>
        <v>16'm9</v>
      </c>
      <c r="V1216" s="7" t="str">
        <f>IF(ISBLANK(patch[[#This Row],[project]]), "",SUM(patch[[#This Row],[BJ -1 num]:[SH -1 num]]))</f>
        <v/>
      </c>
      <c r="W1216" s="7" t="str">
        <f>IF(ISBLANK(patch[[#This Row],[project]]), "",COUNTIFS($A:$A,patch[[#This Row],[number]],$S:$S, "BJ And dev",$AC:$AC, "Review-1"))</f>
        <v/>
      </c>
      <c r="X1216" s="7" t="str">
        <f>IF(ISBLANK(patch[[#This Row],[project]]), "",COUNTIFS($A:$A,patch[[#This Row],[number]],$S:$S, "FL And dev",$AC:$AC, "Review-1"))</f>
        <v/>
      </c>
      <c r="Y1216" s="7" t="str">
        <f>IF(ISBLANK(patch[[#This Row],[project]]), "",COUNTIFS($A:$A,patch[[#This Row],[number]],$S:$S, "SH And dev",$AC:$AC, "Review-1"))</f>
        <v/>
      </c>
      <c r="Z1216" s="7" t="str">
        <f>IF(ISBLANK(patch[[#This Row],[project]]), "",COUNTIFS($A:$A,patch[[#This Row],[number]],$S:$S, "BJ And dev",$AD:$AD, "&lt;&gt;IntegratorValidationComment"))</f>
        <v/>
      </c>
      <c r="AA1216" s="7" t="str">
        <f>IF(ISBLANK(patch[[#This Row],[project]]), "",COUNTIFS($A:$A,patch[[#This Row],[number]],$S:$S, "FL And dev",$AD:$AD, "&lt;&gt;IntegratorValidationComment"))</f>
        <v/>
      </c>
      <c r="AB1216" s="7" t="str">
        <f>IF(ISBLANK(patch[[#This Row],[project]]), "",COUNTIFS($A:$A,patch[[#This Row],[number]],$S:$S, "SH And dev",$AD:$AD, "&lt;&gt;IntegratorValidationComment"))</f>
        <v/>
      </c>
      <c r="AC1216" s="7" t="str">
        <f>IF(OR(ISNUMBER(FIND("Review-1", patch[[#This Row],[comments]])), ISNUMBER(FIND("Approver-1", patch[[#This Row],[comments]]))), "Review-1", "")</f>
        <v/>
      </c>
      <c r="AD12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16" s="7">
        <f>IF(ISBLANK(patch[[#This Row],[number]]),AE1215,patch[[#This Row],[ifCommon]])</f>
        <v>0</v>
      </c>
    </row>
    <row r="1217" spans="1:31">
      <c r="A1217" s="151">
        <v>146127</v>
      </c>
      <c r="B1217" s="151"/>
      <c r="C1217" s="151"/>
      <c r="D1217" s="151"/>
      <c r="E1217" s="151"/>
      <c r="F1217" s="151"/>
      <c r="G1217" s="151"/>
      <c r="H1217" s="151"/>
      <c r="I1217" s="151"/>
      <c r="J1217" s="152">
        <v>42633.710138888891</v>
      </c>
      <c r="K1217" s="151"/>
      <c r="L1217" s="151" t="s">
        <v>59</v>
      </c>
      <c r="M1217" s="152">
        <v>42632.440069444441</v>
      </c>
      <c r="N1217" s="151" t="s">
        <v>3201</v>
      </c>
      <c r="O1217" s="151"/>
      <c r="P1217" s="151"/>
      <c r="Q1217" s="7" t="str">
        <f>IF(ISBLANK(patch[[#This Row],[OwnerEmail]]),Q1216,patch[[#This Row],[OwnerEmail]])</f>
        <v>zongx.li@intel.com</v>
      </c>
      <c r="R1217" s="7" t="str">
        <f>_xlfn.IFNA(VLOOKUP(patch[[#This Row],[tmp-owner.email]],OrgTree!$A:$K, 11, 0), "not ICG SWFW")</f>
        <v>BJ And dev</v>
      </c>
      <c r="S1217" s="7" t="str">
        <f>IF(patch[[#This Row],[reviewer]]=patch[[#This Row],[tmp-owner.email]], "author", _xlfn.IFNA(VLOOKUP(patch[[#This Row],[reviewer]],OrgTree!$A:$K, 11, 0), "not ICG SWFW"))</f>
        <v>BJ And dev</v>
      </c>
      <c r="T1217" s="7" t="str">
        <f>IF(ISBLANK(patch[[#This Row],[mergeDate]]), "", MID(YEAR(patch[[#This Row],[mergeDate]]), 3,2)&amp;"'ww"&amp;WEEKNUM(patch[[#This Row],[mergeDate]]))</f>
        <v>16'ww39</v>
      </c>
      <c r="U1217" s="7" t="str">
        <f>IF(ISBLANK(patch[[#This Row],[mergeDate]]), U1216, MID(YEAR(patch[[#This Row],[mergeDate]]), 3,2)&amp;"'m"&amp;MONTH(patch[[#This Row],[mergeDate]]))</f>
        <v>16'm9</v>
      </c>
      <c r="V1217" s="7" t="str">
        <f>IF(ISBLANK(patch[[#This Row],[project]]), "",SUM(patch[[#This Row],[BJ -1 num]:[SH -1 num]]))</f>
        <v/>
      </c>
      <c r="W1217" s="7" t="str">
        <f>IF(ISBLANK(patch[[#This Row],[project]]), "",COUNTIFS($A:$A,patch[[#This Row],[number]],$S:$S, "BJ And dev",$AC:$AC, "Review-1"))</f>
        <v/>
      </c>
      <c r="X1217" s="7" t="str">
        <f>IF(ISBLANK(patch[[#This Row],[project]]), "",COUNTIFS($A:$A,patch[[#This Row],[number]],$S:$S, "FL And dev",$AC:$AC, "Review-1"))</f>
        <v/>
      </c>
      <c r="Y1217" s="7" t="str">
        <f>IF(ISBLANK(patch[[#This Row],[project]]), "",COUNTIFS($A:$A,patch[[#This Row],[number]],$S:$S, "SH And dev",$AC:$AC, "Review-1"))</f>
        <v/>
      </c>
      <c r="Z1217" s="7" t="str">
        <f>IF(ISBLANK(patch[[#This Row],[project]]), "",COUNTIFS($A:$A,patch[[#This Row],[number]],$S:$S, "BJ And dev",$AD:$AD, "&lt;&gt;IntegratorValidationComment"))</f>
        <v/>
      </c>
      <c r="AA1217" s="7" t="str">
        <f>IF(ISBLANK(patch[[#This Row],[project]]), "",COUNTIFS($A:$A,patch[[#This Row],[number]],$S:$S, "FL And dev",$AD:$AD, "&lt;&gt;IntegratorValidationComment"))</f>
        <v/>
      </c>
      <c r="AB1217" s="7" t="str">
        <f>IF(ISBLANK(patch[[#This Row],[project]]), "",COUNTIFS($A:$A,patch[[#This Row],[number]],$S:$S, "SH And dev",$AD:$AD, "&lt;&gt;IntegratorValidationComment"))</f>
        <v/>
      </c>
      <c r="AC1217" s="7" t="str">
        <f>IF(OR(ISNUMBER(FIND("Review-1", patch[[#This Row],[comments]])), ISNUMBER(FIND("Approver-1", patch[[#This Row],[comments]]))), "Review-1", "")</f>
        <v/>
      </c>
      <c r="AD12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17" s="7">
        <f>IF(ISBLANK(patch[[#This Row],[number]]),AE1216,patch[[#This Row],[ifCommon]])</f>
        <v>0</v>
      </c>
    </row>
    <row r="1218" spans="1:31">
      <c r="A1218" s="151">
        <v>146127</v>
      </c>
      <c r="B1218" s="151"/>
      <c r="C1218" s="151"/>
      <c r="D1218" s="151"/>
      <c r="E1218" s="151"/>
      <c r="F1218" s="151"/>
      <c r="G1218" s="151"/>
      <c r="H1218" s="151"/>
      <c r="I1218" s="151"/>
      <c r="J1218" s="152">
        <v>42633.710138888891</v>
      </c>
      <c r="K1218" s="151"/>
      <c r="L1218" s="151" t="s">
        <v>1203</v>
      </c>
      <c r="M1218" s="152">
        <v>42632.442499999997</v>
      </c>
      <c r="N1218" s="151" t="s">
        <v>31</v>
      </c>
      <c r="O1218" s="151"/>
      <c r="P1218" s="151"/>
      <c r="Q1218" s="7" t="str">
        <f>IF(ISBLANK(patch[[#This Row],[OwnerEmail]]),Q1217,patch[[#This Row],[OwnerEmail]])</f>
        <v>zongx.li@intel.com</v>
      </c>
      <c r="R1218" s="7" t="str">
        <f>_xlfn.IFNA(VLOOKUP(patch[[#This Row],[tmp-owner.email]],OrgTree!$A:$K, 11, 0), "not ICG SWFW")</f>
        <v>BJ And dev</v>
      </c>
      <c r="S1218" s="7" t="str">
        <f>IF(patch[[#This Row],[reviewer]]=patch[[#This Row],[tmp-owner.email]], "author", _xlfn.IFNA(VLOOKUP(patch[[#This Row],[reviewer]],OrgTree!$A:$K, 11, 0), "not ICG SWFW"))</f>
        <v>BJ And dev</v>
      </c>
      <c r="T1218" s="7" t="str">
        <f>IF(ISBLANK(patch[[#This Row],[mergeDate]]), "", MID(YEAR(patch[[#This Row],[mergeDate]]), 3,2)&amp;"'ww"&amp;WEEKNUM(patch[[#This Row],[mergeDate]]))</f>
        <v>16'ww39</v>
      </c>
      <c r="U1218" s="7" t="str">
        <f>IF(ISBLANK(patch[[#This Row],[mergeDate]]), U1217, MID(YEAR(patch[[#This Row],[mergeDate]]), 3,2)&amp;"'m"&amp;MONTH(patch[[#This Row],[mergeDate]]))</f>
        <v>16'm9</v>
      </c>
      <c r="V1218" s="7" t="str">
        <f>IF(ISBLANK(patch[[#This Row],[project]]), "",SUM(patch[[#This Row],[BJ -1 num]:[SH -1 num]]))</f>
        <v/>
      </c>
      <c r="W1218" s="7" t="str">
        <f>IF(ISBLANK(patch[[#This Row],[project]]), "",COUNTIFS($A:$A,patch[[#This Row],[number]],$S:$S, "BJ And dev",$AC:$AC, "Review-1"))</f>
        <v/>
      </c>
      <c r="X1218" s="7" t="str">
        <f>IF(ISBLANK(patch[[#This Row],[project]]), "",COUNTIFS($A:$A,patch[[#This Row],[number]],$S:$S, "FL And dev",$AC:$AC, "Review-1"))</f>
        <v/>
      </c>
      <c r="Y1218" s="7" t="str">
        <f>IF(ISBLANK(patch[[#This Row],[project]]), "",COUNTIFS($A:$A,patch[[#This Row],[number]],$S:$S, "SH And dev",$AC:$AC, "Review-1"))</f>
        <v/>
      </c>
      <c r="Z1218" s="7" t="str">
        <f>IF(ISBLANK(patch[[#This Row],[project]]), "",COUNTIFS($A:$A,patch[[#This Row],[number]],$S:$S, "BJ And dev",$AD:$AD, "&lt;&gt;IntegratorValidationComment"))</f>
        <v/>
      </c>
      <c r="AA1218" s="7" t="str">
        <f>IF(ISBLANK(patch[[#This Row],[project]]), "",COUNTIFS($A:$A,patch[[#This Row],[number]],$S:$S, "FL And dev",$AD:$AD, "&lt;&gt;IntegratorValidationComment"))</f>
        <v/>
      </c>
      <c r="AB1218" s="7" t="str">
        <f>IF(ISBLANK(patch[[#This Row],[project]]), "",COUNTIFS($A:$A,patch[[#This Row],[number]],$S:$S, "SH And dev",$AD:$AD, "&lt;&gt;IntegratorValidationComment"))</f>
        <v/>
      </c>
      <c r="AC1218" s="7" t="str">
        <f>IF(OR(ISNUMBER(FIND("Review-1", patch[[#This Row],[comments]])), ISNUMBER(FIND("Approver-1", patch[[#This Row],[comments]]))), "Review-1", "")</f>
        <v/>
      </c>
      <c r="AD12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18" s="7">
        <f>IF(ISBLANK(patch[[#This Row],[number]]),AE1217,patch[[#This Row],[ifCommon]])</f>
        <v>0</v>
      </c>
    </row>
    <row r="1219" spans="1:31">
      <c r="A1219" s="151">
        <v>146127</v>
      </c>
      <c r="B1219" s="151"/>
      <c r="C1219" s="151"/>
      <c r="D1219" s="151"/>
      <c r="E1219" s="151"/>
      <c r="F1219" s="151"/>
      <c r="G1219" s="151"/>
      <c r="H1219" s="151"/>
      <c r="I1219" s="151"/>
      <c r="J1219" s="152">
        <v>42633.710138888891</v>
      </c>
      <c r="K1219" s="151"/>
      <c r="L1219" s="151" t="s">
        <v>59</v>
      </c>
      <c r="M1219" s="152">
        <v>42632.442511574067</v>
      </c>
      <c r="N1219" s="151" t="s">
        <v>3202</v>
      </c>
      <c r="O1219" s="151"/>
      <c r="P1219" s="151"/>
      <c r="Q1219" s="7" t="str">
        <f>IF(ISBLANK(patch[[#This Row],[OwnerEmail]]),Q1218,patch[[#This Row],[OwnerEmail]])</f>
        <v>zongx.li@intel.com</v>
      </c>
      <c r="R1219" s="7" t="str">
        <f>_xlfn.IFNA(VLOOKUP(patch[[#This Row],[tmp-owner.email]],OrgTree!$A:$K, 11, 0), "not ICG SWFW")</f>
        <v>BJ And dev</v>
      </c>
      <c r="S1219" s="7" t="str">
        <f>IF(patch[[#This Row],[reviewer]]=patch[[#This Row],[tmp-owner.email]], "author", _xlfn.IFNA(VLOOKUP(patch[[#This Row],[reviewer]],OrgTree!$A:$K, 11, 0), "not ICG SWFW"))</f>
        <v>BJ And dev</v>
      </c>
      <c r="T1219" s="7" t="str">
        <f>IF(ISBLANK(patch[[#This Row],[mergeDate]]), "", MID(YEAR(patch[[#This Row],[mergeDate]]), 3,2)&amp;"'ww"&amp;WEEKNUM(patch[[#This Row],[mergeDate]]))</f>
        <v>16'ww39</v>
      </c>
      <c r="U1219" s="7" t="str">
        <f>IF(ISBLANK(patch[[#This Row],[mergeDate]]), U1218, MID(YEAR(patch[[#This Row],[mergeDate]]), 3,2)&amp;"'m"&amp;MONTH(patch[[#This Row],[mergeDate]]))</f>
        <v>16'm9</v>
      </c>
      <c r="V1219" s="7" t="str">
        <f>IF(ISBLANK(patch[[#This Row],[project]]), "",SUM(patch[[#This Row],[BJ -1 num]:[SH -1 num]]))</f>
        <v/>
      </c>
      <c r="W1219" s="7" t="str">
        <f>IF(ISBLANK(patch[[#This Row],[project]]), "",COUNTIFS($A:$A,patch[[#This Row],[number]],$S:$S, "BJ And dev",$AC:$AC, "Review-1"))</f>
        <v/>
      </c>
      <c r="X1219" s="7" t="str">
        <f>IF(ISBLANK(patch[[#This Row],[project]]), "",COUNTIFS($A:$A,patch[[#This Row],[number]],$S:$S, "FL And dev",$AC:$AC, "Review-1"))</f>
        <v/>
      </c>
      <c r="Y1219" s="7" t="str">
        <f>IF(ISBLANK(patch[[#This Row],[project]]), "",COUNTIFS($A:$A,patch[[#This Row],[number]],$S:$S, "SH And dev",$AC:$AC, "Review-1"))</f>
        <v/>
      </c>
      <c r="Z1219" s="7" t="str">
        <f>IF(ISBLANK(patch[[#This Row],[project]]), "",COUNTIFS($A:$A,patch[[#This Row],[number]],$S:$S, "BJ And dev",$AD:$AD, "&lt;&gt;IntegratorValidationComment"))</f>
        <v/>
      </c>
      <c r="AA1219" s="7" t="str">
        <f>IF(ISBLANK(patch[[#This Row],[project]]), "",COUNTIFS($A:$A,patch[[#This Row],[number]],$S:$S, "FL And dev",$AD:$AD, "&lt;&gt;IntegratorValidationComment"))</f>
        <v/>
      </c>
      <c r="AB1219" s="7" t="str">
        <f>IF(ISBLANK(patch[[#This Row],[project]]), "",COUNTIFS($A:$A,patch[[#This Row],[number]],$S:$S, "SH And dev",$AD:$AD, "&lt;&gt;IntegratorValidationComment"))</f>
        <v/>
      </c>
      <c r="AC1219" s="7" t="str">
        <f>IF(OR(ISNUMBER(FIND("Review-1", patch[[#This Row],[comments]])), ISNUMBER(FIND("Approver-1", patch[[#This Row],[comments]]))), "Review-1", "")</f>
        <v/>
      </c>
      <c r="AD12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19" s="7">
        <f>IF(ISBLANK(patch[[#This Row],[number]]),AE1218,patch[[#This Row],[ifCommon]])</f>
        <v>0</v>
      </c>
    </row>
    <row r="1220" spans="1:31">
      <c r="A1220" s="151">
        <v>146127</v>
      </c>
      <c r="B1220" s="151"/>
      <c r="C1220" s="151"/>
      <c r="D1220" s="151"/>
      <c r="E1220" s="151"/>
      <c r="F1220" s="151"/>
      <c r="G1220" s="151"/>
      <c r="H1220" s="151"/>
      <c r="I1220" s="151"/>
      <c r="J1220" s="152">
        <v>42633.710138888891</v>
      </c>
      <c r="K1220" s="151"/>
      <c r="L1220" s="151" t="s">
        <v>59</v>
      </c>
      <c r="M1220" s="152">
        <v>42632.443993055553</v>
      </c>
      <c r="N1220" s="151" t="s">
        <v>3203</v>
      </c>
      <c r="O1220" s="151"/>
      <c r="P1220" s="151"/>
      <c r="Q1220" s="7" t="str">
        <f>IF(ISBLANK(patch[[#This Row],[OwnerEmail]]),Q1219,patch[[#This Row],[OwnerEmail]])</f>
        <v>zongx.li@intel.com</v>
      </c>
      <c r="R1220" s="7" t="str">
        <f>_xlfn.IFNA(VLOOKUP(patch[[#This Row],[tmp-owner.email]],OrgTree!$A:$K, 11, 0), "not ICG SWFW")</f>
        <v>BJ And dev</v>
      </c>
      <c r="S1220" s="7" t="str">
        <f>IF(patch[[#This Row],[reviewer]]=patch[[#This Row],[tmp-owner.email]], "author", _xlfn.IFNA(VLOOKUP(patch[[#This Row],[reviewer]],OrgTree!$A:$K, 11, 0), "not ICG SWFW"))</f>
        <v>BJ And dev</v>
      </c>
      <c r="T1220" s="7" t="str">
        <f>IF(ISBLANK(patch[[#This Row],[mergeDate]]), "", MID(YEAR(patch[[#This Row],[mergeDate]]), 3,2)&amp;"'ww"&amp;WEEKNUM(patch[[#This Row],[mergeDate]]))</f>
        <v>16'ww39</v>
      </c>
      <c r="U1220" s="7" t="str">
        <f>IF(ISBLANK(patch[[#This Row],[mergeDate]]), U1219, MID(YEAR(patch[[#This Row],[mergeDate]]), 3,2)&amp;"'m"&amp;MONTH(patch[[#This Row],[mergeDate]]))</f>
        <v>16'm9</v>
      </c>
      <c r="V1220" s="7" t="str">
        <f>IF(ISBLANK(patch[[#This Row],[project]]), "",SUM(patch[[#This Row],[BJ -1 num]:[SH -1 num]]))</f>
        <v/>
      </c>
      <c r="W1220" s="7" t="str">
        <f>IF(ISBLANK(patch[[#This Row],[project]]), "",COUNTIFS($A:$A,patch[[#This Row],[number]],$S:$S, "BJ And dev",$AC:$AC, "Review-1"))</f>
        <v/>
      </c>
      <c r="X1220" s="7" t="str">
        <f>IF(ISBLANK(patch[[#This Row],[project]]), "",COUNTIFS($A:$A,patch[[#This Row],[number]],$S:$S, "FL And dev",$AC:$AC, "Review-1"))</f>
        <v/>
      </c>
      <c r="Y1220" s="7" t="str">
        <f>IF(ISBLANK(patch[[#This Row],[project]]), "",COUNTIFS($A:$A,patch[[#This Row],[number]],$S:$S, "SH And dev",$AC:$AC, "Review-1"))</f>
        <v/>
      </c>
      <c r="Z1220" s="7" t="str">
        <f>IF(ISBLANK(patch[[#This Row],[project]]), "",COUNTIFS($A:$A,patch[[#This Row],[number]],$S:$S, "BJ And dev",$AD:$AD, "&lt;&gt;IntegratorValidationComment"))</f>
        <v/>
      </c>
      <c r="AA1220" s="7" t="str">
        <f>IF(ISBLANK(patch[[#This Row],[project]]), "",COUNTIFS($A:$A,patch[[#This Row],[number]],$S:$S, "FL And dev",$AD:$AD, "&lt;&gt;IntegratorValidationComment"))</f>
        <v/>
      </c>
      <c r="AB1220" s="7" t="str">
        <f>IF(ISBLANK(patch[[#This Row],[project]]), "",COUNTIFS($A:$A,patch[[#This Row],[number]],$S:$S, "SH And dev",$AD:$AD, "&lt;&gt;IntegratorValidationComment"))</f>
        <v/>
      </c>
      <c r="AC1220" s="7" t="str">
        <f>IF(OR(ISNUMBER(FIND("Review-1", patch[[#This Row],[comments]])), ISNUMBER(FIND("Approver-1", patch[[#This Row],[comments]]))), "Review-1", "")</f>
        <v/>
      </c>
      <c r="AD12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20" s="7">
        <f>IF(ISBLANK(patch[[#This Row],[number]]),AE1219,patch[[#This Row],[ifCommon]])</f>
        <v>0</v>
      </c>
    </row>
    <row r="1221" spans="1:31">
      <c r="A1221" s="151">
        <v>146127</v>
      </c>
      <c r="B1221" s="151"/>
      <c r="C1221" s="151"/>
      <c r="D1221" s="151"/>
      <c r="E1221" s="151"/>
      <c r="F1221" s="151"/>
      <c r="G1221" s="151"/>
      <c r="H1221" s="151"/>
      <c r="I1221" s="151"/>
      <c r="J1221" s="152">
        <v>42633.710138888891</v>
      </c>
      <c r="K1221" s="151"/>
      <c r="L1221" s="151" t="s">
        <v>63</v>
      </c>
      <c r="M1221" s="152">
        <v>42632.476111111107</v>
      </c>
      <c r="N1221" s="151" t="s">
        <v>2453</v>
      </c>
      <c r="O1221" s="151"/>
      <c r="P1221" s="151"/>
      <c r="Q1221" s="7" t="str">
        <f>IF(ISBLANK(patch[[#This Row],[OwnerEmail]]),Q1220,patch[[#This Row],[OwnerEmail]])</f>
        <v>zongx.li@intel.com</v>
      </c>
      <c r="R1221" s="7" t="str">
        <f>_xlfn.IFNA(VLOOKUP(patch[[#This Row],[tmp-owner.email]],OrgTree!$A:$K, 11, 0), "not ICG SWFW")</f>
        <v>BJ And dev</v>
      </c>
      <c r="S1221" s="7" t="str">
        <f>IF(patch[[#This Row],[reviewer]]=patch[[#This Row],[tmp-owner.email]], "author", _xlfn.IFNA(VLOOKUP(patch[[#This Row],[reviewer]],OrgTree!$A:$K, 11, 0), "not ICG SWFW"))</f>
        <v>author</v>
      </c>
      <c r="T1221" s="7" t="str">
        <f>IF(ISBLANK(patch[[#This Row],[mergeDate]]), "", MID(YEAR(patch[[#This Row],[mergeDate]]), 3,2)&amp;"'ww"&amp;WEEKNUM(patch[[#This Row],[mergeDate]]))</f>
        <v>16'ww39</v>
      </c>
      <c r="U1221" s="7" t="str">
        <f>IF(ISBLANK(patch[[#This Row],[mergeDate]]), U1220, MID(YEAR(patch[[#This Row],[mergeDate]]), 3,2)&amp;"'m"&amp;MONTH(patch[[#This Row],[mergeDate]]))</f>
        <v>16'm9</v>
      </c>
      <c r="V1221" s="7" t="str">
        <f>IF(ISBLANK(patch[[#This Row],[project]]), "",SUM(patch[[#This Row],[BJ -1 num]:[SH -1 num]]))</f>
        <v/>
      </c>
      <c r="W1221" s="7" t="str">
        <f>IF(ISBLANK(patch[[#This Row],[project]]), "",COUNTIFS($A:$A,patch[[#This Row],[number]],$S:$S, "BJ And dev",$AC:$AC, "Review-1"))</f>
        <v/>
      </c>
      <c r="X1221" s="7" t="str">
        <f>IF(ISBLANK(patch[[#This Row],[project]]), "",COUNTIFS($A:$A,patch[[#This Row],[number]],$S:$S, "FL And dev",$AC:$AC, "Review-1"))</f>
        <v/>
      </c>
      <c r="Y1221" s="7" t="str">
        <f>IF(ISBLANK(patch[[#This Row],[project]]), "",COUNTIFS($A:$A,patch[[#This Row],[number]],$S:$S, "SH And dev",$AC:$AC, "Review-1"))</f>
        <v/>
      </c>
      <c r="Z1221" s="7" t="str">
        <f>IF(ISBLANK(patch[[#This Row],[project]]), "",COUNTIFS($A:$A,patch[[#This Row],[number]],$S:$S, "BJ And dev",$AD:$AD, "&lt;&gt;IntegratorValidationComment"))</f>
        <v/>
      </c>
      <c r="AA1221" s="7" t="str">
        <f>IF(ISBLANK(patch[[#This Row],[project]]), "",COUNTIFS($A:$A,patch[[#This Row],[number]],$S:$S, "FL And dev",$AD:$AD, "&lt;&gt;IntegratorValidationComment"))</f>
        <v/>
      </c>
      <c r="AB1221" s="7" t="str">
        <f>IF(ISBLANK(patch[[#This Row],[project]]), "",COUNTIFS($A:$A,patch[[#This Row],[number]],$S:$S, "SH And dev",$AD:$AD, "&lt;&gt;IntegratorValidationComment"))</f>
        <v/>
      </c>
      <c r="AC1221" s="7" t="str">
        <f>IF(OR(ISNUMBER(FIND("Review-1", patch[[#This Row],[comments]])), ISNUMBER(FIND("Approver-1", patch[[#This Row],[comments]]))), "Review-1", "")</f>
        <v/>
      </c>
      <c r="AD12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21" s="7">
        <f>IF(ISBLANK(patch[[#This Row],[number]]),AE1220,patch[[#This Row],[ifCommon]])</f>
        <v>0</v>
      </c>
    </row>
    <row r="1222" spans="1:31">
      <c r="A1222" s="151">
        <v>146127</v>
      </c>
      <c r="B1222" s="151"/>
      <c r="C1222" s="151"/>
      <c r="D1222" s="151"/>
      <c r="E1222" s="151"/>
      <c r="F1222" s="151"/>
      <c r="G1222" s="151"/>
      <c r="H1222" s="151"/>
      <c r="I1222" s="151"/>
      <c r="J1222" s="152">
        <v>42633.710138888891</v>
      </c>
      <c r="K1222" s="151"/>
      <c r="L1222" s="151" t="s">
        <v>63</v>
      </c>
      <c r="M1222" s="152">
        <v>42632.476111111107</v>
      </c>
      <c r="N1222" s="151" t="s">
        <v>1855</v>
      </c>
      <c r="O1222" s="151"/>
      <c r="P1222" s="151"/>
      <c r="Q1222" s="7" t="str">
        <f>IF(ISBLANK(patch[[#This Row],[OwnerEmail]]),Q1221,patch[[#This Row],[OwnerEmail]])</f>
        <v>zongx.li@intel.com</v>
      </c>
      <c r="R1222" s="7" t="str">
        <f>_xlfn.IFNA(VLOOKUP(patch[[#This Row],[tmp-owner.email]],OrgTree!$A:$K, 11, 0), "not ICG SWFW")</f>
        <v>BJ And dev</v>
      </c>
      <c r="S1222" s="7" t="str">
        <f>IF(patch[[#This Row],[reviewer]]=patch[[#This Row],[tmp-owner.email]], "author", _xlfn.IFNA(VLOOKUP(patch[[#This Row],[reviewer]],OrgTree!$A:$K, 11, 0), "not ICG SWFW"))</f>
        <v>author</v>
      </c>
      <c r="T1222" s="7" t="str">
        <f>IF(ISBLANK(patch[[#This Row],[mergeDate]]), "", MID(YEAR(patch[[#This Row],[mergeDate]]), 3,2)&amp;"'ww"&amp;WEEKNUM(patch[[#This Row],[mergeDate]]))</f>
        <v>16'ww39</v>
      </c>
      <c r="U1222" s="7" t="str">
        <f>IF(ISBLANK(patch[[#This Row],[mergeDate]]), U1221, MID(YEAR(patch[[#This Row],[mergeDate]]), 3,2)&amp;"'m"&amp;MONTH(patch[[#This Row],[mergeDate]]))</f>
        <v>16'm9</v>
      </c>
      <c r="V1222" s="7" t="str">
        <f>IF(ISBLANK(patch[[#This Row],[project]]), "",SUM(patch[[#This Row],[BJ -1 num]:[SH -1 num]]))</f>
        <v/>
      </c>
      <c r="W1222" s="7" t="str">
        <f>IF(ISBLANK(patch[[#This Row],[project]]), "",COUNTIFS($A:$A,patch[[#This Row],[number]],$S:$S, "BJ And dev",$AC:$AC, "Review-1"))</f>
        <v/>
      </c>
      <c r="X1222" s="7" t="str">
        <f>IF(ISBLANK(patch[[#This Row],[project]]), "",COUNTIFS($A:$A,patch[[#This Row],[number]],$S:$S, "FL And dev",$AC:$AC, "Review-1"))</f>
        <v/>
      </c>
      <c r="Y1222" s="7" t="str">
        <f>IF(ISBLANK(patch[[#This Row],[project]]), "",COUNTIFS($A:$A,patch[[#This Row],[number]],$S:$S, "SH And dev",$AC:$AC, "Review-1"))</f>
        <v/>
      </c>
      <c r="Z1222" s="7" t="str">
        <f>IF(ISBLANK(patch[[#This Row],[project]]), "",COUNTIFS($A:$A,patch[[#This Row],[number]],$S:$S, "BJ And dev",$AD:$AD, "&lt;&gt;IntegratorValidationComment"))</f>
        <v/>
      </c>
      <c r="AA1222" s="7" t="str">
        <f>IF(ISBLANK(patch[[#This Row],[project]]), "",COUNTIFS($A:$A,patch[[#This Row],[number]],$S:$S, "FL And dev",$AD:$AD, "&lt;&gt;IntegratorValidationComment"))</f>
        <v/>
      </c>
      <c r="AB1222" s="7" t="str">
        <f>IF(ISBLANK(patch[[#This Row],[project]]), "",COUNTIFS($A:$A,patch[[#This Row],[number]],$S:$S, "SH And dev",$AD:$AD, "&lt;&gt;IntegratorValidationComment"))</f>
        <v/>
      </c>
      <c r="AC1222" s="7" t="str">
        <f>IF(OR(ISNUMBER(FIND("Review-1", patch[[#This Row],[comments]])), ISNUMBER(FIND("Approver-1", patch[[#This Row],[comments]]))), "Review-1", "")</f>
        <v/>
      </c>
      <c r="AD12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22" s="7">
        <f>IF(ISBLANK(patch[[#This Row],[number]]),AE1221,patch[[#This Row],[ifCommon]])</f>
        <v>0</v>
      </c>
    </row>
    <row r="1223" spans="1:31">
      <c r="A1223" s="151">
        <v>146127</v>
      </c>
      <c r="B1223" s="151"/>
      <c r="C1223" s="151"/>
      <c r="D1223" s="151"/>
      <c r="E1223" s="151"/>
      <c r="F1223" s="151"/>
      <c r="G1223" s="151"/>
      <c r="H1223" s="151"/>
      <c r="I1223" s="151"/>
      <c r="J1223" s="152">
        <v>42633.710138888891</v>
      </c>
      <c r="K1223" s="151"/>
      <c r="L1223" s="151" t="s">
        <v>63</v>
      </c>
      <c r="M1223" s="152">
        <v>42632.476412037038</v>
      </c>
      <c r="N1223" s="151" t="s">
        <v>1853</v>
      </c>
      <c r="O1223" s="151"/>
      <c r="P1223" s="151"/>
      <c r="Q1223" s="7" t="str">
        <f>IF(ISBLANK(patch[[#This Row],[OwnerEmail]]),Q1222,patch[[#This Row],[OwnerEmail]])</f>
        <v>zongx.li@intel.com</v>
      </c>
      <c r="R1223" s="7" t="str">
        <f>_xlfn.IFNA(VLOOKUP(patch[[#This Row],[tmp-owner.email]],OrgTree!$A:$K, 11, 0), "not ICG SWFW")</f>
        <v>BJ And dev</v>
      </c>
      <c r="S1223" s="7" t="str">
        <f>IF(patch[[#This Row],[reviewer]]=patch[[#This Row],[tmp-owner.email]], "author", _xlfn.IFNA(VLOOKUP(patch[[#This Row],[reviewer]],OrgTree!$A:$K, 11, 0), "not ICG SWFW"))</f>
        <v>author</v>
      </c>
      <c r="T1223" s="7" t="str">
        <f>IF(ISBLANK(patch[[#This Row],[mergeDate]]), "", MID(YEAR(patch[[#This Row],[mergeDate]]), 3,2)&amp;"'ww"&amp;WEEKNUM(patch[[#This Row],[mergeDate]]))</f>
        <v>16'ww39</v>
      </c>
      <c r="U1223" s="7" t="str">
        <f>IF(ISBLANK(patch[[#This Row],[mergeDate]]), U1222, MID(YEAR(patch[[#This Row],[mergeDate]]), 3,2)&amp;"'m"&amp;MONTH(patch[[#This Row],[mergeDate]]))</f>
        <v>16'm9</v>
      </c>
      <c r="V1223" s="7" t="str">
        <f>IF(ISBLANK(patch[[#This Row],[project]]), "",SUM(patch[[#This Row],[BJ -1 num]:[SH -1 num]]))</f>
        <v/>
      </c>
      <c r="W1223" s="7" t="str">
        <f>IF(ISBLANK(patch[[#This Row],[project]]), "",COUNTIFS($A:$A,patch[[#This Row],[number]],$S:$S, "BJ And dev",$AC:$AC, "Review-1"))</f>
        <v/>
      </c>
      <c r="X1223" s="7" t="str">
        <f>IF(ISBLANK(patch[[#This Row],[project]]), "",COUNTIFS($A:$A,patch[[#This Row],[number]],$S:$S, "FL And dev",$AC:$AC, "Review-1"))</f>
        <v/>
      </c>
      <c r="Y1223" s="7" t="str">
        <f>IF(ISBLANK(patch[[#This Row],[project]]), "",COUNTIFS($A:$A,patch[[#This Row],[number]],$S:$S, "SH And dev",$AC:$AC, "Review-1"))</f>
        <v/>
      </c>
      <c r="Z1223" s="7" t="str">
        <f>IF(ISBLANK(patch[[#This Row],[project]]), "",COUNTIFS($A:$A,patch[[#This Row],[number]],$S:$S, "BJ And dev",$AD:$AD, "&lt;&gt;IntegratorValidationComment"))</f>
        <v/>
      </c>
      <c r="AA1223" s="7" t="str">
        <f>IF(ISBLANK(patch[[#This Row],[project]]), "",COUNTIFS($A:$A,patch[[#This Row],[number]],$S:$S, "FL And dev",$AD:$AD, "&lt;&gt;IntegratorValidationComment"))</f>
        <v/>
      </c>
      <c r="AB1223" s="7" t="str">
        <f>IF(ISBLANK(patch[[#This Row],[project]]), "",COUNTIFS($A:$A,patch[[#This Row],[number]],$S:$S, "SH And dev",$AD:$AD, "&lt;&gt;IntegratorValidationComment"))</f>
        <v/>
      </c>
      <c r="AC1223" s="7" t="str">
        <f>IF(OR(ISNUMBER(FIND("Review-1", patch[[#This Row],[comments]])), ISNUMBER(FIND("Approver-1", patch[[#This Row],[comments]]))), "Review-1", "")</f>
        <v/>
      </c>
      <c r="AD12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23" s="7">
        <f>IF(ISBLANK(patch[[#This Row],[number]]),AE1222,patch[[#This Row],[ifCommon]])</f>
        <v>0</v>
      </c>
    </row>
    <row r="1224" spans="1:31">
      <c r="A1224" s="151">
        <v>146127</v>
      </c>
      <c r="B1224" s="151"/>
      <c r="C1224" s="151"/>
      <c r="D1224" s="151"/>
      <c r="E1224" s="151"/>
      <c r="F1224" s="151"/>
      <c r="G1224" s="151"/>
      <c r="H1224" s="151"/>
      <c r="I1224" s="152"/>
      <c r="J1224" s="152">
        <v>42633.710138888891</v>
      </c>
      <c r="K1224" s="151"/>
      <c r="L1224" s="151" t="s">
        <v>59</v>
      </c>
      <c r="M1224" s="152">
        <v>42632.480312500003</v>
      </c>
      <c r="N1224" s="151" t="s">
        <v>3204</v>
      </c>
      <c r="O1224" s="151"/>
      <c r="P1224" s="151"/>
      <c r="Q1224" s="7" t="str">
        <f>IF(ISBLANK(patch[[#This Row],[OwnerEmail]]),Q1223,patch[[#This Row],[OwnerEmail]])</f>
        <v>zongx.li@intel.com</v>
      </c>
      <c r="R1224" s="7" t="str">
        <f>_xlfn.IFNA(VLOOKUP(patch[[#This Row],[tmp-owner.email]],OrgTree!$A:$K, 11, 0), "not ICG SWFW")</f>
        <v>BJ And dev</v>
      </c>
      <c r="S1224" s="7" t="str">
        <f>IF(patch[[#This Row],[reviewer]]=patch[[#This Row],[tmp-owner.email]], "author", _xlfn.IFNA(VLOOKUP(patch[[#This Row],[reviewer]],OrgTree!$A:$K, 11, 0), "not ICG SWFW"))</f>
        <v>BJ And dev</v>
      </c>
      <c r="T1224" s="7" t="str">
        <f>IF(ISBLANK(patch[[#This Row],[mergeDate]]), "", MID(YEAR(patch[[#This Row],[mergeDate]]), 3,2)&amp;"'ww"&amp;WEEKNUM(patch[[#This Row],[mergeDate]]))</f>
        <v>16'ww39</v>
      </c>
      <c r="U1224" s="7" t="str">
        <f>IF(ISBLANK(patch[[#This Row],[mergeDate]]), U1223, MID(YEAR(patch[[#This Row],[mergeDate]]), 3,2)&amp;"'m"&amp;MONTH(patch[[#This Row],[mergeDate]]))</f>
        <v>16'm9</v>
      </c>
      <c r="V1224" s="7" t="str">
        <f>IF(ISBLANK(patch[[#This Row],[project]]), "",SUM(patch[[#This Row],[BJ -1 num]:[SH -1 num]]))</f>
        <v/>
      </c>
      <c r="W1224" s="7" t="str">
        <f>IF(ISBLANK(patch[[#This Row],[project]]), "",COUNTIFS($A:$A,patch[[#This Row],[number]],$S:$S, "BJ And dev",$AC:$AC, "Review-1"))</f>
        <v/>
      </c>
      <c r="X1224" s="7" t="str">
        <f>IF(ISBLANK(patch[[#This Row],[project]]), "",COUNTIFS($A:$A,patch[[#This Row],[number]],$S:$S, "FL And dev",$AC:$AC, "Review-1"))</f>
        <v/>
      </c>
      <c r="Y1224" s="7" t="str">
        <f>IF(ISBLANK(patch[[#This Row],[project]]), "",COUNTIFS($A:$A,patch[[#This Row],[number]],$S:$S, "SH And dev",$AC:$AC, "Review-1"))</f>
        <v/>
      </c>
      <c r="Z1224" s="7" t="str">
        <f>IF(ISBLANK(patch[[#This Row],[project]]), "",COUNTIFS($A:$A,patch[[#This Row],[number]],$S:$S, "BJ And dev",$AD:$AD, "&lt;&gt;IntegratorValidationComment"))</f>
        <v/>
      </c>
      <c r="AA1224" s="7" t="str">
        <f>IF(ISBLANK(patch[[#This Row],[project]]), "",COUNTIFS($A:$A,patch[[#This Row],[number]],$S:$S, "FL And dev",$AD:$AD, "&lt;&gt;IntegratorValidationComment"))</f>
        <v/>
      </c>
      <c r="AB1224" s="7" t="str">
        <f>IF(ISBLANK(patch[[#This Row],[project]]), "",COUNTIFS($A:$A,patch[[#This Row],[number]],$S:$S, "SH And dev",$AD:$AD, "&lt;&gt;IntegratorValidationComment"))</f>
        <v/>
      </c>
      <c r="AC1224" s="7" t="str">
        <f>IF(OR(ISNUMBER(FIND("Review-1", patch[[#This Row],[comments]])), ISNUMBER(FIND("Approver-1", patch[[#This Row],[comments]]))), "Review-1", "")</f>
        <v/>
      </c>
      <c r="AD12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24" s="7">
        <f>IF(ISBLANK(patch[[#This Row],[number]]),AE1223,patch[[#This Row],[ifCommon]])</f>
        <v>0</v>
      </c>
    </row>
    <row r="1225" spans="1:31">
      <c r="A1225" s="151">
        <v>146127</v>
      </c>
      <c r="B1225" s="151"/>
      <c r="C1225" s="151"/>
      <c r="D1225" s="151"/>
      <c r="E1225" s="151"/>
      <c r="F1225" s="151"/>
      <c r="G1225" s="151"/>
      <c r="H1225" s="151"/>
      <c r="I1225" s="151"/>
      <c r="J1225" s="152">
        <v>42633.710138888891</v>
      </c>
      <c r="K1225" s="151"/>
      <c r="L1225" s="151" t="s">
        <v>1203</v>
      </c>
      <c r="M1225" s="152">
        <v>42632.480381944442</v>
      </c>
      <c r="N1225" s="151" t="s">
        <v>1853</v>
      </c>
      <c r="O1225" s="151"/>
      <c r="P1225" s="151"/>
      <c r="Q1225" s="7" t="str">
        <f>IF(ISBLANK(patch[[#This Row],[OwnerEmail]]),Q1224,patch[[#This Row],[OwnerEmail]])</f>
        <v>zongx.li@intel.com</v>
      </c>
      <c r="R1225" s="7" t="str">
        <f>_xlfn.IFNA(VLOOKUP(patch[[#This Row],[tmp-owner.email]],OrgTree!$A:$K, 11, 0), "not ICG SWFW")</f>
        <v>BJ And dev</v>
      </c>
      <c r="S1225" s="7" t="str">
        <f>IF(patch[[#This Row],[reviewer]]=patch[[#This Row],[tmp-owner.email]], "author", _xlfn.IFNA(VLOOKUP(patch[[#This Row],[reviewer]],OrgTree!$A:$K, 11, 0), "not ICG SWFW"))</f>
        <v>BJ And dev</v>
      </c>
      <c r="T1225" s="7" t="str">
        <f>IF(ISBLANK(patch[[#This Row],[mergeDate]]), "", MID(YEAR(patch[[#This Row],[mergeDate]]), 3,2)&amp;"'ww"&amp;WEEKNUM(patch[[#This Row],[mergeDate]]))</f>
        <v>16'ww39</v>
      </c>
      <c r="U1225" s="7" t="str">
        <f>IF(ISBLANK(patch[[#This Row],[mergeDate]]), U1224, MID(YEAR(patch[[#This Row],[mergeDate]]), 3,2)&amp;"'m"&amp;MONTH(patch[[#This Row],[mergeDate]]))</f>
        <v>16'm9</v>
      </c>
      <c r="V1225" s="7" t="str">
        <f>IF(ISBLANK(patch[[#This Row],[project]]), "",SUM(patch[[#This Row],[BJ -1 num]:[SH -1 num]]))</f>
        <v/>
      </c>
      <c r="W1225" s="7" t="str">
        <f>IF(ISBLANK(patch[[#This Row],[project]]), "",COUNTIFS($A:$A,patch[[#This Row],[number]],$S:$S, "BJ And dev",$AC:$AC, "Review-1"))</f>
        <v/>
      </c>
      <c r="X1225" s="7" t="str">
        <f>IF(ISBLANK(patch[[#This Row],[project]]), "",COUNTIFS($A:$A,patch[[#This Row],[number]],$S:$S, "FL And dev",$AC:$AC, "Review-1"))</f>
        <v/>
      </c>
      <c r="Y1225" s="7" t="str">
        <f>IF(ISBLANK(patch[[#This Row],[project]]), "",COUNTIFS($A:$A,patch[[#This Row],[number]],$S:$S, "SH And dev",$AC:$AC, "Review-1"))</f>
        <v/>
      </c>
      <c r="Z1225" s="7" t="str">
        <f>IF(ISBLANK(patch[[#This Row],[project]]), "",COUNTIFS($A:$A,patch[[#This Row],[number]],$S:$S, "BJ And dev",$AD:$AD, "&lt;&gt;IntegratorValidationComment"))</f>
        <v/>
      </c>
      <c r="AA1225" s="7" t="str">
        <f>IF(ISBLANK(patch[[#This Row],[project]]), "",COUNTIFS($A:$A,patch[[#This Row],[number]],$S:$S, "FL And dev",$AD:$AD, "&lt;&gt;IntegratorValidationComment"))</f>
        <v/>
      </c>
      <c r="AB1225" s="7" t="str">
        <f>IF(ISBLANK(patch[[#This Row],[project]]), "",COUNTIFS($A:$A,patch[[#This Row],[number]],$S:$S, "SH And dev",$AD:$AD, "&lt;&gt;IntegratorValidationComment"))</f>
        <v/>
      </c>
      <c r="AC1225" s="7" t="str">
        <f>IF(OR(ISNUMBER(FIND("Review-1", patch[[#This Row],[comments]])), ISNUMBER(FIND("Approver-1", patch[[#This Row],[comments]]))), "Review-1", "")</f>
        <v/>
      </c>
      <c r="AD12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25" s="7">
        <f>IF(ISBLANK(patch[[#This Row],[number]]),AE1224,patch[[#This Row],[ifCommon]])</f>
        <v>0</v>
      </c>
    </row>
    <row r="1226" spans="1:31">
      <c r="A1226" s="151">
        <v>146127</v>
      </c>
      <c r="B1226" s="151"/>
      <c r="C1226" s="151"/>
      <c r="D1226" s="151"/>
      <c r="E1226" s="151"/>
      <c r="F1226" s="151"/>
      <c r="G1226" s="151"/>
      <c r="H1226" s="151"/>
      <c r="I1226" s="151"/>
      <c r="J1226" s="152">
        <v>42633.710138888891</v>
      </c>
      <c r="K1226" s="151"/>
      <c r="L1226" s="151" t="s">
        <v>59</v>
      </c>
      <c r="M1226" s="152">
        <v>42632.487754629627</v>
      </c>
      <c r="N1226" s="151" t="s">
        <v>3205</v>
      </c>
      <c r="O1226" s="151"/>
      <c r="P1226" s="151"/>
      <c r="Q1226" s="7" t="str">
        <f>IF(ISBLANK(patch[[#This Row],[OwnerEmail]]),Q1225,patch[[#This Row],[OwnerEmail]])</f>
        <v>zongx.li@intel.com</v>
      </c>
      <c r="R1226" s="7" t="str">
        <f>_xlfn.IFNA(VLOOKUP(patch[[#This Row],[tmp-owner.email]],OrgTree!$A:$K, 11, 0), "not ICG SWFW")</f>
        <v>BJ And dev</v>
      </c>
      <c r="S1226" s="7" t="str">
        <f>IF(patch[[#This Row],[reviewer]]=patch[[#This Row],[tmp-owner.email]], "author", _xlfn.IFNA(VLOOKUP(patch[[#This Row],[reviewer]],OrgTree!$A:$K, 11, 0), "not ICG SWFW"))</f>
        <v>BJ And dev</v>
      </c>
      <c r="T1226" s="7" t="str">
        <f>IF(ISBLANK(patch[[#This Row],[mergeDate]]), "", MID(YEAR(patch[[#This Row],[mergeDate]]), 3,2)&amp;"'ww"&amp;WEEKNUM(patch[[#This Row],[mergeDate]]))</f>
        <v>16'ww39</v>
      </c>
      <c r="U1226" s="7" t="str">
        <f>IF(ISBLANK(patch[[#This Row],[mergeDate]]), U1225, MID(YEAR(patch[[#This Row],[mergeDate]]), 3,2)&amp;"'m"&amp;MONTH(patch[[#This Row],[mergeDate]]))</f>
        <v>16'm9</v>
      </c>
      <c r="V1226" s="7" t="str">
        <f>IF(ISBLANK(patch[[#This Row],[project]]), "",SUM(patch[[#This Row],[BJ -1 num]:[SH -1 num]]))</f>
        <v/>
      </c>
      <c r="W1226" s="7" t="str">
        <f>IF(ISBLANK(patch[[#This Row],[project]]), "",COUNTIFS($A:$A,patch[[#This Row],[number]],$S:$S, "BJ And dev",$AC:$AC, "Review-1"))</f>
        <v/>
      </c>
      <c r="X1226" s="7" t="str">
        <f>IF(ISBLANK(patch[[#This Row],[project]]), "",COUNTIFS($A:$A,patch[[#This Row],[number]],$S:$S, "FL And dev",$AC:$AC, "Review-1"))</f>
        <v/>
      </c>
      <c r="Y1226" s="7" t="str">
        <f>IF(ISBLANK(patch[[#This Row],[project]]), "",COUNTIFS($A:$A,patch[[#This Row],[number]],$S:$S, "SH And dev",$AC:$AC, "Review-1"))</f>
        <v/>
      </c>
      <c r="Z1226" s="7" t="str">
        <f>IF(ISBLANK(patch[[#This Row],[project]]), "",COUNTIFS($A:$A,patch[[#This Row],[number]],$S:$S, "BJ And dev",$AD:$AD, "&lt;&gt;IntegratorValidationComment"))</f>
        <v/>
      </c>
      <c r="AA1226" s="7" t="str">
        <f>IF(ISBLANK(patch[[#This Row],[project]]), "",COUNTIFS($A:$A,patch[[#This Row],[number]],$S:$S, "FL And dev",$AD:$AD, "&lt;&gt;IntegratorValidationComment"))</f>
        <v/>
      </c>
      <c r="AB1226" s="7" t="str">
        <f>IF(ISBLANK(patch[[#This Row],[project]]), "",COUNTIFS($A:$A,patch[[#This Row],[number]],$S:$S, "SH And dev",$AD:$AD, "&lt;&gt;IntegratorValidationComment"))</f>
        <v/>
      </c>
      <c r="AC1226" s="7" t="str">
        <f>IF(OR(ISNUMBER(FIND("Review-1", patch[[#This Row],[comments]])), ISNUMBER(FIND("Approver-1", patch[[#This Row],[comments]]))), "Review-1", "")</f>
        <v/>
      </c>
      <c r="AD12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26" s="7">
        <f>IF(ISBLANK(patch[[#This Row],[number]]),AE1225,patch[[#This Row],[ifCommon]])</f>
        <v>0</v>
      </c>
    </row>
    <row r="1227" spans="1:31">
      <c r="A1227" s="151">
        <v>146127</v>
      </c>
      <c r="B1227" s="151"/>
      <c r="C1227" s="151"/>
      <c r="D1227" s="151"/>
      <c r="E1227" s="151"/>
      <c r="F1227" s="151"/>
      <c r="G1227" s="151"/>
      <c r="H1227" s="151"/>
      <c r="I1227" s="151"/>
      <c r="J1227" s="152">
        <v>42633.710138888891</v>
      </c>
      <c r="K1227" s="151"/>
      <c r="L1227" s="151" t="s">
        <v>32</v>
      </c>
      <c r="M1227" s="152">
        <v>42632.490520833337</v>
      </c>
      <c r="N1227" s="151" t="s">
        <v>2486</v>
      </c>
      <c r="O1227" s="151"/>
      <c r="P1227" s="151"/>
      <c r="Q1227" s="7" t="str">
        <f>IF(ISBLANK(patch[[#This Row],[OwnerEmail]]),Q1226,patch[[#This Row],[OwnerEmail]])</f>
        <v>zongx.li@intel.com</v>
      </c>
      <c r="R1227" s="7" t="str">
        <f>_xlfn.IFNA(VLOOKUP(patch[[#This Row],[tmp-owner.email]],OrgTree!$A:$K, 11, 0), "not ICG SWFW")</f>
        <v>BJ And dev</v>
      </c>
      <c r="S1227" s="7" t="str">
        <f>IF(patch[[#This Row],[reviewer]]=patch[[#This Row],[tmp-owner.email]], "author", _xlfn.IFNA(VLOOKUP(patch[[#This Row],[reviewer]],OrgTree!$A:$K, 11, 0), "not ICG SWFW"))</f>
        <v>BJ And dev</v>
      </c>
      <c r="T1227" s="7" t="str">
        <f>IF(ISBLANK(patch[[#This Row],[mergeDate]]), "", MID(YEAR(patch[[#This Row],[mergeDate]]), 3,2)&amp;"'ww"&amp;WEEKNUM(patch[[#This Row],[mergeDate]]))</f>
        <v>16'ww39</v>
      </c>
      <c r="U1227" s="7" t="str">
        <f>IF(ISBLANK(patch[[#This Row],[mergeDate]]), U1226, MID(YEAR(patch[[#This Row],[mergeDate]]), 3,2)&amp;"'m"&amp;MONTH(patch[[#This Row],[mergeDate]]))</f>
        <v>16'm9</v>
      </c>
      <c r="V1227" s="7" t="str">
        <f>IF(ISBLANK(patch[[#This Row],[project]]), "",SUM(patch[[#This Row],[BJ -1 num]:[SH -1 num]]))</f>
        <v/>
      </c>
      <c r="W1227" s="7" t="str">
        <f>IF(ISBLANK(patch[[#This Row],[project]]), "",COUNTIFS($A:$A,patch[[#This Row],[number]],$S:$S, "BJ And dev",$AC:$AC, "Review-1"))</f>
        <v/>
      </c>
      <c r="X1227" s="7" t="str">
        <f>IF(ISBLANK(patch[[#This Row],[project]]), "",COUNTIFS($A:$A,patch[[#This Row],[number]],$S:$S, "FL And dev",$AC:$AC, "Review-1"))</f>
        <v/>
      </c>
      <c r="Y1227" s="7" t="str">
        <f>IF(ISBLANK(patch[[#This Row],[project]]), "",COUNTIFS($A:$A,patch[[#This Row],[number]],$S:$S, "SH And dev",$AC:$AC, "Review-1"))</f>
        <v/>
      </c>
      <c r="Z1227" s="7" t="str">
        <f>IF(ISBLANK(patch[[#This Row],[project]]), "",COUNTIFS($A:$A,patch[[#This Row],[number]],$S:$S, "BJ And dev",$AD:$AD, "&lt;&gt;IntegratorValidationComment"))</f>
        <v/>
      </c>
      <c r="AA1227" s="7" t="str">
        <f>IF(ISBLANK(patch[[#This Row],[project]]), "",COUNTIFS($A:$A,patch[[#This Row],[number]],$S:$S, "FL And dev",$AD:$AD, "&lt;&gt;IntegratorValidationComment"))</f>
        <v/>
      </c>
      <c r="AB1227" s="7" t="str">
        <f>IF(ISBLANK(patch[[#This Row],[project]]), "",COUNTIFS($A:$A,patch[[#This Row],[number]],$S:$S, "SH And dev",$AD:$AD, "&lt;&gt;IntegratorValidationComment"))</f>
        <v/>
      </c>
      <c r="AC1227" s="7" t="str">
        <f>IF(OR(ISNUMBER(FIND("Review-1", patch[[#This Row],[comments]])), ISNUMBER(FIND("Approver-1", patch[[#This Row],[comments]]))), "Review-1", "")</f>
        <v/>
      </c>
      <c r="AD12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27" s="7">
        <f>IF(ISBLANK(patch[[#This Row],[number]]),AE1226,patch[[#This Row],[ifCommon]])</f>
        <v>0</v>
      </c>
    </row>
    <row r="1228" spans="1:31">
      <c r="A1228" s="151">
        <v>146127</v>
      </c>
      <c r="B1228" s="151"/>
      <c r="C1228" s="151"/>
      <c r="D1228" s="151"/>
      <c r="E1228" s="151"/>
      <c r="F1228" s="151"/>
      <c r="G1228" s="151"/>
      <c r="H1228" s="151"/>
      <c r="I1228" s="152"/>
      <c r="J1228" s="152">
        <v>42633.710138888891</v>
      </c>
      <c r="K1228" s="151"/>
      <c r="L1228" s="151" t="s">
        <v>115</v>
      </c>
      <c r="M1228" s="152">
        <v>42633.398506944453</v>
      </c>
      <c r="N1228" s="151" t="s">
        <v>2492</v>
      </c>
      <c r="O1228" s="151"/>
      <c r="P1228" s="151"/>
      <c r="Q1228" s="7" t="str">
        <f>IF(ISBLANK(patch[[#This Row],[OwnerEmail]]),Q1227,patch[[#This Row],[OwnerEmail]])</f>
        <v>zongx.li@intel.com</v>
      </c>
      <c r="R1228" s="7" t="str">
        <f>_xlfn.IFNA(VLOOKUP(patch[[#This Row],[tmp-owner.email]],OrgTree!$A:$K, 11, 0), "not ICG SWFW")</f>
        <v>BJ And dev</v>
      </c>
      <c r="S1228" s="7" t="str">
        <f>IF(patch[[#This Row],[reviewer]]=patch[[#This Row],[tmp-owner.email]], "author", _xlfn.IFNA(VLOOKUP(patch[[#This Row],[reviewer]],OrgTree!$A:$K, 11, 0), "not ICG SWFW"))</f>
        <v>Val</v>
      </c>
      <c r="T1228" s="7" t="str">
        <f>IF(ISBLANK(patch[[#This Row],[mergeDate]]), "", MID(YEAR(patch[[#This Row],[mergeDate]]), 3,2)&amp;"'ww"&amp;WEEKNUM(patch[[#This Row],[mergeDate]]))</f>
        <v>16'ww39</v>
      </c>
      <c r="U1228" s="7" t="str">
        <f>IF(ISBLANK(patch[[#This Row],[mergeDate]]), U1227, MID(YEAR(patch[[#This Row],[mergeDate]]), 3,2)&amp;"'m"&amp;MONTH(patch[[#This Row],[mergeDate]]))</f>
        <v>16'm9</v>
      </c>
      <c r="V1228" s="7" t="str">
        <f>IF(ISBLANK(patch[[#This Row],[project]]), "",SUM(patch[[#This Row],[BJ -1 num]:[SH -1 num]]))</f>
        <v/>
      </c>
      <c r="W1228" s="7" t="str">
        <f>IF(ISBLANK(patch[[#This Row],[project]]), "",COUNTIFS($A:$A,patch[[#This Row],[number]],$S:$S, "BJ And dev",$AC:$AC, "Review-1"))</f>
        <v/>
      </c>
      <c r="X1228" s="7" t="str">
        <f>IF(ISBLANK(patch[[#This Row],[project]]), "",COUNTIFS($A:$A,patch[[#This Row],[number]],$S:$S, "FL And dev",$AC:$AC, "Review-1"))</f>
        <v/>
      </c>
      <c r="Y1228" s="7" t="str">
        <f>IF(ISBLANK(patch[[#This Row],[project]]), "",COUNTIFS($A:$A,patch[[#This Row],[number]],$S:$S, "SH And dev",$AC:$AC, "Review-1"))</f>
        <v/>
      </c>
      <c r="Z1228" s="7" t="str">
        <f>IF(ISBLANK(patch[[#This Row],[project]]), "",COUNTIFS($A:$A,patch[[#This Row],[number]],$S:$S, "BJ And dev",$AD:$AD, "&lt;&gt;IntegratorValidationComment"))</f>
        <v/>
      </c>
      <c r="AA1228" s="7" t="str">
        <f>IF(ISBLANK(patch[[#This Row],[project]]), "",COUNTIFS($A:$A,patch[[#This Row],[number]],$S:$S, "FL And dev",$AD:$AD, "&lt;&gt;IntegratorValidationComment"))</f>
        <v/>
      </c>
      <c r="AB1228" s="7" t="str">
        <f>IF(ISBLANK(patch[[#This Row],[project]]), "",COUNTIFS($A:$A,patch[[#This Row],[number]],$S:$S, "SH And dev",$AD:$AD, "&lt;&gt;IntegratorValidationComment"))</f>
        <v/>
      </c>
      <c r="AC1228" s="7" t="str">
        <f>IF(OR(ISNUMBER(FIND("Review-1", patch[[#This Row],[comments]])), ISNUMBER(FIND("Approver-1", patch[[#This Row],[comments]]))), "Review-1", "")</f>
        <v/>
      </c>
      <c r="AD12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228" s="7">
        <f>IF(ISBLANK(patch[[#This Row],[number]]),AE1227,patch[[#This Row],[ifCommon]])</f>
        <v>0</v>
      </c>
    </row>
    <row r="1229" spans="1:31">
      <c r="A1229" s="151">
        <v>146214</v>
      </c>
      <c r="B1229" s="151" t="s">
        <v>2490</v>
      </c>
      <c r="C1229" s="151" t="s">
        <v>2491</v>
      </c>
      <c r="D1229" s="151" t="s">
        <v>3034</v>
      </c>
      <c r="E1229" s="151" t="s">
        <v>59</v>
      </c>
      <c r="F1229" s="151" t="s">
        <v>23</v>
      </c>
      <c r="G1229" s="151" t="s">
        <v>3035</v>
      </c>
      <c r="H1229" s="151" t="s">
        <v>3036</v>
      </c>
      <c r="I1229" s="152">
        <v>42632.518229166657</v>
      </c>
      <c r="J1229" s="152">
        <v>42633.710034722222</v>
      </c>
      <c r="K1229" s="151" t="s">
        <v>2445</v>
      </c>
      <c r="L1229" s="151" t="s">
        <v>59</v>
      </c>
      <c r="M1229" s="152">
        <v>42632.518229166657</v>
      </c>
      <c r="N1229" s="151" t="s">
        <v>2428</v>
      </c>
      <c r="O1229" s="151"/>
      <c r="P1229" s="151" t="s">
        <v>3206</v>
      </c>
      <c r="Q1229" s="7" t="str">
        <f>IF(ISBLANK(patch[[#This Row],[OwnerEmail]]),Q1228,patch[[#This Row],[OwnerEmail]])</f>
        <v>xiaozhou.liu@intel.com</v>
      </c>
      <c r="R1229" s="7" t="str">
        <f>_xlfn.IFNA(VLOOKUP(patch[[#This Row],[tmp-owner.email]],OrgTree!$A:$K, 11, 0), "not ICG SWFW")</f>
        <v>BJ And dev</v>
      </c>
      <c r="S1229" s="7" t="str">
        <f>IF(patch[[#This Row],[reviewer]]=patch[[#This Row],[tmp-owner.email]], "author", _xlfn.IFNA(VLOOKUP(patch[[#This Row],[reviewer]],OrgTree!$A:$K, 11, 0), "not ICG SWFW"))</f>
        <v>author</v>
      </c>
      <c r="T1229" s="7" t="str">
        <f>IF(ISBLANK(patch[[#This Row],[mergeDate]]), "", MID(YEAR(patch[[#This Row],[mergeDate]]), 3,2)&amp;"'ww"&amp;WEEKNUM(patch[[#This Row],[mergeDate]]))</f>
        <v>16'ww39</v>
      </c>
      <c r="U1229" s="7" t="str">
        <f>IF(ISBLANK(patch[[#This Row],[mergeDate]]), U1228, MID(YEAR(patch[[#This Row],[mergeDate]]), 3,2)&amp;"'m"&amp;MONTH(patch[[#This Row],[mergeDate]]))</f>
        <v>16'm9</v>
      </c>
      <c r="V1229" s="7">
        <f>IF(ISBLANK(patch[[#This Row],[project]]), "",SUM(patch[[#This Row],[BJ -1 num]:[SH -1 num]]))</f>
        <v>0</v>
      </c>
      <c r="W1229" s="7">
        <f>IF(ISBLANK(patch[[#This Row],[project]]), "",COUNTIFS($A:$A,patch[[#This Row],[number]],$S:$S, "BJ And dev",$AC:$AC, "Review-1"))</f>
        <v>0</v>
      </c>
      <c r="X1229" s="7">
        <f>IF(ISBLANK(patch[[#This Row],[project]]), "",COUNTIFS($A:$A,patch[[#This Row],[number]],$S:$S, "FL And dev",$AC:$AC, "Review-1"))</f>
        <v>0</v>
      </c>
      <c r="Y1229" s="7">
        <f>IF(ISBLANK(patch[[#This Row],[project]]), "",COUNTIFS($A:$A,patch[[#This Row],[number]],$S:$S, "SH And dev",$AC:$AC, "Review-1"))</f>
        <v>0</v>
      </c>
      <c r="Z1229" s="7">
        <f>IF(ISBLANK(patch[[#This Row],[project]]), "",COUNTIFS($A:$A,patch[[#This Row],[number]],$S:$S, "BJ And dev",$AD:$AD, "&lt;&gt;IntegratorValidationComment"))</f>
        <v>2</v>
      </c>
      <c r="AA1229" s="7">
        <f>IF(ISBLANK(patch[[#This Row],[project]]), "",COUNTIFS($A:$A,patch[[#This Row],[number]],$S:$S, "FL And dev",$AD:$AD, "&lt;&gt;IntegratorValidationComment"))</f>
        <v>0</v>
      </c>
      <c r="AB1229" s="7">
        <f>IF(ISBLANK(patch[[#This Row],[project]]), "",COUNTIFS($A:$A,patch[[#This Row],[number]],$S:$S, "SH And dev",$AD:$AD, "&lt;&gt;IntegratorValidationComment"))</f>
        <v>0</v>
      </c>
      <c r="AC1229" s="7" t="str">
        <f>IF(OR(ISNUMBER(FIND("Review-1", patch[[#This Row],[comments]])), ISNUMBER(FIND("Approver-1", patch[[#This Row],[comments]]))), "Review-1", "")</f>
        <v/>
      </c>
      <c r="AD12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29" s="7" t="str">
        <f>IF(ISBLANK(patch[[#This Row],[number]]),AE1228,patch[[#This Row],[ifCommon]])</f>
        <v>not AndrHAL</v>
      </c>
    </row>
    <row r="1230" spans="1:31">
      <c r="A1230" s="151">
        <v>146214</v>
      </c>
      <c r="B1230" s="151"/>
      <c r="C1230" s="151"/>
      <c r="D1230" s="151"/>
      <c r="E1230" s="151"/>
      <c r="F1230" s="151"/>
      <c r="G1230" s="151"/>
      <c r="H1230" s="151"/>
      <c r="I1230" s="151"/>
      <c r="J1230" s="152">
        <v>42633.710034722222</v>
      </c>
      <c r="K1230" s="151"/>
      <c r="L1230" s="151" t="s">
        <v>59</v>
      </c>
      <c r="M1230" s="152">
        <v>42632.518229166657</v>
      </c>
      <c r="N1230" s="151" t="s">
        <v>25</v>
      </c>
      <c r="O1230" s="151"/>
      <c r="P1230" s="151"/>
      <c r="Q1230" s="7" t="str">
        <f>IF(ISBLANK(patch[[#This Row],[OwnerEmail]]),Q1229,patch[[#This Row],[OwnerEmail]])</f>
        <v>xiaozhou.liu@intel.com</v>
      </c>
      <c r="R1230" s="7" t="str">
        <f>_xlfn.IFNA(VLOOKUP(patch[[#This Row],[tmp-owner.email]],OrgTree!$A:$K, 11, 0), "not ICG SWFW")</f>
        <v>BJ And dev</v>
      </c>
      <c r="S1230" s="7" t="str">
        <f>IF(patch[[#This Row],[reviewer]]=patch[[#This Row],[tmp-owner.email]], "author", _xlfn.IFNA(VLOOKUP(patch[[#This Row],[reviewer]],OrgTree!$A:$K, 11, 0), "not ICG SWFW"))</f>
        <v>author</v>
      </c>
      <c r="T1230" s="7" t="str">
        <f>IF(ISBLANK(patch[[#This Row],[mergeDate]]), "", MID(YEAR(patch[[#This Row],[mergeDate]]), 3,2)&amp;"'ww"&amp;WEEKNUM(patch[[#This Row],[mergeDate]]))</f>
        <v>16'ww39</v>
      </c>
      <c r="U1230" s="7" t="str">
        <f>IF(ISBLANK(patch[[#This Row],[mergeDate]]), U1229, MID(YEAR(patch[[#This Row],[mergeDate]]), 3,2)&amp;"'m"&amp;MONTH(patch[[#This Row],[mergeDate]]))</f>
        <v>16'm9</v>
      </c>
      <c r="V1230" s="7" t="str">
        <f>IF(ISBLANK(patch[[#This Row],[project]]), "",SUM(patch[[#This Row],[BJ -1 num]:[SH -1 num]]))</f>
        <v/>
      </c>
      <c r="W1230" s="7" t="str">
        <f>IF(ISBLANK(patch[[#This Row],[project]]), "",COUNTIFS($A:$A,patch[[#This Row],[number]],$S:$S, "BJ And dev",$AC:$AC, "Review-1"))</f>
        <v/>
      </c>
      <c r="X1230" s="7" t="str">
        <f>IF(ISBLANK(patch[[#This Row],[project]]), "",COUNTIFS($A:$A,patch[[#This Row],[number]],$S:$S, "FL And dev",$AC:$AC, "Review-1"))</f>
        <v/>
      </c>
      <c r="Y1230" s="7" t="str">
        <f>IF(ISBLANK(patch[[#This Row],[project]]), "",COUNTIFS($A:$A,patch[[#This Row],[number]],$S:$S, "SH And dev",$AC:$AC, "Review-1"))</f>
        <v/>
      </c>
      <c r="Z1230" s="7" t="str">
        <f>IF(ISBLANK(patch[[#This Row],[project]]), "",COUNTIFS($A:$A,patch[[#This Row],[number]],$S:$S, "BJ And dev",$AD:$AD, "&lt;&gt;IntegratorValidationComment"))</f>
        <v/>
      </c>
      <c r="AA1230" s="7" t="str">
        <f>IF(ISBLANK(patch[[#This Row],[project]]), "",COUNTIFS($A:$A,patch[[#This Row],[number]],$S:$S, "FL And dev",$AD:$AD, "&lt;&gt;IntegratorValidationComment"))</f>
        <v/>
      </c>
      <c r="AB1230" s="7" t="str">
        <f>IF(ISBLANK(patch[[#This Row],[project]]), "",COUNTIFS($A:$A,patch[[#This Row],[number]],$S:$S, "SH And dev",$AD:$AD, "&lt;&gt;IntegratorValidationComment"))</f>
        <v/>
      </c>
      <c r="AC1230" s="7" t="str">
        <f>IF(OR(ISNUMBER(FIND("Review-1", patch[[#This Row],[comments]])), ISNUMBER(FIND("Approver-1", patch[[#This Row],[comments]]))), "Review-1", "")</f>
        <v/>
      </c>
      <c r="AD12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30" s="7">
        <f>IF(ISBLANK(patch[[#This Row],[number]]),AE1229,patch[[#This Row],[ifCommon]])</f>
        <v>0</v>
      </c>
    </row>
    <row r="1231" spans="1:31">
      <c r="A1231" s="151">
        <v>146214</v>
      </c>
      <c r="B1231" s="151"/>
      <c r="C1231" s="151"/>
      <c r="D1231" s="151"/>
      <c r="E1231" s="151"/>
      <c r="F1231" s="151"/>
      <c r="G1231" s="151"/>
      <c r="H1231" s="151"/>
      <c r="I1231" s="151"/>
      <c r="J1231" s="152">
        <v>42633.710034722222</v>
      </c>
      <c r="K1231" s="151"/>
      <c r="L1231" s="151" t="s">
        <v>59</v>
      </c>
      <c r="M1231" s="152">
        <v>42632.519513888888</v>
      </c>
      <c r="N1231" s="151" t="s">
        <v>40</v>
      </c>
      <c r="O1231" s="151"/>
      <c r="P1231" s="151"/>
      <c r="Q1231" s="7" t="str">
        <f>IF(ISBLANK(patch[[#This Row],[OwnerEmail]]),Q1230,patch[[#This Row],[OwnerEmail]])</f>
        <v>xiaozhou.liu@intel.com</v>
      </c>
      <c r="R1231" s="7" t="str">
        <f>_xlfn.IFNA(VLOOKUP(patch[[#This Row],[tmp-owner.email]],OrgTree!$A:$K, 11, 0), "not ICG SWFW")</f>
        <v>BJ And dev</v>
      </c>
      <c r="S1231" s="7" t="str">
        <f>IF(patch[[#This Row],[reviewer]]=patch[[#This Row],[tmp-owner.email]], "author", _xlfn.IFNA(VLOOKUP(patch[[#This Row],[reviewer]],OrgTree!$A:$K, 11, 0), "not ICG SWFW"))</f>
        <v>author</v>
      </c>
      <c r="T1231" s="7" t="str">
        <f>IF(ISBLANK(patch[[#This Row],[mergeDate]]), "", MID(YEAR(patch[[#This Row],[mergeDate]]), 3,2)&amp;"'ww"&amp;WEEKNUM(patch[[#This Row],[mergeDate]]))</f>
        <v>16'ww39</v>
      </c>
      <c r="U1231" s="7" t="str">
        <f>IF(ISBLANK(patch[[#This Row],[mergeDate]]), U1230, MID(YEAR(patch[[#This Row],[mergeDate]]), 3,2)&amp;"'m"&amp;MONTH(patch[[#This Row],[mergeDate]]))</f>
        <v>16'm9</v>
      </c>
      <c r="V1231" s="7" t="str">
        <f>IF(ISBLANK(patch[[#This Row],[project]]), "",SUM(patch[[#This Row],[BJ -1 num]:[SH -1 num]]))</f>
        <v/>
      </c>
      <c r="W1231" s="7" t="str">
        <f>IF(ISBLANK(patch[[#This Row],[project]]), "",COUNTIFS($A:$A,patch[[#This Row],[number]],$S:$S, "BJ And dev",$AC:$AC, "Review-1"))</f>
        <v/>
      </c>
      <c r="X1231" s="7" t="str">
        <f>IF(ISBLANK(patch[[#This Row],[project]]), "",COUNTIFS($A:$A,patch[[#This Row],[number]],$S:$S, "FL And dev",$AC:$AC, "Review-1"))</f>
        <v/>
      </c>
      <c r="Y1231" s="7" t="str">
        <f>IF(ISBLANK(patch[[#This Row],[project]]), "",COUNTIFS($A:$A,patch[[#This Row],[number]],$S:$S, "SH And dev",$AC:$AC, "Review-1"))</f>
        <v/>
      </c>
      <c r="Z1231" s="7" t="str">
        <f>IF(ISBLANK(patch[[#This Row],[project]]), "",COUNTIFS($A:$A,patch[[#This Row],[number]],$S:$S, "BJ And dev",$AD:$AD, "&lt;&gt;IntegratorValidationComment"))</f>
        <v/>
      </c>
      <c r="AA1231" s="7" t="str">
        <f>IF(ISBLANK(patch[[#This Row],[project]]), "",COUNTIFS($A:$A,patch[[#This Row],[number]],$S:$S, "FL And dev",$AD:$AD, "&lt;&gt;IntegratorValidationComment"))</f>
        <v/>
      </c>
      <c r="AB1231" s="7" t="str">
        <f>IF(ISBLANK(patch[[#This Row],[project]]), "",COUNTIFS($A:$A,patch[[#This Row],[number]],$S:$S, "SH And dev",$AD:$AD, "&lt;&gt;IntegratorValidationComment"))</f>
        <v/>
      </c>
      <c r="AC1231" s="7" t="str">
        <f>IF(OR(ISNUMBER(FIND("Review-1", patch[[#This Row],[comments]])), ISNUMBER(FIND("Approver-1", patch[[#This Row],[comments]]))), "Review-1", "")</f>
        <v/>
      </c>
      <c r="AD12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31" s="7">
        <f>IF(ISBLANK(patch[[#This Row],[number]]),AE1230,patch[[#This Row],[ifCommon]])</f>
        <v>0</v>
      </c>
    </row>
    <row r="1232" spans="1:31">
      <c r="A1232" s="151">
        <v>146214</v>
      </c>
      <c r="B1232" s="151"/>
      <c r="C1232" s="151"/>
      <c r="D1232" s="151"/>
      <c r="E1232" s="151"/>
      <c r="F1232" s="151"/>
      <c r="G1232" s="151"/>
      <c r="H1232" s="151"/>
      <c r="I1232" s="151"/>
      <c r="J1232" s="152">
        <v>42633.710034722222</v>
      </c>
      <c r="K1232" s="151"/>
      <c r="L1232" s="151" t="s">
        <v>59</v>
      </c>
      <c r="M1232" s="152">
        <v>42632.522662037038</v>
      </c>
      <c r="N1232" s="151" t="s">
        <v>3207</v>
      </c>
      <c r="O1232" s="151"/>
      <c r="P1232" s="151"/>
      <c r="Q1232" s="7" t="str">
        <f>IF(ISBLANK(patch[[#This Row],[OwnerEmail]]),Q1231,patch[[#This Row],[OwnerEmail]])</f>
        <v>xiaozhou.liu@intel.com</v>
      </c>
      <c r="R1232" s="7" t="str">
        <f>_xlfn.IFNA(VLOOKUP(patch[[#This Row],[tmp-owner.email]],OrgTree!$A:$K, 11, 0), "not ICG SWFW")</f>
        <v>BJ And dev</v>
      </c>
      <c r="S1232" s="7" t="str">
        <f>IF(patch[[#This Row],[reviewer]]=patch[[#This Row],[tmp-owner.email]], "author", _xlfn.IFNA(VLOOKUP(patch[[#This Row],[reviewer]],OrgTree!$A:$K, 11, 0), "not ICG SWFW"))</f>
        <v>author</v>
      </c>
      <c r="T1232" s="7" t="str">
        <f>IF(ISBLANK(patch[[#This Row],[mergeDate]]), "", MID(YEAR(patch[[#This Row],[mergeDate]]), 3,2)&amp;"'ww"&amp;WEEKNUM(patch[[#This Row],[mergeDate]]))</f>
        <v>16'ww39</v>
      </c>
      <c r="U1232" s="7" t="str">
        <f>IF(ISBLANK(patch[[#This Row],[mergeDate]]), U1231, MID(YEAR(patch[[#This Row],[mergeDate]]), 3,2)&amp;"'m"&amp;MONTH(patch[[#This Row],[mergeDate]]))</f>
        <v>16'm9</v>
      </c>
      <c r="V1232" s="7" t="str">
        <f>IF(ISBLANK(patch[[#This Row],[project]]), "",SUM(patch[[#This Row],[BJ -1 num]:[SH -1 num]]))</f>
        <v/>
      </c>
      <c r="W1232" s="7" t="str">
        <f>IF(ISBLANK(patch[[#This Row],[project]]), "",COUNTIFS($A:$A,patch[[#This Row],[number]],$S:$S, "BJ And dev",$AC:$AC, "Review-1"))</f>
        <v/>
      </c>
      <c r="X1232" s="7" t="str">
        <f>IF(ISBLANK(patch[[#This Row],[project]]), "",COUNTIFS($A:$A,patch[[#This Row],[number]],$S:$S, "FL And dev",$AC:$AC, "Review-1"))</f>
        <v/>
      </c>
      <c r="Y1232" s="7" t="str">
        <f>IF(ISBLANK(patch[[#This Row],[project]]), "",COUNTIFS($A:$A,patch[[#This Row],[number]],$S:$S, "SH And dev",$AC:$AC, "Review-1"))</f>
        <v/>
      </c>
      <c r="Z1232" s="7" t="str">
        <f>IF(ISBLANK(patch[[#This Row],[project]]), "",COUNTIFS($A:$A,patch[[#This Row],[number]],$S:$S, "BJ And dev",$AD:$AD, "&lt;&gt;IntegratorValidationComment"))</f>
        <v/>
      </c>
      <c r="AA1232" s="7" t="str">
        <f>IF(ISBLANK(patch[[#This Row],[project]]), "",COUNTIFS($A:$A,patch[[#This Row],[number]],$S:$S, "FL And dev",$AD:$AD, "&lt;&gt;IntegratorValidationComment"))</f>
        <v/>
      </c>
      <c r="AB1232" s="7" t="str">
        <f>IF(ISBLANK(patch[[#This Row],[project]]), "",COUNTIFS($A:$A,patch[[#This Row],[number]],$S:$S, "SH And dev",$AD:$AD, "&lt;&gt;IntegratorValidationComment"))</f>
        <v/>
      </c>
      <c r="AC1232" s="7" t="str">
        <f>IF(OR(ISNUMBER(FIND("Review-1", patch[[#This Row],[comments]])), ISNUMBER(FIND("Approver-1", patch[[#This Row],[comments]]))), "Review-1", "")</f>
        <v/>
      </c>
      <c r="AD12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32" s="7">
        <f>IF(ISBLANK(patch[[#This Row],[number]]),AE1231,patch[[#This Row],[ifCommon]])</f>
        <v>0</v>
      </c>
    </row>
    <row r="1233" spans="1:31">
      <c r="A1233" s="151">
        <v>146214</v>
      </c>
      <c r="B1233" s="151"/>
      <c r="C1233" s="151"/>
      <c r="D1233" s="151"/>
      <c r="E1233" s="151"/>
      <c r="F1233" s="151"/>
      <c r="G1233" s="151"/>
      <c r="H1233" s="151"/>
      <c r="I1233" s="151"/>
      <c r="J1233" s="152">
        <v>42633.710034722222</v>
      </c>
      <c r="K1233" s="151"/>
      <c r="L1233" s="151" t="s">
        <v>59</v>
      </c>
      <c r="M1233" s="152">
        <v>42632.525682870371</v>
      </c>
      <c r="N1233" s="151" t="s">
        <v>3208</v>
      </c>
      <c r="O1233" s="151"/>
      <c r="P1233" s="151"/>
      <c r="Q1233" s="7" t="str">
        <f>IF(ISBLANK(patch[[#This Row],[OwnerEmail]]),Q1232,patch[[#This Row],[OwnerEmail]])</f>
        <v>xiaozhou.liu@intel.com</v>
      </c>
      <c r="R1233" s="7" t="str">
        <f>_xlfn.IFNA(VLOOKUP(patch[[#This Row],[tmp-owner.email]],OrgTree!$A:$K, 11, 0), "not ICG SWFW")</f>
        <v>BJ And dev</v>
      </c>
      <c r="S1233" s="7" t="str">
        <f>IF(patch[[#This Row],[reviewer]]=patch[[#This Row],[tmp-owner.email]], "author", _xlfn.IFNA(VLOOKUP(patch[[#This Row],[reviewer]],OrgTree!$A:$K, 11, 0), "not ICG SWFW"))</f>
        <v>author</v>
      </c>
      <c r="T1233" s="7" t="str">
        <f>IF(ISBLANK(patch[[#This Row],[mergeDate]]), "", MID(YEAR(patch[[#This Row],[mergeDate]]), 3,2)&amp;"'ww"&amp;WEEKNUM(patch[[#This Row],[mergeDate]]))</f>
        <v>16'ww39</v>
      </c>
      <c r="U1233" s="7" t="str">
        <f>IF(ISBLANK(patch[[#This Row],[mergeDate]]), U1232, MID(YEAR(patch[[#This Row],[mergeDate]]), 3,2)&amp;"'m"&amp;MONTH(patch[[#This Row],[mergeDate]]))</f>
        <v>16'm9</v>
      </c>
      <c r="V1233" s="7" t="str">
        <f>IF(ISBLANK(patch[[#This Row],[project]]), "",SUM(patch[[#This Row],[BJ -1 num]:[SH -1 num]]))</f>
        <v/>
      </c>
      <c r="W1233" s="7" t="str">
        <f>IF(ISBLANK(patch[[#This Row],[project]]), "",COUNTIFS($A:$A,patch[[#This Row],[number]],$S:$S, "BJ And dev",$AC:$AC, "Review-1"))</f>
        <v/>
      </c>
      <c r="X1233" s="7" t="str">
        <f>IF(ISBLANK(patch[[#This Row],[project]]), "",COUNTIFS($A:$A,patch[[#This Row],[number]],$S:$S, "FL And dev",$AC:$AC, "Review-1"))</f>
        <v/>
      </c>
      <c r="Y1233" s="7" t="str">
        <f>IF(ISBLANK(patch[[#This Row],[project]]), "",COUNTIFS($A:$A,patch[[#This Row],[number]],$S:$S, "SH And dev",$AC:$AC, "Review-1"))</f>
        <v/>
      </c>
      <c r="Z1233" s="7" t="str">
        <f>IF(ISBLANK(patch[[#This Row],[project]]), "",COUNTIFS($A:$A,patch[[#This Row],[number]],$S:$S, "BJ And dev",$AD:$AD, "&lt;&gt;IntegratorValidationComment"))</f>
        <v/>
      </c>
      <c r="AA1233" s="7" t="str">
        <f>IF(ISBLANK(patch[[#This Row],[project]]), "",COUNTIFS($A:$A,patch[[#This Row],[number]],$S:$S, "FL And dev",$AD:$AD, "&lt;&gt;IntegratorValidationComment"))</f>
        <v/>
      </c>
      <c r="AB1233" s="7" t="str">
        <f>IF(ISBLANK(patch[[#This Row],[project]]), "",COUNTIFS($A:$A,patch[[#This Row],[number]],$S:$S, "SH And dev",$AD:$AD, "&lt;&gt;IntegratorValidationComment"))</f>
        <v/>
      </c>
      <c r="AC1233" s="7" t="str">
        <f>IF(OR(ISNUMBER(FIND("Review-1", patch[[#This Row],[comments]])), ISNUMBER(FIND("Approver-1", patch[[#This Row],[comments]]))), "Review-1", "")</f>
        <v/>
      </c>
      <c r="AD12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33" s="7">
        <f>IF(ISBLANK(patch[[#This Row],[number]]),AE1232,patch[[#This Row],[ifCommon]])</f>
        <v>0</v>
      </c>
    </row>
    <row r="1234" spans="1:31">
      <c r="A1234" s="151">
        <v>146214</v>
      </c>
      <c r="B1234" s="151"/>
      <c r="C1234" s="151"/>
      <c r="D1234" s="151"/>
      <c r="E1234" s="151"/>
      <c r="F1234" s="151"/>
      <c r="G1234" s="151"/>
      <c r="H1234" s="151"/>
      <c r="I1234" s="151"/>
      <c r="J1234" s="152">
        <v>42633.710034722222</v>
      </c>
      <c r="K1234" s="151"/>
      <c r="L1234" s="151" t="s">
        <v>55</v>
      </c>
      <c r="M1234" s="152">
        <v>42632.58053240741</v>
      </c>
      <c r="N1234" s="151" t="s">
        <v>40</v>
      </c>
      <c r="O1234" s="151"/>
      <c r="P1234" s="151"/>
      <c r="Q1234" s="7" t="str">
        <f>IF(ISBLANK(patch[[#This Row],[OwnerEmail]]),Q1233,patch[[#This Row],[OwnerEmail]])</f>
        <v>xiaozhou.liu@intel.com</v>
      </c>
      <c r="R1234" s="7" t="str">
        <f>_xlfn.IFNA(VLOOKUP(patch[[#This Row],[tmp-owner.email]],OrgTree!$A:$K, 11, 0), "not ICG SWFW")</f>
        <v>BJ And dev</v>
      </c>
      <c r="S1234" s="7" t="str">
        <f>IF(patch[[#This Row],[reviewer]]=patch[[#This Row],[tmp-owner.email]], "author", _xlfn.IFNA(VLOOKUP(patch[[#This Row],[reviewer]],OrgTree!$A:$K, 11, 0), "not ICG SWFW"))</f>
        <v>BJ And dev</v>
      </c>
      <c r="T1234" s="7" t="str">
        <f>IF(ISBLANK(patch[[#This Row],[mergeDate]]), "", MID(YEAR(patch[[#This Row],[mergeDate]]), 3,2)&amp;"'ww"&amp;WEEKNUM(patch[[#This Row],[mergeDate]]))</f>
        <v>16'ww39</v>
      </c>
      <c r="U1234" s="7" t="str">
        <f>IF(ISBLANK(patch[[#This Row],[mergeDate]]), U1233, MID(YEAR(patch[[#This Row],[mergeDate]]), 3,2)&amp;"'m"&amp;MONTH(patch[[#This Row],[mergeDate]]))</f>
        <v>16'm9</v>
      </c>
      <c r="V1234" s="7" t="str">
        <f>IF(ISBLANK(patch[[#This Row],[project]]), "",SUM(patch[[#This Row],[BJ -1 num]:[SH -1 num]]))</f>
        <v/>
      </c>
      <c r="W1234" s="7" t="str">
        <f>IF(ISBLANK(patch[[#This Row],[project]]), "",COUNTIFS($A:$A,patch[[#This Row],[number]],$S:$S, "BJ And dev",$AC:$AC, "Review-1"))</f>
        <v/>
      </c>
      <c r="X1234" s="7" t="str">
        <f>IF(ISBLANK(patch[[#This Row],[project]]), "",COUNTIFS($A:$A,patch[[#This Row],[number]],$S:$S, "FL And dev",$AC:$AC, "Review-1"))</f>
        <v/>
      </c>
      <c r="Y1234" s="7" t="str">
        <f>IF(ISBLANK(patch[[#This Row],[project]]), "",COUNTIFS($A:$A,patch[[#This Row],[number]],$S:$S, "SH And dev",$AC:$AC, "Review-1"))</f>
        <v/>
      </c>
      <c r="Z1234" s="7" t="str">
        <f>IF(ISBLANK(patch[[#This Row],[project]]), "",COUNTIFS($A:$A,patch[[#This Row],[number]],$S:$S, "BJ And dev",$AD:$AD, "&lt;&gt;IntegratorValidationComment"))</f>
        <v/>
      </c>
      <c r="AA1234" s="7" t="str">
        <f>IF(ISBLANK(patch[[#This Row],[project]]), "",COUNTIFS($A:$A,patch[[#This Row],[number]],$S:$S, "FL And dev",$AD:$AD, "&lt;&gt;IntegratorValidationComment"))</f>
        <v/>
      </c>
      <c r="AB1234" s="7" t="str">
        <f>IF(ISBLANK(patch[[#This Row],[project]]), "",COUNTIFS($A:$A,patch[[#This Row],[number]],$S:$S, "SH And dev",$AD:$AD, "&lt;&gt;IntegratorValidationComment"))</f>
        <v/>
      </c>
      <c r="AC1234" s="7" t="str">
        <f>IF(OR(ISNUMBER(FIND("Review-1", patch[[#This Row],[comments]])), ISNUMBER(FIND("Approver-1", patch[[#This Row],[comments]]))), "Review-1", "")</f>
        <v/>
      </c>
      <c r="AD12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34" s="7">
        <f>IF(ISBLANK(patch[[#This Row],[number]]),AE1233,patch[[#This Row],[ifCommon]])</f>
        <v>0</v>
      </c>
    </row>
    <row r="1235" spans="1:31">
      <c r="A1235" s="151">
        <v>146214</v>
      </c>
      <c r="B1235" s="151"/>
      <c r="C1235" s="151"/>
      <c r="D1235" s="151"/>
      <c r="E1235" s="151"/>
      <c r="F1235" s="151"/>
      <c r="G1235" s="151"/>
      <c r="H1235" s="151"/>
      <c r="I1235" s="151"/>
      <c r="J1235" s="152">
        <v>42633.710034722222</v>
      </c>
      <c r="K1235" s="151"/>
      <c r="L1235" s="151" t="s">
        <v>24</v>
      </c>
      <c r="M1235" s="152">
        <v>42632.706585648149</v>
      </c>
      <c r="N1235" s="151" t="s">
        <v>1880</v>
      </c>
      <c r="O1235" s="151"/>
      <c r="P1235" s="151"/>
      <c r="Q1235" s="7" t="str">
        <f>IF(ISBLANK(patch[[#This Row],[OwnerEmail]]),Q1234,patch[[#This Row],[OwnerEmail]])</f>
        <v>xiaozhou.liu@intel.com</v>
      </c>
      <c r="R1235" s="7" t="str">
        <f>_xlfn.IFNA(VLOOKUP(patch[[#This Row],[tmp-owner.email]],OrgTree!$A:$K, 11, 0), "not ICG SWFW")</f>
        <v>BJ And dev</v>
      </c>
      <c r="S1235" s="7" t="str">
        <f>IF(patch[[#This Row],[reviewer]]=patch[[#This Row],[tmp-owner.email]], "author", _xlfn.IFNA(VLOOKUP(patch[[#This Row],[reviewer]],OrgTree!$A:$K, 11, 0), "not ICG SWFW"))</f>
        <v>BJ And dev</v>
      </c>
      <c r="T1235" s="7" t="str">
        <f>IF(ISBLANK(patch[[#This Row],[mergeDate]]), "", MID(YEAR(patch[[#This Row],[mergeDate]]), 3,2)&amp;"'ww"&amp;WEEKNUM(patch[[#This Row],[mergeDate]]))</f>
        <v>16'ww39</v>
      </c>
      <c r="U1235" s="7" t="str">
        <f>IF(ISBLANK(patch[[#This Row],[mergeDate]]), U1234, MID(YEAR(patch[[#This Row],[mergeDate]]), 3,2)&amp;"'m"&amp;MONTH(patch[[#This Row],[mergeDate]]))</f>
        <v>16'm9</v>
      </c>
      <c r="V1235" s="7" t="str">
        <f>IF(ISBLANK(patch[[#This Row],[project]]), "",SUM(patch[[#This Row],[BJ -1 num]:[SH -1 num]]))</f>
        <v/>
      </c>
      <c r="W1235" s="7" t="str">
        <f>IF(ISBLANK(patch[[#This Row],[project]]), "",COUNTIFS($A:$A,patch[[#This Row],[number]],$S:$S, "BJ And dev",$AC:$AC, "Review-1"))</f>
        <v/>
      </c>
      <c r="X1235" s="7" t="str">
        <f>IF(ISBLANK(patch[[#This Row],[project]]), "",COUNTIFS($A:$A,patch[[#This Row],[number]],$S:$S, "FL And dev",$AC:$AC, "Review-1"))</f>
        <v/>
      </c>
      <c r="Y1235" s="7" t="str">
        <f>IF(ISBLANK(patch[[#This Row],[project]]), "",COUNTIFS($A:$A,patch[[#This Row],[number]],$S:$S, "SH And dev",$AC:$AC, "Review-1"))</f>
        <v/>
      </c>
      <c r="Z1235" s="7" t="str">
        <f>IF(ISBLANK(patch[[#This Row],[project]]), "",COUNTIFS($A:$A,patch[[#This Row],[number]],$S:$S, "BJ And dev",$AD:$AD, "&lt;&gt;IntegratorValidationComment"))</f>
        <v/>
      </c>
      <c r="AA1235" s="7" t="str">
        <f>IF(ISBLANK(patch[[#This Row],[project]]), "",COUNTIFS($A:$A,patch[[#This Row],[number]],$S:$S, "FL And dev",$AD:$AD, "&lt;&gt;IntegratorValidationComment"))</f>
        <v/>
      </c>
      <c r="AB1235" s="7" t="str">
        <f>IF(ISBLANK(patch[[#This Row],[project]]), "",COUNTIFS($A:$A,patch[[#This Row],[number]],$S:$S, "SH And dev",$AD:$AD, "&lt;&gt;IntegratorValidationComment"))</f>
        <v/>
      </c>
      <c r="AC1235" s="7" t="str">
        <f>IF(OR(ISNUMBER(FIND("Review-1", patch[[#This Row],[comments]])), ISNUMBER(FIND("Approver-1", patch[[#This Row],[comments]]))), "Review-1", "")</f>
        <v/>
      </c>
      <c r="AD12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35" s="7">
        <f>IF(ISBLANK(patch[[#This Row],[number]]),AE1234,patch[[#This Row],[ifCommon]])</f>
        <v>0</v>
      </c>
    </row>
    <row r="1236" spans="1:31">
      <c r="A1236" s="151">
        <v>146214</v>
      </c>
      <c r="B1236" s="151"/>
      <c r="C1236" s="151"/>
      <c r="D1236" s="151"/>
      <c r="E1236" s="151"/>
      <c r="F1236" s="151"/>
      <c r="G1236" s="151"/>
      <c r="H1236" s="151"/>
      <c r="I1236" s="151"/>
      <c r="J1236" s="152">
        <v>42633.710034722222</v>
      </c>
      <c r="K1236" s="151"/>
      <c r="L1236" s="151" t="s">
        <v>115</v>
      </c>
      <c r="M1236" s="152">
        <v>42633.398344907408</v>
      </c>
      <c r="N1236" s="151" t="s">
        <v>2494</v>
      </c>
      <c r="O1236" s="151"/>
      <c r="P1236" s="151"/>
      <c r="Q1236" s="7" t="str">
        <f>IF(ISBLANK(patch[[#This Row],[OwnerEmail]]),Q1235,patch[[#This Row],[OwnerEmail]])</f>
        <v>xiaozhou.liu@intel.com</v>
      </c>
      <c r="R1236" s="7" t="str">
        <f>_xlfn.IFNA(VLOOKUP(patch[[#This Row],[tmp-owner.email]],OrgTree!$A:$K, 11, 0), "not ICG SWFW")</f>
        <v>BJ And dev</v>
      </c>
      <c r="S1236" s="7" t="str">
        <f>IF(patch[[#This Row],[reviewer]]=patch[[#This Row],[tmp-owner.email]], "author", _xlfn.IFNA(VLOOKUP(patch[[#This Row],[reviewer]],OrgTree!$A:$K, 11, 0), "not ICG SWFW"))</f>
        <v>Val</v>
      </c>
      <c r="T1236" s="7" t="str">
        <f>IF(ISBLANK(patch[[#This Row],[mergeDate]]), "", MID(YEAR(patch[[#This Row],[mergeDate]]), 3,2)&amp;"'ww"&amp;WEEKNUM(patch[[#This Row],[mergeDate]]))</f>
        <v>16'ww39</v>
      </c>
      <c r="U1236" s="7" t="str">
        <f>IF(ISBLANK(patch[[#This Row],[mergeDate]]), U1235, MID(YEAR(patch[[#This Row],[mergeDate]]), 3,2)&amp;"'m"&amp;MONTH(patch[[#This Row],[mergeDate]]))</f>
        <v>16'm9</v>
      </c>
      <c r="V1236" s="7" t="str">
        <f>IF(ISBLANK(patch[[#This Row],[project]]), "",SUM(patch[[#This Row],[BJ -1 num]:[SH -1 num]]))</f>
        <v/>
      </c>
      <c r="W1236" s="7" t="str">
        <f>IF(ISBLANK(patch[[#This Row],[project]]), "",COUNTIFS($A:$A,patch[[#This Row],[number]],$S:$S, "BJ And dev",$AC:$AC, "Review-1"))</f>
        <v/>
      </c>
      <c r="X1236" s="7" t="str">
        <f>IF(ISBLANK(patch[[#This Row],[project]]), "",COUNTIFS($A:$A,patch[[#This Row],[number]],$S:$S, "FL And dev",$AC:$AC, "Review-1"))</f>
        <v/>
      </c>
      <c r="Y1236" s="7" t="str">
        <f>IF(ISBLANK(patch[[#This Row],[project]]), "",COUNTIFS($A:$A,patch[[#This Row],[number]],$S:$S, "SH And dev",$AC:$AC, "Review-1"))</f>
        <v/>
      </c>
      <c r="Z1236" s="7" t="str">
        <f>IF(ISBLANK(patch[[#This Row],[project]]), "",COUNTIFS($A:$A,patch[[#This Row],[number]],$S:$S, "BJ And dev",$AD:$AD, "&lt;&gt;IntegratorValidationComment"))</f>
        <v/>
      </c>
      <c r="AA1236" s="7" t="str">
        <f>IF(ISBLANK(patch[[#This Row],[project]]), "",COUNTIFS($A:$A,patch[[#This Row],[number]],$S:$S, "FL And dev",$AD:$AD, "&lt;&gt;IntegratorValidationComment"))</f>
        <v/>
      </c>
      <c r="AB1236" s="7" t="str">
        <f>IF(ISBLANK(patch[[#This Row],[project]]), "",COUNTIFS($A:$A,patch[[#This Row],[number]],$S:$S, "SH And dev",$AD:$AD, "&lt;&gt;IntegratorValidationComment"))</f>
        <v/>
      </c>
      <c r="AC1236" s="7" t="str">
        <f>IF(OR(ISNUMBER(FIND("Review-1", patch[[#This Row],[comments]])), ISNUMBER(FIND("Approver-1", patch[[#This Row],[comments]]))), "Review-1", "")</f>
        <v/>
      </c>
      <c r="AD12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236" s="7">
        <f>IF(ISBLANK(patch[[#This Row],[number]]),AE1235,patch[[#This Row],[ifCommon]])</f>
        <v>0</v>
      </c>
    </row>
    <row r="1237" spans="1:31">
      <c r="A1237" s="151">
        <v>144079</v>
      </c>
      <c r="B1237" s="151" t="s">
        <v>2490</v>
      </c>
      <c r="C1237" s="151" t="s">
        <v>2491</v>
      </c>
      <c r="D1237" s="151" t="s">
        <v>3038</v>
      </c>
      <c r="E1237" s="151" t="s">
        <v>63</v>
      </c>
      <c r="F1237" s="151" t="s">
        <v>23</v>
      </c>
      <c r="G1237" s="151" t="s">
        <v>3039</v>
      </c>
      <c r="H1237" s="151" t="s">
        <v>3040</v>
      </c>
      <c r="I1237" s="152">
        <v>42621.661805555559</v>
      </c>
      <c r="J1237" s="152">
        <v>42633.70994212963</v>
      </c>
      <c r="K1237" s="151" t="s">
        <v>2445</v>
      </c>
      <c r="L1237" s="151" t="s">
        <v>63</v>
      </c>
      <c r="M1237" s="152">
        <v>42621.661805555559</v>
      </c>
      <c r="N1237" s="151" t="s">
        <v>2428</v>
      </c>
      <c r="O1237" s="151"/>
      <c r="P1237" s="151" t="s">
        <v>3209</v>
      </c>
      <c r="Q1237" s="7" t="str">
        <f>IF(ISBLANK(patch[[#This Row],[OwnerEmail]]),Q1236,patch[[#This Row],[OwnerEmail]])</f>
        <v>zongx.li@intel.com</v>
      </c>
      <c r="R1237" s="7" t="str">
        <f>_xlfn.IFNA(VLOOKUP(patch[[#This Row],[tmp-owner.email]],OrgTree!$A:$K, 11, 0), "not ICG SWFW")</f>
        <v>BJ And dev</v>
      </c>
      <c r="S1237" s="7" t="str">
        <f>IF(patch[[#This Row],[reviewer]]=patch[[#This Row],[tmp-owner.email]], "author", _xlfn.IFNA(VLOOKUP(patch[[#This Row],[reviewer]],OrgTree!$A:$K, 11, 0), "not ICG SWFW"))</f>
        <v>author</v>
      </c>
      <c r="T1237" s="7" t="str">
        <f>IF(ISBLANK(patch[[#This Row],[mergeDate]]), "", MID(YEAR(patch[[#This Row],[mergeDate]]), 3,2)&amp;"'ww"&amp;WEEKNUM(patch[[#This Row],[mergeDate]]))</f>
        <v>16'ww39</v>
      </c>
      <c r="U1237" s="7" t="str">
        <f>IF(ISBLANK(patch[[#This Row],[mergeDate]]), U1236, MID(YEAR(patch[[#This Row],[mergeDate]]), 3,2)&amp;"'m"&amp;MONTH(patch[[#This Row],[mergeDate]]))</f>
        <v>16'm9</v>
      </c>
      <c r="V1237" s="7">
        <f>IF(ISBLANK(patch[[#This Row],[project]]), "",SUM(patch[[#This Row],[BJ -1 num]:[SH -1 num]]))</f>
        <v>4</v>
      </c>
      <c r="W1237" s="7">
        <f>IF(ISBLANK(patch[[#This Row],[project]]), "",COUNTIFS($A:$A,patch[[#This Row],[number]],$S:$S, "BJ And dev",$AC:$AC, "Review-1"))</f>
        <v>4</v>
      </c>
      <c r="X1237" s="7">
        <f>IF(ISBLANK(patch[[#This Row],[project]]), "",COUNTIFS($A:$A,patch[[#This Row],[number]],$S:$S, "FL And dev",$AC:$AC, "Review-1"))</f>
        <v>0</v>
      </c>
      <c r="Y1237" s="7">
        <f>IF(ISBLANK(patch[[#This Row],[project]]), "",COUNTIFS($A:$A,patch[[#This Row],[number]],$S:$S, "SH And dev",$AC:$AC, "Review-1"))</f>
        <v>0</v>
      </c>
      <c r="Z1237" s="7">
        <f>IF(ISBLANK(patch[[#This Row],[project]]), "",COUNTIFS($A:$A,patch[[#This Row],[number]],$S:$S, "BJ And dev",$AD:$AD, "&lt;&gt;IntegratorValidationComment"))</f>
        <v>24</v>
      </c>
      <c r="AA1237" s="7">
        <f>IF(ISBLANK(patch[[#This Row],[project]]), "",COUNTIFS($A:$A,patch[[#This Row],[number]],$S:$S, "FL And dev",$AD:$AD, "&lt;&gt;IntegratorValidationComment"))</f>
        <v>0</v>
      </c>
      <c r="AB1237" s="7">
        <f>IF(ISBLANK(patch[[#This Row],[project]]), "",COUNTIFS($A:$A,patch[[#This Row],[number]],$S:$S, "SH And dev",$AD:$AD, "&lt;&gt;IntegratorValidationComment"))</f>
        <v>0</v>
      </c>
      <c r="AC1237" s="7" t="str">
        <f>IF(OR(ISNUMBER(FIND("Review-1", patch[[#This Row],[comments]])), ISNUMBER(FIND("Approver-1", patch[[#This Row],[comments]]))), "Review-1", "")</f>
        <v/>
      </c>
      <c r="AD12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37" s="7" t="str">
        <f>IF(ISBLANK(patch[[#This Row],[number]]),AE1236,patch[[#This Row],[ifCommon]])</f>
        <v>not AndrHAL</v>
      </c>
    </row>
    <row r="1238" spans="1:31">
      <c r="A1238" s="151">
        <v>144079</v>
      </c>
      <c r="B1238" s="151"/>
      <c r="C1238" s="151"/>
      <c r="D1238" s="151"/>
      <c r="E1238" s="151"/>
      <c r="F1238" s="151"/>
      <c r="G1238" s="151"/>
      <c r="H1238" s="151"/>
      <c r="I1238" s="151"/>
      <c r="J1238" s="152">
        <v>42633.70994212963</v>
      </c>
      <c r="K1238" s="151"/>
      <c r="L1238" s="151" t="s">
        <v>63</v>
      </c>
      <c r="M1238" s="152">
        <v>42621.661805555559</v>
      </c>
      <c r="N1238" s="151" t="s">
        <v>25</v>
      </c>
      <c r="O1238" s="151"/>
      <c r="P1238" s="151"/>
      <c r="Q1238" s="7" t="str">
        <f>IF(ISBLANK(patch[[#This Row],[OwnerEmail]]),Q1237,patch[[#This Row],[OwnerEmail]])</f>
        <v>zongx.li@intel.com</v>
      </c>
      <c r="R1238" s="7" t="str">
        <f>_xlfn.IFNA(VLOOKUP(patch[[#This Row],[tmp-owner.email]],OrgTree!$A:$K, 11, 0), "not ICG SWFW")</f>
        <v>BJ And dev</v>
      </c>
      <c r="S1238" s="7" t="str">
        <f>IF(patch[[#This Row],[reviewer]]=patch[[#This Row],[tmp-owner.email]], "author", _xlfn.IFNA(VLOOKUP(patch[[#This Row],[reviewer]],OrgTree!$A:$K, 11, 0), "not ICG SWFW"))</f>
        <v>author</v>
      </c>
      <c r="T1238" s="7" t="str">
        <f>IF(ISBLANK(patch[[#This Row],[mergeDate]]), "", MID(YEAR(patch[[#This Row],[mergeDate]]), 3,2)&amp;"'ww"&amp;WEEKNUM(patch[[#This Row],[mergeDate]]))</f>
        <v>16'ww39</v>
      </c>
      <c r="U1238" s="7" t="str">
        <f>IF(ISBLANK(patch[[#This Row],[mergeDate]]), U1237, MID(YEAR(patch[[#This Row],[mergeDate]]), 3,2)&amp;"'m"&amp;MONTH(patch[[#This Row],[mergeDate]]))</f>
        <v>16'm9</v>
      </c>
      <c r="V1238" s="7" t="str">
        <f>IF(ISBLANK(patch[[#This Row],[project]]), "",SUM(patch[[#This Row],[BJ -1 num]:[SH -1 num]]))</f>
        <v/>
      </c>
      <c r="W1238" s="7" t="str">
        <f>IF(ISBLANK(patch[[#This Row],[project]]), "",COUNTIFS($A:$A,patch[[#This Row],[number]],$S:$S, "BJ And dev",$AC:$AC, "Review-1"))</f>
        <v/>
      </c>
      <c r="X1238" s="7" t="str">
        <f>IF(ISBLANK(patch[[#This Row],[project]]), "",COUNTIFS($A:$A,patch[[#This Row],[number]],$S:$S, "FL And dev",$AC:$AC, "Review-1"))</f>
        <v/>
      </c>
      <c r="Y1238" s="7" t="str">
        <f>IF(ISBLANK(patch[[#This Row],[project]]), "",COUNTIFS($A:$A,patch[[#This Row],[number]],$S:$S, "SH And dev",$AC:$AC, "Review-1"))</f>
        <v/>
      </c>
      <c r="Z1238" s="7" t="str">
        <f>IF(ISBLANK(patch[[#This Row],[project]]), "",COUNTIFS($A:$A,patch[[#This Row],[number]],$S:$S, "BJ And dev",$AD:$AD, "&lt;&gt;IntegratorValidationComment"))</f>
        <v/>
      </c>
      <c r="AA1238" s="7" t="str">
        <f>IF(ISBLANK(patch[[#This Row],[project]]), "",COUNTIFS($A:$A,patch[[#This Row],[number]],$S:$S, "FL And dev",$AD:$AD, "&lt;&gt;IntegratorValidationComment"))</f>
        <v/>
      </c>
      <c r="AB1238" s="7" t="str">
        <f>IF(ISBLANK(patch[[#This Row],[project]]), "",COUNTIFS($A:$A,patch[[#This Row],[number]],$S:$S, "SH And dev",$AD:$AD, "&lt;&gt;IntegratorValidationComment"))</f>
        <v/>
      </c>
      <c r="AC1238" s="7" t="str">
        <f>IF(OR(ISNUMBER(FIND("Review-1", patch[[#This Row],[comments]])), ISNUMBER(FIND("Approver-1", patch[[#This Row],[comments]]))), "Review-1", "")</f>
        <v/>
      </c>
      <c r="AD12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38" s="7">
        <f>IF(ISBLANK(patch[[#This Row],[number]]),AE1237,patch[[#This Row],[ifCommon]])</f>
        <v>0</v>
      </c>
    </row>
    <row r="1239" spans="1:31">
      <c r="A1239" s="151">
        <v>144079</v>
      </c>
      <c r="B1239" s="151"/>
      <c r="C1239" s="151"/>
      <c r="D1239" s="151"/>
      <c r="E1239" s="151"/>
      <c r="F1239" s="151"/>
      <c r="G1239" s="151"/>
      <c r="H1239" s="151"/>
      <c r="I1239" s="151"/>
      <c r="J1239" s="152">
        <v>42633.70994212963</v>
      </c>
      <c r="K1239" s="151"/>
      <c r="L1239" s="151" t="s">
        <v>63</v>
      </c>
      <c r="M1239" s="152">
        <v>42621.66201388889</v>
      </c>
      <c r="N1239" s="151" t="s">
        <v>40</v>
      </c>
      <c r="O1239" s="151"/>
      <c r="P1239" s="151"/>
      <c r="Q1239" s="7" t="str">
        <f>IF(ISBLANK(patch[[#This Row],[OwnerEmail]]),Q1238,patch[[#This Row],[OwnerEmail]])</f>
        <v>zongx.li@intel.com</v>
      </c>
      <c r="R1239" s="7" t="str">
        <f>_xlfn.IFNA(VLOOKUP(patch[[#This Row],[tmp-owner.email]],OrgTree!$A:$K, 11, 0), "not ICG SWFW")</f>
        <v>BJ And dev</v>
      </c>
      <c r="S1239" s="7" t="str">
        <f>IF(patch[[#This Row],[reviewer]]=patch[[#This Row],[tmp-owner.email]], "author", _xlfn.IFNA(VLOOKUP(patch[[#This Row],[reviewer]],OrgTree!$A:$K, 11, 0), "not ICG SWFW"))</f>
        <v>author</v>
      </c>
      <c r="T1239" s="7" t="str">
        <f>IF(ISBLANK(patch[[#This Row],[mergeDate]]), "", MID(YEAR(patch[[#This Row],[mergeDate]]), 3,2)&amp;"'ww"&amp;WEEKNUM(patch[[#This Row],[mergeDate]]))</f>
        <v>16'ww39</v>
      </c>
      <c r="U1239" s="7" t="str">
        <f>IF(ISBLANK(patch[[#This Row],[mergeDate]]), U1238, MID(YEAR(patch[[#This Row],[mergeDate]]), 3,2)&amp;"'m"&amp;MONTH(patch[[#This Row],[mergeDate]]))</f>
        <v>16'm9</v>
      </c>
      <c r="V1239" s="7" t="str">
        <f>IF(ISBLANK(patch[[#This Row],[project]]), "",SUM(patch[[#This Row],[BJ -1 num]:[SH -1 num]]))</f>
        <v/>
      </c>
      <c r="W1239" s="7" t="str">
        <f>IF(ISBLANK(patch[[#This Row],[project]]), "",COUNTIFS($A:$A,patch[[#This Row],[number]],$S:$S, "BJ And dev",$AC:$AC, "Review-1"))</f>
        <v/>
      </c>
      <c r="X1239" s="7" t="str">
        <f>IF(ISBLANK(patch[[#This Row],[project]]), "",COUNTIFS($A:$A,patch[[#This Row],[number]],$S:$S, "FL And dev",$AC:$AC, "Review-1"))</f>
        <v/>
      </c>
      <c r="Y1239" s="7" t="str">
        <f>IF(ISBLANK(patch[[#This Row],[project]]), "",COUNTIFS($A:$A,patch[[#This Row],[number]],$S:$S, "SH And dev",$AC:$AC, "Review-1"))</f>
        <v/>
      </c>
      <c r="Z1239" s="7" t="str">
        <f>IF(ISBLANK(patch[[#This Row],[project]]), "",COUNTIFS($A:$A,patch[[#This Row],[number]],$S:$S, "BJ And dev",$AD:$AD, "&lt;&gt;IntegratorValidationComment"))</f>
        <v/>
      </c>
      <c r="AA1239" s="7" t="str">
        <f>IF(ISBLANK(patch[[#This Row],[project]]), "",COUNTIFS($A:$A,patch[[#This Row],[number]],$S:$S, "FL And dev",$AD:$AD, "&lt;&gt;IntegratorValidationComment"))</f>
        <v/>
      </c>
      <c r="AB1239" s="7" t="str">
        <f>IF(ISBLANK(patch[[#This Row],[project]]), "",COUNTIFS($A:$A,patch[[#This Row],[number]],$S:$S, "SH And dev",$AD:$AD, "&lt;&gt;IntegratorValidationComment"))</f>
        <v/>
      </c>
      <c r="AC1239" s="7" t="str">
        <f>IF(OR(ISNUMBER(FIND("Review-1", patch[[#This Row],[comments]])), ISNUMBER(FIND("Approver-1", patch[[#This Row],[comments]]))), "Review-1", "")</f>
        <v/>
      </c>
      <c r="AD12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39" s="7">
        <f>IF(ISBLANK(patch[[#This Row],[number]]),AE1238,patch[[#This Row],[ifCommon]])</f>
        <v>0</v>
      </c>
    </row>
    <row r="1240" spans="1:31">
      <c r="A1240" s="151">
        <v>144079</v>
      </c>
      <c r="B1240" s="151"/>
      <c r="C1240" s="151"/>
      <c r="D1240" s="151"/>
      <c r="E1240" s="151"/>
      <c r="F1240" s="151"/>
      <c r="G1240" s="151"/>
      <c r="H1240" s="151"/>
      <c r="I1240" s="151"/>
      <c r="J1240" s="152">
        <v>42633.70994212963</v>
      </c>
      <c r="K1240" s="151"/>
      <c r="L1240" s="151" t="s">
        <v>59</v>
      </c>
      <c r="M1240" s="152">
        <v>42621.668206018519</v>
      </c>
      <c r="N1240" s="151" t="s">
        <v>3210</v>
      </c>
      <c r="O1240" s="151"/>
      <c r="P1240" s="151"/>
      <c r="Q1240" s="7" t="str">
        <f>IF(ISBLANK(patch[[#This Row],[OwnerEmail]]),Q1239,patch[[#This Row],[OwnerEmail]])</f>
        <v>zongx.li@intel.com</v>
      </c>
      <c r="R1240" s="7" t="str">
        <f>_xlfn.IFNA(VLOOKUP(patch[[#This Row],[tmp-owner.email]],OrgTree!$A:$K, 11, 0), "not ICG SWFW")</f>
        <v>BJ And dev</v>
      </c>
      <c r="S1240" s="7" t="str">
        <f>IF(patch[[#This Row],[reviewer]]=patch[[#This Row],[tmp-owner.email]], "author", _xlfn.IFNA(VLOOKUP(patch[[#This Row],[reviewer]],OrgTree!$A:$K, 11, 0), "not ICG SWFW"))</f>
        <v>BJ And dev</v>
      </c>
      <c r="T1240" s="7" t="str">
        <f>IF(ISBLANK(patch[[#This Row],[mergeDate]]), "", MID(YEAR(patch[[#This Row],[mergeDate]]), 3,2)&amp;"'ww"&amp;WEEKNUM(patch[[#This Row],[mergeDate]]))</f>
        <v>16'ww39</v>
      </c>
      <c r="U1240" s="7" t="str">
        <f>IF(ISBLANK(patch[[#This Row],[mergeDate]]), U1239, MID(YEAR(patch[[#This Row],[mergeDate]]), 3,2)&amp;"'m"&amp;MONTH(patch[[#This Row],[mergeDate]]))</f>
        <v>16'm9</v>
      </c>
      <c r="V1240" s="7" t="str">
        <f>IF(ISBLANK(patch[[#This Row],[project]]), "",SUM(patch[[#This Row],[BJ -1 num]:[SH -1 num]]))</f>
        <v/>
      </c>
      <c r="W1240" s="7" t="str">
        <f>IF(ISBLANK(patch[[#This Row],[project]]), "",COUNTIFS($A:$A,patch[[#This Row],[number]],$S:$S, "BJ And dev",$AC:$AC, "Review-1"))</f>
        <v/>
      </c>
      <c r="X1240" s="7" t="str">
        <f>IF(ISBLANK(patch[[#This Row],[project]]), "",COUNTIFS($A:$A,patch[[#This Row],[number]],$S:$S, "FL And dev",$AC:$AC, "Review-1"))</f>
        <v/>
      </c>
      <c r="Y1240" s="7" t="str">
        <f>IF(ISBLANK(patch[[#This Row],[project]]), "",COUNTIFS($A:$A,patch[[#This Row],[number]],$S:$S, "SH And dev",$AC:$AC, "Review-1"))</f>
        <v/>
      </c>
      <c r="Z1240" s="7" t="str">
        <f>IF(ISBLANK(patch[[#This Row],[project]]), "",COUNTIFS($A:$A,patch[[#This Row],[number]],$S:$S, "BJ And dev",$AD:$AD, "&lt;&gt;IntegratorValidationComment"))</f>
        <v/>
      </c>
      <c r="AA1240" s="7" t="str">
        <f>IF(ISBLANK(patch[[#This Row],[project]]), "",COUNTIFS($A:$A,patch[[#This Row],[number]],$S:$S, "FL And dev",$AD:$AD, "&lt;&gt;IntegratorValidationComment"))</f>
        <v/>
      </c>
      <c r="AB1240" s="7" t="str">
        <f>IF(ISBLANK(patch[[#This Row],[project]]), "",COUNTIFS($A:$A,patch[[#This Row],[number]],$S:$S, "SH And dev",$AD:$AD, "&lt;&gt;IntegratorValidationComment"))</f>
        <v/>
      </c>
      <c r="AC1240" s="7" t="str">
        <f>IF(OR(ISNUMBER(FIND("Review-1", patch[[#This Row],[comments]])), ISNUMBER(FIND("Approver-1", patch[[#This Row],[comments]]))), "Review-1", "")</f>
        <v/>
      </c>
      <c r="AD12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40" s="7">
        <f>IF(ISBLANK(patch[[#This Row],[number]]),AE1239,patch[[#This Row],[ifCommon]])</f>
        <v>0</v>
      </c>
    </row>
    <row r="1241" spans="1:31">
      <c r="A1241" s="151">
        <v>144079</v>
      </c>
      <c r="B1241" s="151"/>
      <c r="C1241" s="151"/>
      <c r="D1241" s="151"/>
      <c r="E1241" s="151"/>
      <c r="F1241" s="151"/>
      <c r="G1241" s="151"/>
      <c r="H1241" s="151"/>
      <c r="I1241" s="151"/>
      <c r="J1241" s="152">
        <v>42633.70994212963</v>
      </c>
      <c r="K1241" s="151"/>
      <c r="L1241" s="151" t="s">
        <v>32</v>
      </c>
      <c r="M1241" s="152">
        <v>42627.719618055547</v>
      </c>
      <c r="N1241" s="151" t="s">
        <v>40</v>
      </c>
      <c r="O1241" s="151"/>
      <c r="P1241" s="151"/>
      <c r="Q1241" s="7" t="str">
        <f>IF(ISBLANK(patch[[#This Row],[OwnerEmail]]),Q1240,patch[[#This Row],[OwnerEmail]])</f>
        <v>zongx.li@intel.com</v>
      </c>
      <c r="R1241" s="7" t="str">
        <f>_xlfn.IFNA(VLOOKUP(patch[[#This Row],[tmp-owner.email]],OrgTree!$A:$K, 11, 0), "not ICG SWFW")</f>
        <v>BJ And dev</v>
      </c>
      <c r="S1241" s="7" t="str">
        <f>IF(patch[[#This Row],[reviewer]]=patch[[#This Row],[tmp-owner.email]], "author", _xlfn.IFNA(VLOOKUP(patch[[#This Row],[reviewer]],OrgTree!$A:$K, 11, 0), "not ICG SWFW"))</f>
        <v>BJ And dev</v>
      </c>
      <c r="T1241" s="7" t="str">
        <f>IF(ISBLANK(patch[[#This Row],[mergeDate]]), "", MID(YEAR(patch[[#This Row],[mergeDate]]), 3,2)&amp;"'ww"&amp;WEEKNUM(patch[[#This Row],[mergeDate]]))</f>
        <v>16'ww39</v>
      </c>
      <c r="U1241" s="7" t="str">
        <f>IF(ISBLANK(patch[[#This Row],[mergeDate]]), U1240, MID(YEAR(patch[[#This Row],[mergeDate]]), 3,2)&amp;"'m"&amp;MONTH(patch[[#This Row],[mergeDate]]))</f>
        <v>16'm9</v>
      </c>
      <c r="V1241" s="7" t="str">
        <f>IF(ISBLANK(patch[[#This Row],[project]]), "",SUM(patch[[#This Row],[BJ -1 num]:[SH -1 num]]))</f>
        <v/>
      </c>
      <c r="W1241" s="7" t="str">
        <f>IF(ISBLANK(patch[[#This Row],[project]]), "",COUNTIFS($A:$A,patch[[#This Row],[number]],$S:$S, "BJ And dev",$AC:$AC, "Review-1"))</f>
        <v/>
      </c>
      <c r="X1241" s="7" t="str">
        <f>IF(ISBLANK(patch[[#This Row],[project]]), "",COUNTIFS($A:$A,patch[[#This Row],[number]],$S:$S, "FL And dev",$AC:$AC, "Review-1"))</f>
        <v/>
      </c>
      <c r="Y1241" s="7" t="str">
        <f>IF(ISBLANK(patch[[#This Row],[project]]), "",COUNTIFS($A:$A,patch[[#This Row],[number]],$S:$S, "SH And dev",$AC:$AC, "Review-1"))</f>
        <v/>
      </c>
      <c r="Z1241" s="7" t="str">
        <f>IF(ISBLANK(patch[[#This Row],[project]]), "",COUNTIFS($A:$A,patch[[#This Row],[number]],$S:$S, "BJ And dev",$AD:$AD, "&lt;&gt;IntegratorValidationComment"))</f>
        <v/>
      </c>
      <c r="AA1241" s="7" t="str">
        <f>IF(ISBLANK(patch[[#This Row],[project]]), "",COUNTIFS($A:$A,patch[[#This Row],[number]],$S:$S, "FL And dev",$AD:$AD, "&lt;&gt;IntegratorValidationComment"))</f>
        <v/>
      </c>
      <c r="AB1241" s="7" t="str">
        <f>IF(ISBLANK(patch[[#This Row],[project]]), "",COUNTIFS($A:$A,patch[[#This Row],[number]],$S:$S, "SH And dev",$AD:$AD, "&lt;&gt;IntegratorValidationComment"))</f>
        <v/>
      </c>
      <c r="AC1241" s="7" t="str">
        <f>IF(OR(ISNUMBER(FIND("Review-1", patch[[#This Row],[comments]])), ISNUMBER(FIND("Approver-1", patch[[#This Row],[comments]]))), "Review-1", "")</f>
        <v/>
      </c>
      <c r="AD12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41" s="7">
        <f>IF(ISBLANK(patch[[#This Row],[number]]),AE1240,patch[[#This Row],[ifCommon]])</f>
        <v>0</v>
      </c>
    </row>
    <row r="1242" spans="1:31">
      <c r="A1242" s="151">
        <v>144079</v>
      </c>
      <c r="B1242" s="151"/>
      <c r="C1242" s="151"/>
      <c r="D1242" s="151"/>
      <c r="E1242" s="151"/>
      <c r="F1242" s="151"/>
      <c r="G1242" s="151"/>
      <c r="H1242" s="151"/>
      <c r="I1242" s="151"/>
      <c r="J1242" s="152">
        <v>42633.70994212963</v>
      </c>
      <c r="K1242" s="151"/>
      <c r="L1242" s="151" t="s">
        <v>68</v>
      </c>
      <c r="M1242" s="152">
        <v>42631.439895833333</v>
      </c>
      <c r="N1242" s="151" t="s">
        <v>3211</v>
      </c>
      <c r="O1242" s="151"/>
      <c r="P1242" s="151"/>
      <c r="Q1242" s="7" t="str">
        <f>IF(ISBLANK(patch[[#This Row],[OwnerEmail]]),Q1241,patch[[#This Row],[OwnerEmail]])</f>
        <v>zongx.li@intel.com</v>
      </c>
      <c r="R1242" s="7" t="str">
        <f>_xlfn.IFNA(VLOOKUP(patch[[#This Row],[tmp-owner.email]],OrgTree!$A:$K, 11, 0), "not ICG SWFW")</f>
        <v>BJ And dev</v>
      </c>
      <c r="S1242" s="7" t="str">
        <f>IF(patch[[#This Row],[reviewer]]=patch[[#This Row],[tmp-owner.email]], "author", _xlfn.IFNA(VLOOKUP(patch[[#This Row],[reviewer]],OrgTree!$A:$K, 11, 0), "not ICG SWFW"))</f>
        <v>BJ And dev</v>
      </c>
      <c r="T1242" s="7" t="str">
        <f>IF(ISBLANK(patch[[#This Row],[mergeDate]]), "", MID(YEAR(patch[[#This Row],[mergeDate]]), 3,2)&amp;"'ww"&amp;WEEKNUM(patch[[#This Row],[mergeDate]]))</f>
        <v>16'ww39</v>
      </c>
      <c r="U1242" s="7" t="str">
        <f>IF(ISBLANK(patch[[#This Row],[mergeDate]]), U1241, MID(YEAR(patch[[#This Row],[mergeDate]]), 3,2)&amp;"'m"&amp;MONTH(patch[[#This Row],[mergeDate]]))</f>
        <v>16'm9</v>
      </c>
      <c r="V1242" s="7" t="str">
        <f>IF(ISBLANK(patch[[#This Row],[project]]), "",SUM(patch[[#This Row],[BJ -1 num]:[SH -1 num]]))</f>
        <v/>
      </c>
      <c r="W1242" s="7" t="str">
        <f>IF(ISBLANK(patch[[#This Row],[project]]), "",COUNTIFS($A:$A,patch[[#This Row],[number]],$S:$S, "BJ And dev",$AC:$AC, "Review-1"))</f>
        <v/>
      </c>
      <c r="X1242" s="7" t="str">
        <f>IF(ISBLANK(patch[[#This Row],[project]]), "",COUNTIFS($A:$A,patch[[#This Row],[number]],$S:$S, "FL And dev",$AC:$AC, "Review-1"))</f>
        <v/>
      </c>
      <c r="Y1242" s="7" t="str">
        <f>IF(ISBLANK(patch[[#This Row],[project]]), "",COUNTIFS($A:$A,patch[[#This Row],[number]],$S:$S, "SH And dev",$AC:$AC, "Review-1"))</f>
        <v/>
      </c>
      <c r="Z1242" s="7" t="str">
        <f>IF(ISBLANK(patch[[#This Row],[project]]), "",COUNTIFS($A:$A,patch[[#This Row],[number]],$S:$S, "BJ And dev",$AD:$AD, "&lt;&gt;IntegratorValidationComment"))</f>
        <v/>
      </c>
      <c r="AA1242" s="7" t="str">
        <f>IF(ISBLANK(patch[[#This Row],[project]]), "",COUNTIFS($A:$A,patch[[#This Row],[number]],$S:$S, "FL And dev",$AD:$AD, "&lt;&gt;IntegratorValidationComment"))</f>
        <v/>
      </c>
      <c r="AB1242" s="7" t="str">
        <f>IF(ISBLANK(patch[[#This Row],[project]]), "",COUNTIFS($A:$A,patch[[#This Row],[number]],$S:$S, "SH And dev",$AD:$AD, "&lt;&gt;IntegratorValidationComment"))</f>
        <v/>
      </c>
      <c r="AC1242" s="7" t="str">
        <f>IF(OR(ISNUMBER(FIND("Review-1", patch[[#This Row],[comments]])), ISNUMBER(FIND("Approver-1", patch[[#This Row],[comments]]))), "Review-1", "")</f>
        <v>Review-1</v>
      </c>
      <c r="AD12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42" s="7">
        <f>IF(ISBLANK(patch[[#This Row],[number]]),AE1241,patch[[#This Row],[ifCommon]])</f>
        <v>0</v>
      </c>
    </row>
    <row r="1243" spans="1:31">
      <c r="A1243" s="151">
        <v>144079</v>
      </c>
      <c r="B1243" s="151"/>
      <c r="C1243" s="151"/>
      <c r="D1243" s="151"/>
      <c r="E1243" s="151"/>
      <c r="F1243" s="151"/>
      <c r="G1243" s="151"/>
      <c r="H1243" s="151"/>
      <c r="I1243" s="151"/>
      <c r="J1243" s="152">
        <v>42633.70994212963</v>
      </c>
      <c r="K1243" s="151"/>
      <c r="L1243" s="151" t="s">
        <v>63</v>
      </c>
      <c r="M1243" s="152">
        <v>42631.46398148148</v>
      </c>
      <c r="N1243" s="151" t="s">
        <v>29</v>
      </c>
      <c r="O1243" s="151"/>
      <c r="P1243" s="151"/>
      <c r="Q1243" s="7" t="str">
        <f>IF(ISBLANK(patch[[#This Row],[OwnerEmail]]),Q1242,patch[[#This Row],[OwnerEmail]])</f>
        <v>zongx.li@intel.com</v>
      </c>
      <c r="R1243" s="7" t="str">
        <f>_xlfn.IFNA(VLOOKUP(patch[[#This Row],[tmp-owner.email]],OrgTree!$A:$K, 11, 0), "not ICG SWFW")</f>
        <v>BJ And dev</v>
      </c>
      <c r="S1243" s="7" t="str">
        <f>IF(patch[[#This Row],[reviewer]]=patch[[#This Row],[tmp-owner.email]], "author", _xlfn.IFNA(VLOOKUP(patch[[#This Row],[reviewer]],OrgTree!$A:$K, 11, 0), "not ICG SWFW"))</f>
        <v>author</v>
      </c>
      <c r="T1243" s="7" t="str">
        <f>IF(ISBLANK(patch[[#This Row],[mergeDate]]), "", MID(YEAR(patch[[#This Row],[mergeDate]]), 3,2)&amp;"'ww"&amp;WEEKNUM(patch[[#This Row],[mergeDate]]))</f>
        <v>16'ww39</v>
      </c>
      <c r="U1243" s="7" t="str">
        <f>IF(ISBLANK(patch[[#This Row],[mergeDate]]), U1242, MID(YEAR(patch[[#This Row],[mergeDate]]), 3,2)&amp;"'m"&amp;MONTH(patch[[#This Row],[mergeDate]]))</f>
        <v>16'm9</v>
      </c>
      <c r="V1243" s="7" t="str">
        <f>IF(ISBLANK(patch[[#This Row],[project]]), "",SUM(patch[[#This Row],[BJ -1 num]:[SH -1 num]]))</f>
        <v/>
      </c>
      <c r="W1243" s="7" t="str">
        <f>IF(ISBLANK(patch[[#This Row],[project]]), "",COUNTIFS($A:$A,patch[[#This Row],[number]],$S:$S, "BJ And dev",$AC:$AC, "Review-1"))</f>
        <v/>
      </c>
      <c r="X1243" s="7" t="str">
        <f>IF(ISBLANK(patch[[#This Row],[project]]), "",COUNTIFS($A:$A,patch[[#This Row],[number]],$S:$S, "FL And dev",$AC:$AC, "Review-1"))</f>
        <v/>
      </c>
      <c r="Y1243" s="7" t="str">
        <f>IF(ISBLANK(patch[[#This Row],[project]]), "",COUNTIFS($A:$A,patch[[#This Row],[number]],$S:$S, "SH And dev",$AC:$AC, "Review-1"))</f>
        <v/>
      </c>
      <c r="Z1243" s="7" t="str">
        <f>IF(ISBLANK(patch[[#This Row],[project]]), "",COUNTIFS($A:$A,patch[[#This Row],[number]],$S:$S, "BJ And dev",$AD:$AD, "&lt;&gt;IntegratorValidationComment"))</f>
        <v/>
      </c>
      <c r="AA1243" s="7" t="str">
        <f>IF(ISBLANK(patch[[#This Row],[project]]), "",COUNTIFS($A:$A,patch[[#This Row],[number]],$S:$S, "FL And dev",$AD:$AD, "&lt;&gt;IntegratorValidationComment"))</f>
        <v/>
      </c>
      <c r="AB1243" s="7" t="str">
        <f>IF(ISBLANK(patch[[#This Row],[project]]), "",COUNTIFS($A:$A,patch[[#This Row],[number]],$S:$S, "SH And dev",$AD:$AD, "&lt;&gt;IntegratorValidationComment"))</f>
        <v/>
      </c>
      <c r="AC1243" s="7" t="str">
        <f>IF(OR(ISNUMBER(FIND("Review-1", patch[[#This Row],[comments]])), ISNUMBER(FIND("Approver-1", patch[[#This Row],[comments]]))), "Review-1", "")</f>
        <v/>
      </c>
      <c r="AD12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43" s="7">
        <f>IF(ISBLANK(patch[[#This Row],[number]]),AE1242,patch[[#This Row],[ifCommon]])</f>
        <v>0</v>
      </c>
    </row>
    <row r="1244" spans="1:31">
      <c r="A1244" s="151">
        <v>144079</v>
      </c>
      <c r="B1244" s="151"/>
      <c r="C1244" s="151"/>
      <c r="D1244" s="151"/>
      <c r="E1244" s="151"/>
      <c r="F1244" s="151"/>
      <c r="G1244" s="151"/>
      <c r="H1244" s="151"/>
      <c r="I1244" s="151"/>
      <c r="J1244" s="152">
        <v>42633.70994212963</v>
      </c>
      <c r="K1244" s="151"/>
      <c r="L1244" s="151" t="s">
        <v>63</v>
      </c>
      <c r="M1244" s="152">
        <v>42631.46398148148</v>
      </c>
      <c r="N1244" s="151" t="s">
        <v>2429</v>
      </c>
      <c r="O1244" s="151"/>
      <c r="P1244" s="151"/>
      <c r="Q1244" s="7" t="str">
        <f>IF(ISBLANK(patch[[#This Row],[OwnerEmail]]),Q1243,patch[[#This Row],[OwnerEmail]])</f>
        <v>zongx.li@intel.com</v>
      </c>
      <c r="R1244" s="7" t="str">
        <f>_xlfn.IFNA(VLOOKUP(patch[[#This Row],[tmp-owner.email]],OrgTree!$A:$K, 11, 0), "not ICG SWFW")</f>
        <v>BJ And dev</v>
      </c>
      <c r="S1244" s="7" t="str">
        <f>IF(patch[[#This Row],[reviewer]]=patch[[#This Row],[tmp-owner.email]], "author", _xlfn.IFNA(VLOOKUP(patch[[#This Row],[reviewer]],OrgTree!$A:$K, 11, 0), "not ICG SWFW"))</f>
        <v>author</v>
      </c>
      <c r="T1244" s="7" t="str">
        <f>IF(ISBLANK(patch[[#This Row],[mergeDate]]), "", MID(YEAR(patch[[#This Row],[mergeDate]]), 3,2)&amp;"'ww"&amp;WEEKNUM(patch[[#This Row],[mergeDate]]))</f>
        <v>16'ww39</v>
      </c>
      <c r="U1244" s="7" t="str">
        <f>IF(ISBLANK(patch[[#This Row],[mergeDate]]), U1243, MID(YEAR(patch[[#This Row],[mergeDate]]), 3,2)&amp;"'m"&amp;MONTH(patch[[#This Row],[mergeDate]]))</f>
        <v>16'm9</v>
      </c>
      <c r="V1244" s="7" t="str">
        <f>IF(ISBLANK(patch[[#This Row],[project]]), "",SUM(patch[[#This Row],[BJ -1 num]:[SH -1 num]]))</f>
        <v/>
      </c>
      <c r="W1244" s="7" t="str">
        <f>IF(ISBLANK(patch[[#This Row],[project]]), "",COUNTIFS($A:$A,patch[[#This Row],[number]],$S:$S, "BJ And dev",$AC:$AC, "Review-1"))</f>
        <v/>
      </c>
      <c r="X1244" s="7" t="str">
        <f>IF(ISBLANK(patch[[#This Row],[project]]), "",COUNTIFS($A:$A,patch[[#This Row],[number]],$S:$S, "FL And dev",$AC:$AC, "Review-1"))</f>
        <v/>
      </c>
      <c r="Y1244" s="7" t="str">
        <f>IF(ISBLANK(patch[[#This Row],[project]]), "",COUNTIFS($A:$A,patch[[#This Row],[number]],$S:$S, "SH And dev",$AC:$AC, "Review-1"))</f>
        <v/>
      </c>
      <c r="Z1244" s="7" t="str">
        <f>IF(ISBLANK(patch[[#This Row],[project]]), "",COUNTIFS($A:$A,patch[[#This Row],[number]],$S:$S, "BJ And dev",$AD:$AD, "&lt;&gt;IntegratorValidationComment"))</f>
        <v/>
      </c>
      <c r="AA1244" s="7" t="str">
        <f>IF(ISBLANK(patch[[#This Row],[project]]), "",COUNTIFS($A:$A,patch[[#This Row],[number]],$S:$S, "FL And dev",$AD:$AD, "&lt;&gt;IntegratorValidationComment"))</f>
        <v/>
      </c>
      <c r="AB1244" s="7" t="str">
        <f>IF(ISBLANK(patch[[#This Row],[project]]), "",COUNTIFS($A:$A,patch[[#This Row],[number]],$S:$S, "SH And dev",$AD:$AD, "&lt;&gt;IntegratorValidationComment"))</f>
        <v/>
      </c>
      <c r="AC1244" s="7" t="str">
        <f>IF(OR(ISNUMBER(FIND("Review-1", patch[[#This Row],[comments]])), ISNUMBER(FIND("Approver-1", patch[[#This Row],[comments]]))), "Review-1", "")</f>
        <v/>
      </c>
      <c r="AD12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44" s="7">
        <f>IF(ISBLANK(patch[[#This Row],[number]]),AE1243,patch[[#This Row],[ifCommon]])</f>
        <v>0</v>
      </c>
    </row>
    <row r="1245" spans="1:31">
      <c r="A1245" s="151">
        <v>144079</v>
      </c>
      <c r="B1245" s="151"/>
      <c r="C1245" s="151"/>
      <c r="D1245" s="151"/>
      <c r="E1245" s="151"/>
      <c r="F1245" s="151"/>
      <c r="G1245" s="151"/>
      <c r="H1245" s="151"/>
      <c r="I1245" s="151"/>
      <c r="J1245" s="152">
        <v>42633.70994212963</v>
      </c>
      <c r="K1245" s="151"/>
      <c r="L1245" s="151" t="s">
        <v>68</v>
      </c>
      <c r="M1245" s="152">
        <v>42631.466064814813</v>
      </c>
      <c r="N1245" s="151" t="s">
        <v>27</v>
      </c>
      <c r="O1245" s="151"/>
      <c r="P1245" s="151"/>
      <c r="Q1245" s="7" t="str">
        <f>IF(ISBLANK(patch[[#This Row],[OwnerEmail]]),Q1244,patch[[#This Row],[OwnerEmail]])</f>
        <v>zongx.li@intel.com</v>
      </c>
      <c r="R1245" s="7" t="str">
        <f>_xlfn.IFNA(VLOOKUP(patch[[#This Row],[tmp-owner.email]],OrgTree!$A:$K, 11, 0), "not ICG SWFW")</f>
        <v>BJ And dev</v>
      </c>
      <c r="S1245" s="7" t="str">
        <f>IF(patch[[#This Row],[reviewer]]=patch[[#This Row],[tmp-owner.email]], "author", _xlfn.IFNA(VLOOKUP(patch[[#This Row],[reviewer]],OrgTree!$A:$K, 11, 0), "not ICG SWFW"))</f>
        <v>BJ And dev</v>
      </c>
      <c r="T1245" s="7" t="str">
        <f>IF(ISBLANK(patch[[#This Row],[mergeDate]]), "", MID(YEAR(patch[[#This Row],[mergeDate]]), 3,2)&amp;"'ww"&amp;WEEKNUM(patch[[#This Row],[mergeDate]]))</f>
        <v>16'ww39</v>
      </c>
      <c r="U1245" s="7" t="str">
        <f>IF(ISBLANK(patch[[#This Row],[mergeDate]]), U1244, MID(YEAR(patch[[#This Row],[mergeDate]]), 3,2)&amp;"'m"&amp;MONTH(patch[[#This Row],[mergeDate]]))</f>
        <v>16'm9</v>
      </c>
      <c r="V1245" s="7" t="str">
        <f>IF(ISBLANK(patch[[#This Row],[project]]), "",SUM(patch[[#This Row],[BJ -1 num]:[SH -1 num]]))</f>
        <v/>
      </c>
      <c r="W1245" s="7" t="str">
        <f>IF(ISBLANK(patch[[#This Row],[project]]), "",COUNTIFS($A:$A,patch[[#This Row],[number]],$S:$S, "BJ And dev",$AC:$AC, "Review-1"))</f>
        <v/>
      </c>
      <c r="X1245" s="7" t="str">
        <f>IF(ISBLANK(patch[[#This Row],[project]]), "",COUNTIFS($A:$A,patch[[#This Row],[number]],$S:$S, "FL And dev",$AC:$AC, "Review-1"))</f>
        <v/>
      </c>
      <c r="Y1245" s="7" t="str">
        <f>IF(ISBLANK(patch[[#This Row],[project]]), "",COUNTIFS($A:$A,patch[[#This Row],[number]],$S:$S, "SH And dev",$AC:$AC, "Review-1"))</f>
        <v/>
      </c>
      <c r="Z1245" s="7" t="str">
        <f>IF(ISBLANK(patch[[#This Row],[project]]), "",COUNTIFS($A:$A,patch[[#This Row],[number]],$S:$S, "BJ And dev",$AD:$AD, "&lt;&gt;IntegratorValidationComment"))</f>
        <v/>
      </c>
      <c r="AA1245" s="7" t="str">
        <f>IF(ISBLANK(patch[[#This Row],[project]]), "",COUNTIFS($A:$A,patch[[#This Row],[number]],$S:$S, "FL And dev",$AD:$AD, "&lt;&gt;IntegratorValidationComment"))</f>
        <v/>
      </c>
      <c r="AB1245" s="7" t="str">
        <f>IF(ISBLANK(patch[[#This Row],[project]]), "",COUNTIFS($A:$A,patch[[#This Row],[number]],$S:$S, "SH And dev",$AD:$AD, "&lt;&gt;IntegratorValidationComment"))</f>
        <v/>
      </c>
      <c r="AC1245" s="7" t="str">
        <f>IF(OR(ISNUMBER(FIND("Review-1", patch[[#This Row],[comments]])), ISNUMBER(FIND("Approver-1", patch[[#This Row],[comments]]))), "Review-1", "")</f>
        <v/>
      </c>
      <c r="AD12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45" s="7">
        <f>IF(ISBLANK(patch[[#This Row],[number]]),AE1244,patch[[#This Row],[ifCommon]])</f>
        <v>0</v>
      </c>
    </row>
    <row r="1246" spans="1:31">
      <c r="A1246" s="151">
        <v>144079</v>
      </c>
      <c r="B1246" s="151"/>
      <c r="C1246" s="151"/>
      <c r="D1246" s="151"/>
      <c r="E1246" s="151"/>
      <c r="F1246" s="151"/>
      <c r="G1246" s="151"/>
      <c r="H1246" s="151"/>
      <c r="I1246" s="151"/>
      <c r="J1246" s="152">
        <v>42633.70994212963</v>
      </c>
      <c r="K1246" s="151"/>
      <c r="L1246" s="151" t="s">
        <v>63</v>
      </c>
      <c r="M1246" s="152">
        <v>42631.466886574082</v>
      </c>
      <c r="N1246" s="151" t="s">
        <v>27</v>
      </c>
      <c r="O1246" s="151"/>
      <c r="P1246" s="151"/>
      <c r="Q1246" s="7" t="str">
        <f>IF(ISBLANK(patch[[#This Row],[OwnerEmail]]),Q1245,patch[[#This Row],[OwnerEmail]])</f>
        <v>zongx.li@intel.com</v>
      </c>
      <c r="R1246" s="7" t="str">
        <f>_xlfn.IFNA(VLOOKUP(patch[[#This Row],[tmp-owner.email]],OrgTree!$A:$K, 11, 0), "not ICG SWFW")</f>
        <v>BJ And dev</v>
      </c>
      <c r="S1246" s="7" t="str">
        <f>IF(patch[[#This Row],[reviewer]]=patch[[#This Row],[tmp-owner.email]], "author", _xlfn.IFNA(VLOOKUP(patch[[#This Row],[reviewer]],OrgTree!$A:$K, 11, 0), "not ICG SWFW"))</f>
        <v>author</v>
      </c>
      <c r="T1246" s="7" t="str">
        <f>IF(ISBLANK(patch[[#This Row],[mergeDate]]), "", MID(YEAR(patch[[#This Row],[mergeDate]]), 3,2)&amp;"'ww"&amp;WEEKNUM(patch[[#This Row],[mergeDate]]))</f>
        <v>16'ww39</v>
      </c>
      <c r="U1246" s="7" t="str">
        <f>IF(ISBLANK(patch[[#This Row],[mergeDate]]), U1245, MID(YEAR(patch[[#This Row],[mergeDate]]), 3,2)&amp;"'m"&amp;MONTH(patch[[#This Row],[mergeDate]]))</f>
        <v>16'm9</v>
      </c>
      <c r="V1246" s="7" t="str">
        <f>IF(ISBLANK(patch[[#This Row],[project]]), "",SUM(patch[[#This Row],[BJ -1 num]:[SH -1 num]]))</f>
        <v/>
      </c>
      <c r="W1246" s="7" t="str">
        <f>IF(ISBLANK(patch[[#This Row],[project]]), "",COUNTIFS($A:$A,patch[[#This Row],[number]],$S:$S, "BJ And dev",$AC:$AC, "Review-1"))</f>
        <v/>
      </c>
      <c r="X1246" s="7" t="str">
        <f>IF(ISBLANK(patch[[#This Row],[project]]), "",COUNTIFS($A:$A,patch[[#This Row],[number]],$S:$S, "FL And dev",$AC:$AC, "Review-1"))</f>
        <v/>
      </c>
      <c r="Y1246" s="7" t="str">
        <f>IF(ISBLANK(patch[[#This Row],[project]]), "",COUNTIFS($A:$A,patch[[#This Row],[number]],$S:$S, "SH And dev",$AC:$AC, "Review-1"))</f>
        <v/>
      </c>
      <c r="Z1246" s="7" t="str">
        <f>IF(ISBLANK(patch[[#This Row],[project]]), "",COUNTIFS($A:$A,patch[[#This Row],[number]],$S:$S, "BJ And dev",$AD:$AD, "&lt;&gt;IntegratorValidationComment"))</f>
        <v/>
      </c>
      <c r="AA1246" s="7" t="str">
        <f>IF(ISBLANK(patch[[#This Row],[project]]), "",COUNTIFS($A:$A,patch[[#This Row],[number]],$S:$S, "FL And dev",$AD:$AD, "&lt;&gt;IntegratorValidationComment"))</f>
        <v/>
      </c>
      <c r="AB1246" s="7" t="str">
        <f>IF(ISBLANK(patch[[#This Row],[project]]), "",COUNTIFS($A:$A,patch[[#This Row],[number]],$S:$S, "SH And dev",$AD:$AD, "&lt;&gt;IntegratorValidationComment"))</f>
        <v/>
      </c>
      <c r="AC1246" s="7" t="str">
        <f>IF(OR(ISNUMBER(FIND("Review-1", patch[[#This Row],[comments]])), ISNUMBER(FIND("Approver-1", patch[[#This Row],[comments]]))), "Review-1", "")</f>
        <v/>
      </c>
      <c r="AD12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46" s="7">
        <f>IF(ISBLANK(patch[[#This Row],[number]]),AE1245,patch[[#This Row],[ifCommon]])</f>
        <v>0</v>
      </c>
    </row>
    <row r="1247" spans="1:31">
      <c r="A1247" s="151">
        <v>144079</v>
      </c>
      <c r="B1247" s="151"/>
      <c r="C1247" s="151"/>
      <c r="D1247" s="151"/>
      <c r="E1247" s="151"/>
      <c r="F1247" s="151"/>
      <c r="G1247" s="151"/>
      <c r="H1247" s="151"/>
      <c r="I1247" s="151"/>
      <c r="J1247" s="152">
        <v>42633.70994212963</v>
      </c>
      <c r="K1247" s="151"/>
      <c r="L1247" s="151" t="s">
        <v>59</v>
      </c>
      <c r="M1247" s="152">
        <v>42631.486944444441</v>
      </c>
      <c r="N1247" s="151" t="s">
        <v>3212</v>
      </c>
      <c r="O1247" s="151"/>
      <c r="P1247" s="151"/>
      <c r="Q1247" s="7" t="str">
        <f>IF(ISBLANK(patch[[#This Row],[OwnerEmail]]),Q1246,patch[[#This Row],[OwnerEmail]])</f>
        <v>zongx.li@intel.com</v>
      </c>
      <c r="R1247" s="7" t="str">
        <f>_xlfn.IFNA(VLOOKUP(patch[[#This Row],[tmp-owner.email]],OrgTree!$A:$K, 11, 0), "not ICG SWFW")</f>
        <v>BJ And dev</v>
      </c>
      <c r="S1247" s="7" t="str">
        <f>IF(patch[[#This Row],[reviewer]]=patch[[#This Row],[tmp-owner.email]], "author", _xlfn.IFNA(VLOOKUP(patch[[#This Row],[reviewer]],OrgTree!$A:$K, 11, 0), "not ICG SWFW"))</f>
        <v>BJ And dev</v>
      </c>
      <c r="T1247" s="7" t="str">
        <f>IF(ISBLANK(patch[[#This Row],[mergeDate]]), "", MID(YEAR(patch[[#This Row],[mergeDate]]), 3,2)&amp;"'ww"&amp;WEEKNUM(patch[[#This Row],[mergeDate]]))</f>
        <v>16'ww39</v>
      </c>
      <c r="U1247" s="7" t="str">
        <f>IF(ISBLANK(patch[[#This Row],[mergeDate]]), U1246, MID(YEAR(patch[[#This Row],[mergeDate]]), 3,2)&amp;"'m"&amp;MONTH(patch[[#This Row],[mergeDate]]))</f>
        <v>16'm9</v>
      </c>
      <c r="V1247" s="7" t="str">
        <f>IF(ISBLANK(patch[[#This Row],[project]]), "",SUM(patch[[#This Row],[BJ -1 num]:[SH -1 num]]))</f>
        <v/>
      </c>
      <c r="W1247" s="7" t="str">
        <f>IF(ISBLANK(patch[[#This Row],[project]]), "",COUNTIFS($A:$A,patch[[#This Row],[number]],$S:$S, "BJ And dev",$AC:$AC, "Review-1"))</f>
        <v/>
      </c>
      <c r="X1247" s="7" t="str">
        <f>IF(ISBLANK(patch[[#This Row],[project]]), "",COUNTIFS($A:$A,patch[[#This Row],[number]],$S:$S, "FL And dev",$AC:$AC, "Review-1"))</f>
        <v/>
      </c>
      <c r="Y1247" s="7" t="str">
        <f>IF(ISBLANK(patch[[#This Row],[project]]), "",COUNTIFS($A:$A,patch[[#This Row],[number]],$S:$S, "SH And dev",$AC:$AC, "Review-1"))</f>
        <v/>
      </c>
      <c r="Z1247" s="7" t="str">
        <f>IF(ISBLANK(patch[[#This Row],[project]]), "",COUNTIFS($A:$A,patch[[#This Row],[number]],$S:$S, "BJ And dev",$AD:$AD, "&lt;&gt;IntegratorValidationComment"))</f>
        <v/>
      </c>
      <c r="AA1247" s="7" t="str">
        <f>IF(ISBLANK(patch[[#This Row],[project]]), "",COUNTIFS($A:$A,patch[[#This Row],[number]],$S:$S, "FL And dev",$AD:$AD, "&lt;&gt;IntegratorValidationComment"))</f>
        <v/>
      </c>
      <c r="AB1247" s="7" t="str">
        <f>IF(ISBLANK(patch[[#This Row],[project]]), "",COUNTIFS($A:$A,patch[[#This Row],[number]],$S:$S, "SH And dev",$AD:$AD, "&lt;&gt;IntegratorValidationComment"))</f>
        <v/>
      </c>
      <c r="AC1247" s="7" t="str">
        <f>IF(OR(ISNUMBER(FIND("Review-1", patch[[#This Row],[comments]])), ISNUMBER(FIND("Approver-1", patch[[#This Row],[comments]]))), "Review-1", "")</f>
        <v/>
      </c>
      <c r="AD12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47" s="7">
        <f>IF(ISBLANK(patch[[#This Row],[number]]),AE1246,patch[[#This Row],[ifCommon]])</f>
        <v>0</v>
      </c>
    </row>
    <row r="1248" spans="1:31">
      <c r="A1248" s="151">
        <v>144079</v>
      </c>
      <c r="B1248" s="151"/>
      <c r="C1248" s="151"/>
      <c r="D1248" s="151"/>
      <c r="E1248" s="151"/>
      <c r="F1248" s="151"/>
      <c r="G1248" s="151"/>
      <c r="H1248" s="151"/>
      <c r="I1248" s="151"/>
      <c r="J1248" s="152">
        <v>42633.70994212963</v>
      </c>
      <c r="K1248" s="151"/>
      <c r="L1248" s="151" t="s">
        <v>63</v>
      </c>
      <c r="M1248" s="152">
        <v>42631.536793981482</v>
      </c>
      <c r="N1248" s="151" t="s">
        <v>2450</v>
      </c>
      <c r="O1248" s="151"/>
      <c r="P1248" s="151"/>
      <c r="Q1248" s="7" t="str">
        <f>IF(ISBLANK(patch[[#This Row],[OwnerEmail]]),Q1247,patch[[#This Row],[OwnerEmail]])</f>
        <v>zongx.li@intel.com</v>
      </c>
      <c r="R1248" s="7" t="str">
        <f>_xlfn.IFNA(VLOOKUP(patch[[#This Row],[tmp-owner.email]],OrgTree!$A:$K, 11, 0), "not ICG SWFW")</f>
        <v>BJ And dev</v>
      </c>
      <c r="S1248" s="7" t="str">
        <f>IF(patch[[#This Row],[reviewer]]=patch[[#This Row],[tmp-owner.email]], "author", _xlfn.IFNA(VLOOKUP(patch[[#This Row],[reviewer]],OrgTree!$A:$K, 11, 0), "not ICG SWFW"))</f>
        <v>author</v>
      </c>
      <c r="T1248" s="7" t="str">
        <f>IF(ISBLANK(patch[[#This Row],[mergeDate]]), "", MID(YEAR(patch[[#This Row],[mergeDate]]), 3,2)&amp;"'ww"&amp;WEEKNUM(patch[[#This Row],[mergeDate]]))</f>
        <v>16'ww39</v>
      </c>
      <c r="U1248" s="7" t="str">
        <f>IF(ISBLANK(patch[[#This Row],[mergeDate]]), U1247, MID(YEAR(patch[[#This Row],[mergeDate]]), 3,2)&amp;"'m"&amp;MONTH(patch[[#This Row],[mergeDate]]))</f>
        <v>16'm9</v>
      </c>
      <c r="V1248" s="7" t="str">
        <f>IF(ISBLANK(patch[[#This Row],[project]]), "",SUM(patch[[#This Row],[BJ -1 num]:[SH -1 num]]))</f>
        <v/>
      </c>
      <c r="W1248" s="7" t="str">
        <f>IF(ISBLANK(patch[[#This Row],[project]]), "",COUNTIFS($A:$A,patch[[#This Row],[number]],$S:$S, "BJ And dev",$AC:$AC, "Review-1"))</f>
        <v/>
      </c>
      <c r="X1248" s="7" t="str">
        <f>IF(ISBLANK(patch[[#This Row],[project]]), "",COUNTIFS($A:$A,patch[[#This Row],[number]],$S:$S, "FL And dev",$AC:$AC, "Review-1"))</f>
        <v/>
      </c>
      <c r="Y1248" s="7" t="str">
        <f>IF(ISBLANK(patch[[#This Row],[project]]), "",COUNTIFS($A:$A,patch[[#This Row],[number]],$S:$S, "SH And dev",$AC:$AC, "Review-1"))</f>
        <v/>
      </c>
      <c r="Z1248" s="7" t="str">
        <f>IF(ISBLANK(patch[[#This Row],[project]]), "",COUNTIFS($A:$A,patch[[#This Row],[number]],$S:$S, "BJ And dev",$AD:$AD, "&lt;&gt;IntegratorValidationComment"))</f>
        <v/>
      </c>
      <c r="AA1248" s="7" t="str">
        <f>IF(ISBLANK(patch[[#This Row],[project]]), "",COUNTIFS($A:$A,patch[[#This Row],[number]],$S:$S, "FL And dev",$AD:$AD, "&lt;&gt;IntegratorValidationComment"))</f>
        <v/>
      </c>
      <c r="AB1248" s="7" t="str">
        <f>IF(ISBLANK(patch[[#This Row],[project]]), "",COUNTIFS($A:$A,patch[[#This Row],[number]],$S:$S, "SH And dev",$AD:$AD, "&lt;&gt;IntegratorValidationComment"))</f>
        <v/>
      </c>
      <c r="AC1248" s="7" t="str">
        <f>IF(OR(ISNUMBER(FIND("Review-1", patch[[#This Row],[comments]])), ISNUMBER(FIND("Approver-1", patch[[#This Row],[comments]]))), "Review-1", "")</f>
        <v/>
      </c>
      <c r="AD12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48" s="7">
        <f>IF(ISBLANK(patch[[#This Row],[number]]),AE1247,patch[[#This Row],[ifCommon]])</f>
        <v>0</v>
      </c>
    </row>
    <row r="1249" spans="1:31">
      <c r="A1249" s="151">
        <v>144079</v>
      </c>
      <c r="B1249" s="151"/>
      <c r="C1249" s="151"/>
      <c r="D1249" s="151"/>
      <c r="E1249" s="151"/>
      <c r="F1249" s="151"/>
      <c r="G1249" s="151"/>
      <c r="H1249" s="151"/>
      <c r="I1249" s="151"/>
      <c r="J1249" s="152">
        <v>42633.70994212963</v>
      </c>
      <c r="K1249" s="151"/>
      <c r="L1249" s="151" t="s">
        <v>63</v>
      </c>
      <c r="M1249" s="152">
        <v>42631.536793981482</v>
      </c>
      <c r="N1249" s="151" t="s">
        <v>1829</v>
      </c>
      <c r="O1249" s="151"/>
      <c r="P1249" s="151"/>
      <c r="Q1249" s="7" t="str">
        <f>IF(ISBLANK(patch[[#This Row],[OwnerEmail]]),Q1248,patch[[#This Row],[OwnerEmail]])</f>
        <v>zongx.li@intel.com</v>
      </c>
      <c r="R1249" s="7" t="str">
        <f>_xlfn.IFNA(VLOOKUP(patch[[#This Row],[tmp-owner.email]],OrgTree!$A:$K, 11, 0), "not ICG SWFW")</f>
        <v>BJ And dev</v>
      </c>
      <c r="S1249" s="7" t="str">
        <f>IF(patch[[#This Row],[reviewer]]=patch[[#This Row],[tmp-owner.email]], "author", _xlfn.IFNA(VLOOKUP(patch[[#This Row],[reviewer]],OrgTree!$A:$K, 11, 0), "not ICG SWFW"))</f>
        <v>author</v>
      </c>
      <c r="T1249" s="7" t="str">
        <f>IF(ISBLANK(patch[[#This Row],[mergeDate]]), "", MID(YEAR(patch[[#This Row],[mergeDate]]), 3,2)&amp;"'ww"&amp;WEEKNUM(patch[[#This Row],[mergeDate]]))</f>
        <v>16'ww39</v>
      </c>
      <c r="U1249" s="7" t="str">
        <f>IF(ISBLANK(patch[[#This Row],[mergeDate]]), U1248, MID(YEAR(patch[[#This Row],[mergeDate]]), 3,2)&amp;"'m"&amp;MONTH(patch[[#This Row],[mergeDate]]))</f>
        <v>16'm9</v>
      </c>
      <c r="V1249" s="7" t="str">
        <f>IF(ISBLANK(patch[[#This Row],[project]]), "",SUM(patch[[#This Row],[BJ -1 num]:[SH -1 num]]))</f>
        <v/>
      </c>
      <c r="W1249" s="7" t="str">
        <f>IF(ISBLANK(patch[[#This Row],[project]]), "",COUNTIFS($A:$A,patch[[#This Row],[number]],$S:$S, "BJ And dev",$AC:$AC, "Review-1"))</f>
        <v/>
      </c>
      <c r="X1249" s="7" t="str">
        <f>IF(ISBLANK(patch[[#This Row],[project]]), "",COUNTIFS($A:$A,patch[[#This Row],[number]],$S:$S, "FL And dev",$AC:$AC, "Review-1"))</f>
        <v/>
      </c>
      <c r="Y1249" s="7" t="str">
        <f>IF(ISBLANK(patch[[#This Row],[project]]), "",COUNTIFS($A:$A,patch[[#This Row],[number]],$S:$S, "SH And dev",$AC:$AC, "Review-1"))</f>
        <v/>
      </c>
      <c r="Z1249" s="7" t="str">
        <f>IF(ISBLANK(patch[[#This Row],[project]]), "",COUNTIFS($A:$A,patch[[#This Row],[number]],$S:$S, "BJ And dev",$AD:$AD, "&lt;&gt;IntegratorValidationComment"))</f>
        <v/>
      </c>
      <c r="AA1249" s="7" t="str">
        <f>IF(ISBLANK(patch[[#This Row],[project]]), "",COUNTIFS($A:$A,patch[[#This Row],[number]],$S:$S, "FL And dev",$AD:$AD, "&lt;&gt;IntegratorValidationComment"))</f>
        <v/>
      </c>
      <c r="AB1249" s="7" t="str">
        <f>IF(ISBLANK(patch[[#This Row],[project]]), "",COUNTIFS($A:$A,patch[[#This Row],[number]],$S:$S, "SH And dev",$AD:$AD, "&lt;&gt;IntegratorValidationComment"))</f>
        <v/>
      </c>
      <c r="AC1249" s="7" t="str">
        <f>IF(OR(ISNUMBER(FIND("Review-1", patch[[#This Row],[comments]])), ISNUMBER(FIND("Approver-1", patch[[#This Row],[comments]]))), "Review-1", "")</f>
        <v/>
      </c>
      <c r="AD12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49" s="7">
        <f>IF(ISBLANK(patch[[#This Row],[number]]),AE1248,patch[[#This Row],[ifCommon]])</f>
        <v>0</v>
      </c>
    </row>
    <row r="1250" spans="1:31">
      <c r="A1250" s="151">
        <v>144079</v>
      </c>
      <c r="B1250" s="151"/>
      <c r="C1250" s="151"/>
      <c r="D1250" s="151"/>
      <c r="E1250" s="151"/>
      <c r="F1250" s="151"/>
      <c r="G1250" s="151"/>
      <c r="H1250" s="151"/>
      <c r="I1250" s="151"/>
      <c r="J1250" s="152">
        <v>42633.70994212963</v>
      </c>
      <c r="K1250" s="151"/>
      <c r="L1250" s="151" t="s">
        <v>63</v>
      </c>
      <c r="M1250" s="152">
        <v>42631.537175925929</v>
      </c>
      <c r="N1250" s="151" t="s">
        <v>48</v>
      </c>
      <c r="O1250" s="151"/>
      <c r="P1250" s="151"/>
      <c r="Q1250" s="7" t="str">
        <f>IF(ISBLANK(patch[[#This Row],[OwnerEmail]]),Q1249,patch[[#This Row],[OwnerEmail]])</f>
        <v>zongx.li@intel.com</v>
      </c>
      <c r="R1250" s="7" t="str">
        <f>_xlfn.IFNA(VLOOKUP(patch[[#This Row],[tmp-owner.email]],OrgTree!$A:$K, 11, 0), "not ICG SWFW")</f>
        <v>BJ And dev</v>
      </c>
      <c r="S1250" s="7" t="str">
        <f>IF(patch[[#This Row],[reviewer]]=patch[[#This Row],[tmp-owner.email]], "author", _xlfn.IFNA(VLOOKUP(patch[[#This Row],[reviewer]],OrgTree!$A:$K, 11, 0), "not ICG SWFW"))</f>
        <v>author</v>
      </c>
      <c r="T1250" s="7" t="str">
        <f>IF(ISBLANK(patch[[#This Row],[mergeDate]]), "", MID(YEAR(patch[[#This Row],[mergeDate]]), 3,2)&amp;"'ww"&amp;WEEKNUM(patch[[#This Row],[mergeDate]]))</f>
        <v>16'ww39</v>
      </c>
      <c r="U1250" s="7" t="str">
        <f>IF(ISBLANK(patch[[#This Row],[mergeDate]]), U1249, MID(YEAR(patch[[#This Row],[mergeDate]]), 3,2)&amp;"'m"&amp;MONTH(patch[[#This Row],[mergeDate]]))</f>
        <v>16'm9</v>
      </c>
      <c r="V1250" s="7" t="str">
        <f>IF(ISBLANK(patch[[#This Row],[project]]), "",SUM(patch[[#This Row],[BJ -1 num]:[SH -1 num]]))</f>
        <v/>
      </c>
      <c r="W1250" s="7" t="str">
        <f>IF(ISBLANK(patch[[#This Row],[project]]), "",COUNTIFS($A:$A,patch[[#This Row],[number]],$S:$S, "BJ And dev",$AC:$AC, "Review-1"))</f>
        <v/>
      </c>
      <c r="X1250" s="7" t="str">
        <f>IF(ISBLANK(patch[[#This Row],[project]]), "",COUNTIFS($A:$A,patch[[#This Row],[number]],$S:$S, "FL And dev",$AC:$AC, "Review-1"))</f>
        <v/>
      </c>
      <c r="Y1250" s="7" t="str">
        <f>IF(ISBLANK(patch[[#This Row],[project]]), "",COUNTIFS($A:$A,patch[[#This Row],[number]],$S:$S, "SH And dev",$AC:$AC, "Review-1"))</f>
        <v/>
      </c>
      <c r="Z1250" s="7" t="str">
        <f>IF(ISBLANK(patch[[#This Row],[project]]), "",COUNTIFS($A:$A,patch[[#This Row],[number]],$S:$S, "BJ And dev",$AD:$AD, "&lt;&gt;IntegratorValidationComment"))</f>
        <v/>
      </c>
      <c r="AA1250" s="7" t="str">
        <f>IF(ISBLANK(patch[[#This Row],[project]]), "",COUNTIFS($A:$A,patch[[#This Row],[number]],$S:$S, "FL And dev",$AD:$AD, "&lt;&gt;IntegratorValidationComment"))</f>
        <v/>
      </c>
      <c r="AB1250" s="7" t="str">
        <f>IF(ISBLANK(patch[[#This Row],[project]]), "",COUNTIFS($A:$A,patch[[#This Row],[number]],$S:$S, "SH And dev",$AD:$AD, "&lt;&gt;IntegratorValidationComment"))</f>
        <v/>
      </c>
      <c r="AC1250" s="7" t="str">
        <f>IF(OR(ISNUMBER(FIND("Review-1", patch[[#This Row],[comments]])), ISNUMBER(FIND("Approver-1", patch[[#This Row],[comments]]))), "Review-1", "")</f>
        <v/>
      </c>
      <c r="AD12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50" s="7">
        <f>IF(ISBLANK(patch[[#This Row],[number]]),AE1249,patch[[#This Row],[ifCommon]])</f>
        <v>0</v>
      </c>
    </row>
    <row r="1251" spans="1:31">
      <c r="A1251" s="151">
        <v>144079</v>
      </c>
      <c r="B1251" s="151"/>
      <c r="C1251" s="151"/>
      <c r="D1251" s="151"/>
      <c r="E1251" s="151"/>
      <c r="F1251" s="151"/>
      <c r="G1251" s="151"/>
      <c r="H1251" s="151"/>
      <c r="I1251" s="151"/>
      <c r="J1251" s="152">
        <v>42633.70994212963</v>
      </c>
      <c r="K1251" s="151"/>
      <c r="L1251" s="151" t="s">
        <v>63</v>
      </c>
      <c r="M1251" s="152">
        <v>42631.60429398148</v>
      </c>
      <c r="N1251" s="151" t="s">
        <v>2451</v>
      </c>
      <c r="O1251" s="151"/>
      <c r="P1251" s="151"/>
      <c r="Q1251" s="7" t="str">
        <f>IF(ISBLANK(patch[[#This Row],[OwnerEmail]]),Q1250,patch[[#This Row],[OwnerEmail]])</f>
        <v>zongx.li@intel.com</v>
      </c>
      <c r="R1251" s="7" t="str">
        <f>_xlfn.IFNA(VLOOKUP(patch[[#This Row],[tmp-owner.email]],OrgTree!$A:$K, 11, 0), "not ICG SWFW")</f>
        <v>BJ And dev</v>
      </c>
      <c r="S1251" s="7" t="str">
        <f>IF(patch[[#This Row],[reviewer]]=patch[[#This Row],[tmp-owner.email]], "author", _xlfn.IFNA(VLOOKUP(patch[[#This Row],[reviewer]],OrgTree!$A:$K, 11, 0), "not ICG SWFW"))</f>
        <v>author</v>
      </c>
      <c r="T1251" s="7" t="str">
        <f>IF(ISBLANK(patch[[#This Row],[mergeDate]]), "", MID(YEAR(patch[[#This Row],[mergeDate]]), 3,2)&amp;"'ww"&amp;WEEKNUM(patch[[#This Row],[mergeDate]]))</f>
        <v>16'ww39</v>
      </c>
      <c r="U1251" s="7" t="str">
        <f>IF(ISBLANK(patch[[#This Row],[mergeDate]]), U1250, MID(YEAR(patch[[#This Row],[mergeDate]]), 3,2)&amp;"'m"&amp;MONTH(patch[[#This Row],[mergeDate]]))</f>
        <v>16'm9</v>
      </c>
      <c r="V1251" s="7" t="str">
        <f>IF(ISBLANK(patch[[#This Row],[project]]), "",SUM(patch[[#This Row],[BJ -1 num]:[SH -1 num]]))</f>
        <v/>
      </c>
      <c r="W1251" s="7" t="str">
        <f>IF(ISBLANK(patch[[#This Row],[project]]), "",COUNTIFS($A:$A,patch[[#This Row],[number]],$S:$S, "BJ And dev",$AC:$AC, "Review-1"))</f>
        <v/>
      </c>
      <c r="X1251" s="7" t="str">
        <f>IF(ISBLANK(patch[[#This Row],[project]]), "",COUNTIFS($A:$A,patch[[#This Row],[number]],$S:$S, "FL And dev",$AC:$AC, "Review-1"))</f>
        <v/>
      </c>
      <c r="Y1251" s="7" t="str">
        <f>IF(ISBLANK(patch[[#This Row],[project]]), "",COUNTIFS($A:$A,patch[[#This Row],[number]],$S:$S, "SH And dev",$AC:$AC, "Review-1"))</f>
        <v/>
      </c>
      <c r="Z1251" s="7" t="str">
        <f>IF(ISBLANK(patch[[#This Row],[project]]), "",COUNTIFS($A:$A,patch[[#This Row],[number]],$S:$S, "BJ And dev",$AD:$AD, "&lt;&gt;IntegratorValidationComment"))</f>
        <v/>
      </c>
      <c r="AA1251" s="7" t="str">
        <f>IF(ISBLANK(patch[[#This Row],[project]]), "",COUNTIFS($A:$A,patch[[#This Row],[number]],$S:$S, "FL And dev",$AD:$AD, "&lt;&gt;IntegratorValidationComment"))</f>
        <v/>
      </c>
      <c r="AB1251" s="7" t="str">
        <f>IF(ISBLANK(patch[[#This Row],[project]]), "",COUNTIFS($A:$A,patch[[#This Row],[number]],$S:$S, "SH And dev",$AD:$AD, "&lt;&gt;IntegratorValidationComment"))</f>
        <v/>
      </c>
      <c r="AC1251" s="7" t="str">
        <f>IF(OR(ISNUMBER(FIND("Review-1", patch[[#This Row],[comments]])), ISNUMBER(FIND("Approver-1", patch[[#This Row],[comments]]))), "Review-1", "")</f>
        <v/>
      </c>
      <c r="AD12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51" s="7">
        <f>IF(ISBLANK(patch[[#This Row],[number]]),AE1250,patch[[#This Row],[ifCommon]])</f>
        <v>0</v>
      </c>
    </row>
    <row r="1252" spans="1:31">
      <c r="A1252" s="151">
        <v>144079</v>
      </c>
      <c r="B1252" s="151"/>
      <c r="C1252" s="151"/>
      <c r="D1252" s="151"/>
      <c r="E1252" s="151"/>
      <c r="F1252" s="151"/>
      <c r="G1252" s="151"/>
      <c r="H1252" s="151"/>
      <c r="I1252" s="151"/>
      <c r="J1252" s="152">
        <v>42633.70994212963</v>
      </c>
      <c r="K1252" s="151"/>
      <c r="L1252" s="151" t="s">
        <v>63</v>
      </c>
      <c r="M1252" s="152">
        <v>42631.60429398148</v>
      </c>
      <c r="N1252" s="151" t="s">
        <v>49</v>
      </c>
      <c r="O1252" s="151"/>
      <c r="P1252" s="151"/>
      <c r="Q1252" s="7" t="str">
        <f>IF(ISBLANK(patch[[#This Row],[OwnerEmail]]),Q1251,patch[[#This Row],[OwnerEmail]])</f>
        <v>zongx.li@intel.com</v>
      </c>
      <c r="R1252" s="7" t="str">
        <f>_xlfn.IFNA(VLOOKUP(patch[[#This Row],[tmp-owner.email]],OrgTree!$A:$K, 11, 0), "not ICG SWFW")</f>
        <v>BJ And dev</v>
      </c>
      <c r="S1252" s="7" t="str">
        <f>IF(patch[[#This Row],[reviewer]]=patch[[#This Row],[tmp-owner.email]], "author", _xlfn.IFNA(VLOOKUP(patch[[#This Row],[reviewer]],OrgTree!$A:$K, 11, 0), "not ICG SWFW"))</f>
        <v>author</v>
      </c>
      <c r="T1252" s="7" t="str">
        <f>IF(ISBLANK(patch[[#This Row],[mergeDate]]), "", MID(YEAR(patch[[#This Row],[mergeDate]]), 3,2)&amp;"'ww"&amp;WEEKNUM(patch[[#This Row],[mergeDate]]))</f>
        <v>16'ww39</v>
      </c>
      <c r="U1252" s="7" t="str">
        <f>IF(ISBLANK(patch[[#This Row],[mergeDate]]), U1251, MID(YEAR(patch[[#This Row],[mergeDate]]), 3,2)&amp;"'m"&amp;MONTH(patch[[#This Row],[mergeDate]]))</f>
        <v>16'm9</v>
      </c>
      <c r="V1252" s="7" t="str">
        <f>IF(ISBLANK(patch[[#This Row],[project]]), "",SUM(patch[[#This Row],[BJ -1 num]:[SH -1 num]]))</f>
        <v/>
      </c>
      <c r="W1252" s="7" t="str">
        <f>IF(ISBLANK(patch[[#This Row],[project]]), "",COUNTIFS($A:$A,patch[[#This Row],[number]],$S:$S, "BJ And dev",$AC:$AC, "Review-1"))</f>
        <v/>
      </c>
      <c r="X1252" s="7" t="str">
        <f>IF(ISBLANK(patch[[#This Row],[project]]), "",COUNTIFS($A:$A,patch[[#This Row],[number]],$S:$S, "FL And dev",$AC:$AC, "Review-1"))</f>
        <v/>
      </c>
      <c r="Y1252" s="7" t="str">
        <f>IF(ISBLANK(patch[[#This Row],[project]]), "",COUNTIFS($A:$A,patch[[#This Row],[number]],$S:$S, "SH And dev",$AC:$AC, "Review-1"))</f>
        <v/>
      </c>
      <c r="Z1252" s="7" t="str">
        <f>IF(ISBLANK(patch[[#This Row],[project]]), "",COUNTIFS($A:$A,patch[[#This Row],[number]],$S:$S, "BJ And dev",$AD:$AD, "&lt;&gt;IntegratorValidationComment"))</f>
        <v/>
      </c>
      <c r="AA1252" s="7" t="str">
        <f>IF(ISBLANK(patch[[#This Row],[project]]), "",COUNTIFS($A:$A,patch[[#This Row],[number]],$S:$S, "FL And dev",$AD:$AD, "&lt;&gt;IntegratorValidationComment"))</f>
        <v/>
      </c>
      <c r="AB1252" s="7" t="str">
        <f>IF(ISBLANK(patch[[#This Row],[project]]), "",COUNTIFS($A:$A,patch[[#This Row],[number]],$S:$S, "SH And dev",$AD:$AD, "&lt;&gt;IntegratorValidationComment"))</f>
        <v/>
      </c>
      <c r="AC1252" s="7" t="str">
        <f>IF(OR(ISNUMBER(FIND("Review-1", patch[[#This Row],[comments]])), ISNUMBER(FIND("Approver-1", patch[[#This Row],[comments]]))), "Review-1", "")</f>
        <v/>
      </c>
      <c r="AD12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52" s="7">
        <f>IF(ISBLANK(patch[[#This Row],[number]]),AE1251,patch[[#This Row],[ifCommon]])</f>
        <v>0</v>
      </c>
    </row>
    <row r="1253" spans="1:31">
      <c r="A1253" s="151">
        <v>144079</v>
      </c>
      <c r="B1253" s="151"/>
      <c r="C1253" s="151"/>
      <c r="D1253" s="151"/>
      <c r="E1253" s="151"/>
      <c r="F1253" s="151"/>
      <c r="G1253" s="151"/>
      <c r="H1253" s="151"/>
      <c r="I1253" s="151"/>
      <c r="J1253" s="152">
        <v>42633.70994212963</v>
      </c>
      <c r="K1253" s="151"/>
      <c r="L1253" s="151" t="s">
        <v>63</v>
      </c>
      <c r="M1253" s="152">
        <v>42631.668807870366</v>
      </c>
      <c r="N1253" s="151" t="s">
        <v>31</v>
      </c>
      <c r="O1253" s="151"/>
      <c r="P1253" s="151"/>
      <c r="Q1253" s="7" t="str">
        <f>IF(ISBLANK(patch[[#This Row],[OwnerEmail]]),Q1252,patch[[#This Row],[OwnerEmail]])</f>
        <v>zongx.li@intel.com</v>
      </c>
      <c r="R1253" s="7" t="str">
        <f>_xlfn.IFNA(VLOOKUP(patch[[#This Row],[tmp-owner.email]],OrgTree!$A:$K, 11, 0), "not ICG SWFW")</f>
        <v>BJ And dev</v>
      </c>
      <c r="S1253" s="7" t="str">
        <f>IF(patch[[#This Row],[reviewer]]=patch[[#This Row],[tmp-owner.email]], "author", _xlfn.IFNA(VLOOKUP(patch[[#This Row],[reviewer]],OrgTree!$A:$K, 11, 0), "not ICG SWFW"))</f>
        <v>author</v>
      </c>
      <c r="T1253" s="7" t="str">
        <f>IF(ISBLANK(patch[[#This Row],[mergeDate]]), "", MID(YEAR(patch[[#This Row],[mergeDate]]), 3,2)&amp;"'ww"&amp;WEEKNUM(patch[[#This Row],[mergeDate]]))</f>
        <v>16'ww39</v>
      </c>
      <c r="U1253" s="7" t="str">
        <f>IF(ISBLANK(patch[[#This Row],[mergeDate]]), U1252, MID(YEAR(patch[[#This Row],[mergeDate]]), 3,2)&amp;"'m"&amp;MONTH(patch[[#This Row],[mergeDate]]))</f>
        <v>16'm9</v>
      </c>
      <c r="V1253" s="7" t="str">
        <f>IF(ISBLANK(patch[[#This Row],[project]]), "",SUM(patch[[#This Row],[BJ -1 num]:[SH -1 num]]))</f>
        <v/>
      </c>
      <c r="W1253" s="7" t="str">
        <f>IF(ISBLANK(patch[[#This Row],[project]]), "",COUNTIFS($A:$A,patch[[#This Row],[number]],$S:$S, "BJ And dev",$AC:$AC, "Review-1"))</f>
        <v/>
      </c>
      <c r="X1253" s="7" t="str">
        <f>IF(ISBLANK(patch[[#This Row],[project]]), "",COUNTIFS($A:$A,patch[[#This Row],[number]],$S:$S, "FL And dev",$AC:$AC, "Review-1"))</f>
        <v/>
      </c>
      <c r="Y1253" s="7" t="str">
        <f>IF(ISBLANK(patch[[#This Row],[project]]), "",COUNTIFS($A:$A,patch[[#This Row],[number]],$S:$S, "SH And dev",$AC:$AC, "Review-1"))</f>
        <v/>
      </c>
      <c r="Z1253" s="7" t="str">
        <f>IF(ISBLANK(patch[[#This Row],[project]]), "",COUNTIFS($A:$A,patch[[#This Row],[number]],$S:$S, "BJ And dev",$AD:$AD, "&lt;&gt;IntegratorValidationComment"))</f>
        <v/>
      </c>
      <c r="AA1253" s="7" t="str">
        <f>IF(ISBLANK(patch[[#This Row],[project]]), "",COUNTIFS($A:$A,patch[[#This Row],[number]],$S:$S, "FL And dev",$AD:$AD, "&lt;&gt;IntegratorValidationComment"))</f>
        <v/>
      </c>
      <c r="AB1253" s="7" t="str">
        <f>IF(ISBLANK(patch[[#This Row],[project]]), "",COUNTIFS($A:$A,patch[[#This Row],[number]],$S:$S, "SH And dev",$AD:$AD, "&lt;&gt;IntegratorValidationComment"))</f>
        <v/>
      </c>
      <c r="AC1253" s="7" t="str">
        <f>IF(OR(ISNUMBER(FIND("Review-1", patch[[#This Row],[comments]])), ISNUMBER(FIND("Approver-1", patch[[#This Row],[comments]]))), "Review-1", "")</f>
        <v/>
      </c>
      <c r="AD12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53" s="7">
        <f>IF(ISBLANK(patch[[#This Row],[number]]),AE1252,patch[[#This Row],[ifCommon]])</f>
        <v>0</v>
      </c>
    </row>
    <row r="1254" spans="1:31">
      <c r="A1254" s="151">
        <v>144079</v>
      </c>
      <c r="B1254" s="151"/>
      <c r="C1254" s="151"/>
      <c r="D1254" s="151"/>
      <c r="E1254" s="151"/>
      <c r="F1254" s="151"/>
      <c r="G1254" s="151"/>
      <c r="H1254" s="151"/>
      <c r="I1254" s="151"/>
      <c r="J1254" s="152">
        <v>42633.70994212963</v>
      </c>
      <c r="K1254" s="151"/>
      <c r="L1254" s="151" t="s">
        <v>1203</v>
      </c>
      <c r="M1254" s="152">
        <v>42631.696377314824</v>
      </c>
      <c r="N1254" s="151" t="s">
        <v>31</v>
      </c>
      <c r="O1254" s="151"/>
      <c r="P1254" s="151"/>
      <c r="Q1254" s="7" t="str">
        <f>IF(ISBLANK(patch[[#This Row],[OwnerEmail]]),Q1253,patch[[#This Row],[OwnerEmail]])</f>
        <v>zongx.li@intel.com</v>
      </c>
      <c r="R1254" s="7" t="str">
        <f>_xlfn.IFNA(VLOOKUP(patch[[#This Row],[tmp-owner.email]],OrgTree!$A:$K, 11, 0), "not ICG SWFW")</f>
        <v>BJ And dev</v>
      </c>
      <c r="S1254" s="7" t="str">
        <f>IF(patch[[#This Row],[reviewer]]=patch[[#This Row],[tmp-owner.email]], "author", _xlfn.IFNA(VLOOKUP(patch[[#This Row],[reviewer]],OrgTree!$A:$K, 11, 0), "not ICG SWFW"))</f>
        <v>BJ And dev</v>
      </c>
      <c r="T1254" s="7" t="str">
        <f>IF(ISBLANK(patch[[#This Row],[mergeDate]]), "", MID(YEAR(patch[[#This Row],[mergeDate]]), 3,2)&amp;"'ww"&amp;WEEKNUM(patch[[#This Row],[mergeDate]]))</f>
        <v>16'ww39</v>
      </c>
      <c r="U1254" s="7" t="str">
        <f>IF(ISBLANK(patch[[#This Row],[mergeDate]]), U1253, MID(YEAR(patch[[#This Row],[mergeDate]]), 3,2)&amp;"'m"&amp;MONTH(patch[[#This Row],[mergeDate]]))</f>
        <v>16'm9</v>
      </c>
      <c r="V1254" s="7" t="str">
        <f>IF(ISBLANK(patch[[#This Row],[project]]), "",SUM(patch[[#This Row],[BJ -1 num]:[SH -1 num]]))</f>
        <v/>
      </c>
      <c r="W1254" s="7" t="str">
        <f>IF(ISBLANK(patch[[#This Row],[project]]), "",COUNTIFS($A:$A,patch[[#This Row],[number]],$S:$S, "BJ And dev",$AC:$AC, "Review-1"))</f>
        <v/>
      </c>
      <c r="X1254" s="7" t="str">
        <f>IF(ISBLANK(patch[[#This Row],[project]]), "",COUNTIFS($A:$A,patch[[#This Row],[number]],$S:$S, "FL And dev",$AC:$AC, "Review-1"))</f>
        <v/>
      </c>
      <c r="Y1254" s="7" t="str">
        <f>IF(ISBLANK(patch[[#This Row],[project]]), "",COUNTIFS($A:$A,patch[[#This Row],[number]],$S:$S, "SH And dev",$AC:$AC, "Review-1"))</f>
        <v/>
      </c>
      <c r="Z1254" s="7" t="str">
        <f>IF(ISBLANK(patch[[#This Row],[project]]), "",COUNTIFS($A:$A,patch[[#This Row],[number]],$S:$S, "BJ And dev",$AD:$AD, "&lt;&gt;IntegratorValidationComment"))</f>
        <v/>
      </c>
      <c r="AA1254" s="7" t="str">
        <f>IF(ISBLANK(patch[[#This Row],[project]]), "",COUNTIFS($A:$A,patch[[#This Row],[number]],$S:$S, "FL And dev",$AD:$AD, "&lt;&gt;IntegratorValidationComment"))</f>
        <v/>
      </c>
      <c r="AB1254" s="7" t="str">
        <f>IF(ISBLANK(patch[[#This Row],[project]]), "",COUNTIFS($A:$A,patch[[#This Row],[number]],$S:$S, "SH And dev",$AD:$AD, "&lt;&gt;IntegratorValidationComment"))</f>
        <v/>
      </c>
      <c r="AC1254" s="7" t="str">
        <f>IF(OR(ISNUMBER(FIND("Review-1", patch[[#This Row],[comments]])), ISNUMBER(FIND("Approver-1", patch[[#This Row],[comments]]))), "Review-1", "")</f>
        <v/>
      </c>
      <c r="AD12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54" s="7">
        <f>IF(ISBLANK(patch[[#This Row],[number]]),AE1253,patch[[#This Row],[ifCommon]])</f>
        <v>0</v>
      </c>
    </row>
    <row r="1255" spans="1:31">
      <c r="A1255" s="151">
        <v>144079</v>
      </c>
      <c r="B1255" s="151"/>
      <c r="C1255" s="151"/>
      <c r="D1255" s="151"/>
      <c r="E1255" s="151"/>
      <c r="F1255" s="151"/>
      <c r="G1255" s="151"/>
      <c r="H1255" s="151"/>
      <c r="I1255" s="151"/>
      <c r="J1255" s="152">
        <v>42633.70994212963</v>
      </c>
      <c r="K1255" s="151"/>
      <c r="L1255" s="151" t="s">
        <v>59</v>
      </c>
      <c r="M1255" s="152">
        <v>42631.700173611112</v>
      </c>
      <c r="N1255" s="151" t="s">
        <v>3155</v>
      </c>
      <c r="O1255" s="151" t="s">
        <v>3213</v>
      </c>
      <c r="P1255" s="151"/>
      <c r="Q1255" s="7" t="str">
        <f>IF(ISBLANK(patch[[#This Row],[OwnerEmail]]),Q1254,patch[[#This Row],[OwnerEmail]])</f>
        <v>zongx.li@intel.com</v>
      </c>
      <c r="R1255" s="7" t="str">
        <f>_xlfn.IFNA(VLOOKUP(patch[[#This Row],[tmp-owner.email]],OrgTree!$A:$K, 11, 0), "not ICG SWFW")</f>
        <v>BJ And dev</v>
      </c>
      <c r="S1255" s="7" t="str">
        <f>IF(patch[[#This Row],[reviewer]]=patch[[#This Row],[tmp-owner.email]], "author", _xlfn.IFNA(VLOOKUP(patch[[#This Row],[reviewer]],OrgTree!$A:$K, 11, 0), "not ICG SWFW"))</f>
        <v>BJ And dev</v>
      </c>
      <c r="T1255" s="7" t="str">
        <f>IF(ISBLANK(patch[[#This Row],[mergeDate]]), "", MID(YEAR(patch[[#This Row],[mergeDate]]), 3,2)&amp;"'ww"&amp;WEEKNUM(patch[[#This Row],[mergeDate]]))</f>
        <v>16'ww39</v>
      </c>
      <c r="U1255" s="7" t="str">
        <f>IF(ISBLANK(patch[[#This Row],[mergeDate]]), U1254, MID(YEAR(patch[[#This Row],[mergeDate]]), 3,2)&amp;"'m"&amp;MONTH(patch[[#This Row],[mergeDate]]))</f>
        <v>16'm9</v>
      </c>
      <c r="V1255" s="7" t="str">
        <f>IF(ISBLANK(patch[[#This Row],[project]]), "",SUM(patch[[#This Row],[BJ -1 num]:[SH -1 num]]))</f>
        <v/>
      </c>
      <c r="W1255" s="7" t="str">
        <f>IF(ISBLANK(patch[[#This Row],[project]]), "",COUNTIFS($A:$A,patch[[#This Row],[number]],$S:$S, "BJ And dev",$AC:$AC, "Review-1"))</f>
        <v/>
      </c>
      <c r="X1255" s="7" t="str">
        <f>IF(ISBLANK(patch[[#This Row],[project]]), "",COUNTIFS($A:$A,patch[[#This Row],[number]],$S:$S, "FL And dev",$AC:$AC, "Review-1"))</f>
        <v/>
      </c>
      <c r="Y1255" s="7" t="str">
        <f>IF(ISBLANK(patch[[#This Row],[project]]), "",COUNTIFS($A:$A,patch[[#This Row],[number]],$S:$S, "SH And dev",$AC:$AC, "Review-1"))</f>
        <v/>
      </c>
      <c r="Z1255" s="7" t="str">
        <f>IF(ISBLANK(patch[[#This Row],[project]]), "",COUNTIFS($A:$A,patch[[#This Row],[number]],$S:$S, "BJ And dev",$AD:$AD, "&lt;&gt;IntegratorValidationComment"))</f>
        <v/>
      </c>
      <c r="AA1255" s="7" t="str">
        <f>IF(ISBLANK(patch[[#This Row],[project]]), "",COUNTIFS($A:$A,patch[[#This Row],[number]],$S:$S, "FL And dev",$AD:$AD, "&lt;&gt;IntegratorValidationComment"))</f>
        <v/>
      </c>
      <c r="AB1255" s="7" t="str">
        <f>IF(ISBLANK(patch[[#This Row],[project]]), "",COUNTIFS($A:$A,patch[[#This Row],[number]],$S:$S, "SH And dev",$AD:$AD, "&lt;&gt;IntegratorValidationComment"))</f>
        <v/>
      </c>
      <c r="AC1255" s="7" t="str">
        <f>IF(OR(ISNUMBER(FIND("Review-1", patch[[#This Row],[comments]])), ISNUMBER(FIND("Approver-1", patch[[#This Row],[comments]]))), "Review-1", "")</f>
        <v>Review-1</v>
      </c>
      <c r="AD12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55" s="7">
        <f>IF(ISBLANK(patch[[#This Row],[number]]),AE1254,patch[[#This Row],[ifCommon]])</f>
        <v>0</v>
      </c>
    </row>
    <row r="1256" spans="1:31">
      <c r="A1256" s="151">
        <v>144079</v>
      </c>
      <c r="B1256" s="151"/>
      <c r="C1256" s="151"/>
      <c r="D1256" s="151"/>
      <c r="E1256" s="151"/>
      <c r="F1256" s="151"/>
      <c r="G1256" s="151"/>
      <c r="H1256" s="151"/>
      <c r="I1256" s="151"/>
      <c r="J1256" s="152">
        <v>42633.70994212963</v>
      </c>
      <c r="K1256" s="151"/>
      <c r="L1256" s="151" t="s">
        <v>63</v>
      </c>
      <c r="M1256" s="152">
        <v>42631.703900462962</v>
      </c>
      <c r="N1256" s="151" t="s">
        <v>2453</v>
      </c>
      <c r="O1256" s="151"/>
      <c r="P1256" s="151"/>
      <c r="Q1256" s="7" t="str">
        <f>IF(ISBLANK(patch[[#This Row],[OwnerEmail]]),Q1255,patch[[#This Row],[OwnerEmail]])</f>
        <v>zongx.li@intel.com</v>
      </c>
      <c r="R1256" s="7" t="str">
        <f>_xlfn.IFNA(VLOOKUP(patch[[#This Row],[tmp-owner.email]],OrgTree!$A:$K, 11, 0), "not ICG SWFW")</f>
        <v>BJ And dev</v>
      </c>
      <c r="S1256" s="7" t="str">
        <f>IF(patch[[#This Row],[reviewer]]=patch[[#This Row],[tmp-owner.email]], "author", _xlfn.IFNA(VLOOKUP(patch[[#This Row],[reviewer]],OrgTree!$A:$K, 11, 0), "not ICG SWFW"))</f>
        <v>author</v>
      </c>
      <c r="T1256" s="7" t="str">
        <f>IF(ISBLANK(patch[[#This Row],[mergeDate]]), "", MID(YEAR(patch[[#This Row],[mergeDate]]), 3,2)&amp;"'ww"&amp;WEEKNUM(patch[[#This Row],[mergeDate]]))</f>
        <v>16'ww39</v>
      </c>
      <c r="U1256" s="7" t="str">
        <f>IF(ISBLANK(patch[[#This Row],[mergeDate]]), U1255, MID(YEAR(patch[[#This Row],[mergeDate]]), 3,2)&amp;"'m"&amp;MONTH(patch[[#This Row],[mergeDate]]))</f>
        <v>16'm9</v>
      </c>
      <c r="V1256" s="7" t="str">
        <f>IF(ISBLANK(patch[[#This Row],[project]]), "",SUM(patch[[#This Row],[BJ -1 num]:[SH -1 num]]))</f>
        <v/>
      </c>
      <c r="W1256" s="7" t="str">
        <f>IF(ISBLANK(patch[[#This Row],[project]]), "",COUNTIFS($A:$A,patch[[#This Row],[number]],$S:$S, "BJ And dev",$AC:$AC, "Review-1"))</f>
        <v/>
      </c>
      <c r="X1256" s="7" t="str">
        <f>IF(ISBLANK(patch[[#This Row],[project]]), "",COUNTIFS($A:$A,patch[[#This Row],[number]],$S:$S, "FL And dev",$AC:$AC, "Review-1"))</f>
        <v/>
      </c>
      <c r="Y1256" s="7" t="str">
        <f>IF(ISBLANK(patch[[#This Row],[project]]), "",COUNTIFS($A:$A,patch[[#This Row],[number]],$S:$S, "SH And dev",$AC:$AC, "Review-1"))</f>
        <v/>
      </c>
      <c r="Z1256" s="7" t="str">
        <f>IF(ISBLANK(patch[[#This Row],[project]]), "",COUNTIFS($A:$A,patch[[#This Row],[number]],$S:$S, "BJ And dev",$AD:$AD, "&lt;&gt;IntegratorValidationComment"))</f>
        <v/>
      </c>
      <c r="AA1256" s="7" t="str">
        <f>IF(ISBLANK(patch[[#This Row],[project]]), "",COUNTIFS($A:$A,patch[[#This Row],[number]],$S:$S, "FL And dev",$AD:$AD, "&lt;&gt;IntegratorValidationComment"))</f>
        <v/>
      </c>
      <c r="AB1256" s="7" t="str">
        <f>IF(ISBLANK(patch[[#This Row],[project]]), "",COUNTIFS($A:$A,patch[[#This Row],[number]],$S:$S, "SH And dev",$AD:$AD, "&lt;&gt;IntegratorValidationComment"))</f>
        <v/>
      </c>
      <c r="AC1256" s="7" t="str">
        <f>IF(OR(ISNUMBER(FIND("Review-1", patch[[#This Row],[comments]])), ISNUMBER(FIND("Approver-1", patch[[#This Row],[comments]]))), "Review-1", "")</f>
        <v/>
      </c>
      <c r="AD12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56" s="7">
        <f>IF(ISBLANK(patch[[#This Row],[number]]),AE1255,patch[[#This Row],[ifCommon]])</f>
        <v>0</v>
      </c>
    </row>
    <row r="1257" spans="1:31">
      <c r="A1257" s="151">
        <v>144079</v>
      </c>
      <c r="B1257" s="151"/>
      <c r="C1257" s="151"/>
      <c r="D1257" s="151"/>
      <c r="E1257" s="151"/>
      <c r="F1257" s="151"/>
      <c r="G1257" s="151"/>
      <c r="H1257" s="151"/>
      <c r="I1257" s="151"/>
      <c r="J1257" s="152">
        <v>42633.70994212963</v>
      </c>
      <c r="K1257" s="151"/>
      <c r="L1257" s="151" t="s">
        <v>63</v>
      </c>
      <c r="M1257" s="152">
        <v>42631.703900462962</v>
      </c>
      <c r="N1257" s="151" t="s">
        <v>1855</v>
      </c>
      <c r="O1257" s="151"/>
      <c r="P1257" s="151"/>
      <c r="Q1257" s="7" t="str">
        <f>IF(ISBLANK(patch[[#This Row],[OwnerEmail]]),Q1256,patch[[#This Row],[OwnerEmail]])</f>
        <v>zongx.li@intel.com</v>
      </c>
      <c r="R1257" s="7" t="str">
        <f>_xlfn.IFNA(VLOOKUP(patch[[#This Row],[tmp-owner.email]],OrgTree!$A:$K, 11, 0), "not ICG SWFW")</f>
        <v>BJ And dev</v>
      </c>
      <c r="S1257" s="7" t="str">
        <f>IF(patch[[#This Row],[reviewer]]=patch[[#This Row],[tmp-owner.email]], "author", _xlfn.IFNA(VLOOKUP(patch[[#This Row],[reviewer]],OrgTree!$A:$K, 11, 0), "not ICG SWFW"))</f>
        <v>author</v>
      </c>
      <c r="T1257" s="7" t="str">
        <f>IF(ISBLANK(patch[[#This Row],[mergeDate]]), "", MID(YEAR(patch[[#This Row],[mergeDate]]), 3,2)&amp;"'ww"&amp;WEEKNUM(patch[[#This Row],[mergeDate]]))</f>
        <v>16'ww39</v>
      </c>
      <c r="U1257" s="7" t="str">
        <f>IF(ISBLANK(patch[[#This Row],[mergeDate]]), U1256, MID(YEAR(patch[[#This Row],[mergeDate]]), 3,2)&amp;"'m"&amp;MONTH(patch[[#This Row],[mergeDate]]))</f>
        <v>16'm9</v>
      </c>
      <c r="V1257" s="7" t="str">
        <f>IF(ISBLANK(patch[[#This Row],[project]]), "",SUM(patch[[#This Row],[BJ -1 num]:[SH -1 num]]))</f>
        <v/>
      </c>
      <c r="W1257" s="7" t="str">
        <f>IF(ISBLANK(patch[[#This Row],[project]]), "",COUNTIFS($A:$A,patch[[#This Row],[number]],$S:$S, "BJ And dev",$AC:$AC, "Review-1"))</f>
        <v/>
      </c>
      <c r="X1257" s="7" t="str">
        <f>IF(ISBLANK(patch[[#This Row],[project]]), "",COUNTIFS($A:$A,patch[[#This Row],[number]],$S:$S, "FL And dev",$AC:$AC, "Review-1"))</f>
        <v/>
      </c>
      <c r="Y1257" s="7" t="str">
        <f>IF(ISBLANK(patch[[#This Row],[project]]), "",COUNTIFS($A:$A,patch[[#This Row],[number]],$S:$S, "SH And dev",$AC:$AC, "Review-1"))</f>
        <v/>
      </c>
      <c r="Z1257" s="7" t="str">
        <f>IF(ISBLANK(patch[[#This Row],[project]]), "",COUNTIFS($A:$A,patch[[#This Row],[number]],$S:$S, "BJ And dev",$AD:$AD, "&lt;&gt;IntegratorValidationComment"))</f>
        <v/>
      </c>
      <c r="AA1257" s="7" t="str">
        <f>IF(ISBLANK(patch[[#This Row],[project]]), "",COUNTIFS($A:$A,patch[[#This Row],[number]],$S:$S, "FL And dev",$AD:$AD, "&lt;&gt;IntegratorValidationComment"))</f>
        <v/>
      </c>
      <c r="AB1257" s="7" t="str">
        <f>IF(ISBLANK(patch[[#This Row],[project]]), "",COUNTIFS($A:$A,patch[[#This Row],[number]],$S:$S, "SH And dev",$AD:$AD, "&lt;&gt;IntegratorValidationComment"))</f>
        <v/>
      </c>
      <c r="AC1257" s="7" t="str">
        <f>IF(OR(ISNUMBER(FIND("Review-1", patch[[#This Row],[comments]])), ISNUMBER(FIND("Approver-1", patch[[#This Row],[comments]]))), "Review-1", "")</f>
        <v/>
      </c>
      <c r="AD12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57" s="7">
        <f>IF(ISBLANK(patch[[#This Row],[number]]),AE1256,patch[[#This Row],[ifCommon]])</f>
        <v>0</v>
      </c>
    </row>
    <row r="1258" spans="1:31">
      <c r="A1258" s="151">
        <v>144079</v>
      </c>
      <c r="B1258" s="151"/>
      <c r="C1258" s="151"/>
      <c r="D1258" s="151"/>
      <c r="E1258" s="151"/>
      <c r="F1258" s="151"/>
      <c r="G1258" s="151"/>
      <c r="H1258" s="151"/>
      <c r="I1258" s="151"/>
      <c r="J1258" s="152">
        <v>42633.70994212963</v>
      </c>
      <c r="K1258" s="151"/>
      <c r="L1258" s="151" t="s">
        <v>63</v>
      </c>
      <c r="M1258" s="152">
        <v>42631.704074074078</v>
      </c>
      <c r="N1258" s="151" t="s">
        <v>1853</v>
      </c>
      <c r="O1258" s="151"/>
      <c r="P1258" s="151"/>
      <c r="Q1258" s="7" t="str">
        <f>IF(ISBLANK(patch[[#This Row],[OwnerEmail]]),Q1257,patch[[#This Row],[OwnerEmail]])</f>
        <v>zongx.li@intel.com</v>
      </c>
      <c r="R1258" s="7" t="str">
        <f>_xlfn.IFNA(VLOOKUP(patch[[#This Row],[tmp-owner.email]],OrgTree!$A:$K, 11, 0), "not ICG SWFW")</f>
        <v>BJ And dev</v>
      </c>
      <c r="S1258" s="7" t="str">
        <f>IF(patch[[#This Row],[reviewer]]=patch[[#This Row],[tmp-owner.email]], "author", _xlfn.IFNA(VLOOKUP(patch[[#This Row],[reviewer]],OrgTree!$A:$K, 11, 0), "not ICG SWFW"))</f>
        <v>author</v>
      </c>
      <c r="T1258" s="7" t="str">
        <f>IF(ISBLANK(patch[[#This Row],[mergeDate]]), "", MID(YEAR(patch[[#This Row],[mergeDate]]), 3,2)&amp;"'ww"&amp;WEEKNUM(patch[[#This Row],[mergeDate]]))</f>
        <v>16'ww39</v>
      </c>
      <c r="U1258" s="7" t="str">
        <f>IF(ISBLANK(patch[[#This Row],[mergeDate]]), U1257, MID(YEAR(patch[[#This Row],[mergeDate]]), 3,2)&amp;"'m"&amp;MONTH(patch[[#This Row],[mergeDate]]))</f>
        <v>16'm9</v>
      </c>
      <c r="V1258" s="7" t="str">
        <f>IF(ISBLANK(patch[[#This Row],[project]]), "",SUM(patch[[#This Row],[BJ -1 num]:[SH -1 num]]))</f>
        <v/>
      </c>
      <c r="W1258" s="7" t="str">
        <f>IF(ISBLANK(patch[[#This Row],[project]]), "",COUNTIFS($A:$A,patch[[#This Row],[number]],$S:$S, "BJ And dev",$AC:$AC, "Review-1"))</f>
        <v/>
      </c>
      <c r="X1258" s="7" t="str">
        <f>IF(ISBLANK(patch[[#This Row],[project]]), "",COUNTIFS($A:$A,patch[[#This Row],[number]],$S:$S, "FL And dev",$AC:$AC, "Review-1"))</f>
        <v/>
      </c>
      <c r="Y1258" s="7" t="str">
        <f>IF(ISBLANK(patch[[#This Row],[project]]), "",COUNTIFS($A:$A,patch[[#This Row],[number]],$S:$S, "SH And dev",$AC:$AC, "Review-1"))</f>
        <v/>
      </c>
      <c r="Z1258" s="7" t="str">
        <f>IF(ISBLANK(patch[[#This Row],[project]]), "",COUNTIFS($A:$A,patch[[#This Row],[number]],$S:$S, "BJ And dev",$AD:$AD, "&lt;&gt;IntegratorValidationComment"))</f>
        <v/>
      </c>
      <c r="AA1258" s="7" t="str">
        <f>IF(ISBLANK(patch[[#This Row],[project]]), "",COUNTIFS($A:$A,patch[[#This Row],[number]],$S:$S, "FL And dev",$AD:$AD, "&lt;&gt;IntegratorValidationComment"))</f>
        <v/>
      </c>
      <c r="AB1258" s="7" t="str">
        <f>IF(ISBLANK(patch[[#This Row],[project]]), "",COUNTIFS($A:$A,patch[[#This Row],[number]],$S:$S, "SH And dev",$AD:$AD, "&lt;&gt;IntegratorValidationComment"))</f>
        <v/>
      </c>
      <c r="AC1258" s="7" t="str">
        <f>IF(OR(ISNUMBER(FIND("Review-1", patch[[#This Row],[comments]])), ISNUMBER(FIND("Approver-1", patch[[#This Row],[comments]]))), "Review-1", "")</f>
        <v/>
      </c>
      <c r="AD12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58" s="7">
        <f>IF(ISBLANK(patch[[#This Row],[number]]),AE1257,patch[[#This Row],[ifCommon]])</f>
        <v>0</v>
      </c>
    </row>
    <row r="1259" spans="1:31">
      <c r="A1259" s="151">
        <v>144079</v>
      </c>
      <c r="B1259" s="151"/>
      <c r="C1259" s="151"/>
      <c r="D1259" s="151"/>
      <c r="E1259" s="151"/>
      <c r="F1259" s="151"/>
      <c r="G1259" s="151"/>
      <c r="H1259" s="151"/>
      <c r="I1259" s="151"/>
      <c r="J1259" s="152">
        <v>42633.70994212963</v>
      </c>
      <c r="K1259" s="151"/>
      <c r="L1259" s="151" t="s">
        <v>59</v>
      </c>
      <c r="M1259" s="152">
        <v>42631.704942129632</v>
      </c>
      <c r="N1259" s="151" t="s">
        <v>1853</v>
      </c>
      <c r="O1259" s="151"/>
      <c r="P1259" s="151"/>
      <c r="Q1259" s="7" t="str">
        <f>IF(ISBLANK(patch[[#This Row],[OwnerEmail]]),Q1258,patch[[#This Row],[OwnerEmail]])</f>
        <v>zongx.li@intel.com</v>
      </c>
      <c r="R1259" s="7" t="str">
        <f>_xlfn.IFNA(VLOOKUP(patch[[#This Row],[tmp-owner.email]],OrgTree!$A:$K, 11, 0), "not ICG SWFW")</f>
        <v>BJ And dev</v>
      </c>
      <c r="S1259" s="7" t="str">
        <f>IF(patch[[#This Row],[reviewer]]=patch[[#This Row],[tmp-owner.email]], "author", _xlfn.IFNA(VLOOKUP(patch[[#This Row],[reviewer]],OrgTree!$A:$K, 11, 0), "not ICG SWFW"))</f>
        <v>BJ And dev</v>
      </c>
      <c r="T1259" s="7" t="str">
        <f>IF(ISBLANK(patch[[#This Row],[mergeDate]]), "", MID(YEAR(patch[[#This Row],[mergeDate]]), 3,2)&amp;"'ww"&amp;WEEKNUM(patch[[#This Row],[mergeDate]]))</f>
        <v>16'ww39</v>
      </c>
      <c r="U1259" s="7" t="str">
        <f>IF(ISBLANK(patch[[#This Row],[mergeDate]]), U1258, MID(YEAR(patch[[#This Row],[mergeDate]]), 3,2)&amp;"'m"&amp;MONTH(patch[[#This Row],[mergeDate]]))</f>
        <v>16'm9</v>
      </c>
      <c r="V1259" s="7" t="str">
        <f>IF(ISBLANK(patch[[#This Row],[project]]), "",SUM(patch[[#This Row],[BJ -1 num]:[SH -1 num]]))</f>
        <v/>
      </c>
      <c r="W1259" s="7" t="str">
        <f>IF(ISBLANK(patch[[#This Row],[project]]), "",COUNTIFS($A:$A,patch[[#This Row],[number]],$S:$S, "BJ And dev",$AC:$AC, "Review-1"))</f>
        <v/>
      </c>
      <c r="X1259" s="7" t="str">
        <f>IF(ISBLANK(patch[[#This Row],[project]]), "",COUNTIFS($A:$A,patch[[#This Row],[number]],$S:$S, "FL And dev",$AC:$AC, "Review-1"))</f>
        <v/>
      </c>
      <c r="Y1259" s="7" t="str">
        <f>IF(ISBLANK(patch[[#This Row],[project]]), "",COUNTIFS($A:$A,patch[[#This Row],[number]],$S:$S, "SH And dev",$AC:$AC, "Review-1"))</f>
        <v/>
      </c>
      <c r="Z1259" s="7" t="str">
        <f>IF(ISBLANK(patch[[#This Row],[project]]), "",COUNTIFS($A:$A,patch[[#This Row],[number]],$S:$S, "BJ And dev",$AD:$AD, "&lt;&gt;IntegratorValidationComment"))</f>
        <v/>
      </c>
      <c r="AA1259" s="7" t="str">
        <f>IF(ISBLANK(patch[[#This Row],[project]]), "",COUNTIFS($A:$A,patch[[#This Row],[number]],$S:$S, "FL And dev",$AD:$AD, "&lt;&gt;IntegratorValidationComment"))</f>
        <v/>
      </c>
      <c r="AB1259" s="7" t="str">
        <f>IF(ISBLANK(patch[[#This Row],[project]]), "",COUNTIFS($A:$A,patch[[#This Row],[number]],$S:$S, "SH And dev",$AD:$AD, "&lt;&gt;IntegratorValidationComment"))</f>
        <v/>
      </c>
      <c r="AC1259" s="7" t="str">
        <f>IF(OR(ISNUMBER(FIND("Review-1", patch[[#This Row],[comments]])), ISNUMBER(FIND("Approver-1", patch[[#This Row],[comments]]))), "Review-1", "")</f>
        <v/>
      </c>
      <c r="AD12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59" s="7">
        <f>IF(ISBLANK(patch[[#This Row],[number]]),AE1258,patch[[#This Row],[ifCommon]])</f>
        <v>0</v>
      </c>
    </row>
    <row r="1260" spans="1:31">
      <c r="A1260" s="151">
        <v>144079</v>
      </c>
      <c r="B1260" s="151"/>
      <c r="C1260" s="151"/>
      <c r="D1260" s="151"/>
      <c r="E1260" s="151"/>
      <c r="F1260" s="151"/>
      <c r="G1260" s="151"/>
      <c r="H1260" s="151"/>
      <c r="I1260" s="151"/>
      <c r="J1260" s="152">
        <v>42633.70994212963</v>
      </c>
      <c r="K1260" s="151"/>
      <c r="L1260" s="151" t="s">
        <v>32</v>
      </c>
      <c r="M1260" s="152">
        <v>42631.781273148154</v>
      </c>
      <c r="N1260" s="151" t="s">
        <v>2533</v>
      </c>
      <c r="O1260" s="151" t="s">
        <v>3214</v>
      </c>
      <c r="P1260" s="151"/>
      <c r="Q1260" s="7" t="str">
        <f>IF(ISBLANK(patch[[#This Row],[OwnerEmail]]),Q1259,patch[[#This Row],[OwnerEmail]])</f>
        <v>zongx.li@intel.com</v>
      </c>
      <c r="R1260" s="7" t="str">
        <f>_xlfn.IFNA(VLOOKUP(patch[[#This Row],[tmp-owner.email]],OrgTree!$A:$K, 11, 0), "not ICG SWFW")</f>
        <v>BJ And dev</v>
      </c>
      <c r="S1260" s="7" t="str">
        <f>IF(patch[[#This Row],[reviewer]]=patch[[#This Row],[tmp-owner.email]], "author", _xlfn.IFNA(VLOOKUP(patch[[#This Row],[reviewer]],OrgTree!$A:$K, 11, 0), "not ICG SWFW"))</f>
        <v>BJ And dev</v>
      </c>
      <c r="T1260" s="7" t="str">
        <f>IF(ISBLANK(patch[[#This Row],[mergeDate]]), "", MID(YEAR(patch[[#This Row],[mergeDate]]), 3,2)&amp;"'ww"&amp;WEEKNUM(patch[[#This Row],[mergeDate]]))</f>
        <v>16'ww39</v>
      </c>
      <c r="U1260" s="7" t="str">
        <f>IF(ISBLANK(patch[[#This Row],[mergeDate]]), U1259, MID(YEAR(patch[[#This Row],[mergeDate]]), 3,2)&amp;"'m"&amp;MONTH(patch[[#This Row],[mergeDate]]))</f>
        <v>16'm9</v>
      </c>
      <c r="V1260" s="7" t="str">
        <f>IF(ISBLANK(patch[[#This Row],[project]]), "",SUM(patch[[#This Row],[BJ -1 num]:[SH -1 num]]))</f>
        <v/>
      </c>
      <c r="W1260" s="7" t="str">
        <f>IF(ISBLANK(patch[[#This Row],[project]]), "",COUNTIFS($A:$A,patch[[#This Row],[number]],$S:$S, "BJ And dev",$AC:$AC, "Review-1"))</f>
        <v/>
      </c>
      <c r="X1260" s="7" t="str">
        <f>IF(ISBLANK(patch[[#This Row],[project]]), "",COUNTIFS($A:$A,patch[[#This Row],[number]],$S:$S, "FL And dev",$AC:$AC, "Review-1"))</f>
        <v/>
      </c>
      <c r="Y1260" s="7" t="str">
        <f>IF(ISBLANK(patch[[#This Row],[project]]), "",COUNTIFS($A:$A,patch[[#This Row],[number]],$S:$S, "SH And dev",$AC:$AC, "Review-1"))</f>
        <v/>
      </c>
      <c r="Z1260" s="7" t="str">
        <f>IF(ISBLANK(patch[[#This Row],[project]]), "",COUNTIFS($A:$A,patch[[#This Row],[number]],$S:$S, "BJ And dev",$AD:$AD, "&lt;&gt;IntegratorValidationComment"))</f>
        <v/>
      </c>
      <c r="AA1260" s="7" t="str">
        <f>IF(ISBLANK(patch[[#This Row],[project]]), "",COUNTIFS($A:$A,patch[[#This Row],[number]],$S:$S, "FL And dev",$AD:$AD, "&lt;&gt;IntegratorValidationComment"))</f>
        <v/>
      </c>
      <c r="AB1260" s="7" t="str">
        <f>IF(ISBLANK(patch[[#This Row],[project]]), "",COUNTIFS($A:$A,patch[[#This Row],[number]],$S:$S, "SH And dev",$AD:$AD, "&lt;&gt;IntegratorValidationComment"))</f>
        <v/>
      </c>
      <c r="AC1260" s="7" t="str">
        <f>IF(OR(ISNUMBER(FIND("Review-1", patch[[#This Row],[comments]])), ISNUMBER(FIND("Approver-1", patch[[#This Row],[comments]]))), "Review-1", "")</f>
        <v>Review-1</v>
      </c>
      <c r="AD12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60" s="7">
        <f>IF(ISBLANK(patch[[#This Row],[number]]),AE1259,patch[[#This Row],[ifCommon]])</f>
        <v>0</v>
      </c>
    </row>
    <row r="1261" spans="1:31">
      <c r="A1261" s="151">
        <v>144079</v>
      </c>
      <c r="B1261" s="151"/>
      <c r="C1261" s="151"/>
      <c r="D1261" s="151"/>
      <c r="E1261" s="151"/>
      <c r="F1261" s="151"/>
      <c r="G1261" s="151"/>
      <c r="H1261" s="151"/>
      <c r="I1261" s="151"/>
      <c r="J1261" s="152">
        <v>42633.70994212963</v>
      </c>
      <c r="K1261" s="151"/>
      <c r="L1261" s="151" t="s">
        <v>59</v>
      </c>
      <c r="M1261" s="152">
        <v>42631.783206018517</v>
      </c>
      <c r="N1261" s="151" t="s">
        <v>3215</v>
      </c>
      <c r="O1261" s="151"/>
      <c r="P1261" s="151"/>
      <c r="Q1261" s="7" t="str">
        <f>IF(ISBLANK(patch[[#This Row],[OwnerEmail]]),Q1260,patch[[#This Row],[OwnerEmail]])</f>
        <v>zongx.li@intel.com</v>
      </c>
      <c r="R1261" s="7" t="str">
        <f>_xlfn.IFNA(VLOOKUP(patch[[#This Row],[tmp-owner.email]],OrgTree!$A:$K, 11, 0), "not ICG SWFW")</f>
        <v>BJ And dev</v>
      </c>
      <c r="S1261" s="7" t="str">
        <f>IF(patch[[#This Row],[reviewer]]=patch[[#This Row],[tmp-owner.email]], "author", _xlfn.IFNA(VLOOKUP(patch[[#This Row],[reviewer]],OrgTree!$A:$K, 11, 0), "not ICG SWFW"))</f>
        <v>BJ And dev</v>
      </c>
      <c r="T1261" s="7" t="str">
        <f>IF(ISBLANK(patch[[#This Row],[mergeDate]]), "", MID(YEAR(patch[[#This Row],[mergeDate]]), 3,2)&amp;"'ww"&amp;WEEKNUM(patch[[#This Row],[mergeDate]]))</f>
        <v>16'ww39</v>
      </c>
      <c r="U1261" s="7" t="str">
        <f>IF(ISBLANK(patch[[#This Row],[mergeDate]]), U1260, MID(YEAR(patch[[#This Row],[mergeDate]]), 3,2)&amp;"'m"&amp;MONTH(patch[[#This Row],[mergeDate]]))</f>
        <v>16'm9</v>
      </c>
      <c r="V1261" s="7" t="str">
        <f>IF(ISBLANK(patch[[#This Row],[project]]), "",SUM(patch[[#This Row],[BJ -1 num]:[SH -1 num]]))</f>
        <v/>
      </c>
      <c r="W1261" s="7" t="str">
        <f>IF(ISBLANK(patch[[#This Row],[project]]), "",COUNTIFS($A:$A,patch[[#This Row],[number]],$S:$S, "BJ And dev",$AC:$AC, "Review-1"))</f>
        <v/>
      </c>
      <c r="X1261" s="7" t="str">
        <f>IF(ISBLANK(patch[[#This Row],[project]]), "",COUNTIFS($A:$A,patch[[#This Row],[number]],$S:$S, "FL And dev",$AC:$AC, "Review-1"))</f>
        <v/>
      </c>
      <c r="Y1261" s="7" t="str">
        <f>IF(ISBLANK(patch[[#This Row],[project]]), "",COUNTIFS($A:$A,patch[[#This Row],[number]],$S:$S, "SH And dev",$AC:$AC, "Review-1"))</f>
        <v/>
      </c>
      <c r="Z1261" s="7" t="str">
        <f>IF(ISBLANK(patch[[#This Row],[project]]), "",COUNTIFS($A:$A,patch[[#This Row],[number]],$S:$S, "BJ And dev",$AD:$AD, "&lt;&gt;IntegratorValidationComment"))</f>
        <v/>
      </c>
      <c r="AA1261" s="7" t="str">
        <f>IF(ISBLANK(patch[[#This Row],[project]]), "",COUNTIFS($A:$A,patch[[#This Row],[number]],$S:$S, "FL And dev",$AD:$AD, "&lt;&gt;IntegratorValidationComment"))</f>
        <v/>
      </c>
      <c r="AB1261" s="7" t="str">
        <f>IF(ISBLANK(patch[[#This Row],[project]]), "",COUNTIFS($A:$A,patch[[#This Row],[number]],$S:$S, "SH And dev",$AD:$AD, "&lt;&gt;IntegratorValidationComment"))</f>
        <v/>
      </c>
      <c r="AC1261" s="7" t="str">
        <f>IF(OR(ISNUMBER(FIND("Review-1", patch[[#This Row],[comments]])), ISNUMBER(FIND("Approver-1", patch[[#This Row],[comments]]))), "Review-1", "")</f>
        <v/>
      </c>
      <c r="AD12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61" s="7">
        <f>IF(ISBLANK(patch[[#This Row],[number]]),AE1260,patch[[#This Row],[ifCommon]])</f>
        <v>0</v>
      </c>
    </row>
    <row r="1262" spans="1:31">
      <c r="A1262" s="151">
        <v>144079</v>
      </c>
      <c r="B1262" s="151"/>
      <c r="C1262" s="151"/>
      <c r="D1262" s="151"/>
      <c r="E1262" s="151"/>
      <c r="F1262" s="151"/>
      <c r="G1262" s="151"/>
      <c r="H1262" s="151"/>
      <c r="I1262" s="151"/>
      <c r="J1262" s="152">
        <v>42633.70994212963</v>
      </c>
      <c r="K1262" s="151"/>
      <c r="L1262" s="151" t="s">
        <v>59</v>
      </c>
      <c r="M1262" s="152">
        <v>42631.815960648149</v>
      </c>
      <c r="N1262" s="151" t="s">
        <v>3216</v>
      </c>
      <c r="O1262" s="151"/>
      <c r="P1262" s="151"/>
      <c r="Q1262" s="7" t="str">
        <f>IF(ISBLANK(patch[[#This Row],[OwnerEmail]]),Q1261,patch[[#This Row],[OwnerEmail]])</f>
        <v>zongx.li@intel.com</v>
      </c>
      <c r="R1262" s="7" t="str">
        <f>_xlfn.IFNA(VLOOKUP(patch[[#This Row],[tmp-owner.email]],OrgTree!$A:$K, 11, 0), "not ICG SWFW")</f>
        <v>BJ And dev</v>
      </c>
      <c r="S1262" s="7" t="str">
        <f>IF(patch[[#This Row],[reviewer]]=patch[[#This Row],[tmp-owner.email]], "author", _xlfn.IFNA(VLOOKUP(patch[[#This Row],[reviewer]],OrgTree!$A:$K, 11, 0), "not ICG SWFW"))</f>
        <v>BJ And dev</v>
      </c>
      <c r="T1262" s="7" t="str">
        <f>IF(ISBLANK(patch[[#This Row],[mergeDate]]), "", MID(YEAR(patch[[#This Row],[mergeDate]]), 3,2)&amp;"'ww"&amp;WEEKNUM(patch[[#This Row],[mergeDate]]))</f>
        <v>16'ww39</v>
      </c>
      <c r="U1262" s="7" t="str">
        <f>IF(ISBLANK(patch[[#This Row],[mergeDate]]), U1261, MID(YEAR(patch[[#This Row],[mergeDate]]), 3,2)&amp;"'m"&amp;MONTH(patch[[#This Row],[mergeDate]]))</f>
        <v>16'm9</v>
      </c>
      <c r="V1262" s="7" t="str">
        <f>IF(ISBLANK(patch[[#This Row],[project]]), "",SUM(patch[[#This Row],[BJ -1 num]:[SH -1 num]]))</f>
        <v/>
      </c>
      <c r="W1262" s="7" t="str">
        <f>IF(ISBLANK(patch[[#This Row],[project]]), "",COUNTIFS($A:$A,patch[[#This Row],[number]],$S:$S, "BJ And dev",$AC:$AC, "Review-1"))</f>
        <v/>
      </c>
      <c r="X1262" s="7" t="str">
        <f>IF(ISBLANK(patch[[#This Row],[project]]), "",COUNTIFS($A:$A,patch[[#This Row],[number]],$S:$S, "FL And dev",$AC:$AC, "Review-1"))</f>
        <v/>
      </c>
      <c r="Y1262" s="7" t="str">
        <f>IF(ISBLANK(patch[[#This Row],[project]]), "",COUNTIFS($A:$A,patch[[#This Row],[number]],$S:$S, "SH And dev",$AC:$AC, "Review-1"))</f>
        <v/>
      </c>
      <c r="Z1262" s="7" t="str">
        <f>IF(ISBLANK(patch[[#This Row],[project]]), "",COUNTIFS($A:$A,patch[[#This Row],[number]],$S:$S, "BJ And dev",$AD:$AD, "&lt;&gt;IntegratorValidationComment"))</f>
        <v/>
      </c>
      <c r="AA1262" s="7" t="str">
        <f>IF(ISBLANK(patch[[#This Row],[project]]), "",COUNTIFS($A:$A,patch[[#This Row],[number]],$S:$S, "FL And dev",$AD:$AD, "&lt;&gt;IntegratorValidationComment"))</f>
        <v/>
      </c>
      <c r="AB1262" s="7" t="str">
        <f>IF(ISBLANK(patch[[#This Row],[project]]), "",COUNTIFS($A:$A,patch[[#This Row],[number]],$S:$S, "SH And dev",$AD:$AD, "&lt;&gt;IntegratorValidationComment"))</f>
        <v/>
      </c>
      <c r="AC1262" s="7" t="str">
        <f>IF(OR(ISNUMBER(FIND("Review-1", patch[[#This Row],[comments]])), ISNUMBER(FIND("Approver-1", patch[[#This Row],[comments]]))), "Review-1", "")</f>
        <v/>
      </c>
      <c r="AD12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62" s="7">
        <f>IF(ISBLANK(patch[[#This Row],[number]]),AE1261,patch[[#This Row],[ifCommon]])</f>
        <v>0</v>
      </c>
    </row>
    <row r="1263" spans="1:31">
      <c r="A1263" s="151">
        <v>144079</v>
      </c>
      <c r="B1263" s="151"/>
      <c r="C1263" s="151"/>
      <c r="D1263" s="151"/>
      <c r="E1263" s="151"/>
      <c r="F1263" s="151"/>
      <c r="G1263" s="151"/>
      <c r="H1263" s="151"/>
      <c r="I1263" s="151"/>
      <c r="J1263" s="152">
        <v>42633.70994212963</v>
      </c>
      <c r="K1263" s="151"/>
      <c r="L1263" s="151" t="s">
        <v>63</v>
      </c>
      <c r="M1263" s="152">
        <v>42632.434317129628</v>
      </c>
      <c r="N1263" s="151" t="s">
        <v>2465</v>
      </c>
      <c r="O1263" s="151"/>
      <c r="P1263" s="151"/>
      <c r="Q1263" s="7" t="str">
        <f>IF(ISBLANK(patch[[#This Row],[OwnerEmail]]),Q1262,patch[[#This Row],[OwnerEmail]])</f>
        <v>zongx.li@intel.com</v>
      </c>
      <c r="R1263" s="7" t="str">
        <f>_xlfn.IFNA(VLOOKUP(patch[[#This Row],[tmp-owner.email]],OrgTree!$A:$K, 11, 0), "not ICG SWFW")</f>
        <v>BJ And dev</v>
      </c>
      <c r="S1263" s="7" t="str">
        <f>IF(patch[[#This Row],[reviewer]]=patch[[#This Row],[tmp-owner.email]], "author", _xlfn.IFNA(VLOOKUP(patch[[#This Row],[reviewer]],OrgTree!$A:$K, 11, 0), "not ICG SWFW"))</f>
        <v>author</v>
      </c>
      <c r="T1263" s="7" t="str">
        <f>IF(ISBLANK(patch[[#This Row],[mergeDate]]), "", MID(YEAR(patch[[#This Row],[mergeDate]]), 3,2)&amp;"'ww"&amp;WEEKNUM(patch[[#This Row],[mergeDate]]))</f>
        <v>16'ww39</v>
      </c>
      <c r="U1263" s="7" t="str">
        <f>IF(ISBLANK(patch[[#This Row],[mergeDate]]), U1262, MID(YEAR(patch[[#This Row],[mergeDate]]), 3,2)&amp;"'m"&amp;MONTH(patch[[#This Row],[mergeDate]]))</f>
        <v>16'm9</v>
      </c>
      <c r="V1263" s="7" t="str">
        <f>IF(ISBLANK(patch[[#This Row],[project]]), "",SUM(patch[[#This Row],[BJ -1 num]:[SH -1 num]]))</f>
        <v/>
      </c>
      <c r="W1263" s="7" t="str">
        <f>IF(ISBLANK(patch[[#This Row],[project]]), "",COUNTIFS($A:$A,patch[[#This Row],[number]],$S:$S, "BJ And dev",$AC:$AC, "Review-1"))</f>
        <v/>
      </c>
      <c r="X1263" s="7" t="str">
        <f>IF(ISBLANK(patch[[#This Row],[project]]), "",COUNTIFS($A:$A,patch[[#This Row],[number]],$S:$S, "FL And dev",$AC:$AC, "Review-1"))</f>
        <v/>
      </c>
      <c r="Y1263" s="7" t="str">
        <f>IF(ISBLANK(patch[[#This Row],[project]]), "",COUNTIFS($A:$A,patch[[#This Row],[number]],$S:$S, "SH And dev",$AC:$AC, "Review-1"))</f>
        <v/>
      </c>
      <c r="Z1263" s="7" t="str">
        <f>IF(ISBLANK(patch[[#This Row],[project]]), "",COUNTIFS($A:$A,patch[[#This Row],[number]],$S:$S, "BJ And dev",$AD:$AD, "&lt;&gt;IntegratorValidationComment"))</f>
        <v/>
      </c>
      <c r="AA1263" s="7" t="str">
        <f>IF(ISBLANK(patch[[#This Row],[project]]), "",COUNTIFS($A:$A,patch[[#This Row],[number]],$S:$S, "FL And dev",$AD:$AD, "&lt;&gt;IntegratorValidationComment"))</f>
        <v/>
      </c>
      <c r="AB1263" s="7" t="str">
        <f>IF(ISBLANK(patch[[#This Row],[project]]), "",COUNTIFS($A:$A,patch[[#This Row],[number]],$S:$S, "SH And dev",$AD:$AD, "&lt;&gt;IntegratorValidationComment"))</f>
        <v/>
      </c>
      <c r="AC1263" s="7" t="str">
        <f>IF(OR(ISNUMBER(FIND("Review-1", patch[[#This Row],[comments]])), ISNUMBER(FIND("Approver-1", patch[[#This Row],[comments]]))), "Review-1", "")</f>
        <v/>
      </c>
      <c r="AD12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63" s="7">
        <f>IF(ISBLANK(patch[[#This Row],[number]]),AE1262,patch[[#This Row],[ifCommon]])</f>
        <v>0</v>
      </c>
    </row>
    <row r="1264" spans="1:31">
      <c r="A1264" s="151">
        <v>144079</v>
      </c>
      <c r="B1264" s="151"/>
      <c r="C1264" s="151"/>
      <c r="D1264" s="151"/>
      <c r="E1264" s="151"/>
      <c r="F1264" s="151"/>
      <c r="G1264" s="151"/>
      <c r="H1264" s="151"/>
      <c r="I1264" s="151"/>
      <c r="J1264" s="152">
        <v>42633.70994212963</v>
      </c>
      <c r="K1264" s="151"/>
      <c r="L1264" s="151" t="s">
        <v>63</v>
      </c>
      <c r="M1264" s="152">
        <v>42632.434317129628</v>
      </c>
      <c r="N1264" s="151" t="s">
        <v>1842</v>
      </c>
      <c r="O1264" s="151"/>
      <c r="P1264" s="151"/>
      <c r="Q1264" s="7" t="str">
        <f>IF(ISBLANK(patch[[#This Row],[OwnerEmail]]),Q1263,patch[[#This Row],[OwnerEmail]])</f>
        <v>zongx.li@intel.com</v>
      </c>
      <c r="R1264" s="7" t="str">
        <f>_xlfn.IFNA(VLOOKUP(patch[[#This Row],[tmp-owner.email]],OrgTree!$A:$K, 11, 0), "not ICG SWFW")</f>
        <v>BJ And dev</v>
      </c>
      <c r="S1264" s="7" t="str">
        <f>IF(patch[[#This Row],[reviewer]]=patch[[#This Row],[tmp-owner.email]], "author", _xlfn.IFNA(VLOOKUP(patch[[#This Row],[reviewer]],OrgTree!$A:$K, 11, 0), "not ICG SWFW"))</f>
        <v>author</v>
      </c>
      <c r="T1264" s="7" t="str">
        <f>IF(ISBLANK(patch[[#This Row],[mergeDate]]), "", MID(YEAR(patch[[#This Row],[mergeDate]]), 3,2)&amp;"'ww"&amp;WEEKNUM(patch[[#This Row],[mergeDate]]))</f>
        <v>16'ww39</v>
      </c>
      <c r="U1264" s="7" t="str">
        <f>IF(ISBLANK(patch[[#This Row],[mergeDate]]), U1263, MID(YEAR(patch[[#This Row],[mergeDate]]), 3,2)&amp;"'m"&amp;MONTH(patch[[#This Row],[mergeDate]]))</f>
        <v>16'm9</v>
      </c>
      <c r="V1264" s="7" t="str">
        <f>IF(ISBLANK(patch[[#This Row],[project]]), "",SUM(patch[[#This Row],[BJ -1 num]:[SH -1 num]]))</f>
        <v/>
      </c>
      <c r="W1264" s="7" t="str">
        <f>IF(ISBLANK(patch[[#This Row],[project]]), "",COUNTIFS($A:$A,patch[[#This Row],[number]],$S:$S, "BJ And dev",$AC:$AC, "Review-1"))</f>
        <v/>
      </c>
      <c r="X1264" s="7" t="str">
        <f>IF(ISBLANK(patch[[#This Row],[project]]), "",COUNTIFS($A:$A,patch[[#This Row],[number]],$S:$S, "FL And dev",$AC:$AC, "Review-1"))</f>
        <v/>
      </c>
      <c r="Y1264" s="7" t="str">
        <f>IF(ISBLANK(patch[[#This Row],[project]]), "",COUNTIFS($A:$A,patch[[#This Row],[number]],$S:$S, "SH And dev",$AC:$AC, "Review-1"))</f>
        <v/>
      </c>
      <c r="Z1264" s="7" t="str">
        <f>IF(ISBLANK(patch[[#This Row],[project]]), "",COUNTIFS($A:$A,patch[[#This Row],[number]],$S:$S, "BJ And dev",$AD:$AD, "&lt;&gt;IntegratorValidationComment"))</f>
        <v/>
      </c>
      <c r="AA1264" s="7" t="str">
        <f>IF(ISBLANK(patch[[#This Row],[project]]), "",COUNTIFS($A:$A,patch[[#This Row],[number]],$S:$S, "FL And dev",$AD:$AD, "&lt;&gt;IntegratorValidationComment"))</f>
        <v/>
      </c>
      <c r="AB1264" s="7" t="str">
        <f>IF(ISBLANK(patch[[#This Row],[project]]), "",COUNTIFS($A:$A,patch[[#This Row],[number]],$S:$S, "SH And dev",$AD:$AD, "&lt;&gt;IntegratorValidationComment"))</f>
        <v/>
      </c>
      <c r="AC1264" s="7" t="str">
        <f>IF(OR(ISNUMBER(FIND("Review-1", patch[[#This Row],[comments]])), ISNUMBER(FIND("Approver-1", patch[[#This Row],[comments]]))), "Review-1", "")</f>
        <v/>
      </c>
      <c r="AD12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64" s="7">
        <f>IF(ISBLANK(patch[[#This Row],[number]]),AE1263,patch[[#This Row],[ifCommon]])</f>
        <v>0</v>
      </c>
    </row>
    <row r="1265" spans="1:31">
      <c r="A1265" s="151">
        <v>144079</v>
      </c>
      <c r="B1265" s="151"/>
      <c r="C1265" s="151"/>
      <c r="D1265" s="151"/>
      <c r="E1265" s="151"/>
      <c r="F1265" s="151"/>
      <c r="G1265" s="151"/>
      <c r="H1265" s="151"/>
      <c r="I1265" s="151"/>
      <c r="J1265" s="152">
        <v>42633.70994212963</v>
      </c>
      <c r="K1265" s="151"/>
      <c r="L1265" s="151" t="s">
        <v>63</v>
      </c>
      <c r="M1265" s="152">
        <v>42632.434571759259</v>
      </c>
      <c r="N1265" s="151" t="s">
        <v>1843</v>
      </c>
      <c r="O1265" s="151"/>
      <c r="P1265" s="151"/>
      <c r="Q1265" s="7" t="str">
        <f>IF(ISBLANK(patch[[#This Row],[OwnerEmail]]),Q1264,patch[[#This Row],[OwnerEmail]])</f>
        <v>zongx.li@intel.com</v>
      </c>
      <c r="R1265" s="7" t="str">
        <f>_xlfn.IFNA(VLOOKUP(patch[[#This Row],[tmp-owner.email]],OrgTree!$A:$K, 11, 0), "not ICG SWFW")</f>
        <v>BJ And dev</v>
      </c>
      <c r="S1265" s="7" t="str">
        <f>IF(patch[[#This Row],[reviewer]]=patch[[#This Row],[tmp-owner.email]], "author", _xlfn.IFNA(VLOOKUP(patch[[#This Row],[reviewer]],OrgTree!$A:$K, 11, 0), "not ICG SWFW"))</f>
        <v>author</v>
      </c>
      <c r="T1265" s="7" t="str">
        <f>IF(ISBLANK(patch[[#This Row],[mergeDate]]), "", MID(YEAR(patch[[#This Row],[mergeDate]]), 3,2)&amp;"'ww"&amp;WEEKNUM(patch[[#This Row],[mergeDate]]))</f>
        <v>16'ww39</v>
      </c>
      <c r="U1265" s="7" t="str">
        <f>IF(ISBLANK(patch[[#This Row],[mergeDate]]), U1264, MID(YEAR(patch[[#This Row],[mergeDate]]), 3,2)&amp;"'m"&amp;MONTH(patch[[#This Row],[mergeDate]]))</f>
        <v>16'm9</v>
      </c>
      <c r="V1265" s="7" t="str">
        <f>IF(ISBLANK(patch[[#This Row],[project]]), "",SUM(patch[[#This Row],[BJ -1 num]:[SH -1 num]]))</f>
        <v/>
      </c>
      <c r="W1265" s="7" t="str">
        <f>IF(ISBLANK(patch[[#This Row],[project]]), "",COUNTIFS($A:$A,patch[[#This Row],[number]],$S:$S, "BJ And dev",$AC:$AC, "Review-1"))</f>
        <v/>
      </c>
      <c r="X1265" s="7" t="str">
        <f>IF(ISBLANK(patch[[#This Row],[project]]), "",COUNTIFS($A:$A,patch[[#This Row],[number]],$S:$S, "FL And dev",$AC:$AC, "Review-1"))</f>
        <v/>
      </c>
      <c r="Y1265" s="7" t="str">
        <f>IF(ISBLANK(patch[[#This Row],[project]]), "",COUNTIFS($A:$A,patch[[#This Row],[number]],$S:$S, "SH And dev",$AC:$AC, "Review-1"))</f>
        <v/>
      </c>
      <c r="Z1265" s="7" t="str">
        <f>IF(ISBLANK(patch[[#This Row],[project]]), "",COUNTIFS($A:$A,patch[[#This Row],[number]],$S:$S, "BJ And dev",$AD:$AD, "&lt;&gt;IntegratorValidationComment"))</f>
        <v/>
      </c>
      <c r="AA1265" s="7" t="str">
        <f>IF(ISBLANK(patch[[#This Row],[project]]), "",COUNTIFS($A:$A,patch[[#This Row],[number]],$S:$S, "FL And dev",$AD:$AD, "&lt;&gt;IntegratorValidationComment"))</f>
        <v/>
      </c>
      <c r="AB1265" s="7" t="str">
        <f>IF(ISBLANK(patch[[#This Row],[project]]), "",COUNTIFS($A:$A,patch[[#This Row],[number]],$S:$S, "SH And dev",$AD:$AD, "&lt;&gt;IntegratorValidationComment"))</f>
        <v/>
      </c>
      <c r="AC1265" s="7" t="str">
        <f>IF(OR(ISNUMBER(FIND("Review-1", patch[[#This Row],[comments]])), ISNUMBER(FIND("Approver-1", patch[[#This Row],[comments]]))), "Review-1", "")</f>
        <v/>
      </c>
      <c r="AD12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65" s="7">
        <f>IF(ISBLANK(patch[[#This Row],[number]]),AE1264,patch[[#This Row],[ifCommon]])</f>
        <v>0</v>
      </c>
    </row>
    <row r="1266" spans="1:31">
      <c r="A1266" s="151">
        <v>144079</v>
      </c>
      <c r="B1266" s="151"/>
      <c r="C1266" s="151"/>
      <c r="D1266" s="151"/>
      <c r="E1266" s="151"/>
      <c r="F1266" s="151"/>
      <c r="G1266" s="151"/>
      <c r="H1266" s="151"/>
      <c r="I1266" s="151"/>
      <c r="J1266" s="152">
        <v>42633.70994212963</v>
      </c>
      <c r="K1266" s="151"/>
      <c r="L1266" s="151" t="s">
        <v>32</v>
      </c>
      <c r="M1266" s="152">
        <v>42632.43582175926</v>
      </c>
      <c r="N1266" s="151" t="s">
        <v>1843</v>
      </c>
      <c r="O1266" s="151"/>
      <c r="P1266" s="151"/>
      <c r="Q1266" s="7" t="str">
        <f>IF(ISBLANK(patch[[#This Row],[OwnerEmail]]),Q1265,patch[[#This Row],[OwnerEmail]])</f>
        <v>zongx.li@intel.com</v>
      </c>
      <c r="R1266" s="7" t="str">
        <f>_xlfn.IFNA(VLOOKUP(patch[[#This Row],[tmp-owner.email]],OrgTree!$A:$K, 11, 0), "not ICG SWFW")</f>
        <v>BJ And dev</v>
      </c>
      <c r="S1266" s="7" t="str">
        <f>IF(patch[[#This Row],[reviewer]]=patch[[#This Row],[tmp-owner.email]], "author", _xlfn.IFNA(VLOOKUP(patch[[#This Row],[reviewer]],OrgTree!$A:$K, 11, 0), "not ICG SWFW"))</f>
        <v>BJ And dev</v>
      </c>
      <c r="T1266" s="7" t="str">
        <f>IF(ISBLANK(patch[[#This Row],[mergeDate]]), "", MID(YEAR(patch[[#This Row],[mergeDate]]), 3,2)&amp;"'ww"&amp;WEEKNUM(patch[[#This Row],[mergeDate]]))</f>
        <v>16'ww39</v>
      </c>
      <c r="U1266" s="7" t="str">
        <f>IF(ISBLANK(patch[[#This Row],[mergeDate]]), U1265, MID(YEAR(patch[[#This Row],[mergeDate]]), 3,2)&amp;"'m"&amp;MONTH(patch[[#This Row],[mergeDate]]))</f>
        <v>16'm9</v>
      </c>
      <c r="V1266" s="7" t="str">
        <f>IF(ISBLANK(patch[[#This Row],[project]]), "",SUM(patch[[#This Row],[BJ -1 num]:[SH -1 num]]))</f>
        <v/>
      </c>
      <c r="W1266" s="7" t="str">
        <f>IF(ISBLANK(patch[[#This Row],[project]]), "",COUNTIFS($A:$A,patch[[#This Row],[number]],$S:$S, "BJ And dev",$AC:$AC, "Review-1"))</f>
        <v/>
      </c>
      <c r="X1266" s="7" t="str">
        <f>IF(ISBLANK(patch[[#This Row],[project]]), "",COUNTIFS($A:$A,patch[[#This Row],[number]],$S:$S, "FL And dev",$AC:$AC, "Review-1"))</f>
        <v/>
      </c>
      <c r="Y1266" s="7" t="str">
        <f>IF(ISBLANK(patch[[#This Row],[project]]), "",COUNTIFS($A:$A,patch[[#This Row],[number]],$S:$S, "SH And dev",$AC:$AC, "Review-1"))</f>
        <v/>
      </c>
      <c r="Z1266" s="7" t="str">
        <f>IF(ISBLANK(patch[[#This Row],[project]]), "",COUNTIFS($A:$A,patch[[#This Row],[number]],$S:$S, "BJ And dev",$AD:$AD, "&lt;&gt;IntegratorValidationComment"))</f>
        <v/>
      </c>
      <c r="AA1266" s="7" t="str">
        <f>IF(ISBLANK(patch[[#This Row],[project]]), "",COUNTIFS($A:$A,patch[[#This Row],[number]],$S:$S, "FL And dev",$AD:$AD, "&lt;&gt;IntegratorValidationComment"))</f>
        <v/>
      </c>
      <c r="AB1266" s="7" t="str">
        <f>IF(ISBLANK(patch[[#This Row],[project]]), "",COUNTIFS($A:$A,patch[[#This Row],[number]],$S:$S, "SH And dev",$AD:$AD, "&lt;&gt;IntegratorValidationComment"))</f>
        <v/>
      </c>
      <c r="AC1266" s="7" t="str">
        <f>IF(OR(ISNUMBER(FIND("Review-1", patch[[#This Row],[comments]])), ISNUMBER(FIND("Approver-1", patch[[#This Row],[comments]]))), "Review-1", "")</f>
        <v/>
      </c>
      <c r="AD12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66" s="7">
        <f>IF(ISBLANK(patch[[#This Row],[number]]),AE1265,patch[[#This Row],[ifCommon]])</f>
        <v>0</v>
      </c>
    </row>
    <row r="1267" spans="1:31">
      <c r="A1267" s="151">
        <v>144079</v>
      </c>
      <c r="B1267" s="151"/>
      <c r="C1267" s="151"/>
      <c r="D1267" s="151"/>
      <c r="E1267" s="151"/>
      <c r="F1267" s="151"/>
      <c r="G1267" s="151"/>
      <c r="H1267" s="151"/>
      <c r="I1267" s="151"/>
      <c r="J1267" s="152">
        <v>42633.70994212963</v>
      </c>
      <c r="K1267" s="151"/>
      <c r="L1267" s="151" t="s">
        <v>59</v>
      </c>
      <c r="M1267" s="152">
        <v>42632.438993055563</v>
      </c>
      <c r="N1267" s="151" t="s">
        <v>3217</v>
      </c>
      <c r="O1267" s="151"/>
      <c r="P1267" s="151"/>
      <c r="Q1267" s="7" t="str">
        <f>IF(ISBLANK(patch[[#This Row],[OwnerEmail]]),Q1266,patch[[#This Row],[OwnerEmail]])</f>
        <v>zongx.li@intel.com</v>
      </c>
      <c r="R1267" s="7" t="str">
        <f>_xlfn.IFNA(VLOOKUP(patch[[#This Row],[tmp-owner.email]],OrgTree!$A:$K, 11, 0), "not ICG SWFW")</f>
        <v>BJ And dev</v>
      </c>
      <c r="S1267" s="7" t="str">
        <f>IF(patch[[#This Row],[reviewer]]=patch[[#This Row],[tmp-owner.email]], "author", _xlfn.IFNA(VLOOKUP(patch[[#This Row],[reviewer]],OrgTree!$A:$K, 11, 0), "not ICG SWFW"))</f>
        <v>BJ And dev</v>
      </c>
      <c r="T1267" s="7" t="str">
        <f>IF(ISBLANK(patch[[#This Row],[mergeDate]]), "", MID(YEAR(patch[[#This Row],[mergeDate]]), 3,2)&amp;"'ww"&amp;WEEKNUM(patch[[#This Row],[mergeDate]]))</f>
        <v>16'ww39</v>
      </c>
      <c r="U1267" s="7" t="str">
        <f>IF(ISBLANK(patch[[#This Row],[mergeDate]]), U1266, MID(YEAR(patch[[#This Row],[mergeDate]]), 3,2)&amp;"'m"&amp;MONTH(patch[[#This Row],[mergeDate]]))</f>
        <v>16'm9</v>
      </c>
      <c r="V1267" s="7" t="str">
        <f>IF(ISBLANK(patch[[#This Row],[project]]), "",SUM(patch[[#This Row],[BJ -1 num]:[SH -1 num]]))</f>
        <v/>
      </c>
      <c r="W1267" s="7" t="str">
        <f>IF(ISBLANK(patch[[#This Row],[project]]), "",COUNTIFS($A:$A,patch[[#This Row],[number]],$S:$S, "BJ And dev",$AC:$AC, "Review-1"))</f>
        <v/>
      </c>
      <c r="X1267" s="7" t="str">
        <f>IF(ISBLANK(patch[[#This Row],[project]]), "",COUNTIFS($A:$A,patch[[#This Row],[number]],$S:$S, "FL And dev",$AC:$AC, "Review-1"))</f>
        <v/>
      </c>
      <c r="Y1267" s="7" t="str">
        <f>IF(ISBLANK(patch[[#This Row],[project]]), "",COUNTIFS($A:$A,patch[[#This Row],[number]],$S:$S, "SH And dev",$AC:$AC, "Review-1"))</f>
        <v/>
      </c>
      <c r="Z1267" s="7" t="str">
        <f>IF(ISBLANK(patch[[#This Row],[project]]), "",COUNTIFS($A:$A,patch[[#This Row],[number]],$S:$S, "BJ And dev",$AD:$AD, "&lt;&gt;IntegratorValidationComment"))</f>
        <v/>
      </c>
      <c r="AA1267" s="7" t="str">
        <f>IF(ISBLANK(patch[[#This Row],[project]]), "",COUNTIFS($A:$A,patch[[#This Row],[number]],$S:$S, "FL And dev",$AD:$AD, "&lt;&gt;IntegratorValidationComment"))</f>
        <v/>
      </c>
      <c r="AB1267" s="7" t="str">
        <f>IF(ISBLANK(patch[[#This Row],[project]]), "",COUNTIFS($A:$A,patch[[#This Row],[number]],$S:$S, "SH And dev",$AD:$AD, "&lt;&gt;IntegratorValidationComment"))</f>
        <v/>
      </c>
      <c r="AC1267" s="7" t="str">
        <f>IF(OR(ISNUMBER(FIND("Review-1", patch[[#This Row],[comments]])), ISNUMBER(FIND("Approver-1", patch[[#This Row],[comments]]))), "Review-1", "")</f>
        <v/>
      </c>
      <c r="AD12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67" s="7">
        <f>IF(ISBLANK(patch[[#This Row],[number]]),AE1266,patch[[#This Row],[ifCommon]])</f>
        <v>0</v>
      </c>
    </row>
    <row r="1268" spans="1:31">
      <c r="A1268" s="151">
        <v>144079</v>
      </c>
      <c r="B1268" s="151"/>
      <c r="C1268" s="151"/>
      <c r="D1268" s="151"/>
      <c r="E1268" s="151"/>
      <c r="F1268" s="151"/>
      <c r="G1268" s="151"/>
      <c r="H1268" s="151"/>
      <c r="I1268" s="151"/>
      <c r="J1268" s="152">
        <v>42633.70994212963</v>
      </c>
      <c r="K1268" s="151"/>
      <c r="L1268" s="151" t="s">
        <v>59</v>
      </c>
      <c r="M1268" s="152">
        <v>42632.441770833328</v>
      </c>
      <c r="N1268" s="151" t="s">
        <v>3218</v>
      </c>
      <c r="O1268" s="151"/>
      <c r="P1268" s="151"/>
      <c r="Q1268" s="7" t="str">
        <f>IF(ISBLANK(patch[[#This Row],[OwnerEmail]]),Q1267,patch[[#This Row],[OwnerEmail]])</f>
        <v>zongx.li@intel.com</v>
      </c>
      <c r="R1268" s="7" t="str">
        <f>_xlfn.IFNA(VLOOKUP(patch[[#This Row],[tmp-owner.email]],OrgTree!$A:$K, 11, 0), "not ICG SWFW")</f>
        <v>BJ And dev</v>
      </c>
      <c r="S1268" s="7" t="str">
        <f>IF(patch[[#This Row],[reviewer]]=patch[[#This Row],[tmp-owner.email]], "author", _xlfn.IFNA(VLOOKUP(patch[[#This Row],[reviewer]],OrgTree!$A:$K, 11, 0), "not ICG SWFW"))</f>
        <v>BJ And dev</v>
      </c>
      <c r="T1268" s="7" t="str">
        <f>IF(ISBLANK(patch[[#This Row],[mergeDate]]), "", MID(YEAR(patch[[#This Row],[mergeDate]]), 3,2)&amp;"'ww"&amp;WEEKNUM(patch[[#This Row],[mergeDate]]))</f>
        <v>16'ww39</v>
      </c>
      <c r="U1268" s="7" t="str">
        <f>IF(ISBLANK(patch[[#This Row],[mergeDate]]), U1267, MID(YEAR(patch[[#This Row],[mergeDate]]), 3,2)&amp;"'m"&amp;MONTH(patch[[#This Row],[mergeDate]]))</f>
        <v>16'm9</v>
      </c>
      <c r="V1268" s="7" t="str">
        <f>IF(ISBLANK(patch[[#This Row],[project]]), "",SUM(patch[[#This Row],[BJ -1 num]:[SH -1 num]]))</f>
        <v/>
      </c>
      <c r="W1268" s="7" t="str">
        <f>IF(ISBLANK(patch[[#This Row],[project]]), "",COUNTIFS($A:$A,patch[[#This Row],[number]],$S:$S, "BJ And dev",$AC:$AC, "Review-1"))</f>
        <v/>
      </c>
      <c r="X1268" s="7" t="str">
        <f>IF(ISBLANK(patch[[#This Row],[project]]), "",COUNTIFS($A:$A,patch[[#This Row],[number]],$S:$S, "FL And dev",$AC:$AC, "Review-1"))</f>
        <v/>
      </c>
      <c r="Y1268" s="7" t="str">
        <f>IF(ISBLANK(patch[[#This Row],[project]]), "",COUNTIFS($A:$A,patch[[#This Row],[number]],$S:$S, "SH And dev",$AC:$AC, "Review-1"))</f>
        <v/>
      </c>
      <c r="Z1268" s="7" t="str">
        <f>IF(ISBLANK(patch[[#This Row],[project]]), "",COUNTIFS($A:$A,patch[[#This Row],[number]],$S:$S, "BJ And dev",$AD:$AD, "&lt;&gt;IntegratorValidationComment"))</f>
        <v/>
      </c>
      <c r="AA1268" s="7" t="str">
        <f>IF(ISBLANK(patch[[#This Row],[project]]), "",COUNTIFS($A:$A,patch[[#This Row],[number]],$S:$S, "FL And dev",$AD:$AD, "&lt;&gt;IntegratorValidationComment"))</f>
        <v/>
      </c>
      <c r="AB1268" s="7" t="str">
        <f>IF(ISBLANK(patch[[#This Row],[project]]), "",COUNTIFS($A:$A,patch[[#This Row],[number]],$S:$S, "SH And dev",$AD:$AD, "&lt;&gt;IntegratorValidationComment"))</f>
        <v/>
      </c>
      <c r="AC1268" s="7" t="str">
        <f>IF(OR(ISNUMBER(FIND("Review-1", patch[[#This Row],[comments]])), ISNUMBER(FIND("Approver-1", patch[[#This Row],[comments]]))), "Review-1", "")</f>
        <v/>
      </c>
      <c r="AD12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68" s="7">
        <f>IF(ISBLANK(patch[[#This Row],[number]]),AE1267,patch[[#This Row],[ifCommon]])</f>
        <v>0</v>
      </c>
    </row>
    <row r="1269" spans="1:31">
      <c r="A1269" s="151">
        <v>144079</v>
      </c>
      <c r="B1269" s="151"/>
      <c r="C1269" s="151"/>
      <c r="D1269" s="151"/>
      <c r="E1269" s="151"/>
      <c r="F1269" s="151"/>
      <c r="G1269" s="151"/>
      <c r="H1269" s="151"/>
      <c r="I1269" s="151"/>
      <c r="J1269" s="152">
        <v>42633.70994212963</v>
      </c>
      <c r="K1269" s="151"/>
      <c r="L1269" s="151" t="s">
        <v>68</v>
      </c>
      <c r="M1269" s="152">
        <v>42632.442986111113</v>
      </c>
      <c r="N1269" s="151" t="s">
        <v>3219</v>
      </c>
      <c r="O1269" s="151"/>
      <c r="P1269" s="151"/>
      <c r="Q1269" s="7" t="str">
        <f>IF(ISBLANK(patch[[#This Row],[OwnerEmail]]),Q1268,patch[[#This Row],[OwnerEmail]])</f>
        <v>zongx.li@intel.com</v>
      </c>
      <c r="R1269" s="7" t="str">
        <f>_xlfn.IFNA(VLOOKUP(patch[[#This Row],[tmp-owner.email]],OrgTree!$A:$K, 11, 0), "not ICG SWFW")</f>
        <v>BJ And dev</v>
      </c>
      <c r="S1269" s="7" t="str">
        <f>IF(patch[[#This Row],[reviewer]]=patch[[#This Row],[tmp-owner.email]], "author", _xlfn.IFNA(VLOOKUP(patch[[#This Row],[reviewer]],OrgTree!$A:$K, 11, 0), "not ICG SWFW"))</f>
        <v>BJ And dev</v>
      </c>
      <c r="T1269" s="7" t="str">
        <f>IF(ISBLANK(patch[[#This Row],[mergeDate]]), "", MID(YEAR(patch[[#This Row],[mergeDate]]), 3,2)&amp;"'ww"&amp;WEEKNUM(patch[[#This Row],[mergeDate]]))</f>
        <v>16'ww39</v>
      </c>
      <c r="U1269" s="7" t="str">
        <f>IF(ISBLANK(patch[[#This Row],[mergeDate]]), U1268, MID(YEAR(patch[[#This Row],[mergeDate]]), 3,2)&amp;"'m"&amp;MONTH(patch[[#This Row],[mergeDate]]))</f>
        <v>16'm9</v>
      </c>
      <c r="V1269" s="7" t="str">
        <f>IF(ISBLANK(patch[[#This Row],[project]]), "",SUM(patch[[#This Row],[BJ -1 num]:[SH -1 num]]))</f>
        <v/>
      </c>
      <c r="W1269" s="7" t="str">
        <f>IF(ISBLANK(patch[[#This Row],[project]]), "",COUNTIFS($A:$A,patch[[#This Row],[number]],$S:$S, "BJ And dev",$AC:$AC, "Review-1"))</f>
        <v/>
      </c>
      <c r="X1269" s="7" t="str">
        <f>IF(ISBLANK(patch[[#This Row],[project]]), "",COUNTIFS($A:$A,patch[[#This Row],[number]],$S:$S, "FL And dev",$AC:$AC, "Review-1"))</f>
        <v/>
      </c>
      <c r="Y1269" s="7" t="str">
        <f>IF(ISBLANK(patch[[#This Row],[project]]), "",COUNTIFS($A:$A,patch[[#This Row],[number]],$S:$S, "SH And dev",$AC:$AC, "Review-1"))</f>
        <v/>
      </c>
      <c r="Z1269" s="7" t="str">
        <f>IF(ISBLANK(patch[[#This Row],[project]]), "",COUNTIFS($A:$A,patch[[#This Row],[number]],$S:$S, "BJ And dev",$AD:$AD, "&lt;&gt;IntegratorValidationComment"))</f>
        <v/>
      </c>
      <c r="AA1269" s="7" t="str">
        <f>IF(ISBLANK(patch[[#This Row],[project]]), "",COUNTIFS($A:$A,patch[[#This Row],[number]],$S:$S, "FL And dev",$AD:$AD, "&lt;&gt;IntegratorValidationComment"))</f>
        <v/>
      </c>
      <c r="AB1269" s="7" t="str">
        <f>IF(ISBLANK(patch[[#This Row],[project]]), "",COUNTIFS($A:$A,patch[[#This Row],[number]],$S:$S, "SH And dev",$AD:$AD, "&lt;&gt;IntegratorValidationComment"))</f>
        <v/>
      </c>
      <c r="AC1269" s="7" t="str">
        <f>IF(OR(ISNUMBER(FIND("Review-1", patch[[#This Row],[comments]])), ISNUMBER(FIND("Approver-1", patch[[#This Row],[comments]]))), "Review-1", "")</f>
        <v>Review-1</v>
      </c>
      <c r="AD12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69" s="7">
        <f>IF(ISBLANK(patch[[#This Row],[number]]),AE1268,patch[[#This Row],[ifCommon]])</f>
        <v>0</v>
      </c>
    </row>
    <row r="1270" spans="1:31">
      <c r="A1270" s="151">
        <v>144079</v>
      </c>
      <c r="B1270" s="151"/>
      <c r="C1270" s="151"/>
      <c r="D1270" s="151"/>
      <c r="E1270" s="151"/>
      <c r="F1270" s="151"/>
      <c r="G1270" s="151"/>
      <c r="H1270" s="151"/>
      <c r="I1270" s="151"/>
      <c r="J1270" s="152">
        <v>42633.70994212963</v>
      </c>
      <c r="K1270" s="151"/>
      <c r="L1270" s="151" t="s">
        <v>63</v>
      </c>
      <c r="M1270" s="152">
        <v>42632.456458333327</v>
      </c>
      <c r="N1270" s="151" t="s">
        <v>2466</v>
      </c>
      <c r="O1270" s="151"/>
      <c r="P1270" s="151"/>
      <c r="Q1270" s="7" t="str">
        <f>IF(ISBLANK(patch[[#This Row],[OwnerEmail]]),Q1269,patch[[#This Row],[OwnerEmail]])</f>
        <v>zongx.li@intel.com</v>
      </c>
      <c r="R1270" s="7" t="str">
        <f>_xlfn.IFNA(VLOOKUP(patch[[#This Row],[tmp-owner.email]],OrgTree!$A:$K, 11, 0), "not ICG SWFW")</f>
        <v>BJ And dev</v>
      </c>
      <c r="S1270" s="7" t="str">
        <f>IF(patch[[#This Row],[reviewer]]=patch[[#This Row],[tmp-owner.email]], "author", _xlfn.IFNA(VLOOKUP(patch[[#This Row],[reviewer]],OrgTree!$A:$K, 11, 0), "not ICG SWFW"))</f>
        <v>author</v>
      </c>
      <c r="T1270" s="7" t="str">
        <f>IF(ISBLANK(patch[[#This Row],[mergeDate]]), "", MID(YEAR(patch[[#This Row],[mergeDate]]), 3,2)&amp;"'ww"&amp;WEEKNUM(patch[[#This Row],[mergeDate]]))</f>
        <v>16'ww39</v>
      </c>
      <c r="U1270" s="7" t="str">
        <f>IF(ISBLANK(patch[[#This Row],[mergeDate]]), U1269, MID(YEAR(patch[[#This Row],[mergeDate]]), 3,2)&amp;"'m"&amp;MONTH(patch[[#This Row],[mergeDate]]))</f>
        <v>16'm9</v>
      </c>
      <c r="V1270" s="7" t="str">
        <f>IF(ISBLANK(patch[[#This Row],[project]]), "",SUM(patch[[#This Row],[BJ -1 num]:[SH -1 num]]))</f>
        <v/>
      </c>
      <c r="W1270" s="7" t="str">
        <f>IF(ISBLANK(patch[[#This Row],[project]]), "",COUNTIFS($A:$A,patch[[#This Row],[number]],$S:$S, "BJ And dev",$AC:$AC, "Review-1"))</f>
        <v/>
      </c>
      <c r="X1270" s="7" t="str">
        <f>IF(ISBLANK(patch[[#This Row],[project]]), "",COUNTIFS($A:$A,patch[[#This Row],[number]],$S:$S, "FL And dev",$AC:$AC, "Review-1"))</f>
        <v/>
      </c>
      <c r="Y1270" s="7" t="str">
        <f>IF(ISBLANK(patch[[#This Row],[project]]), "",COUNTIFS($A:$A,patch[[#This Row],[number]],$S:$S, "SH And dev",$AC:$AC, "Review-1"))</f>
        <v/>
      </c>
      <c r="Z1270" s="7" t="str">
        <f>IF(ISBLANK(patch[[#This Row],[project]]), "",COUNTIFS($A:$A,patch[[#This Row],[number]],$S:$S, "BJ And dev",$AD:$AD, "&lt;&gt;IntegratorValidationComment"))</f>
        <v/>
      </c>
      <c r="AA1270" s="7" t="str">
        <f>IF(ISBLANK(patch[[#This Row],[project]]), "",COUNTIFS($A:$A,patch[[#This Row],[number]],$S:$S, "FL And dev",$AD:$AD, "&lt;&gt;IntegratorValidationComment"))</f>
        <v/>
      </c>
      <c r="AB1270" s="7" t="str">
        <f>IF(ISBLANK(patch[[#This Row],[project]]), "",COUNTIFS($A:$A,patch[[#This Row],[number]],$S:$S, "SH And dev",$AD:$AD, "&lt;&gt;IntegratorValidationComment"))</f>
        <v/>
      </c>
      <c r="AC1270" s="7" t="str">
        <f>IF(OR(ISNUMBER(FIND("Review-1", patch[[#This Row],[comments]])), ISNUMBER(FIND("Approver-1", patch[[#This Row],[comments]]))), "Review-1", "")</f>
        <v/>
      </c>
      <c r="AD12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70" s="7">
        <f>IF(ISBLANK(patch[[#This Row],[number]]),AE1269,patch[[#This Row],[ifCommon]])</f>
        <v>0</v>
      </c>
    </row>
    <row r="1271" spans="1:31">
      <c r="A1271" s="151">
        <v>144079</v>
      </c>
      <c r="B1271" s="151"/>
      <c r="C1271" s="151"/>
      <c r="D1271" s="151"/>
      <c r="E1271" s="151"/>
      <c r="F1271" s="151"/>
      <c r="G1271" s="151"/>
      <c r="H1271" s="151"/>
      <c r="I1271" s="151"/>
      <c r="J1271" s="152">
        <v>42633.70994212963</v>
      </c>
      <c r="K1271" s="151"/>
      <c r="L1271" s="151" t="s">
        <v>63</v>
      </c>
      <c r="M1271" s="152">
        <v>42632.456458333327</v>
      </c>
      <c r="N1271" s="151" t="s">
        <v>1862</v>
      </c>
      <c r="O1271" s="151"/>
      <c r="P1271" s="151"/>
      <c r="Q1271" s="7" t="str">
        <f>IF(ISBLANK(patch[[#This Row],[OwnerEmail]]),Q1270,patch[[#This Row],[OwnerEmail]])</f>
        <v>zongx.li@intel.com</v>
      </c>
      <c r="R1271" s="7" t="str">
        <f>_xlfn.IFNA(VLOOKUP(patch[[#This Row],[tmp-owner.email]],OrgTree!$A:$K, 11, 0), "not ICG SWFW")</f>
        <v>BJ And dev</v>
      </c>
      <c r="S1271" s="7" t="str">
        <f>IF(patch[[#This Row],[reviewer]]=patch[[#This Row],[tmp-owner.email]], "author", _xlfn.IFNA(VLOOKUP(patch[[#This Row],[reviewer]],OrgTree!$A:$K, 11, 0), "not ICG SWFW"))</f>
        <v>author</v>
      </c>
      <c r="T1271" s="7" t="str">
        <f>IF(ISBLANK(patch[[#This Row],[mergeDate]]), "", MID(YEAR(patch[[#This Row],[mergeDate]]), 3,2)&amp;"'ww"&amp;WEEKNUM(patch[[#This Row],[mergeDate]]))</f>
        <v>16'ww39</v>
      </c>
      <c r="U1271" s="7" t="str">
        <f>IF(ISBLANK(patch[[#This Row],[mergeDate]]), U1270, MID(YEAR(patch[[#This Row],[mergeDate]]), 3,2)&amp;"'m"&amp;MONTH(patch[[#This Row],[mergeDate]]))</f>
        <v>16'm9</v>
      </c>
      <c r="V1271" s="7" t="str">
        <f>IF(ISBLANK(patch[[#This Row],[project]]), "",SUM(patch[[#This Row],[BJ -1 num]:[SH -1 num]]))</f>
        <v/>
      </c>
      <c r="W1271" s="7" t="str">
        <f>IF(ISBLANK(patch[[#This Row],[project]]), "",COUNTIFS($A:$A,patch[[#This Row],[number]],$S:$S, "BJ And dev",$AC:$AC, "Review-1"))</f>
        <v/>
      </c>
      <c r="X1271" s="7" t="str">
        <f>IF(ISBLANK(patch[[#This Row],[project]]), "",COUNTIFS($A:$A,patch[[#This Row],[number]],$S:$S, "FL And dev",$AC:$AC, "Review-1"))</f>
        <v/>
      </c>
      <c r="Y1271" s="7" t="str">
        <f>IF(ISBLANK(patch[[#This Row],[project]]), "",COUNTIFS($A:$A,patch[[#This Row],[number]],$S:$S, "SH And dev",$AC:$AC, "Review-1"))</f>
        <v/>
      </c>
      <c r="Z1271" s="7" t="str">
        <f>IF(ISBLANK(patch[[#This Row],[project]]), "",COUNTIFS($A:$A,patch[[#This Row],[number]],$S:$S, "BJ And dev",$AD:$AD, "&lt;&gt;IntegratorValidationComment"))</f>
        <v/>
      </c>
      <c r="AA1271" s="7" t="str">
        <f>IF(ISBLANK(patch[[#This Row],[project]]), "",COUNTIFS($A:$A,patch[[#This Row],[number]],$S:$S, "FL And dev",$AD:$AD, "&lt;&gt;IntegratorValidationComment"))</f>
        <v/>
      </c>
      <c r="AB1271" s="7" t="str">
        <f>IF(ISBLANK(patch[[#This Row],[project]]), "",COUNTIFS($A:$A,patch[[#This Row],[number]],$S:$S, "SH And dev",$AD:$AD, "&lt;&gt;IntegratorValidationComment"))</f>
        <v/>
      </c>
      <c r="AC1271" s="7" t="str">
        <f>IF(OR(ISNUMBER(FIND("Review-1", patch[[#This Row],[comments]])), ISNUMBER(FIND("Approver-1", patch[[#This Row],[comments]]))), "Review-1", "")</f>
        <v/>
      </c>
      <c r="AD12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71" s="7">
        <f>IF(ISBLANK(patch[[#This Row],[number]]),AE1270,patch[[#This Row],[ifCommon]])</f>
        <v>0</v>
      </c>
    </row>
    <row r="1272" spans="1:31">
      <c r="A1272" s="151">
        <v>144079</v>
      </c>
      <c r="B1272" s="151"/>
      <c r="C1272" s="151"/>
      <c r="D1272" s="151"/>
      <c r="E1272" s="151"/>
      <c r="F1272" s="151"/>
      <c r="G1272" s="151"/>
      <c r="H1272" s="151"/>
      <c r="I1272" s="151"/>
      <c r="J1272" s="152">
        <v>42633.70994212963</v>
      </c>
      <c r="K1272" s="151"/>
      <c r="L1272" s="151" t="s">
        <v>59</v>
      </c>
      <c r="M1272" s="152">
        <v>42632.459826388891</v>
      </c>
      <c r="N1272" s="151" t="s">
        <v>3220</v>
      </c>
      <c r="O1272" s="151"/>
      <c r="P1272" s="151"/>
      <c r="Q1272" s="7" t="str">
        <f>IF(ISBLANK(patch[[#This Row],[OwnerEmail]]),Q1271,patch[[#This Row],[OwnerEmail]])</f>
        <v>zongx.li@intel.com</v>
      </c>
      <c r="R1272" s="7" t="str">
        <f>_xlfn.IFNA(VLOOKUP(patch[[#This Row],[tmp-owner.email]],OrgTree!$A:$K, 11, 0), "not ICG SWFW")</f>
        <v>BJ And dev</v>
      </c>
      <c r="S1272" s="7" t="str">
        <f>IF(patch[[#This Row],[reviewer]]=patch[[#This Row],[tmp-owner.email]], "author", _xlfn.IFNA(VLOOKUP(patch[[#This Row],[reviewer]],OrgTree!$A:$K, 11, 0), "not ICG SWFW"))</f>
        <v>BJ And dev</v>
      </c>
      <c r="T1272" s="7" t="str">
        <f>IF(ISBLANK(patch[[#This Row],[mergeDate]]), "", MID(YEAR(patch[[#This Row],[mergeDate]]), 3,2)&amp;"'ww"&amp;WEEKNUM(patch[[#This Row],[mergeDate]]))</f>
        <v>16'ww39</v>
      </c>
      <c r="U1272" s="7" t="str">
        <f>IF(ISBLANK(patch[[#This Row],[mergeDate]]), U1271, MID(YEAR(patch[[#This Row],[mergeDate]]), 3,2)&amp;"'m"&amp;MONTH(patch[[#This Row],[mergeDate]]))</f>
        <v>16'm9</v>
      </c>
      <c r="V1272" s="7" t="str">
        <f>IF(ISBLANK(patch[[#This Row],[project]]), "",SUM(patch[[#This Row],[BJ -1 num]:[SH -1 num]]))</f>
        <v/>
      </c>
      <c r="W1272" s="7" t="str">
        <f>IF(ISBLANK(patch[[#This Row],[project]]), "",COUNTIFS($A:$A,patch[[#This Row],[number]],$S:$S, "BJ And dev",$AC:$AC, "Review-1"))</f>
        <v/>
      </c>
      <c r="X1272" s="7" t="str">
        <f>IF(ISBLANK(patch[[#This Row],[project]]), "",COUNTIFS($A:$A,patch[[#This Row],[number]],$S:$S, "FL And dev",$AC:$AC, "Review-1"))</f>
        <v/>
      </c>
      <c r="Y1272" s="7" t="str">
        <f>IF(ISBLANK(patch[[#This Row],[project]]), "",COUNTIFS($A:$A,patch[[#This Row],[number]],$S:$S, "SH And dev",$AC:$AC, "Review-1"))</f>
        <v/>
      </c>
      <c r="Z1272" s="7" t="str">
        <f>IF(ISBLANK(patch[[#This Row],[project]]), "",COUNTIFS($A:$A,patch[[#This Row],[number]],$S:$S, "BJ And dev",$AD:$AD, "&lt;&gt;IntegratorValidationComment"))</f>
        <v/>
      </c>
      <c r="AA1272" s="7" t="str">
        <f>IF(ISBLANK(patch[[#This Row],[project]]), "",COUNTIFS($A:$A,patch[[#This Row],[number]],$S:$S, "FL And dev",$AD:$AD, "&lt;&gt;IntegratorValidationComment"))</f>
        <v/>
      </c>
      <c r="AB1272" s="7" t="str">
        <f>IF(ISBLANK(patch[[#This Row],[project]]), "",COUNTIFS($A:$A,patch[[#This Row],[number]],$S:$S, "SH And dev",$AD:$AD, "&lt;&gt;IntegratorValidationComment"))</f>
        <v/>
      </c>
      <c r="AC1272" s="7" t="str">
        <f>IF(OR(ISNUMBER(FIND("Review-1", patch[[#This Row],[comments]])), ISNUMBER(FIND("Approver-1", patch[[#This Row],[comments]]))), "Review-1", "")</f>
        <v/>
      </c>
      <c r="AD12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72" s="7">
        <f>IF(ISBLANK(patch[[#This Row],[number]]),AE1271,patch[[#This Row],[ifCommon]])</f>
        <v>0</v>
      </c>
    </row>
    <row r="1273" spans="1:31">
      <c r="A1273" s="151">
        <v>144079</v>
      </c>
      <c r="B1273" s="151"/>
      <c r="C1273" s="151"/>
      <c r="D1273" s="151"/>
      <c r="E1273" s="151"/>
      <c r="F1273" s="151"/>
      <c r="G1273" s="151"/>
      <c r="H1273" s="151"/>
      <c r="I1273" s="151"/>
      <c r="J1273" s="152">
        <v>42633.70994212963</v>
      </c>
      <c r="K1273" s="151"/>
      <c r="L1273" s="151" t="s">
        <v>59</v>
      </c>
      <c r="M1273" s="152">
        <v>42632.462685185194</v>
      </c>
      <c r="N1273" s="151" t="s">
        <v>3221</v>
      </c>
      <c r="O1273" s="151"/>
      <c r="P1273" s="151"/>
      <c r="Q1273" s="7" t="str">
        <f>IF(ISBLANK(patch[[#This Row],[OwnerEmail]]),Q1272,patch[[#This Row],[OwnerEmail]])</f>
        <v>zongx.li@intel.com</v>
      </c>
      <c r="R1273" s="7" t="str">
        <f>_xlfn.IFNA(VLOOKUP(patch[[#This Row],[tmp-owner.email]],OrgTree!$A:$K, 11, 0), "not ICG SWFW")</f>
        <v>BJ And dev</v>
      </c>
      <c r="S1273" s="7" t="str">
        <f>IF(patch[[#This Row],[reviewer]]=patch[[#This Row],[tmp-owner.email]], "author", _xlfn.IFNA(VLOOKUP(patch[[#This Row],[reviewer]],OrgTree!$A:$K, 11, 0), "not ICG SWFW"))</f>
        <v>BJ And dev</v>
      </c>
      <c r="T1273" s="7" t="str">
        <f>IF(ISBLANK(patch[[#This Row],[mergeDate]]), "", MID(YEAR(patch[[#This Row],[mergeDate]]), 3,2)&amp;"'ww"&amp;WEEKNUM(patch[[#This Row],[mergeDate]]))</f>
        <v>16'ww39</v>
      </c>
      <c r="U1273" s="7" t="str">
        <f>IF(ISBLANK(patch[[#This Row],[mergeDate]]), U1272, MID(YEAR(patch[[#This Row],[mergeDate]]), 3,2)&amp;"'m"&amp;MONTH(patch[[#This Row],[mergeDate]]))</f>
        <v>16'm9</v>
      </c>
      <c r="V1273" s="7" t="str">
        <f>IF(ISBLANK(patch[[#This Row],[project]]), "",SUM(patch[[#This Row],[BJ -1 num]:[SH -1 num]]))</f>
        <v/>
      </c>
      <c r="W1273" s="7" t="str">
        <f>IF(ISBLANK(patch[[#This Row],[project]]), "",COUNTIFS($A:$A,patch[[#This Row],[number]],$S:$S, "BJ And dev",$AC:$AC, "Review-1"))</f>
        <v/>
      </c>
      <c r="X1273" s="7" t="str">
        <f>IF(ISBLANK(patch[[#This Row],[project]]), "",COUNTIFS($A:$A,patch[[#This Row],[number]],$S:$S, "FL And dev",$AC:$AC, "Review-1"))</f>
        <v/>
      </c>
      <c r="Y1273" s="7" t="str">
        <f>IF(ISBLANK(patch[[#This Row],[project]]), "",COUNTIFS($A:$A,patch[[#This Row],[number]],$S:$S, "SH And dev",$AC:$AC, "Review-1"))</f>
        <v/>
      </c>
      <c r="Z1273" s="7" t="str">
        <f>IF(ISBLANK(patch[[#This Row],[project]]), "",COUNTIFS($A:$A,patch[[#This Row],[number]],$S:$S, "BJ And dev",$AD:$AD, "&lt;&gt;IntegratorValidationComment"))</f>
        <v/>
      </c>
      <c r="AA1273" s="7" t="str">
        <f>IF(ISBLANK(patch[[#This Row],[project]]), "",COUNTIFS($A:$A,patch[[#This Row],[number]],$S:$S, "FL And dev",$AD:$AD, "&lt;&gt;IntegratorValidationComment"))</f>
        <v/>
      </c>
      <c r="AB1273" s="7" t="str">
        <f>IF(ISBLANK(patch[[#This Row],[project]]), "",COUNTIFS($A:$A,patch[[#This Row],[number]],$S:$S, "SH And dev",$AD:$AD, "&lt;&gt;IntegratorValidationComment"))</f>
        <v/>
      </c>
      <c r="AC1273" s="7" t="str">
        <f>IF(OR(ISNUMBER(FIND("Review-1", patch[[#This Row],[comments]])), ISNUMBER(FIND("Approver-1", patch[[#This Row],[comments]]))), "Review-1", "")</f>
        <v/>
      </c>
      <c r="AD12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73" s="7">
        <f>IF(ISBLANK(patch[[#This Row],[number]]),AE1272,patch[[#This Row],[ifCommon]])</f>
        <v>0</v>
      </c>
    </row>
    <row r="1274" spans="1:31">
      <c r="A1274" s="151">
        <v>144079</v>
      </c>
      <c r="B1274" s="151"/>
      <c r="C1274" s="151"/>
      <c r="D1274" s="151"/>
      <c r="E1274" s="151"/>
      <c r="F1274" s="151"/>
      <c r="G1274" s="151"/>
      <c r="H1274" s="151"/>
      <c r="I1274" s="151"/>
      <c r="J1274" s="152">
        <v>42633.70994212963</v>
      </c>
      <c r="K1274" s="151"/>
      <c r="L1274" s="151" t="s">
        <v>68</v>
      </c>
      <c r="M1274" s="152">
        <v>42632.46597222222</v>
      </c>
      <c r="N1274" s="151" t="s">
        <v>3222</v>
      </c>
      <c r="O1274" s="151" t="s">
        <v>3223</v>
      </c>
      <c r="P1274" s="151"/>
      <c r="Q1274" s="7" t="str">
        <f>IF(ISBLANK(patch[[#This Row],[OwnerEmail]]),Q1273,patch[[#This Row],[OwnerEmail]])</f>
        <v>zongx.li@intel.com</v>
      </c>
      <c r="R1274" s="7" t="str">
        <f>_xlfn.IFNA(VLOOKUP(patch[[#This Row],[tmp-owner.email]],OrgTree!$A:$K, 11, 0), "not ICG SWFW")</f>
        <v>BJ And dev</v>
      </c>
      <c r="S1274" s="7" t="str">
        <f>IF(patch[[#This Row],[reviewer]]=patch[[#This Row],[tmp-owner.email]], "author", _xlfn.IFNA(VLOOKUP(patch[[#This Row],[reviewer]],OrgTree!$A:$K, 11, 0), "not ICG SWFW"))</f>
        <v>BJ And dev</v>
      </c>
      <c r="T1274" s="7" t="str">
        <f>IF(ISBLANK(patch[[#This Row],[mergeDate]]), "", MID(YEAR(patch[[#This Row],[mergeDate]]), 3,2)&amp;"'ww"&amp;WEEKNUM(patch[[#This Row],[mergeDate]]))</f>
        <v>16'ww39</v>
      </c>
      <c r="U1274" s="7" t="str">
        <f>IF(ISBLANK(patch[[#This Row],[mergeDate]]), U1273, MID(YEAR(patch[[#This Row],[mergeDate]]), 3,2)&amp;"'m"&amp;MONTH(patch[[#This Row],[mergeDate]]))</f>
        <v>16'm9</v>
      </c>
      <c r="V1274" s="7" t="str">
        <f>IF(ISBLANK(patch[[#This Row],[project]]), "",SUM(patch[[#This Row],[BJ -1 num]:[SH -1 num]]))</f>
        <v/>
      </c>
      <c r="W1274" s="7" t="str">
        <f>IF(ISBLANK(patch[[#This Row],[project]]), "",COUNTIFS($A:$A,patch[[#This Row],[number]],$S:$S, "BJ And dev",$AC:$AC, "Review-1"))</f>
        <v/>
      </c>
      <c r="X1274" s="7" t="str">
        <f>IF(ISBLANK(patch[[#This Row],[project]]), "",COUNTIFS($A:$A,patch[[#This Row],[number]],$S:$S, "FL And dev",$AC:$AC, "Review-1"))</f>
        <v/>
      </c>
      <c r="Y1274" s="7" t="str">
        <f>IF(ISBLANK(patch[[#This Row],[project]]), "",COUNTIFS($A:$A,patch[[#This Row],[number]],$S:$S, "SH And dev",$AC:$AC, "Review-1"))</f>
        <v/>
      </c>
      <c r="Z1274" s="7" t="str">
        <f>IF(ISBLANK(patch[[#This Row],[project]]), "",COUNTIFS($A:$A,patch[[#This Row],[number]],$S:$S, "BJ And dev",$AD:$AD, "&lt;&gt;IntegratorValidationComment"))</f>
        <v/>
      </c>
      <c r="AA1274" s="7" t="str">
        <f>IF(ISBLANK(patch[[#This Row],[project]]), "",COUNTIFS($A:$A,patch[[#This Row],[number]],$S:$S, "FL And dev",$AD:$AD, "&lt;&gt;IntegratorValidationComment"))</f>
        <v/>
      </c>
      <c r="AB1274" s="7" t="str">
        <f>IF(ISBLANK(patch[[#This Row],[project]]), "",COUNTIFS($A:$A,patch[[#This Row],[number]],$S:$S, "SH And dev",$AD:$AD, "&lt;&gt;IntegratorValidationComment"))</f>
        <v/>
      </c>
      <c r="AC1274" s="7" t="str">
        <f>IF(OR(ISNUMBER(FIND("Review-1", patch[[#This Row],[comments]])), ISNUMBER(FIND("Approver-1", patch[[#This Row],[comments]]))), "Review-1", "")</f>
        <v/>
      </c>
      <c r="AD12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74" s="7">
        <f>IF(ISBLANK(patch[[#This Row],[number]]),AE1273,patch[[#This Row],[ifCommon]])</f>
        <v>0</v>
      </c>
    </row>
    <row r="1275" spans="1:31">
      <c r="A1275" s="151">
        <v>144079</v>
      </c>
      <c r="B1275" s="151"/>
      <c r="C1275" s="151"/>
      <c r="D1275" s="151"/>
      <c r="E1275" s="151"/>
      <c r="F1275" s="151"/>
      <c r="G1275" s="151"/>
      <c r="H1275" s="151"/>
      <c r="I1275" s="151"/>
      <c r="J1275" s="152">
        <v>42633.70994212963</v>
      </c>
      <c r="K1275" s="151"/>
      <c r="L1275" s="151" t="s">
        <v>63</v>
      </c>
      <c r="M1275" s="152">
        <v>42632.472199074073</v>
      </c>
      <c r="N1275" s="151" t="s">
        <v>1866</v>
      </c>
      <c r="O1275" s="151"/>
      <c r="P1275" s="151"/>
      <c r="Q1275" s="7" t="str">
        <f>IF(ISBLANK(patch[[#This Row],[OwnerEmail]]),Q1274,patch[[#This Row],[OwnerEmail]])</f>
        <v>zongx.li@intel.com</v>
      </c>
      <c r="R1275" s="7" t="str">
        <f>_xlfn.IFNA(VLOOKUP(patch[[#This Row],[tmp-owner.email]],OrgTree!$A:$K, 11, 0), "not ICG SWFW")</f>
        <v>BJ And dev</v>
      </c>
      <c r="S1275" s="7" t="str">
        <f>IF(patch[[#This Row],[reviewer]]=patch[[#This Row],[tmp-owner.email]], "author", _xlfn.IFNA(VLOOKUP(patch[[#This Row],[reviewer]],OrgTree!$A:$K, 11, 0), "not ICG SWFW"))</f>
        <v>author</v>
      </c>
      <c r="T1275" s="7" t="str">
        <f>IF(ISBLANK(patch[[#This Row],[mergeDate]]), "", MID(YEAR(patch[[#This Row],[mergeDate]]), 3,2)&amp;"'ww"&amp;WEEKNUM(patch[[#This Row],[mergeDate]]))</f>
        <v>16'ww39</v>
      </c>
      <c r="U1275" s="7" t="str">
        <f>IF(ISBLANK(patch[[#This Row],[mergeDate]]), U1274, MID(YEAR(patch[[#This Row],[mergeDate]]), 3,2)&amp;"'m"&amp;MONTH(patch[[#This Row],[mergeDate]]))</f>
        <v>16'm9</v>
      </c>
      <c r="V1275" s="7" t="str">
        <f>IF(ISBLANK(patch[[#This Row],[project]]), "",SUM(patch[[#This Row],[BJ -1 num]:[SH -1 num]]))</f>
        <v/>
      </c>
      <c r="W1275" s="7" t="str">
        <f>IF(ISBLANK(patch[[#This Row],[project]]), "",COUNTIFS($A:$A,patch[[#This Row],[number]],$S:$S, "BJ And dev",$AC:$AC, "Review-1"))</f>
        <v/>
      </c>
      <c r="X1275" s="7" t="str">
        <f>IF(ISBLANK(patch[[#This Row],[project]]), "",COUNTIFS($A:$A,patch[[#This Row],[number]],$S:$S, "FL And dev",$AC:$AC, "Review-1"))</f>
        <v/>
      </c>
      <c r="Y1275" s="7" t="str">
        <f>IF(ISBLANK(patch[[#This Row],[project]]), "",COUNTIFS($A:$A,patch[[#This Row],[number]],$S:$S, "SH And dev",$AC:$AC, "Review-1"))</f>
        <v/>
      </c>
      <c r="Z1275" s="7" t="str">
        <f>IF(ISBLANK(patch[[#This Row],[project]]), "",COUNTIFS($A:$A,patch[[#This Row],[number]],$S:$S, "BJ And dev",$AD:$AD, "&lt;&gt;IntegratorValidationComment"))</f>
        <v/>
      </c>
      <c r="AA1275" s="7" t="str">
        <f>IF(ISBLANK(patch[[#This Row],[project]]), "",COUNTIFS($A:$A,patch[[#This Row],[number]],$S:$S, "FL And dev",$AD:$AD, "&lt;&gt;IntegratorValidationComment"))</f>
        <v/>
      </c>
      <c r="AB1275" s="7" t="str">
        <f>IF(ISBLANK(patch[[#This Row],[project]]), "",COUNTIFS($A:$A,patch[[#This Row],[number]],$S:$S, "SH And dev",$AD:$AD, "&lt;&gt;IntegratorValidationComment"))</f>
        <v/>
      </c>
      <c r="AC1275" s="7" t="str">
        <f>IF(OR(ISNUMBER(FIND("Review-1", patch[[#This Row],[comments]])), ISNUMBER(FIND("Approver-1", patch[[#This Row],[comments]]))), "Review-1", "")</f>
        <v/>
      </c>
      <c r="AD12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75" s="7">
        <f>IF(ISBLANK(patch[[#This Row],[number]]),AE1274,patch[[#This Row],[ifCommon]])</f>
        <v>0</v>
      </c>
    </row>
    <row r="1276" spans="1:31">
      <c r="A1276" s="151">
        <v>144079</v>
      </c>
      <c r="B1276" s="151"/>
      <c r="C1276" s="151"/>
      <c r="D1276" s="151"/>
      <c r="E1276" s="151"/>
      <c r="F1276" s="151"/>
      <c r="G1276" s="151"/>
      <c r="H1276" s="151"/>
      <c r="I1276" s="152"/>
      <c r="J1276" s="152">
        <v>42633.70994212963</v>
      </c>
      <c r="K1276" s="151"/>
      <c r="L1276" s="151" t="s">
        <v>63</v>
      </c>
      <c r="M1276" s="152">
        <v>42632.472199074073</v>
      </c>
      <c r="N1276" s="151" t="s">
        <v>2467</v>
      </c>
      <c r="O1276" s="151"/>
      <c r="P1276" s="151"/>
      <c r="Q1276" s="7" t="str">
        <f>IF(ISBLANK(patch[[#This Row],[OwnerEmail]]),Q1275,patch[[#This Row],[OwnerEmail]])</f>
        <v>zongx.li@intel.com</v>
      </c>
      <c r="R1276" s="7" t="str">
        <f>_xlfn.IFNA(VLOOKUP(patch[[#This Row],[tmp-owner.email]],OrgTree!$A:$K, 11, 0), "not ICG SWFW")</f>
        <v>BJ And dev</v>
      </c>
      <c r="S1276" s="7" t="str">
        <f>IF(patch[[#This Row],[reviewer]]=patch[[#This Row],[tmp-owner.email]], "author", _xlfn.IFNA(VLOOKUP(patch[[#This Row],[reviewer]],OrgTree!$A:$K, 11, 0), "not ICG SWFW"))</f>
        <v>author</v>
      </c>
      <c r="T1276" s="7" t="str">
        <f>IF(ISBLANK(patch[[#This Row],[mergeDate]]), "", MID(YEAR(patch[[#This Row],[mergeDate]]), 3,2)&amp;"'ww"&amp;WEEKNUM(patch[[#This Row],[mergeDate]]))</f>
        <v>16'ww39</v>
      </c>
      <c r="U1276" s="7" t="str">
        <f>IF(ISBLANK(patch[[#This Row],[mergeDate]]), U1275, MID(YEAR(patch[[#This Row],[mergeDate]]), 3,2)&amp;"'m"&amp;MONTH(patch[[#This Row],[mergeDate]]))</f>
        <v>16'm9</v>
      </c>
      <c r="V1276" s="7" t="str">
        <f>IF(ISBLANK(patch[[#This Row],[project]]), "",SUM(patch[[#This Row],[BJ -1 num]:[SH -1 num]]))</f>
        <v/>
      </c>
      <c r="W1276" s="7" t="str">
        <f>IF(ISBLANK(patch[[#This Row],[project]]), "",COUNTIFS($A:$A,patch[[#This Row],[number]],$S:$S, "BJ And dev",$AC:$AC, "Review-1"))</f>
        <v/>
      </c>
      <c r="X1276" s="7" t="str">
        <f>IF(ISBLANK(patch[[#This Row],[project]]), "",COUNTIFS($A:$A,patch[[#This Row],[number]],$S:$S, "FL And dev",$AC:$AC, "Review-1"))</f>
        <v/>
      </c>
      <c r="Y1276" s="7" t="str">
        <f>IF(ISBLANK(patch[[#This Row],[project]]), "",COUNTIFS($A:$A,patch[[#This Row],[number]],$S:$S, "SH And dev",$AC:$AC, "Review-1"))</f>
        <v/>
      </c>
      <c r="Z1276" s="7" t="str">
        <f>IF(ISBLANK(patch[[#This Row],[project]]), "",COUNTIFS($A:$A,patch[[#This Row],[number]],$S:$S, "BJ And dev",$AD:$AD, "&lt;&gt;IntegratorValidationComment"))</f>
        <v/>
      </c>
      <c r="AA1276" s="7" t="str">
        <f>IF(ISBLANK(patch[[#This Row],[project]]), "",COUNTIFS($A:$A,patch[[#This Row],[number]],$S:$S, "FL And dev",$AD:$AD, "&lt;&gt;IntegratorValidationComment"))</f>
        <v/>
      </c>
      <c r="AB1276" s="7" t="str">
        <f>IF(ISBLANK(patch[[#This Row],[project]]), "",COUNTIFS($A:$A,patch[[#This Row],[number]],$S:$S, "SH And dev",$AD:$AD, "&lt;&gt;IntegratorValidationComment"))</f>
        <v/>
      </c>
      <c r="AC1276" s="7" t="str">
        <f>IF(OR(ISNUMBER(FIND("Review-1", patch[[#This Row],[comments]])), ISNUMBER(FIND("Approver-1", patch[[#This Row],[comments]]))), "Review-1", "")</f>
        <v/>
      </c>
      <c r="AD12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76" s="7">
        <f>IF(ISBLANK(patch[[#This Row],[number]]),AE1275,patch[[#This Row],[ifCommon]])</f>
        <v>0</v>
      </c>
    </row>
    <row r="1277" spans="1:31">
      <c r="A1277" s="151">
        <v>144079</v>
      </c>
      <c r="B1277" s="151"/>
      <c r="C1277" s="151"/>
      <c r="D1277" s="151"/>
      <c r="E1277" s="151"/>
      <c r="F1277" s="151"/>
      <c r="G1277" s="151"/>
      <c r="H1277" s="151"/>
      <c r="I1277" s="151"/>
      <c r="J1277" s="152">
        <v>42633.70994212963</v>
      </c>
      <c r="K1277" s="151"/>
      <c r="L1277" s="151" t="s">
        <v>68</v>
      </c>
      <c r="M1277" s="152">
        <v>42632.474999999999</v>
      </c>
      <c r="N1277" s="151" t="s">
        <v>1849</v>
      </c>
      <c r="O1277" s="151"/>
      <c r="P1277" s="151"/>
      <c r="Q1277" s="7" t="str">
        <f>IF(ISBLANK(patch[[#This Row],[OwnerEmail]]),Q1276,patch[[#This Row],[OwnerEmail]])</f>
        <v>zongx.li@intel.com</v>
      </c>
      <c r="R1277" s="7" t="str">
        <f>_xlfn.IFNA(VLOOKUP(patch[[#This Row],[tmp-owner.email]],OrgTree!$A:$K, 11, 0), "not ICG SWFW")</f>
        <v>BJ And dev</v>
      </c>
      <c r="S1277" s="7" t="str">
        <f>IF(patch[[#This Row],[reviewer]]=patch[[#This Row],[tmp-owner.email]], "author", _xlfn.IFNA(VLOOKUP(patch[[#This Row],[reviewer]],OrgTree!$A:$K, 11, 0), "not ICG SWFW"))</f>
        <v>BJ And dev</v>
      </c>
      <c r="T1277" s="7" t="str">
        <f>IF(ISBLANK(patch[[#This Row],[mergeDate]]), "", MID(YEAR(patch[[#This Row],[mergeDate]]), 3,2)&amp;"'ww"&amp;WEEKNUM(patch[[#This Row],[mergeDate]]))</f>
        <v>16'ww39</v>
      </c>
      <c r="U1277" s="7" t="str">
        <f>IF(ISBLANK(patch[[#This Row],[mergeDate]]), U1276, MID(YEAR(patch[[#This Row],[mergeDate]]), 3,2)&amp;"'m"&amp;MONTH(patch[[#This Row],[mergeDate]]))</f>
        <v>16'm9</v>
      </c>
      <c r="V1277" s="7" t="str">
        <f>IF(ISBLANK(patch[[#This Row],[project]]), "",SUM(patch[[#This Row],[BJ -1 num]:[SH -1 num]]))</f>
        <v/>
      </c>
      <c r="W1277" s="7" t="str">
        <f>IF(ISBLANK(patch[[#This Row],[project]]), "",COUNTIFS($A:$A,patch[[#This Row],[number]],$S:$S, "BJ And dev",$AC:$AC, "Review-1"))</f>
        <v/>
      </c>
      <c r="X1277" s="7" t="str">
        <f>IF(ISBLANK(patch[[#This Row],[project]]), "",COUNTIFS($A:$A,patch[[#This Row],[number]],$S:$S, "FL And dev",$AC:$AC, "Review-1"))</f>
        <v/>
      </c>
      <c r="Y1277" s="7" t="str">
        <f>IF(ISBLANK(patch[[#This Row],[project]]), "",COUNTIFS($A:$A,patch[[#This Row],[number]],$S:$S, "SH And dev",$AC:$AC, "Review-1"))</f>
        <v/>
      </c>
      <c r="Z1277" s="7" t="str">
        <f>IF(ISBLANK(patch[[#This Row],[project]]), "",COUNTIFS($A:$A,patch[[#This Row],[number]],$S:$S, "BJ And dev",$AD:$AD, "&lt;&gt;IntegratorValidationComment"))</f>
        <v/>
      </c>
      <c r="AA1277" s="7" t="str">
        <f>IF(ISBLANK(patch[[#This Row],[project]]), "",COUNTIFS($A:$A,patch[[#This Row],[number]],$S:$S, "FL And dev",$AD:$AD, "&lt;&gt;IntegratorValidationComment"))</f>
        <v/>
      </c>
      <c r="AB1277" s="7" t="str">
        <f>IF(ISBLANK(patch[[#This Row],[project]]), "",COUNTIFS($A:$A,patch[[#This Row],[number]],$S:$S, "SH And dev",$AD:$AD, "&lt;&gt;IntegratorValidationComment"))</f>
        <v/>
      </c>
      <c r="AC1277" s="7" t="str">
        <f>IF(OR(ISNUMBER(FIND("Review-1", patch[[#This Row],[comments]])), ISNUMBER(FIND("Approver-1", patch[[#This Row],[comments]]))), "Review-1", "")</f>
        <v/>
      </c>
      <c r="AD12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77" s="7">
        <f>IF(ISBLANK(patch[[#This Row],[number]]),AE1276,patch[[#This Row],[ifCommon]])</f>
        <v>0</v>
      </c>
    </row>
    <row r="1278" spans="1:31">
      <c r="A1278" s="151">
        <v>144079</v>
      </c>
      <c r="B1278" s="151"/>
      <c r="C1278" s="151"/>
      <c r="D1278" s="151"/>
      <c r="E1278" s="151"/>
      <c r="F1278" s="151"/>
      <c r="G1278" s="151"/>
      <c r="H1278" s="151"/>
      <c r="I1278" s="151"/>
      <c r="J1278" s="152">
        <v>42633.70994212963</v>
      </c>
      <c r="K1278" s="151"/>
      <c r="L1278" s="151" t="s">
        <v>59</v>
      </c>
      <c r="M1278" s="152">
        <v>42632.476550925923</v>
      </c>
      <c r="N1278" s="151" t="s">
        <v>1849</v>
      </c>
      <c r="O1278" s="151"/>
      <c r="P1278" s="151"/>
      <c r="Q1278" s="7" t="str">
        <f>IF(ISBLANK(patch[[#This Row],[OwnerEmail]]),Q1277,patch[[#This Row],[OwnerEmail]])</f>
        <v>zongx.li@intel.com</v>
      </c>
      <c r="R1278" s="7" t="str">
        <f>_xlfn.IFNA(VLOOKUP(patch[[#This Row],[tmp-owner.email]],OrgTree!$A:$K, 11, 0), "not ICG SWFW")</f>
        <v>BJ And dev</v>
      </c>
      <c r="S1278" s="7" t="str">
        <f>IF(patch[[#This Row],[reviewer]]=patch[[#This Row],[tmp-owner.email]], "author", _xlfn.IFNA(VLOOKUP(patch[[#This Row],[reviewer]],OrgTree!$A:$K, 11, 0), "not ICG SWFW"))</f>
        <v>BJ And dev</v>
      </c>
      <c r="T1278" s="7" t="str">
        <f>IF(ISBLANK(patch[[#This Row],[mergeDate]]), "", MID(YEAR(patch[[#This Row],[mergeDate]]), 3,2)&amp;"'ww"&amp;WEEKNUM(patch[[#This Row],[mergeDate]]))</f>
        <v>16'ww39</v>
      </c>
      <c r="U1278" s="7" t="str">
        <f>IF(ISBLANK(patch[[#This Row],[mergeDate]]), U1277, MID(YEAR(patch[[#This Row],[mergeDate]]), 3,2)&amp;"'m"&amp;MONTH(patch[[#This Row],[mergeDate]]))</f>
        <v>16'm9</v>
      </c>
      <c r="V1278" s="7" t="str">
        <f>IF(ISBLANK(patch[[#This Row],[project]]), "",SUM(patch[[#This Row],[BJ -1 num]:[SH -1 num]]))</f>
        <v/>
      </c>
      <c r="W1278" s="7" t="str">
        <f>IF(ISBLANK(patch[[#This Row],[project]]), "",COUNTIFS($A:$A,patch[[#This Row],[number]],$S:$S, "BJ And dev",$AC:$AC, "Review-1"))</f>
        <v/>
      </c>
      <c r="X1278" s="7" t="str">
        <f>IF(ISBLANK(patch[[#This Row],[project]]), "",COUNTIFS($A:$A,patch[[#This Row],[number]],$S:$S, "FL And dev",$AC:$AC, "Review-1"))</f>
        <v/>
      </c>
      <c r="Y1278" s="7" t="str">
        <f>IF(ISBLANK(patch[[#This Row],[project]]), "",COUNTIFS($A:$A,patch[[#This Row],[number]],$S:$S, "SH And dev",$AC:$AC, "Review-1"))</f>
        <v/>
      </c>
      <c r="Z1278" s="7" t="str">
        <f>IF(ISBLANK(patch[[#This Row],[project]]), "",COUNTIFS($A:$A,patch[[#This Row],[number]],$S:$S, "BJ And dev",$AD:$AD, "&lt;&gt;IntegratorValidationComment"))</f>
        <v/>
      </c>
      <c r="AA1278" s="7" t="str">
        <f>IF(ISBLANK(patch[[#This Row],[project]]), "",COUNTIFS($A:$A,patch[[#This Row],[number]],$S:$S, "FL And dev",$AD:$AD, "&lt;&gt;IntegratorValidationComment"))</f>
        <v/>
      </c>
      <c r="AB1278" s="7" t="str">
        <f>IF(ISBLANK(patch[[#This Row],[project]]), "",COUNTIFS($A:$A,patch[[#This Row],[number]],$S:$S, "SH And dev",$AD:$AD, "&lt;&gt;IntegratorValidationComment"))</f>
        <v/>
      </c>
      <c r="AC1278" s="7" t="str">
        <f>IF(OR(ISNUMBER(FIND("Review-1", patch[[#This Row],[comments]])), ISNUMBER(FIND("Approver-1", patch[[#This Row],[comments]]))), "Review-1", "")</f>
        <v/>
      </c>
      <c r="AD12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78" s="7">
        <f>IF(ISBLANK(patch[[#This Row],[number]]),AE1277,patch[[#This Row],[ifCommon]])</f>
        <v>0</v>
      </c>
    </row>
    <row r="1279" spans="1:31">
      <c r="A1279" s="151">
        <v>144079</v>
      </c>
      <c r="B1279" s="151"/>
      <c r="C1279" s="151"/>
      <c r="D1279" s="151"/>
      <c r="E1279" s="151"/>
      <c r="F1279" s="151"/>
      <c r="G1279" s="151"/>
      <c r="H1279" s="151"/>
      <c r="I1279" s="151"/>
      <c r="J1279" s="152">
        <v>42633.70994212963</v>
      </c>
      <c r="K1279" s="151"/>
      <c r="L1279" s="151" t="s">
        <v>32</v>
      </c>
      <c r="M1279" s="152">
        <v>42632.477962962963</v>
      </c>
      <c r="N1279" s="151" t="s">
        <v>2502</v>
      </c>
      <c r="O1279" s="151"/>
      <c r="P1279" s="151"/>
      <c r="Q1279" s="7" t="str">
        <f>IF(ISBLANK(patch[[#This Row],[OwnerEmail]]),Q1278,patch[[#This Row],[OwnerEmail]])</f>
        <v>zongx.li@intel.com</v>
      </c>
      <c r="R1279" s="7" t="str">
        <f>_xlfn.IFNA(VLOOKUP(patch[[#This Row],[tmp-owner.email]],OrgTree!$A:$K, 11, 0), "not ICG SWFW")</f>
        <v>BJ And dev</v>
      </c>
      <c r="S1279" s="7" t="str">
        <f>IF(patch[[#This Row],[reviewer]]=patch[[#This Row],[tmp-owner.email]], "author", _xlfn.IFNA(VLOOKUP(patch[[#This Row],[reviewer]],OrgTree!$A:$K, 11, 0), "not ICG SWFW"))</f>
        <v>BJ And dev</v>
      </c>
      <c r="T1279" s="7" t="str">
        <f>IF(ISBLANK(patch[[#This Row],[mergeDate]]), "", MID(YEAR(patch[[#This Row],[mergeDate]]), 3,2)&amp;"'ww"&amp;WEEKNUM(patch[[#This Row],[mergeDate]]))</f>
        <v>16'ww39</v>
      </c>
      <c r="U1279" s="7" t="str">
        <f>IF(ISBLANK(patch[[#This Row],[mergeDate]]), U1278, MID(YEAR(patch[[#This Row],[mergeDate]]), 3,2)&amp;"'m"&amp;MONTH(patch[[#This Row],[mergeDate]]))</f>
        <v>16'm9</v>
      </c>
      <c r="V1279" s="7" t="str">
        <f>IF(ISBLANK(patch[[#This Row],[project]]), "",SUM(patch[[#This Row],[BJ -1 num]:[SH -1 num]]))</f>
        <v/>
      </c>
      <c r="W1279" s="7" t="str">
        <f>IF(ISBLANK(patch[[#This Row],[project]]), "",COUNTIFS($A:$A,patch[[#This Row],[number]],$S:$S, "BJ And dev",$AC:$AC, "Review-1"))</f>
        <v/>
      </c>
      <c r="X1279" s="7" t="str">
        <f>IF(ISBLANK(patch[[#This Row],[project]]), "",COUNTIFS($A:$A,patch[[#This Row],[number]],$S:$S, "FL And dev",$AC:$AC, "Review-1"))</f>
        <v/>
      </c>
      <c r="Y1279" s="7" t="str">
        <f>IF(ISBLANK(patch[[#This Row],[project]]), "",COUNTIFS($A:$A,patch[[#This Row],[number]],$S:$S, "SH And dev",$AC:$AC, "Review-1"))</f>
        <v/>
      </c>
      <c r="Z1279" s="7" t="str">
        <f>IF(ISBLANK(patch[[#This Row],[project]]), "",COUNTIFS($A:$A,patch[[#This Row],[number]],$S:$S, "BJ And dev",$AD:$AD, "&lt;&gt;IntegratorValidationComment"))</f>
        <v/>
      </c>
      <c r="AA1279" s="7" t="str">
        <f>IF(ISBLANK(patch[[#This Row],[project]]), "",COUNTIFS($A:$A,patch[[#This Row],[number]],$S:$S, "FL And dev",$AD:$AD, "&lt;&gt;IntegratorValidationComment"))</f>
        <v/>
      </c>
      <c r="AB1279" s="7" t="str">
        <f>IF(ISBLANK(patch[[#This Row],[project]]), "",COUNTIFS($A:$A,patch[[#This Row],[number]],$S:$S, "SH And dev",$AD:$AD, "&lt;&gt;IntegratorValidationComment"))</f>
        <v/>
      </c>
      <c r="AC1279" s="7" t="str">
        <f>IF(OR(ISNUMBER(FIND("Review-1", patch[[#This Row],[comments]])), ISNUMBER(FIND("Approver-1", patch[[#This Row],[comments]]))), "Review-1", "")</f>
        <v/>
      </c>
      <c r="AD12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79" s="7">
        <f>IF(ISBLANK(patch[[#This Row],[number]]),AE1278,patch[[#This Row],[ifCommon]])</f>
        <v>0</v>
      </c>
    </row>
    <row r="1280" spans="1:31">
      <c r="A1280" s="151">
        <v>144079</v>
      </c>
      <c r="B1280" s="151"/>
      <c r="C1280" s="151"/>
      <c r="D1280" s="151"/>
      <c r="E1280" s="151"/>
      <c r="F1280" s="151"/>
      <c r="G1280" s="151"/>
      <c r="H1280" s="151"/>
      <c r="I1280" s="151"/>
      <c r="J1280" s="152">
        <v>42633.70994212963</v>
      </c>
      <c r="K1280" s="151"/>
      <c r="L1280" s="151" t="s">
        <v>39</v>
      </c>
      <c r="M1280" s="152">
        <v>42632.478252314817</v>
      </c>
      <c r="N1280" s="151" t="s">
        <v>1849</v>
      </c>
      <c r="O1280" s="151"/>
      <c r="P1280" s="151"/>
      <c r="Q1280" s="7" t="str">
        <f>IF(ISBLANK(patch[[#This Row],[OwnerEmail]]),Q1279,patch[[#This Row],[OwnerEmail]])</f>
        <v>zongx.li@intel.com</v>
      </c>
      <c r="R1280" s="7" t="str">
        <f>_xlfn.IFNA(VLOOKUP(patch[[#This Row],[tmp-owner.email]],OrgTree!$A:$K, 11, 0), "not ICG SWFW")</f>
        <v>BJ And dev</v>
      </c>
      <c r="S1280" s="7" t="str">
        <f>IF(patch[[#This Row],[reviewer]]=patch[[#This Row],[tmp-owner.email]], "author", _xlfn.IFNA(VLOOKUP(patch[[#This Row],[reviewer]],OrgTree!$A:$K, 11, 0), "not ICG SWFW"))</f>
        <v>BJ And dev</v>
      </c>
      <c r="T1280" s="7" t="str">
        <f>IF(ISBLANK(patch[[#This Row],[mergeDate]]), "", MID(YEAR(patch[[#This Row],[mergeDate]]), 3,2)&amp;"'ww"&amp;WEEKNUM(patch[[#This Row],[mergeDate]]))</f>
        <v>16'ww39</v>
      </c>
      <c r="U1280" s="7" t="str">
        <f>IF(ISBLANK(patch[[#This Row],[mergeDate]]), U1279, MID(YEAR(patch[[#This Row],[mergeDate]]), 3,2)&amp;"'m"&amp;MONTH(patch[[#This Row],[mergeDate]]))</f>
        <v>16'm9</v>
      </c>
      <c r="V1280" s="7" t="str">
        <f>IF(ISBLANK(patch[[#This Row],[project]]), "",SUM(patch[[#This Row],[BJ -1 num]:[SH -1 num]]))</f>
        <v/>
      </c>
      <c r="W1280" s="7" t="str">
        <f>IF(ISBLANK(patch[[#This Row],[project]]), "",COUNTIFS($A:$A,patch[[#This Row],[number]],$S:$S, "BJ And dev",$AC:$AC, "Review-1"))</f>
        <v/>
      </c>
      <c r="X1280" s="7" t="str">
        <f>IF(ISBLANK(patch[[#This Row],[project]]), "",COUNTIFS($A:$A,patch[[#This Row],[number]],$S:$S, "FL And dev",$AC:$AC, "Review-1"))</f>
        <v/>
      </c>
      <c r="Y1280" s="7" t="str">
        <f>IF(ISBLANK(patch[[#This Row],[project]]), "",COUNTIFS($A:$A,patch[[#This Row],[number]],$S:$S, "SH And dev",$AC:$AC, "Review-1"))</f>
        <v/>
      </c>
      <c r="Z1280" s="7" t="str">
        <f>IF(ISBLANK(patch[[#This Row],[project]]), "",COUNTIFS($A:$A,patch[[#This Row],[number]],$S:$S, "BJ And dev",$AD:$AD, "&lt;&gt;IntegratorValidationComment"))</f>
        <v/>
      </c>
      <c r="AA1280" s="7" t="str">
        <f>IF(ISBLANK(patch[[#This Row],[project]]), "",COUNTIFS($A:$A,patch[[#This Row],[number]],$S:$S, "FL And dev",$AD:$AD, "&lt;&gt;IntegratorValidationComment"))</f>
        <v/>
      </c>
      <c r="AB1280" s="7" t="str">
        <f>IF(ISBLANK(patch[[#This Row],[project]]), "",COUNTIFS($A:$A,patch[[#This Row],[number]],$S:$S, "SH And dev",$AD:$AD, "&lt;&gt;IntegratorValidationComment"))</f>
        <v/>
      </c>
      <c r="AC1280" s="7" t="str">
        <f>IF(OR(ISNUMBER(FIND("Review-1", patch[[#This Row],[comments]])), ISNUMBER(FIND("Approver-1", patch[[#This Row],[comments]]))), "Review-1", "")</f>
        <v/>
      </c>
      <c r="AD12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80" s="7">
        <f>IF(ISBLANK(patch[[#This Row],[number]]),AE1279,patch[[#This Row],[ifCommon]])</f>
        <v>0</v>
      </c>
    </row>
    <row r="1281" spans="1:31">
      <c r="A1281" s="151">
        <v>144079</v>
      </c>
      <c r="B1281" s="151"/>
      <c r="C1281" s="151"/>
      <c r="D1281" s="151"/>
      <c r="E1281" s="151"/>
      <c r="F1281" s="151"/>
      <c r="G1281" s="151"/>
      <c r="H1281" s="151"/>
      <c r="I1281" s="151"/>
      <c r="J1281" s="152">
        <v>42633.70994212963</v>
      </c>
      <c r="K1281" s="151"/>
      <c r="L1281" s="151" t="s">
        <v>59</v>
      </c>
      <c r="M1281" s="152">
        <v>42632.481030092589</v>
      </c>
      <c r="N1281" s="151" t="s">
        <v>3224</v>
      </c>
      <c r="O1281" s="151"/>
      <c r="P1281" s="151"/>
      <c r="Q1281" s="7" t="str">
        <f>IF(ISBLANK(patch[[#This Row],[OwnerEmail]]),Q1280,patch[[#This Row],[OwnerEmail]])</f>
        <v>zongx.li@intel.com</v>
      </c>
      <c r="R1281" s="7" t="str">
        <f>_xlfn.IFNA(VLOOKUP(patch[[#This Row],[tmp-owner.email]],OrgTree!$A:$K, 11, 0), "not ICG SWFW")</f>
        <v>BJ And dev</v>
      </c>
      <c r="S1281" s="7" t="str">
        <f>IF(patch[[#This Row],[reviewer]]=patch[[#This Row],[tmp-owner.email]], "author", _xlfn.IFNA(VLOOKUP(patch[[#This Row],[reviewer]],OrgTree!$A:$K, 11, 0), "not ICG SWFW"))</f>
        <v>BJ And dev</v>
      </c>
      <c r="T1281" s="7" t="str">
        <f>IF(ISBLANK(patch[[#This Row],[mergeDate]]), "", MID(YEAR(patch[[#This Row],[mergeDate]]), 3,2)&amp;"'ww"&amp;WEEKNUM(patch[[#This Row],[mergeDate]]))</f>
        <v>16'ww39</v>
      </c>
      <c r="U1281" s="7" t="str">
        <f>IF(ISBLANK(patch[[#This Row],[mergeDate]]), U1280, MID(YEAR(patch[[#This Row],[mergeDate]]), 3,2)&amp;"'m"&amp;MONTH(patch[[#This Row],[mergeDate]]))</f>
        <v>16'm9</v>
      </c>
      <c r="V1281" s="7" t="str">
        <f>IF(ISBLANK(patch[[#This Row],[project]]), "",SUM(patch[[#This Row],[BJ -1 num]:[SH -1 num]]))</f>
        <v/>
      </c>
      <c r="W1281" s="7" t="str">
        <f>IF(ISBLANK(patch[[#This Row],[project]]), "",COUNTIFS($A:$A,patch[[#This Row],[number]],$S:$S, "BJ And dev",$AC:$AC, "Review-1"))</f>
        <v/>
      </c>
      <c r="X1281" s="7" t="str">
        <f>IF(ISBLANK(patch[[#This Row],[project]]), "",COUNTIFS($A:$A,patch[[#This Row],[number]],$S:$S, "FL And dev",$AC:$AC, "Review-1"))</f>
        <v/>
      </c>
      <c r="Y1281" s="7" t="str">
        <f>IF(ISBLANK(patch[[#This Row],[project]]), "",COUNTIFS($A:$A,patch[[#This Row],[number]],$S:$S, "SH And dev",$AC:$AC, "Review-1"))</f>
        <v/>
      </c>
      <c r="Z1281" s="7" t="str">
        <f>IF(ISBLANK(patch[[#This Row],[project]]), "",COUNTIFS($A:$A,patch[[#This Row],[number]],$S:$S, "BJ And dev",$AD:$AD, "&lt;&gt;IntegratorValidationComment"))</f>
        <v/>
      </c>
      <c r="AA1281" s="7" t="str">
        <f>IF(ISBLANK(patch[[#This Row],[project]]), "",COUNTIFS($A:$A,patch[[#This Row],[number]],$S:$S, "FL And dev",$AD:$AD, "&lt;&gt;IntegratorValidationComment"))</f>
        <v/>
      </c>
      <c r="AB1281" s="7" t="str">
        <f>IF(ISBLANK(patch[[#This Row],[project]]), "",COUNTIFS($A:$A,patch[[#This Row],[number]],$S:$S, "SH And dev",$AD:$AD, "&lt;&gt;IntegratorValidationComment"))</f>
        <v/>
      </c>
      <c r="AC1281" s="7" t="str">
        <f>IF(OR(ISNUMBER(FIND("Review-1", patch[[#This Row],[comments]])), ISNUMBER(FIND("Approver-1", patch[[#This Row],[comments]]))), "Review-1", "")</f>
        <v/>
      </c>
      <c r="AD12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81" s="7">
        <f>IF(ISBLANK(patch[[#This Row],[number]]),AE1280,patch[[#This Row],[ifCommon]])</f>
        <v>0</v>
      </c>
    </row>
    <row r="1282" spans="1:31">
      <c r="A1282" s="151">
        <v>144079</v>
      </c>
      <c r="B1282" s="151"/>
      <c r="C1282" s="151"/>
      <c r="D1282" s="151"/>
      <c r="E1282" s="151"/>
      <c r="F1282" s="151"/>
      <c r="G1282" s="151"/>
      <c r="H1282" s="151"/>
      <c r="I1282" s="151"/>
      <c r="J1282" s="152">
        <v>42633.70994212963</v>
      </c>
      <c r="K1282" s="151"/>
      <c r="L1282" s="151" t="s">
        <v>59</v>
      </c>
      <c r="M1282" s="152">
        <v>42632.485474537039</v>
      </c>
      <c r="N1282" s="151" t="s">
        <v>3225</v>
      </c>
      <c r="O1282" s="151"/>
      <c r="P1282" s="151"/>
      <c r="Q1282" s="7" t="str">
        <f>IF(ISBLANK(patch[[#This Row],[OwnerEmail]]),Q1281,patch[[#This Row],[OwnerEmail]])</f>
        <v>zongx.li@intel.com</v>
      </c>
      <c r="R1282" s="7" t="str">
        <f>_xlfn.IFNA(VLOOKUP(patch[[#This Row],[tmp-owner.email]],OrgTree!$A:$K, 11, 0), "not ICG SWFW")</f>
        <v>BJ And dev</v>
      </c>
      <c r="S1282" s="7" t="str">
        <f>IF(patch[[#This Row],[reviewer]]=patch[[#This Row],[tmp-owner.email]], "author", _xlfn.IFNA(VLOOKUP(patch[[#This Row],[reviewer]],OrgTree!$A:$K, 11, 0), "not ICG SWFW"))</f>
        <v>BJ And dev</v>
      </c>
      <c r="T1282" s="7" t="str">
        <f>IF(ISBLANK(patch[[#This Row],[mergeDate]]), "", MID(YEAR(patch[[#This Row],[mergeDate]]), 3,2)&amp;"'ww"&amp;WEEKNUM(patch[[#This Row],[mergeDate]]))</f>
        <v>16'ww39</v>
      </c>
      <c r="U1282" s="7" t="str">
        <f>IF(ISBLANK(patch[[#This Row],[mergeDate]]), U1281, MID(YEAR(patch[[#This Row],[mergeDate]]), 3,2)&amp;"'m"&amp;MONTH(patch[[#This Row],[mergeDate]]))</f>
        <v>16'm9</v>
      </c>
      <c r="V1282" s="7" t="str">
        <f>IF(ISBLANK(patch[[#This Row],[project]]), "",SUM(patch[[#This Row],[BJ -1 num]:[SH -1 num]]))</f>
        <v/>
      </c>
      <c r="W1282" s="7" t="str">
        <f>IF(ISBLANK(patch[[#This Row],[project]]), "",COUNTIFS($A:$A,patch[[#This Row],[number]],$S:$S, "BJ And dev",$AC:$AC, "Review-1"))</f>
        <v/>
      </c>
      <c r="X1282" s="7" t="str">
        <f>IF(ISBLANK(patch[[#This Row],[project]]), "",COUNTIFS($A:$A,patch[[#This Row],[number]],$S:$S, "FL And dev",$AC:$AC, "Review-1"))</f>
        <v/>
      </c>
      <c r="Y1282" s="7" t="str">
        <f>IF(ISBLANK(patch[[#This Row],[project]]), "",COUNTIFS($A:$A,patch[[#This Row],[number]],$S:$S, "SH And dev",$AC:$AC, "Review-1"))</f>
        <v/>
      </c>
      <c r="Z1282" s="7" t="str">
        <f>IF(ISBLANK(patch[[#This Row],[project]]), "",COUNTIFS($A:$A,patch[[#This Row],[number]],$S:$S, "BJ And dev",$AD:$AD, "&lt;&gt;IntegratorValidationComment"))</f>
        <v/>
      </c>
      <c r="AA1282" s="7" t="str">
        <f>IF(ISBLANK(patch[[#This Row],[project]]), "",COUNTIFS($A:$A,patch[[#This Row],[number]],$S:$S, "FL And dev",$AD:$AD, "&lt;&gt;IntegratorValidationComment"))</f>
        <v/>
      </c>
      <c r="AB1282" s="7" t="str">
        <f>IF(ISBLANK(patch[[#This Row],[project]]), "",COUNTIFS($A:$A,patch[[#This Row],[number]],$S:$S, "SH And dev",$AD:$AD, "&lt;&gt;IntegratorValidationComment"))</f>
        <v/>
      </c>
      <c r="AC1282" s="7" t="str">
        <f>IF(OR(ISNUMBER(FIND("Review-1", patch[[#This Row],[comments]])), ISNUMBER(FIND("Approver-1", patch[[#This Row],[comments]]))), "Review-1", "")</f>
        <v/>
      </c>
      <c r="AD12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82" s="7">
        <f>IF(ISBLANK(patch[[#This Row],[number]]),AE1281,patch[[#This Row],[ifCommon]])</f>
        <v>0</v>
      </c>
    </row>
    <row r="1283" spans="1:31">
      <c r="A1283" s="151">
        <v>144079</v>
      </c>
      <c r="B1283" s="151"/>
      <c r="C1283" s="151"/>
      <c r="D1283" s="151"/>
      <c r="E1283" s="151"/>
      <c r="F1283" s="151"/>
      <c r="G1283" s="151"/>
      <c r="H1283" s="151"/>
      <c r="I1283" s="151"/>
      <c r="J1283" s="152">
        <v>42633.70994212963</v>
      </c>
      <c r="K1283" s="151"/>
      <c r="L1283" s="151" t="s">
        <v>115</v>
      </c>
      <c r="M1283" s="152">
        <v>42633.398402777777</v>
      </c>
      <c r="N1283" s="151" t="s">
        <v>2503</v>
      </c>
      <c r="O1283" s="151"/>
      <c r="P1283" s="151"/>
      <c r="Q1283" s="7" t="str">
        <f>IF(ISBLANK(patch[[#This Row],[OwnerEmail]]),Q1282,patch[[#This Row],[OwnerEmail]])</f>
        <v>zongx.li@intel.com</v>
      </c>
      <c r="R1283" s="7" t="str">
        <f>_xlfn.IFNA(VLOOKUP(patch[[#This Row],[tmp-owner.email]],OrgTree!$A:$K, 11, 0), "not ICG SWFW")</f>
        <v>BJ And dev</v>
      </c>
      <c r="S1283" s="7" t="str">
        <f>IF(patch[[#This Row],[reviewer]]=patch[[#This Row],[tmp-owner.email]], "author", _xlfn.IFNA(VLOOKUP(patch[[#This Row],[reviewer]],OrgTree!$A:$K, 11, 0), "not ICG SWFW"))</f>
        <v>Val</v>
      </c>
      <c r="T1283" s="7" t="str">
        <f>IF(ISBLANK(patch[[#This Row],[mergeDate]]), "", MID(YEAR(patch[[#This Row],[mergeDate]]), 3,2)&amp;"'ww"&amp;WEEKNUM(patch[[#This Row],[mergeDate]]))</f>
        <v>16'ww39</v>
      </c>
      <c r="U1283" s="7" t="str">
        <f>IF(ISBLANK(patch[[#This Row],[mergeDate]]), U1282, MID(YEAR(patch[[#This Row],[mergeDate]]), 3,2)&amp;"'m"&amp;MONTH(patch[[#This Row],[mergeDate]]))</f>
        <v>16'm9</v>
      </c>
      <c r="V1283" s="7" t="str">
        <f>IF(ISBLANK(patch[[#This Row],[project]]), "",SUM(patch[[#This Row],[BJ -1 num]:[SH -1 num]]))</f>
        <v/>
      </c>
      <c r="W1283" s="7" t="str">
        <f>IF(ISBLANK(patch[[#This Row],[project]]), "",COUNTIFS($A:$A,patch[[#This Row],[number]],$S:$S, "BJ And dev",$AC:$AC, "Review-1"))</f>
        <v/>
      </c>
      <c r="X1283" s="7" t="str">
        <f>IF(ISBLANK(patch[[#This Row],[project]]), "",COUNTIFS($A:$A,patch[[#This Row],[number]],$S:$S, "FL And dev",$AC:$AC, "Review-1"))</f>
        <v/>
      </c>
      <c r="Y1283" s="7" t="str">
        <f>IF(ISBLANK(patch[[#This Row],[project]]), "",COUNTIFS($A:$A,patch[[#This Row],[number]],$S:$S, "SH And dev",$AC:$AC, "Review-1"))</f>
        <v/>
      </c>
      <c r="Z1283" s="7" t="str">
        <f>IF(ISBLANK(patch[[#This Row],[project]]), "",COUNTIFS($A:$A,patch[[#This Row],[number]],$S:$S, "BJ And dev",$AD:$AD, "&lt;&gt;IntegratorValidationComment"))</f>
        <v/>
      </c>
      <c r="AA1283" s="7" t="str">
        <f>IF(ISBLANK(patch[[#This Row],[project]]), "",COUNTIFS($A:$A,patch[[#This Row],[number]],$S:$S, "FL And dev",$AD:$AD, "&lt;&gt;IntegratorValidationComment"))</f>
        <v/>
      </c>
      <c r="AB1283" s="7" t="str">
        <f>IF(ISBLANK(patch[[#This Row],[project]]), "",COUNTIFS($A:$A,patch[[#This Row],[number]],$S:$S, "SH And dev",$AD:$AD, "&lt;&gt;IntegratorValidationComment"))</f>
        <v/>
      </c>
      <c r="AC1283" s="7" t="str">
        <f>IF(OR(ISNUMBER(FIND("Review-1", patch[[#This Row],[comments]])), ISNUMBER(FIND("Approver-1", patch[[#This Row],[comments]]))), "Review-1", "")</f>
        <v/>
      </c>
      <c r="AD12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283" s="7">
        <f>IF(ISBLANK(patch[[#This Row],[number]]),AE1282,patch[[#This Row],[ifCommon]])</f>
        <v>0</v>
      </c>
    </row>
    <row r="1284" spans="1:31">
      <c r="A1284" s="151">
        <v>145083</v>
      </c>
      <c r="B1284" s="151" t="s">
        <v>2490</v>
      </c>
      <c r="C1284" s="151" t="s">
        <v>2491</v>
      </c>
      <c r="D1284" s="151" t="s">
        <v>3042</v>
      </c>
      <c r="E1284" s="151" t="s">
        <v>59</v>
      </c>
      <c r="F1284" s="151" t="s">
        <v>23</v>
      </c>
      <c r="G1284" s="151" t="s">
        <v>3043</v>
      </c>
      <c r="H1284" s="151" t="s">
        <v>3044</v>
      </c>
      <c r="I1284" s="152">
        <v>42627.531805555547</v>
      </c>
      <c r="J1284" s="152">
        <v>42633.70989583333</v>
      </c>
      <c r="K1284" s="151" t="s">
        <v>2445</v>
      </c>
      <c r="L1284" s="151" t="s">
        <v>59</v>
      </c>
      <c r="M1284" s="152">
        <v>42627.531805555547</v>
      </c>
      <c r="N1284" s="151" t="s">
        <v>25</v>
      </c>
      <c r="O1284" s="151"/>
      <c r="P1284" s="151" t="s">
        <v>3226</v>
      </c>
      <c r="Q1284" s="7" t="str">
        <f>IF(ISBLANK(patch[[#This Row],[OwnerEmail]]),Q1283,patch[[#This Row],[OwnerEmail]])</f>
        <v>xiaozhou.liu@intel.com</v>
      </c>
      <c r="R1284" s="7" t="str">
        <f>_xlfn.IFNA(VLOOKUP(patch[[#This Row],[tmp-owner.email]],OrgTree!$A:$K, 11, 0), "not ICG SWFW")</f>
        <v>BJ And dev</v>
      </c>
      <c r="S1284" s="7" t="str">
        <f>IF(patch[[#This Row],[reviewer]]=patch[[#This Row],[tmp-owner.email]], "author", _xlfn.IFNA(VLOOKUP(patch[[#This Row],[reviewer]],OrgTree!$A:$K, 11, 0), "not ICG SWFW"))</f>
        <v>author</v>
      </c>
      <c r="T1284" s="7" t="str">
        <f>IF(ISBLANK(patch[[#This Row],[mergeDate]]), "", MID(YEAR(patch[[#This Row],[mergeDate]]), 3,2)&amp;"'ww"&amp;WEEKNUM(patch[[#This Row],[mergeDate]]))</f>
        <v>16'ww39</v>
      </c>
      <c r="U1284" s="7" t="str">
        <f>IF(ISBLANK(patch[[#This Row],[mergeDate]]), U1283, MID(YEAR(patch[[#This Row],[mergeDate]]), 3,2)&amp;"'m"&amp;MONTH(patch[[#This Row],[mergeDate]]))</f>
        <v>16'm9</v>
      </c>
      <c r="V1284" s="7">
        <f>IF(ISBLANK(patch[[#This Row],[project]]), "",SUM(patch[[#This Row],[BJ -1 num]:[SH -1 num]]))</f>
        <v>0</v>
      </c>
      <c r="W1284" s="7">
        <f>IF(ISBLANK(patch[[#This Row],[project]]), "",COUNTIFS($A:$A,patch[[#This Row],[number]],$S:$S, "BJ And dev",$AC:$AC, "Review-1"))</f>
        <v>0</v>
      </c>
      <c r="X1284" s="7">
        <f>IF(ISBLANK(patch[[#This Row],[project]]), "",COUNTIFS($A:$A,patch[[#This Row],[number]],$S:$S, "FL And dev",$AC:$AC, "Review-1"))</f>
        <v>0</v>
      </c>
      <c r="Y1284" s="7">
        <f>IF(ISBLANK(patch[[#This Row],[project]]), "",COUNTIFS($A:$A,patch[[#This Row],[number]],$S:$S, "SH And dev",$AC:$AC, "Review-1"))</f>
        <v>0</v>
      </c>
      <c r="Z1284" s="7">
        <f>IF(ISBLANK(patch[[#This Row],[project]]), "",COUNTIFS($A:$A,patch[[#This Row],[number]],$S:$S, "BJ And dev",$AD:$AD, "&lt;&gt;IntegratorValidationComment"))</f>
        <v>2</v>
      </c>
      <c r="AA1284" s="7">
        <f>IF(ISBLANK(patch[[#This Row],[project]]), "",COUNTIFS($A:$A,patch[[#This Row],[number]],$S:$S, "FL And dev",$AD:$AD, "&lt;&gt;IntegratorValidationComment"))</f>
        <v>0</v>
      </c>
      <c r="AB1284" s="7">
        <f>IF(ISBLANK(patch[[#This Row],[project]]), "",COUNTIFS($A:$A,patch[[#This Row],[number]],$S:$S, "SH And dev",$AD:$AD, "&lt;&gt;IntegratorValidationComment"))</f>
        <v>0</v>
      </c>
      <c r="AC1284" s="7" t="str">
        <f>IF(OR(ISNUMBER(FIND("Review-1", patch[[#This Row],[comments]])), ISNUMBER(FIND("Approver-1", patch[[#This Row],[comments]]))), "Review-1", "")</f>
        <v/>
      </c>
      <c r="AD12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84" s="7" t="str">
        <f>IF(ISBLANK(patch[[#This Row],[number]]),AE1283,patch[[#This Row],[ifCommon]])</f>
        <v>not AndrHAL</v>
      </c>
    </row>
    <row r="1285" spans="1:31">
      <c r="A1285" s="151">
        <v>145083</v>
      </c>
      <c r="B1285" s="151"/>
      <c r="C1285" s="151"/>
      <c r="D1285" s="151"/>
      <c r="E1285" s="151"/>
      <c r="F1285" s="151"/>
      <c r="G1285" s="151"/>
      <c r="H1285" s="151"/>
      <c r="I1285" s="151"/>
      <c r="J1285" s="152">
        <v>42633.70989583333</v>
      </c>
      <c r="K1285" s="151"/>
      <c r="L1285" s="151" t="s">
        <v>59</v>
      </c>
      <c r="M1285" s="152">
        <v>42627.531817129631</v>
      </c>
      <c r="N1285" s="151" t="s">
        <v>2428</v>
      </c>
      <c r="O1285" s="151"/>
      <c r="P1285" s="151"/>
      <c r="Q1285" s="7" t="str">
        <f>IF(ISBLANK(patch[[#This Row],[OwnerEmail]]),Q1284,patch[[#This Row],[OwnerEmail]])</f>
        <v>xiaozhou.liu@intel.com</v>
      </c>
      <c r="R1285" s="7" t="str">
        <f>_xlfn.IFNA(VLOOKUP(patch[[#This Row],[tmp-owner.email]],OrgTree!$A:$K, 11, 0), "not ICG SWFW")</f>
        <v>BJ And dev</v>
      </c>
      <c r="S1285" s="7" t="str">
        <f>IF(patch[[#This Row],[reviewer]]=patch[[#This Row],[tmp-owner.email]], "author", _xlfn.IFNA(VLOOKUP(patch[[#This Row],[reviewer]],OrgTree!$A:$K, 11, 0), "not ICG SWFW"))</f>
        <v>author</v>
      </c>
      <c r="T1285" s="7" t="str">
        <f>IF(ISBLANK(patch[[#This Row],[mergeDate]]), "", MID(YEAR(patch[[#This Row],[mergeDate]]), 3,2)&amp;"'ww"&amp;WEEKNUM(patch[[#This Row],[mergeDate]]))</f>
        <v>16'ww39</v>
      </c>
      <c r="U1285" s="7" t="str">
        <f>IF(ISBLANK(patch[[#This Row],[mergeDate]]), U1284, MID(YEAR(patch[[#This Row],[mergeDate]]), 3,2)&amp;"'m"&amp;MONTH(patch[[#This Row],[mergeDate]]))</f>
        <v>16'm9</v>
      </c>
      <c r="V1285" s="7" t="str">
        <f>IF(ISBLANK(patch[[#This Row],[project]]), "",SUM(patch[[#This Row],[BJ -1 num]:[SH -1 num]]))</f>
        <v/>
      </c>
      <c r="W1285" s="7" t="str">
        <f>IF(ISBLANK(patch[[#This Row],[project]]), "",COUNTIFS($A:$A,patch[[#This Row],[number]],$S:$S, "BJ And dev",$AC:$AC, "Review-1"))</f>
        <v/>
      </c>
      <c r="X1285" s="7" t="str">
        <f>IF(ISBLANK(patch[[#This Row],[project]]), "",COUNTIFS($A:$A,patch[[#This Row],[number]],$S:$S, "FL And dev",$AC:$AC, "Review-1"))</f>
        <v/>
      </c>
      <c r="Y1285" s="7" t="str">
        <f>IF(ISBLANK(patch[[#This Row],[project]]), "",COUNTIFS($A:$A,patch[[#This Row],[number]],$S:$S, "SH And dev",$AC:$AC, "Review-1"))</f>
        <v/>
      </c>
      <c r="Z1285" s="7" t="str">
        <f>IF(ISBLANK(patch[[#This Row],[project]]), "",COUNTIFS($A:$A,patch[[#This Row],[number]],$S:$S, "BJ And dev",$AD:$AD, "&lt;&gt;IntegratorValidationComment"))</f>
        <v/>
      </c>
      <c r="AA1285" s="7" t="str">
        <f>IF(ISBLANK(patch[[#This Row],[project]]), "",COUNTIFS($A:$A,patch[[#This Row],[number]],$S:$S, "FL And dev",$AD:$AD, "&lt;&gt;IntegratorValidationComment"))</f>
        <v/>
      </c>
      <c r="AB1285" s="7" t="str">
        <f>IF(ISBLANK(patch[[#This Row],[project]]), "",COUNTIFS($A:$A,patch[[#This Row],[number]],$S:$S, "SH And dev",$AD:$AD, "&lt;&gt;IntegratorValidationComment"))</f>
        <v/>
      </c>
      <c r="AC1285" s="7" t="str">
        <f>IF(OR(ISNUMBER(FIND("Review-1", patch[[#This Row],[comments]])), ISNUMBER(FIND("Approver-1", patch[[#This Row],[comments]]))), "Review-1", "")</f>
        <v/>
      </c>
      <c r="AD12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85" s="7">
        <f>IF(ISBLANK(patch[[#This Row],[number]]),AE1284,patch[[#This Row],[ifCommon]])</f>
        <v>0</v>
      </c>
    </row>
    <row r="1286" spans="1:31">
      <c r="A1286" s="151">
        <v>145083</v>
      </c>
      <c r="B1286" s="151"/>
      <c r="C1286" s="151"/>
      <c r="D1286" s="151"/>
      <c r="E1286" s="151"/>
      <c r="F1286" s="151"/>
      <c r="G1286" s="151"/>
      <c r="H1286" s="151"/>
      <c r="I1286" s="151"/>
      <c r="J1286" s="152">
        <v>42633.70989583333</v>
      </c>
      <c r="K1286" s="151"/>
      <c r="L1286" s="151" t="s">
        <v>59</v>
      </c>
      <c r="M1286" s="152">
        <v>42627.535578703697</v>
      </c>
      <c r="N1286" s="151" t="s">
        <v>3227</v>
      </c>
      <c r="O1286" s="151"/>
      <c r="P1286" s="151"/>
      <c r="Q1286" s="7" t="str">
        <f>IF(ISBLANK(patch[[#This Row],[OwnerEmail]]),Q1285,patch[[#This Row],[OwnerEmail]])</f>
        <v>xiaozhou.liu@intel.com</v>
      </c>
      <c r="R1286" s="7" t="str">
        <f>_xlfn.IFNA(VLOOKUP(patch[[#This Row],[tmp-owner.email]],OrgTree!$A:$K, 11, 0), "not ICG SWFW")</f>
        <v>BJ And dev</v>
      </c>
      <c r="S1286" s="7" t="str">
        <f>IF(patch[[#This Row],[reviewer]]=patch[[#This Row],[tmp-owner.email]], "author", _xlfn.IFNA(VLOOKUP(patch[[#This Row],[reviewer]],OrgTree!$A:$K, 11, 0), "not ICG SWFW"))</f>
        <v>author</v>
      </c>
      <c r="T1286" s="7" t="str">
        <f>IF(ISBLANK(patch[[#This Row],[mergeDate]]), "", MID(YEAR(patch[[#This Row],[mergeDate]]), 3,2)&amp;"'ww"&amp;WEEKNUM(patch[[#This Row],[mergeDate]]))</f>
        <v>16'ww39</v>
      </c>
      <c r="U1286" s="7" t="str">
        <f>IF(ISBLANK(patch[[#This Row],[mergeDate]]), U1285, MID(YEAR(patch[[#This Row],[mergeDate]]), 3,2)&amp;"'m"&amp;MONTH(patch[[#This Row],[mergeDate]]))</f>
        <v>16'm9</v>
      </c>
      <c r="V1286" s="7" t="str">
        <f>IF(ISBLANK(patch[[#This Row],[project]]), "",SUM(patch[[#This Row],[BJ -1 num]:[SH -1 num]]))</f>
        <v/>
      </c>
      <c r="W1286" s="7" t="str">
        <f>IF(ISBLANK(patch[[#This Row],[project]]), "",COUNTIFS($A:$A,patch[[#This Row],[number]],$S:$S, "BJ And dev",$AC:$AC, "Review-1"))</f>
        <v/>
      </c>
      <c r="X1286" s="7" t="str">
        <f>IF(ISBLANK(patch[[#This Row],[project]]), "",COUNTIFS($A:$A,patch[[#This Row],[number]],$S:$S, "FL And dev",$AC:$AC, "Review-1"))</f>
        <v/>
      </c>
      <c r="Y1286" s="7" t="str">
        <f>IF(ISBLANK(patch[[#This Row],[project]]), "",COUNTIFS($A:$A,patch[[#This Row],[number]],$S:$S, "SH And dev",$AC:$AC, "Review-1"))</f>
        <v/>
      </c>
      <c r="Z1286" s="7" t="str">
        <f>IF(ISBLANK(patch[[#This Row],[project]]), "",COUNTIFS($A:$A,patch[[#This Row],[number]],$S:$S, "BJ And dev",$AD:$AD, "&lt;&gt;IntegratorValidationComment"))</f>
        <v/>
      </c>
      <c r="AA1286" s="7" t="str">
        <f>IF(ISBLANK(patch[[#This Row],[project]]), "",COUNTIFS($A:$A,patch[[#This Row],[number]],$S:$S, "FL And dev",$AD:$AD, "&lt;&gt;IntegratorValidationComment"))</f>
        <v/>
      </c>
      <c r="AB1286" s="7" t="str">
        <f>IF(ISBLANK(patch[[#This Row],[project]]), "",COUNTIFS($A:$A,patch[[#This Row],[number]],$S:$S, "SH And dev",$AD:$AD, "&lt;&gt;IntegratorValidationComment"))</f>
        <v/>
      </c>
      <c r="AC1286" s="7" t="str">
        <f>IF(OR(ISNUMBER(FIND("Review-1", patch[[#This Row],[comments]])), ISNUMBER(FIND("Approver-1", patch[[#This Row],[comments]]))), "Review-1", "")</f>
        <v/>
      </c>
      <c r="AD12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86" s="7">
        <f>IF(ISBLANK(patch[[#This Row],[number]]),AE1285,patch[[#This Row],[ifCommon]])</f>
        <v>0</v>
      </c>
    </row>
    <row r="1287" spans="1:31">
      <c r="A1287" s="151">
        <v>145083</v>
      </c>
      <c r="B1287" s="151"/>
      <c r="C1287" s="151"/>
      <c r="D1287" s="151"/>
      <c r="E1287" s="151"/>
      <c r="F1287" s="151"/>
      <c r="G1287" s="151"/>
      <c r="H1287" s="151"/>
      <c r="I1287" s="151"/>
      <c r="J1287" s="152">
        <v>42633.70989583333</v>
      </c>
      <c r="K1287" s="151"/>
      <c r="L1287" s="151" t="s">
        <v>59</v>
      </c>
      <c r="M1287" s="152">
        <v>42627.536469907413</v>
      </c>
      <c r="N1287" s="151" t="s">
        <v>3228</v>
      </c>
      <c r="O1287" s="151"/>
      <c r="P1287" s="151"/>
      <c r="Q1287" s="7" t="str">
        <f>IF(ISBLANK(patch[[#This Row],[OwnerEmail]]),Q1286,patch[[#This Row],[OwnerEmail]])</f>
        <v>xiaozhou.liu@intel.com</v>
      </c>
      <c r="R1287" s="7" t="str">
        <f>_xlfn.IFNA(VLOOKUP(patch[[#This Row],[tmp-owner.email]],OrgTree!$A:$K, 11, 0), "not ICG SWFW")</f>
        <v>BJ And dev</v>
      </c>
      <c r="S1287" s="7" t="str">
        <f>IF(patch[[#This Row],[reviewer]]=patch[[#This Row],[tmp-owner.email]], "author", _xlfn.IFNA(VLOOKUP(patch[[#This Row],[reviewer]],OrgTree!$A:$K, 11, 0), "not ICG SWFW"))</f>
        <v>author</v>
      </c>
      <c r="T1287" s="7" t="str">
        <f>IF(ISBLANK(patch[[#This Row],[mergeDate]]), "", MID(YEAR(patch[[#This Row],[mergeDate]]), 3,2)&amp;"'ww"&amp;WEEKNUM(patch[[#This Row],[mergeDate]]))</f>
        <v>16'ww39</v>
      </c>
      <c r="U1287" s="7" t="str">
        <f>IF(ISBLANK(patch[[#This Row],[mergeDate]]), U1286, MID(YEAR(patch[[#This Row],[mergeDate]]), 3,2)&amp;"'m"&amp;MONTH(patch[[#This Row],[mergeDate]]))</f>
        <v>16'm9</v>
      </c>
      <c r="V1287" s="7" t="str">
        <f>IF(ISBLANK(patch[[#This Row],[project]]), "",SUM(patch[[#This Row],[BJ -1 num]:[SH -1 num]]))</f>
        <v/>
      </c>
      <c r="W1287" s="7" t="str">
        <f>IF(ISBLANK(patch[[#This Row],[project]]), "",COUNTIFS($A:$A,patch[[#This Row],[number]],$S:$S, "BJ And dev",$AC:$AC, "Review-1"))</f>
        <v/>
      </c>
      <c r="X1287" s="7" t="str">
        <f>IF(ISBLANK(patch[[#This Row],[project]]), "",COUNTIFS($A:$A,patch[[#This Row],[number]],$S:$S, "FL And dev",$AC:$AC, "Review-1"))</f>
        <v/>
      </c>
      <c r="Y1287" s="7" t="str">
        <f>IF(ISBLANK(patch[[#This Row],[project]]), "",COUNTIFS($A:$A,patch[[#This Row],[number]],$S:$S, "SH And dev",$AC:$AC, "Review-1"))</f>
        <v/>
      </c>
      <c r="Z1287" s="7" t="str">
        <f>IF(ISBLANK(patch[[#This Row],[project]]), "",COUNTIFS($A:$A,patch[[#This Row],[number]],$S:$S, "BJ And dev",$AD:$AD, "&lt;&gt;IntegratorValidationComment"))</f>
        <v/>
      </c>
      <c r="AA1287" s="7" t="str">
        <f>IF(ISBLANK(patch[[#This Row],[project]]), "",COUNTIFS($A:$A,patch[[#This Row],[number]],$S:$S, "FL And dev",$AD:$AD, "&lt;&gt;IntegratorValidationComment"))</f>
        <v/>
      </c>
      <c r="AB1287" s="7" t="str">
        <f>IF(ISBLANK(patch[[#This Row],[project]]), "",COUNTIFS($A:$A,patch[[#This Row],[number]],$S:$S, "SH And dev",$AD:$AD, "&lt;&gt;IntegratorValidationComment"))</f>
        <v/>
      </c>
      <c r="AC1287" s="7" t="str">
        <f>IF(OR(ISNUMBER(FIND("Review-1", patch[[#This Row],[comments]])), ISNUMBER(FIND("Approver-1", patch[[#This Row],[comments]]))), "Review-1", "")</f>
        <v/>
      </c>
      <c r="AD12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87" s="7">
        <f>IF(ISBLANK(patch[[#This Row],[number]]),AE1286,patch[[#This Row],[ifCommon]])</f>
        <v>0</v>
      </c>
    </row>
    <row r="1288" spans="1:31">
      <c r="A1288" s="151">
        <v>145083</v>
      </c>
      <c r="B1288" s="151"/>
      <c r="C1288" s="151"/>
      <c r="D1288" s="151"/>
      <c r="E1288" s="151"/>
      <c r="F1288" s="151"/>
      <c r="G1288" s="151"/>
      <c r="H1288" s="151"/>
      <c r="I1288" s="151"/>
      <c r="J1288" s="152">
        <v>42633.70989583333</v>
      </c>
      <c r="K1288" s="151"/>
      <c r="L1288" s="151" t="s">
        <v>59</v>
      </c>
      <c r="M1288" s="152">
        <v>42627.575439814813</v>
      </c>
      <c r="N1288" s="151" t="s">
        <v>2456</v>
      </c>
      <c r="O1288" s="151"/>
      <c r="P1288" s="151"/>
      <c r="Q1288" s="7" t="str">
        <f>IF(ISBLANK(patch[[#This Row],[OwnerEmail]]),Q1287,patch[[#This Row],[OwnerEmail]])</f>
        <v>xiaozhou.liu@intel.com</v>
      </c>
      <c r="R1288" s="7" t="str">
        <f>_xlfn.IFNA(VLOOKUP(patch[[#This Row],[tmp-owner.email]],OrgTree!$A:$K, 11, 0), "not ICG SWFW")</f>
        <v>BJ And dev</v>
      </c>
      <c r="S1288" s="7" t="str">
        <f>IF(patch[[#This Row],[reviewer]]=patch[[#This Row],[tmp-owner.email]], "author", _xlfn.IFNA(VLOOKUP(patch[[#This Row],[reviewer]],OrgTree!$A:$K, 11, 0), "not ICG SWFW"))</f>
        <v>author</v>
      </c>
      <c r="T1288" s="7" t="str">
        <f>IF(ISBLANK(patch[[#This Row],[mergeDate]]), "", MID(YEAR(patch[[#This Row],[mergeDate]]), 3,2)&amp;"'ww"&amp;WEEKNUM(patch[[#This Row],[mergeDate]]))</f>
        <v>16'ww39</v>
      </c>
      <c r="U1288" s="7" t="str">
        <f>IF(ISBLANK(patch[[#This Row],[mergeDate]]), U1287, MID(YEAR(patch[[#This Row],[mergeDate]]), 3,2)&amp;"'m"&amp;MONTH(patch[[#This Row],[mergeDate]]))</f>
        <v>16'm9</v>
      </c>
      <c r="V1288" s="7" t="str">
        <f>IF(ISBLANK(patch[[#This Row],[project]]), "",SUM(patch[[#This Row],[BJ -1 num]:[SH -1 num]]))</f>
        <v/>
      </c>
      <c r="W1288" s="7" t="str">
        <f>IF(ISBLANK(patch[[#This Row],[project]]), "",COUNTIFS($A:$A,patch[[#This Row],[number]],$S:$S, "BJ And dev",$AC:$AC, "Review-1"))</f>
        <v/>
      </c>
      <c r="X1288" s="7" t="str">
        <f>IF(ISBLANK(patch[[#This Row],[project]]), "",COUNTIFS($A:$A,patch[[#This Row],[number]],$S:$S, "FL And dev",$AC:$AC, "Review-1"))</f>
        <v/>
      </c>
      <c r="Y1288" s="7" t="str">
        <f>IF(ISBLANK(patch[[#This Row],[project]]), "",COUNTIFS($A:$A,patch[[#This Row],[number]],$S:$S, "SH And dev",$AC:$AC, "Review-1"))</f>
        <v/>
      </c>
      <c r="Z1288" s="7" t="str">
        <f>IF(ISBLANK(patch[[#This Row],[project]]), "",COUNTIFS($A:$A,patch[[#This Row],[number]],$S:$S, "BJ And dev",$AD:$AD, "&lt;&gt;IntegratorValidationComment"))</f>
        <v/>
      </c>
      <c r="AA1288" s="7" t="str">
        <f>IF(ISBLANK(patch[[#This Row],[project]]), "",COUNTIFS($A:$A,patch[[#This Row],[number]],$S:$S, "FL And dev",$AD:$AD, "&lt;&gt;IntegratorValidationComment"))</f>
        <v/>
      </c>
      <c r="AB1288" s="7" t="str">
        <f>IF(ISBLANK(patch[[#This Row],[project]]), "",COUNTIFS($A:$A,patch[[#This Row],[number]],$S:$S, "SH And dev",$AD:$AD, "&lt;&gt;IntegratorValidationComment"))</f>
        <v/>
      </c>
      <c r="AC1288" s="7" t="str">
        <f>IF(OR(ISNUMBER(FIND("Review-1", patch[[#This Row],[comments]])), ISNUMBER(FIND("Approver-1", patch[[#This Row],[comments]]))), "Review-1", "")</f>
        <v/>
      </c>
      <c r="AD12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88" s="7">
        <f>IF(ISBLANK(patch[[#This Row],[number]]),AE1287,patch[[#This Row],[ifCommon]])</f>
        <v>0</v>
      </c>
    </row>
    <row r="1289" spans="1:31">
      <c r="A1289" s="151">
        <v>145083</v>
      </c>
      <c r="B1289" s="151"/>
      <c r="C1289" s="151"/>
      <c r="D1289" s="151"/>
      <c r="E1289" s="151"/>
      <c r="F1289" s="151"/>
      <c r="G1289" s="151"/>
      <c r="H1289" s="151"/>
      <c r="I1289" s="151"/>
      <c r="J1289" s="152">
        <v>42633.70989583333</v>
      </c>
      <c r="K1289" s="151"/>
      <c r="L1289" s="151" t="s">
        <v>59</v>
      </c>
      <c r="M1289" s="152">
        <v>42627.575439814813</v>
      </c>
      <c r="N1289" s="151" t="s">
        <v>2429</v>
      </c>
      <c r="O1289" s="151"/>
      <c r="P1289" s="151"/>
      <c r="Q1289" s="7" t="str">
        <f>IF(ISBLANK(patch[[#This Row],[OwnerEmail]]),Q1288,patch[[#This Row],[OwnerEmail]])</f>
        <v>xiaozhou.liu@intel.com</v>
      </c>
      <c r="R1289" s="7" t="str">
        <f>_xlfn.IFNA(VLOOKUP(patch[[#This Row],[tmp-owner.email]],OrgTree!$A:$K, 11, 0), "not ICG SWFW")</f>
        <v>BJ And dev</v>
      </c>
      <c r="S1289" s="7" t="str">
        <f>IF(patch[[#This Row],[reviewer]]=patch[[#This Row],[tmp-owner.email]], "author", _xlfn.IFNA(VLOOKUP(patch[[#This Row],[reviewer]],OrgTree!$A:$K, 11, 0), "not ICG SWFW"))</f>
        <v>author</v>
      </c>
      <c r="T1289" s="7" t="str">
        <f>IF(ISBLANK(patch[[#This Row],[mergeDate]]), "", MID(YEAR(patch[[#This Row],[mergeDate]]), 3,2)&amp;"'ww"&amp;WEEKNUM(patch[[#This Row],[mergeDate]]))</f>
        <v>16'ww39</v>
      </c>
      <c r="U1289" s="7" t="str">
        <f>IF(ISBLANK(patch[[#This Row],[mergeDate]]), U1288, MID(YEAR(patch[[#This Row],[mergeDate]]), 3,2)&amp;"'m"&amp;MONTH(patch[[#This Row],[mergeDate]]))</f>
        <v>16'm9</v>
      </c>
      <c r="V1289" s="7" t="str">
        <f>IF(ISBLANK(patch[[#This Row],[project]]), "",SUM(patch[[#This Row],[BJ -1 num]:[SH -1 num]]))</f>
        <v/>
      </c>
      <c r="W1289" s="7" t="str">
        <f>IF(ISBLANK(patch[[#This Row],[project]]), "",COUNTIFS($A:$A,patch[[#This Row],[number]],$S:$S, "BJ And dev",$AC:$AC, "Review-1"))</f>
        <v/>
      </c>
      <c r="X1289" s="7" t="str">
        <f>IF(ISBLANK(patch[[#This Row],[project]]), "",COUNTIFS($A:$A,patch[[#This Row],[number]],$S:$S, "FL And dev",$AC:$AC, "Review-1"))</f>
        <v/>
      </c>
      <c r="Y1289" s="7" t="str">
        <f>IF(ISBLANK(patch[[#This Row],[project]]), "",COUNTIFS($A:$A,patch[[#This Row],[number]],$S:$S, "SH And dev",$AC:$AC, "Review-1"))</f>
        <v/>
      </c>
      <c r="Z1289" s="7" t="str">
        <f>IF(ISBLANK(patch[[#This Row],[project]]), "",COUNTIFS($A:$A,patch[[#This Row],[number]],$S:$S, "BJ And dev",$AD:$AD, "&lt;&gt;IntegratorValidationComment"))</f>
        <v/>
      </c>
      <c r="AA1289" s="7" t="str">
        <f>IF(ISBLANK(patch[[#This Row],[project]]), "",COUNTIFS($A:$A,patch[[#This Row],[number]],$S:$S, "FL And dev",$AD:$AD, "&lt;&gt;IntegratorValidationComment"))</f>
        <v/>
      </c>
      <c r="AB1289" s="7" t="str">
        <f>IF(ISBLANK(patch[[#This Row],[project]]), "",COUNTIFS($A:$A,patch[[#This Row],[number]],$S:$S, "SH And dev",$AD:$AD, "&lt;&gt;IntegratorValidationComment"))</f>
        <v/>
      </c>
      <c r="AC1289" s="7" t="str">
        <f>IF(OR(ISNUMBER(FIND("Review-1", patch[[#This Row],[comments]])), ISNUMBER(FIND("Approver-1", patch[[#This Row],[comments]]))), "Review-1", "")</f>
        <v/>
      </c>
      <c r="AD12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89" s="7">
        <f>IF(ISBLANK(patch[[#This Row],[number]]),AE1288,patch[[#This Row],[ifCommon]])</f>
        <v>0</v>
      </c>
    </row>
    <row r="1290" spans="1:31">
      <c r="A1290" s="151">
        <v>145083</v>
      </c>
      <c r="B1290" s="151"/>
      <c r="C1290" s="151"/>
      <c r="D1290" s="151"/>
      <c r="E1290" s="151"/>
      <c r="F1290" s="151"/>
      <c r="G1290" s="151"/>
      <c r="H1290" s="151"/>
      <c r="I1290" s="152"/>
      <c r="J1290" s="152">
        <v>42633.70989583333</v>
      </c>
      <c r="K1290" s="151"/>
      <c r="L1290" s="151" t="s">
        <v>59</v>
      </c>
      <c r="M1290" s="152">
        <v>42627.577766203707</v>
      </c>
      <c r="N1290" s="151" t="s">
        <v>3229</v>
      </c>
      <c r="O1290" s="151"/>
      <c r="P1290" s="151"/>
      <c r="Q1290" s="7" t="str">
        <f>IF(ISBLANK(patch[[#This Row],[OwnerEmail]]),Q1289,patch[[#This Row],[OwnerEmail]])</f>
        <v>xiaozhou.liu@intel.com</v>
      </c>
      <c r="R1290" s="7" t="str">
        <f>_xlfn.IFNA(VLOOKUP(patch[[#This Row],[tmp-owner.email]],OrgTree!$A:$K, 11, 0), "not ICG SWFW")</f>
        <v>BJ And dev</v>
      </c>
      <c r="S1290" s="7" t="str">
        <f>IF(patch[[#This Row],[reviewer]]=patch[[#This Row],[tmp-owner.email]], "author", _xlfn.IFNA(VLOOKUP(patch[[#This Row],[reviewer]],OrgTree!$A:$K, 11, 0), "not ICG SWFW"))</f>
        <v>author</v>
      </c>
      <c r="T1290" s="7" t="str">
        <f>IF(ISBLANK(patch[[#This Row],[mergeDate]]), "", MID(YEAR(patch[[#This Row],[mergeDate]]), 3,2)&amp;"'ww"&amp;WEEKNUM(patch[[#This Row],[mergeDate]]))</f>
        <v>16'ww39</v>
      </c>
      <c r="U1290" s="7" t="str">
        <f>IF(ISBLANK(patch[[#This Row],[mergeDate]]), U1289, MID(YEAR(patch[[#This Row],[mergeDate]]), 3,2)&amp;"'m"&amp;MONTH(patch[[#This Row],[mergeDate]]))</f>
        <v>16'm9</v>
      </c>
      <c r="V1290" s="7" t="str">
        <f>IF(ISBLANK(patch[[#This Row],[project]]), "",SUM(patch[[#This Row],[BJ -1 num]:[SH -1 num]]))</f>
        <v/>
      </c>
      <c r="W1290" s="7" t="str">
        <f>IF(ISBLANK(patch[[#This Row],[project]]), "",COUNTIFS($A:$A,patch[[#This Row],[number]],$S:$S, "BJ And dev",$AC:$AC, "Review-1"))</f>
        <v/>
      </c>
      <c r="X1290" s="7" t="str">
        <f>IF(ISBLANK(patch[[#This Row],[project]]), "",COUNTIFS($A:$A,patch[[#This Row],[number]],$S:$S, "FL And dev",$AC:$AC, "Review-1"))</f>
        <v/>
      </c>
      <c r="Y1290" s="7" t="str">
        <f>IF(ISBLANK(patch[[#This Row],[project]]), "",COUNTIFS($A:$A,patch[[#This Row],[number]],$S:$S, "SH And dev",$AC:$AC, "Review-1"))</f>
        <v/>
      </c>
      <c r="Z1290" s="7" t="str">
        <f>IF(ISBLANK(patch[[#This Row],[project]]), "",COUNTIFS($A:$A,patch[[#This Row],[number]],$S:$S, "BJ And dev",$AD:$AD, "&lt;&gt;IntegratorValidationComment"))</f>
        <v/>
      </c>
      <c r="AA1290" s="7" t="str">
        <f>IF(ISBLANK(patch[[#This Row],[project]]), "",COUNTIFS($A:$A,patch[[#This Row],[number]],$S:$S, "FL And dev",$AD:$AD, "&lt;&gt;IntegratorValidationComment"))</f>
        <v/>
      </c>
      <c r="AB1290" s="7" t="str">
        <f>IF(ISBLANK(patch[[#This Row],[project]]), "",COUNTIFS($A:$A,patch[[#This Row],[number]],$S:$S, "SH And dev",$AD:$AD, "&lt;&gt;IntegratorValidationComment"))</f>
        <v/>
      </c>
      <c r="AC1290" s="7" t="str">
        <f>IF(OR(ISNUMBER(FIND("Review-1", patch[[#This Row],[comments]])), ISNUMBER(FIND("Approver-1", patch[[#This Row],[comments]]))), "Review-1", "")</f>
        <v/>
      </c>
      <c r="AD12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90" s="7">
        <f>IF(ISBLANK(patch[[#This Row],[number]]),AE1289,patch[[#This Row],[ifCommon]])</f>
        <v>0</v>
      </c>
    </row>
    <row r="1291" spans="1:31">
      <c r="A1291" s="151">
        <v>145083</v>
      </c>
      <c r="B1291" s="151"/>
      <c r="C1291" s="151"/>
      <c r="D1291" s="151"/>
      <c r="E1291" s="151"/>
      <c r="F1291" s="151"/>
      <c r="G1291" s="151"/>
      <c r="H1291" s="151"/>
      <c r="I1291" s="152"/>
      <c r="J1291" s="152">
        <v>42633.70989583333</v>
      </c>
      <c r="K1291" s="151"/>
      <c r="L1291" s="151" t="s">
        <v>59</v>
      </c>
      <c r="M1291" s="152">
        <v>42627.581018518518</v>
      </c>
      <c r="N1291" s="151" t="s">
        <v>3230</v>
      </c>
      <c r="O1291" s="151"/>
      <c r="P1291" s="151"/>
      <c r="Q1291" s="7" t="str">
        <f>IF(ISBLANK(patch[[#This Row],[OwnerEmail]]),Q1290,patch[[#This Row],[OwnerEmail]])</f>
        <v>xiaozhou.liu@intel.com</v>
      </c>
      <c r="R1291" s="7" t="str">
        <f>_xlfn.IFNA(VLOOKUP(patch[[#This Row],[tmp-owner.email]],OrgTree!$A:$K, 11, 0), "not ICG SWFW")</f>
        <v>BJ And dev</v>
      </c>
      <c r="S1291" s="7" t="str">
        <f>IF(patch[[#This Row],[reviewer]]=patch[[#This Row],[tmp-owner.email]], "author", _xlfn.IFNA(VLOOKUP(patch[[#This Row],[reviewer]],OrgTree!$A:$K, 11, 0), "not ICG SWFW"))</f>
        <v>author</v>
      </c>
      <c r="T1291" s="7" t="str">
        <f>IF(ISBLANK(patch[[#This Row],[mergeDate]]), "", MID(YEAR(patch[[#This Row],[mergeDate]]), 3,2)&amp;"'ww"&amp;WEEKNUM(patch[[#This Row],[mergeDate]]))</f>
        <v>16'ww39</v>
      </c>
      <c r="U1291" s="7" t="str">
        <f>IF(ISBLANK(patch[[#This Row],[mergeDate]]), U1290, MID(YEAR(patch[[#This Row],[mergeDate]]), 3,2)&amp;"'m"&amp;MONTH(patch[[#This Row],[mergeDate]]))</f>
        <v>16'm9</v>
      </c>
      <c r="V1291" s="7" t="str">
        <f>IF(ISBLANK(patch[[#This Row],[project]]), "",SUM(patch[[#This Row],[BJ -1 num]:[SH -1 num]]))</f>
        <v/>
      </c>
      <c r="W1291" s="7" t="str">
        <f>IF(ISBLANK(patch[[#This Row],[project]]), "",COUNTIFS($A:$A,patch[[#This Row],[number]],$S:$S, "BJ And dev",$AC:$AC, "Review-1"))</f>
        <v/>
      </c>
      <c r="X1291" s="7" t="str">
        <f>IF(ISBLANK(patch[[#This Row],[project]]), "",COUNTIFS($A:$A,patch[[#This Row],[number]],$S:$S, "FL And dev",$AC:$AC, "Review-1"))</f>
        <v/>
      </c>
      <c r="Y1291" s="7" t="str">
        <f>IF(ISBLANK(patch[[#This Row],[project]]), "",COUNTIFS($A:$A,patch[[#This Row],[number]],$S:$S, "SH And dev",$AC:$AC, "Review-1"))</f>
        <v/>
      </c>
      <c r="Z1291" s="7" t="str">
        <f>IF(ISBLANK(patch[[#This Row],[project]]), "",COUNTIFS($A:$A,patch[[#This Row],[number]],$S:$S, "BJ And dev",$AD:$AD, "&lt;&gt;IntegratorValidationComment"))</f>
        <v/>
      </c>
      <c r="AA1291" s="7" t="str">
        <f>IF(ISBLANK(patch[[#This Row],[project]]), "",COUNTIFS($A:$A,patch[[#This Row],[number]],$S:$S, "FL And dev",$AD:$AD, "&lt;&gt;IntegratorValidationComment"))</f>
        <v/>
      </c>
      <c r="AB1291" s="7" t="str">
        <f>IF(ISBLANK(patch[[#This Row],[project]]), "",COUNTIFS($A:$A,patch[[#This Row],[number]],$S:$S, "SH And dev",$AD:$AD, "&lt;&gt;IntegratorValidationComment"))</f>
        <v/>
      </c>
      <c r="AC1291" s="7" t="str">
        <f>IF(OR(ISNUMBER(FIND("Review-1", patch[[#This Row],[comments]])), ISNUMBER(FIND("Approver-1", patch[[#This Row],[comments]]))), "Review-1", "")</f>
        <v/>
      </c>
      <c r="AD12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91" s="7">
        <f>IF(ISBLANK(patch[[#This Row],[number]]),AE1290,patch[[#This Row],[ifCommon]])</f>
        <v>0</v>
      </c>
    </row>
    <row r="1292" spans="1:31">
      <c r="A1292" s="151">
        <v>145083</v>
      </c>
      <c r="B1292" s="151"/>
      <c r="C1292" s="151"/>
      <c r="D1292" s="151"/>
      <c r="E1292" s="151"/>
      <c r="F1292" s="151"/>
      <c r="G1292" s="151"/>
      <c r="H1292" s="151"/>
      <c r="I1292" s="151"/>
      <c r="J1292" s="152">
        <v>42633.70989583333</v>
      </c>
      <c r="K1292" s="151"/>
      <c r="L1292" s="151" t="s">
        <v>59</v>
      </c>
      <c r="M1292" s="152">
        <v>42627.615543981483</v>
      </c>
      <c r="N1292" s="151" t="s">
        <v>27</v>
      </c>
      <c r="O1292" s="151"/>
      <c r="P1292" s="151"/>
      <c r="Q1292" s="7" t="str">
        <f>IF(ISBLANK(patch[[#This Row],[OwnerEmail]]),Q1291,patch[[#This Row],[OwnerEmail]])</f>
        <v>xiaozhou.liu@intel.com</v>
      </c>
      <c r="R1292" s="7" t="str">
        <f>_xlfn.IFNA(VLOOKUP(patch[[#This Row],[tmp-owner.email]],OrgTree!$A:$K, 11, 0), "not ICG SWFW")</f>
        <v>BJ And dev</v>
      </c>
      <c r="S1292" s="7" t="str">
        <f>IF(patch[[#This Row],[reviewer]]=patch[[#This Row],[tmp-owner.email]], "author", _xlfn.IFNA(VLOOKUP(patch[[#This Row],[reviewer]],OrgTree!$A:$K, 11, 0), "not ICG SWFW"))</f>
        <v>author</v>
      </c>
      <c r="T1292" s="7" t="str">
        <f>IF(ISBLANK(patch[[#This Row],[mergeDate]]), "", MID(YEAR(patch[[#This Row],[mergeDate]]), 3,2)&amp;"'ww"&amp;WEEKNUM(patch[[#This Row],[mergeDate]]))</f>
        <v>16'ww39</v>
      </c>
      <c r="U1292" s="7" t="str">
        <f>IF(ISBLANK(patch[[#This Row],[mergeDate]]), U1291, MID(YEAR(patch[[#This Row],[mergeDate]]), 3,2)&amp;"'m"&amp;MONTH(patch[[#This Row],[mergeDate]]))</f>
        <v>16'm9</v>
      </c>
      <c r="V1292" s="7" t="str">
        <f>IF(ISBLANK(patch[[#This Row],[project]]), "",SUM(patch[[#This Row],[BJ -1 num]:[SH -1 num]]))</f>
        <v/>
      </c>
      <c r="W1292" s="7" t="str">
        <f>IF(ISBLANK(patch[[#This Row],[project]]), "",COUNTIFS($A:$A,patch[[#This Row],[number]],$S:$S, "BJ And dev",$AC:$AC, "Review-1"))</f>
        <v/>
      </c>
      <c r="X1292" s="7" t="str">
        <f>IF(ISBLANK(patch[[#This Row],[project]]), "",COUNTIFS($A:$A,patch[[#This Row],[number]],$S:$S, "FL And dev",$AC:$AC, "Review-1"))</f>
        <v/>
      </c>
      <c r="Y1292" s="7" t="str">
        <f>IF(ISBLANK(patch[[#This Row],[project]]), "",COUNTIFS($A:$A,patch[[#This Row],[number]],$S:$S, "SH And dev",$AC:$AC, "Review-1"))</f>
        <v/>
      </c>
      <c r="Z1292" s="7" t="str">
        <f>IF(ISBLANK(patch[[#This Row],[project]]), "",COUNTIFS($A:$A,patch[[#This Row],[number]],$S:$S, "BJ And dev",$AD:$AD, "&lt;&gt;IntegratorValidationComment"))</f>
        <v/>
      </c>
      <c r="AA1292" s="7" t="str">
        <f>IF(ISBLANK(patch[[#This Row],[project]]), "",COUNTIFS($A:$A,patch[[#This Row],[number]],$S:$S, "FL And dev",$AD:$AD, "&lt;&gt;IntegratorValidationComment"))</f>
        <v/>
      </c>
      <c r="AB1292" s="7" t="str">
        <f>IF(ISBLANK(patch[[#This Row],[project]]), "",COUNTIFS($A:$A,patch[[#This Row],[number]],$S:$S, "SH And dev",$AD:$AD, "&lt;&gt;IntegratorValidationComment"))</f>
        <v/>
      </c>
      <c r="AC1292" s="7" t="str">
        <f>IF(OR(ISNUMBER(FIND("Review-1", patch[[#This Row],[comments]])), ISNUMBER(FIND("Approver-1", patch[[#This Row],[comments]]))), "Review-1", "")</f>
        <v/>
      </c>
      <c r="AD12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92" s="7">
        <f>IF(ISBLANK(patch[[#This Row],[number]]),AE1291,patch[[#This Row],[ifCommon]])</f>
        <v>0</v>
      </c>
    </row>
    <row r="1293" spans="1:31">
      <c r="A1293" s="151">
        <v>145083</v>
      </c>
      <c r="B1293" s="151"/>
      <c r="C1293" s="151"/>
      <c r="D1293" s="151"/>
      <c r="E1293" s="151"/>
      <c r="F1293" s="151"/>
      <c r="G1293" s="151"/>
      <c r="H1293" s="151"/>
      <c r="I1293" s="151"/>
      <c r="J1293" s="152">
        <v>42633.70989583333</v>
      </c>
      <c r="K1293" s="151"/>
      <c r="L1293" s="151" t="s">
        <v>55</v>
      </c>
      <c r="M1293" s="152">
        <v>42627.61891203704</v>
      </c>
      <c r="N1293" s="151" t="s">
        <v>27</v>
      </c>
      <c r="O1293" s="151"/>
      <c r="P1293" s="151"/>
      <c r="Q1293" s="7" t="str">
        <f>IF(ISBLANK(patch[[#This Row],[OwnerEmail]]),Q1292,patch[[#This Row],[OwnerEmail]])</f>
        <v>xiaozhou.liu@intel.com</v>
      </c>
      <c r="R1293" s="7" t="str">
        <f>_xlfn.IFNA(VLOOKUP(patch[[#This Row],[tmp-owner.email]],OrgTree!$A:$K, 11, 0), "not ICG SWFW")</f>
        <v>BJ And dev</v>
      </c>
      <c r="S1293" s="7" t="str">
        <f>IF(patch[[#This Row],[reviewer]]=patch[[#This Row],[tmp-owner.email]], "author", _xlfn.IFNA(VLOOKUP(patch[[#This Row],[reviewer]],OrgTree!$A:$K, 11, 0), "not ICG SWFW"))</f>
        <v>BJ And dev</v>
      </c>
      <c r="T1293" s="7" t="str">
        <f>IF(ISBLANK(patch[[#This Row],[mergeDate]]), "", MID(YEAR(patch[[#This Row],[mergeDate]]), 3,2)&amp;"'ww"&amp;WEEKNUM(patch[[#This Row],[mergeDate]]))</f>
        <v>16'ww39</v>
      </c>
      <c r="U1293" s="7" t="str">
        <f>IF(ISBLANK(patch[[#This Row],[mergeDate]]), U1292, MID(YEAR(patch[[#This Row],[mergeDate]]), 3,2)&amp;"'m"&amp;MONTH(patch[[#This Row],[mergeDate]]))</f>
        <v>16'm9</v>
      </c>
      <c r="V1293" s="7" t="str">
        <f>IF(ISBLANK(patch[[#This Row],[project]]), "",SUM(patch[[#This Row],[BJ -1 num]:[SH -1 num]]))</f>
        <v/>
      </c>
      <c r="W1293" s="7" t="str">
        <f>IF(ISBLANK(patch[[#This Row],[project]]), "",COUNTIFS($A:$A,patch[[#This Row],[number]],$S:$S, "BJ And dev",$AC:$AC, "Review-1"))</f>
        <v/>
      </c>
      <c r="X1293" s="7" t="str">
        <f>IF(ISBLANK(patch[[#This Row],[project]]), "",COUNTIFS($A:$A,patch[[#This Row],[number]],$S:$S, "FL And dev",$AC:$AC, "Review-1"))</f>
        <v/>
      </c>
      <c r="Y1293" s="7" t="str">
        <f>IF(ISBLANK(patch[[#This Row],[project]]), "",COUNTIFS($A:$A,patch[[#This Row],[number]],$S:$S, "SH And dev",$AC:$AC, "Review-1"))</f>
        <v/>
      </c>
      <c r="Z1293" s="7" t="str">
        <f>IF(ISBLANK(patch[[#This Row],[project]]), "",COUNTIFS($A:$A,patch[[#This Row],[number]],$S:$S, "BJ And dev",$AD:$AD, "&lt;&gt;IntegratorValidationComment"))</f>
        <v/>
      </c>
      <c r="AA1293" s="7" t="str">
        <f>IF(ISBLANK(patch[[#This Row],[project]]), "",COUNTIFS($A:$A,patch[[#This Row],[number]],$S:$S, "FL And dev",$AD:$AD, "&lt;&gt;IntegratorValidationComment"))</f>
        <v/>
      </c>
      <c r="AB1293" s="7" t="str">
        <f>IF(ISBLANK(patch[[#This Row],[project]]), "",COUNTIFS($A:$A,patch[[#This Row],[number]],$S:$S, "SH And dev",$AD:$AD, "&lt;&gt;IntegratorValidationComment"))</f>
        <v/>
      </c>
      <c r="AC1293" s="7" t="str">
        <f>IF(OR(ISNUMBER(FIND("Review-1", patch[[#This Row],[comments]])), ISNUMBER(FIND("Approver-1", patch[[#This Row],[comments]]))), "Review-1", "")</f>
        <v/>
      </c>
      <c r="AD12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93" s="7">
        <f>IF(ISBLANK(patch[[#This Row],[number]]),AE1292,patch[[#This Row],[ifCommon]])</f>
        <v>0</v>
      </c>
    </row>
    <row r="1294" spans="1:31">
      <c r="A1294" s="151">
        <v>145083</v>
      </c>
      <c r="B1294" s="151"/>
      <c r="C1294" s="151"/>
      <c r="D1294" s="151"/>
      <c r="E1294" s="151"/>
      <c r="F1294" s="151"/>
      <c r="G1294" s="151"/>
      <c r="H1294" s="151"/>
      <c r="I1294" s="151"/>
      <c r="J1294" s="152">
        <v>42633.70989583333</v>
      </c>
      <c r="K1294" s="151"/>
      <c r="L1294" s="151" t="s">
        <v>32</v>
      </c>
      <c r="M1294" s="152">
        <v>42627.740393518521</v>
      </c>
      <c r="N1294" s="151" t="s">
        <v>1873</v>
      </c>
      <c r="O1294" s="151"/>
      <c r="P1294" s="151"/>
      <c r="Q1294" s="7" t="str">
        <f>IF(ISBLANK(patch[[#This Row],[OwnerEmail]]),Q1293,patch[[#This Row],[OwnerEmail]])</f>
        <v>xiaozhou.liu@intel.com</v>
      </c>
      <c r="R1294" s="7" t="str">
        <f>_xlfn.IFNA(VLOOKUP(patch[[#This Row],[tmp-owner.email]],OrgTree!$A:$K, 11, 0), "not ICG SWFW")</f>
        <v>BJ And dev</v>
      </c>
      <c r="S1294" s="7" t="str">
        <f>IF(patch[[#This Row],[reviewer]]=patch[[#This Row],[tmp-owner.email]], "author", _xlfn.IFNA(VLOOKUP(patch[[#This Row],[reviewer]],OrgTree!$A:$K, 11, 0), "not ICG SWFW"))</f>
        <v>BJ And dev</v>
      </c>
      <c r="T1294" s="7" t="str">
        <f>IF(ISBLANK(patch[[#This Row],[mergeDate]]), "", MID(YEAR(patch[[#This Row],[mergeDate]]), 3,2)&amp;"'ww"&amp;WEEKNUM(patch[[#This Row],[mergeDate]]))</f>
        <v>16'ww39</v>
      </c>
      <c r="U1294" s="7" t="str">
        <f>IF(ISBLANK(patch[[#This Row],[mergeDate]]), U1293, MID(YEAR(patch[[#This Row],[mergeDate]]), 3,2)&amp;"'m"&amp;MONTH(patch[[#This Row],[mergeDate]]))</f>
        <v>16'm9</v>
      </c>
      <c r="V1294" s="7" t="str">
        <f>IF(ISBLANK(patch[[#This Row],[project]]), "",SUM(patch[[#This Row],[BJ -1 num]:[SH -1 num]]))</f>
        <v/>
      </c>
      <c r="W1294" s="7" t="str">
        <f>IF(ISBLANK(patch[[#This Row],[project]]), "",COUNTIFS($A:$A,patch[[#This Row],[number]],$S:$S, "BJ And dev",$AC:$AC, "Review-1"))</f>
        <v/>
      </c>
      <c r="X1294" s="7" t="str">
        <f>IF(ISBLANK(patch[[#This Row],[project]]), "",COUNTIFS($A:$A,patch[[#This Row],[number]],$S:$S, "FL And dev",$AC:$AC, "Review-1"))</f>
        <v/>
      </c>
      <c r="Y1294" s="7" t="str">
        <f>IF(ISBLANK(patch[[#This Row],[project]]), "",COUNTIFS($A:$A,patch[[#This Row],[number]],$S:$S, "SH And dev",$AC:$AC, "Review-1"))</f>
        <v/>
      </c>
      <c r="Z1294" s="7" t="str">
        <f>IF(ISBLANK(patch[[#This Row],[project]]), "",COUNTIFS($A:$A,patch[[#This Row],[number]],$S:$S, "BJ And dev",$AD:$AD, "&lt;&gt;IntegratorValidationComment"))</f>
        <v/>
      </c>
      <c r="AA1294" s="7" t="str">
        <f>IF(ISBLANK(patch[[#This Row],[project]]), "",COUNTIFS($A:$A,patch[[#This Row],[number]],$S:$S, "FL And dev",$AD:$AD, "&lt;&gt;IntegratorValidationComment"))</f>
        <v/>
      </c>
      <c r="AB1294" s="7" t="str">
        <f>IF(ISBLANK(patch[[#This Row],[project]]), "",COUNTIFS($A:$A,patch[[#This Row],[number]],$S:$S, "SH And dev",$AD:$AD, "&lt;&gt;IntegratorValidationComment"))</f>
        <v/>
      </c>
      <c r="AC1294" s="7" t="str">
        <f>IF(OR(ISNUMBER(FIND("Review-1", patch[[#This Row],[comments]])), ISNUMBER(FIND("Approver-1", patch[[#This Row],[comments]]))), "Review-1", "")</f>
        <v/>
      </c>
      <c r="AD12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94" s="7">
        <f>IF(ISBLANK(patch[[#This Row],[number]]),AE1293,patch[[#This Row],[ifCommon]])</f>
        <v>0</v>
      </c>
    </row>
    <row r="1295" spans="1:31">
      <c r="A1295" s="151">
        <v>145083</v>
      </c>
      <c r="B1295" s="151"/>
      <c r="C1295" s="151"/>
      <c r="D1295" s="151"/>
      <c r="E1295" s="151"/>
      <c r="F1295" s="151"/>
      <c r="G1295" s="151"/>
      <c r="H1295" s="151"/>
      <c r="I1295" s="151"/>
      <c r="J1295" s="152">
        <v>42633.70989583333</v>
      </c>
      <c r="K1295" s="151"/>
      <c r="L1295" s="151" t="s">
        <v>115</v>
      </c>
      <c r="M1295" s="152">
        <v>42632.425706018519</v>
      </c>
      <c r="N1295" s="151" t="s">
        <v>2495</v>
      </c>
      <c r="O1295" s="151"/>
      <c r="P1295" s="151"/>
      <c r="Q1295" s="7" t="str">
        <f>IF(ISBLANK(patch[[#This Row],[OwnerEmail]]),Q1294,patch[[#This Row],[OwnerEmail]])</f>
        <v>xiaozhou.liu@intel.com</v>
      </c>
      <c r="R1295" s="7" t="str">
        <f>_xlfn.IFNA(VLOOKUP(patch[[#This Row],[tmp-owner.email]],OrgTree!$A:$K, 11, 0), "not ICG SWFW")</f>
        <v>BJ And dev</v>
      </c>
      <c r="S1295" s="7" t="str">
        <f>IF(patch[[#This Row],[reviewer]]=patch[[#This Row],[tmp-owner.email]], "author", _xlfn.IFNA(VLOOKUP(patch[[#This Row],[reviewer]],OrgTree!$A:$K, 11, 0), "not ICG SWFW"))</f>
        <v>Val</v>
      </c>
      <c r="T1295" s="7" t="str">
        <f>IF(ISBLANK(patch[[#This Row],[mergeDate]]), "", MID(YEAR(patch[[#This Row],[mergeDate]]), 3,2)&amp;"'ww"&amp;WEEKNUM(patch[[#This Row],[mergeDate]]))</f>
        <v>16'ww39</v>
      </c>
      <c r="U1295" s="7" t="str">
        <f>IF(ISBLANK(patch[[#This Row],[mergeDate]]), U1294, MID(YEAR(patch[[#This Row],[mergeDate]]), 3,2)&amp;"'m"&amp;MONTH(patch[[#This Row],[mergeDate]]))</f>
        <v>16'm9</v>
      </c>
      <c r="V1295" s="7" t="str">
        <f>IF(ISBLANK(patch[[#This Row],[project]]), "",SUM(patch[[#This Row],[BJ -1 num]:[SH -1 num]]))</f>
        <v/>
      </c>
      <c r="W1295" s="7" t="str">
        <f>IF(ISBLANK(patch[[#This Row],[project]]), "",COUNTIFS($A:$A,patch[[#This Row],[number]],$S:$S, "BJ And dev",$AC:$AC, "Review-1"))</f>
        <v/>
      </c>
      <c r="X1295" s="7" t="str">
        <f>IF(ISBLANK(patch[[#This Row],[project]]), "",COUNTIFS($A:$A,patch[[#This Row],[number]],$S:$S, "FL And dev",$AC:$AC, "Review-1"))</f>
        <v/>
      </c>
      <c r="Y1295" s="7" t="str">
        <f>IF(ISBLANK(patch[[#This Row],[project]]), "",COUNTIFS($A:$A,patch[[#This Row],[number]],$S:$S, "SH And dev",$AC:$AC, "Review-1"))</f>
        <v/>
      </c>
      <c r="Z1295" s="7" t="str">
        <f>IF(ISBLANK(patch[[#This Row],[project]]), "",COUNTIFS($A:$A,patch[[#This Row],[number]],$S:$S, "BJ And dev",$AD:$AD, "&lt;&gt;IntegratorValidationComment"))</f>
        <v/>
      </c>
      <c r="AA1295" s="7" t="str">
        <f>IF(ISBLANK(patch[[#This Row],[project]]), "",COUNTIFS($A:$A,patch[[#This Row],[number]],$S:$S, "FL And dev",$AD:$AD, "&lt;&gt;IntegratorValidationComment"))</f>
        <v/>
      </c>
      <c r="AB1295" s="7" t="str">
        <f>IF(ISBLANK(patch[[#This Row],[project]]), "",COUNTIFS($A:$A,patch[[#This Row],[number]],$S:$S, "SH And dev",$AD:$AD, "&lt;&gt;IntegratorValidationComment"))</f>
        <v/>
      </c>
      <c r="AC1295" s="7" t="str">
        <f>IF(OR(ISNUMBER(FIND("Review-1", patch[[#This Row],[comments]])), ISNUMBER(FIND("Approver-1", patch[[#This Row],[comments]]))), "Review-1", "")</f>
        <v/>
      </c>
      <c r="AD12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295" s="7">
        <f>IF(ISBLANK(patch[[#This Row],[number]]),AE1294,patch[[#This Row],[ifCommon]])</f>
        <v>0</v>
      </c>
    </row>
    <row r="1296" spans="1:31">
      <c r="A1296" s="151">
        <v>144852</v>
      </c>
      <c r="B1296" s="151" t="s">
        <v>2490</v>
      </c>
      <c r="C1296" s="151" t="s">
        <v>2491</v>
      </c>
      <c r="D1296" s="151" t="s">
        <v>3046</v>
      </c>
      <c r="E1296" s="151" t="s">
        <v>61</v>
      </c>
      <c r="F1296" s="151" t="s">
        <v>23</v>
      </c>
      <c r="G1296" s="151" t="s">
        <v>3047</v>
      </c>
      <c r="H1296" s="151" t="s">
        <v>3048</v>
      </c>
      <c r="I1296" s="152">
        <v>42626.693425925929</v>
      </c>
      <c r="J1296" s="152">
        <v>42633.709861111107</v>
      </c>
      <c r="K1296" s="151" t="s">
        <v>2445</v>
      </c>
      <c r="L1296" s="151" t="s">
        <v>61</v>
      </c>
      <c r="M1296" s="152">
        <v>42626.693425925929</v>
      </c>
      <c r="N1296" s="151" t="s">
        <v>25</v>
      </c>
      <c r="O1296" s="151"/>
      <c r="P1296" s="151" t="s">
        <v>2542</v>
      </c>
      <c r="Q1296" s="7" t="str">
        <f>IF(ISBLANK(patch[[#This Row],[OwnerEmail]]),Q1295,patch[[#This Row],[OwnerEmail]])</f>
        <v>john.mathew@intel.com</v>
      </c>
      <c r="R1296" s="7" t="str">
        <f>_xlfn.IFNA(VLOOKUP(patch[[#This Row],[tmp-owner.email]],OrgTree!$A:$K, 11, 0), "not ICG SWFW")</f>
        <v>FL And dev</v>
      </c>
      <c r="S1296" s="7" t="str">
        <f>IF(patch[[#This Row],[reviewer]]=patch[[#This Row],[tmp-owner.email]], "author", _xlfn.IFNA(VLOOKUP(patch[[#This Row],[reviewer]],OrgTree!$A:$K, 11, 0), "not ICG SWFW"))</f>
        <v>author</v>
      </c>
      <c r="T1296" s="7" t="str">
        <f>IF(ISBLANK(patch[[#This Row],[mergeDate]]), "", MID(YEAR(patch[[#This Row],[mergeDate]]), 3,2)&amp;"'ww"&amp;WEEKNUM(patch[[#This Row],[mergeDate]]))</f>
        <v>16'ww39</v>
      </c>
      <c r="U1296" s="7" t="str">
        <f>IF(ISBLANK(patch[[#This Row],[mergeDate]]), U1295, MID(YEAR(patch[[#This Row],[mergeDate]]), 3,2)&amp;"'m"&amp;MONTH(patch[[#This Row],[mergeDate]]))</f>
        <v>16'm9</v>
      </c>
      <c r="V1296" s="7">
        <f>IF(ISBLANK(patch[[#This Row],[project]]), "",SUM(patch[[#This Row],[BJ -1 num]:[SH -1 num]]))</f>
        <v>3</v>
      </c>
      <c r="W1296" s="7">
        <f>IF(ISBLANK(patch[[#This Row],[project]]), "",COUNTIFS($A:$A,patch[[#This Row],[number]],$S:$S, "BJ And dev",$AC:$AC, "Review-1"))</f>
        <v>3</v>
      </c>
      <c r="X1296" s="7">
        <f>IF(ISBLANK(patch[[#This Row],[project]]), "",COUNTIFS($A:$A,patch[[#This Row],[number]],$S:$S, "FL And dev",$AC:$AC, "Review-1"))</f>
        <v>0</v>
      </c>
      <c r="Y1296" s="7">
        <f>IF(ISBLANK(patch[[#This Row],[project]]), "",COUNTIFS($A:$A,patch[[#This Row],[number]],$S:$S, "SH And dev",$AC:$AC, "Review-1"))</f>
        <v>0</v>
      </c>
      <c r="Z1296" s="7">
        <f>IF(ISBLANK(patch[[#This Row],[project]]), "",COUNTIFS($A:$A,patch[[#This Row],[number]],$S:$S, "BJ And dev",$AD:$AD, "&lt;&gt;IntegratorValidationComment"))</f>
        <v>22</v>
      </c>
      <c r="AA1296" s="7">
        <f>IF(ISBLANK(patch[[#This Row],[project]]), "",COUNTIFS($A:$A,patch[[#This Row],[number]],$S:$S, "FL And dev",$AD:$AD, "&lt;&gt;IntegratorValidationComment"))</f>
        <v>0</v>
      </c>
      <c r="AB1296" s="7">
        <f>IF(ISBLANK(patch[[#This Row],[project]]), "",COUNTIFS($A:$A,patch[[#This Row],[number]],$S:$S, "SH And dev",$AD:$AD, "&lt;&gt;IntegratorValidationComment"))</f>
        <v>0</v>
      </c>
      <c r="AC1296" s="7" t="str">
        <f>IF(OR(ISNUMBER(FIND("Review-1", patch[[#This Row],[comments]])), ISNUMBER(FIND("Approver-1", patch[[#This Row],[comments]]))), "Review-1", "")</f>
        <v/>
      </c>
      <c r="AD12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96" s="7" t="str">
        <f>IF(ISBLANK(patch[[#This Row],[number]]),AE1295,patch[[#This Row],[ifCommon]])</f>
        <v>not AndrHAL</v>
      </c>
    </row>
    <row r="1297" spans="1:31">
      <c r="A1297" s="151">
        <v>144852</v>
      </c>
      <c r="B1297" s="151"/>
      <c r="C1297" s="151"/>
      <c r="D1297" s="151"/>
      <c r="E1297" s="151"/>
      <c r="F1297" s="151"/>
      <c r="G1297" s="151"/>
      <c r="H1297" s="151"/>
      <c r="I1297" s="151"/>
      <c r="J1297" s="152">
        <v>42633.709861111107</v>
      </c>
      <c r="K1297" s="151"/>
      <c r="L1297" s="151" t="s">
        <v>61</v>
      </c>
      <c r="M1297" s="152">
        <v>42626.693437499998</v>
      </c>
      <c r="N1297" s="151" t="s">
        <v>2428</v>
      </c>
      <c r="O1297" s="151"/>
      <c r="P1297" s="151"/>
      <c r="Q1297" s="7" t="str">
        <f>IF(ISBLANK(patch[[#This Row],[OwnerEmail]]),Q1296,patch[[#This Row],[OwnerEmail]])</f>
        <v>john.mathew@intel.com</v>
      </c>
      <c r="R1297" s="7" t="str">
        <f>_xlfn.IFNA(VLOOKUP(patch[[#This Row],[tmp-owner.email]],OrgTree!$A:$K, 11, 0), "not ICG SWFW")</f>
        <v>FL And dev</v>
      </c>
      <c r="S1297" s="7" t="str">
        <f>IF(patch[[#This Row],[reviewer]]=patch[[#This Row],[tmp-owner.email]], "author", _xlfn.IFNA(VLOOKUP(patch[[#This Row],[reviewer]],OrgTree!$A:$K, 11, 0), "not ICG SWFW"))</f>
        <v>author</v>
      </c>
      <c r="T1297" s="7" t="str">
        <f>IF(ISBLANK(patch[[#This Row],[mergeDate]]), "", MID(YEAR(patch[[#This Row],[mergeDate]]), 3,2)&amp;"'ww"&amp;WEEKNUM(patch[[#This Row],[mergeDate]]))</f>
        <v>16'ww39</v>
      </c>
      <c r="U1297" s="7" t="str">
        <f>IF(ISBLANK(patch[[#This Row],[mergeDate]]), U1296, MID(YEAR(patch[[#This Row],[mergeDate]]), 3,2)&amp;"'m"&amp;MONTH(patch[[#This Row],[mergeDate]]))</f>
        <v>16'm9</v>
      </c>
      <c r="V1297" s="7" t="str">
        <f>IF(ISBLANK(patch[[#This Row],[project]]), "",SUM(patch[[#This Row],[BJ -1 num]:[SH -1 num]]))</f>
        <v/>
      </c>
      <c r="W1297" s="7" t="str">
        <f>IF(ISBLANK(patch[[#This Row],[project]]), "",COUNTIFS($A:$A,patch[[#This Row],[number]],$S:$S, "BJ And dev",$AC:$AC, "Review-1"))</f>
        <v/>
      </c>
      <c r="X1297" s="7" t="str">
        <f>IF(ISBLANK(patch[[#This Row],[project]]), "",COUNTIFS($A:$A,patch[[#This Row],[number]],$S:$S, "FL And dev",$AC:$AC, "Review-1"))</f>
        <v/>
      </c>
      <c r="Y1297" s="7" t="str">
        <f>IF(ISBLANK(patch[[#This Row],[project]]), "",COUNTIFS($A:$A,patch[[#This Row],[number]],$S:$S, "SH And dev",$AC:$AC, "Review-1"))</f>
        <v/>
      </c>
      <c r="Z1297" s="7" t="str">
        <f>IF(ISBLANK(patch[[#This Row],[project]]), "",COUNTIFS($A:$A,patch[[#This Row],[number]],$S:$S, "BJ And dev",$AD:$AD, "&lt;&gt;IntegratorValidationComment"))</f>
        <v/>
      </c>
      <c r="AA1297" s="7" t="str">
        <f>IF(ISBLANK(patch[[#This Row],[project]]), "",COUNTIFS($A:$A,patch[[#This Row],[number]],$S:$S, "FL And dev",$AD:$AD, "&lt;&gt;IntegratorValidationComment"))</f>
        <v/>
      </c>
      <c r="AB1297" s="7" t="str">
        <f>IF(ISBLANK(patch[[#This Row],[project]]), "",COUNTIFS($A:$A,patch[[#This Row],[number]],$S:$S, "SH And dev",$AD:$AD, "&lt;&gt;IntegratorValidationComment"))</f>
        <v/>
      </c>
      <c r="AC1297" s="7" t="str">
        <f>IF(OR(ISNUMBER(FIND("Review-1", patch[[#This Row],[comments]])), ISNUMBER(FIND("Approver-1", patch[[#This Row],[comments]]))), "Review-1", "")</f>
        <v/>
      </c>
      <c r="AD12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97" s="7">
        <f>IF(ISBLANK(patch[[#This Row],[number]]),AE1296,patch[[#This Row],[ifCommon]])</f>
        <v>0</v>
      </c>
    </row>
    <row r="1298" spans="1:31">
      <c r="A1298" s="151">
        <v>144852</v>
      </c>
      <c r="B1298" s="151"/>
      <c r="C1298" s="151"/>
      <c r="D1298" s="151"/>
      <c r="E1298" s="151"/>
      <c r="F1298" s="151"/>
      <c r="G1298" s="151"/>
      <c r="H1298" s="151"/>
      <c r="I1298" s="151"/>
      <c r="J1298" s="152">
        <v>42633.709861111107</v>
      </c>
      <c r="K1298" s="151"/>
      <c r="L1298" s="151" t="s">
        <v>59</v>
      </c>
      <c r="M1298" s="152">
        <v>42626.696180555547</v>
      </c>
      <c r="N1298" s="151" t="s">
        <v>3231</v>
      </c>
      <c r="O1298" s="151"/>
      <c r="P1298" s="151"/>
      <c r="Q1298" s="7" t="str">
        <f>IF(ISBLANK(patch[[#This Row],[OwnerEmail]]),Q1297,patch[[#This Row],[OwnerEmail]])</f>
        <v>john.mathew@intel.com</v>
      </c>
      <c r="R1298" s="7" t="str">
        <f>_xlfn.IFNA(VLOOKUP(patch[[#This Row],[tmp-owner.email]],OrgTree!$A:$K, 11, 0), "not ICG SWFW")</f>
        <v>FL And dev</v>
      </c>
      <c r="S1298" s="7" t="str">
        <f>IF(patch[[#This Row],[reviewer]]=patch[[#This Row],[tmp-owner.email]], "author", _xlfn.IFNA(VLOOKUP(patch[[#This Row],[reviewer]],OrgTree!$A:$K, 11, 0), "not ICG SWFW"))</f>
        <v>BJ And dev</v>
      </c>
      <c r="T1298" s="7" t="str">
        <f>IF(ISBLANK(patch[[#This Row],[mergeDate]]), "", MID(YEAR(patch[[#This Row],[mergeDate]]), 3,2)&amp;"'ww"&amp;WEEKNUM(patch[[#This Row],[mergeDate]]))</f>
        <v>16'ww39</v>
      </c>
      <c r="U1298" s="7" t="str">
        <f>IF(ISBLANK(patch[[#This Row],[mergeDate]]), U1297, MID(YEAR(patch[[#This Row],[mergeDate]]), 3,2)&amp;"'m"&amp;MONTH(patch[[#This Row],[mergeDate]]))</f>
        <v>16'm9</v>
      </c>
      <c r="V1298" s="7" t="str">
        <f>IF(ISBLANK(patch[[#This Row],[project]]), "",SUM(patch[[#This Row],[BJ -1 num]:[SH -1 num]]))</f>
        <v/>
      </c>
      <c r="W1298" s="7" t="str">
        <f>IF(ISBLANK(patch[[#This Row],[project]]), "",COUNTIFS($A:$A,patch[[#This Row],[number]],$S:$S, "BJ And dev",$AC:$AC, "Review-1"))</f>
        <v/>
      </c>
      <c r="X1298" s="7" t="str">
        <f>IF(ISBLANK(patch[[#This Row],[project]]), "",COUNTIFS($A:$A,patch[[#This Row],[number]],$S:$S, "FL And dev",$AC:$AC, "Review-1"))</f>
        <v/>
      </c>
      <c r="Y1298" s="7" t="str">
        <f>IF(ISBLANK(patch[[#This Row],[project]]), "",COUNTIFS($A:$A,patch[[#This Row],[number]],$S:$S, "SH And dev",$AC:$AC, "Review-1"))</f>
        <v/>
      </c>
      <c r="Z1298" s="7" t="str">
        <f>IF(ISBLANK(patch[[#This Row],[project]]), "",COUNTIFS($A:$A,patch[[#This Row],[number]],$S:$S, "BJ And dev",$AD:$AD, "&lt;&gt;IntegratorValidationComment"))</f>
        <v/>
      </c>
      <c r="AA1298" s="7" t="str">
        <f>IF(ISBLANK(patch[[#This Row],[project]]), "",COUNTIFS($A:$A,patch[[#This Row],[number]],$S:$S, "FL And dev",$AD:$AD, "&lt;&gt;IntegratorValidationComment"))</f>
        <v/>
      </c>
      <c r="AB1298" s="7" t="str">
        <f>IF(ISBLANK(patch[[#This Row],[project]]), "",COUNTIFS($A:$A,patch[[#This Row],[number]],$S:$S, "SH And dev",$AD:$AD, "&lt;&gt;IntegratorValidationComment"))</f>
        <v/>
      </c>
      <c r="AC1298" s="7" t="str">
        <f>IF(OR(ISNUMBER(FIND("Review-1", patch[[#This Row],[comments]])), ISNUMBER(FIND("Approver-1", patch[[#This Row],[comments]]))), "Review-1", "")</f>
        <v/>
      </c>
      <c r="AD12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98" s="7">
        <f>IF(ISBLANK(patch[[#This Row],[number]]),AE1297,patch[[#This Row],[ifCommon]])</f>
        <v>0</v>
      </c>
    </row>
    <row r="1299" spans="1:31">
      <c r="A1299" s="151">
        <v>144852</v>
      </c>
      <c r="B1299" s="151"/>
      <c r="C1299" s="151"/>
      <c r="D1299" s="151"/>
      <c r="E1299" s="151"/>
      <c r="F1299" s="151"/>
      <c r="G1299" s="151"/>
      <c r="H1299" s="151"/>
      <c r="I1299" s="151"/>
      <c r="J1299" s="152">
        <v>42633.709861111107</v>
      </c>
      <c r="K1299" s="151"/>
      <c r="L1299" s="151" t="s">
        <v>61</v>
      </c>
      <c r="M1299" s="152">
        <v>42626.697789351849</v>
      </c>
      <c r="N1299" s="151" t="s">
        <v>2429</v>
      </c>
      <c r="O1299" s="151"/>
      <c r="P1299" s="151"/>
      <c r="Q1299" s="7" t="str">
        <f>IF(ISBLANK(patch[[#This Row],[OwnerEmail]]),Q1298,patch[[#This Row],[OwnerEmail]])</f>
        <v>john.mathew@intel.com</v>
      </c>
      <c r="R1299" s="7" t="str">
        <f>_xlfn.IFNA(VLOOKUP(patch[[#This Row],[tmp-owner.email]],OrgTree!$A:$K, 11, 0), "not ICG SWFW")</f>
        <v>FL And dev</v>
      </c>
      <c r="S1299" s="7" t="str">
        <f>IF(patch[[#This Row],[reviewer]]=patch[[#This Row],[tmp-owner.email]], "author", _xlfn.IFNA(VLOOKUP(patch[[#This Row],[reviewer]],OrgTree!$A:$K, 11, 0), "not ICG SWFW"))</f>
        <v>author</v>
      </c>
      <c r="T1299" s="7" t="str">
        <f>IF(ISBLANK(patch[[#This Row],[mergeDate]]), "", MID(YEAR(patch[[#This Row],[mergeDate]]), 3,2)&amp;"'ww"&amp;WEEKNUM(patch[[#This Row],[mergeDate]]))</f>
        <v>16'ww39</v>
      </c>
      <c r="U1299" s="7" t="str">
        <f>IF(ISBLANK(patch[[#This Row],[mergeDate]]), U1298, MID(YEAR(patch[[#This Row],[mergeDate]]), 3,2)&amp;"'m"&amp;MONTH(patch[[#This Row],[mergeDate]]))</f>
        <v>16'm9</v>
      </c>
      <c r="V1299" s="7" t="str">
        <f>IF(ISBLANK(patch[[#This Row],[project]]), "",SUM(patch[[#This Row],[BJ -1 num]:[SH -1 num]]))</f>
        <v/>
      </c>
      <c r="W1299" s="7" t="str">
        <f>IF(ISBLANK(patch[[#This Row],[project]]), "",COUNTIFS($A:$A,patch[[#This Row],[number]],$S:$S, "BJ And dev",$AC:$AC, "Review-1"))</f>
        <v/>
      </c>
      <c r="X1299" s="7" t="str">
        <f>IF(ISBLANK(patch[[#This Row],[project]]), "",COUNTIFS($A:$A,patch[[#This Row],[number]],$S:$S, "FL And dev",$AC:$AC, "Review-1"))</f>
        <v/>
      </c>
      <c r="Y1299" s="7" t="str">
        <f>IF(ISBLANK(patch[[#This Row],[project]]), "",COUNTIFS($A:$A,patch[[#This Row],[number]],$S:$S, "SH And dev",$AC:$AC, "Review-1"))</f>
        <v/>
      </c>
      <c r="Z1299" s="7" t="str">
        <f>IF(ISBLANK(patch[[#This Row],[project]]), "",COUNTIFS($A:$A,patch[[#This Row],[number]],$S:$S, "BJ And dev",$AD:$AD, "&lt;&gt;IntegratorValidationComment"))</f>
        <v/>
      </c>
      <c r="AA1299" s="7" t="str">
        <f>IF(ISBLANK(patch[[#This Row],[project]]), "",COUNTIFS($A:$A,patch[[#This Row],[number]],$S:$S, "FL And dev",$AD:$AD, "&lt;&gt;IntegratorValidationComment"))</f>
        <v/>
      </c>
      <c r="AB1299" s="7" t="str">
        <f>IF(ISBLANK(patch[[#This Row],[project]]), "",COUNTIFS($A:$A,patch[[#This Row],[number]],$S:$S, "SH And dev",$AD:$AD, "&lt;&gt;IntegratorValidationComment"))</f>
        <v/>
      </c>
      <c r="AC1299" s="7" t="str">
        <f>IF(OR(ISNUMBER(FIND("Review-1", patch[[#This Row],[comments]])), ISNUMBER(FIND("Approver-1", patch[[#This Row],[comments]]))), "Review-1", "")</f>
        <v/>
      </c>
      <c r="AD12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299" s="7">
        <f>IF(ISBLANK(patch[[#This Row],[number]]),AE1298,patch[[#This Row],[ifCommon]])</f>
        <v>0</v>
      </c>
    </row>
    <row r="1300" spans="1:31">
      <c r="A1300" s="151">
        <v>144852</v>
      </c>
      <c r="B1300" s="151"/>
      <c r="C1300" s="151"/>
      <c r="D1300" s="151"/>
      <c r="E1300" s="151"/>
      <c r="F1300" s="151"/>
      <c r="G1300" s="151"/>
      <c r="H1300" s="151"/>
      <c r="I1300" s="151"/>
      <c r="J1300" s="152">
        <v>42633.709861111107</v>
      </c>
      <c r="K1300" s="151"/>
      <c r="L1300" s="151" t="s">
        <v>61</v>
      </c>
      <c r="M1300" s="152">
        <v>42626.697789351849</v>
      </c>
      <c r="N1300" s="151" t="s">
        <v>29</v>
      </c>
      <c r="O1300" s="151"/>
      <c r="P1300" s="151"/>
      <c r="Q1300" s="7" t="str">
        <f>IF(ISBLANK(patch[[#This Row],[OwnerEmail]]),Q1299,patch[[#This Row],[OwnerEmail]])</f>
        <v>john.mathew@intel.com</v>
      </c>
      <c r="R1300" s="7" t="str">
        <f>_xlfn.IFNA(VLOOKUP(patch[[#This Row],[tmp-owner.email]],OrgTree!$A:$K, 11, 0), "not ICG SWFW")</f>
        <v>FL And dev</v>
      </c>
      <c r="S1300" s="7" t="str">
        <f>IF(patch[[#This Row],[reviewer]]=patch[[#This Row],[tmp-owner.email]], "author", _xlfn.IFNA(VLOOKUP(patch[[#This Row],[reviewer]],OrgTree!$A:$K, 11, 0), "not ICG SWFW"))</f>
        <v>author</v>
      </c>
      <c r="T1300" s="7" t="str">
        <f>IF(ISBLANK(patch[[#This Row],[mergeDate]]), "", MID(YEAR(patch[[#This Row],[mergeDate]]), 3,2)&amp;"'ww"&amp;WEEKNUM(patch[[#This Row],[mergeDate]]))</f>
        <v>16'ww39</v>
      </c>
      <c r="U1300" s="7" t="str">
        <f>IF(ISBLANK(patch[[#This Row],[mergeDate]]), U1299, MID(YEAR(patch[[#This Row],[mergeDate]]), 3,2)&amp;"'m"&amp;MONTH(patch[[#This Row],[mergeDate]]))</f>
        <v>16'm9</v>
      </c>
      <c r="V1300" s="7" t="str">
        <f>IF(ISBLANK(patch[[#This Row],[project]]), "",SUM(patch[[#This Row],[BJ -1 num]:[SH -1 num]]))</f>
        <v/>
      </c>
      <c r="W1300" s="7" t="str">
        <f>IF(ISBLANK(patch[[#This Row],[project]]), "",COUNTIFS($A:$A,patch[[#This Row],[number]],$S:$S, "BJ And dev",$AC:$AC, "Review-1"))</f>
        <v/>
      </c>
      <c r="X1300" s="7" t="str">
        <f>IF(ISBLANK(patch[[#This Row],[project]]), "",COUNTIFS($A:$A,patch[[#This Row],[number]],$S:$S, "FL And dev",$AC:$AC, "Review-1"))</f>
        <v/>
      </c>
      <c r="Y1300" s="7" t="str">
        <f>IF(ISBLANK(patch[[#This Row],[project]]), "",COUNTIFS($A:$A,patch[[#This Row],[number]],$S:$S, "SH And dev",$AC:$AC, "Review-1"))</f>
        <v/>
      </c>
      <c r="Z1300" s="7" t="str">
        <f>IF(ISBLANK(patch[[#This Row],[project]]), "",COUNTIFS($A:$A,patch[[#This Row],[number]],$S:$S, "BJ And dev",$AD:$AD, "&lt;&gt;IntegratorValidationComment"))</f>
        <v/>
      </c>
      <c r="AA1300" s="7" t="str">
        <f>IF(ISBLANK(patch[[#This Row],[project]]), "",COUNTIFS($A:$A,patch[[#This Row],[number]],$S:$S, "FL And dev",$AD:$AD, "&lt;&gt;IntegratorValidationComment"))</f>
        <v/>
      </c>
      <c r="AB1300" s="7" t="str">
        <f>IF(ISBLANK(patch[[#This Row],[project]]), "",COUNTIFS($A:$A,patch[[#This Row],[number]],$S:$S, "SH And dev",$AD:$AD, "&lt;&gt;IntegratorValidationComment"))</f>
        <v/>
      </c>
      <c r="AC1300" s="7" t="str">
        <f>IF(OR(ISNUMBER(FIND("Review-1", patch[[#This Row],[comments]])), ISNUMBER(FIND("Approver-1", patch[[#This Row],[comments]]))), "Review-1", "")</f>
        <v/>
      </c>
      <c r="AD13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00" s="7">
        <f>IF(ISBLANK(patch[[#This Row],[number]]),AE1299,patch[[#This Row],[ifCommon]])</f>
        <v>0</v>
      </c>
    </row>
    <row r="1301" spans="1:31">
      <c r="A1301" s="151">
        <v>144852</v>
      </c>
      <c r="B1301" s="151"/>
      <c r="C1301" s="151"/>
      <c r="D1301" s="151"/>
      <c r="E1301" s="151"/>
      <c r="F1301" s="151"/>
      <c r="G1301" s="151"/>
      <c r="H1301" s="151"/>
      <c r="I1301" s="151"/>
      <c r="J1301" s="152">
        <v>42633.709861111107</v>
      </c>
      <c r="K1301" s="151"/>
      <c r="L1301" s="151" t="s">
        <v>61</v>
      </c>
      <c r="M1301" s="152">
        <v>42626.697905092587</v>
      </c>
      <c r="N1301" s="151" t="s">
        <v>27</v>
      </c>
      <c r="O1301" s="151"/>
      <c r="P1301" s="151"/>
      <c r="Q1301" s="7" t="str">
        <f>IF(ISBLANK(patch[[#This Row],[OwnerEmail]]),Q1300,patch[[#This Row],[OwnerEmail]])</f>
        <v>john.mathew@intel.com</v>
      </c>
      <c r="R1301" s="7" t="str">
        <f>_xlfn.IFNA(VLOOKUP(patch[[#This Row],[tmp-owner.email]],OrgTree!$A:$K, 11, 0), "not ICG SWFW")</f>
        <v>FL And dev</v>
      </c>
      <c r="S1301" s="7" t="str">
        <f>IF(patch[[#This Row],[reviewer]]=patch[[#This Row],[tmp-owner.email]], "author", _xlfn.IFNA(VLOOKUP(patch[[#This Row],[reviewer]],OrgTree!$A:$K, 11, 0), "not ICG SWFW"))</f>
        <v>author</v>
      </c>
      <c r="T1301" s="7" t="str">
        <f>IF(ISBLANK(patch[[#This Row],[mergeDate]]), "", MID(YEAR(patch[[#This Row],[mergeDate]]), 3,2)&amp;"'ww"&amp;WEEKNUM(patch[[#This Row],[mergeDate]]))</f>
        <v>16'ww39</v>
      </c>
      <c r="U1301" s="7" t="str">
        <f>IF(ISBLANK(patch[[#This Row],[mergeDate]]), U1300, MID(YEAR(patch[[#This Row],[mergeDate]]), 3,2)&amp;"'m"&amp;MONTH(patch[[#This Row],[mergeDate]]))</f>
        <v>16'm9</v>
      </c>
      <c r="V1301" s="7" t="str">
        <f>IF(ISBLANK(patch[[#This Row],[project]]), "",SUM(patch[[#This Row],[BJ -1 num]:[SH -1 num]]))</f>
        <v/>
      </c>
      <c r="W1301" s="7" t="str">
        <f>IF(ISBLANK(patch[[#This Row],[project]]), "",COUNTIFS($A:$A,patch[[#This Row],[number]],$S:$S, "BJ And dev",$AC:$AC, "Review-1"))</f>
        <v/>
      </c>
      <c r="X1301" s="7" t="str">
        <f>IF(ISBLANK(patch[[#This Row],[project]]), "",COUNTIFS($A:$A,patch[[#This Row],[number]],$S:$S, "FL And dev",$AC:$AC, "Review-1"))</f>
        <v/>
      </c>
      <c r="Y1301" s="7" t="str">
        <f>IF(ISBLANK(patch[[#This Row],[project]]), "",COUNTIFS($A:$A,patch[[#This Row],[number]],$S:$S, "SH And dev",$AC:$AC, "Review-1"))</f>
        <v/>
      </c>
      <c r="Z1301" s="7" t="str">
        <f>IF(ISBLANK(patch[[#This Row],[project]]), "",COUNTIFS($A:$A,patch[[#This Row],[number]],$S:$S, "BJ And dev",$AD:$AD, "&lt;&gt;IntegratorValidationComment"))</f>
        <v/>
      </c>
      <c r="AA1301" s="7" t="str">
        <f>IF(ISBLANK(patch[[#This Row],[project]]), "",COUNTIFS($A:$A,patch[[#This Row],[number]],$S:$S, "FL And dev",$AD:$AD, "&lt;&gt;IntegratorValidationComment"))</f>
        <v/>
      </c>
      <c r="AB1301" s="7" t="str">
        <f>IF(ISBLANK(patch[[#This Row],[project]]), "",COUNTIFS($A:$A,patch[[#This Row],[number]],$S:$S, "SH And dev",$AD:$AD, "&lt;&gt;IntegratorValidationComment"))</f>
        <v/>
      </c>
      <c r="AC1301" s="7" t="str">
        <f>IF(OR(ISNUMBER(FIND("Review-1", patch[[#This Row],[comments]])), ISNUMBER(FIND("Approver-1", patch[[#This Row],[comments]]))), "Review-1", "")</f>
        <v/>
      </c>
      <c r="AD13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01" s="7">
        <f>IF(ISBLANK(patch[[#This Row],[number]]),AE1300,patch[[#This Row],[ifCommon]])</f>
        <v>0</v>
      </c>
    </row>
    <row r="1302" spans="1:31">
      <c r="A1302" s="151">
        <v>144852</v>
      </c>
      <c r="B1302" s="151"/>
      <c r="C1302" s="151"/>
      <c r="D1302" s="151"/>
      <c r="E1302" s="151"/>
      <c r="F1302" s="151"/>
      <c r="G1302" s="151"/>
      <c r="H1302" s="151"/>
      <c r="I1302" s="151"/>
      <c r="J1302" s="152">
        <v>42633.709861111107</v>
      </c>
      <c r="K1302" s="151"/>
      <c r="L1302" s="151" t="s">
        <v>59</v>
      </c>
      <c r="M1302" s="152">
        <v>42626.698807870373</v>
      </c>
      <c r="N1302" s="151" t="s">
        <v>3232</v>
      </c>
      <c r="O1302" s="151"/>
      <c r="P1302" s="151"/>
      <c r="Q1302" s="7" t="str">
        <f>IF(ISBLANK(patch[[#This Row],[OwnerEmail]]),Q1301,patch[[#This Row],[OwnerEmail]])</f>
        <v>john.mathew@intel.com</v>
      </c>
      <c r="R1302" s="7" t="str">
        <f>_xlfn.IFNA(VLOOKUP(patch[[#This Row],[tmp-owner.email]],OrgTree!$A:$K, 11, 0), "not ICG SWFW")</f>
        <v>FL And dev</v>
      </c>
      <c r="S1302" s="7" t="str">
        <f>IF(patch[[#This Row],[reviewer]]=patch[[#This Row],[tmp-owner.email]], "author", _xlfn.IFNA(VLOOKUP(patch[[#This Row],[reviewer]],OrgTree!$A:$K, 11, 0), "not ICG SWFW"))</f>
        <v>BJ And dev</v>
      </c>
      <c r="T1302" s="7" t="str">
        <f>IF(ISBLANK(patch[[#This Row],[mergeDate]]), "", MID(YEAR(patch[[#This Row],[mergeDate]]), 3,2)&amp;"'ww"&amp;WEEKNUM(patch[[#This Row],[mergeDate]]))</f>
        <v>16'ww39</v>
      </c>
      <c r="U1302" s="7" t="str">
        <f>IF(ISBLANK(patch[[#This Row],[mergeDate]]), U1301, MID(YEAR(patch[[#This Row],[mergeDate]]), 3,2)&amp;"'m"&amp;MONTH(patch[[#This Row],[mergeDate]]))</f>
        <v>16'm9</v>
      </c>
      <c r="V1302" s="7" t="str">
        <f>IF(ISBLANK(patch[[#This Row],[project]]), "",SUM(patch[[#This Row],[BJ -1 num]:[SH -1 num]]))</f>
        <v/>
      </c>
      <c r="W1302" s="7" t="str">
        <f>IF(ISBLANK(patch[[#This Row],[project]]), "",COUNTIFS($A:$A,patch[[#This Row],[number]],$S:$S, "BJ And dev",$AC:$AC, "Review-1"))</f>
        <v/>
      </c>
      <c r="X1302" s="7" t="str">
        <f>IF(ISBLANK(patch[[#This Row],[project]]), "",COUNTIFS($A:$A,patch[[#This Row],[number]],$S:$S, "FL And dev",$AC:$AC, "Review-1"))</f>
        <v/>
      </c>
      <c r="Y1302" s="7" t="str">
        <f>IF(ISBLANK(patch[[#This Row],[project]]), "",COUNTIFS($A:$A,patch[[#This Row],[number]],$S:$S, "SH And dev",$AC:$AC, "Review-1"))</f>
        <v/>
      </c>
      <c r="Z1302" s="7" t="str">
        <f>IF(ISBLANK(patch[[#This Row],[project]]), "",COUNTIFS($A:$A,patch[[#This Row],[number]],$S:$S, "BJ And dev",$AD:$AD, "&lt;&gt;IntegratorValidationComment"))</f>
        <v/>
      </c>
      <c r="AA1302" s="7" t="str">
        <f>IF(ISBLANK(patch[[#This Row],[project]]), "",COUNTIFS($A:$A,patch[[#This Row],[number]],$S:$S, "FL And dev",$AD:$AD, "&lt;&gt;IntegratorValidationComment"))</f>
        <v/>
      </c>
      <c r="AB1302" s="7" t="str">
        <f>IF(ISBLANK(patch[[#This Row],[project]]), "",COUNTIFS($A:$A,patch[[#This Row],[number]],$S:$S, "SH And dev",$AD:$AD, "&lt;&gt;IntegratorValidationComment"))</f>
        <v/>
      </c>
      <c r="AC1302" s="7" t="str">
        <f>IF(OR(ISNUMBER(FIND("Review-1", patch[[#This Row],[comments]])), ISNUMBER(FIND("Approver-1", patch[[#This Row],[comments]]))), "Review-1", "")</f>
        <v/>
      </c>
      <c r="AD13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02" s="7">
        <f>IF(ISBLANK(patch[[#This Row],[number]]),AE1301,patch[[#This Row],[ifCommon]])</f>
        <v>0</v>
      </c>
    </row>
    <row r="1303" spans="1:31">
      <c r="A1303" s="151">
        <v>144852</v>
      </c>
      <c r="B1303" s="151"/>
      <c r="C1303" s="151"/>
      <c r="D1303" s="151"/>
      <c r="E1303" s="151"/>
      <c r="F1303" s="151"/>
      <c r="G1303" s="151"/>
      <c r="H1303" s="151"/>
      <c r="I1303" s="151"/>
      <c r="J1303" s="152">
        <v>42633.709861111107</v>
      </c>
      <c r="K1303" s="151"/>
      <c r="L1303" s="151" t="s">
        <v>59</v>
      </c>
      <c r="M1303" s="152">
        <v>42626.702824074076</v>
      </c>
      <c r="N1303" s="151" t="s">
        <v>3233</v>
      </c>
      <c r="O1303" s="151"/>
      <c r="P1303" s="151"/>
      <c r="Q1303" s="7" t="str">
        <f>IF(ISBLANK(patch[[#This Row],[OwnerEmail]]),Q1302,patch[[#This Row],[OwnerEmail]])</f>
        <v>john.mathew@intel.com</v>
      </c>
      <c r="R1303" s="7" t="str">
        <f>_xlfn.IFNA(VLOOKUP(patch[[#This Row],[tmp-owner.email]],OrgTree!$A:$K, 11, 0), "not ICG SWFW")</f>
        <v>FL And dev</v>
      </c>
      <c r="S1303" s="7" t="str">
        <f>IF(patch[[#This Row],[reviewer]]=patch[[#This Row],[tmp-owner.email]], "author", _xlfn.IFNA(VLOOKUP(patch[[#This Row],[reviewer]],OrgTree!$A:$K, 11, 0), "not ICG SWFW"))</f>
        <v>BJ And dev</v>
      </c>
      <c r="T1303" s="7" t="str">
        <f>IF(ISBLANK(patch[[#This Row],[mergeDate]]), "", MID(YEAR(patch[[#This Row],[mergeDate]]), 3,2)&amp;"'ww"&amp;WEEKNUM(patch[[#This Row],[mergeDate]]))</f>
        <v>16'ww39</v>
      </c>
      <c r="U1303" s="7" t="str">
        <f>IF(ISBLANK(patch[[#This Row],[mergeDate]]), U1302, MID(YEAR(patch[[#This Row],[mergeDate]]), 3,2)&amp;"'m"&amp;MONTH(patch[[#This Row],[mergeDate]]))</f>
        <v>16'm9</v>
      </c>
      <c r="V1303" s="7" t="str">
        <f>IF(ISBLANK(patch[[#This Row],[project]]), "",SUM(patch[[#This Row],[BJ -1 num]:[SH -1 num]]))</f>
        <v/>
      </c>
      <c r="W1303" s="7" t="str">
        <f>IF(ISBLANK(patch[[#This Row],[project]]), "",COUNTIFS($A:$A,patch[[#This Row],[number]],$S:$S, "BJ And dev",$AC:$AC, "Review-1"))</f>
        <v/>
      </c>
      <c r="X1303" s="7" t="str">
        <f>IF(ISBLANK(patch[[#This Row],[project]]), "",COUNTIFS($A:$A,patch[[#This Row],[number]],$S:$S, "FL And dev",$AC:$AC, "Review-1"))</f>
        <v/>
      </c>
      <c r="Y1303" s="7" t="str">
        <f>IF(ISBLANK(patch[[#This Row],[project]]), "",COUNTIFS($A:$A,patch[[#This Row],[number]],$S:$S, "SH And dev",$AC:$AC, "Review-1"))</f>
        <v/>
      </c>
      <c r="Z1303" s="7" t="str">
        <f>IF(ISBLANK(patch[[#This Row],[project]]), "",COUNTIFS($A:$A,patch[[#This Row],[number]],$S:$S, "BJ And dev",$AD:$AD, "&lt;&gt;IntegratorValidationComment"))</f>
        <v/>
      </c>
      <c r="AA1303" s="7" t="str">
        <f>IF(ISBLANK(patch[[#This Row],[project]]), "",COUNTIFS($A:$A,patch[[#This Row],[number]],$S:$S, "FL And dev",$AD:$AD, "&lt;&gt;IntegratorValidationComment"))</f>
        <v/>
      </c>
      <c r="AB1303" s="7" t="str">
        <f>IF(ISBLANK(patch[[#This Row],[project]]), "",COUNTIFS($A:$A,patch[[#This Row],[number]],$S:$S, "SH And dev",$AD:$AD, "&lt;&gt;IntegratorValidationComment"))</f>
        <v/>
      </c>
      <c r="AC1303" s="7" t="str">
        <f>IF(OR(ISNUMBER(FIND("Review-1", patch[[#This Row],[comments]])), ISNUMBER(FIND("Approver-1", patch[[#This Row],[comments]]))), "Review-1", "")</f>
        <v/>
      </c>
      <c r="AD13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03" s="7">
        <f>IF(ISBLANK(patch[[#This Row],[number]]),AE1302,patch[[#This Row],[ifCommon]])</f>
        <v>0</v>
      </c>
    </row>
    <row r="1304" spans="1:31">
      <c r="A1304" s="151">
        <v>144852</v>
      </c>
      <c r="B1304" s="151"/>
      <c r="C1304" s="151"/>
      <c r="D1304" s="151"/>
      <c r="E1304" s="151"/>
      <c r="F1304" s="151"/>
      <c r="G1304" s="151"/>
      <c r="H1304" s="151"/>
      <c r="I1304" s="151"/>
      <c r="J1304" s="152">
        <v>42633.709861111107</v>
      </c>
      <c r="K1304" s="151"/>
      <c r="L1304" s="151" t="s">
        <v>59</v>
      </c>
      <c r="M1304" s="152">
        <v>42626.705289351848</v>
      </c>
      <c r="N1304" s="151" t="s">
        <v>3234</v>
      </c>
      <c r="O1304" s="151"/>
      <c r="P1304" s="151"/>
      <c r="Q1304" s="7" t="str">
        <f>IF(ISBLANK(patch[[#This Row],[OwnerEmail]]),Q1303,patch[[#This Row],[OwnerEmail]])</f>
        <v>john.mathew@intel.com</v>
      </c>
      <c r="R1304" s="7" t="str">
        <f>_xlfn.IFNA(VLOOKUP(patch[[#This Row],[tmp-owner.email]],OrgTree!$A:$K, 11, 0), "not ICG SWFW")</f>
        <v>FL And dev</v>
      </c>
      <c r="S1304" s="7" t="str">
        <f>IF(patch[[#This Row],[reviewer]]=patch[[#This Row],[tmp-owner.email]], "author", _xlfn.IFNA(VLOOKUP(patch[[#This Row],[reviewer]],OrgTree!$A:$K, 11, 0), "not ICG SWFW"))</f>
        <v>BJ And dev</v>
      </c>
      <c r="T1304" s="7" t="str">
        <f>IF(ISBLANK(patch[[#This Row],[mergeDate]]), "", MID(YEAR(patch[[#This Row],[mergeDate]]), 3,2)&amp;"'ww"&amp;WEEKNUM(patch[[#This Row],[mergeDate]]))</f>
        <v>16'ww39</v>
      </c>
      <c r="U1304" s="7" t="str">
        <f>IF(ISBLANK(patch[[#This Row],[mergeDate]]), U1303, MID(YEAR(patch[[#This Row],[mergeDate]]), 3,2)&amp;"'m"&amp;MONTH(patch[[#This Row],[mergeDate]]))</f>
        <v>16'm9</v>
      </c>
      <c r="V1304" s="7" t="str">
        <f>IF(ISBLANK(patch[[#This Row],[project]]), "",SUM(patch[[#This Row],[BJ -1 num]:[SH -1 num]]))</f>
        <v/>
      </c>
      <c r="W1304" s="7" t="str">
        <f>IF(ISBLANK(patch[[#This Row],[project]]), "",COUNTIFS($A:$A,patch[[#This Row],[number]],$S:$S, "BJ And dev",$AC:$AC, "Review-1"))</f>
        <v/>
      </c>
      <c r="X1304" s="7" t="str">
        <f>IF(ISBLANK(patch[[#This Row],[project]]), "",COUNTIFS($A:$A,patch[[#This Row],[number]],$S:$S, "FL And dev",$AC:$AC, "Review-1"))</f>
        <v/>
      </c>
      <c r="Y1304" s="7" t="str">
        <f>IF(ISBLANK(patch[[#This Row],[project]]), "",COUNTIFS($A:$A,patch[[#This Row],[number]],$S:$S, "SH And dev",$AC:$AC, "Review-1"))</f>
        <v/>
      </c>
      <c r="Z1304" s="7" t="str">
        <f>IF(ISBLANK(patch[[#This Row],[project]]), "",COUNTIFS($A:$A,patch[[#This Row],[number]],$S:$S, "BJ And dev",$AD:$AD, "&lt;&gt;IntegratorValidationComment"))</f>
        <v/>
      </c>
      <c r="AA1304" s="7" t="str">
        <f>IF(ISBLANK(patch[[#This Row],[project]]), "",COUNTIFS($A:$A,patch[[#This Row],[number]],$S:$S, "FL And dev",$AD:$AD, "&lt;&gt;IntegratorValidationComment"))</f>
        <v/>
      </c>
      <c r="AB1304" s="7" t="str">
        <f>IF(ISBLANK(patch[[#This Row],[project]]), "",COUNTIFS($A:$A,patch[[#This Row],[number]],$S:$S, "SH And dev",$AD:$AD, "&lt;&gt;IntegratorValidationComment"))</f>
        <v/>
      </c>
      <c r="AC1304" s="7" t="str">
        <f>IF(OR(ISNUMBER(FIND("Review-1", patch[[#This Row],[comments]])), ISNUMBER(FIND("Approver-1", patch[[#This Row],[comments]]))), "Review-1", "")</f>
        <v/>
      </c>
      <c r="AD13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04" s="7">
        <f>IF(ISBLANK(patch[[#This Row],[number]]),AE1303,patch[[#This Row],[ifCommon]])</f>
        <v>0</v>
      </c>
    </row>
    <row r="1305" spans="1:31">
      <c r="A1305" s="151">
        <v>144852</v>
      </c>
      <c r="B1305" s="151"/>
      <c r="C1305" s="151"/>
      <c r="D1305" s="151"/>
      <c r="E1305" s="151"/>
      <c r="F1305" s="151"/>
      <c r="G1305" s="151"/>
      <c r="H1305" s="151"/>
      <c r="I1305" s="151"/>
      <c r="J1305" s="152">
        <v>42633.709861111107</v>
      </c>
      <c r="K1305" s="151"/>
      <c r="L1305" s="151" t="s">
        <v>59</v>
      </c>
      <c r="M1305" s="152">
        <v>42626.738518518519</v>
      </c>
      <c r="N1305" s="151" t="s">
        <v>2499</v>
      </c>
      <c r="O1305" s="151" t="s">
        <v>3235</v>
      </c>
      <c r="P1305" s="151"/>
      <c r="Q1305" s="7" t="str">
        <f>IF(ISBLANK(patch[[#This Row],[OwnerEmail]]),Q1304,patch[[#This Row],[OwnerEmail]])</f>
        <v>john.mathew@intel.com</v>
      </c>
      <c r="R1305" s="7" t="str">
        <f>_xlfn.IFNA(VLOOKUP(patch[[#This Row],[tmp-owner.email]],OrgTree!$A:$K, 11, 0), "not ICG SWFW")</f>
        <v>FL And dev</v>
      </c>
      <c r="S1305" s="7" t="str">
        <f>IF(patch[[#This Row],[reviewer]]=patch[[#This Row],[tmp-owner.email]], "author", _xlfn.IFNA(VLOOKUP(patch[[#This Row],[reviewer]],OrgTree!$A:$K, 11, 0), "not ICG SWFW"))</f>
        <v>BJ And dev</v>
      </c>
      <c r="T1305" s="7" t="str">
        <f>IF(ISBLANK(patch[[#This Row],[mergeDate]]), "", MID(YEAR(patch[[#This Row],[mergeDate]]), 3,2)&amp;"'ww"&amp;WEEKNUM(patch[[#This Row],[mergeDate]]))</f>
        <v>16'ww39</v>
      </c>
      <c r="U1305" s="7" t="str">
        <f>IF(ISBLANK(patch[[#This Row],[mergeDate]]), U1304, MID(YEAR(patch[[#This Row],[mergeDate]]), 3,2)&amp;"'m"&amp;MONTH(patch[[#This Row],[mergeDate]]))</f>
        <v>16'm9</v>
      </c>
      <c r="V1305" s="7" t="str">
        <f>IF(ISBLANK(patch[[#This Row],[project]]), "",SUM(patch[[#This Row],[BJ -1 num]:[SH -1 num]]))</f>
        <v/>
      </c>
      <c r="W1305" s="7" t="str">
        <f>IF(ISBLANK(patch[[#This Row],[project]]), "",COUNTIFS($A:$A,patch[[#This Row],[number]],$S:$S, "BJ And dev",$AC:$AC, "Review-1"))</f>
        <v/>
      </c>
      <c r="X1305" s="7" t="str">
        <f>IF(ISBLANK(patch[[#This Row],[project]]), "",COUNTIFS($A:$A,patch[[#This Row],[number]],$S:$S, "FL And dev",$AC:$AC, "Review-1"))</f>
        <v/>
      </c>
      <c r="Y1305" s="7" t="str">
        <f>IF(ISBLANK(patch[[#This Row],[project]]), "",COUNTIFS($A:$A,patch[[#This Row],[number]],$S:$S, "SH And dev",$AC:$AC, "Review-1"))</f>
        <v/>
      </c>
      <c r="Z1305" s="7" t="str">
        <f>IF(ISBLANK(patch[[#This Row],[project]]), "",COUNTIFS($A:$A,patch[[#This Row],[number]],$S:$S, "BJ And dev",$AD:$AD, "&lt;&gt;IntegratorValidationComment"))</f>
        <v/>
      </c>
      <c r="AA1305" s="7" t="str">
        <f>IF(ISBLANK(patch[[#This Row],[project]]), "",COUNTIFS($A:$A,patch[[#This Row],[number]],$S:$S, "FL And dev",$AD:$AD, "&lt;&gt;IntegratorValidationComment"))</f>
        <v/>
      </c>
      <c r="AB1305" s="7" t="str">
        <f>IF(ISBLANK(patch[[#This Row],[project]]), "",COUNTIFS($A:$A,patch[[#This Row],[number]],$S:$S, "SH And dev",$AD:$AD, "&lt;&gt;IntegratorValidationComment"))</f>
        <v/>
      </c>
      <c r="AC1305" s="7" t="str">
        <f>IF(OR(ISNUMBER(FIND("Review-1", patch[[#This Row],[comments]])), ISNUMBER(FIND("Approver-1", patch[[#This Row],[comments]]))), "Review-1", "")</f>
        <v>Review-1</v>
      </c>
      <c r="AD13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05" s="7">
        <f>IF(ISBLANK(patch[[#This Row],[number]]),AE1304,patch[[#This Row],[ifCommon]])</f>
        <v>0</v>
      </c>
    </row>
    <row r="1306" spans="1:31">
      <c r="A1306" s="151">
        <v>144852</v>
      </c>
      <c r="B1306" s="151"/>
      <c r="C1306" s="151"/>
      <c r="D1306" s="151"/>
      <c r="E1306" s="151"/>
      <c r="F1306" s="151"/>
      <c r="G1306" s="151"/>
      <c r="H1306" s="151"/>
      <c r="I1306" s="151"/>
      <c r="J1306" s="152">
        <v>42633.709861111107</v>
      </c>
      <c r="K1306" s="151"/>
      <c r="L1306" s="151" t="s">
        <v>61</v>
      </c>
      <c r="M1306" s="152">
        <v>42626.814189814817</v>
      </c>
      <c r="N1306" s="151" t="s">
        <v>2450</v>
      </c>
      <c r="O1306" s="151"/>
      <c r="P1306" s="151"/>
      <c r="Q1306" s="7" t="str">
        <f>IF(ISBLANK(patch[[#This Row],[OwnerEmail]]),Q1305,patch[[#This Row],[OwnerEmail]])</f>
        <v>john.mathew@intel.com</v>
      </c>
      <c r="R1306" s="7" t="str">
        <f>_xlfn.IFNA(VLOOKUP(patch[[#This Row],[tmp-owner.email]],OrgTree!$A:$K, 11, 0), "not ICG SWFW")</f>
        <v>FL And dev</v>
      </c>
      <c r="S1306" s="7" t="str">
        <f>IF(patch[[#This Row],[reviewer]]=patch[[#This Row],[tmp-owner.email]], "author", _xlfn.IFNA(VLOOKUP(patch[[#This Row],[reviewer]],OrgTree!$A:$K, 11, 0), "not ICG SWFW"))</f>
        <v>author</v>
      </c>
      <c r="T1306" s="7" t="str">
        <f>IF(ISBLANK(patch[[#This Row],[mergeDate]]), "", MID(YEAR(patch[[#This Row],[mergeDate]]), 3,2)&amp;"'ww"&amp;WEEKNUM(patch[[#This Row],[mergeDate]]))</f>
        <v>16'ww39</v>
      </c>
      <c r="U1306" s="7" t="str">
        <f>IF(ISBLANK(patch[[#This Row],[mergeDate]]), U1305, MID(YEAR(patch[[#This Row],[mergeDate]]), 3,2)&amp;"'m"&amp;MONTH(patch[[#This Row],[mergeDate]]))</f>
        <v>16'm9</v>
      </c>
      <c r="V1306" s="7" t="str">
        <f>IF(ISBLANK(patch[[#This Row],[project]]), "",SUM(patch[[#This Row],[BJ -1 num]:[SH -1 num]]))</f>
        <v/>
      </c>
      <c r="W1306" s="7" t="str">
        <f>IF(ISBLANK(patch[[#This Row],[project]]), "",COUNTIFS($A:$A,patch[[#This Row],[number]],$S:$S, "BJ And dev",$AC:$AC, "Review-1"))</f>
        <v/>
      </c>
      <c r="X1306" s="7" t="str">
        <f>IF(ISBLANK(patch[[#This Row],[project]]), "",COUNTIFS($A:$A,patch[[#This Row],[number]],$S:$S, "FL And dev",$AC:$AC, "Review-1"))</f>
        <v/>
      </c>
      <c r="Y1306" s="7" t="str">
        <f>IF(ISBLANK(patch[[#This Row],[project]]), "",COUNTIFS($A:$A,patch[[#This Row],[number]],$S:$S, "SH And dev",$AC:$AC, "Review-1"))</f>
        <v/>
      </c>
      <c r="Z1306" s="7" t="str">
        <f>IF(ISBLANK(patch[[#This Row],[project]]), "",COUNTIFS($A:$A,patch[[#This Row],[number]],$S:$S, "BJ And dev",$AD:$AD, "&lt;&gt;IntegratorValidationComment"))</f>
        <v/>
      </c>
      <c r="AA1306" s="7" t="str">
        <f>IF(ISBLANK(patch[[#This Row],[project]]), "",COUNTIFS($A:$A,patch[[#This Row],[number]],$S:$S, "FL And dev",$AD:$AD, "&lt;&gt;IntegratorValidationComment"))</f>
        <v/>
      </c>
      <c r="AB1306" s="7" t="str">
        <f>IF(ISBLANK(patch[[#This Row],[project]]), "",COUNTIFS($A:$A,patch[[#This Row],[number]],$S:$S, "SH And dev",$AD:$AD, "&lt;&gt;IntegratorValidationComment"))</f>
        <v/>
      </c>
      <c r="AC1306" s="7" t="str">
        <f>IF(OR(ISNUMBER(FIND("Review-1", patch[[#This Row],[comments]])), ISNUMBER(FIND("Approver-1", patch[[#This Row],[comments]]))), "Review-1", "")</f>
        <v/>
      </c>
      <c r="AD13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06" s="7">
        <f>IF(ISBLANK(patch[[#This Row],[number]]),AE1305,patch[[#This Row],[ifCommon]])</f>
        <v>0</v>
      </c>
    </row>
    <row r="1307" spans="1:31">
      <c r="A1307" s="151">
        <v>144852</v>
      </c>
      <c r="B1307" s="151"/>
      <c r="C1307" s="151"/>
      <c r="D1307" s="151"/>
      <c r="E1307" s="151"/>
      <c r="F1307" s="151"/>
      <c r="G1307" s="151"/>
      <c r="H1307" s="151"/>
      <c r="I1307" s="151"/>
      <c r="J1307" s="152">
        <v>42633.709861111107</v>
      </c>
      <c r="K1307" s="151"/>
      <c r="L1307" s="151" t="s">
        <v>61</v>
      </c>
      <c r="M1307" s="152">
        <v>42626.814189814817</v>
      </c>
      <c r="N1307" s="151" t="s">
        <v>1829</v>
      </c>
      <c r="O1307" s="151"/>
      <c r="P1307" s="151"/>
      <c r="Q1307" s="7" t="str">
        <f>IF(ISBLANK(patch[[#This Row],[OwnerEmail]]),Q1306,patch[[#This Row],[OwnerEmail]])</f>
        <v>john.mathew@intel.com</v>
      </c>
      <c r="R1307" s="7" t="str">
        <f>_xlfn.IFNA(VLOOKUP(patch[[#This Row],[tmp-owner.email]],OrgTree!$A:$K, 11, 0), "not ICG SWFW")</f>
        <v>FL And dev</v>
      </c>
      <c r="S1307" s="7" t="str">
        <f>IF(patch[[#This Row],[reviewer]]=patch[[#This Row],[tmp-owner.email]], "author", _xlfn.IFNA(VLOOKUP(patch[[#This Row],[reviewer]],OrgTree!$A:$K, 11, 0), "not ICG SWFW"))</f>
        <v>author</v>
      </c>
      <c r="T1307" s="7" t="str">
        <f>IF(ISBLANK(patch[[#This Row],[mergeDate]]), "", MID(YEAR(patch[[#This Row],[mergeDate]]), 3,2)&amp;"'ww"&amp;WEEKNUM(patch[[#This Row],[mergeDate]]))</f>
        <v>16'ww39</v>
      </c>
      <c r="U1307" s="7" t="str">
        <f>IF(ISBLANK(patch[[#This Row],[mergeDate]]), U1306, MID(YEAR(patch[[#This Row],[mergeDate]]), 3,2)&amp;"'m"&amp;MONTH(patch[[#This Row],[mergeDate]]))</f>
        <v>16'm9</v>
      </c>
      <c r="V1307" s="7" t="str">
        <f>IF(ISBLANK(patch[[#This Row],[project]]), "",SUM(patch[[#This Row],[BJ -1 num]:[SH -1 num]]))</f>
        <v/>
      </c>
      <c r="W1307" s="7" t="str">
        <f>IF(ISBLANK(patch[[#This Row],[project]]), "",COUNTIFS($A:$A,patch[[#This Row],[number]],$S:$S, "BJ And dev",$AC:$AC, "Review-1"))</f>
        <v/>
      </c>
      <c r="X1307" s="7" t="str">
        <f>IF(ISBLANK(patch[[#This Row],[project]]), "",COUNTIFS($A:$A,patch[[#This Row],[number]],$S:$S, "FL And dev",$AC:$AC, "Review-1"))</f>
        <v/>
      </c>
      <c r="Y1307" s="7" t="str">
        <f>IF(ISBLANK(patch[[#This Row],[project]]), "",COUNTIFS($A:$A,patch[[#This Row],[number]],$S:$S, "SH And dev",$AC:$AC, "Review-1"))</f>
        <v/>
      </c>
      <c r="Z1307" s="7" t="str">
        <f>IF(ISBLANK(patch[[#This Row],[project]]), "",COUNTIFS($A:$A,patch[[#This Row],[number]],$S:$S, "BJ And dev",$AD:$AD, "&lt;&gt;IntegratorValidationComment"))</f>
        <v/>
      </c>
      <c r="AA1307" s="7" t="str">
        <f>IF(ISBLANK(patch[[#This Row],[project]]), "",COUNTIFS($A:$A,patch[[#This Row],[number]],$S:$S, "FL And dev",$AD:$AD, "&lt;&gt;IntegratorValidationComment"))</f>
        <v/>
      </c>
      <c r="AB1307" s="7" t="str">
        <f>IF(ISBLANK(patch[[#This Row],[project]]), "",COUNTIFS($A:$A,patch[[#This Row],[number]],$S:$S, "SH And dev",$AD:$AD, "&lt;&gt;IntegratorValidationComment"))</f>
        <v/>
      </c>
      <c r="AC1307" s="7" t="str">
        <f>IF(OR(ISNUMBER(FIND("Review-1", patch[[#This Row],[comments]])), ISNUMBER(FIND("Approver-1", patch[[#This Row],[comments]]))), "Review-1", "")</f>
        <v/>
      </c>
      <c r="AD13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07" s="7">
        <f>IF(ISBLANK(patch[[#This Row],[number]]),AE1306,patch[[#This Row],[ifCommon]])</f>
        <v>0</v>
      </c>
    </row>
    <row r="1308" spans="1:31">
      <c r="A1308" s="151">
        <v>144852</v>
      </c>
      <c r="B1308" s="151"/>
      <c r="C1308" s="151"/>
      <c r="D1308" s="151"/>
      <c r="E1308" s="151"/>
      <c r="F1308" s="151"/>
      <c r="G1308" s="151"/>
      <c r="H1308" s="151"/>
      <c r="I1308" s="151"/>
      <c r="J1308" s="152">
        <v>42633.709861111107</v>
      </c>
      <c r="K1308" s="151"/>
      <c r="L1308" s="151" t="s">
        <v>61</v>
      </c>
      <c r="M1308" s="152">
        <v>42626.815289351849</v>
      </c>
      <c r="N1308" s="151" t="s">
        <v>48</v>
      </c>
      <c r="O1308" s="151"/>
      <c r="P1308" s="151"/>
      <c r="Q1308" s="7" t="str">
        <f>IF(ISBLANK(patch[[#This Row],[OwnerEmail]]),Q1307,patch[[#This Row],[OwnerEmail]])</f>
        <v>john.mathew@intel.com</v>
      </c>
      <c r="R1308" s="7" t="str">
        <f>_xlfn.IFNA(VLOOKUP(patch[[#This Row],[tmp-owner.email]],OrgTree!$A:$K, 11, 0), "not ICG SWFW")</f>
        <v>FL And dev</v>
      </c>
      <c r="S1308" s="7" t="str">
        <f>IF(patch[[#This Row],[reviewer]]=patch[[#This Row],[tmp-owner.email]], "author", _xlfn.IFNA(VLOOKUP(patch[[#This Row],[reviewer]],OrgTree!$A:$K, 11, 0), "not ICG SWFW"))</f>
        <v>author</v>
      </c>
      <c r="T1308" s="7" t="str">
        <f>IF(ISBLANK(patch[[#This Row],[mergeDate]]), "", MID(YEAR(patch[[#This Row],[mergeDate]]), 3,2)&amp;"'ww"&amp;WEEKNUM(patch[[#This Row],[mergeDate]]))</f>
        <v>16'ww39</v>
      </c>
      <c r="U1308" s="7" t="str">
        <f>IF(ISBLANK(patch[[#This Row],[mergeDate]]), U1307, MID(YEAR(patch[[#This Row],[mergeDate]]), 3,2)&amp;"'m"&amp;MONTH(patch[[#This Row],[mergeDate]]))</f>
        <v>16'm9</v>
      </c>
      <c r="V1308" s="7" t="str">
        <f>IF(ISBLANK(patch[[#This Row],[project]]), "",SUM(patch[[#This Row],[BJ -1 num]:[SH -1 num]]))</f>
        <v/>
      </c>
      <c r="W1308" s="7" t="str">
        <f>IF(ISBLANK(patch[[#This Row],[project]]), "",COUNTIFS($A:$A,patch[[#This Row],[number]],$S:$S, "BJ And dev",$AC:$AC, "Review-1"))</f>
        <v/>
      </c>
      <c r="X1308" s="7" t="str">
        <f>IF(ISBLANK(patch[[#This Row],[project]]), "",COUNTIFS($A:$A,patch[[#This Row],[number]],$S:$S, "FL And dev",$AC:$AC, "Review-1"))</f>
        <v/>
      </c>
      <c r="Y1308" s="7" t="str">
        <f>IF(ISBLANK(patch[[#This Row],[project]]), "",COUNTIFS($A:$A,patch[[#This Row],[number]],$S:$S, "SH And dev",$AC:$AC, "Review-1"))</f>
        <v/>
      </c>
      <c r="Z1308" s="7" t="str">
        <f>IF(ISBLANK(patch[[#This Row],[project]]), "",COUNTIFS($A:$A,patch[[#This Row],[number]],$S:$S, "BJ And dev",$AD:$AD, "&lt;&gt;IntegratorValidationComment"))</f>
        <v/>
      </c>
      <c r="AA1308" s="7" t="str">
        <f>IF(ISBLANK(patch[[#This Row],[project]]), "",COUNTIFS($A:$A,patch[[#This Row],[number]],$S:$S, "FL And dev",$AD:$AD, "&lt;&gt;IntegratorValidationComment"))</f>
        <v/>
      </c>
      <c r="AB1308" s="7" t="str">
        <f>IF(ISBLANK(patch[[#This Row],[project]]), "",COUNTIFS($A:$A,patch[[#This Row],[number]],$S:$S, "SH And dev",$AD:$AD, "&lt;&gt;IntegratorValidationComment"))</f>
        <v/>
      </c>
      <c r="AC1308" s="7" t="str">
        <f>IF(OR(ISNUMBER(FIND("Review-1", patch[[#This Row],[comments]])), ISNUMBER(FIND("Approver-1", patch[[#This Row],[comments]]))), "Review-1", "")</f>
        <v/>
      </c>
      <c r="AD13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08" s="7">
        <f>IF(ISBLANK(patch[[#This Row],[number]]),AE1307,patch[[#This Row],[ifCommon]])</f>
        <v>0</v>
      </c>
    </row>
    <row r="1309" spans="1:31">
      <c r="A1309" s="151">
        <v>144852</v>
      </c>
      <c r="B1309" s="151"/>
      <c r="C1309" s="151"/>
      <c r="D1309" s="151"/>
      <c r="E1309" s="151"/>
      <c r="F1309" s="151"/>
      <c r="G1309" s="151"/>
      <c r="H1309" s="151"/>
      <c r="I1309" s="151"/>
      <c r="J1309" s="152">
        <v>42633.709861111107</v>
      </c>
      <c r="K1309" s="151"/>
      <c r="L1309" s="151" t="s">
        <v>61</v>
      </c>
      <c r="M1309" s="152">
        <v>42626.815428240741</v>
      </c>
      <c r="N1309" s="151" t="s">
        <v>2455</v>
      </c>
      <c r="O1309" s="151" t="s">
        <v>3236</v>
      </c>
      <c r="P1309" s="151"/>
      <c r="Q1309" s="7" t="str">
        <f>IF(ISBLANK(patch[[#This Row],[OwnerEmail]]),Q1308,patch[[#This Row],[OwnerEmail]])</f>
        <v>john.mathew@intel.com</v>
      </c>
      <c r="R1309" s="7" t="str">
        <f>_xlfn.IFNA(VLOOKUP(patch[[#This Row],[tmp-owner.email]],OrgTree!$A:$K, 11, 0), "not ICG SWFW")</f>
        <v>FL And dev</v>
      </c>
      <c r="S1309" s="7" t="str">
        <f>IF(patch[[#This Row],[reviewer]]=patch[[#This Row],[tmp-owner.email]], "author", _xlfn.IFNA(VLOOKUP(patch[[#This Row],[reviewer]],OrgTree!$A:$K, 11, 0), "not ICG SWFW"))</f>
        <v>author</v>
      </c>
      <c r="T1309" s="7" t="str">
        <f>IF(ISBLANK(patch[[#This Row],[mergeDate]]), "", MID(YEAR(patch[[#This Row],[mergeDate]]), 3,2)&amp;"'ww"&amp;WEEKNUM(patch[[#This Row],[mergeDate]]))</f>
        <v>16'ww39</v>
      </c>
      <c r="U1309" s="7" t="str">
        <f>IF(ISBLANK(patch[[#This Row],[mergeDate]]), U1308, MID(YEAR(patch[[#This Row],[mergeDate]]), 3,2)&amp;"'m"&amp;MONTH(patch[[#This Row],[mergeDate]]))</f>
        <v>16'm9</v>
      </c>
      <c r="V1309" s="7" t="str">
        <f>IF(ISBLANK(patch[[#This Row],[project]]), "",SUM(patch[[#This Row],[BJ -1 num]:[SH -1 num]]))</f>
        <v/>
      </c>
      <c r="W1309" s="7" t="str">
        <f>IF(ISBLANK(patch[[#This Row],[project]]), "",COUNTIFS($A:$A,patch[[#This Row],[number]],$S:$S, "BJ And dev",$AC:$AC, "Review-1"))</f>
        <v/>
      </c>
      <c r="X1309" s="7" t="str">
        <f>IF(ISBLANK(patch[[#This Row],[project]]), "",COUNTIFS($A:$A,patch[[#This Row],[number]],$S:$S, "FL And dev",$AC:$AC, "Review-1"))</f>
        <v/>
      </c>
      <c r="Y1309" s="7" t="str">
        <f>IF(ISBLANK(patch[[#This Row],[project]]), "",COUNTIFS($A:$A,patch[[#This Row],[number]],$S:$S, "SH And dev",$AC:$AC, "Review-1"))</f>
        <v/>
      </c>
      <c r="Z1309" s="7" t="str">
        <f>IF(ISBLANK(patch[[#This Row],[project]]), "",COUNTIFS($A:$A,patch[[#This Row],[number]],$S:$S, "BJ And dev",$AD:$AD, "&lt;&gt;IntegratorValidationComment"))</f>
        <v/>
      </c>
      <c r="AA1309" s="7" t="str">
        <f>IF(ISBLANK(patch[[#This Row],[project]]), "",COUNTIFS($A:$A,patch[[#This Row],[number]],$S:$S, "FL And dev",$AD:$AD, "&lt;&gt;IntegratorValidationComment"))</f>
        <v/>
      </c>
      <c r="AB1309" s="7" t="str">
        <f>IF(ISBLANK(patch[[#This Row],[project]]), "",COUNTIFS($A:$A,patch[[#This Row],[number]],$S:$S, "SH And dev",$AD:$AD, "&lt;&gt;IntegratorValidationComment"))</f>
        <v/>
      </c>
      <c r="AC1309" s="7" t="str">
        <f>IF(OR(ISNUMBER(FIND("Review-1", patch[[#This Row],[comments]])), ISNUMBER(FIND("Approver-1", patch[[#This Row],[comments]]))), "Review-1", "")</f>
        <v/>
      </c>
      <c r="AD13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09" s="7">
        <f>IF(ISBLANK(patch[[#This Row],[number]]),AE1308,patch[[#This Row],[ifCommon]])</f>
        <v>0</v>
      </c>
    </row>
    <row r="1310" spans="1:31">
      <c r="A1310" s="151">
        <v>144852</v>
      </c>
      <c r="B1310" s="151"/>
      <c r="C1310" s="151"/>
      <c r="D1310" s="151"/>
      <c r="E1310" s="151"/>
      <c r="F1310" s="151"/>
      <c r="G1310" s="151"/>
      <c r="H1310" s="151"/>
      <c r="I1310" s="151"/>
      <c r="J1310" s="152">
        <v>42633.709861111107</v>
      </c>
      <c r="K1310" s="151"/>
      <c r="L1310" s="151" t="s">
        <v>59</v>
      </c>
      <c r="M1310" s="152">
        <v>42626.821145833332</v>
      </c>
      <c r="N1310" s="151" t="s">
        <v>3237</v>
      </c>
      <c r="O1310" s="151"/>
      <c r="P1310" s="151"/>
      <c r="Q1310" s="7" t="str">
        <f>IF(ISBLANK(patch[[#This Row],[OwnerEmail]]),Q1309,patch[[#This Row],[OwnerEmail]])</f>
        <v>john.mathew@intel.com</v>
      </c>
      <c r="R1310" s="7" t="str">
        <f>_xlfn.IFNA(VLOOKUP(patch[[#This Row],[tmp-owner.email]],OrgTree!$A:$K, 11, 0), "not ICG SWFW")</f>
        <v>FL And dev</v>
      </c>
      <c r="S1310" s="7" t="str">
        <f>IF(patch[[#This Row],[reviewer]]=patch[[#This Row],[tmp-owner.email]], "author", _xlfn.IFNA(VLOOKUP(patch[[#This Row],[reviewer]],OrgTree!$A:$K, 11, 0), "not ICG SWFW"))</f>
        <v>BJ And dev</v>
      </c>
      <c r="T1310" s="7" t="str">
        <f>IF(ISBLANK(patch[[#This Row],[mergeDate]]), "", MID(YEAR(patch[[#This Row],[mergeDate]]), 3,2)&amp;"'ww"&amp;WEEKNUM(patch[[#This Row],[mergeDate]]))</f>
        <v>16'ww39</v>
      </c>
      <c r="U1310" s="7" t="str">
        <f>IF(ISBLANK(patch[[#This Row],[mergeDate]]), U1309, MID(YEAR(patch[[#This Row],[mergeDate]]), 3,2)&amp;"'m"&amp;MONTH(patch[[#This Row],[mergeDate]]))</f>
        <v>16'm9</v>
      </c>
      <c r="V1310" s="7" t="str">
        <f>IF(ISBLANK(patch[[#This Row],[project]]), "",SUM(patch[[#This Row],[BJ -1 num]:[SH -1 num]]))</f>
        <v/>
      </c>
      <c r="W1310" s="7" t="str">
        <f>IF(ISBLANK(patch[[#This Row],[project]]), "",COUNTIFS($A:$A,patch[[#This Row],[number]],$S:$S, "BJ And dev",$AC:$AC, "Review-1"))</f>
        <v/>
      </c>
      <c r="X1310" s="7" t="str">
        <f>IF(ISBLANK(patch[[#This Row],[project]]), "",COUNTIFS($A:$A,patch[[#This Row],[number]],$S:$S, "FL And dev",$AC:$AC, "Review-1"))</f>
        <v/>
      </c>
      <c r="Y1310" s="7" t="str">
        <f>IF(ISBLANK(patch[[#This Row],[project]]), "",COUNTIFS($A:$A,patch[[#This Row],[number]],$S:$S, "SH And dev",$AC:$AC, "Review-1"))</f>
        <v/>
      </c>
      <c r="Z1310" s="7" t="str">
        <f>IF(ISBLANK(patch[[#This Row],[project]]), "",COUNTIFS($A:$A,patch[[#This Row],[number]],$S:$S, "BJ And dev",$AD:$AD, "&lt;&gt;IntegratorValidationComment"))</f>
        <v/>
      </c>
      <c r="AA1310" s="7" t="str">
        <f>IF(ISBLANK(patch[[#This Row],[project]]), "",COUNTIFS($A:$A,patch[[#This Row],[number]],$S:$S, "FL And dev",$AD:$AD, "&lt;&gt;IntegratorValidationComment"))</f>
        <v/>
      </c>
      <c r="AB1310" s="7" t="str">
        <f>IF(ISBLANK(patch[[#This Row],[project]]), "",COUNTIFS($A:$A,patch[[#This Row],[number]],$S:$S, "SH And dev",$AD:$AD, "&lt;&gt;IntegratorValidationComment"))</f>
        <v/>
      </c>
      <c r="AC1310" s="7" t="str">
        <f>IF(OR(ISNUMBER(FIND("Review-1", patch[[#This Row],[comments]])), ISNUMBER(FIND("Approver-1", patch[[#This Row],[comments]]))), "Review-1", "")</f>
        <v/>
      </c>
      <c r="AD13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10" s="7">
        <f>IF(ISBLANK(patch[[#This Row],[number]]),AE1309,patch[[#This Row],[ifCommon]])</f>
        <v>0</v>
      </c>
    </row>
    <row r="1311" spans="1:31">
      <c r="A1311" s="151">
        <v>144852</v>
      </c>
      <c r="B1311" s="151"/>
      <c r="C1311" s="151"/>
      <c r="D1311" s="151"/>
      <c r="E1311" s="151"/>
      <c r="F1311" s="151"/>
      <c r="G1311" s="151"/>
      <c r="H1311" s="151"/>
      <c r="I1311" s="151"/>
      <c r="J1311" s="152">
        <v>42633.709861111107</v>
      </c>
      <c r="K1311" s="151"/>
      <c r="L1311" s="151" t="s">
        <v>59</v>
      </c>
      <c r="M1311" s="152">
        <v>42626.823807870373</v>
      </c>
      <c r="N1311" s="151" t="s">
        <v>3238</v>
      </c>
      <c r="O1311" s="151"/>
      <c r="P1311" s="151"/>
      <c r="Q1311" s="7" t="str">
        <f>IF(ISBLANK(patch[[#This Row],[OwnerEmail]]),Q1310,patch[[#This Row],[OwnerEmail]])</f>
        <v>john.mathew@intel.com</v>
      </c>
      <c r="R1311" s="7" t="str">
        <f>_xlfn.IFNA(VLOOKUP(patch[[#This Row],[tmp-owner.email]],OrgTree!$A:$K, 11, 0), "not ICG SWFW")</f>
        <v>FL And dev</v>
      </c>
      <c r="S1311" s="7" t="str">
        <f>IF(patch[[#This Row],[reviewer]]=patch[[#This Row],[tmp-owner.email]], "author", _xlfn.IFNA(VLOOKUP(patch[[#This Row],[reviewer]],OrgTree!$A:$K, 11, 0), "not ICG SWFW"))</f>
        <v>BJ And dev</v>
      </c>
      <c r="T1311" s="7" t="str">
        <f>IF(ISBLANK(patch[[#This Row],[mergeDate]]), "", MID(YEAR(patch[[#This Row],[mergeDate]]), 3,2)&amp;"'ww"&amp;WEEKNUM(patch[[#This Row],[mergeDate]]))</f>
        <v>16'ww39</v>
      </c>
      <c r="U1311" s="7" t="str">
        <f>IF(ISBLANK(patch[[#This Row],[mergeDate]]), U1310, MID(YEAR(patch[[#This Row],[mergeDate]]), 3,2)&amp;"'m"&amp;MONTH(patch[[#This Row],[mergeDate]]))</f>
        <v>16'm9</v>
      </c>
      <c r="V1311" s="7" t="str">
        <f>IF(ISBLANK(patch[[#This Row],[project]]), "",SUM(patch[[#This Row],[BJ -1 num]:[SH -1 num]]))</f>
        <v/>
      </c>
      <c r="W1311" s="7" t="str">
        <f>IF(ISBLANK(patch[[#This Row],[project]]), "",COUNTIFS($A:$A,patch[[#This Row],[number]],$S:$S, "BJ And dev",$AC:$AC, "Review-1"))</f>
        <v/>
      </c>
      <c r="X1311" s="7" t="str">
        <f>IF(ISBLANK(patch[[#This Row],[project]]), "",COUNTIFS($A:$A,patch[[#This Row],[number]],$S:$S, "FL And dev",$AC:$AC, "Review-1"))</f>
        <v/>
      </c>
      <c r="Y1311" s="7" t="str">
        <f>IF(ISBLANK(patch[[#This Row],[project]]), "",COUNTIFS($A:$A,patch[[#This Row],[number]],$S:$S, "SH And dev",$AC:$AC, "Review-1"))</f>
        <v/>
      </c>
      <c r="Z1311" s="7" t="str">
        <f>IF(ISBLANK(patch[[#This Row],[project]]), "",COUNTIFS($A:$A,patch[[#This Row],[number]],$S:$S, "BJ And dev",$AD:$AD, "&lt;&gt;IntegratorValidationComment"))</f>
        <v/>
      </c>
      <c r="AA1311" s="7" t="str">
        <f>IF(ISBLANK(patch[[#This Row],[project]]), "",COUNTIFS($A:$A,patch[[#This Row],[number]],$S:$S, "FL And dev",$AD:$AD, "&lt;&gt;IntegratorValidationComment"))</f>
        <v/>
      </c>
      <c r="AB1311" s="7" t="str">
        <f>IF(ISBLANK(patch[[#This Row],[project]]), "",COUNTIFS($A:$A,patch[[#This Row],[number]],$S:$S, "SH And dev",$AD:$AD, "&lt;&gt;IntegratorValidationComment"))</f>
        <v/>
      </c>
      <c r="AC1311" s="7" t="str">
        <f>IF(OR(ISNUMBER(FIND("Review-1", patch[[#This Row],[comments]])), ISNUMBER(FIND("Approver-1", patch[[#This Row],[comments]]))), "Review-1", "")</f>
        <v/>
      </c>
      <c r="AD13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11" s="7">
        <f>IF(ISBLANK(patch[[#This Row],[number]]),AE1310,patch[[#This Row],[ifCommon]])</f>
        <v>0</v>
      </c>
    </row>
    <row r="1312" spans="1:31">
      <c r="A1312" s="151">
        <v>144852</v>
      </c>
      <c r="B1312" s="151"/>
      <c r="C1312" s="151"/>
      <c r="D1312" s="151"/>
      <c r="E1312" s="151"/>
      <c r="F1312" s="151"/>
      <c r="G1312" s="151"/>
      <c r="H1312" s="151"/>
      <c r="I1312" s="151"/>
      <c r="J1312" s="152">
        <v>42633.709861111107</v>
      </c>
      <c r="K1312" s="151"/>
      <c r="L1312" s="151" t="s">
        <v>32</v>
      </c>
      <c r="M1312" s="152">
        <v>42626.990046296298</v>
      </c>
      <c r="N1312" s="151" t="s">
        <v>2485</v>
      </c>
      <c r="O1312" s="151" t="s">
        <v>3239</v>
      </c>
      <c r="P1312" s="151"/>
      <c r="Q1312" s="7" t="str">
        <f>IF(ISBLANK(patch[[#This Row],[OwnerEmail]]),Q1311,patch[[#This Row],[OwnerEmail]])</f>
        <v>john.mathew@intel.com</v>
      </c>
      <c r="R1312" s="7" t="str">
        <f>_xlfn.IFNA(VLOOKUP(patch[[#This Row],[tmp-owner.email]],OrgTree!$A:$K, 11, 0), "not ICG SWFW")</f>
        <v>FL And dev</v>
      </c>
      <c r="S1312" s="7" t="str">
        <f>IF(patch[[#This Row],[reviewer]]=patch[[#This Row],[tmp-owner.email]], "author", _xlfn.IFNA(VLOOKUP(patch[[#This Row],[reviewer]],OrgTree!$A:$K, 11, 0), "not ICG SWFW"))</f>
        <v>BJ And dev</v>
      </c>
      <c r="T1312" s="7" t="str">
        <f>IF(ISBLANK(patch[[#This Row],[mergeDate]]), "", MID(YEAR(patch[[#This Row],[mergeDate]]), 3,2)&amp;"'ww"&amp;WEEKNUM(patch[[#This Row],[mergeDate]]))</f>
        <v>16'ww39</v>
      </c>
      <c r="U1312" s="7" t="str">
        <f>IF(ISBLANK(patch[[#This Row],[mergeDate]]), U1311, MID(YEAR(patch[[#This Row],[mergeDate]]), 3,2)&amp;"'m"&amp;MONTH(patch[[#This Row],[mergeDate]]))</f>
        <v>16'm9</v>
      </c>
      <c r="V1312" s="7" t="str">
        <f>IF(ISBLANK(patch[[#This Row],[project]]), "",SUM(patch[[#This Row],[BJ -1 num]:[SH -1 num]]))</f>
        <v/>
      </c>
      <c r="W1312" s="7" t="str">
        <f>IF(ISBLANK(patch[[#This Row],[project]]), "",COUNTIFS($A:$A,patch[[#This Row],[number]],$S:$S, "BJ And dev",$AC:$AC, "Review-1"))</f>
        <v/>
      </c>
      <c r="X1312" s="7" t="str">
        <f>IF(ISBLANK(patch[[#This Row],[project]]), "",COUNTIFS($A:$A,patch[[#This Row],[number]],$S:$S, "FL And dev",$AC:$AC, "Review-1"))</f>
        <v/>
      </c>
      <c r="Y1312" s="7" t="str">
        <f>IF(ISBLANK(patch[[#This Row],[project]]), "",COUNTIFS($A:$A,patch[[#This Row],[number]],$S:$S, "SH And dev",$AC:$AC, "Review-1"))</f>
        <v/>
      </c>
      <c r="Z1312" s="7" t="str">
        <f>IF(ISBLANK(patch[[#This Row],[project]]), "",COUNTIFS($A:$A,patch[[#This Row],[number]],$S:$S, "BJ And dev",$AD:$AD, "&lt;&gt;IntegratorValidationComment"))</f>
        <v/>
      </c>
      <c r="AA1312" s="7" t="str">
        <f>IF(ISBLANK(patch[[#This Row],[project]]), "",COUNTIFS($A:$A,patch[[#This Row],[number]],$S:$S, "FL And dev",$AD:$AD, "&lt;&gt;IntegratorValidationComment"))</f>
        <v/>
      </c>
      <c r="AB1312" s="7" t="str">
        <f>IF(ISBLANK(patch[[#This Row],[project]]), "",COUNTIFS($A:$A,patch[[#This Row],[number]],$S:$S, "SH And dev",$AD:$AD, "&lt;&gt;IntegratorValidationComment"))</f>
        <v/>
      </c>
      <c r="AC1312" s="7" t="str">
        <f>IF(OR(ISNUMBER(FIND("Review-1", patch[[#This Row],[comments]])), ISNUMBER(FIND("Approver-1", patch[[#This Row],[comments]]))), "Review-1", "")</f>
        <v>Review-1</v>
      </c>
      <c r="AD13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12" s="7">
        <f>IF(ISBLANK(patch[[#This Row],[number]]),AE1311,patch[[#This Row],[ifCommon]])</f>
        <v>0</v>
      </c>
    </row>
    <row r="1313" spans="1:31">
      <c r="A1313" s="151">
        <v>144852</v>
      </c>
      <c r="B1313" s="151"/>
      <c r="C1313" s="151"/>
      <c r="D1313" s="151"/>
      <c r="E1313" s="151"/>
      <c r="F1313" s="151"/>
      <c r="G1313" s="151"/>
      <c r="H1313" s="151"/>
      <c r="I1313" s="151"/>
      <c r="J1313" s="152">
        <v>42633.709861111107</v>
      </c>
      <c r="K1313" s="151"/>
      <c r="L1313" s="151" t="s">
        <v>61</v>
      </c>
      <c r="M1313" s="152">
        <v>42627.607546296298</v>
      </c>
      <c r="N1313" s="151" t="s">
        <v>49</v>
      </c>
      <c r="O1313" s="151"/>
      <c r="P1313" s="151"/>
      <c r="Q1313" s="7" t="str">
        <f>IF(ISBLANK(patch[[#This Row],[OwnerEmail]]),Q1312,patch[[#This Row],[OwnerEmail]])</f>
        <v>john.mathew@intel.com</v>
      </c>
      <c r="R1313" s="7" t="str">
        <f>_xlfn.IFNA(VLOOKUP(patch[[#This Row],[tmp-owner.email]],OrgTree!$A:$K, 11, 0), "not ICG SWFW")</f>
        <v>FL And dev</v>
      </c>
      <c r="S1313" s="7" t="str">
        <f>IF(patch[[#This Row],[reviewer]]=patch[[#This Row],[tmp-owner.email]], "author", _xlfn.IFNA(VLOOKUP(patch[[#This Row],[reviewer]],OrgTree!$A:$K, 11, 0), "not ICG SWFW"))</f>
        <v>author</v>
      </c>
      <c r="T1313" s="7" t="str">
        <f>IF(ISBLANK(patch[[#This Row],[mergeDate]]), "", MID(YEAR(patch[[#This Row],[mergeDate]]), 3,2)&amp;"'ww"&amp;WEEKNUM(patch[[#This Row],[mergeDate]]))</f>
        <v>16'ww39</v>
      </c>
      <c r="U1313" s="7" t="str">
        <f>IF(ISBLANK(patch[[#This Row],[mergeDate]]), U1312, MID(YEAR(patch[[#This Row],[mergeDate]]), 3,2)&amp;"'m"&amp;MONTH(patch[[#This Row],[mergeDate]]))</f>
        <v>16'm9</v>
      </c>
      <c r="V1313" s="7" t="str">
        <f>IF(ISBLANK(patch[[#This Row],[project]]), "",SUM(patch[[#This Row],[BJ -1 num]:[SH -1 num]]))</f>
        <v/>
      </c>
      <c r="W1313" s="7" t="str">
        <f>IF(ISBLANK(patch[[#This Row],[project]]), "",COUNTIFS($A:$A,patch[[#This Row],[number]],$S:$S, "BJ And dev",$AC:$AC, "Review-1"))</f>
        <v/>
      </c>
      <c r="X1313" s="7" t="str">
        <f>IF(ISBLANK(patch[[#This Row],[project]]), "",COUNTIFS($A:$A,patch[[#This Row],[number]],$S:$S, "FL And dev",$AC:$AC, "Review-1"))</f>
        <v/>
      </c>
      <c r="Y1313" s="7" t="str">
        <f>IF(ISBLANK(patch[[#This Row],[project]]), "",COUNTIFS($A:$A,patch[[#This Row],[number]],$S:$S, "SH And dev",$AC:$AC, "Review-1"))</f>
        <v/>
      </c>
      <c r="Z1313" s="7" t="str">
        <f>IF(ISBLANK(patch[[#This Row],[project]]), "",COUNTIFS($A:$A,patch[[#This Row],[number]],$S:$S, "BJ And dev",$AD:$AD, "&lt;&gt;IntegratorValidationComment"))</f>
        <v/>
      </c>
      <c r="AA1313" s="7" t="str">
        <f>IF(ISBLANK(patch[[#This Row],[project]]), "",COUNTIFS($A:$A,patch[[#This Row],[number]],$S:$S, "FL And dev",$AD:$AD, "&lt;&gt;IntegratorValidationComment"))</f>
        <v/>
      </c>
      <c r="AB1313" s="7" t="str">
        <f>IF(ISBLANK(patch[[#This Row],[project]]), "",COUNTIFS($A:$A,patch[[#This Row],[number]],$S:$S, "SH And dev",$AD:$AD, "&lt;&gt;IntegratorValidationComment"))</f>
        <v/>
      </c>
      <c r="AC1313" s="7" t="str">
        <f>IF(OR(ISNUMBER(FIND("Review-1", patch[[#This Row],[comments]])), ISNUMBER(FIND("Approver-1", patch[[#This Row],[comments]]))), "Review-1", "")</f>
        <v/>
      </c>
      <c r="AD13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13" s="7">
        <f>IF(ISBLANK(patch[[#This Row],[number]]),AE1312,patch[[#This Row],[ifCommon]])</f>
        <v>0</v>
      </c>
    </row>
    <row r="1314" spans="1:31">
      <c r="A1314" s="151">
        <v>144852</v>
      </c>
      <c r="B1314" s="151"/>
      <c r="C1314" s="151"/>
      <c r="D1314" s="151"/>
      <c r="E1314" s="151"/>
      <c r="F1314" s="151"/>
      <c r="G1314" s="151"/>
      <c r="H1314" s="151"/>
      <c r="I1314" s="151"/>
      <c r="J1314" s="152">
        <v>42633.709861111107</v>
      </c>
      <c r="K1314" s="151"/>
      <c r="L1314" s="151" t="s">
        <v>61</v>
      </c>
      <c r="M1314" s="152">
        <v>42627.607546296298</v>
      </c>
      <c r="N1314" s="151" t="s">
        <v>2451</v>
      </c>
      <c r="O1314" s="151"/>
      <c r="P1314" s="151"/>
      <c r="Q1314" s="7" t="str">
        <f>IF(ISBLANK(patch[[#This Row],[OwnerEmail]]),Q1313,patch[[#This Row],[OwnerEmail]])</f>
        <v>john.mathew@intel.com</v>
      </c>
      <c r="R1314" s="7" t="str">
        <f>_xlfn.IFNA(VLOOKUP(patch[[#This Row],[tmp-owner.email]],OrgTree!$A:$K, 11, 0), "not ICG SWFW")</f>
        <v>FL And dev</v>
      </c>
      <c r="S1314" s="7" t="str">
        <f>IF(patch[[#This Row],[reviewer]]=patch[[#This Row],[tmp-owner.email]], "author", _xlfn.IFNA(VLOOKUP(patch[[#This Row],[reviewer]],OrgTree!$A:$K, 11, 0), "not ICG SWFW"))</f>
        <v>author</v>
      </c>
      <c r="T1314" s="7" t="str">
        <f>IF(ISBLANK(patch[[#This Row],[mergeDate]]), "", MID(YEAR(patch[[#This Row],[mergeDate]]), 3,2)&amp;"'ww"&amp;WEEKNUM(patch[[#This Row],[mergeDate]]))</f>
        <v>16'ww39</v>
      </c>
      <c r="U1314" s="7" t="str">
        <f>IF(ISBLANK(patch[[#This Row],[mergeDate]]), U1313, MID(YEAR(patch[[#This Row],[mergeDate]]), 3,2)&amp;"'m"&amp;MONTH(patch[[#This Row],[mergeDate]]))</f>
        <v>16'm9</v>
      </c>
      <c r="V1314" s="7" t="str">
        <f>IF(ISBLANK(patch[[#This Row],[project]]), "",SUM(patch[[#This Row],[BJ -1 num]:[SH -1 num]]))</f>
        <v/>
      </c>
      <c r="W1314" s="7" t="str">
        <f>IF(ISBLANK(patch[[#This Row],[project]]), "",COUNTIFS($A:$A,patch[[#This Row],[number]],$S:$S, "BJ And dev",$AC:$AC, "Review-1"))</f>
        <v/>
      </c>
      <c r="X1314" s="7" t="str">
        <f>IF(ISBLANK(patch[[#This Row],[project]]), "",COUNTIFS($A:$A,patch[[#This Row],[number]],$S:$S, "FL And dev",$AC:$AC, "Review-1"))</f>
        <v/>
      </c>
      <c r="Y1314" s="7" t="str">
        <f>IF(ISBLANK(patch[[#This Row],[project]]), "",COUNTIFS($A:$A,patch[[#This Row],[number]],$S:$S, "SH And dev",$AC:$AC, "Review-1"))</f>
        <v/>
      </c>
      <c r="Z1314" s="7" t="str">
        <f>IF(ISBLANK(patch[[#This Row],[project]]), "",COUNTIFS($A:$A,patch[[#This Row],[number]],$S:$S, "BJ And dev",$AD:$AD, "&lt;&gt;IntegratorValidationComment"))</f>
        <v/>
      </c>
      <c r="AA1314" s="7" t="str">
        <f>IF(ISBLANK(patch[[#This Row],[project]]), "",COUNTIFS($A:$A,patch[[#This Row],[number]],$S:$S, "FL And dev",$AD:$AD, "&lt;&gt;IntegratorValidationComment"))</f>
        <v/>
      </c>
      <c r="AB1314" s="7" t="str">
        <f>IF(ISBLANK(patch[[#This Row],[project]]), "",COUNTIFS($A:$A,patch[[#This Row],[number]],$S:$S, "SH And dev",$AD:$AD, "&lt;&gt;IntegratorValidationComment"))</f>
        <v/>
      </c>
      <c r="AC1314" s="7" t="str">
        <f>IF(OR(ISNUMBER(FIND("Review-1", patch[[#This Row],[comments]])), ISNUMBER(FIND("Approver-1", patch[[#This Row],[comments]]))), "Review-1", "")</f>
        <v/>
      </c>
      <c r="AD13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14" s="7">
        <f>IF(ISBLANK(patch[[#This Row],[number]]),AE1313,patch[[#This Row],[ifCommon]])</f>
        <v>0</v>
      </c>
    </row>
    <row r="1315" spans="1:31">
      <c r="A1315" s="151">
        <v>144852</v>
      </c>
      <c r="B1315" s="151"/>
      <c r="C1315" s="151"/>
      <c r="D1315" s="151"/>
      <c r="E1315" s="151"/>
      <c r="F1315" s="151"/>
      <c r="G1315" s="151"/>
      <c r="H1315" s="151"/>
      <c r="I1315" s="151"/>
      <c r="J1315" s="152">
        <v>42633.709861111107</v>
      </c>
      <c r="K1315" s="151"/>
      <c r="L1315" s="151" t="s">
        <v>61</v>
      </c>
      <c r="M1315" s="152">
        <v>42627.610023148147</v>
      </c>
      <c r="N1315" s="151" t="s">
        <v>1855</v>
      </c>
      <c r="O1315" s="151"/>
      <c r="P1315" s="151"/>
      <c r="Q1315" s="7" t="str">
        <f>IF(ISBLANK(patch[[#This Row],[OwnerEmail]]),Q1314,patch[[#This Row],[OwnerEmail]])</f>
        <v>john.mathew@intel.com</v>
      </c>
      <c r="R1315" s="7" t="str">
        <f>_xlfn.IFNA(VLOOKUP(patch[[#This Row],[tmp-owner.email]],OrgTree!$A:$K, 11, 0), "not ICG SWFW")</f>
        <v>FL And dev</v>
      </c>
      <c r="S1315" s="7" t="str">
        <f>IF(patch[[#This Row],[reviewer]]=patch[[#This Row],[tmp-owner.email]], "author", _xlfn.IFNA(VLOOKUP(patch[[#This Row],[reviewer]],OrgTree!$A:$K, 11, 0), "not ICG SWFW"))</f>
        <v>author</v>
      </c>
      <c r="T1315" s="7" t="str">
        <f>IF(ISBLANK(patch[[#This Row],[mergeDate]]), "", MID(YEAR(patch[[#This Row],[mergeDate]]), 3,2)&amp;"'ww"&amp;WEEKNUM(patch[[#This Row],[mergeDate]]))</f>
        <v>16'ww39</v>
      </c>
      <c r="U1315" s="7" t="str">
        <f>IF(ISBLANK(patch[[#This Row],[mergeDate]]), U1314, MID(YEAR(patch[[#This Row],[mergeDate]]), 3,2)&amp;"'m"&amp;MONTH(patch[[#This Row],[mergeDate]]))</f>
        <v>16'm9</v>
      </c>
      <c r="V1315" s="7" t="str">
        <f>IF(ISBLANK(patch[[#This Row],[project]]), "",SUM(patch[[#This Row],[BJ -1 num]:[SH -1 num]]))</f>
        <v/>
      </c>
      <c r="W1315" s="7" t="str">
        <f>IF(ISBLANK(patch[[#This Row],[project]]), "",COUNTIFS($A:$A,patch[[#This Row],[number]],$S:$S, "BJ And dev",$AC:$AC, "Review-1"))</f>
        <v/>
      </c>
      <c r="X1315" s="7" t="str">
        <f>IF(ISBLANK(patch[[#This Row],[project]]), "",COUNTIFS($A:$A,patch[[#This Row],[number]],$S:$S, "FL And dev",$AC:$AC, "Review-1"))</f>
        <v/>
      </c>
      <c r="Y1315" s="7" t="str">
        <f>IF(ISBLANK(patch[[#This Row],[project]]), "",COUNTIFS($A:$A,patch[[#This Row],[number]],$S:$S, "SH And dev",$AC:$AC, "Review-1"))</f>
        <v/>
      </c>
      <c r="Z1315" s="7" t="str">
        <f>IF(ISBLANK(patch[[#This Row],[project]]), "",COUNTIFS($A:$A,patch[[#This Row],[number]],$S:$S, "BJ And dev",$AD:$AD, "&lt;&gt;IntegratorValidationComment"))</f>
        <v/>
      </c>
      <c r="AA1315" s="7" t="str">
        <f>IF(ISBLANK(patch[[#This Row],[project]]), "",COUNTIFS($A:$A,patch[[#This Row],[number]],$S:$S, "FL And dev",$AD:$AD, "&lt;&gt;IntegratorValidationComment"))</f>
        <v/>
      </c>
      <c r="AB1315" s="7" t="str">
        <f>IF(ISBLANK(patch[[#This Row],[project]]), "",COUNTIFS($A:$A,patch[[#This Row],[number]],$S:$S, "SH And dev",$AD:$AD, "&lt;&gt;IntegratorValidationComment"))</f>
        <v/>
      </c>
      <c r="AC1315" s="7" t="str">
        <f>IF(OR(ISNUMBER(FIND("Review-1", patch[[#This Row],[comments]])), ISNUMBER(FIND("Approver-1", patch[[#This Row],[comments]]))), "Review-1", "")</f>
        <v/>
      </c>
      <c r="AD13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15" s="7">
        <f>IF(ISBLANK(patch[[#This Row],[number]]),AE1314,patch[[#This Row],[ifCommon]])</f>
        <v>0</v>
      </c>
    </row>
    <row r="1316" spans="1:31">
      <c r="A1316" s="151">
        <v>144852</v>
      </c>
      <c r="B1316" s="151"/>
      <c r="C1316" s="151"/>
      <c r="D1316" s="151"/>
      <c r="E1316" s="151"/>
      <c r="F1316" s="151"/>
      <c r="G1316" s="151"/>
      <c r="H1316" s="151"/>
      <c r="I1316" s="151"/>
      <c r="J1316" s="152">
        <v>42633.709861111107</v>
      </c>
      <c r="K1316" s="151"/>
      <c r="L1316" s="151" t="s">
        <v>61</v>
      </c>
      <c r="M1316" s="152">
        <v>42627.610023148147</v>
      </c>
      <c r="N1316" s="151" t="s">
        <v>2453</v>
      </c>
      <c r="O1316" s="151"/>
      <c r="P1316" s="151"/>
      <c r="Q1316" s="7" t="str">
        <f>IF(ISBLANK(patch[[#This Row],[OwnerEmail]]),Q1315,patch[[#This Row],[OwnerEmail]])</f>
        <v>john.mathew@intel.com</v>
      </c>
      <c r="R1316" s="7" t="str">
        <f>_xlfn.IFNA(VLOOKUP(patch[[#This Row],[tmp-owner.email]],OrgTree!$A:$K, 11, 0), "not ICG SWFW")</f>
        <v>FL And dev</v>
      </c>
      <c r="S1316" s="7" t="str">
        <f>IF(patch[[#This Row],[reviewer]]=patch[[#This Row],[tmp-owner.email]], "author", _xlfn.IFNA(VLOOKUP(patch[[#This Row],[reviewer]],OrgTree!$A:$K, 11, 0), "not ICG SWFW"))</f>
        <v>author</v>
      </c>
      <c r="T1316" s="7" t="str">
        <f>IF(ISBLANK(patch[[#This Row],[mergeDate]]), "", MID(YEAR(patch[[#This Row],[mergeDate]]), 3,2)&amp;"'ww"&amp;WEEKNUM(patch[[#This Row],[mergeDate]]))</f>
        <v>16'ww39</v>
      </c>
      <c r="U1316" s="7" t="str">
        <f>IF(ISBLANK(patch[[#This Row],[mergeDate]]), U1315, MID(YEAR(patch[[#This Row],[mergeDate]]), 3,2)&amp;"'m"&amp;MONTH(patch[[#This Row],[mergeDate]]))</f>
        <v>16'm9</v>
      </c>
      <c r="V1316" s="7" t="str">
        <f>IF(ISBLANK(patch[[#This Row],[project]]), "",SUM(patch[[#This Row],[BJ -1 num]:[SH -1 num]]))</f>
        <v/>
      </c>
      <c r="W1316" s="7" t="str">
        <f>IF(ISBLANK(patch[[#This Row],[project]]), "",COUNTIFS($A:$A,patch[[#This Row],[number]],$S:$S, "BJ And dev",$AC:$AC, "Review-1"))</f>
        <v/>
      </c>
      <c r="X1316" s="7" t="str">
        <f>IF(ISBLANK(patch[[#This Row],[project]]), "",COUNTIFS($A:$A,patch[[#This Row],[number]],$S:$S, "FL And dev",$AC:$AC, "Review-1"))</f>
        <v/>
      </c>
      <c r="Y1316" s="7" t="str">
        <f>IF(ISBLANK(patch[[#This Row],[project]]), "",COUNTIFS($A:$A,patch[[#This Row],[number]],$S:$S, "SH And dev",$AC:$AC, "Review-1"))</f>
        <v/>
      </c>
      <c r="Z1316" s="7" t="str">
        <f>IF(ISBLANK(patch[[#This Row],[project]]), "",COUNTIFS($A:$A,patch[[#This Row],[number]],$S:$S, "BJ And dev",$AD:$AD, "&lt;&gt;IntegratorValidationComment"))</f>
        <v/>
      </c>
      <c r="AA1316" s="7" t="str">
        <f>IF(ISBLANK(patch[[#This Row],[project]]), "",COUNTIFS($A:$A,patch[[#This Row],[number]],$S:$S, "FL And dev",$AD:$AD, "&lt;&gt;IntegratorValidationComment"))</f>
        <v/>
      </c>
      <c r="AB1316" s="7" t="str">
        <f>IF(ISBLANK(patch[[#This Row],[project]]), "",COUNTIFS($A:$A,patch[[#This Row],[number]],$S:$S, "SH And dev",$AD:$AD, "&lt;&gt;IntegratorValidationComment"))</f>
        <v/>
      </c>
      <c r="AC1316" s="7" t="str">
        <f>IF(OR(ISNUMBER(FIND("Review-1", patch[[#This Row],[comments]])), ISNUMBER(FIND("Approver-1", patch[[#This Row],[comments]]))), "Review-1", "")</f>
        <v/>
      </c>
      <c r="AD13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16" s="7">
        <f>IF(ISBLANK(patch[[#This Row],[number]]),AE1315,patch[[#This Row],[ifCommon]])</f>
        <v>0</v>
      </c>
    </row>
    <row r="1317" spans="1:31">
      <c r="A1317" s="151">
        <v>144852</v>
      </c>
      <c r="B1317" s="151"/>
      <c r="C1317" s="151"/>
      <c r="D1317" s="151"/>
      <c r="E1317" s="151"/>
      <c r="F1317" s="151"/>
      <c r="G1317" s="151"/>
      <c r="H1317" s="151"/>
      <c r="I1317" s="151"/>
      <c r="J1317" s="152">
        <v>42633.709861111107</v>
      </c>
      <c r="K1317" s="151"/>
      <c r="L1317" s="151" t="s">
        <v>61</v>
      </c>
      <c r="M1317" s="152">
        <v>42627.610219907408</v>
      </c>
      <c r="N1317" s="151" t="s">
        <v>1853</v>
      </c>
      <c r="O1317" s="151"/>
      <c r="P1317" s="151"/>
      <c r="Q1317" s="7" t="str">
        <f>IF(ISBLANK(patch[[#This Row],[OwnerEmail]]),Q1316,patch[[#This Row],[OwnerEmail]])</f>
        <v>john.mathew@intel.com</v>
      </c>
      <c r="R1317" s="7" t="str">
        <f>_xlfn.IFNA(VLOOKUP(patch[[#This Row],[tmp-owner.email]],OrgTree!$A:$K, 11, 0), "not ICG SWFW")</f>
        <v>FL And dev</v>
      </c>
      <c r="S1317" s="7" t="str">
        <f>IF(patch[[#This Row],[reviewer]]=patch[[#This Row],[tmp-owner.email]], "author", _xlfn.IFNA(VLOOKUP(patch[[#This Row],[reviewer]],OrgTree!$A:$K, 11, 0), "not ICG SWFW"))</f>
        <v>author</v>
      </c>
      <c r="T1317" s="7" t="str">
        <f>IF(ISBLANK(patch[[#This Row],[mergeDate]]), "", MID(YEAR(patch[[#This Row],[mergeDate]]), 3,2)&amp;"'ww"&amp;WEEKNUM(patch[[#This Row],[mergeDate]]))</f>
        <v>16'ww39</v>
      </c>
      <c r="U1317" s="7" t="str">
        <f>IF(ISBLANK(patch[[#This Row],[mergeDate]]), U1316, MID(YEAR(patch[[#This Row],[mergeDate]]), 3,2)&amp;"'m"&amp;MONTH(patch[[#This Row],[mergeDate]]))</f>
        <v>16'm9</v>
      </c>
      <c r="V1317" s="7" t="str">
        <f>IF(ISBLANK(patch[[#This Row],[project]]), "",SUM(patch[[#This Row],[BJ -1 num]:[SH -1 num]]))</f>
        <v/>
      </c>
      <c r="W1317" s="7" t="str">
        <f>IF(ISBLANK(patch[[#This Row],[project]]), "",COUNTIFS($A:$A,patch[[#This Row],[number]],$S:$S, "BJ And dev",$AC:$AC, "Review-1"))</f>
        <v/>
      </c>
      <c r="X1317" s="7" t="str">
        <f>IF(ISBLANK(patch[[#This Row],[project]]), "",COUNTIFS($A:$A,patch[[#This Row],[number]],$S:$S, "FL And dev",$AC:$AC, "Review-1"))</f>
        <v/>
      </c>
      <c r="Y1317" s="7" t="str">
        <f>IF(ISBLANK(patch[[#This Row],[project]]), "",COUNTIFS($A:$A,patch[[#This Row],[number]],$S:$S, "SH And dev",$AC:$AC, "Review-1"))</f>
        <v/>
      </c>
      <c r="Z1317" s="7" t="str">
        <f>IF(ISBLANK(patch[[#This Row],[project]]), "",COUNTIFS($A:$A,patch[[#This Row],[number]],$S:$S, "BJ And dev",$AD:$AD, "&lt;&gt;IntegratorValidationComment"))</f>
        <v/>
      </c>
      <c r="AA1317" s="7" t="str">
        <f>IF(ISBLANK(patch[[#This Row],[project]]), "",COUNTIFS($A:$A,patch[[#This Row],[number]],$S:$S, "FL And dev",$AD:$AD, "&lt;&gt;IntegratorValidationComment"))</f>
        <v/>
      </c>
      <c r="AB1317" s="7" t="str">
        <f>IF(ISBLANK(patch[[#This Row],[project]]), "",COUNTIFS($A:$A,patch[[#This Row],[number]],$S:$S, "SH And dev",$AD:$AD, "&lt;&gt;IntegratorValidationComment"))</f>
        <v/>
      </c>
      <c r="AC1317" s="7" t="str">
        <f>IF(OR(ISNUMBER(FIND("Review-1", patch[[#This Row],[comments]])), ISNUMBER(FIND("Approver-1", patch[[#This Row],[comments]]))), "Review-1", "")</f>
        <v/>
      </c>
      <c r="AD13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17" s="7">
        <f>IF(ISBLANK(patch[[#This Row],[number]]),AE1316,patch[[#This Row],[ifCommon]])</f>
        <v>0</v>
      </c>
    </row>
    <row r="1318" spans="1:31">
      <c r="A1318" s="151">
        <v>144852</v>
      </c>
      <c r="B1318" s="151"/>
      <c r="C1318" s="151"/>
      <c r="D1318" s="151"/>
      <c r="E1318" s="151"/>
      <c r="F1318" s="151"/>
      <c r="G1318" s="151"/>
      <c r="H1318" s="151"/>
      <c r="I1318" s="151"/>
      <c r="J1318" s="152">
        <v>42633.709861111107</v>
      </c>
      <c r="K1318" s="151"/>
      <c r="L1318" s="151" t="s">
        <v>59</v>
      </c>
      <c r="M1318" s="152">
        <v>42627.613310185188</v>
      </c>
      <c r="N1318" s="151" t="s">
        <v>3240</v>
      </c>
      <c r="O1318" s="151"/>
      <c r="P1318" s="151"/>
      <c r="Q1318" s="7" t="str">
        <f>IF(ISBLANK(patch[[#This Row],[OwnerEmail]]),Q1317,patch[[#This Row],[OwnerEmail]])</f>
        <v>john.mathew@intel.com</v>
      </c>
      <c r="R1318" s="7" t="str">
        <f>_xlfn.IFNA(VLOOKUP(patch[[#This Row],[tmp-owner.email]],OrgTree!$A:$K, 11, 0), "not ICG SWFW")</f>
        <v>FL And dev</v>
      </c>
      <c r="S1318" s="7" t="str">
        <f>IF(patch[[#This Row],[reviewer]]=patch[[#This Row],[tmp-owner.email]], "author", _xlfn.IFNA(VLOOKUP(patch[[#This Row],[reviewer]],OrgTree!$A:$K, 11, 0), "not ICG SWFW"))</f>
        <v>BJ And dev</v>
      </c>
      <c r="T1318" s="7" t="str">
        <f>IF(ISBLANK(patch[[#This Row],[mergeDate]]), "", MID(YEAR(patch[[#This Row],[mergeDate]]), 3,2)&amp;"'ww"&amp;WEEKNUM(patch[[#This Row],[mergeDate]]))</f>
        <v>16'ww39</v>
      </c>
      <c r="U1318" s="7" t="str">
        <f>IF(ISBLANK(patch[[#This Row],[mergeDate]]), U1317, MID(YEAR(patch[[#This Row],[mergeDate]]), 3,2)&amp;"'m"&amp;MONTH(patch[[#This Row],[mergeDate]]))</f>
        <v>16'm9</v>
      </c>
      <c r="V1318" s="7" t="str">
        <f>IF(ISBLANK(patch[[#This Row],[project]]), "",SUM(patch[[#This Row],[BJ -1 num]:[SH -1 num]]))</f>
        <v/>
      </c>
      <c r="W1318" s="7" t="str">
        <f>IF(ISBLANK(patch[[#This Row],[project]]), "",COUNTIFS($A:$A,patch[[#This Row],[number]],$S:$S, "BJ And dev",$AC:$AC, "Review-1"))</f>
        <v/>
      </c>
      <c r="X1318" s="7" t="str">
        <f>IF(ISBLANK(patch[[#This Row],[project]]), "",COUNTIFS($A:$A,patch[[#This Row],[number]],$S:$S, "FL And dev",$AC:$AC, "Review-1"))</f>
        <v/>
      </c>
      <c r="Y1318" s="7" t="str">
        <f>IF(ISBLANK(patch[[#This Row],[project]]), "",COUNTIFS($A:$A,patch[[#This Row],[number]],$S:$S, "SH And dev",$AC:$AC, "Review-1"))</f>
        <v/>
      </c>
      <c r="Z1318" s="7" t="str">
        <f>IF(ISBLANK(patch[[#This Row],[project]]), "",COUNTIFS($A:$A,patch[[#This Row],[number]],$S:$S, "BJ And dev",$AD:$AD, "&lt;&gt;IntegratorValidationComment"))</f>
        <v/>
      </c>
      <c r="AA1318" s="7" t="str">
        <f>IF(ISBLANK(patch[[#This Row],[project]]), "",COUNTIFS($A:$A,patch[[#This Row],[number]],$S:$S, "FL And dev",$AD:$AD, "&lt;&gt;IntegratorValidationComment"))</f>
        <v/>
      </c>
      <c r="AB1318" s="7" t="str">
        <f>IF(ISBLANK(patch[[#This Row],[project]]), "",COUNTIFS($A:$A,patch[[#This Row],[number]],$S:$S, "SH And dev",$AD:$AD, "&lt;&gt;IntegratorValidationComment"))</f>
        <v/>
      </c>
      <c r="AC1318" s="7" t="str">
        <f>IF(OR(ISNUMBER(FIND("Review-1", patch[[#This Row],[comments]])), ISNUMBER(FIND("Approver-1", patch[[#This Row],[comments]]))), "Review-1", "")</f>
        <v/>
      </c>
      <c r="AD13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18" s="7">
        <f>IF(ISBLANK(patch[[#This Row],[number]]),AE1317,patch[[#This Row],[ifCommon]])</f>
        <v>0</v>
      </c>
    </row>
    <row r="1319" spans="1:31">
      <c r="A1319" s="151">
        <v>144852</v>
      </c>
      <c r="B1319" s="151"/>
      <c r="C1319" s="151"/>
      <c r="D1319" s="151"/>
      <c r="E1319" s="151"/>
      <c r="F1319" s="151"/>
      <c r="G1319" s="151"/>
      <c r="H1319" s="151"/>
      <c r="I1319" s="151"/>
      <c r="J1319" s="152">
        <v>42633.709861111107</v>
      </c>
      <c r="K1319" s="151"/>
      <c r="L1319" s="151" t="s">
        <v>59</v>
      </c>
      <c r="M1319" s="152">
        <v>42627.620532407411</v>
      </c>
      <c r="N1319" s="151" t="s">
        <v>3241</v>
      </c>
      <c r="O1319" s="151"/>
      <c r="P1319" s="151"/>
      <c r="Q1319" s="7" t="str">
        <f>IF(ISBLANK(patch[[#This Row],[OwnerEmail]]),Q1318,patch[[#This Row],[OwnerEmail]])</f>
        <v>john.mathew@intel.com</v>
      </c>
      <c r="R1319" s="7" t="str">
        <f>_xlfn.IFNA(VLOOKUP(patch[[#This Row],[tmp-owner.email]],OrgTree!$A:$K, 11, 0), "not ICG SWFW")</f>
        <v>FL And dev</v>
      </c>
      <c r="S1319" s="7" t="str">
        <f>IF(patch[[#This Row],[reviewer]]=patch[[#This Row],[tmp-owner.email]], "author", _xlfn.IFNA(VLOOKUP(patch[[#This Row],[reviewer]],OrgTree!$A:$K, 11, 0), "not ICG SWFW"))</f>
        <v>BJ And dev</v>
      </c>
      <c r="T1319" s="7" t="str">
        <f>IF(ISBLANK(patch[[#This Row],[mergeDate]]), "", MID(YEAR(patch[[#This Row],[mergeDate]]), 3,2)&amp;"'ww"&amp;WEEKNUM(patch[[#This Row],[mergeDate]]))</f>
        <v>16'ww39</v>
      </c>
      <c r="U1319" s="7" t="str">
        <f>IF(ISBLANK(patch[[#This Row],[mergeDate]]), U1318, MID(YEAR(patch[[#This Row],[mergeDate]]), 3,2)&amp;"'m"&amp;MONTH(patch[[#This Row],[mergeDate]]))</f>
        <v>16'm9</v>
      </c>
      <c r="V1319" s="7" t="str">
        <f>IF(ISBLANK(patch[[#This Row],[project]]), "",SUM(patch[[#This Row],[BJ -1 num]:[SH -1 num]]))</f>
        <v/>
      </c>
      <c r="W1319" s="7" t="str">
        <f>IF(ISBLANK(patch[[#This Row],[project]]), "",COUNTIFS($A:$A,patch[[#This Row],[number]],$S:$S, "BJ And dev",$AC:$AC, "Review-1"))</f>
        <v/>
      </c>
      <c r="X1319" s="7" t="str">
        <f>IF(ISBLANK(patch[[#This Row],[project]]), "",COUNTIFS($A:$A,patch[[#This Row],[number]],$S:$S, "FL And dev",$AC:$AC, "Review-1"))</f>
        <v/>
      </c>
      <c r="Y1319" s="7" t="str">
        <f>IF(ISBLANK(patch[[#This Row],[project]]), "",COUNTIFS($A:$A,patch[[#This Row],[number]],$S:$S, "SH And dev",$AC:$AC, "Review-1"))</f>
        <v/>
      </c>
      <c r="Z1319" s="7" t="str">
        <f>IF(ISBLANK(patch[[#This Row],[project]]), "",COUNTIFS($A:$A,patch[[#This Row],[number]],$S:$S, "BJ And dev",$AD:$AD, "&lt;&gt;IntegratorValidationComment"))</f>
        <v/>
      </c>
      <c r="AA1319" s="7" t="str">
        <f>IF(ISBLANK(patch[[#This Row],[project]]), "",COUNTIFS($A:$A,patch[[#This Row],[number]],$S:$S, "FL And dev",$AD:$AD, "&lt;&gt;IntegratorValidationComment"))</f>
        <v/>
      </c>
      <c r="AB1319" s="7" t="str">
        <f>IF(ISBLANK(patch[[#This Row],[project]]), "",COUNTIFS($A:$A,patch[[#This Row],[number]],$S:$S, "SH And dev",$AD:$AD, "&lt;&gt;IntegratorValidationComment"))</f>
        <v/>
      </c>
      <c r="AC1319" s="7" t="str">
        <f>IF(OR(ISNUMBER(FIND("Review-1", patch[[#This Row],[comments]])), ISNUMBER(FIND("Approver-1", patch[[#This Row],[comments]]))), "Review-1", "")</f>
        <v/>
      </c>
      <c r="AD13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19" s="7">
        <f>IF(ISBLANK(patch[[#This Row],[number]]),AE1318,patch[[#This Row],[ifCommon]])</f>
        <v>0</v>
      </c>
    </row>
    <row r="1320" spans="1:31">
      <c r="A1320" s="151">
        <v>144852</v>
      </c>
      <c r="B1320" s="151"/>
      <c r="C1320" s="151"/>
      <c r="D1320" s="151"/>
      <c r="E1320" s="151"/>
      <c r="F1320" s="151"/>
      <c r="G1320" s="151"/>
      <c r="H1320" s="151"/>
      <c r="I1320" s="151"/>
      <c r="J1320" s="152">
        <v>42633.709861111107</v>
      </c>
      <c r="K1320" s="151"/>
      <c r="L1320" s="151" t="s">
        <v>59</v>
      </c>
      <c r="M1320" s="152">
        <v>42627.633587962962</v>
      </c>
      <c r="N1320" s="151" t="s">
        <v>3242</v>
      </c>
      <c r="O1320" s="151"/>
      <c r="P1320" s="151"/>
      <c r="Q1320" s="7" t="str">
        <f>IF(ISBLANK(patch[[#This Row],[OwnerEmail]]),Q1319,patch[[#This Row],[OwnerEmail]])</f>
        <v>john.mathew@intel.com</v>
      </c>
      <c r="R1320" s="7" t="str">
        <f>_xlfn.IFNA(VLOOKUP(patch[[#This Row],[tmp-owner.email]],OrgTree!$A:$K, 11, 0), "not ICG SWFW")</f>
        <v>FL And dev</v>
      </c>
      <c r="S1320" s="7" t="str">
        <f>IF(patch[[#This Row],[reviewer]]=patch[[#This Row],[tmp-owner.email]], "author", _xlfn.IFNA(VLOOKUP(patch[[#This Row],[reviewer]],OrgTree!$A:$K, 11, 0), "not ICG SWFW"))</f>
        <v>BJ And dev</v>
      </c>
      <c r="T1320" s="7" t="str">
        <f>IF(ISBLANK(patch[[#This Row],[mergeDate]]), "", MID(YEAR(patch[[#This Row],[mergeDate]]), 3,2)&amp;"'ww"&amp;WEEKNUM(patch[[#This Row],[mergeDate]]))</f>
        <v>16'ww39</v>
      </c>
      <c r="U1320" s="7" t="str">
        <f>IF(ISBLANK(patch[[#This Row],[mergeDate]]), U1319, MID(YEAR(patch[[#This Row],[mergeDate]]), 3,2)&amp;"'m"&amp;MONTH(patch[[#This Row],[mergeDate]]))</f>
        <v>16'm9</v>
      </c>
      <c r="V1320" s="7" t="str">
        <f>IF(ISBLANK(patch[[#This Row],[project]]), "",SUM(patch[[#This Row],[BJ -1 num]:[SH -1 num]]))</f>
        <v/>
      </c>
      <c r="W1320" s="7" t="str">
        <f>IF(ISBLANK(patch[[#This Row],[project]]), "",COUNTIFS($A:$A,patch[[#This Row],[number]],$S:$S, "BJ And dev",$AC:$AC, "Review-1"))</f>
        <v/>
      </c>
      <c r="X1320" s="7" t="str">
        <f>IF(ISBLANK(patch[[#This Row],[project]]), "",COUNTIFS($A:$A,patch[[#This Row],[number]],$S:$S, "FL And dev",$AC:$AC, "Review-1"))</f>
        <v/>
      </c>
      <c r="Y1320" s="7" t="str">
        <f>IF(ISBLANK(patch[[#This Row],[project]]), "",COUNTIFS($A:$A,patch[[#This Row],[number]],$S:$S, "SH And dev",$AC:$AC, "Review-1"))</f>
        <v/>
      </c>
      <c r="Z1320" s="7" t="str">
        <f>IF(ISBLANK(patch[[#This Row],[project]]), "",COUNTIFS($A:$A,patch[[#This Row],[number]],$S:$S, "BJ And dev",$AD:$AD, "&lt;&gt;IntegratorValidationComment"))</f>
        <v/>
      </c>
      <c r="AA1320" s="7" t="str">
        <f>IF(ISBLANK(patch[[#This Row],[project]]), "",COUNTIFS($A:$A,patch[[#This Row],[number]],$S:$S, "FL And dev",$AD:$AD, "&lt;&gt;IntegratorValidationComment"))</f>
        <v/>
      </c>
      <c r="AB1320" s="7" t="str">
        <f>IF(ISBLANK(patch[[#This Row],[project]]), "",COUNTIFS($A:$A,patch[[#This Row],[number]],$S:$S, "SH And dev",$AD:$AD, "&lt;&gt;IntegratorValidationComment"))</f>
        <v/>
      </c>
      <c r="AC1320" s="7" t="str">
        <f>IF(OR(ISNUMBER(FIND("Review-1", patch[[#This Row],[comments]])), ISNUMBER(FIND("Approver-1", patch[[#This Row],[comments]]))), "Review-1", "")</f>
        <v/>
      </c>
      <c r="AD13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20" s="7">
        <f>IF(ISBLANK(patch[[#This Row],[number]]),AE1319,patch[[#This Row],[ifCommon]])</f>
        <v>0</v>
      </c>
    </row>
    <row r="1321" spans="1:31">
      <c r="A1321" s="151">
        <v>144852</v>
      </c>
      <c r="B1321" s="151"/>
      <c r="C1321" s="151"/>
      <c r="D1321" s="151"/>
      <c r="E1321" s="151"/>
      <c r="F1321" s="151"/>
      <c r="G1321" s="151"/>
      <c r="H1321" s="151"/>
      <c r="I1321" s="151"/>
      <c r="J1321" s="152">
        <v>42633.709861111107</v>
      </c>
      <c r="K1321" s="151"/>
      <c r="L1321" s="151" t="s">
        <v>55</v>
      </c>
      <c r="M1321" s="152">
        <v>42627.642465277779</v>
      </c>
      <c r="N1321" s="151" t="s">
        <v>1853</v>
      </c>
      <c r="O1321" s="151"/>
      <c r="P1321" s="151"/>
      <c r="Q1321" s="7" t="str">
        <f>IF(ISBLANK(patch[[#This Row],[OwnerEmail]]),Q1320,patch[[#This Row],[OwnerEmail]])</f>
        <v>john.mathew@intel.com</v>
      </c>
      <c r="R1321" s="7" t="str">
        <f>_xlfn.IFNA(VLOOKUP(patch[[#This Row],[tmp-owner.email]],OrgTree!$A:$K, 11, 0), "not ICG SWFW")</f>
        <v>FL And dev</v>
      </c>
      <c r="S1321" s="7" t="str">
        <f>IF(patch[[#This Row],[reviewer]]=patch[[#This Row],[tmp-owner.email]], "author", _xlfn.IFNA(VLOOKUP(patch[[#This Row],[reviewer]],OrgTree!$A:$K, 11, 0), "not ICG SWFW"))</f>
        <v>BJ And dev</v>
      </c>
      <c r="T1321" s="7" t="str">
        <f>IF(ISBLANK(patch[[#This Row],[mergeDate]]), "", MID(YEAR(patch[[#This Row],[mergeDate]]), 3,2)&amp;"'ww"&amp;WEEKNUM(patch[[#This Row],[mergeDate]]))</f>
        <v>16'ww39</v>
      </c>
      <c r="U1321" s="7" t="str">
        <f>IF(ISBLANK(patch[[#This Row],[mergeDate]]), U1320, MID(YEAR(patch[[#This Row],[mergeDate]]), 3,2)&amp;"'m"&amp;MONTH(patch[[#This Row],[mergeDate]]))</f>
        <v>16'm9</v>
      </c>
      <c r="V1321" s="7" t="str">
        <f>IF(ISBLANK(patch[[#This Row],[project]]), "",SUM(patch[[#This Row],[BJ -1 num]:[SH -1 num]]))</f>
        <v/>
      </c>
      <c r="W1321" s="7" t="str">
        <f>IF(ISBLANK(patch[[#This Row],[project]]), "",COUNTIFS($A:$A,patch[[#This Row],[number]],$S:$S, "BJ And dev",$AC:$AC, "Review-1"))</f>
        <v/>
      </c>
      <c r="X1321" s="7" t="str">
        <f>IF(ISBLANK(patch[[#This Row],[project]]), "",COUNTIFS($A:$A,patch[[#This Row],[number]],$S:$S, "FL And dev",$AC:$AC, "Review-1"))</f>
        <v/>
      </c>
      <c r="Y1321" s="7" t="str">
        <f>IF(ISBLANK(patch[[#This Row],[project]]), "",COUNTIFS($A:$A,patch[[#This Row],[number]],$S:$S, "SH And dev",$AC:$AC, "Review-1"))</f>
        <v/>
      </c>
      <c r="Z1321" s="7" t="str">
        <f>IF(ISBLANK(patch[[#This Row],[project]]), "",COUNTIFS($A:$A,patch[[#This Row],[number]],$S:$S, "BJ And dev",$AD:$AD, "&lt;&gt;IntegratorValidationComment"))</f>
        <v/>
      </c>
      <c r="AA1321" s="7" t="str">
        <f>IF(ISBLANK(patch[[#This Row],[project]]), "",COUNTIFS($A:$A,patch[[#This Row],[number]],$S:$S, "FL And dev",$AD:$AD, "&lt;&gt;IntegratorValidationComment"))</f>
        <v/>
      </c>
      <c r="AB1321" s="7" t="str">
        <f>IF(ISBLANK(patch[[#This Row],[project]]), "",COUNTIFS($A:$A,patch[[#This Row],[number]],$S:$S, "SH And dev",$AD:$AD, "&lt;&gt;IntegratorValidationComment"))</f>
        <v/>
      </c>
      <c r="AC1321" s="7" t="str">
        <f>IF(OR(ISNUMBER(FIND("Review-1", patch[[#This Row],[comments]])), ISNUMBER(FIND("Approver-1", patch[[#This Row],[comments]]))), "Review-1", "")</f>
        <v/>
      </c>
      <c r="AD13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21" s="7">
        <f>IF(ISBLANK(patch[[#This Row],[number]]),AE1320,patch[[#This Row],[ifCommon]])</f>
        <v>0</v>
      </c>
    </row>
    <row r="1322" spans="1:31">
      <c r="A1322" s="151">
        <v>144852</v>
      </c>
      <c r="B1322" s="151"/>
      <c r="C1322" s="151"/>
      <c r="D1322" s="151"/>
      <c r="E1322" s="151"/>
      <c r="F1322" s="151"/>
      <c r="G1322" s="151"/>
      <c r="H1322" s="151"/>
      <c r="I1322" s="151"/>
      <c r="J1322" s="152">
        <v>42633.709861111107</v>
      </c>
      <c r="K1322" s="151"/>
      <c r="L1322" s="151" t="s">
        <v>55</v>
      </c>
      <c r="M1322" s="152">
        <v>42627.651064814818</v>
      </c>
      <c r="N1322" s="151" t="s">
        <v>3243</v>
      </c>
      <c r="O1322" s="151"/>
      <c r="P1322" s="151"/>
      <c r="Q1322" s="7" t="str">
        <f>IF(ISBLANK(patch[[#This Row],[OwnerEmail]]),Q1321,patch[[#This Row],[OwnerEmail]])</f>
        <v>john.mathew@intel.com</v>
      </c>
      <c r="R1322" s="7" t="str">
        <f>_xlfn.IFNA(VLOOKUP(patch[[#This Row],[tmp-owner.email]],OrgTree!$A:$K, 11, 0), "not ICG SWFW")</f>
        <v>FL And dev</v>
      </c>
      <c r="S1322" s="7" t="str">
        <f>IF(patch[[#This Row],[reviewer]]=patch[[#This Row],[tmp-owner.email]], "author", _xlfn.IFNA(VLOOKUP(patch[[#This Row],[reviewer]],OrgTree!$A:$K, 11, 0), "not ICG SWFW"))</f>
        <v>BJ And dev</v>
      </c>
      <c r="T1322" s="7" t="str">
        <f>IF(ISBLANK(patch[[#This Row],[mergeDate]]), "", MID(YEAR(patch[[#This Row],[mergeDate]]), 3,2)&amp;"'ww"&amp;WEEKNUM(patch[[#This Row],[mergeDate]]))</f>
        <v>16'ww39</v>
      </c>
      <c r="U1322" s="7" t="str">
        <f>IF(ISBLANK(patch[[#This Row],[mergeDate]]), U1321, MID(YEAR(patch[[#This Row],[mergeDate]]), 3,2)&amp;"'m"&amp;MONTH(patch[[#This Row],[mergeDate]]))</f>
        <v>16'm9</v>
      </c>
      <c r="V1322" s="7" t="str">
        <f>IF(ISBLANK(patch[[#This Row],[project]]), "",SUM(patch[[#This Row],[BJ -1 num]:[SH -1 num]]))</f>
        <v/>
      </c>
      <c r="W1322" s="7" t="str">
        <f>IF(ISBLANK(patch[[#This Row],[project]]), "",COUNTIFS($A:$A,patch[[#This Row],[number]],$S:$S, "BJ And dev",$AC:$AC, "Review-1"))</f>
        <v/>
      </c>
      <c r="X1322" s="7" t="str">
        <f>IF(ISBLANK(patch[[#This Row],[project]]), "",COUNTIFS($A:$A,patch[[#This Row],[number]],$S:$S, "FL And dev",$AC:$AC, "Review-1"))</f>
        <v/>
      </c>
      <c r="Y1322" s="7" t="str">
        <f>IF(ISBLANK(patch[[#This Row],[project]]), "",COUNTIFS($A:$A,patch[[#This Row],[number]],$S:$S, "SH And dev",$AC:$AC, "Review-1"))</f>
        <v/>
      </c>
      <c r="Z1322" s="7" t="str">
        <f>IF(ISBLANK(patch[[#This Row],[project]]), "",COUNTIFS($A:$A,patch[[#This Row],[number]],$S:$S, "BJ And dev",$AD:$AD, "&lt;&gt;IntegratorValidationComment"))</f>
        <v/>
      </c>
      <c r="AA1322" s="7" t="str">
        <f>IF(ISBLANK(patch[[#This Row],[project]]), "",COUNTIFS($A:$A,patch[[#This Row],[number]],$S:$S, "FL And dev",$AD:$AD, "&lt;&gt;IntegratorValidationComment"))</f>
        <v/>
      </c>
      <c r="AB1322" s="7" t="str">
        <f>IF(ISBLANK(patch[[#This Row],[project]]), "",COUNTIFS($A:$A,patch[[#This Row],[number]],$S:$S, "SH And dev",$AD:$AD, "&lt;&gt;IntegratorValidationComment"))</f>
        <v/>
      </c>
      <c r="AC1322" s="7" t="str">
        <f>IF(OR(ISNUMBER(FIND("Review-1", patch[[#This Row],[comments]])), ISNUMBER(FIND("Approver-1", patch[[#This Row],[comments]]))), "Review-1", "")</f>
        <v/>
      </c>
      <c r="AD13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22" s="7">
        <f>IF(ISBLANK(patch[[#This Row],[number]]),AE1321,patch[[#This Row],[ifCommon]])</f>
        <v>0</v>
      </c>
    </row>
    <row r="1323" spans="1:31">
      <c r="A1323" s="151">
        <v>144852</v>
      </c>
      <c r="B1323" s="151"/>
      <c r="C1323" s="151"/>
      <c r="D1323" s="151"/>
      <c r="E1323" s="151"/>
      <c r="F1323" s="151"/>
      <c r="G1323" s="151"/>
      <c r="H1323" s="151"/>
      <c r="I1323" s="151"/>
      <c r="J1323" s="152">
        <v>42633.709861111107</v>
      </c>
      <c r="K1323" s="151"/>
      <c r="L1323" s="151" t="s">
        <v>32</v>
      </c>
      <c r="M1323" s="152">
        <v>42627.664652777778</v>
      </c>
      <c r="N1323" s="151" t="s">
        <v>2549</v>
      </c>
      <c r="O1323" s="151" t="s">
        <v>3244</v>
      </c>
      <c r="P1323" s="151"/>
      <c r="Q1323" s="7" t="str">
        <f>IF(ISBLANK(patch[[#This Row],[OwnerEmail]]),Q1322,patch[[#This Row],[OwnerEmail]])</f>
        <v>john.mathew@intel.com</v>
      </c>
      <c r="R1323" s="7" t="str">
        <f>_xlfn.IFNA(VLOOKUP(patch[[#This Row],[tmp-owner.email]],OrgTree!$A:$K, 11, 0), "not ICG SWFW")</f>
        <v>FL And dev</v>
      </c>
      <c r="S1323" s="7" t="str">
        <f>IF(patch[[#This Row],[reviewer]]=patch[[#This Row],[tmp-owner.email]], "author", _xlfn.IFNA(VLOOKUP(patch[[#This Row],[reviewer]],OrgTree!$A:$K, 11, 0), "not ICG SWFW"))</f>
        <v>BJ And dev</v>
      </c>
      <c r="T1323" s="7" t="str">
        <f>IF(ISBLANK(patch[[#This Row],[mergeDate]]), "", MID(YEAR(patch[[#This Row],[mergeDate]]), 3,2)&amp;"'ww"&amp;WEEKNUM(patch[[#This Row],[mergeDate]]))</f>
        <v>16'ww39</v>
      </c>
      <c r="U1323" s="7" t="str">
        <f>IF(ISBLANK(patch[[#This Row],[mergeDate]]), U1322, MID(YEAR(patch[[#This Row],[mergeDate]]), 3,2)&amp;"'m"&amp;MONTH(patch[[#This Row],[mergeDate]]))</f>
        <v>16'm9</v>
      </c>
      <c r="V1323" s="7" t="str">
        <f>IF(ISBLANK(patch[[#This Row],[project]]), "",SUM(patch[[#This Row],[BJ -1 num]:[SH -1 num]]))</f>
        <v/>
      </c>
      <c r="W1323" s="7" t="str">
        <f>IF(ISBLANK(patch[[#This Row],[project]]), "",COUNTIFS($A:$A,patch[[#This Row],[number]],$S:$S, "BJ And dev",$AC:$AC, "Review-1"))</f>
        <v/>
      </c>
      <c r="X1323" s="7" t="str">
        <f>IF(ISBLANK(patch[[#This Row],[project]]), "",COUNTIFS($A:$A,patch[[#This Row],[number]],$S:$S, "FL And dev",$AC:$AC, "Review-1"))</f>
        <v/>
      </c>
      <c r="Y1323" s="7" t="str">
        <f>IF(ISBLANK(patch[[#This Row],[project]]), "",COUNTIFS($A:$A,patch[[#This Row],[number]],$S:$S, "SH And dev",$AC:$AC, "Review-1"))</f>
        <v/>
      </c>
      <c r="Z1323" s="7" t="str">
        <f>IF(ISBLANK(patch[[#This Row],[project]]), "",COUNTIFS($A:$A,patch[[#This Row],[number]],$S:$S, "BJ And dev",$AD:$AD, "&lt;&gt;IntegratorValidationComment"))</f>
        <v/>
      </c>
      <c r="AA1323" s="7" t="str">
        <f>IF(ISBLANK(patch[[#This Row],[project]]), "",COUNTIFS($A:$A,patch[[#This Row],[number]],$S:$S, "FL And dev",$AD:$AD, "&lt;&gt;IntegratorValidationComment"))</f>
        <v/>
      </c>
      <c r="AB1323" s="7" t="str">
        <f>IF(ISBLANK(patch[[#This Row],[project]]), "",COUNTIFS($A:$A,patch[[#This Row],[number]],$S:$S, "SH And dev",$AD:$AD, "&lt;&gt;IntegratorValidationComment"))</f>
        <v/>
      </c>
      <c r="AC1323" s="7" t="str">
        <f>IF(OR(ISNUMBER(FIND("Review-1", patch[[#This Row],[comments]])), ISNUMBER(FIND("Approver-1", patch[[#This Row],[comments]]))), "Review-1", "")</f>
        <v/>
      </c>
      <c r="AD13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23" s="7">
        <f>IF(ISBLANK(patch[[#This Row],[number]]),AE1322,patch[[#This Row],[ifCommon]])</f>
        <v>0</v>
      </c>
    </row>
    <row r="1324" spans="1:31">
      <c r="A1324" s="151">
        <v>144852</v>
      </c>
      <c r="B1324" s="151"/>
      <c r="C1324" s="151"/>
      <c r="D1324" s="151"/>
      <c r="E1324" s="151"/>
      <c r="F1324" s="151"/>
      <c r="G1324" s="151"/>
      <c r="H1324" s="151"/>
      <c r="I1324" s="151"/>
      <c r="J1324" s="152">
        <v>42633.709861111107</v>
      </c>
      <c r="K1324" s="151"/>
      <c r="L1324" s="151" t="s">
        <v>55</v>
      </c>
      <c r="M1324" s="152">
        <v>42627.666435185187</v>
      </c>
      <c r="N1324" s="151" t="s">
        <v>3245</v>
      </c>
      <c r="O1324" s="151" t="s">
        <v>3246</v>
      </c>
      <c r="P1324" s="151"/>
      <c r="Q1324" s="7" t="str">
        <f>IF(ISBLANK(patch[[#This Row],[OwnerEmail]]),Q1323,patch[[#This Row],[OwnerEmail]])</f>
        <v>john.mathew@intel.com</v>
      </c>
      <c r="R1324" s="7" t="str">
        <f>_xlfn.IFNA(VLOOKUP(patch[[#This Row],[tmp-owner.email]],OrgTree!$A:$K, 11, 0), "not ICG SWFW")</f>
        <v>FL And dev</v>
      </c>
      <c r="S1324" s="7" t="str">
        <f>IF(patch[[#This Row],[reviewer]]=patch[[#This Row],[tmp-owner.email]], "author", _xlfn.IFNA(VLOOKUP(patch[[#This Row],[reviewer]],OrgTree!$A:$K, 11, 0), "not ICG SWFW"))</f>
        <v>BJ And dev</v>
      </c>
      <c r="T1324" s="7" t="str">
        <f>IF(ISBLANK(patch[[#This Row],[mergeDate]]), "", MID(YEAR(patch[[#This Row],[mergeDate]]), 3,2)&amp;"'ww"&amp;WEEKNUM(patch[[#This Row],[mergeDate]]))</f>
        <v>16'ww39</v>
      </c>
      <c r="U1324" s="7" t="str">
        <f>IF(ISBLANK(patch[[#This Row],[mergeDate]]), U1323, MID(YEAR(patch[[#This Row],[mergeDate]]), 3,2)&amp;"'m"&amp;MONTH(patch[[#This Row],[mergeDate]]))</f>
        <v>16'm9</v>
      </c>
      <c r="V1324" s="7" t="str">
        <f>IF(ISBLANK(patch[[#This Row],[project]]), "",SUM(patch[[#This Row],[BJ -1 num]:[SH -1 num]]))</f>
        <v/>
      </c>
      <c r="W1324" s="7" t="str">
        <f>IF(ISBLANK(patch[[#This Row],[project]]), "",COUNTIFS($A:$A,patch[[#This Row],[number]],$S:$S, "BJ And dev",$AC:$AC, "Review-1"))</f>
        <v/>
      </c>
      <c r="X1324" s="7" t="str">
        <f>IF(ISBLANK(patch[[#This Row],[project]]), "",COUNTIFS($A:$A,patch[[#This Row],[number]],$S:$S, "FL And dev",$AC:$AC, "Review-1"))</f>
        <v/>
      </c>
      <c r="Y1324" s="7" t="str">
        <f>IF(ISBLANK(patch[[#This Row],[project]]), "",COUNTIFS($A:$A,patch[[#This Row],[number]],$S:$S, "SH And dev",$AC:$AC, "Review-1"))</f>
        <v/>
      </c>
      <c r="Z1324" s="7" t="str">
        <f>IF(ISBLANK(patch[[#This Row],[project]]), "",COUNTIFS($A:$A,patch[[#This Row],[number]],$S:$S, "BJ And dev",$AD:$AD, "&lt;&gt;IntegratorValidationComment"))</f>
        <v/>
      </c>
      <c r="AA1324" s="7" t="str">
        <f>IF(ISBLANK(patch[[#This Row],[project]]), "",COUNTIFS($A:$A,patch[[#This Row],[number]],$S:$S, "FL And dev",$AD:$AD, "&lt;&gt;IntegratorValidationComment"))</f>
        <v/>
      </c>
      <c r="AB1324" s="7" t="str">
        <f>IF(ISBLANK(patch[[#This Row],[project]]), "",COUNTIFS($A:$A,patch[[#This Row],[number]],$S:$S, "SH And dev",$AD:$AD, "&lt;&gt;IntegratorValidationComment"))</f>
        <v/>
      </c>
      <c r="AC1324" s="7" t="str">
        <f>IF(OR(ISNUMBER(FIND("Review-1", patch[[#This Row],[comments]])), ISNUMBER(FIND("Approver-1", patch[[#This Row],[comments]]))), "Review-1", "")</f>
        <v>Review-1</v>
      </c>
      <c r="AD13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24" s="7">
        <f>IF(ISBLANK(patch[[#This Row],[number]]),AE1323,patch[[#This Row],[ifCommon]])</f>
        <v>0</v>
      </c>
    </row>
    <row r="1325" spans="1:31">
      <c r="A1325" s="151">
        <v>144852</v>
      </c>
      <c r="B1325" s="151"/>
      <c r="C1325" s="151"/>
      <c r="D1325" s="151"/>
      <c r="E1325" s="151"/>
      <c r="F1325" s="151"/>
      <c r="G1325" s="151"/>
      <c r="H1325" s="151"/>
      <c r="I1325" s="151"/>
      <c r="J1325" s="152">
        <v>42633.709861111107</v>
      </c>
      <c r="K1325" s="151"/>
      <c r="L1325" s="151" t="s">
        <v>61</v>
      </c>
      <c r="M1325" s="152">
        <v>42627.680636574078</v>
      </c>
      <c r="N1325" s="151" t="s">
        <v>2465</v>
      </c>
      <c r="O1325" s="151"/>
      <c r="P1325" s="151"/>
      <c r="Q1325" s="7" t="str">
        <f>IF(ISBLANK(patch[[#This Row],[OwnerEmail]]),Q1324,patch[[#This Row],[OwnerEmail]])</f>
        <v>john.mathew@intel.com</v>
      </c>
      <c r="R1325" s="7" t="str">
        <f>_xlfn.IFNA(VLOOKUP(patch[[#This Row],[tmp-owner.email]],OrgTree!$A:$K, 11, 0), "not ICG SWFW")</f>
        <v>FL And dev</v>
      </c>
      <c r="S1325" s="7" t="str">
        <f>IF(patch[[#This Row],[reviewer]]=patch[[#This Row],[tmp-owner.email]], "author", _xlfn.IFNA(VLOOKUP(patch[[#This Row],[reviewer]],OrgTree!$A:$K, 11, 0), "not ICG SWFW"))</f>
        <v>author</v>
      </c>
      <c r="T1325" s="7" t="str">
        <f>IF(ISBLANK(patch[[#This Row],[mergeDate]]), "", MID(YEAR(patch[[#This Row],[mergeDate]]), 3,2)&amp;"'ww"&amp;WEEKNUM(patch[[#This Row],[mergeDate]]))</f>
        <v>16'ww39</v>
      </c>
      <c r="U1325" s="7" t="str">
        <f>IF(ISBLANK(patch[[#This Row],[mergeDate]]), U1324, MID(YEAR(patch[[#This Row],[mergeDate]]), 3,2)&amp;"'m"&amp;MONTH(patch[[#This Row],[mergeDate]]))</f>
        <v>16'm9</v>
      </c>
      <c r="V1325" s="7" t="str">
        <f>IF(ISBLANK(patch[[#This Row],[project]]), "",SUM(patch[[#This Row],[BJ -1 num]:[SH -1 num]]))</f>
        <v/>
      </c>
      <c r="W1325" s="7" t="str">
        <f>IF(ISBLANK(patch[[#This Row],[project]]), "",COUNTIFS($A:$A,patch[[#This Row],[number]],$S:$S, "BJ And dev",$AC:$AC, "Review-1"))</f>
        <v/>
      </c>
      <c r="X1325" s="7" t="str">
        <f>IF(ISBLANK(patch[[#This Row],[project]]), "",COUNTIFS($A:$A,patch[[#This Row],[number]],$S:$S, "FL And dev",$AC:$AC, "Review-1"))</f>
        <v/>
      </c>
      <c r="Y1325" s="7" t="str">
        <f>IF(ISBLANK(patch[[#This Row],[project]]), "",COUNTIFS($A:$A,patch[[#This Row],[number]],$S:$S, "SH And dev",$AC:$AC, "Review-1"))</f>
        <v/>
      </c>
      <c r="Z1325" s="7" t="str">
        <f>IF(ISBLANK(patch[[#This Row],[project]]), "",COUNTIFS($A:$A,patch[[#This Row],[number]],$S:$S, "BJ And dev",$AD:$AD, "&lt;&gt;IntegratorValidationComment"))</f>
        <v/>
      </c>
      <c r="AA1325" s="7" t="str">
        <f>IF(ISBLANK(patch[[#This Row],[project]]), "",COUNTIFS($A:$A,patch[[#This Row],[number]],$S:$S, "FL And dev",$AD:$AD, "&lt;&gt;IntegratorValidationComment"))</f>
        <v/>
      </c>
      <c r="AB1325" s="7" t="str">
        <f>IF(ISBLANK(patch[[#This Row],[project]]), "",COUNTIFS($A:$A,patch[[#This Row],[number]],$S:$S, "SH And dev",$AD:$AD, "&lt;&gt;IntegratorValidationComment"))</f>
        <v/>
      </c>
      <c r="AC1325" s="7" t="str">
        <f>IF(OR(ISNUMBER(FIND("Review-1", patch[[#This Row],[comments]])), ISNUMBER(FIND("Approver-1", patch[[#This Row],[comments]]))), "Review-1", "")</f>
        <v/>
      </c>
      <c r="AD13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25" s="7">
        <f>IF(ISBLANK(patch[[#This Row],[number]]),AE1324,patch[[#This Row],[ifCommon]])</f>
        <v>0</v>
      </c>
    </row>
    <row r="1326" spans="1:31">
      <c r="A1326" s="151">
        <v>144852</v>
      </c>
      <c r="B1326" s="151"/>
      <c r="C1326" s="151"/>
      <c r="D1326" s="151"/>
      <c r="E1326" s="151"/>
      <c r="F1326" s="151"/>
      <c r="G1326" s="151"/>
      <c r="H1326" s="151"/>
      <c r="I1326" s="151"/>
      <c r="J1326" s="152">
        <v>42633.709861111107</v>
      </c>
      <c r="K1326" s="151"/>
      <c r="L1326" s="151" t="s">
        <v>61</v>
      </c>
      <c r="M1326" s="152">
        <v>42627.680636574078</v>
      </c>
      <c r="N1326" s="151" t="s">
        <v>1842</v>
      </c>
      <c r="O1326" s="151"/>
      <c r="P1326" s="151"/>
      <c r="Q1326" s="7" t="str">
        <f>IF(ISBLANK(patch[[#This Row],[OwnerEmail]]),Q1325,patch[[#This Row],[OwnerEmail]])</f>
        <v>john.mathew@intel.com</v>
      </c>
      <c r="R1326" s="7" t="str">
        <f>_xlfn.IFNA(VLOOKUP(patch[[#This Row],[tmp-owner.email]],OrgTree!$A:$K, 11, 0), "not ICG SWFW")</f>
        <v>FL And dev</v>
      </c>
      <c r="S1326" s="7" t="str">
        <f>IF(patch[[#This Row],[reviewer]]=patch[[#This Row],[tmp-owner.email]], "author", _xlfn.IFNA(VLOOKUP(patch[[#This Row],[reviewer]],OrgTree!$A:$K, 11, 0), "not ICG SWFW"))</f>
        <v>author</v>
      </c>
      <c r="T1326" s="7" t="str">
        <f>IF(ISBLANK(patch[[#This Row],[mergeDate]]), "", MID(YEAR(patch[[#This Row],[mergeDate]]), 3,2)&amp;"'ww"&amp;WEEKNUM(patch[[#This Row],[mergeDate]]))</f>
        <v>16'ww39</v>
      </c>
      <c r="U1326" s="7" t="str">
        <f>IF(ISBLANK(patch[[#This Row],[mergeDate]]), U1325, MID(YEAR(patch[[#This Row],[mergeDate]]), 3,2)&amp;"'m"&amp;MONTH(patch[[#This Row],[mergeDate]]))</f>
        <v>16'm9</v>
      </c>
      <c r="V1326" s="7" t="str">
        <f>IF(ISBLANK(patch[[#This Row],[project]]), "",SUM(patch[[#This Row],[BJ -1 num]:[SH -1 num]]))</f>
        <v/>
      </c>
      <c r="W1326" s="7" t="str">
        <f>IF(ISBLANK(patch[[#This Row],[project]]), "",COUNTIFS($A:$A,patch[[#This Row],[number]],$S:$S, "BJ And dev",$AC:$AC, "Review-1"))</f>
        <v/>
      </c>
      <c r="X1326" s="7" t="str">
        <f>IF(ISBLANK(patch[[#This Row],[project]]), "",COUNTIFS($A:$A,patch[[#This Row],[number]],$S:$S, "FL And dev",$AC:$AC, "Review-1"))</f>
        <v/>
      </c>
      <c r="Y1326" s="7" t="str">
        <f>IF(ISBLANK(patch[[#This Row],[project]]), "",COUNTIFS($A:$A,patch[[#This Row],[number]],$S:$S, "SH And dev",$AC:$AC, "Review-1"))</f>
        <v/>
      </c>
      <c r="Z1326" s="7" t="str">
        <f>IF(ISBLANK(patch[[#This Row],[project]]), "",COUNTIFS($A:$A,patch[[#This Row],[number]],$S:$S, "BJ And dev",$AD:$AD, "&lt;&gt;IntegratorValidationComment"))</f>
        <v/>
      </c>
      <c r="AA1326" s="7" t="str">
        <f>IF(ISBLANK(patch[[#This Row],[project]]), "",COUNTIFS($A:$A,patch[[#This Row],[number]],$S:$S, "FL And dev",$AD:$AD, "&lt;&gt;IntegratorValidationComment"))</f>
        <v/>
      </c>
      <c r="AB1326" s="7" t="str">
        <f>IF(ISBLANK(patch[[#This Row],[project]]), "",COUNTIFS($A:$A,patch[[#This Row],[number]],$S:$S, "SH And dev",$AD:$AD, "&lt;&gt;IntegratorValidationComment"))</f>
        <v/>
      </c>
      <c r="AC1326" s="7" t="str">
        <f>IF(OR(ISNUMBER(FIND("Review-1", patch[[#This Row],[comments]])), ISNUMBER(FIND("Approver-1", patch[[#This Row],[comments]]))), "Review-1", "")</f>
        <v/>
      </c>
      <c r="AD13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26" s="7">
        <f>IF(ISBLANK(patch[[#This Row],[number]]),AE1325,patch[[#This Row],[ifCommon]])</f>
        <v>0</v>
      </c>
    </row>
    <row r="1327" spans="1:31">
      <c r="A1327" s="151">
        <v>144852</v>
      </c>
      <c r="B1327" s="151"/>
      <c r="C1327" s="151"/>
      <c r="D1327" s="151"/>
      <c r="E1327" s="151"/>
      <c r="F1327" s="151"/>
      <c r="G1327" s="151"/>
      <c r="H1327" s="151"/>
      <c r="I1327" s="151"/>
      <c r="J1327" s="152">
        <v>42633.709861111107</v>
      </c>
      <c r="K1327" s="151"/>
      <c r="L1327" s="151" t="s">
        <v>61</v>
      </c>
      <c r="M1327" s="152">
        <v>42627.681990740741</v>
      </c>
      <c r="N1327" s="151" t="s">
        <v>2570</v>
      </c>
      <c r="O1327" s="151" t="s">
        <v>3247</v>
      </c>
      <c r="P1327" s="151"/>
      <c r="Q1327" s="7" t="str">
        <f>IF(ISBLANK(patch[[#This Row],[OwnerEmail]]),Q1326,patch[[#This Row],[OwnerEmail]])</f>
        <v>john.mathew@intel.com</v>
      </c>
      <c r="R1327" s="7" t="str">
        <f>_xlfn.IFNA(VLOOKUP(patch[[#This Row],[tmp-owner.email]],OrgTree!$A:$K, 11, 0), "not ICG SWFW")</f>
        <v>FL And dev</v>
      </c>
      <c r="S1327" s="7" t="str">
        <f>IF(patch[[#This Row],[reviewer]]=patch[[#This Row],[tmp-owner.email]], "author", _xlfn.IFNA(VLOOKUP(patch[[#This Row],[reviewer]],OrgTree!$A:$K, 11, 0), "not ICG SWFW"))</f>
        <v>author</v>
      </c>
      <c r="T1327" s="7" t="str">
        <f>IF(ISBLANK(patch[[#This Row],[mergeDate]]), "", MID(YEAR(patch[[#This Row],[mergeDate]]), 3,2)&amp;"'ww"&amp;WEEKNUM(patch[[#This Row],[mergeDate]]))</f>
        <v>16'ww39</v>
      </c>
      <c r="U1327" s="7" t="str">
        <f>IF(ISBLANK(patch[[#This Row],[mergeDate]]), U1326, MID(YEAR(patch[[#This Row],[mergeDate]]), 3,2)&amp;"'m"&amp;MONTH(patch[[#This Row],[mergeDate]]))</f>
        <v>16'm9</v>
      </c>
      <c r="V1327" s="7" t="str">
        <f>IF(ISBLANK(patch[[#This Row],[project]]), "",SUM(patch[[#This Row],[BJ -1 num]:[SH -1 num]]))</f>
        <v/>
      </c>
      <c r="W1327" s="7" t="str">
        <f>IF(ISBLANK(patch[[#This Row],[project]]), "",COUNTIFS($A:$A,patch[[#This Row],[number]],$S:$S, "BJ And dev",$AC:$AC, "Review-1"))</f>
        <v/>
      </c>
      <c r="X1327" s="7" t="str">
        <f>IF(ISBLANK(patch[[#This Row],[project]]), "",COUNTIFS($A:$A,patch[[#This Row],[number]],$S:$S, "FL And dev",$AC:$AC, "Review-1"))</f>
        <v/>
      </c>
      <c r="Y1327" s="7" t="str">
        <f>IF(ISBLANK(patch[[#This Row],[project]]), "",COUNTIFS($A:$A,patch[[#This Row],[number]],$S:$S, "SH And dev",$AC:$AC, "Review-1"))</f>
        <v/>
      </c>
      <c r="Z1327" s="7" t="str">
        <f>IF(ISBLANK(patch[[#This Row],[project]]), "",COUNTIFS($A:$A,patch[[#This Row],[number]],$S:$S, "BJ And dev",$AD:$AD, "&lt;&gt;IntegratorValidationComment"))</f>
        <v/>
      </c>
      <c r="AA1327" s="7" t="str">
        <f>IF(ISBLANK(patch[[#This Row],[project]]), "",COUNTIFS($A:$A,patch[[#This Row],[number]],$S:$S, "FL And dev",$AD:$AD, "&lt;&gt;IntegratorValidationComment"))</f>
        <v/>
      </c>
      <c r="AB1327" s="7" t="str">
        <f>IF(ISBLANK(patch[[#This Row],[project]]), "",COUNTIFS($A:$A,patch[[#This Row],[number]],$S:$S, "SH And dev",$AD:$AD, "&lt;&gt;IntegratorValidationComment"))</f>
        <v/>
      </c>
      <c r="AC1327" s="7" t="str">
        <f>IF(OR(ISNUMBER(FIND("Review-1", patch[[#This Row],[comments]])), ISNUMBER(FIND("Approver-1", patch[[#This Row],[comments]]))), "Review-1", "")</f>
        <v/>
      </c>
      <c r="AD13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27" s="7">
        <f>IF(ISBLANK(patch[[#This Row],[number]]),AE1326,patch[[#This Row],[ifCommon]])</f>
        <v>0</v>
      </c>
    </row>
    <row r="1328" spans="1:31">
      <c r="A1328" s="151">
        <v>144852</v>
      </c>
      <c r="B1328" s="151"/>
      <c r="C1328" s="151"/>
      <c r="D1328" s="151"/>
      <c r="E1328" s="151"/>
      <c r="F1328" s="151"/>
      <c r="G1328" s="151"/>
      <c r="H1328" s="151"/>
      <c r="I1328" s="151"/>
      <c r="J1328" s="152">
        <v>42633.709861111107</v>
      </c>
      <c r="K1328" s="151"/>
      <c r="L1328" s="151" t="s">
        <v>32</v>
      </c>
      <c r="M1328" s="152">
        <v>42627.687881944446</v>
      </c>
      <c r="N1328" s="151" t="s">
        <v>1843</v>
      </c>
      <c r="O1328" s="151"/>
      <c r="P1328" s="151"/>
      <c r="Q1328" s="7" t="str">
        <f>IF(ISBLANK(patch[[#This Row],[OwnerEmail]]),Q1327,patch[[#This Row],[OwnerEmail]])</f>
        <v>john.mathew@intel.com</v>
      </c>
      <c r="R1328" s="7" t="str">
        <f>_xlfn.IFNA(VLOOKUP(patch[[#This Row],[tmp-owner.email]],OrgTree!$A:$K, 11, 0), "not ICG SWFW")</f>
        <v>FL And dev</v>
      </c>
      <c r="S1328" s="7" t="str">
        <f>IF(patch[[#This Row],[reviewer]]=patch[[#This Row],[tmp-owner.email]], "author", _xlfn.IFNA(VLOOKUP(patch[[#This Row],[reviewer]],OrgTree!$A:$K, 11, 0), "not ICG SWFW"))</f>
        <v>BJ And dev</v>
      </c>
      <c r="T1328" s="7" t="str">
        <f>IF(ISBLANK(patch[[#This Row],[mergeDate]]), "", MID(YEAR(patch[[#This Row],[mergeDate]]), 3,2)&amp;"'ww"&amp;WEEKNUM(patch[[#This Row],[mergeDate]]))</f>
        <v>16'ww39</v>
      </c>
      <c r="U1328" s="7" t="str">
        <f>IF(ISBLANK(patch[[#This Row],[mergeDate]]), U1327, MID(YEAR(patch[[#This Row],[mergeDate]]), 3,2)&amp;"'m"&amp;MONTH(patch[[#This Row],[mergeDate]]))</f>
        <v>16'm9</v>
      </c>
      <c r="V1328" s="7" t="str">
        <f>IF(ISBLANK(patch[[#This Row],[project]]), "",SUM(patch[[#This Row],[BJ -1 num]:[SH -1 num]]))</f>
        <v/>
      </c>
      <c r="W1328" s="7" t="str">
        <f>IF(ISBLANK(patch[[#This Row],[project]]), "",COUNTIFS($A:$A,patch[[#This Row],[number]],$S:$S, "BJ And dev",$AC:$AC, "Review-1"))</f>
        <v/>
      </c>
      <c r="X1328" s="7" t="str">
        <f>IF(ISBLANK(patch[[#This Row],[project]]), "",COUNTIFS($A:$A,patch[[#This Row],[number]],$S:$S, "FL And dev",$AC:$AC, "Review-1"))</f>
        <v/>
      </c>
      <c r="Y1328" s="7" t="str">
        <f>IF(ISBLANK(patch[[#This Row],[project]]), "",COUNTIFS($A:$A,patch[[#This Row],[number]],$S:$S, "SH And dev",$AC:$AC, "Review-1"))</f>
        <v/>
      </c>
      <c r="Z1328" s="7" t="str">
        <f>IF(ISBLANK(patch[[#This Row],[project]]), "",COUNTIFS($A:$A,patch[[#This Row],[number]],$S:$S, "BJ And dev",$AD:$AD, "&lt;&gt;IntegratorValidationComment"))</f>
        <v/>
      </c>
      <c r="AA1328" s="7" t="str">
        <f>IF(ISBLANK(patch[[#This Row],[project]]), "",COUNTIFS($A:$A,patch[[#This Row],[number]],$S:$S, "FL And dev",$AD:$AD, "&lt;&gt;IntegratorValidationComment"))</f>
        <v/>
      </c>
      <c r="AB1328" s="7" t="str">
        <f>IF(ISBLANK(patch[[#This Row],[project]]), "",COUNTIFS($A:$A,patch[[#This Row],[number]],$S:$S, "SH And dev",$AD:$AD, "&lt;&gt;IntegratorValidationComment"))</f>
        <v/>
      </c>
      <c r="AC1328" s="7" t="str">
        <f>IF(OR(ISNUMBER(FIND("Review-1", patch[[#This Row],[comments]])), ISNUMBER(FIND("Approver-1", patch[[#This Row],[comments]]))), "Review-1", "")</f>
        <v/>
      </c>
      <c r="AD13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28" s="7">
        <f>IF(ISBLANK(patch[[#This Row],[number]]),AE1327,patch[[#This Row],[ifCommon]])</f>
        <v>0</v>
      </c>
    </row>
    <row r="1329" spans="1:31">
      <c r="A1329" s="151">
        <v>144852</v>
      </c>
      <c r="B1329" s="151"/>
      <c r="C1329" s="151"/>
      <c r="D1329" s="151"/>
      <c r="E1329" s="151"/>
      <c r="F1329" s="151"/>
      <c r="G1329" s="151"/>
      <c r="H1329" s="151"/>
      <c r="I1329" s="152"/>
      <c r="J1329" s="152">
        <v>42633.709861111107</v>
      </c>
      <c r="K1329" s="151"/>
      <c r="L1329" s="151" t="s">
        <v>59</v>
      </c>
      <c r="M1329" s="152">
        <v>42627.688946759263</v>
      </c>
      <c r="N1329" s="151" t="s">
        <v>3248</v>
      </c>
      <c r="O1329" s="151"/>
      <c r="P1329" s="151"/>
      <c r="Q1329" s="7" t="str">
        <f>IF(ISBLANK(patch[[#This Row],[OwnerEmail]]),Q1328,patch[[#This Row],[OwnerEmail]])</f>
        <v>john.mathew@intel.com</v>
      </c>
      <c r="R1329" s="7" t="str">
        <f>_xlfn.IFNA(VLOOKUP(patch[[#This Row],[tmp-owner.email]],OrgTree!$A:$K, 11, 0), "not ICG SWFW")</f>
        <v>FL And dev</v>
      </c>
      <c r="S1329" s="7" t="str">
        <f>IF(patch[[#This Row],[reviewer]]=patch[[#This Row],[tmp-owner.email]], "author", _xlfn.IFNA(VLOOKUP(patch[[#This Row],[reviewer]],OrgTree!$A:$K, 11, 0), "not ICG SWFW"))</f>
        <v>BJ And dev</v>
      </c>
      <c r="T1329" s="7" t="str">
        <f>IF(ISBLANK(patch[[#This Row],[mergeDate]]), "", MID(YEAR(patch[[#This Row],[mergeDate]]), 3,2)&amp;"'ww"&amp;WEEKNUM(patch[[#This Row],[mergeDate]]))</f>
        <v>16'ww39</v>
      </c>
      <c r="U1329" s="7" t="str">
        <f>IF(ISBLANK(patch[[#This Row],[mergeDate]]), U1328, MID(YEAR(patch[[#This Row],[mergeDate]]), 3,2)&amp;"'m"&amp;MONTH(patch[[#This Row],[mergeDate]]))</f>
        <v>16'm9</v>
      </c>
      <c r="V1329" s="7" t="str">
        <f>IF(ISBLANK(patch[[#This Row],[project]]), "",SUM(patch[[#This Row],[BJ -1 num]:[SH -1 num]]))</f>
        <v/>
      </c>
      <c r="W1329" s="7" t="str">
        <f>IF(ISBLANK(patch[[#This Row],[project]]), "",COUNTIFS($A:$A,patch[[#This Row],[number]],$S:$S, "BJ And dev",$AC:$AC, "Review-1"))</f>
        <v/>
      </c>
      <c r="X1329" s="7" t="str">
        <f>IF(ISBLANK(patch[[#This Row],[project]]), "",COUNTIFS($A:$A,patch[[#This Row],[number]],$S:$S, "FL And dev",$AC:$AC, "Review-1"))</f>
        <v/>
      </c>
      <c r="Y1329" s="7" t="str">
        <f>IF(ISBLANK(patch[[#This Row],[project]]), "",COUNTIFS($A:$A,patch[[#This Row],[number]],$S:$S, "SH And dev",$AC:$AC, "Review-1"))</f>
        <v/>
      </c>
      <c r="Z1329" s="7" t="str">
        <f>IF(ISBLANK(patch[[#This Row],[project]]), "",COUNTIFS($A:$A,patch[[#This Row],[number]],$S:$S, "BJ And dev",$AD:$AD, "&lt;&gt;IntegratorValidationComment"))</f>
        <v/>
      </c>
      <c r="AA1329" s="7" t="str">
        <f>IF(ISBLANK(patch[[#This Row],[project]]), "",COUNTIFS($A:$A,patch[[#This Row],[number]],$S:$S, "FL And dev",$AD:$AD, "&lt;&gt;IntegratorValidationComment"))</f>
        <v/>
      </c>
      <c r="AB1329" s="7" t="str">
        <f>IF(ISBLANK(patch[[#This Row],[project]]), "",COUNTIFS($A:$A,patch[[#This Row],[number]],$S:$S, "SH And dev",$AD:$AD, "&lt;&gt;IntegratorValidationComment"))</f>
        <v/>
      </c>
      <c r="AC1329" s="7" t="str">
        <f>IF(OR(ISNUMBER(FIND("Review-1", patch[[#This Row],[comments]])), ISNUMBER(FIND("Approver-1", patch[[#This Row],[comments]]))), "Review-1", "")</f>
        <v/>
      </c>
      <c r="AD13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29" s="7">
        <f>IF(ISBLANK(patch[[#This Row],[number]]),AE1328,patch[[#This Row],[ifCommon]])</f>
        <v>0</v>
      </c>
    </row>
    <row r="1330" spans="1:31">
      <c r="A1330" s="151">
        <v>144852</v>
      </c>
      <c r="B1330" s="151"/>
      <c r="C1330" s="151"/>
      <c r="D1330" s="151"/>
      <c r="E1330" s="151"/>
      <c r="F1330" s="151"/>
      <c r="G1330" s="151"/>
      <c r="H1330" s="151"/>
      <c r="I1330" s="151"/>
      <c r="J1330" s="152">
        <v>42633.709861111107</v>
      </c>
      <c r="K1330" s="151"/>
      <c r="L1330" s="151" t="s">
        <v>59</v>
      </c>
      <c r="M1330" s="152">
        <v>42627.691620370373</v>
      </c>
      <c r="N1330" s="151" t="s">
        <v>3249</v>
      </c>
      <c r="O1330" s="151"/>
      <c r="P1330" s="151"/>
      <c r="Q1330" s="7" t="str">
        <f>IF(ISBLANK(patch[[#This Row],[OwnerEmail]]),Q1329,patch[[#This Row],[OwnerEmail]])</f>
        <v>john.mathew@intel.com</v>
      </c>
      <c r="R1330" s="7" t="str">
        <f>_xlfn.IFNA(VLOOKUP(patch[[#This Row],[tmp-owner.email]],OrgTree!$A:$K, 11, 0), "not ICG SWFW")</f>
        <v>FL And dev</v>
      </c>
      <c r="S1330" s="7" t="str">
        <f>IF(patch[[#This Row],[reviewer]]=patch[[#This Row],[tmp-owner.email]], "author", _xlfn.IFNA(VLOOKUP(patch[[#This Row],[reviewer]],OrgTree!$A:$K, 11, 0), "not ICG SWFW"))</f>
        <v>BJ And dev</v>
      </c>
      <c r="T1330" s="7" t="str">
        <f>IF(ISBLANK(patch[[#This Row],[mergeDate]]), "", MID(YEAR(patch[[#This Row],[mergeDate]]), 3,2)&amp;"'ww"&amp;WEEKNUM(patch[[#This Row],[mergeDate]]))</f>
        <v>16'ww39</v>
      </c>
      <c r="U1330" s="7" t="str">
        <f>IF(ISBLANK(patch[[#This Row],[mergeDate]]), U1329, MID(YEAR(patch[[#This Row],[mergeDate]]), 3,2)&amp;"'m"&amp;MONTH(patch[[#This Row],[mergeDate]]))</f>
        <v>16'm9</v>
      </c>
      <c r="V1330" s="7" t="str">
        <f>IF(ISBLANK(patch[[#This Row],[project]]), "",SUM(patch[[#This Row],[BJ -1 num]:[SH -1 num]]))</f>
        <v/>
      </c>
      <c r="W1330" s="7" t="str">
        <f>IF(ISBLANK(patch[[#This Row],[project]]), "",COUNTIFS($A:$A,patch[[#This Row],[number]],$S:$S, "BJ And dev",$AC:$AC, "Review-1"))</f>
        <v/>
      </c>
      <c r="X1330" s="7" t="str">
        <f>IF(ISBLANK(patch[[#This Row],[project]]), "",COUNTIFS($A:$A,patch[[#This Row],[number]],$S:$S, "FL And dev",$AC:$AC, "Review-1"))</f>
        <v/>
      </c>
      <c r="Y1330" s="7" t="str">
        <f>IF(ISBLANK(patch[[#This Row],[project]]), "",COUNTIFS($A:$A,patch[[#This Row],[number]],$S:$S, "SH And dev",$AC:$AC, "Review-1"))</f>
        <v/>
      </c>
      <c r="Z1330" s="7" t="str">
        <f>IF(ISBLANK(patch[[#This Row],[project]]), "",COUNTIFS($A:$A,patch[[#This Row],[number]],$S:$S, "BJ And dev",$AD:$AD, "&lt;&gt;IntegratorValidationComment"))</f>
        <v/>
      </c>
      <c r="AA1330" s="7" t="str">
        <f>IF(ISBLANK(patch[[#This Row],[project]]), "",COUNTIFS($A:$A,patch[[#This Row],[number]],$S:$S, "FL And dev",$AD:$AD, "&lt;&gt;IntegratorValidationComment"))</f>
        <v/>
      </c>
      <c r="AB1330" s="7" t="str">
        <f>IF(ISBLANK(patch[[#This Row],[project]]), "",COUNTIFS($A:$A,patch[[#This Row],[number]],$S:$S, "SH And dev",$AD:$AD, "&lt;&gt;IntegratorValidationComment"))</f>
        <v/>
      </c>
      <c r="AC1330" s="7" t="str">
        <f>IF(OR(ISNUMBER(FIND("Review-1", patch[[#This Row],[comments]])), ISNUMBER(FIND("Approver-1", patch[[#This Row],[comments]]))), "Review-1", "")</f>
        <v/>
      </c>
      <c r="AD13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30" s="7">
        <f>IF(ISBLANK(patch[[#This Row],[number]]),AE1329,patch[[#This Row],[ifCommon]])</f>
        <v>0</v>
      </c>
    </row>
    <row r="1331" spans="1:31">
      <c r="A1331" s="151">
        <v>144852</v>
      </c>
      <c r="B1331" s="151"/>
      <c r="C1331" s="151"/>
      <c r="D1331" s="151"/>
      <c r="E1331" s="151"/>
      <c r="F1331" s="151"/>
      <c r="G1331" s="151"/>
      <c r="H1331" s="151"/>
      <c r="I1331" s="151"/>
      <c r="J1331" s="152">
        <v>42633.709861111107</v>
      </c>
      <c r="K1331" s="151"/>
      <c r="L1331" s="151" t="s">
        <v>61</v>
      </c>
      <c r="M1331" s="152">
        <v>42627.706145833326</v>
      </c>
      <c r="N1331" s="151" t="s">
        <v>2466</v>
      </c>
      <c r="O1331" s="151"/>
      <c r="P1331" s="151"/>
      <c r="Q1331" s="7" t="str">
        <f>IF(ISBLANK(patch[[#This Row],[OwnerEmail]]),Q1330,patch[[#This Row],[OwnerEmail]])</f>
        <v>john.mathew@intel.com</v>
      </c>
      <c r="R1331" s="7" t="str">
        <f>_xlfn.IFNA(VLOOKUP(patch[[#This Row],[tmp-owner.email]],OrgTree!$A:$K, 11, 0), "not ICG SWFW")</f>
        <v>FL And dev</v>
      </c>
      <c r="S1331" s="7" t="str">
        <f>IF(patch[[#This Row],[reviewer]]=patch[[#This Row],[tmp-owner.email]], "author", _xlfn.IFNA(VLOOKUP(patch[[#This Row],[reviewer]],OrgTree!$A:$K, 11, 0), "not ICG SWFW"))</f>
        <v>author</v>
      </c>
      <c r="T1331" s="7" t="str">
        <f>IF(ISBLANK(patch[[#This Row],[mergeDate]]), "", MID(YEAR(patch[[#This Row],[mergeDate]]), 3,2)&amp;"'ww"&amp;WEEKNUM(patch[[#This Row],[mergeDate]]))</f>
        <v>16'ww39</v>
      </c>
      <c r="U1331" s="7" t="str">
        <f>IF(ISBLANK(patch[[#This Row],[mergeDate]]), U1330, MID(YEAR(patch[[#This Row],[mergeDate]]), 3,2)&amp;"'m"&amp;MONTH(patch[[#This Row],[mergeDate]]))</f>
        <v>16'm9</v>
      </c>
      <c r="V1331" s="7" t="str">
        <f>IF(ISBLANK(patch[[#This Row],[project]]), "",SUM(patch[[#This Row],[BJ -1 num]:[SH -1 num]]))</f>
        <v/>
      </c>
      <c r="W1331" s="7" t="str">
        <f>IF(ISBLANK(patch[[#This Row],[project]]), "",COUNTIFS($A:$A,patch[[#This Row],[number]],$S:$S, "BJ And dev",$AC:$AC, "Review-1"))</f>
        <v/>
      </c>
      <c r="X1331" s="7" t="str">
        <f>IF(ISBLANK(patch[[#This Row],[project]]), "",COUNTIFS($A:$A,patch[[#This Row],[number]],$S:$S, "FL And dev",$AC:$AC, "Review-1"))</f>
        <v/>
      </c>
      <c r="Y1331" s="7" t="str">
        <f>IF(ISBLANK(patch[[#This Row],[project]]), "",COUNTIFS($A:$A,patch[[#This Row],[number]],$S:$S, "SH And dev",$AC:$AC, "Review-1"))</f>
        <v/>
      </c>
      <c r="Z1331" s="7" t="str">
        <f>IF(ISBLANK(patch[[#This Row],[project]]), "",COUNTIFS($A:$A,patch[[#This Row],[number]],$S:$S, "BJ And dev",$AD:$AD, "&lt;&gt;IntegratorValidationComment"))</f>
        <v/>
      </c>
      <c r="AA1331" s="7" t="str">
        <f>IF(ISBLANK(patch[[#This Row],[project]]), "",COUNTIFS($A:$A,patch[[#This Row],[number]],$S:$S, "FL And dev",$AD:$AD, "&lt;&gt;IntegratorValidationComment"))</f>
        <v/>
      </c>
      <c r="AB1331" s="7" t="str">
        <f>IF(ISBLANK(patch[[#This Row],[project]]), "",COUNTIFS($A:$A,patch[[#This Row],[number]],$S:$S, "SH And dev",$AD:$AD, "&lt;&gt;IntegratorValidationComment"))</f>
        <v/>
      </c>
      <c r="AC1331" s="7" t="str">
        <f>IF(OR(ISNUMBER(FIND("Review-1", patch[[#This Row],[comments]])), ISNUMBER(FIND("Approver-1", patch[[#This Row],[comments]]))), "Review-1", "")</f>
        <v/>
      </c>
      <c r="AD13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31" s="7">
        <f>IF(ISBLANK(patch[[#This Row],[number]]),AE1330,patch[[#This Row],[ifCommon]])</f>
        <v>0</v>
      </c>
    </row>
    <row r="1332" spans="1:31">
      <c r="A1332" s="151">
        <v>144852</v>
      </c>
      <c r="B1332" s="151"/>
      <c r="C1332" s="151"/>
      <c r="D1332" s="151"/>
      <c r="E1332" s="151"/>
      <c r="F1332" s="151"/>
      <c r="G1332" s="151"/>
      <c r="H1332" s="151"/>
      <c r="I1332" s="151"/>
      <c r="J1332" s="152">
        <v>42633.709861111107</v>
      </c>
      <c r="K1332" s="151"/>
      <c r="L1332" s="151" t="s">
        <v>61</v>
      </c>
      <c r="M1332" s="152">
        <v>42627.706145833326</v>
      </c>
      <c r="N1332" s="151" t="s">
        <v>1862</v>
      </c>
      <c r="O1332" s="151"/>
      <c r="P1332" s="151"/>
      <c r="Q1332" s="7" t="str">
        <f>IF(ISBLANK(patch[[#This Row],[OwnerEmail]]),Q1331,patch[[#This Row],[OwnerEmail]])</f>
        <v>john.mathew@intel.com</v>
      </c>
      <c r="R1332" s="7" t="str">
        <f>_xlfn.IFNA(VLOOKUP(patch[[#This Row],[tmp-owner.email]],OrgTree!$A:$K, 11, 0), "not ICG SWFW")</f>
        <v>FL And dev</v>
      </c>
      <c r="S1332" s="7" t="str">
        <f>IF(patch[[#This Row],[reviewer]]=patch[[#This Row],[tmp-owner.email]], "author", _xlfn.IFNA(VLOOKUP(patch[[#This Row],[reviewer]],OrgTree!$A:$K, 11, 0), "not ICG SWFW"))</f>
        <v>author</v>
      </c>
      <c r="T1332" s="7" t="str">
        <f>IF(ISBLANK(patch[[#This Row],[mergeDate]]), "", MID(YEAR(patch[[#This Row],[mergeDate]]), 3,2)&amp;"'ww"&amp;WEEKNUM(patch[[#This Row],[mergeDate]]))</f>
        <v>16'ww39</v>
      </c>
      <c r="U1332" s="7" t="str">
        <f>IF(ISBLANK(patch[[#This Row],[mergeDate]]), U1331, MID(YEAR(patch[[#This Row],[mergeDate]]), 3,2)&amp;"'m"&amp;MONTH(patch[[#This Row],[mergeDate]]))</f>
        <v>16'm9</v>
      </c>
      <c r="V1332" s="7" t="str">
        <f>IF(ISBLANK(patch[[#This Row],[project]]), "",SUM(patch[[#This Row],[BJ -1 num]:[SH -1 num]]))</f>
        <v/>
      </c>
      <c r="W1332" s="7" t="str">
        <f>IF(ISBLANK(patch[[#This Row],[project]]), "",COUNTIFS($A:$A,patch[[#This Row],[number]],$S:$S, "BJ And dev",$AC:$AC, "Review-1"))</f>
        <v/>
      </c>
      <c r="X1332" s="7" t="str">
        <f>IF(ISBLANK(patch[[#This Row],[project]]), "",COUNTIFS($A:$A,patch[[#This Row],[number]],$S:$S, "FL And dev",$AC:$AC, "Review-1"))</f>
        <v/>
      </c>
      <c r="Y1332" s="7" t="str">
        <f>IF(ISBLANK(patch[[#This Row],[project]]), "",COUNTIFS($A:$A,patch[[#This Row],[number]],$S:$S, "SH And dev",$AC:$AC, "Review-1"))</f>
        <v/>
      </c>
      <c r="Z1332" s="7" t="str">
        <f>IF(ISBLANK(patch[[#This Row],[project]]), "",COUNTIFS($A:$A,patch[[#This Row],[number]],$S:$S, "BJ And dev",$AD:$AD, "&lt;&gt;IntegratorValidationComment"))</f>
        <v/>
      </c>
      <c r="AA1332" s="7" t="str">
        <f>IF(ISBLANK(patch[[#This Row],[project]]), "",COUNTIFS($A:$A,patch[[#This Row],[number]],$S:$S, "FL And dev",$AD:$AD, "&lt;&gt;IntegratorValidationComment"))</f>
        <v/>
      </c>
      <c r="AB1332" s="7" t="str">
        <f>IF(ISBLANK(patch[[#This Row],[project]]), "",COUNTIFS($A:$A,patch[[#This Row],[number]],$S:$S, "SH And dev",$AD:$AD, "&lt;&gt;IntegratorValidationComment"))</f>
        <v/>
      </c>
      <c r="AC1332" s="7" t="str">
        <f>IF(OR(ISNUMBER(FIND("Review-1", patch[[#This Row],[comments]])), ISNUMBER(FIND("Approver-1", patch[[#This Row],[comments]]))), "Review-1", "")</f>
        <v/>
      </c>
      <c r="AD13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32" s="7">
        <f>IF(ISBLANK(patch[[#This Row],[number]]),AE1331,patch[[#This Row],[ifCommon]])</f>
        <v>0</v>
      </c>
    </row>
    <row r="1333" spans="1:31">
      <c r="A1333" s="151">
        <v>144852</v>
      </c>
      <c r="B1333" s="151"/>
      <c r="C1333" s="151"/>
      <c r="D1333" s="151"/>
      <c r="E1333" s="151"/>
      <c r="F1333" s="151"/>
      <c r="G1333" s="151"/>
      <c r="H1333" s="151"/>
      <c r="I1333" s="151"/>
      <c r="J1333" s="152">
        <v>42633.709861111107</v>
      </c>
      <c r="K1333" s="151"/>
      <c r="L1333" s="151" t="s">
        <v>61</v>
      </c>
      <c r="M1333" s="152">
        <v>42627.706250000003</v>
      </c>
      <c r="N1333" s="151" t="s">
        <v>1854</v>
      </c>
      <c r="O1333" s="151"/>
      <c r="P1333" s="151"/>
      <c r="Q1333" s="7" t="str">
        <f>IF(ISBLANK(patch[[#This Row],[OwnerEmail]]),Q1332,patch[[#This Row],[OwnerEmail]])</f>
        <v>john.mathew@intel.com</v>
      </c>
      <c r="R1333" s="7" t="str">
        <f>_xlfn.IFNA(VLOOKUP(patch[[#This Row],[tmp-owner.email]],OrgTree!$A:$K, 11, 0), "not ICG SWFW")</f>
        <v>FL And dev</v>
      </c>
      <c r="S1333" s="7" t="str">
        <f>IF(patch[[#This Row],[reviewer]]=patch[[#This Row],[tmp-owner.email]], "author", _xlfn.IFNA(VLOOKUP(patch[[#This Row],[reviewer]],OrgTree!$A:$K, 11, 0), "not ICG SWFW"))</f>
        <v>author</v>
      </c>
      <c r="T1333" s="7" t="str">
        <f>IF(ISBLANK(patch[[#This Row],[mergeDate]]), "", MID(YEAR(patch[[#This Row],[mergeDate]]), 3,2)&amp;"'ww"&amp;WEEKNUM(patch[[#This Row],[mergeDate]]))</f>
        <v>16'ww39</v>
      </c>
      <c r="U1333" s="7" t="str">
        <f>IF(ISBLANK(patch[[#This Row],[mergeDate]]), U1332, MID(YEAR(patch[[#This Row],[mergeDate]]), 3,2)&amp;"'m"&amp;MONTH(patch[[#This Row],[mergeDate]]))</f>
        <v>16'm9</v>
      </c>
      <c r="V1333" s="7" t="str">
        <f>IF(ISBLANK(patch[[#This Row],[project]]), "",SUM(patch[[#This Row],[BJ -1 num]:[SH -1 num]]))</f>
        <v/>
      </c>
      <c r="W1333" s="7" t="str">
        <f>IF(ISBLANK(patch[[#This Row],[project]]), "",COUNTIFS($A:$A,patch[[#This Row],[number]],$S:$S, "BJ And dev",$AC:$AC, "Review-1"))</f>
        <v/>
      </c>
      <c r="X1333" s="7" t="str">
        <f>IF(ISBLANK(patch[[#This Row],[project]]), "",COUNTIFS($A:$A,patch[[#This Row],[number]],$S:$S, "FL And dev",$AC:$AC, "Review-1"))</f>
        <v/>
      </c>
      <c r="Y1333" s="7" t="str">
        <f>IF(ISBLANK(patch[[#This Row],[project]]), "",COUNTIFS($A:$A,patch[[#This Row],[number]],$S:$S, "SH And dev",$AC:$AC, "Review-1"))</f>
        <v/>
      </c>
      <c r="Z1333" s="7" t="str">
        <f>IF(ISBLANK(patch[[#This Row],[project]]), "",COUNTIFS($A:$A,patch[[#This Row],[number]],$S:$S, "BJ And dev",$AD:$AD, "&lt;&gt;IntegratorValidationComment"))</f>
        <v/>
      </c>
      <c r="AA1333" s="7" t="str">
        <f>IF(ISBLANK(patch[[#This Row],[project]]), "",COUNTIFS($A:$A,patch[[#This Row],[number]],$S:$S, "FL And dev",$AD:$AD, "&lt;&gt;IntegratorValidationComment"))</f>
        <v/>
      </c>
      <c r="AB1333" s="7" t="str">
        <f>IF(ISBLANK(patch[[#This Row],[project]]), "",COUNTIFS($A:$A,patch[[#This Row],[number]],$S:$S, "SH And dev",$AD:$AD, "&lt;&gt;IntegratorValidationComment"))</f>
        <v/>
      </c>
      <c r="AC1333" s="7" t="str">
        <f>IF(OR(ISNUMBER(FIND("Review-1", patch[[#This Row],[comments]])), ISNUMBER(FIND("Approver-1", patch[[#This Row],[comments]]))), "Review-1", "")</f>
        <v/>
      </c>
      <c r="AD13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33" s="7">
        <f>IF(ISBLANK(patch[[#This Row],[number]]),AE1332,patch[[#This Row],[ifCommon]])</f>
        <v>0</v>
      </c>
    </row>
    <row r="1334" spans="1:31">
      <c r="A1334" s="151">
        <v>144852</v>
      </c>
      <c r="B1334" s="151"/>
      <c r="C1334" s="151"/>
      <c r="D1334" s="151"/>
      <c r="E1334" s="151"/>
      <c r="F1334" s="151"/>
      <c r="G1334" s="151"/>
      <c r="H1334" s="151"/>
      <c r="I1334" s="151"/>
      <c r="J1334" s="152">
        <v>42633.709861111107</v>
      </c>
      <c r="K1334" s="151"/>
      <c r="L1334" s="151" t="s">
        <v>55</v>
      </c>
      <c r="M1334" s="152">
        <v>42627.70753472222</v>
      </c>
      <c r="N1334" s="151" t="s">
        <v>1854</v>
      </c>
      <c r="O1334" s="151"/>
      <c r="P1334" s="151"/>
      <c r="Q1334" s="7" t="str">
        <f>IF(ISBLANK(patch[[#This Row],[OwnerEmail]]),Q1333,patch[[#This Row],[OwnerEmail]])</f>
        <v>john.mathew@intel.com</v>
      </c>
      <c r="R1334" s="7" t="str">
        <f>_xlfn.IFNA(VLOOKUP(patch[[#This Row],[tmp-owner.email]],OrgTree!$A:$K, 11, 0), "not ICG SWFW")</f>
        <v>FL And dev</v>
      </c>
      <c r="S1334" s="7" t="str">
        <f>IF(patch[[#This Row],[reviewer]]=patch[[#This Row],[tmp-owner.email]], "author", _xlfn.IFNA(VLOOKUP(patch[[#This Row],[reviewer]],OrgTree!$A:$K, 11, 0), "not ICG SWFW"))</f>
        <v>BJ And dev</v>
      </c>
      <c r="T1334" s="7" t="str">
        <f>IF(ISBLANK(patch[[#This Row],[mergeDate]]), "", MID(YEAR(patch[[#This Row],[mergeDate]]), 3,2)&amp;"'ww"&amp;WEEKNUM(patch[[#This Row],[mergeDate]]))</f>
        <v>16'ww39</v>
      </c>
      <c r="U1334" s="7" t="str">
        <f>IF(ISBLANK(patch[[#This Row],[mergeDate]]), U1333, MID(YEAR(patch[[#This Row],[mergeDate]]), 3,2)&amp;"'m"&amp;MONTH(patch[[#This Row],[mergeDate]]))</f>
        <v>16'm9</v>
      </c>
      <c r="V1334" s="7" t="str">
        <f>IF(ISBLANK(patch[[#This Row],[project]]), "",SUM(patch[[#This Row],[BJ -1 num]:[SH -1 num]]))</f>
        <v/>
      </c>
      <c r="W1334" s="7" t="str">
        <f>IF(ISBLANK(patch[[#This Row],[project]]), "",COUNTIFS($A:$A,patch[[#This Row],[number]],$S:$S, "BJ And dev",$AC:$AC, "Review-1"))</f>
        <v/>
      </c>
      <c r="X1334" s="7" t="str">
        <f>IF(ISBLANK(patch[[#This Row],[project]]), "",COUNTIFS($A:$A,patch[[#This Row],[number]],$S:$S, "FL And dev",$AC:$AC, "Review-1"))</f>
        <v/>
      </c>
      <c r="Y1334" s="7" t="str">
        <f>IF(ISBLANK(patch[[#This Row],[project]]), "",COUNTIFS($A:$A,patch[[#This Row],[number]],$S:$S, "SH And dev",$AC:$AC, "Review-1"))</f>
        <v/>
      </c>
      <c r="Z1334" s="7" t="str">
        <f>IF(ISBLANK(patch[[#This Row],[project]]), "",COUNTIFS($A:$A,patch[[#This Row],[number]],$S:$S, "BJ And dev",$AD:$AD, "&lt;&gt;IntegratorValidationComment"))</f>
        <v/>
      </c>
      <c r="AA1334" s="7" t="str">
        <f>IF(ISBLANK(patch[[#This Row],[project]]), "",COUNTIFS($A:$A,patch[[#This Row],[number]],$S:$S, "FL And dev",$AD:$AD, "&lt;&gt;IntegratorValidationComment"))</f>
        <v/>
      </c>
      <c r="AB1334" s="7" t="str">
        <f>IF(ISBLANK(patch[[#This Row],[project]]), "",COUNTIFS($A:$A,patch[[#This Row],[number]],$S:$S, "SH And dev",$AD:$AD, "&lt;&gt;IntegratorValidationComment"))</f>
        <v/>
      </c>
      <c r="AC1334" s="7" t="str">
        <f>IF(OR(ISNUMBER(FIND("Review-1", patch[[#This Row],[comments]])), ISNUMBER(FIND("Approver-1", patch[[#This Row],[comments]]))), "Review-1", "")</f>
        <v/>
      </c>
      <c r="AD13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34" s="7">
        <f>IF(ISBLANK(patch[[#This Row],[number]]),AE1333,patch[[#This Row],[ifCommon]])</f>
        <v>0</v>
      </c>
    </row>
    <row r="1335" spans="1:31">
      <c r="A1335" s="151">
        <v>144852</v>
      </c>
      <c r="B1335" s="151"/>
      <c r="C1335" s="151"/>
      <c r="D1335" s="151"/>
      <c r="E1335" s="151"/>
      <c r="F1335" s="151"/>
      <c r="G1335" s="151"/>
      <c r="H1335" s="151"/>
      <c r="I1335" s="151"/>
      <c r="J1335" s="152">
        <v>42633.709861111107</v>
      </c>
      <c r="K1335" s="151"/>
      <c r="L1335" s="151" t="s">
        <v>32</v>
      </c>
      <c r="M1335" s="152">
        <v>42627.707731481481</v>
      </c>
      <c r="N1335" s="151" t="s">
        <v>2487</v>
      </c>
      <c r="O1335" s="151"/>
      <c r="P1335" s="151"/>
      <c r="Q1335" s="7" t="str">
        <f>IF(ISBLANK(patch[[#This Row],[OwnerEmail]]),Q1334,patch[[#This Row],[OwnerEmail]])</f>
        <v>john.mathew@intel.com</v>
      </c>
      <c r="R1335" s="7" t="str">
        <f>_xlfn.IFNA(VLOOKUP(patch[[#This Row],[tmp-owner.email]],OrgTree!$A:$K, 11, 0), "not ICG SWFW")</f>
        <v>FL And dev</v>
      </c>
      <c r="S1335" s="7" t="str">
        <f>IF(patch[[#This Row],[reviewer]]=patch[[#This Row],[tmp-owner.email]], "author", _xlfn.IFNA(VLOOKUP(patch[[#This Row],[reviewer]],OrgTree!$A:$K, 11, 0), "not ICG SWFW"))</f>
        <v>BJ And dev</v>
      </c>
      <c r="T1335" s="7" t="str">
        <f>IF(ISBLANK(patch[[#This Row],[mergeDate]]), "", MID(YEAR(patch[[#This Row],[mergeDate]]), 3,2)&amp;"'ww"&amp;WEEKNUM(patch[[#This Row],[mergeDate]]))</f>
        <v>16'ww39</v>
      </c>
      <c r="U1335" s="7" t="str">
        <f>IF(ISBLANK(patch[[#This Row],[mergeDate]]), U1334, MID(YEAR(patch[[#This Row],[mergeDate]]), 3,2)&amp;"'m"&amp;MONTH(patch[[#This Row],[mergeDate]]))</f>
        <v>16'm9</v>
      </c>
      <c r="V1335" s="7" t="str">
        <f>IF(ISBLANK(patch[[#This Row],[project]]), "",SUM(patch[[#This Row],[BJ -1 num]:[SH -1 num]]))</f>
        <v/>
      </c>
      <c r="W1335" s="7" t="str">
        <f>IF(ISBLANK(patch[[#This Row],[project]]), "",COUNTIFS($A:$A,patch[[#This Row],[number]],$S:$S, "BJ And dev",$AC:$AC, "Review-1"))</f>
        <v/>
      </c>
      <c r="X1335" s="7" t="str">
        <f>IF(ISBLANK(patch[[#This Row],[project]]), "",COUNTIFS($A:$A,patch[[#This Row],[number]],$S:$S, "FL And dev",$AC:$AC, "Review-1"))</f>
        <v/>
      </c>
      <c r="Y1335" s="7" t="str">
        <f>IF(ISBLANK(patch[[#This Row],[project]]), "",COUNTIFS($A:$A,patch[[#This Row],[number]],$S:$S, "SH And dev",$AC:$AC, "Review-1"))</f>
        <v/>
      </c>
      <c r="Z1335" s="7" t="str">
        <f>IF(ISBLANK(patch[[#This Row],[project]]), "",COUNTIFS($A:$A,patch[[#This Row],[number]],$S:$S, "BJ And dev",$AD:$AD, "&lt;&gt;IntegratorValidationComment"))</f>
        <v/>
      </c>
      <c r="AA1335" s="7" t="str">
        <f>IF(ISBLANK(patch[[#This Row],[project]]), "",COUNTIFS($A:$A,patch[[#This Row],[number]],$S:$S, "FL And dev",$AD:$AD, "&lt;&gt;IntegratorValidationComment"))</f>
        <v/>
      </c>
      <c r="AB1335" s="7" t="str">
        <f>IF(ISBLANK(patch[[#This Row],[project]]), "",COUNTIFS($A:$A,patch[[#This Row],[number]],$S:$S, "SH And dev",$AD:$AD, "&lt;&gt;IntegratorValidationComment"))</f>
        <v/>
      </c>
      <c r="AC1335" s="7" t="str">
        <f>IF(OR(ISNUMBER(FIND("Review-1", patch[[#This Row],[comments]])), ISNUMBER(FIND("Approver-1", patch[[#This Row],[comments]]))), "Review-1", "")</f>
        <v/>
      </c>
      <c r="AD13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35" s="7">
        <f>IF(ISBLANK(patch[[#This Row],[number]]),AE1334,patch[[#This Row],[ifCommon]])</f>
        <v>0</v>
      </c>
    </row>
    <row r="1336" spans="1:31">
      <c r="A1336" s="151">
        <v>144852</v>
      </c>
      <c r="B1336" s="151"/>
      <c r="C1336" s="151"/>
      <c r="D1336" s="151"/>
      <c r="E1336" s="151"/>
      <c r="F1336" s="151"/>
      <c r="G1336" s="151"/>
      <c r="H1336" s="151"/>
      <c r="I1336" s="151"/>
      <c r="J1336" s="152">
        <v>42633.709861111107</v>
      </c>
      <c r="K1336" s="151"/>
      <c r="L1336" s="151" t="s">
        <v>59</v>
      </c>
      <c r="M1336" s="152">
        <v>42627.709768518522</v>
      </c>
      <c r="N1336" s="151" t="s">
        <v>3250</v>
      </c>
      <c r="O1336" s="151"/>
      <c r="P1336" s="151"/>
      <c r="Q1336" s="7" t="str">
        <f>IF(ISBLANK(patch[[#This Row],[OwnerEmail]]),Q1335,patch[[#This Row],[OwnerEmail]])</f>
        <v>john.mathew@intel.com</v>
      </c>
      <c r="R1336" s="7" t="str">
        <f>_xlfn.IFNA(VLOOKUP(patch[[#This Row],[tmp-owner.email]],OrgTree!$A:$K, 11, 0), "not ICG SWFW")</f>
        <v>FL And dev</v>
      </c>
      <c r="S1336" s="7" t="str">
        <f>IF(patch[[#This Row],[reviewer]]=patch[[#This Row],[tmp-owner.email]], "author", _xlfn.IFNA(VLOOKUP(patch[[#This Row],[reviewer]],OrgTree!$A:$K, 11, 0), "not ICG SWFW"))</f>
        <v>BJ And dev</v>
      </c>
      <c r="T1336" s="7" t="str">
        <f>IF(ISBLANK(patch[[#This Row],[mergeDate]]), "", MID(YEAR(patch[[#This Row],[mergeDate]]), 3,2)&amp;"'ww"&amp;WEEKNUM(patch[[#This Row],[mergeDate]]))</f>
        <v>16'ww39</v>
      </c>
      <c r="U1336" s="7" t="str">
        <f>IF(ISBLANK(patch[[#This Row],[mergeDate]]), U1335, MID(YEAR(patch[[#This Row],[mergeDate]]), 3,2)&amp;"'m"&amp;MONTH(patch[[#This Row],[mergeDate]]))</f>
        <v>16'm9</v>
      </c>
      <c r="V1336" s="7" t="str">
        <f>IF(ISBLANK(patch[[#This Row],[project]]), "",SUM(patch[[#This Row],[BJ -1 num]:[SH -1 num]]))</f>
        <v/>
      </c>
      <c r="W1336" s="7" t="str">
        <f>IF(ISBLANK(patch[[#This Row],[project]]), "",COUNTIFS($A:$A,patch[[#This Row],[number]],$S:$S, "BJ And dev",$AC:$AC, "Review-1"))</f>
        <v/>
      </c>
      <c r="X1336" s="7" t="str">
        <f>IF(ISBLANK(patch[[#This Row],[project]]), "",COUNTIFS($A:$A,patch[[#This Row],[number]],$S:$S, "FL And dev",$AC:$AC, "Review-1"))</f>
        <v/>
      </c>
      <c r="Y1336" s="7" t="str">
        <f>IF(ISBLANK(patch[[#This Row],[project]]), "",COUNTIFS($A:$A,patch[[#This Row],[number]],$S:$S, "SH And dev",$AC:$AC, "Review-1"))</f>
        <v/>
      </c>
      <c r="Z1336" s="7" t="str">
        <f>IF(ISBLANK(patch[[#This Row],[project]]), "",COUNTIFS($A:$A,patch[[#This Row],[number]],$S:$S, "BJ And dev",$AD:$AD, "&lt;&gt;IntegratorValidationComment"))</f>
        <v/>
      </c>
      <c r="AA1336" s="7" t="str">
        <f>IF(ISBLANK(patch[[#This Row],[project]]), "",COUNTIFS($A:$A,patch[[#This Row],[number]],$S:$S, "FL And dev",$AD:$AD, "&lt;&gt;IntegratorValidationComment"))</f>
        <v/>
      </c>
      <c r="AB1336" s="7" t="str">
        <f>IF(ISBLANK(patch[[#This Row],[project]]), "",COUNTIFS($A:$A,patch[[#This Row],[number]],$S:$S, "SH And dev",$AD:$AD, "&lt;&gt;IntegratorValidationComment"))</f>
        <v/>
      </c>
      <c r="AC1336" s="7" t="str">
        <f>IF(OR(ISNUMBER(FIND("Review-1", patch[[#This Row],[comments]])), ISNUMBER(FIND("Approver-1", patch[[#This Row],[comments]]))), "Review-1", "")</f>
        <v/>
      </c>
      <c r="AD13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36" s="7">
        <f>IF(ISBLANK(patch[[#This Row],[number]]),AE1335,patch[[#This Row],[ifCommon]])</f>
        <v>0</v>
      </c>
    </row>
    <row r="1337" spans="1:31">
      <c r="A1337" s="151">
        <v>144852</v>
      </c>
      <c r="B1337" s="151"/>
      <c r="C1337" s="151"/>
      <c r="D1337" s="151"/>
      <c r="E1337" s="151"/>
      <c r="F1337" s="151"/>
      <c r="G1337" s="151"/>
      <c r="H1337" s="151"/>
      <c r="I1337" s="151"/>
      <c r="J1337" s="152">
        <v>42633.709861111107</v>
      </c>
      <c r="K1337" s="151"/>
      <c r="L1337" s="151" t="s">
        <v>59</v>
      </c>
      <c r="M1337" s="152">
        <v>42627.712418981479</v>
      </c>
      <c r="N1337" s="151" t="s">
        <v>3251</v>
      </c>
      <c r="O1337" s="151"/>
      <c r="P1337" s="151"/>
      <c r="Q1337" s="7" t="str">
        <f>IF(ISBLANK(patch[[#This Row],[OwnerEmail]]),Q1336,patch[[#This Row],[OwnerEmail]])</f>
        <v>john.mathew@intel.com</v>
      </c>
      <c r="R1337" s="7" t="str">
        <f>_xlfn.IFNA(VLOOKUP(patch[[#This Row],[tmp-owner.email]],OrgTree!$A:$K, 11, 0), "not ICG SWFW")</f>
        <v>FL And dev</v>
      </c>
      <c r="S1337" s="7" t="str">
        <f>IF(patch[[#This Row],[reviewer]]=patch[[#This Row],[tmp-owner.email]], "author", _xlfn.IFNA(VLOOKUP(patch[[#This Row],[reviewer]],OrgTree!$A:$K, 11, 0), "not ICG SWFW"))</f>
        <v>BJ And dev</v>
      </c>
      <c r="T1337" s="7" t="str">
        <f>IF(ISBLANK(patch[[#This Row],[mergeDate]]), "", MID(YEAR(patch[[#This Row],[mergeDate]]), 3,2)&amp;"'ww"&amp;WEEKNUM(patch[[#This Row],[mergeDate]]))</f>
        <v>16'ww39</v>
      </c>
      <c r="U1337" s="7" t="str">
        <f>IF(ISBLANK(patch[[#This Row],[mergeDate]]), U1336, MID(YEAR(patch[[#This Row],[mergeDate]]), 3,2)&amp;"'m"&amp;MONTH(patch[[#This Row],[mergeDate]]))</f>
        <v>16'm9</v>
      </c>
      <c r="V1337" s="7" t="str">
        <f>IF(ISBLANK(patch[[#This Row],[project]]), "",SUM(patch[[#This Row],[BJ -1 num]:[SH -1 num]]))</f>
        <v/>
      </c>
      <c r="W1337" s="7" t="str">
        <f>IF(ISBLANK(patch[[#This Row],[project]]), "",COUNTIFS($A:$A,patch[[#This Row],[number]],$S:$S, "BJ And dev",$AC:$AC, "Review-1"))</f>
        <v/>
      </c>
      <c r="X1337" s="7" t="str">
        <f>IF(ISBLANK(patch[[#This Row],[project]]), "",COUNTIFS($A:$A,patch[[#This Row],[number]],$S:$S, "FL And dev",$AC:$AC, "Review-1"))</f>
        <v/>
      </c>
      <c r="Y1337" s="7" t="str">
        <f>IF(ISBLANK(patch[[#This Row],[project]]), "",COUNTIFS($A:$A,patch[[#This Row],[number]],$S:$S, "SH And dev",$AC:$AC, "Review-1"))</f>
        <v/>
      </c>
      <c r="Z1337" s="7" t="str">
        <f>IF(ISBLANK(patch[[#This Row],[project]]), "",COUNTIFS($A:$A,patch[[#This Row],[number]],$S:$S, "BJ And dev",$AD:$AD, "&lt;&gt;IntegratorValidationComment"))</f>
        <v/>
      </c>
      <c r="AA1337" s="7" t="str">
        <f>IF(ISBLANK(patch[[#This Row],[project]]), "",COUNTIFS($A:$A,patch[[#This Row],[number]],$S:$S, "FL And dev",$AD:$AD, "&lt;&gt;IntegratorValidationComment"))</f>
        <v/>
      </c>
      <c r="AB1337" s="7" t="str">
        <f>IF(ISBLANK(patch[[#This Row],[project]]), "",COUNTIFS($A:$A,patch[[#This Row],[number]],$S:$S, "SH And dev",$AD:$AD, "&lt;&gt;IntegratorValidationComment"))</f>
        <v/>
      </c>
      <c r="AC1337" s="7" t="str">
        <f>IF(OR(ISNUMBER(FIND("Review-1", patch[[#This Row],[comments]])), ISNUMBER(FIND("Approver-1", patch[[#This Row],[comments]]))), "Review-1", "")</f>
        <v/>
      </c>
      <c r="AD13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37" s="7">
        <f>IF(ISBLANK(patch[[#This Row],[number]]),AE1336,patch[[#This Row],[ifCommon]])</f>
        <v>0</v>
      </c>
    </row>
    <row r="1338" spans="1:31">
      <c r="A1338" s="151">
        <v>144852</v>
      </c>
      <c r="B1338" s="151"/>
      <c r="C1338" s="151"/>
      <c r="D1338" s="151"/>
      <c r="E1338" s="151"/>
      <c r="F1338" s="151"/>
      <c r="G1338" s="151"/>
      <c r="H1338" s="151"/>
      <c r="I1338" s="151"/>
      <c r="J1338" s="152">
        <v>42633.709861111107</v>
      </c>
      <c r="K1338" s="151"/>
      <c r="L1338" s="151" t="s">
        <v>115</v>
      </c>
      <c r="M1338" s="152">
        <v>42632.425451388888</v>
      </c>
      <c r="N1338" s="151" t="s">
        <v>2489</v>
      </c>
      <c r="O1338" s="151"/>
      <c r="P1338" s="151"/>
      <c r="Q1338" s="7" t="str">
        <f>IF(ISBLANK(patch[[#This Row],[OwnerEmail]]),Q1337,patch[[#This Row],[OwnerEmail]])</f>
        <v>john.mathew@intel.com</v>
      </c>
      <c r="R1338" s="7" t="str">
        <f>_xlfn.IFNA(VLOOKUP(patch[[#This Row],[tmp-owner.email]],OrgTree!$A:$K, 11, 0), "not ICG SWFW")</f>
        <v>FL And dev</v>
      </c>
      <c r="S1338" s="7" t="str">
        <f>IF(patch[[#This Row],[reviewer]]=patch[[#This Row],[tmp-owner.email]], "author", _xlfn.IFNA(VLOOKUP(patch[[#This Row],[reviewer]],OrgTree!$A:$K, 11, 0), "not ICG SWFW"))</f>
        <v>Val</v>
      </c>
      <c r="T1338" s="7" t="str">
        <f>IF(ISBLANK(patch[[#This Row],[mergeDate]]), "", MID(YEAR(patch[[#This Row],[mergeDate]]), 3,2)&amp;"'ww"&amp;WEEKNUM(patch[[#This Row],[mergeDate]]))</f>
        <v>16'ww39</v>
      </c>
      <c r="U1338" s="7" t="str">
        <f>IF(ISBLANK(patch[[#This Row],[mergeDate]]), U1337, MID(YEAR(patch[[#This Row],[mergeDate]]), 3,2)&amp;"'m"&amp;MONTH(patch[[#This Row],[mergeDate]]))</f>
        <v>16'm9</v>
      </c>
      <c r="V1338" s="7" t="str">
        <f>IF(ISBLANK(patch[[#This Row],[project]]), "",SUM(patch[[#This Row],[BJ -1 num]:[SH -1 num]]))</f>
        <v/>
      </c>
      <c r="W1338" s="7" t="str">
        <f>IF(ISBLANK(patch[[#This Row],[project]]), "",COUNTIFS($A:$A,patch[[#This Row],[number]],$S:$S, "BJ And dev",$AC:$AC, "Review-1"))</f>
        <v/>
      </c>
      <c r="X1338" s="7" t="str">
        <f>IF(ISBLANK(patch[[#This Row],[project]]), "",COUNTIFS($A:$A,patch[[#This Row],[number]],$S:$S, "FL And dev",$AC:$AC, "Review-1"))</f>
        <v/>
      </c>
      <c r="Y1338" s="7" t="str">
        <f>IF(ISBLANK(patch[[#This Row],[project]]), "",COUNTIFS($A:$A,patch[[#This Row],[number]],$S:$S, "SH And dev",$AC:$AC, "Review-1"))</f>
        <v/>
      </c>
      <c r="Z1338" s="7" t="str">
        <f>IF(ISBLANK(patch[[#This Row],[project]]), "",COUNTIFS($A:$A,patch[[#This Row],[number]],$S:$S, "BJ And dev",$AD:$AD, "&lt;&gt;IntegratorValidationComment"))</f>
        <v/>
      </c>
      <c r="AA1338" s="7" t="str">
        <f>IF(ISBLANK(patch[[#This Row],[project]]), "",COUNTIFS($A:$A,patch[[#This Row],[number]],$S:$S, "FL And dev",$AD:$AD, "&lt;&gt;IntegratorValidationComment"))</f>
        <v/>
      </c>
      <c r="AB1338" s="7" t="str">
        <f>IF(ISBLANK(patch[[#This Row],[project]]), "",COUNTIFS($A:$A,patch[[#This Row],[number]],$S:$S, "SH And dev",$AD:$AD, "&lt;&gt;IntegratorValidationComment"))</f>
        <v/>
      </c>
      <c r="AC1338" s="7" t="str">
        <f>IF(OR(ISNUMBER(FIND("Review-1", patch[[#This Row],[comments]])), ISNUMBER(FIND("Approver-1", patch[[#This Row],[comments]]))), "Review-1", "")</f>
        <v/>
      </c>
      <c r="AD13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338" s="7">
        <f>IF(ISBLANK(patch[[#This Row],[number]]),AE1337,patch[[#This Row],[ifCommon]])</f>
        <v>0</v>
      </c>
    </row>
    <row r="1339" spans="1:31">
      <c r="A1339" s="151">
        <v>144909</v>
      </c>
      <c r="B1339" s="151" t="s">
        <v>2490</v>
      </c>
      <c r="C1339" s="151" t="s">
        <v>2491</v>
      </c>
      <c r="D1339" s="151" t="s">
        <v>3052</v>
      </c>
      <c r="E1339" s="151" t="s">
        <v>61</v>
      </c>
      <c r="F1339" s="151" t="s">
        <v>23</v>
      </c>
      <c r="G1339" s="151" t="s">
        <v>3053</v>
      </c>
      <c r="H1339" s="151" t="s">
        <v>3054</v>
      </c>
      <c r="I1339" s="152">
        <v>42626.957094907397</v>
      </c>
      <c r="J1339" s="152">
        <v>42633.709826388891</v>
      </c>
      <c r="K1339" s="151" t="s">
        <v>2445</v>
      </c>
      <c r="L1339" s="151" t="s">
        <v>61</v>
      </c>
      <c r="M1339" s="152">
        <v>42626.957094907397</v>
      </c>
      <c r="N1339" s="151" t="s">
        <v>25</v>
      </c>
      <c r="O1339" s="151"/>
      <c r="P1339" s="151" t="s">
        <v>3252</v>
      </c>
      <c r="Q1339" s="7" t="str">
        <f>IF(ISBLANK(patch[[#This Row],[OwnerEmail]]),Q1338,patch[[#This Row],[OwnerEmail]])</f>
        <v>john.mathew@intel.com</v>
      </c>
      <c r="R1339" s="7" t="str">
        <f>_xlfn.IFNA(VLOOKUP(patch[[#This Row],[tmp-owner.email]],OrgTree!$A:$K, 11, 0), "not ICG SWFW")</f>
        <v>FL And dev</v>
      </c>
      <c r="S1339" s="7" t="str">
        <f>IF(patch[[#This Row],[reviewer]]=patch[[#This Row],[tmp-owner.email]], "author", _xlfn.IFNA(VLOOKUP(patch[[#This Row],[reviewer]],OrgTree!$A:$K, 11, 0), "not ICG SWFW"))</f>
        <v>author</v>
      </c>
      <c r="T1339" s="7" t="str">
        <f>IF(ISBLANK(patch[[#This Row],[mergeDate]]), "", MID(YEAR(patch[[#This Row],[mergeDate]]), 3,2)&amp;"'ww"&amp;WEEKNUM(patch[[#This Row],[mergeDate]]))</f>
        <v>16'ww39</v>
      </c>
      <c r="U1339" s="7" t="str">
        <f>IF(ISBLANK(patch[[#This Row],[mergeDate]]), U1338, MID(YEAR(patch[[#This Row],[mergeDate]]), 3,2)&amp;"'m"&amp;MONTH(patch[[#This Row],[mergeDate]]))</f>
        <v>16'm9</v>
      </c>
      <c r="V1339" s="7">
        <f>IF(ISBLANK(patch[[#This Row],[project]]), "",SUM(patch[[#This Row],[BJ -1 num]:[SH -1 num]]))</f>
        <v>0</v>
      </c>
      <c r="W1339" s="7">
        <f>IF(ISBLANK(patch[[#This Row],[project]]), "",COUNTIFS($A:$A,patch[[#This Row],[number]],$S:$S, "BJ And dev",$AC:$AC, "Review-1"))</f>
        <v>0</v>
      </c>
      <c r="X1339" s="7">
        <f>IF(ISBLANK(patch[[#This Row],[project]]), "",COUNTIFS($A:$A,patch[[#This Row],[number]],$S:$S, "FL And dev",$AC:$AC, "Review-1"))</f>
        <v>0</v>
      </c>
      <c r="Y1339" s="7">
        <f>IF(ISBLANK(patch[[#This Row],[project]]), "",COUNTIFS($A:$A,patch[[#This Row],[number]],$S:$S, "SH And dev",$AC:$AC, "Review-1"))</f>
        <v>0</v>
      </c>
      <c r="Z1339" s="7">
        <f>IF(ISBLANK(patch[[#This Row],[project]]), "",COUNTIFS($A:$A,patch[[#This Row],[number]],$S:$S, "BJ And dev",$AD:$AD, "&lt;&gt;IntegratorValidationComment"))</f>
        <v>6</v>
      </c>
      <c r="AA1339" s="7">
        <f>IF(ISBLANK(patch[[#This Row],[project]]), "",COUNTIFS($A:$A,patch[[#This Row],[number]],$S:$S, "FL And dev",$AD:$AD, "&lt;&gt;IntegratorValidationComment"))</f>
        <v>0</v>
      </c>
      <c r="AB1339" s="7">
        <f>IF(ISBLANK(patch[[#This Row],[project]]), "",COUNTIFS($A:$A,patch[[#This Row],[number]],$S:$S, "SH And dev",$AD:$AD, "&lt;&gt;IntegratorValidationComment"))</f>
        <v>0</v>
      </c>
      <c r="AC1339" s="7" t="str">
        <f>IF(OR(ISNUMBER(FIND("Review-1", patch[[#This Row],[comments]])), ISNUMBER(FIND("Approver-1", patch[[#This Row],[comments]]))), "Review-1", "")</f>
        <v/>
      </c>
      <c r="AD13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39" s="7" t="str">
        <f>IF(ISBLANK(patch[[#This Row],[number]]),AE1338,patch[[#This Row],[ifCommon]])</f>
        <v>not AndrHAL</v>
      </c>
    </row>
    <row r="1340" spans="1:31">
      <c r="A1340" s="151">
        <v>144909</v>
      </c>
      <c r="B1340" s="151"/>
      <c r="C1340" s="151"/>
      <c r="D1340" s="151"/>
      <c r="E1340" s="151"/>
      <c r="F1340" s="151"/>
      <c r="G1340" s="151"/>
      <c r="H1340" s="151"/>
      <c r="I1340" s="151"/>
      <c r="J1340" s="152">
        <v>42633.709826388891</v>
      </c>
      <c r="K1340" s="151"/>
      <c r="L1340" s="151" t="s">
        <v>61</v>
      </c>
      <c r="M1340" s="152">
        <v>42626.957094907397</v>
      </c>
      <c r="N1340" s="151" t="s">
        <v>2428</v>
      </c>
      <c r="O1340" s="151"/>
      <c r="P1340" s="151"/>
      <c r="Q1340" s="7" t="str">
        <f>IF(ISBLANK(patch[[#This Row],[OwnerEmail]]),Q1339,patch[[#This Row],[OwnerEmail]])</f>
        <v>john.mathew@intel.com</v>
      </c>
      <c r="R1340" s="7" t="str">
        <f>_xlfn.IFNA(VLOOKUP(patch[[#This Row],[tmp-owner.email]],OrgTree!$A:$K, 11, 0), "not ICG SWFW")</f>
        <v>FL And dev</v>
      </c>
      <c r="S1340" s="7" t="str">
        <f>IF(patch[[#This Row],[reviewer]]=patch[[#This Row],[tmp-owner.email]], "author", _xlfn.IFNA(VLOOKUP(patch[[#This Row],[reviewer]],OrgTree!$A:$K, 11, 0), "not ICG SWFW"))</f>
        <v>author</v>
      </c>
      <c r="T1340" s="7" t="str">
        <f>IF(ISBLANK(patch[[#This Row],[mergeDate]]), "", MID(YEAR(patch[[#This Row],[mergeDate]]), 3,2)&amp;"'ww"&amp;WEEKNUM(patch[[#This Row],[mergeDate]]))</f>
        <v>16'ww39</v>
      </c>
      <c r="U1340" s="7" t="str">
        <f>IF(ISBLANK(patch[[#This Row],[mergeDate]]), U1339, MID(YEAR(patch[[#This Row],[mergeDate]]), 3,2)&amp;"'m"&amp;MONTH(patch[[#This Row],[mergeDate]]))</f>
        <v>16'm9</v>
      </c>
      <c r="V1340" s="7" t="str">
        <f>IF(ISBLANK(patch[[#This Row],[project]]), "",SUM(patch[[#This Row],[BJ -1 num]:[SH -1 num]]))</f>
        <v/>
      </c>
      <c r="W1340" s="7" t="str">
        <f>IF(ISBLANK(patch[[#This Row],[project]]), "",COUNTIFS($A:$A,patch[[#This Row],[number]],$S:$S, "BJ And dev",$AC:$AC, "Review-1"))</f>
        <v/>
      </c>
      <c r="X1340" s="7" t="str">
        <f>IF(ISBLANK(patch[[#This Row],[project]]), "",COUNTIFS($A:$A,patch[[#This Row],[number]],$S:$S, "FL And dev",$AC:$AC, "Review-1"))</f>
        <v/>
      </c>
      <c r="Y1340" s="7" t="str">
        <f>IF(ISBLANK(patch[[#This Row],[project]]), "",COUNTIFS($A:$A,patch[[#This Row],[number]],$S:$S, "SH And dev",$AC:$AC, "Review-1"))</f>
        <v/>
      </c>
      <c r="Z1340" s="7" t="str">
        <f>IF(ISBLANK(patch[[#This Row],[project]]), "",COUNTIFS($A:$A,patch[[#This Row],[number]],$S:$S, "BJ And dev",$AD:$AD, "&lt;&gt;IntegratorValidationComment"))</f>
        <v/>
      </c>
      <c r="AA1340" s="7" t="str">
        <f>IF(ISBLANK(patch[[#This Row],[project]]), "",COUNTIFS($A:$A,patch[[#This Row],[number]],$S:$S, "FL And dev",$AD:$AD, "&lt;&gt;IntegratorValidationComment"))</f>
        <v/>
      </c>
      <c r="AB1340" s="7" t="str">
        <f>IF(ISBLANK(patch[[#This Row],[project]]), "",COUNTIFS($A:$A,patch[[#This Row],[number]],$S:$S, "SH And dev",$AD:$AD, "&lt;&gt;IntegratorValidationComment"))</f>
        <v/>
      </c>
      <c r="AC1340" s="7" t="str">
        <f>IF(OR(ISNUMBER(FIND("Review-1", patch[[#This Row],[comments]])), ISNUMBER(FIND("Approver-1", patch[[#This Row],[comments]]))), "Review-1", "")</f>
        <v/>
      </c>
      <c r="AD13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40" s="7">
        <f>IF(ISBLANK(patch[[#This Row],[number]]),AE1339,patch[[#This Row],[ifCommon]])</f>
        <v>0</v>
      </c>
    </row>
    <row r="1341" spans="1:31">
      <c r="A1341" s="151">
        <v>144909</v>
      </c>
      <c r="B1341" s="151"/>
      <c r="C1341" s="151"/>
      <c r="D1341" s="151"/>
      <c r="E1341" s="151"/>
      <c r="F1341" s="151"/>
      <c r="G1341" s="151"/>
      <c r="H1341" s="151"/>
      <c r="I1341" s="151"/>
      <c r="J1341" s="152">
        <v>42633.709826388891</v>
      </c>
      <c r="K1341" s="151"/>
      <c r="L1341" s="151" t="s">
        <v>61</v>
      </c>
      <c r="M1341" s="152">
        <v>42626.957395833328</v>
      </c>
      <c r="N1341" s="151" t="s">
        <v>40</v>
      </c>
      <c r="O1341" s="151"/>
      <c r="P1341" s="151"/>
      <c r="Q1341" s="7" t="str">
        <f>IF(ISBLANK(patch[[#This Row],[OwnerEmail]]),Q1340,patch[[#This Row],[OwnerEmail]])</f>
        <v>john.mathew@intel.com</v>
      </c>
      <c r="R1341" s="7" t="str">
        <f>_xlfn.IFNA(VLOOKUP(patch[[#This Row],[tmp-owner.email]],OrgTree!$A:$K, 11, 0), "not ICG SWFW")</f>
        <v>FL And dev</v>
      </c>
      <c r="S1341" s="7" t="str">
        <f>IF(patch[[#This Row],[reviewer]]=patch[[#This Row],[tmp-owner.email]], "author", _xlfn.IFNA(VLOOKUP(patch[[#This Row],[reviewer]],OrgTree!$A:$K, 11, 0), "not ICG SWFW"))</f>
        <v>author</v>
      </c>
      <c r="T1341" s="7" t="str">
        <f>IF(ISBLANK(patch[[#This Row],[mergeDate]]), "", MID(YEAR(patch[[#This Row],[mergeDate]]), 3,2)&amp;"'ww"&amp;WEEKNUM(patch[[#This Row],[mergeDate]]))</f>
        <v>16'ww39</v>
      </c>
      <c r="U1341" s="7" t="str">
        <f>IF(ISBLANK(patch[[#This Row],[mergeDate]]), U1340, MID(YEAR(patch[[#This Row],[mergeDate]]), 3,2)&amp;"'m"&amp;MONTH(patch[[#This Row],[mergeDate]]))</f>
        <v>16'm9</v>
      </c>
      <c r="V1341" s="7" t="str">
        <f>IF(ISBLANK(patch[[#This Row],[project]]), "",SUM(patch[[#This Row],[BJ -1 num]:[SH -1 num]]))</f>
        <v/>
      </c>
      <c r="W1341" s="7" t="str">
        <f>IF(ISBLANK(patch[[#This Row],[project]]), "",COUNTIFS($A:$A,patch[[#This Row],[number]],$S:$S, "BJ And dev",$AC:$AC, "Review-1"))</f>
        <v/>
      </c>
      <c r="X1341" s="7" t="str">
        <f>IF(ISBLANK(patch[[#This Row],[project]]), "",COUNTIFS($A:$A,patch[[#This Row],[number]],$S:$S, "FL And dev",$AC:$AC, "Review-1"))</f>
        <v/>
      </c>
      <c r="Y1341" s="7" t="str">
        <f>IF(ISBLANK(patch[[#This Row],[project]]), "",COUNTIFS($A:$A,patch[[#This Row],[number]],$S:$S, "SH And dev",$AC:$AC, "Review-1"))</f>
        <v/>
      </c>
      <c r="Z1341" s="7" t="str">
        <f>IF(ISBLANK(patch[[#This Row],[project]]), "",COUNTIFS($A:$A,patch[[#This Row],[number]],$S:$S, "BJ And dev",$AD:$AD, "&lt;&gt;IntegratorValidationComment"))</f>
        <v/>
      </c>
      <c r="AA1341" s="7" t="str">
        <f>IF(ISBLANK(patch[[#This Row],[project]]), "",COUNTIFS($A:$A,patch[[#This Row],[number]],$S:$S, "FL And dev",$AD:$AD, "&lt;&gt;IntegratorValidationComment"))</f>
        <v/>
      </c>
      <c r="AB1341" s="7" t="str">
        <f>IF(ISBLANK(patch[[#This Row],[project]]), "",COUNTIFS($A:$A,patch[[#This Row],[number]],$S:$S, "SH And dev",$AD:$AD, "&lt;&gt;IntegratorValidationComment"))</f>
        <v/>
      </c>
      <c r="AC1341" s="7" t="str">
        <f>IF(OR(ISNUMBER(FIND("Review-1", patch[[#This Row],[comments]])), ISNUMBER(FIND("Approver-1", patch[[#This Row],[comments]]))), "Review-1", "")</f>
        <v/>
      </c>
      <c r="AD13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41" s="7">
        <f>IF(ISBLANK(patch[[#This Row],[number]]),AE1340,patch[[#This Row],[ifCommon]])</f>
        <v>0</v>
      </c>
    </row>
    <row r="1342" spans="1:31">
      <c r="A1342" s="151">
        <v>144909</v>
      </c>
      <c r="B1342" s="151"/>
      <c r="C1342" s="151"/>
      <c r="D1342" s="151"/>
      <c r="E1342" s="151"/>
      <c r="F1342" s="151"/>
      <c r="G1342" s="151"/>
      <c r="H1342" s="151"/>
      <c r="I1342" s="151"/>
      <c r="J1342" s="152">
        <v>42633.709826388891</v>
      </c>
      <c r="K1342" s="151"/>
      <c r="L1342" s="151" t="s">
        <v>32</v>
      </c>
      <c r="M1342" s="152">
        <v>42626.981076388889</v>
      </c>
      <c r="N1342" s="151" t="s">
        <v>40</v>
      </c>
      <c r="O1342" s="151"/>
      <c r="P1342" s="151"/>
      <c r="Q1342" s="7" t="str">
        <f>IF(ISBLANK(patch[[#This Row],[OwnerEmail]]),Q1341,patch[[#This Row],[OwnerEmail]])</f>
        <v>john.mathew@intel.com</v>
      </c>
      <c r="R1342" s="7" t="str">
        <f>_xlfn.IFNA(VLOOKUP(patch[[#This Row],[tmp-owner.email]],OrgTree!$A:$K, 11, 0), "not ICG SWFW")</f>
        <v>FL And dev</v>
      </c>
      <c r="S1342" s="7" t="str">
        <f>IF(patch[[#This Row],[reviewer]]=patch[[#This Row],[tmp-owner.email]], "author", _xlfn.IFNA(VLOOKUP(patch[[#This Row],[reviewer]],OrgTree!$A:$K, 11, 0), "not ICG SWFW"))</f>
        <v>BJ And dev</v>
      </c>
      <c r="T1342" s="7" t="str">
        <f>IF(ISBLANK(patch[[#This Row],[mergeDate]]), "", MID(YEAR(patch[[#This Row],[mergeDate]]), 3,2)&amp;"'ww"&amp;WEEKNUM(patch[[#This Row],[mergeDate]]))</f>
        <v>16'ww39</v>
      </c>
      <c r="U1342" s="7" t="str">
        <f>IF(ISBLANK(patch[[#This Row],[mergeDate]]), U1341, MID(YEAR(patch[[#This Row],[mergeDate]]), 3,2)&amp;"'m"&amp;MONTH(patch[[#This Row],[mergeDate]]))</f>
        <v>16'm9</v>
      </c>
      <c r="V1342" s="7" t="str">
        <f>IF(ISBLANK(patch[[#This Row],[project]]), "",SUM(patch[[#This Row],[BJ -1 num]:[SH -1 num]]))</f>
        <v/>
      </c>
      <c r="W1342" s="7" t="str">
        <f>IF(ISBLANK(patch[[#This Row],[project]]), "",COUNTIFS($A:$A,patch[[#This Row],[number]],$S:$S, "BJ And dev",$AC:$AC, "Review-1"))</f>
        <v/>
      </c>
      <c r="X1342" s="7" t="str">
        <f>IF(ISBLANK(patch[[#This Row],[project]]), "",COUNTIFS($A:$A,patch[[#This Row],[number]],$S:$S, "FL And dev",$AC:$AC, "Review-1"))</f>
        <v/>
      </c>
      <c r="Y1342" s="7" t="str">
        <f>IF(ISBLANK(patch[[#This Row],[project]]), "",COUNTIFS($A:$A,patch[[#This Row],[number]],$S:$S, "SH And dev",$AC:$AC, "Review-1"))</f>
        <v/>
      </c>
      <c r="Z1342" s="7" t="str">
        <f>IF(ISBLANK(patch[[#This Row],[project]]), "",COUNTIFS($A:$A,patch[[#This Row],[number]],$S:$S, "BJ And dev",$AD:$AD, "&lt;&gt;IntegratorValidationComment"))</f>
        <v/>
      </c>
      <c r="AA1342" s="7" t="str">
        <f>IF(ISBLANK(patch[[#This Row],[project]]), "",COUNTIFS($A:$A,patch[[#This Row],[number]],$S:$S, "FL And dev",$AD:$AD, "&lt;&gt;IntegratorValidationComment"))</f>
        <v/>
      </c>
      <c r="AB1342" s="7" t="str">
        <f>IF(ISBLANK(patch[[#This Row],[project]]), "",COUNTIFS($A:$A,patch[[#This Row],[number]],$S:$S, "SH And dev",$AD:$AD, "&lt;&gt;IntegratorValidationComment"))</f>
        <v/>
      </c>
      <c r="AC1342" s="7" t="str">
        <f>IF(OR(ISNUMBER(FIND("Review-1", patch[[#This Row],[comments]])), ISNUMBER(FIND("Approver-1", patch[[#This Row],[comments]]))), "Review-1", "")</f>
        <v/>
      </c>
      <c r="AD13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42" s="7">
        <f>IF(ISBLANK(patch[[#This Row],[number]]),AE1341,patch[[#This Row],[ifCommon]])</f>
        <v>0</v>
      </c>
    </row>
    <row r="1343" spans="1:31">
      <c r="A1343" s="151">
        <v>144909</v>
      </c>
      <c r="B1343" s="151"/>
      <c r="C1343" s="151"/>
      <c r="D1343" s="151"/>
      <c r="E1343" s="151"/>
      <c r="F1343" s="151"/>
      <c r="G1343" s="151"/>
      <c r="H1343" s="151"/>
      <c r="I1343" s="151"/>
      <c r="J1343" s="152">
        <v>42633.709826388891</v>
      </c>
      <c r="K1343" s="151"/>
      <c r="L1343" s="151" t="s">
        <v>59</v>
      </c>
      <c r="M1343" s="152">
        <v>42627.377557870372</v>
      </c>
      <c r="N1343" s="151" t="s">
        <v>3253</v>
      </c>
      <c r="O1343" s="151"/>
      <c r="P1343" s="151"/>
      <c r="Q1343" s="7" t="str">
        <f>IF(ISBLANK(patch[[#This Row],[OwnerEmail]]),Q1342,patch[[#This Row],[OwnerEmail]])</f>
        <v>john.mathew@intel.com</v>
      </c>
      <c r="R1343" s="7" t="str">
        <f>_xlfn.IFNA(VLOOKUP(patch[[#This Row],[tmp-owner.email]],OrgTree!$A:$K, 11, 0), "not ICG SWFW")</f>
        <v>FL And dev</v>
      </c>
      <c r="S1343" s="7" t="str">
        <f>IF(patch[[#This Row],[reviewer]]=patch[[#This Row],[tmp-owner.email]], "author", _xlfn.IFNA(VLOOKUP(patch[[#This Row],[reviewer]],OrgTree!$A:$K, 11, 0), "not ICG SWFW"))</f>
        <v>BJ And dev</v>
      </c>
      <c r="T1343" s="7" t="str">
        <f>IF(ISBLANK(patch[[#This Row],[mergeDate]]), "", MID(YEAR(patch[[#This Row],[mergeDate]]), 3,2)&amp;"'ww"&amp;WEEKNUM(patch[[#This Row],[mergeDate]]))</f>
        <v>16'ww39</v>
      </c>
      <c r="U1343" s="7" t="str">
        <f>IF(ISBLANK(patch[[#This Row],[mergeDate]]), U1342, MID(YEAR(patch[[#This Row],[mergeDate]]), 3,2)&amp;"'m"&amp;MONTH(patch[[#This Row],[mergeDate]]))</f>
        <v>16'm9</v>
      </c>
      <c r="V1343" s="7" t="str">
        <f>IF(ISBLANK(patch[[#This Row],[project]]), "",SUM(patch[[#This Row],[BJ -1 num]:[SH -1 num]]))</f>
        <v/>
      </c>
      <c r="W1343" s="7" t="str">
        <f>IF(ISBLANK(patch[[#This Row],[project]]), "",COUNTIFS($A:$A,patch[[#This Row],[number]],$S:$S, "BJ And dev",$AC:$AC, "Review-1"))</f>
        <v/>
      </c>
      <c r="X1343" s="7" t="str">
        <f>IF(ISBLANK(patch[[#This Row],[project]]), "",COUNTIFS($A:$A,patch[[#This Row],[number]],$S:$S, "FL And dev",$AC:$AC, "Review-1"))</f>
        <v/>
      </c>
      <c r="Y1343" s="7" t="str">
        <f>IF(ISBLANK(patch[[#This Row],[project]]), "",COUNTIFS($A:$A,patch[[#This Row],[number]],$S:$S, "SH And dev",$AC:$AC, "Review-1"))</f>
        <v/>
      </c>
      <c r="Z1343" s="7" t="str">
        <f>IF(ISBLANK(patch[[#This Row],[project]]), "",COUNTIFS($A:$A,patch[[#This Row],[number]],$S:$S, "BJ And dev",$AD:$AD, "&lt;&gt;IntegratorValidationComment"))</f>
        <v/>
      </c>
      <c r="AA1343" s="7" t="str">
        <f>IF(ISBLANK(patch[[#This Row],[project]]), "",COUNTIFS($A:$A,patch[[#This Row],[number]],$S:$S, "FL And dev",$AD:$AD, "&lt;&gt;IntegratorValidationComment"))</f>
        <v/>
      </c>
      <c r="AB1343" s="7" t="str">
        <f>IF(ISBLANK(patch[[#This Row],[project]]), "",COUNTIFS($A:$A,patch[[#This Row],[number]],$S:$S, "SH And dev",$AD:$AD, "&lt;&gt;IntegratorValidationComment"))</f>
        <v/>
      </c>
      <c r="AC1343" s="7" t="str">
        <f>IF(OR(ISNUMBER(FIND("Review-1", patch[[#This Row],[comments]])), ISNUMBER(FIND("Approver-1", patch[[#This Row],[comments]]))), "Review-1", "")</f>
        <v/>
      </c>
      <c r="AD13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43" s="7">
        <f>IF(ISBLANK(patch[[#This Row],[number]]),AE1342,patch[[#This Row],[ifCommon]])</f>
        <v>0</v>
      </c>
    </row>
    <row r="1344" spans="1:31">
      <c r="A1344" s="151">
        <v>144909</v>
      </c>
      <c r="B1344" s="151"/>
      <c r="C1344" s="151"/>
      <c r="D1344" s="151"/>
      <c r="E1344" s="151"/>
      <c r="F1344" s="151"/>
      <c r="G1344" s="151"/>
      <c r="H1344" s="151"/>
      <c r="I1344" s="151"/>
      <c r="J1344" s="152">
        <v>42633.709826388891</v>
      </c>
      <c r="K1344" s="151"/>
      <c r="L1344" s="151" t="s">
        <v>59</v>
      </c>
      <c r="M1344" s="152">
        <v>42627.388055555559</v>
      </c>
      <c r="N1344" s="151" t="s">
        <v>3254</v>
      </c>
      <c r="O1344" s="151"/>
      <c r="P1344" s="151"/>
      <c r="Q1344" s="7" t="str">
        <f>IF(ISBLANK(patch[[#This Row],[OwnerEmail]]),Q1343,patch[[#This Row],[OwnerEmail]])</f>
        <v>john.mathew@intel.com</v>
      </c>
      <c r="R1344" s="7" t="str">
        <f>_xlfn.IFNA(VLOOKUP(patch[[#This Row],[tmp-owner.email]],OrgTree!$A:$K, 11, 0), "not ICG SWFW")</f>
        <v>FL And dev</v>
      </c>
      <c r="S1344" s="7" t="str">
        <f>IF(patch[[#This Row],[reviewer]]=patch[[#This Row],[tmp-owner.email]], "author", _xlfn.IFNA(VLOOKUP(patch[[#This Row],[reviewer]],OrgTree!$A:$K, 11, 0), "not ICG SWFW"))</f>
        <v>BJ And dev</v>
      </c>
      <c r="T1344" s="7" t="str">
        <f>IF(ISBLANK(patch[[#This Row],[mergeDate]]), "", MID(YEAR(patch[[#This Row],[mergeDate]]), 3,2)&amp;"'ww"&amp;WEEKNUM(patch[[#This Row],[mergeDate]]))</f>
        <v>16'ww39</v>
      </c>
      <c r="U1344" s="7" t="str">
        <f>IF(ISBLANK(patch[[#This Row],[mergeDate]]), U1343, MID(YEAR(patch[[#This Row],[mergeDate]]), 3,2)&amp;"'m"&amp;MONTH(patch[[#This Row],[mergeDate]]))</f>
        <v>16'm9</v>
      </c>
      <c r="V1344" s="7" t="str">
        <f>IF(ISBLANK(patch[[#This Row],[project]]), "",SUM(patch[[#This Row],[BJ -1 num]:[SH -1 num]]))</f>
        <v/>
      </c>
      <c r="W1344" s="7" t="str">
        <f>IF(ISBLANK(patch[[#This Row],[project]]), "",COUNTIFS($A:$A,patch[[#This Row],[number]],$S:$S, "BJ And dev",$AC:$AC, "Review-1"))</f>
        <v/>
      </c>
      <c r="X1344" s="7" t="str">
        <f>IF(ISBLANK(patch[[#This Row],[project]]), "",COUNTIFS($A:$A,patch[[#This Row],[number]],$S:$S, "FL And dev",$AC:$AC, "Review-1"))</f>
        <v/>
      </c>
      <c r="Y1344" s="7" t="str">
        <f>IF(ISBLANK(patch[[#This Row],[project]]), "",COUNTIFS($A:$A,patch[[#This Row],[number]],$S:$S, "SH And dev",$AC:$AC, "Review-1"))</f>
        <v/>
      </c>
      <c r="Z1344" s="7" t="str">
        <f>IF(ISBLANK(patch[[#This Row],[project]]), "",COUNTIFS($A:$A,patch[[#This Row],[number]],$S:$S, "BJ And dev",$AD:$AD, "&lt;&gt;IntegratorValidationComment"))</f>
        <v/>
      </c>
      <c r="AA1344" s="7" t="str">
        <f>IF(ISBLANK(patch[[#This Row],[project]]), "",COUNTIFS($A:$A,patch[[#This Row],[number]],$S:$S, "FL And dev",$AD:$AD, "&lt;&gt;IntegratorValidationComment"))</f>
        <v/>
      </c>
      <c r="AB1344" s="7" t="str">
        <f>IF(ISBLANK(patch[[#This Row],[project]]), "",COUNTIFS($A:$A,patch[[#This Row],[number]],$S:$S, "SH And dev",$AD:$AD, "&lt;&gt;IntegratorValidationComment"))</f>
        <v/>
      </c>
      <c r="AC1344" s="7" t="str">
        <f>IF(OR(ISNUMBER(FIND("Review-1", patch[[#This Row],[comments]])), ISNUMBER(FIND("Approver-1", patch[[#This Row],[comments]]))), "Review-1", "")</f>
        <v/>
      </c>
      <c r="AD13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44" s="7">
        <f>IF(ISBLANK(patch[[#This Row],[number]]),AE1343,patch[[#This Row],[ifCommon]])</f>
        <v>0</v>
      </c>
    </row>
    <row r="1345" spans="1:31">
      <c r="A1345" s="151">
        <v>144909</v>
      </c>
      <c r="B1345" s="151"/>
      <c r="C1345" s="151"/>
      <c r="D1345" s="151"/>
      <c r="E1345" s="151"/>
      <c r="F1345" s="151"/>
      <c r="G1345" s="151"/>
      <c r="H1345" s="151"/>
      <c r="I1345" s="151"/>
      <c r="J1345" s="152">
        <v>42633.709826388891</v>
      </c>
      <c r="K1345" s="151"/>
      <c r="L1345" s="151" t="s">
        <v>61</v>
      </c>
      <c r="M1345" s="152">
        <v>42627.607546296298</v>
      </c>
      <c r="N1345" s="151" t="s">
        <v>2460</v>
      </c>
      <c r="O1345" s="151"/>
      <c r="P1345" s="151"/>
      <c r="Q1345" s="7" t="str">
        <f>IF(ISBLANK(patch[[#This Row],[OwnerEmail]]),Q1344,patch[[#This Row],[OwnerEmail]])</f>
        <v>john.mathew@intel.com</v>
      </c>
      <c r="R1345" s="7" t="str">
        <f>_xlfn.IFNA(VLOOKUP(patch[[#This Row],[tmp-owner.email]],OrgTree!$A:$K, 11, 0), "not ICG SWFW")</f>
        <v>FL And dev</v>
      </c>
      <c r="S1345" s="7" t="str">
        <f>IF(patch[[#This Row],[reviewer]]=patch[[#This Row],[tmp-owner.email]], "author", _xlfn.IFNA(VLOOKUP(patch[[#This Row],[reviewer]],OrgTree!$A:$K, 11, 0), "not ICG SWFW"))</f>
        <v>author</v>
      </c>
      <c r="T1345" s="7" t="str">
        <f>IF(ISBLANK(patch[[#This Row],[mergeDate]]), "", MID(YEAR(patch[[#This Row],[mergeDate]]), 3,2)&amp;"'ww"&amp;WEEKNUM(patch[[#This Row],[mergeDate]]))</f>
        <v>16'ww39</v>
      </c>
      <c r="U1345" s="7" t="str">
        <f>IF(ISBLANK(patch[[#This Row],[mergeDate]]), U1344, MID(YEAR(patch[[#This Row],[mergeDate]]), 3,2)&amp;"'m"&amp;MONTH(patch[[#This Row],[mergeDate]]))</f>
        <v>16'm9</v>
      </c>
      <c r="V1345" s="7" t="str">
        <f>IF(ISBLANK(patch[[#This Row],[project]]), "",SUM(patch[[#This Row],[BJ -1 num]:[SH -1 num]]))</f>
        <v/>
      </c>
      <c r="W1345" s="7" t="str">
        <f>IF(ISBLANK(patch[[#This Row],[project]]), "",COUNTIFS($A:$A,patch[[#This Row],[number]],$S:$S, "BJ And dev",$AC:$AC, "Review-1"))</f>
        <v/>
      </c>
      <c r="X1345" s="7" t="str">
        <f>IF(ISBLANK(patch[[#This Row],[project]]), "",COUNTIFS($A:$A,patch[[#This Row],[number]],$S:$S, "FL And dev",$AC:$AC, "Review-1"))</f>
        <v/>
      </c>
      <c r="Y1345" s="7" t="str">
        <f>IF(ISBLANK(patch[[#This Row],[project]]), "",COUNTIFS($A:$A,patch[[#This Row],[number]],$S:$S, "SH And dev",$AC:$AC, "Review-1"))</f>
        <v/>
      </c>
      <c r="Z1345" s="7" t="str">
        <f>IF(ISBLANK(patch[[#This Row],[project]]), "",COUNTIFS($A:$A,patch[[#This Row],[number]],$S:$S, "BJ And dev",$AD:$AD, "&lt;&gt;IntegratorValidationComment"))</f>
        <v/>
      </c>
      <c r="AA1345" s="7" t="str">
        <f>IF(ISBLANK(patch[[#This Row],[project]]), "",COUNTIFS($A:$A,patch[[#This Row],[number]],$S:$S, "FL And dev",$AD:$AD, "&lt;&gt;IntegratorValidationComment"))</f>
        <v/>
      </c>
      <c r="AB1345" s="7" t="str">
        <f>IF(ISBLANK(patch[[#This Row],[project]]), "",COUNTIFS($A:$A,patch[[#This Row],[number]],$S:$S, "SH And dev",$AD:$AD, "&lt;&gt;IntegratorValidationComment"))</f>
        <v/>
      </c>
      <c r="AC1345" s="7" t="str">
        <f>IF(OR(ISNUMBER(FIND("Review-1", patch[[#This Row],[comments]])), ISNUMBER(FIND("Approver-1", patch[[#This Row],[comments]]))), "Review-1", "")</f>
        <v/>
      </c>
      <c r="AD13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45" s="7">
        <f>IF(ISBLANK(patch[[#This Row],[number]]),AE1344,patch[[#This Row],[ifCommon]])</f>
        <v>0</v>
      </c>
    </row>
    <row r="1346" spans="1:31">
      <c r="A1346" s="151">
        <v>144909</v>
      </c>
      <c r="B1346" s="151"/>
      <c r="C1346" s="151"/>
      <c r="D1346" s="151"/>
      <c r="E1346" s="151"/>
      <c r="F1346" s="151"/>
      <c r="G1346" s="151"/>
      <c r="H1346" s="151"/>
      <c r="I1346" s="151"/>
      <c r="J1346" s="152">
        <v>42633.709826388891</v>
      </c>
      <c r="K1346" s="151"/>
      <c r="L1346" s="151" t="s">
        <v>61</v>
      </c>
      <c r="M1346" s="152">
        <v>42627.607546296298</v>
      </c>
      <c r="N1346" s="151" t="s">
        <v>2429</v>
      </c>
      <c r="O1346" s="151"/>
      <c r="P1346" s="151"/>
      <c r="Q1346" s="7" t="str">
        <f>IF(ISBLANK(patch[[#This Row],[OwnerEmail]]),Q1345,patch[[#This Row],[OwnerEmail]])</f>
        <v>john.mathew@intel.com</v>
      </c>
      <c r="R1346" s="7" t="str">
        <f>_xlfn.IFNA(VLOOKUP(patch[[#This Row],[tmp-owner.email]],OrgTree!$A:$K, 11, 0), "not ICG SWFW")</f>
        <v>FL And dev</v>
      </c>
      <c r="S1346" s="7" t="str">
        <f>IF(patch[[#This Row],[reviewer]]=patch[[#This Row],[tmp-owner.email]], "author", _xlfn.IFNA(VLOOKUP(patch[[#This Row],[reviewer]],OrgTree!$A:$K, 11, 0), "not ICG SWFW"))</f>
        <v>author</v>
      </c>
      <c r="T1346" s="7" t="str">
        <f>IF(ISBLANK(patch[[#This Row],[mergeDate]]), "", MID(YEAR(patch[[#This Row],[mergeDate]]), 3,2)&amp;"'ww"&amp;WEEKNUM(patch[[#This Row],[mergeDate]]))</f>
        <v>16'ww39</v>
      </c>
      <c r="U1346" s="7" t="str">
        <f>IF(ISBLANK(patch[[#This Row],[mergeDate]]), U1345, MID(YEAR(patch[[#This Row],[mergeDate]]), 3,2)&amp;"'m"&amp;MONTH(patch[[#This Row],[mergeDate]]))</f>
        <v>16'm9</v>
      </c>
      <c r="V1346" s="7" t="str">
        <f>IF(ISBLANK(patch[[#This Row],[project]]), "",SUM(patch[[#This Row],[BJ -1 num]:[SH -1 num]]))</f>
        <v/>
      </c>
      <c r="W1346" s="7" t="str">
        <f>IF(ISBLANK(patch[[#This Row],[project]]), "",COUNTIFS($A:$A,patch[[#This Row],[number]],$S:$S, "BJ And dev",$AC:$AC, "Review-1"))</f>
        <v/>
      </c>
      <c r="X1346" s="7" t="str">
        <f>IF(ISBLANK(patch[[#This Row],[project]]), "",COUNTIFS($A:$A,patch[[#This Row],[number]],$S:$S, "FL And dev",$AC:$AC, "Review-1"))</f>
        <v/>
      </c>
      <c r="Y1346" s="7" t="str">
        <f>IF(ISBLANK(patch[[#This Row],[project]]), "",COUNTIFS($A:$A,patch[[#This Row],[number]],$S:$S, "SH And dev",$AC:$AC, "Review-1"))</f>
        <v/>
      </c>
      <c r="Z1346" s="7" t="str">
        <f>IF(ISBLANK(patch[[#This Row],[project]]), "",COUNTIFS($A:$A,patch[[#This Row],[number]],$S:$S, "BJ And dev",$AD:$AD, "&lt;&gt;IntegratorValidationComment"))</f>
        <v/>
      </c>
      <c r="AA1346" s="7" t="str">
        <f>IF(ISBLANK(patch[[#This Row],[project]]), "",COUNTIFS($A:$A,patch[[#This Row],[number]],$S:$S, "FL And dev",$AD:$AD, "&lt;&gt;IntegratorValidationComment"))</f>
        <v/>
      </c>
      <c r="AB1346" s="7" t="str">
        <f>IF(ISBLANK(patch[[#This Row],[project]]), "",COUNTIFS($A:$A,patch[[#This Row],[number]],$S:$S, "SH And dev",$AD:$AD, "&lt;&gt;IntegratorValidationComment"))</f>
        <v/>
      </c>
      <c r="AC1346" s="7" t="str">
        <f>IF(OR(ISNUMBER(FIND("Review-1", patch[[#This Row],[comments]])), ISNUMBER(FIND("Approver-1", patch[[#This Row],[comments]]))), "Review-1", "")</f>
        <v/>
      </c>
      <c r="AD13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46" s="7">
        <f>IF(ISBLANK(patch[[#This Row],[number]]),AE1345,patch[[#This Row],[ifCommon]])</f>
        <v>0</v>
      </c>
    </row>
    <row r="1347" spans="1:31">
      <c r="A1347" s="151">
        <v>144909</v>
      </c>
      <c r="B1347" s="151"/>
      <c r="C1347" s="151"/>
      <c r="D1347" s="151"/>
      <c r="E1347" s="151"/>
      <c r="F1347" s="151"/>
      <c r="G1347" s="151"/>
      <c r="H1347" s="151"/>
      <c r="I1347" s="151"/>
      <c r="J1347" s="152">
        <v>42633.709826388891</v>
      </c>
      <c r="K1347" s="151"/>
      <c r="L1347" s="151" t="s">
        <v>59</v>
      </c>
      <c r="M1347" s="152">
        <v>42627.613263888888</v>
      </c>
      <c r="N1347" s="151" t="s">
        <v>3255</v>
      </c>
      <c r="O1347" s="151"/>
      <c r="P1347" s="151"/>
      <c r="Q1347" s="7" t="str">
        <f>IF(ISBLANK(patch[[#This Row],[OwnerEmail]]),Q1346,patch[[#This Row],[OwnerEmail]])</f>
        <v>john.mathew@intel.com</v>
      </c>
      <c r="R1347" s="7" t="str">
        <f>_xlfn.IFNA(VLOOKUP(patch[[#This Row],[tmp-owner.email]],OrgTree!$A:$K, 11, 0), "not ICG SWFW")</f>
        <v>FL And dev</v>
      </c>
      <c r="S1347" s="7" t="str">
        <f>IF(patch[[#This Row],[reviewer]]=patch[[#This Row],[tmp-owner.email]], "author", _xlfn.IFNA(VLOOKUP(patch[[#This Row],[reviewer]],OrgTree!$A:$K, 11, 0), "not ICG SWFW"))</f>
        <v>BJ And dev</v>
      </c>
      <c r="T1347" s="7" t="str">
        <f>IF(ISBLANK(patch[[#This Row],[mergeDate]]), "", MID(YEAR(patch[[#This Row],[mergeDate]]), 3,2)&amp;"'ww"&amp;WEEKNUM(patch[[#This Row],[mergeDate]]))</f>
        <v>16'ww39</v>
      </c>
      <c r="U1347" s="7" t="str">
        <f>IF(ISBLANK(patch[[#This Row],[mergeDate]]), U1346, MID(YEAR(patch[[#This Row],[mergeDate]]), 3,2)&amp;"'m"&amp;MONTH(patch[[#This Row],[mergeDate]]))</f>
        <v>16'm9</v>
      </c>
      <c r="V1347" s="7" t="str">
        <f>IF(ISBLANK(patch[[#This Row],[project]]), "",SUM(patch[[#This Row],[BJ -1 num]:[SH -1 num]]))</f>
        <v/>
      </c>
      <c r="W1347" s="7" t="str">
        <f>IF(ISBLANK(patch[[#This Row],[project]]), "",COUNTIFS($A:$A,patch[[#This Row],[number]],$S:$S, "BJ And dev",$AC:$AC, "Review-1"))</f>
        <v/>
      </c>
      <c r="X1347" s="7" t="str">
        <f>IF(ISBLANK(patch[[#This Row],[project]]), "",COUNTIFS($A:$A,patch[[#This Row],[number]],$S:$S, "FL And dev",$AC:$AC, "Review-1"))</f>
        <v/>
      </c>
      <c r="Y1347" s="7" t="str">
        <f>IF(ISBLANK(patch[[#This Row],[project]]), "",COUNTIFS($A:$A,patch[[#This Row],[number]],$S:$S, "SH And dev",$AC:$AC, "Review-1"))</f>
        <v/>
      </c>
      <c r="Z1347" s="7" t="str">
        <f>IF(ISBLANK(patch[[#This Row],[project]]), "",COUNTIFS($A:$A,patch[[#This Row],[number]],$S:$S, "BJ And dev",$AD:$AD, "&lt;&gt;IntegratorValidationComment"))</f>
        <v/>
      </c>
      <c r="AA1347" s="7" t="str">
        <f>IF(ISBLANK(patch[[#This Row],[project]]), "",COUNTIFS($A:$A,patch[[#This Row],[number]],$S:$S, "FL And dev",$AD:$AD, "&lt;&gt;IntegratorValidationComment"))</f>
        <v/>
      </c>
      <c r="AB1347" s="7" t="str">
        <f>IF(ISBLANK(patch[[#This Row],[project]]), "",COUNTIFS($A:$A,patch[[#This Row],[number]],$S:$S, "SH And dev",$AD:$AD, "&lt;&gt;IntegratorValidationComment"))</f>
        <v/>
      </c>
      <c r="AC1347" s="7" t="str">
        <f>IF(OR(ISNUMBER(FIND("Review-1", patch[[#This Row],[comments]])), ISNUMBER(FIND("Approver-1", patch[[#This Row],[comments]]))), "Review-1", "")</f>
        <v/>
      </c>
      <c r="AD13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47" s="7">
        <f>IF(ISBLANK(patch[[#This Row],[number]]),AE1346,patch[[#This Row],[ifCommon]])</f>
        <v>0</v>
      </c>
    </row>
    <row r="1348" spans="1:31">
      <c r="A1348" s="151">
        <v>144909</v>
      </c>
      <c r="B1348" s="151"/>
      <c r="C1348" s="151"/>
      <c r="D1348" s="151"/>
      <c r="E1348" s="151"/>
      <c r="F1348" s="151"/>
      <c r="G1348" s="151"/>
      <c r="H1348" s="151"/>
      <c r="I1348" s="151"/>
      <c r="J1348" s="152">
        <v>42633.709826388891</v>
      </c>
      <c r="K1348" s="151"/>
      <c r="L1348" s="151" t="s">
        <v>59</v>
      </c>
      <c r="M1348" s="152">
        <v>42627.618449074071</v>
      </c>
      <c r="N1348" s="151" t="s">
        <v>3256</v>
      </c>
      <c r="O1348" s="151"/>
      <c r="P1348" s="151"/>
      <c r="Q1348" s="7" t="str">
        <f>IF(ISBLANK(patch[[#This Row],[OwnerEmail]]),Q1347,patch[[#This Row],[OwnerEmail]])</f>
        <v>john.mathew@intel.com</v>
      </c>
      <c r="R1348" s="7" t="str">
        <f>_xlfn.IFNA(VLOOKUP(patch[[#This Row],[tmp-owner.email]],OrgTree!$A:$K, 11, 0), "not ICG SWFW")</f>
        <v>FL And dev</v>
      </c>
      <c r="S1348" s="7" t="str">
        <f>IF(patch[[#This Row],[reviewer]]=patch[[#This Row],[tmp-owner.email]], "author", _xlfn.IFNA(VLOOKUP(patch[[#This Row],[reviewer]],OrgTree!$A:$K, 11, 0), "not ICG SWFW"))</f>
        <v>BJ And dev</v>
      </c>
      <c r="T1348" s="7" t="str">
        <f>IF(ISBLANK(patch[[#This Row],[mergeDate]]), "", MID(YEAR(patch[[#This Row],[mergeDate]]), 3,2)&amp;"'ww"&amp;WEEKNUM(patch[[#This Row],[mergeDate]]))</f>
        <v>16'ww39</v>
      </c>
      <c r="U1348" s="7" t="str">
        <f>IF(ISBLANK(patch[[#This Row],[mergeDate]]), U1347, MID(YEAR(patch[[#This Row],[mergeDate]]), 3,2)&amp;"'m"&amp;MONTH(patch[[#This Row],[mergeDate]]))</f>
        <v>16'm9</v>
      </c>
      <c r="V1348" s="7" t="str">
        <f>IF(ISBLANK(patch[[#This Row],[project]]), "",SUM(patch[[#This Row],[BJ -1 num]:[SH -1 num]]))</f>
        <v/>
      </c>
      <c r="W1348" s="7" t="str">
        <f>IF(ISBLANK(patch[[#This Row],[project]]), "",COUNTIFS($A:$A,patch[[#This Row],[number]],$S:$S, "BJ And dev",$AC:$AC, "Review-1"))</f>
        <v/>
      </c>
      <c r="X1348" s="7" t="str">
        <f>IF(ISBLANK(patch[[#This Row],[project]]), "",COUNTIFS($A:$A,patch[[#This Row],[number]],$S:$S, "FL And dev",$AC:$AC, "Review-1"))</f>
        <v/>
      </c>
      <c r="Y1348" s="7" t="str">
        <f>IF(ISBLANK(patch[[#This Row],[project]]), "",COUNTIFS($A:$A,patch[[#This Row],[number]],$S:$S, "SH And dev",$AC:$AC, "Review-1"))</f>
        <v/>
      </c>
      <c r="Z1348" s="7" t="str">
        <f>IF(ISBLANK(patch[[#This Row],[project]]), "",COUNTIFS($A:$A,patch[[#This Row],[number]],$S:$S, "BJ And dev",$AD:$AD, "&lt;&gt;IntegratorValidationComment"))</f>
        <v/>
      </c>
      <c r="AA1348" s="7" t="str">
        <f>IF(ISBLANK(patch[[#This Row],[project]]), "",COUNTIFS($A:$A,patch[[#This Row],[number]],$S:$S, "FL And dev",$AD:$AD, "&lt;&gt;IntegratorValidationComment"))</f>
        <v/>
      </c>
      <c r="AB1348" s="7" t="str">
        <f>IF(ISBLANK(patch[[#This Row],[project]]), "",COUNTIFS($A:$A,patch[[#This Row],[number]],$S:$S, "SH And dev",$AD:$AD, "&lt;&gt;IntegratorValidationComment"))</f>
        <v/>
      </c>
      <c r="AC1348" s="7" t="str">
        <f>IF(OR(ISNUMBER(FIND("Review-1", patch[[#This Row],[comments]])), ISNUMBER(FIND("Approver-1", patch[[#This Row],[comments]]))), "Review-1", "")</f>
        <v/>
      </c>
      <c r="AD13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48" s="7">
        <f>IF(ISBLANK(patch[[#This Row],[number]]),AE1347,patch[[#This Row],[ifCommon]])</f>
        <v>0</v>
      </c>
    </row>
    <row r="1349" spans="1:31">
      <c r="A1349" s="151">
        <v>144909</v>
      </c>
      <c r="B1349" s="151"/>
      <c r="C1349" s="151"/>
      <c r="D1349" s="151"/>
      <c r="E1349" s="151"/>
      <c r="F1349" s="151"/>
      <c r="G1349" s="151"/>
      <c r="H1349" s="151"/>
      <c r="I1349" s="151"/>
      <c r="J1349" s="152">
        <v>42633.709826388891</v>
      </c>
      <c r="K1349" s="151"/>
      <c r="L1349" s="151" t="s">
        <v>55</v>
      </c>
      <c r="M1349" s="152">
        <v>42627.626562500001</v>
      </c>
      <c r="N1349" s="151" t="s">
        <v>1873</v>
      </c>
      <c r="O1349" s="151"/>
      <c r="P1349" s="151"/>
      <c r="Q1349" s="7" t="str">
        <f>IF(ISBLANK(patch[[#This Row],[OwnerEmail]]),Q1348,patch[[#This Row],[OwnerEmail]])</f>
        <v>john.mathew@intel.com</v>
      </c>
      <c r="R1349" s="7" t="str">
        <f>_xlfn.IFNA(VLOOKUP(patch[[#This Row],[tmp-owner.email]],OrgTree!$A:$K, 11, 0), "not ICG SWFW")</f>
        <v>FL And dev</v>
      </c>
      <c r="S1349" s="7" t="str">
        <f>IF(patch[[#This Row],[reviewer]]=patch[[#This Row],[tmp-owner.email]], "author", _xlfn.IFNA(VLOOKUP(patch[[#This Row],[reviewer]],OrgTree!$A:$K, 11, 0), "not ICG SWFW"))</f>
        <v>BJ And dev</v>
      </c>
      <c r="T1349" s="7" t="str">
        <f>IF(ISBLANK(patch[[#This Row],[mergeDate]]), "", MID(YEAR(patch[[#This Row],[mergeDate]]), 3,2)&amp;"'ww"&amp;WEEKNUM(patch[[#This Row],[mergeDate]]))</f>
        <v>16'ww39</v>
      </c>
      <c r="U1349" s="7" t="str">
        <f>IF(ISBLANK(patch[[#This Row],[mergeDate]]), U1348, MID(YEAR(patch[[#This Row],[mergeDate]]), 3,2)&amp;"'m"&amp;MONTH(patch[[#This Row],[mergeDate]]))</f>
        <v>16'm9</v>
      </c>
      <c r="V1349" s="7" t="str">
        <f>IF(ISBLANK(patch[[#This Row],[project]]), "",SUM(patch[[#This Row],[BJ -1 num]:[SH -1 num]]))</f>
        <v/>
      </c>
      <c r="W1349" s="7" t="str">
        <f>IF(ISBLANK(patch[[#This Row],[project]]), "",COUNTIFS($A:$A,patch[[#This Row],[number]],$S:$S, "BJ And dev",$AC:$AC, "Review-1"))</f>
        <v/>
      </c>
      <c r="X1349" s="7" t="str">
        <f>IF(ISBLANK(patch[[#This Row],[project]]), "",COUNTIFS($A:$A,patch[[#This Row],[number]],$S:$S, "FL And dev",$AC:$AC, "Review-1"))</f>
        <v/>
      </c>
      <c r="Y1349" s="7" t="str">
        <f>IF(ISBLANK(patch[[#This Row],[project]]), "",COUNTIFS($A:$A,patch[[#This Row],[number]],$S:$S, "SH And dev",$AC:$AC, "Review-1"))</f>
        <v/>
      </c>
      <c r="Z1349" s="7" t="str">
        <f>IF(ISBLANK(patch[[#This Row],[project]]), "",COUNTIFS($A:$A,patch[[#This Row],[number]],$S:$S, "BJ And dev",$AD:$AD, "&lt;&gt;IntegratorValidationComment"))</f>
        <v/>
      </c>
      <c r="AA1349" s="7" t="str">
        <f>IF(ISBLANK(patch[[#This Row],[project]]), "",COUNTIFS($A:$A,patch[[#This Row],[number]],$S:$S, "FL And dev",$AD:$AD, "&lt;&gt;IntegratorValidationComment"))</f>
        <v/>
      </c>
      <c r="AB1349" s="7" t="str">
        <f>IF(ISBLANK(patch[[#This Row],[project]]), "",COUNTIFS($A:$A,patch[[#This Row],[number]],$S:$S, "SH And dev",$AD:$AD, "&lt;&gt;IntegratorValidationComment"))</f>
        <v/>
      </c>
      <c r="AC1349" s="7" t="str">
        <f>IF(OR(ISNUMBER(FIND("Review-1", patch[[#This Row],[comments]])), ISNUMBER(FIND("Approver-1", patch[[#This Row],[comments]]))), "Review-1", "")</f>
        <v/>
      </c>
      <c r="AD13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49" s="7">
        <f>IF(ISBLANK(patch[[#This Row],[number]]),AE1348,patch[[#This Row],[ifCommon]])</f>
        <v>0</v>
      </c>
    </row>
    <row r="1350" spans="1:31">
      <c r="A1350" s="151">
        <v>144909</v>
      </c>
      <c r="B1350" s="151"/>
      <c r="C1350" s="151"/>
      <c r="D1350" s="151"/>
      <c r="E1350" s="151"/>
      <c r="F1350" s="151"/>
      <c r="G1350" s="151"/>
      <c r="H1350" s="151"/>
      <c r="I1350" s="151"/>
      <c r="J1350" s="152">
        <v>42633.709826388891</v>
      </c>
      <c r="K1350" s="151"/>
      <c r="L1350" s="151" t="s">
        <v>115</v>
      </c>
      <c r="M1350" s="152">
        <v>42632.425775462973</v>
      </c>
      <c r="N1350" s="151" t="s">
        <v>2495</v>
      </c>
      <c r="O1350" s="151"/>
      <c r="P1350" s="151"/>
      <c r="Q1350" s="7" t="str">
        <f>IF(ISBLANK(patch[[#This Row],[OwnerEmail]]),Q1349,patch[[#This Row],[OwnerEmail]])</f>
        <v>john.mathew@intel.com</v>
      </c>
      <c r="R1350" s="7" t="str">
        <f>_xlfn.IFNA(VLOOKUP(patch[[#This Row],[tmp-owner.email]],OrgTree!$A:$K, 11, 0), "not ICG SWFW")</f>
        <v>FL And dev</v>
      </c>
      <c r="S1350" s="7" t="str">
        <f>IF(patch[[#This Row],[reviewer]]=patch[[#This Row],[tmp-owner.email]], "author", _xlfn.IFNA(VLOOKUP(patch[[#This Row],[reviewer]],OrgTree!$A:$K, 11, 0), "not ICG SWFW"))</f>
        <v>Val</v>
      </c>
      <c r="T1350" s="7" t="str">
        <f>IF(ISBLANK(patch[[#This Row],[mergeDate]]), "", MID(YEAR(patch[[#This Row],[mergeDate]]), 3,2)&amp;"'ww"&amp;WEEKNUM(patch[[#This Row],[mergeDate]]))</f>
        <v>16'ww39</v>
      </c>
      <c r="U1350" s="7" t="str">
        <f>IF(ISBLANK(patch[[#This Row],[mergeDate]]), U1349, MID(YEAR(patch[[#This Row],[mergeDate]]), 3,2)&amp;"'m"&amp;MONTH(patch[[#This Row],[mergeDate]]))</f>
        <v>16'm9</v>
      </c>
      <c r="V1350" s="7" t="str">
        <f>IF(ISBLANK(patch[[#This Row],[project]]), "",SUM(patch[[#This Row],[BJ -1 num]:[SH -1 num]]))</f>
        <v/>
      </c>
      <c r="W1350" s="7" t="str">
        <f>IF(ISBLANK(patch[[#This Row],[project]]), "",COUNTIFS($A:$A,patch[[#This Row],[number]],$S:$S, "BJ And dev",$AC:$AC, "Review-1"))</f>
        <v/>
      </c>
      <c r="X1350" s="7" t="str">
        <f>IF(ISBLANK(patch[[#This Row],[project]]), "",COUNTIFS($A:$A,patch[[#This Row],[number]],$S:$S, "FL And dev",$AC:$AC, "Review-1"))</f>
        <v/>
      </c>
      <c r="Y1350" s="7" t="str">
        <f>IF(ISBLANK(patch[[#This Row],[project]]), "",COUNTIFS($A:$A,patch[[#This Row],[number]],$S:$S, "SH And dev",$AC:$AC, "Review-1"))</f>
        <v/>
      </c>
      <c r="Z1350" s="7" t="str">
        <f>IF(ISBLANK(patch[[#This Row],[project]]), "",COUNTIFS($A:$A,patch[[#This Row],[number]],$S:$S, "BJ And dev",$AD:$AD, "&lt;&gt;IntegratorValidationComment"))</f>
        <v/>
      </c>
      <c r="AA1350" s="7" t="str">
        <f>IF(ISBLANK(patch[[#This Row],[project]]), "",COUNTIFS($A:$A,patch[[#This Row],[number]],$S:$S, "FL And dev",$AD:$AD, "&lt;&gt;IntegratorValidationComment"))</f>
        <v/>
      </c>
      <c r="AB1350" s="7" t="str">
        <f>IF(ISBLANK(patch[[#This Row],[project]]), "",COUNTIFS($A:$A,patch[[#This Row],[number]],$S:$S, "SH And dev",$AD:$AD, "&lt;&gt;IntegratorValidationComment"))</f>
        <v/>
      </c>
      <c r="AC1350" s="7" t="str">
        <f>IF(OR(ISNUMBER(FIND("Review-1", patch[[#This Row],[comments]])), ISNUMBER(FIND("Approver-1", patch[[#This Row],[comments]]))), "Review-1", "")</f>
        <v/>
      </c>
      <c r="AD13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350" s="7">
        <f>IF(ISBLANK(patch[[#This Row],[number]]),AE1349,patch[[#This Row],[ifCommon]])</f>
        <v>0</v>
      </c>
    </row>
    <row r="1351" spans="1:31">
      <c r="A1351" s="151">
        <v>145099</v>
      </c>
      <c r="B1351" s="151" t="s">
        <v>2490</v>
      </c>
      <c r="C1351" s="151" t="s">
        <v>2491</v>
      </c>
      <c r="D1351" s="151" t="s">
        <v>3060</v>
      </c>
      <c r="E1351" s="151" t="s">
        <v>63</v>
      </c>
      <c r="F1351" s="151" t="s">
        <v>23</v>
      </c>
      <c r="G1351" s="151" t="s">
        <v>3061</v>
      </c>
      <c r="H1351" s="151" t="s">
        <v>3062</v>
      </c>
      <c r="I1351" s="152">
        <v>42627.634259259263</v>
      </c>
      <c r="J1351" s="152">
        <v>42633.709699074083</v>
      </c>
      <c r="K1351" s="151" t="s">
        <v>2445</v>
      </c>
      <c r="L1351" s="151" t="s">
        <v>63</v>
      </c>
      <c r="M1351" s="152">
        <v>42627.634259259263</v>
      </c>
      <c r="N1351" s="151" t="s">
        <v>2428</v>
      </c>
      <c r="O1351" s="151"/>
      <c r="P1351" s="151" t="s">
        <v>2554</v>
      </c>
      <c r="Q1351" s="7" t="str">
        <f>IF(ISBLANK(patch[[#This Row],[OwnerEmail]]),Q1350,patch[[#This Row],[OwnerEmail]])</f>
        <v>zongx.li@intel.com</v>
      </c>
      <c r="R1351" s="7" t="str">
        <f>_xlfn.IFNA(VLOOKUP(patch[[#This Row],[tmp-owner.email]],OrgTree!$A:$K, 11, 0), "not ICG SWFW")</f>
        <v>BJ And dev</v>
      </c>
      <c r="S1351" s="7" t="str">
        <f>IF(patch[[#This Row],[reviewer]]=patch[[#This Row],[tmp-owner.email]], "author", _xlfn.IFNA(VLOOKUP(patch[[#This Row],[reviewer]],OrgTree!$A:$K, 11, 0), "not ICG SWFW"))</f>
        <v>author</v>
      </c>
      <c r="T1351" s="7" t="str">
        <f>IF(ISBLANK(patch[[#This Row],[mergeDate]]), "", MID(YEAR(patch[[#This Row],[mergeDate]]), 3,2)&amp;"'ww"&amp;WEEKNUM(patch[[#This Row],[mergeDate]]))</f>
        <v>16'ww39</v>
      </c>
      <c r="U1351" s="7" t="str">
        <f>IF(ISBLANK(patch[[#This Row],[mergeDate]]), U1350, MID(YEAR(patch[[#This Row],[mergeDate]]), 3,2)&amp;"'m"&amp;MONTH(patch[[#This Row],[mergeDate]]))</f>
        <v>16'm9</v>
      </c>
      <c r="V1351" s="7">
        <f>IF(ISBLANK(patch[[#This Row],[project]]), "",SUM(patch[[#This Row],[BJ -1 num]:[SH -1 num]]))</f>
        <v>0</v>
      </c>
      <c r="W1351" s="7">
        <f>IF(ISBLANK(patch[[#This Row],[project]]), "",COUNTIFS($A:$A,patch[[#This Row],[number]],$S:$S, "BJ And dev",$AC:$AC, "Review-1"))</f>
        <v>0</v>
      </c>
      <c r="X1351" s="7">
        <f>IF(ISBLANK(patch[[#This Row],[project]]), "",COUNTIFS($A:$A,patch[[#This Row],[number]],$S:$S, "FL And dev",$AC:$AC, "Review-1"))</f>
        <v>0</v>
      </c>
      <c r="Y1351" s="7">
        <f>IF(ISBLANK(patch[[#This Row],[project]]), "",COUNTIFS($A:$A,patch[[#This Row],[number]],$S:$S, "SH And dev",$AC:$AC, "Review-1"))</f>
        <v>0</v>
      </c>
      <c r="Z1351" s="7">
        <f>IF(ISBLANK(patch[[#This Row],[project]]), "",COUNTIFS($A:$A,patch[[#This Row],[number]],$S:$S, "BJ And dev",$AD:$AD, "&lt;&gt;IntegratorValidationComment"))</f>
        <v>6</v>
      </c>
      <c r="AA1351" s="7">
        <f>IF(ISBLANK(patch[[#This Row],[project]]), "",COUNTIFS($A:$A,patch[[#This Row],[number]],$S:$S, "FL And dev",$AD:$AD, "&lt;&gt;IntegratorValidationComment"))</f>
        <v>0</v>
      </c>
      <c r="AB1351" s="7">
        <f>IF(ISBLANK(patch[[#This Row],[project]]), "",COUNTIFS($A:$A,patch[[#This Row],[number]],$S:$S, "SH And dev",$AD:$AD, "&lt;&gt;IntegratorValidationComment"))</f>
        <v>0</v>
      </c>
      <c r="AC1351" s="7" t="str">
        <f>IF(OR(ISNUMBER(FIND("Review-1", patch[[#This Row],[comments]])), ISNUMBER(FIND("Approver-1", patch[[#This Row],[comments]]))), "Review-1", "")</f>
        <v/>
      </c>
      <c r="AD13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51" s="7" t="str">
        <f>IF(ISBLANK(patch[[#This Row],[number]]),AE1350,patch[[#This Row],[ifCommon]])</f>
        <v>not AndrHAL</v>
      </c>
    </row>
    <row r="1352" spans="1:31">
      <c r="A1352" s="151">
        <v>145099</v>
      </c>
      <c r="B1352" s="151"/>
      <c r="C1352" s="151"/>
      <c r="D1352" s="151"/>
      <c r="E1352" s="151"/>
      <c r="F1352" s="151"/>
      <c r="G1352" s="151"/>
      <c r="H1352" s="151"/>
      <c r="I1352" s="151"/>
      <c r="J1352" s="152">
        <v>42633.709699074083</v>
      </c>
      <c r="K1352" s="151"/>
      <c r="L1352" s="151" t="s">
        <v>63</v>
      </c>
      <c r="M1352" s="152">
        <v>42627.634259259263</v>
      </c>
      <c r="N1352" s="151" t="s">
        <v>25</v>
      </c>
      <c r="O1352" s="151"/>
      <c r="P1352" s="151"/>
      <c r="Q1352" s="7" t="str">
        <f>IF(ISBLANK(patch[[#This Row],[OwnerEmail]]),Q1351,patch[[#This Row],[OwnerEmail]])</f>
        <v>zongx.li@intel.com</v>
      </c>
      <c r="R1352" s="7" t="str">
        <f>_xlfn.IFNA(VLOOKUP(patch[[#This Row],[tmp-owner.email]],OrgTree!$A:$K, 11, 0), "not ICG SWFW")</f>
        <v>BJ And dev</v>
      </c>
      <c r="S1352" s="7" t="str">
        <f>IF(patch[[#This Row],[reviewer]]=patch[[#This Row],[tmp-owner.email]], "author", _xlfn.IFNA(VLOOKUP(patch[[#This Row],[reviewer]],OrgTree!$A:$K, 11, 0), "not ICG SWFW"))</f>
        <v>author</v>
      </c>
      <c r="T1352" s="7" t="str">
        <f>IF(ISBLANK(patch[[#This Row],[mergeDate]]), "", MID(YEAR(patch[[#This Row],[mergeDate]]), 3,2)&amp;"'ww"&amp;WEEKNUM(patch[[#This Row],[mergeDate]]))</f>
        <v>16'ww39</v>
      </c>
      <c r="U1352" s="7" t="str">
        <f>IF(ISBLANK(patch[[#This Row],[mergeDate]]), U1351, MID(YEAR(patch[[#This Row],[mergeDate]]), 3,2)&amp;"'m"&amp;MONTH(patch[[#This Row],[mergeDate]]))</f>
        <v>16'm9</v>
      </c>
      <c r="V1352" s="7" t="str">
        <f>IF(ISBLANK(patch[[#This Row],[project]]), "",SUM(patch[[#This Row],[BJ -1 num]:[SH -1 num]]))</f>
        <v/>
      </c>
      <c r="W1352" s="7" t="str">
        <f>IF(ISBLANK(patch[[#This Row],[project]]), "",COUNTIFS($A:$A,patch[[#This Row],[number]],$S:$S, "BJ And dev",$AC:$AC, "Review-1"))</f>
        <v/>
      </c>
      <c r="X1352" s="7" t="str">
        <f>IF(ISBLANK(patch[[#This Row],[project]]), "",COUNTIFS($A:$A,patch[[#This Row],[number]],$S:$S, "FL And dev",$AC:$AC, "Review-1"))</f>
        <v/>
      </c>
      <c r="Y1352" s="7" t="str">
        <f>IF(ISBLANK(patch[[#This Row],[project]]), "",COUNTIFS($A:$A,patch[[#This Row],[number]],$S:$S, "SH And dev",$AC:$AC, "Review-1"))</f>
        <v/>
      </c>
      <c r="Z1352" s="7" t="str">
        <f>IF(ISBLANK(patch[[#This Row],[project]]), "",COUNTIFS($A:$A,patch[[#This Row],[number]],$S:$S, "BJ And dev",$AD:$AD, "&lt;&gt;IntegratorValidationComment"))</f>
        <v/>
      </c>
      <c r="AA1352" s="7" t="str">
        <f>IF(ISBLANK(patch[[#This Row],[project]]), "",COUNTIFS($A:$A,patch[[#This Row],[number]],$S:$S, "FL And dev",$AD:$AD, "&lt;&gt;IntegratorValidationComment"))</f>
        <v/>
      </c>
      <c r="AB1352" s="7" t="str">
        <f>IF(ISBLANK(patch[[#This Row],[project]]), "",COUNTIFS($A:$A,patch[[#This Row],[number]],$S:$S, "SH And dev",$AD:$AD, "&lt;&gt;IntegratorValidationComment"))</f>
        <v/>
      </c>
      <c r="AC1352" s="7" t="str">
        <f>IF(OR(ISNUMBER(FIND("Review-1", patch[[#This Row],[comments]])), ISNUMBER(FIND("Approver-1", patch[[#This Row],[comments]]))), "Review-1", "")</f>
        <v/>
      </c>
      <c r="AD13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52" s="7">
        <f>IF(ISBLANK(patch[[#This Row],[number]]),AE1351,patch[[#This Row],[ifCommon]])</f>
        <v>0</v>
      </c>
    </row>
    <row r="1353" spans="1:31">
      <c r="A1353" s="151">
        <v>145099</v>
      </c>
      <c r="B1353" s="151"/>
      <c r="C1353" s="151"/>
      <c r="D1353" s="151"/>
      <c r="E1353" s="151"/>
      <c r="F1353" s="151"/>
      <c r="G1353" s="151"/>
      <c r="H1353" s="151"/>
      <c r="I1353" s="151"/>
      <c r="J1353" s="152">
        <v>42633.709699074083</v>
      </c>
      <c r="K1353" s="151"/>
      <c r="L1353" s="151" t="s">
        <v>63</v>
      </c>
      <c r="M1353" s="152">
        <v>42627.634687500002</v>
      </c>
      <c r="N1353" s="151" t="s">
        <v>40</v>
      </c>
      <c r="O1353" s="151"/>
      <c r="P1353" s="151"/>
      <c r="Q1353" s="7" t="str">
        <f>IF(ISBLANK(patch[[#This Row],[OwnerEmail]]),Q1352,patch[[#This Row],[OwnerEmail]])</f>
        <v>zongx.li@intel.com</v>
      </c>
      <c r="R1353" s="7" t="str">
        <f>_xlfn.IFNA(VLOOKUP(patch[[#This Row],[tmp-owner.email]],OrgTree!$A:$K, 11, 0), "not ICG SWFW")</f>
        <v>BJ And dev</v>
      </c>
      <c r="S1353" s="7" t="str">
        <f>IF(patch[[#This Row],[reviewer]]=patch[[#This Row],[tmp-owner.email]], "author", _xlfn.IFNA(VLOOKUP(patch[[#This Row],[reviewer]],OrgTree!$A:$K, 11, 0), "not ICG SWFW"))</f>
        <v>author</v>
      </c>
      <c r="T1353" s="7" t="str">
        <f>IF(ISBLANK(patch[[#This Row],[mergeDate]]), "", MID(YEAR(patch[[#This Row],[mergeDate]]), 3,2)&amp;"'ww"&amp;WEEKNUM(patch[[#This Row],[mergeDate]]))</f>
        <v>16'ww39</v>
      </c>
      <c r="U1353" s="7" t="str">
        <f>IF(ISBLANK(patch[[#This Row],[mergeDate]]), U1352, MID(YEAR(patch[[#This Row],[mergeDate]]), 3,2)&amp;"'m"&amp;MONTH(patch[[#This Row],[mergeDate]]))</f>
        <v>16'm9</v>
      </c>
      <c r="V1353" s="7" t="str">
        <f>IF(ISBLANK(patch[[#This Row],[project]]), "",SUM(patch[[#This Row],[BJ -1 num]:[SH -1 num]]))</f>
        <v/>
      </c>
      <c r="W1353" s="7" t="str">
        <f>IF(ISBLANK(patch[[#This Row],[project]]), "",COUNTIFS($A:$A,patch[[#This Row],[number]],$S:$S, "BJ And dev",$AC:$AC, "Review-1"))</f>
        <v/>
      </c>
      <c r="X1353" s="7" t="str">
        <f>IF(ISBLANK(patch[[#This Row],[project]]), "",COUNTIFS($A:$A,patch[[#This Row],[number]],$S:$S, "FL And dev",$AC:$AC, "Review-1"))</f>
        <v/>
      </c>
      <c r="Y1353" s="7" t="str">
        <f>IF(ISBLANK(patch[[#This Row],[project]]), "",COUNTIFS($A:$A,patch[[#This Row],[number]],$S:$S, "SH And dev",$AC:$AC, "Review-1"))</f>
        <v/>
      </c>
      <c r="Z1353" s="7" t="str">
        <f>IF(ISBLANK(patch[[#This Row],[project]]), "",COUNTIFS($A:$A,patch[[#This Row],[number]],$S:$S, "BJ And dev",$AD:$AD, "&lt;&gt;IntegratorValidationComment"))</f>
        <v/>
      </c>
      <c r="AA1353" s="7" t="str">
        <f>IF(ISBLANK(patch[[#This Row],[project]]), "",COUNTIFS($A:$A,patch[[#This Row],[number]],$S:$S, "FL And dev",$AD:$AD, "&lt;&gt;IntegratorValidationComment"))</f>
        <v/>
      </c>
      <c r="AB1353" s="7" t="str">
        <f>IF(ISBLANK(patch[[#This Row],[project]]), "",COUNTIFS($A:$A,patch[[#This Row],[number]],$S:$S, "SH And dev",$AD:$AD, "&lt;&gt;IntegratorValidationComment"))</f>
        <v/>
      </c>
      <c r="AC1353" s="7" t="str">
        <f>IF(OR(ISNUMBER(FIND("Review-1", patch[[#This Row],[comments]])), ISNUMBER(FIND("Approver-1", patch[[#This Row],[comments]]))), "Review-1", "")</f>
        <v/>
      </c>
      <c r="AD13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53" s="7">
        <f>IF(ISBLANK(patch[[#This Row],[number]]),AE1352,patch[[#This Row],[ifCommon]])</f>
        <v>0</v>
      </c>
    </row>
    <row r="1354" spans="1:31">
      <c r="A1354" s="151">
        <v>145099</v>
      </c>
      <c r="B1354" s="151"/>
      <c r="C1354" s="151"/>
      <c r="D1354" s="151"/>
      <c r="E1354" s="151"/>
      <c r="F1354" s="151"/>
      <c r="G1354" s="151"/>
      <c r="H1354" s="151"/>
      <c r="I1354" s="151"/>
      <c r="J1354" s="152">
        <v>42633.709699074083</v>
      </c>
      <c r="K1354" s="151"/>
      <c r="L1354" s="151" t="s">
        <v>59</v>
      </c>
      <c r="M1354" s="152">
        <v>42627.640277777777</v>
      </c>
      <c r="N1354" s="151" t="s">
        <v>3257</v>
      </c>
      <c r="O1354" s="151"/>
      <c r="P1354" s="151"/>
      <c r="Q1354" s="7" t="str">
        <f>IF(ISBLANK(patch[[#This Row],[OwnerEmail]]),Q1353,patch[[#This Row],[OwnerEmail]])</f>
        <v>zongx.li@intel.com</v>
      </c>
      <c r="R1354" s="7" t="str">
        <f>_xlfn.IFNA(VLOOKUP(patch[[#This Row],[tmp-owner.email]],OrgTree!$A:$K, 11, 0), "not ICG SWFW")</f>
        <v>BJ And dev</v>
      </c>
      <c r="S1354" s="7" t="str">
        <f>IF(patch[[#This Row],[reviewer]]=patch[[#This Row],[tmp-owner.email]], "author", _xlfn.IFNA(VLOOKUP(patch[[#This Row],[reviewer]],OrgTree!$A:$K, 11, 0), "not ICG SWFW"))</f>
        <v>BJ And dev</v>
      </c>
      <c r="T1354" s="7" t="str">
        <f>IF(ISBLANK(patch[[#This Row],[mergeDate]]), "", MID(YEAR(patch[[#This Row],[mergeDate]]), 3,2)&amp;"'ww"&amp;WEEKNUM(patch[[#This Row],[mergeDate]]))</f>
        <v>16'ww39</v>
      </c>
      <c r="U1354" s="7" t="str">
        <f>IF(ISBLANK(patch[[#This Row],[mergeDate]]), U1353, MID(YEAR(patch[[#This Row],[mergeDate]]), 3,2)&amp;"'m"&amp;MONTH(patch[[#This Row],[mergeDate]]))</f>
        <v>16'm9</v>
      </c>
      <c r="V1354" s="7" t="str">
        <f>IF(ISBLANK(patch[[#This Row],[project]]), "",SUM(patch[[#This Row],[BJ -1 num]:[SH -1 num]]))</f>
        <v/>
      </c>
      <c r="W1354" s="7" t="str">
        <f>IF(ISBLANK(patch[[#This Row],[project]]), "",COUNTIFS($A:$A,patch[[#This Row],[number]],$S:$S, "BJ And dev",$AC:$AC, "Review-1"))</f>
        <v/>
      </c>
      <c r="X1354" s="7" t="str">
        <f>IF(ISBLANK(patch[[#This Row],[project]]), "",COUNTIFS($A:$A,patch[[#This Row],[number]],$S:$S, "FL And dev",$AC:$AC, "Review-1"))</f>
        <v/>
      </c>
      <c r="Y1354" s="7" t="str">
        <f>IF(ISBLANK(patch[[#This Row],[project]]), "",COUNTIFS($A:$A,patch[[#This Row],[number]],$S:$S, "SH And dev",$AC:$AC, "Review-1"))</f>
        <v/>
      </c>
      <c r="Z1354" s="7" t="str">
        <f>IF(ISBLANK(patch[[#This Row],[project]]), "",COUNTIFS($A:$A,patch[[#This Row],[number]],$S:$S, "BJ And dev",$AD:$AD, "&lt;&gt;IntegratorValidationComment"))</f>
        <v/>
      </c>
      <c r="AA1354" s="7" t="str">
        <f>IF(ISBLANK(patch[[#This Row],[project]]), "",COUNTIFS($A:$A,patch[[#This Row],[number]],$S:$S, "FL And dev",$AD:$AD, "&lt;&gt;IntegratorValidationComment"))</f>
        <v/>
      </c>
      <c r="AB1354" s="7" t="str">
        <f>IF(ISBLANK(patch[[#This Row],[project]]), "",COUNTIFS($A:$A,patch[[#This Row],[number]],$S:$S, "SH And dev",$AD:$AD, "&lt;&gt;IntegratorValidationComment"))</f>
        <v/>
      </c>
      <c r="AC1354" s="7" t="str">
        <f>IF(OR(ISNUMBER(FIND("Review-1", patch[[#This Row],[comments]])), ISNUMBER(FIND("Approver-1", patch[[#This Row],[comments]]))), "Review-1", "")</f>
        <v/>
      </c>
      <c r="AD13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54" s="7">
        <f>IF(ISBLANK(patch[[#This Row],[number]]),AE1353,patch[[#This Row],[ifCommon]])</f>
        <v>0</v>
      </c>
    </row>
    <row r="1355" spans="1:31">
      <c r="A1355" s="151">
        <v>145099</v>
      </c>
      <c r="B1355" s="151"/>
      <c r="C1355" s="151"/>
      <c r="D1355" s="151"/>
      <c r="E1355" s="151"/>
      <c r="F1355" s="151"/>
      <c r="G1355" s="151"/>
      <c r="H1355" s="151"/>
      <c r="I1355" s="151"/>
      <c r="J1355" s="152">
        <v>42633.709699074083</v>
      </c>
      <c r="K1355" s="151"/>
      <c r="L1355" s="151" t="s">
        <v>59</v>
      </c>
      <c r="M1355" s="152">
        <v>42627.642870370371</v>
      </c>
      <c r="N1355" s="151" t="s">
        <v>3258</v>
      </c>
      <c r="O1355" s="151"/>
      <c r="P1355" s="151"/>
      <c r="Q1355" s="7" t="str">
        <f>IF(ISBLANK(patch[[#This Row],[OwnerEmail]]),Q1354,patch[[#This Row],[OwnerEmail]])</f>
        <v>zongx.li@intel.com</v>
      </c>
      <c r="R1355" s="7" t="str">
        <f>_xlfn.IFNA(VLOOKUP(patch[[#This Row],[tmp-owner.email]],OrgTree!$A:$K, 11, 0), "not ICG SWFW")</f>
        <v>BJ And dev</v>
      </c>
      <c r="S1355" s="7" t="str">
        <f>IF(patch[[#This Row],[reviewer]]=patch[[#This Row],[tmp-owner.email]], "author", _xlfn.IFNA(VLOOKUP(patch[[#This Row],[reviewer]],OrgTree!$A:$K, 11, 0), "not ICG SWFW"))</f>
        <v>BJ And dev</v>
      </c>
      <c r="T1355" s="7" t="str">
        <f>IF(ISBLANK(patch[[#This Row],[mergeDate]]), "", MID(YEAR(patch[[#This Row],[mergeDate]]), 3,2)&amp;"'ww"&amp;WEEKNUM(patch[[#This Row],[mergeDate]]))</f>
        <v>16'ww39</v>
      </c>
      <c r="U1355" s="7" t="str">
        <f>IF(ISBLANK(patch[[#This Row],[mergeDate]]), U1354, MID(YEAR(patch[[#This Row],[mergeDate]]), 3,2)&amp;"'m"&amp;MONTH(patch[[#This Row],[mergeDate]]))</f>
        <v>16'm9</v>
      </c>
      <c r="V1355" s="7" t="str">
        <f>IF(ISBLANK(patch[[#This Row],[project]]), "",SUM(patch[[#This Row],[BJ -1 num]:[SH -1 num]]))</f>
        <v/>
      </c>
      <c r="W1355" s="7" t="str">
        <f>IF(ISBLANK(patch[[#This Row],[project]]), "",COUNTIFS($A:$A,patch[[#This Row],[number]],$S:$S, "BJ And dev",$AC:$AC, "Review-1"))</f>
        <v/>
      </c>
      <c r="X1355" s="7" t="str">
        <f>IF(ISBLANK(patch[[#This Row],[project]]), "",COUNTIFS($A:$A,patch[[#This Row],[number]],$S:$S, "FL And dev",$AC:$AC, "Review-1"))</f>
        <v/>
      </c>
      <c r="Y1355" s="7" t="str">
        <f>IF(ISBLANK(patch[[#This Row],[project]]), "",COUNTIFS($A:$A,patch[[#This Row],[number]],$S:$S, "SH And dev",$AC:$AC, "Review-1"))</f>
        <v/>
      </c>
      <c r="Z1355" s="7" t="str">
        <f>IF(ISBLANK(patch[[#This Row],[project]]), "",COUNTIFS($A:$A,patch[[#This Row],[number]],$S:$S, "BJ And dev",$AD:$AD, "&lt;&gt;IntegratorValidationComment"))</f>
        <v/>
      </c>
      <c r="AA1355" s="7" t="str">
        <f>IF(ISBLANK(patch[[#This Row],[project]]), "",COUNTIFS($A:$A,patch[[#This Row],[number]],$S:$S, "FL And dev",$AD:$AD, "&lt;&gt;IntegratorValidationComment"))</f>
        <v/>
      </c>
      <c r="AB1355" s="7" t="str">
        <f>IF(ISBLANK(patch[[#This Row],[project]]), "",COUNTIFS($A:$A,patch[[#This Row],[number]],$S:$S, "SH And dev",$AD:$AD, "&lt;&gt;IntegratorValidationComment"))</f>
        <v/>
      </c>
      <c r="AC1355" s="7" t="str">
        <f>IF(OR(ISNUMBER(FIND("Review-1", patch[[#This Row],[comments]])), ISNUMBER(FIND("Approver-1", patch[[#This Row],[comments]]))), "Review-1", "")</f>
        <v/>
      </c>
      <c r="AD13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55" s="7">
        <f>IF(ISBLANK(patch[[#This Row],[number]]),AE1354,patch[[#This Row],[ifCommon]])</f>
        <v>0</v>
      </c>
    </row>
    <row r="1356" spans="1:31">
      <c r="A1356" s="151">
        <v>145099</v>
      </c>
      <c r="B1356" s="151"/>
      <c r="C1356" s="151"/>
      <c r="D1356" s="151"/>
      <c r="E1356" s="151"/>
      <c r="F1356" s="151"/>
      <c r="G1356" s="151"/>
      <c r="H1356" s="151"/>
      <c r="I1356" s="151"/>
      <c r="J1356" s="152">
        <v>42633.709699074083</v>
      </c>
      <c r="K1356" s="151"/>
      <c r="L1356" s="151" t="s">
        <v>32</v>
      </c>
      <c r="M1356" s="152">
        <v>42627.736331018517</v>
      </c>
      <c r="N1356" s="151" t="s">
        <v>40</v>
      </c>
      <c r="O1356" s="151"/>
      <c r="P1356" s="151"/>
      <c r="Q1356" s="7" t="str">
        <f>IF(ISBLANK(patch[[#This Row],[OwnerEmail]]),Q1355,patch[[#This Row],[OwnerEmail]])</f>
        <v>zongx.li@intel.com</v>
      </c>
      <c r="R1356" s="7" t="str">
        <f>_xlfn.IFNA(VLOOKUP(patch[[#This Row],[tmp-owner.email]],OrgTree!$A:$K, 11, 0), "not ICG SWFW")</f>
        <v>BJ And dev</v>
      </c>
      <c r="S1356" s="7" t="str">
        <f>IF(patch[[#This Row],[reviewer]]=patch[[#This Row],[tmp-owner.email]], "author", _xlfn.IFNA(VLOOKUP(patch[[#This Row],[reviewer]],OrgTree!$A:$K, 11, 0), "not ICG SWFW"))</f>
        <v>BJ And dev</v>
      </c>
      <c r="T1356" s="7" t="str">
        <f>IF(ISBLANK(patch[[#This Row],[mergeDate]]), "", MID(YEAR(patch[[#This Row],[mergeDate]]), 3,2)&amp;"'ww"&amp;WEEKNUM(patch[[#This Row],[mergeDate]]))</f>
        <v>16'ww39</v>
      </c>
      <c r="U1356" s="7" t="str">
        <f>IF(ISBLANK(patch[[#This Row],[mergeDate]]), U1355, MID(YEAR(patch[[#This Row],[mergeDate]]), 3,2)&amp;"'m"&amp;MONTH(patch[[#This Row],[mergeDate]]))</f>
        <v>16'm9</v>
      </c>
      <c r="V1356" s="7" t="str">
        <f>IF(ISBLANK(patch[[#This Row],[project]]), "",SUM(patch[[#This Row],[BJ -1 num]:[SH -1 num]]))</f>
        <v/>
      </c>
      <c r="W1356" s="7" t="str">
        <f>IF(ISBLANK(patch[[#This Row],[project]]), "",COUNTIFS($A:$A,patch[[#This Row],[number]],$S:$S, "BJ And dev",$AC:$AC, "Review-1"))</f>
        <v/>
      </c>
      <c r="X1356" s="7" t="str">
        <f>IF(ISBLANK(patch[[#This Row],[project]]), "",COUNTIFS($A:$A,patch[[#This Row],[number]],$S:$S, "FL And dev",$AC:$AC, "Review-1"))</f>
        <v/>
      </c>
      <c r="Y1356" s="7" t="str">
        <f>IF(ISBLANK(patch[[#This Row],[project]]), "",COUNTIFS($A:$A,patch[[#This Row],[number]],$S:$S, "SH And dev",$AC:$AC, "Review-1"))</f>
        <v/>
      </c>
      <c r="Z1356" s="7" t="str">
        <f>IF(ISBLANK(patch[[#This Row],[project]]), "",COUNTIFS($A:$A,patch[[#This Row],[number]],$S:$S, "BJ And dev",$AD:$AD, "&lt;&gt;IntegratorValidationComment"))</f>
        <v/>
      </c>
      <c r="AA1356" s="7" t="str">
        <f>IF(ISBLANK(patch[[#This Row],[project]]), "",COUNTIFS($A:$A,patch[[#This Row],[number]],$S:$S, "FL And dev",$AD:$AD, "&lt;&gt;IntegratorValidationComment"))</f>
        <v/>
      </c>
      <c r="AB1356" s="7" t="str">
        <f>IF(ISBLANK(patch[[#This Row],[project]]), "",COUNTIFS($A:$A,patch[[#This Row],[number]],$S:$S, "SH And dev",$AD:$AD, "&lt;&gt;IntegratorValidationComment"))</f>
        <v/>
      </c>
      <c r="AC1356" s="7" t="str">
        <f>IF(OR(ISNUMBER(FIND("Review-1", patch[[#This Row],[comments]])), ISNUMBER(FIND("Approver-1", patch[[#This Row],[comments]]))), "Review-1", "")</f>
        <v/>
      </c>
      <c r="AD13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56" s="7">
        <f>IF(ISBLANK(patch[[#This Row],[number]]),AE1355,patch[[#This Row],[ifCommon]])</f>
        <v>0</v>
      </c>
    </row>
    <row r="1357" spans="1:31">
      <c r="A1357" s="151">
        <v>145099</v>
      </c>
      <c r="B1357" s="151"/>
      <c r="C1357" s="151"/>
      <c r="D1357" s="151"/>
      <c r="E1357" s="151"/>
      <c r="F1357" s="151"/>
      <c r="G1357" s="151"/>
      <c r="H1357" s="151"/>
      <c r="I1357" s="151"/>
      <c r="J1357" s="152">
        <v>42633.709699074083</v>
      </c>
      <c r="K1357" s="151"/>
      <c r="L1357" s="151" t="s">
        <v>59</v>
      </c>
      <c r="M1357" s="152">
        <v>42627.73778935185</v>
      </c>
      <c r="N1357" s="151" t="s">
        <v>1880</v>
      </c>
      <c r="O1357" s="151"/>
      <c r="P1357" s="151"/>
      <c r="Q1357" s="7" t="str">
        <f>IF(ISBLANK(patch[[#This Row],[OwnerEmail]]),Q1356,patch[[#This Row],[OwnerEmail]])</f>
        <v>zongx.li@intel.com</v>
      </c>
      <c r="R1357" s="7" t="str">
        <f>_xlfn.IFNA(VLOOKUP(patch[[#This Row],[tmp-owner.email]],OrgTree!$A:$K, 11, 0), "not ICG SWFW")</f>
        <v>BJ And dev</v>
      </c>
      <c r="S1357" s="7" t="str">
        <f>IF(patch[[#This Row],[reviewer]]=patch[[#This Row],[tmp-owner.email]], "author", _xlfn.IFNA(VLOOKUP(patch[[#This Row],[reviewer]],OrgTree!$A:$K, 11, 0), "not ICG SWFW"))</f>
        <v>BJ And dev</v>
      </c>
      <c r="T1357" s="7" t="str">
        <f>IF(ISBLANK(patch[[#This Row],[mergeDate]]), "", MID(YEAR(patch[[#This Row],[mergeDate]]), 3,2)&amp;"'ww"&amp;WEEKNUM(patch[[#This Row],[mergeDate]]))</f>
        <v>16'ww39</v>
      </c>
      <c r="U1357" s="7" t="str">
        <f>IF(ISBLANK(patch[[#This Row],[mergeDate]]), U1356, MID(YEAR(patch[[#This Row],[mergeDate]]), 3,2)&amp;"'m"&amp;MONTH(patch[[#This Row],[mergeDate]]))</f>
        <v>16'm9</v>
      </c>
      <c r="V1357" s="7" t="str">
        <f>IF(ISBLANK(patch[[#This Row],[project]]), "",SUM(patch[[#This Row],[BJ -1 num]:[SH -1 num]]))</f>
        <v/>
      </c>
      <c r="W1357" s="7" t="str">
        <f>IF(ISBLANK(patch[[#This Row],[project]]), "",COUNTIFS($A:$A,patch[[#This Row],[number]],$S:$S, "BJ And dev",$AC:$AC, "Review-1"))</f>
        <v/>
      </c>
      <c r="X1357" s="7" t="str">
        <f>IF(ISBLANK(patch[[#This Row],[project]]), "",COUNTIFS($A:$A,patch[[#This Row],[number]],$S:$S, "FL And dev",$AC:$AC, "Review-1"))</f>
        <v/>
      </c>
      <c r="Y1357" s="7" t="str">
        <f>IF(ISBLANK(patch[[#This Row],[project]]), "",COUNTIFS($A:$A,patch[[#This Row],[number]],$S:$S, "SH And dev",$AC:$AC, "Review-1"))</f>
        <v/>
      </c>
      <c r="Z1357" s="7" t="str">
        <f>IF(ISBLANK(patch[[#This Row],[project]]), "",COUNTIFS($A:$A,patch[[#This Row],[number]],$S:$S, "BJ And dev",$AD:$AD, "&lt;&gt;IntegratorValidationComment"))</f>
        <v/>
      </c>
      <c r="AA1357" s="7" t="str">
        <f>IF(ISBLANK(patch[[#This Row],[project]]), "",COUNTIFS($A:$A,patch[[#This Row],[number]],$S:$S, "FL And dev",$AD:$AD, "&lt;&gt;IntegratorValidationComment"))</f>
        <v/>
      </c>
      <c r="AB1357" s="7" t="str">
        <f>IF(ISBLANK(patch[[#This Row],[project]]), "",COUNTIFS($A:$A,patch[[#This Row],[number]],$S:$S, "SH And dev",$AD:$AD, "&lt;&gt;IntegratorValidationComment"))</f>
        <v/>
      </c>
      <c r="AC1357" s="7" t="str">
        <f>IF(OR(ISNUMBER(FIND("Review-1", patch[[#This Row],[comments]])), ISNUMBER(FIND("Approver-1", patch[[#This Row],[comments]]))), "Review-1", "")</f>
        <v/>
      </c>
      <c r="AD13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57" s="7">
        <f>IF(ISBLANK(patch[[#This Row],[number]]),AE1356,patch[[#This Row],[ifCommon]])</f>
        <v>0</v>
      </c>
    </row>
    <row r="1358" spans="1:31">
      <c r="A1358" s="151">
        <v>145099</v>
      </c>
      <c r="B1358" s="151"/>
      <c r="C1358" s="151"/>
      <c r="D1358" s="151"/>
      <c r="E1358" s="151"/>
      <c r="F1358" s="151"/>
      <c r="G1358" s="151"/>
      <c r="H1358" s="151"/>
      <c r="I1358" s="151"/>
      <c r="J1358" s="152">
        <v>42633.709699074083</v>
      </c>
      <c r="K1358" s="151"/>
      <c r="L1358" s="151" t="s">
        <v>63</v>
      </c>
      <c r="M1358" s="152">
        <v>42631.429236111107</v>
      </c>
      <c r="N1358" s="151" t="s">
        <v>2429</v>
      </c>
      <c r="O1358" s="151"/>
      <c r="P1358" s="151"/>
      <c r="Q1358" s="7" t="str">
        <f>IF(ISBLANK(patch[[#This Row],[OwnerEmail]]),Q1357,patch[[#This Row],[OwnerEmail]])</f>
        <v>zongx.li@intel.com</v>
      </c>
      <c r="R1358" s="7" t="str">
        <f>_xlfn.IFNA(VLOOKUP(patch[[#This Row],[tmp-owner.email]],OrgTree!$A:$K, 11, 0), "not ICG SWFW")</f>
        <v>BJ And dev</v>
      </c>
      <c r="S1358" s="7" t="str">
        <f>IF(patch[[#This Row],[reviewer]]=patch[[#This Row],[tmp-owner.email]], "author", _xlfn.IFNA(VLOOKUP(patch[[#This Row],[reviewer]],OrgTree!$A:$K, 11, 0), "not ICG SWFW"))</f>
        <v>author</v>
      </c>
      <c r="T1358" s="7" t="str">
        <f>IF(ISBLANK(patch[[#This Row],[mergeDate]]), "", MID(YEAR(patch[[#This Row],[mergeDate]]), 3,2)&amp;"'ww"&amp;WEEKNUM(patch[[#This Row],[mergeDate]]))</f>
        <v>16'ww39</v>
      </c>
      <c r="U1358" s="7" t="str">
        <f>IF(ISBLANK(patch[[#This Row],[mergeDate]]), U1357, MID(YEAR(patch[[#This Row],[mergeDate]]), 3,2)&amp;"'m"&amp;MONTH(patch[[#This Row],[mergeDate]]))</f>
        <v>16'm9</v>
      </c>
      <c r="V1358" s="7" t="str">
        <f>IF(ISBLANK(patch[[#This Row],[project]]), "",SUM(patch[[#This Row],[BJ -1 num]:[SH -1 num]]))</f>
        <v/>
      </c>
      <c r="W1358" s="7" t="str">
        <f>IF(ISBLANK(patch[[#This Row],[project]]), "",COUNTIFS($A:$A,patch[[#This Row],[number]],$S:$S, "BJ And dev",$AC:$AC, "Review-1"))</f>
        <v/>
      </c>
      <c r="X1358" s="7" t="str">
        <f>IF(ISBLANK(patch[[#This Row],[project]]), "",COUNTIFS($A:$A,patch[[#This Row],[number]],$S:$S, "FL And dev",$AC:$AC, "Review-1"))</f>
        <v/>
      </c>
      <c r="Y1358" s="7" t="str">
        <f>IF(ISBLANK(patch[[#This Row],[project]]), "",COUNTIFS($A:$A,patch[[#This Row],[number]],$S:$S, "SH And dev",$AC:$AC, "Review-1"))</f>
        <v/>
      </c>
      <c r="Z1358" s="7" t="str">
        <f>IF(ISBLANK(patch[[#This Row],[project]]), "",COUNTIFS($A:$A,patch[[#This Row],[number]],$S:$S, "BJ And dev",$AD:$AD, "&lt;&gt;IntegratorValidationComment"))</f>
        <v/>
      </c>
      <c r="AA1358" s="7" t="str">
        <f>IF(ISBLANK(patch[[#This Row],[project]]), "",COUNTIFS($A:$A,patch[[#This Row],[number]],$S:$S, "FL And dev",$AD:$AD, "&lt;&gt;IntegratorValidationComment"))</f>
        <v/>
      </c>
      <c r="AB1358" s="7" t="str">
        <f>IF(ISBLANK(patch[[#This Row],[project]]), "",COUNTIFS($A:$A,patch[[#This Row],[number]],$S:$S, "SH And dev",$AD:$AD, "&lt;&gt;IntegratorValidationComment"))</f>
        <v/>
      </c>
      <c r="AC1358" s="7" t="str">
        <f>IF(OR(ISNUMBER(FIND("Review-1", patch[[#This Row],[comments]])), ISNUMBER(FIND("Approver-1", patch[[#This Row],[comments]]))), "Review-1", "")</f>
        <v/>
      </c>
      <c r="AD13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58" s="7">
        <f>IF(ISBLANK(patch[[#This Row],[number]]),AE1357,patch[[#This Row],[ifCommon]])</f>
        <v>0</v>
      </c>
    </row>
    <row r="1359" spans="1:31">
      <c r="A1359" s="151">
        <v>145099</v>
      </c>
      <c r="B1359" s="151"/>
      <c r="C1359" s="151"/>
      <c r="D1359" s="151"/>
      <c r="E1359" s="151"/>
      <c r="F1359" s="151"/>
      <c r="G1359" s="151"/>
      <c r="H1359" s="151"/>
      <c r="I1359" s="151"/>
      <c r="J1359" s="152">
        <v>42633.709699074083</v>
      </c>
      <c r="K1359" s="151"/>
      <c r="L1359" s="151" t="s">
        <v>63</v>
      </c>
      <c r="M1359" s="152">
        <v>42631.429236111107</v>
      </c>
      <c r="N1359" s="151" t="s">
        <v>65</v>
      </c>
      <c r="O1359" s="151"/>
      <c r="P1359" s="151"/>
      <c r="Q1359" s="7" t="str">
        <f>IF(ISBLANK(patch[[#This Row],[OwnerEmail]]),Q1358,patch[[#This Row],[OwnerEmail]])</f>
        <v>zongx.li@intel.com</v>
      </c>
      <c r="R1359" s="7" t="str">
        <f>_xlfn.IFNA(VLOOKUP(patch[[#This Row],[tmp-owner.email]],OrgTree!$A:$K, 11, 0), "not ICG SWFW")</f>
        <v>BJ And dev</v>
      </c>
      <c r="S1359" s="7" t="str">
        <f>IF(patch[[#This Row],[reviewer]]=patch[[#This Row],[tmp-owner.email]], "author", _xlfn.IFNA(VLOOKUP(patch[[#This Row],[reviewer]],OrgTree!$A:$K, 11, 0), "not ICG SWFW"))</f>
        <v>author</v>
      </c>
      <c r="T1359" s="7" t="str">
        <f>IF(ISBLANK(patch[[#This Row],[mergeDate]]), "", MID(YEAR(patch[[#This Row],[mergeDate]]), 3,2)&amp;"'ww"&amp;WEEKNUM(patch[[#This Row],[mergeDate]]))</f>
        <v>16'ww39</v>
      </c>
      <c r="U1359" s="7" t="str">
        <f>IF(ISBLANK(patch[[#This Row],[mergeDate]]), U1358, MID(YEAR(patch[[#This Row],[mergeDate]]), 3,2)&amp;"'m"&amp;MONTH(patch[[#This Row],[mergeDate]]))</f>
        <v>16'm9</v>
      </c>
      <c r="V1359" s="7" t="str">
        <f>IF(ISBLANK(patch[[#This Row],[project]]), "",SUM(patch[[#This Row],[BJ -1 num]:[SH -1 num]]))</f>
        <v/>
      </c>
      <c r="W1359" s="7" t="str">
        <f>IF(ISBLANK(patch[[#This Row],[project]]), "",COUNTIFS($A:$A,patch[[#This Row],[number]],$S:$S, "BJ And dev",$AC:$AC, "Review-1"))</f>
        <v/>
      </c>
      <c r="X1359" s="7" t="str">
        <f>IF(ISBLANK(patch[[#This Row],[project]]), "",COUNTIFS($A:$A,patch[[#This Row],[number]],$S:$S, "FL And dev",$AC:$AC, "Review-1"))</f>
        <v/>
      </c>
      <c r="Y1359" s="7" t="str">
        <f>IF(ISBLANK(patch[[#This Row],[project]]), "",COUNTIFS($A:$A,patch[[#This Row],[number]],$S:$S, "SH And dev",$AC:$AC, "Review-1"))</f>
        <v/>
      </c>
      <c r="Z1359" s="7" t="str">
        <f>IF(ISBLANK(patch[[#This Row],[project]]), "",COUNTIFS($A:$A,patch[[#This Row],[number]],$S:$S, "BJ And dev",$AD:$AD, "&lt;&gt;IntegratorValidationComment"))</f>
        <v/>
      </c>
      <c r="AA1359" s="7" t="str">
        <f>IF(ISBLANK(patch[[#This Row],[project]]), "",COUNTIFS($A:$A,patch[[#This Row],[number]],$S:$S, "FL And dev",$AD:$AD, "&lt;&gt;IntegratorValidationComment"))</f>
        <v/>
      </c>
      <c r="AB1359" s="7" t="str">
        <f>IF(ISBLANK(patch[[#This Row],[project]]), "",COUNTIFS($A:$A,patch[[#This Row],[number]],$S:$S, "SH And dev",$AD:$AD, "&lt;&gt;IntegratorValidationComment"))</f>
        <v/>
      </c>
      <c r="AC1359" s="7" t="str">
        <f>IF(OR(ISNUMBER(FIND("Review-1", patch[[#This Row],[comments]])), ISNUMBER(FIND("Approver-1", patch[[#This Row],[comments]]))), "Review-1", "")</f>
        <v/>
      </c>
      <c r="AD13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59" s="7">
        <f>IF(ISBLANK(patch[[#This Row],[number]]),AE1358,patch[[#This Row],[ifCommon]])</f>
        <v>0</v>
      </c>
    </row>
    <row r="1360" spans="1:31">
      <c r="A1360" s="151">
        <v>145099</v>
      </c>
      <c r="B1360" s="151"/>
      <c r="C1360" s="151"/>
      <c r="D1360" s="151"/>
      <c r="E1360" s="151"/>
      <c r="F1360" s="151"/>
      <c r="G1360" s="151"/>
      <c r="H1360" s="151"/>
      <c r="I1360" s="151"/>
      <c r="J1360" s="152">
        <v>42633.709699074083</v>
      </c>
      <c r="K1360" s="151"/>
      <c r="L1360" s="151" t="s">
        <v>63</v>
      </c>
      <c r="M1360" s="152">
        <v>42631.430636574078</v>
      </c>
      <c r="N1360" s="151" t="s">
        <v>2704</v>
      </c>
      <c r="O1360" s="151"/>
      <c r="P1360" s="151"/>
      <c r="Q1360" s="7" t="str">
        <f>IF(ISBLANK(patch[[#This Row],[OwnerEmail]]),Q1359,patch[[#This Row],[OwnerEmail]])</f>
        <v>zongx.li@intel.com</v>
      </c>
      <c r="R1360" s="7" t="str">
        <f>_xlfn.IFNA(VLOOKUP(patch[[#This Row],[tmp-owner.email]],OrgTree!$A:$K, 11, 0), "not ICG SWFW")</f>
        <v>BJ And dev</v>
      </c>
      <c r="S1360" s="7" t="str">
        <f>IF(patch[[#This Row],[reviewer]]=patch[[#This Row],[tmp-owner.email]], "author", _xlfn.IFNA(VLOOKUP(patch[[#This Row],[reviewer]],OrgTree!$A:$K, 11, 0), "not ICG SWFW"))</f>
        <v>author</v>
      </c>
      <c r="T1360" s="7" t="str">
        <f>IF(ISBLANK(patch[[#This Row],[mergeDate]]), "", MID(YEAR(patch[[#This Row],[mergeDate]]), 3,2)&amp;"'ww"&amp;WEEKNUM(patch[[#This Row],[mergeDate]]))</f>
        <v>16'ww39</v>
      </c>
      <c r="U1360" s="7" t="str">
        <f>IF(ISBLANK(patch[[#This Row],[mergeDate]]), U1359, MID(YEAR(patch[[#This Row],[mergeDate]]), 3,2)&amp;"'m"&amp;MONTH(patch[[#This Row],[mergeDate]]))</f>
        <v>16'm9</v>
      </c>
      <c r="V1360" s="7" t="str">
        <f>IF(ISBLANK(patch[[#This Row],[project]]), "",SUM(patch[[#This Row],[BJ -1 num]:[SH -1 num]]))</f>
        <v/>
      </c>
      <c r="W1360" s="7" t="str">
        <f>IF(ISBLANK(patch[[#This Row],[project]]), "",COUNTIFS($A:$A,patch[[#This Row],[number]],$S:$S, "BJ And dev",$AC:$AC, "Review-1"))</f>
        <v/>
      </c>
      <c r="X1360" s="7" t="str">
        <f>IF(ISBLANK(patch[[#This Row],[project]]), "",COUNTIFS($A:$A,patch[[#This Row],[number]],$S:$S, "FL And dev",$AC:$AC, "Review-1"))</f>
        <v/>
      </c>
      <c r="Y1360" s="7" t="str">
        <f>IF(ISBLANK(patch[[#This Row],[project]]), "",COUNTIFS($A:$A,patch[[#This Row],[number]],$S:$S, "SH And dev",$AC:$AC, "Review-1"))</f>
        <v/>
      </c>
      <c r="Z1360" s="7" t="str">
        <f>IF(ISBLANK(patch[[#This Row],[project]]), "",COUNTIFS($A:$A,patch[[#This Row],[number]],$S:$S, "BJ And dev",$AD:$AD, "&lt;&gt;IntegratorValidationComment"))</f>
        <v/>
      </c>
      <c r="AA1360" s="7" t="str">
        <f>IF(ISBLANK(patch[[#This Row],[project]]), "",COUNTIFS($A:$A,patch[[#This Row],[number]],$S:$S, "FL And dev",$AD:$AD, "&lt;&gt;IntegratorValidationComment"))</f>
        <v/>
      </c>
      <c r="AB1360" s="7" t="str">
        <f>IF(ISBLANK(patch[[#This Row],[project]]), "",COUNTIFS($A:$A,patch[[#This Row],[number]],$S:$S, "SH And dev",$AD:$AD, "&lt;&gt;IntegratorValidationComment"))</f>
        <v/>
      </c>
      <c r="AC1360" s="7" t="str">
        <f>IF(OR(ISNUMBER(FIND("Review-1", patch[[#This Row],[comments]])), ISNUMBER(FIND("Approver-1", patch[[#This Row],[comments]]))), "Review-1", "")</f>
        <v/>
      </c>
      <c r="AD13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60" s="7">
        <f>IF(ISBLANK(patch[[#This Row],[number]]),AE1359,patch[[#This Row],[ifCommon]])</f>
        <v>0</v>
      </c>
    </row>
    <row r="1361" spans="1:31">
      <c r="A1361" s="151">
        <v>145099</v>
      </c>
      <c r="B1361" s="151"/>
      <c r="C1361" s="151"/>
      <c r="D1361" s="151"/>
      <c r="E1361" s="151"/>
      <c r="F1361" s="151"/>
      <c r="G1361" s="151"/>
      <c r="H1361" s="151"/>
      <c r="I1361" s="151"/>
      <c r="J1361" s="152">
        <v>42633.709699074083</v>
      </c>
      <c r="K1361" s="151"/>
      <c r="L1361" s="151" t="s">
        <v>63</v>
      </c>
      <c r="M1361" s="152">
        <v>42631.430648148147</v>
      </c>
      <c r="N1361" s="151" t="s">
        <v>2450</v>
      </c>
      <c r="O1361" s="151"/>
      <c r="P1361" s="151"/>
      <c r="Q1361" s="7" t="str">
        <f>IF(ISBLANK(patch[[#This Row],[OwnerEmail]]),Q1360,patch[[#This Row],[OwnerEmail]])</f>
        <v>zongx.li@intel.com</v>
      </c>
      <c r="R1361" s="7" t="str">
        <f>_xlfn.IFNA(VLOOKUP(patch[[#This Row],[tmp-owner.email]],OrgTree!$A:$K, 11, 0), "not ICG SWFW")</f>
        <v>BJ And dev</v>
      </c>
      <c r="S1361" s="7" t="str">
        <f>IF(patch[[#This Row],[reviewer]]=patch[[#This Row],[tmp-owner.email]], "author", _xlfn.IFNA(VLOOKUP(patch[[#This Row],[reviewer]],OrgTree!$A:$K, 11, 0), "not ICG SWFW"))</f>
        <v>author</v>
      </c>
      <c r="T1361" s="7" t="str">
        <f>IF(ISBLANK(patch[[#This Row],[mergeDate]]), "", MID(YEAR(patch[[#This Row],[mergeDate]]), 3,2)&amp;"'ww"&amp;WEEKNUM(patch[[#This Row],[mergeDate]]))</f>
        <v>16'ww39</v>
      </c>
      <c r="U1361" s="7" t="str">
        <f>IF(ISBLANK(patch[[#This Row],[mergeDate]]), U1360, MID(YEAR(patch[[#This Row],[mergeDate]]), 3,2)&amp;"'m"&amp;MONTH(patch[[#This Row],[mergeDate]]))</f>
        <v>16'm9</v>
      </c>
      <c r="V1361" s="7" t="str">
        <f>IF(ISBLANK(patch[[#This Row],[project]]), "",SUM(patch[[#This Row],[BJ -1 num]:[SH -1 num]]))</f>
        <v/>
      </c>
      <c r="W1361" s="7" t="str">
        <f>IF(ISBLANK(patch[[#This Row],[project]]), "",COUNTIFS($A:$A,patch[[#This Row],[number]],$S:$S, "BJ And dev",$AC:$AC, "Review-1"))</f>
        <v/>
      </c>
      <c r="X1361" s="7" t="str">
        <f>IF(ISBLANK(patch[[#This Row],[project]]), "",COUNTIFS($A:$A,patch[[#This Row],[number]],$S:$S, "FL And dev",$AC:$AC, "Review-1"))</f>
        <v/>
      </c>
      <c r="Y1361" s="7" t="str">
        <f>IF(ISBLANK(patch[[#This Row],[project]]), "",COUNTIFS($A:$A,patch[[#This Row],[number]],$S:$S, "SH And dev",$AC:$AC, "Review-1"))</f>
        <v/>
      </c>
      <c r="Z1361" s="7" t="str">
        <f>IF(ISBLANK(patch[[#This Row],[project]]), "",COUNTIFS($A:$A,patch[[#This Row],[number]],$S:$S, "BJ And dev",$AD:$AD, "&lt;&gt;IntegratorValidationComment"))</f>
        <v/>
      </c>
      <c r="AA1361" s="7" t="str">
        <f>IF(ISBLANK(patch[[#This Row],[project]]), "",COUNTIFS($A:$A,patch[[#This Row],[number]],$S:$S, "FL And dev",$AD:$AD, "&lt;&gt;IntegratorValidationComment"))</f>
        <v/>
      </c>
      <c r="AB1361" s="7" t="str">
        <f>IF(ISBLANK(patch[[#This Row],[project]]), "",COUNTIFS($A:$A,patch[[#This Row],[number]],$S:$S, "SH And dev",$AD:$AD, "&lt;&gt;IntegratorValidationComment"))</f>
        <v/>
      </c>
      <c r="AC1361" s="7" t="str">
        <f>IF(OR(ISNUMBER(FIND("Review-1", patch[[#This Row],[comments]])), ISNUMBER(FIND("Approver-1", patch[[#This Row],[comments]]))), "Review-1", "")</f>
        <v/>
      </c>
      <c r="AD13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61" s="7">
        <f>IF(ISBLANK(patch[[#This Row],[number]]),AE1360,patch[[#This Row],[ifCommon]])</f>
        <v>0</v>
      </c>
    </row>
    <row r="1362" spans="1:31">
      <c r="A1362" s="151">
        <v>145099</v>
      </c>
      <c r="B1362" s="151"/>
      <c r="C1362" s="151"/>
      <c r="D1362" s="151"/>
      <c r="E1362" s="151"/>
      <c r="F1362" s="151"/>
      <c r="G1362" s="151"/>
      <c r="H1362" s="151"/>
      <c r="I1362" s="151"/>
      <c r="J1362" s="152">
        <v>42633.709699074083</v>
      </c>
      <c r="K1362" s="151"/>
      <c r="L1362" s="151" t="s">
        <v>59</v>
      </c>
      <c r="M1362" s="152">
        <v>42631.787303240737</v>
      </c>
      <c r="N1362" s="151" t="s">
        <v>3259</v>
      </c>
      <c r="O1362" s="151"/>
      <c r="P1362" s="151"/>
      <c r="Q1362" s="7" t="str">
        <f>IF(ISBLANK(patch[[#This Row],[OwnerEmail]]),Q1361,patch[[#This Row],[OwnerEmail]])</f>
        <v>zongx.li@intel.com</v>
      </c>
      <c r="R1362" s="7" t="str">
        <f>_xlfn.IFNA(VLOOKUP(patch[[#This Row],[tmp-owner.email]],OrgTree!$A:$K, 11, 0), "not ICG SWFW")</f>
        <v>BJ And dev</v>
      </c>
      <c r="S1362" s="7" t="str">
        <f>IF(patch[[#This Row],[reviewer]]=patch[[#This Row],[tmp-owner.email]], "author", _xlfn.IFNA(VLOOKUP(patch[[#This Row],[reviewer]],OrgTree!$A:$K, 11, 0), "not ICG SWFW"))</f>
        <v>BJ And dev</v>
      </c>
      <c r="T1362" s="7" t="str">
        <f>IF(ISBLANK(patch[[#This Row],[mergeDate]]), "", MID(YEAR(patch[[#This Row],[mergeDate]]), 3,2)&amp;"'ww"&amp;WEEKNUM(patch[[#This Row],[mergeDate]]))</f>
        <v>16'ww39</v>
      </c>
      <c r="U1362" s="7" t="str">
        <f>IF(ISBLANK(patch[[#This Row],[mergeDate]]), U1361, MID(YEAR(patch[[#This Row],[mergeDate]]), 3,2)&amp;"'m"&amp;MONTH(patch[[#This Row],[mergeDate]]))</f>
        <v>16'm9</v>
      </c>
      <c r="V1362" s="7" t="str">
        <f>IF(ISBLANK(patch[[#This Row],[project]]), "",SUM(patch[[#This Row],[BJ -1 num]:[SH -1 num]]))</f>
        <v/>
      </c>
      <c r="W1362" s="7" t="str">
        <f>IF(ISBLANK(patch[[#This Row],[project]]), "",COUNTIFS($A:$A,patch[[#This Row],[number]],$S:$S, "BJ And dev",$AC:$AC, "Review-1"))</f>
        <v/>
      </c>
      <c r="X1362" s="7" t="str">
        <f>IF(ISBLANK(patch[[#This Row],[project]]), "",COUNTIFS($A:$A,patch[[#This Row],[number]],$S:$S, "FL And dev",$AC:$AC, "Review-1"))</f>
        <v/>
      </c>
      <c r="Y1362" s="7" t="str">
        <f>IF(ISBLANK(patch[[#This Row],[project]]), "",COUNTIFS($A:$A,patch[[#This Row],[number]],$S:$S, "SH And dev",$AC:$AC, "Review-1"))</f>
        <v/>
      </c>
      <c r="Z1362" s="7" t="str">
        <f>IF(ISBLANK(patch[[#This Row],[project]]), "",COUNTIFS($A:$A,patch[[#This Row],[number]],$S:$S, "BJ And dev",$AD:$AD, "&lt;&gt;IntegratorValidationComment"))</f>
        <v/>
      </c>
      <c r="AA1362" s="7" t="str">
        <f>IF(ISBLANK(patch[[#This Row],[project]]), "",COUNTIFS($A:$A,patch[[#This Row],[number]],$S:$S, "FL And dev",$AD:$AD, "&lt;&gt;IntegratorValidationComment"))</f>
        <v/>
      </c>
      <c r="AB1362" s="7" t="str">
        <f>IF(ISBLANK(patch[[#This Row],[project]]), "",COUNTIFS($A:$A,patch[[#This Row],[number]],$S:$S, "SH And dev",$AD:$AD, "&lt;&gt;IntegratorValidationComment"))</f>
        <v/>
      </c>
      <c r="AC1362" s="7" t="str">
        <f>IF(OR(ISNUMBER(FIND("Review-1", patch[[#This Row],[comments]])), ISNUMBER(FIND("Approver-1", patch[[#This Row],[comments]]))), "Review-1", "")</f>
        <v/>
      </c>
      <c r="AD13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62" s="7">
        <f>IF(ISBLANK(patch[[#This Row],[number]]),AE1361,patch[[#This Row],[ifCommon]])</f>
        <v>0</v>
      </c>
    </row>
    <row r="1363" spans="1:31">
      <c r="A1363" s="151">
        <v>145099</v>
      </c>
      <c r="B1363" s="151"/>
      <c r="C1363" s="151"/>
      <c r="D1363" s="151"/>
      <c r="E1363" s="151"/>
      <c r="F1363" s="151"/>
      <c r="G1363" s="151"/>
      <c r="H1363" s="151"/>
      <c r="I1363" s="151"/>
      <c r="J1363" s="152">
        <v>42633.709699074083</v>
      </c>
      <c r="K1363" s="151"/>
      <c r="L1363" s="151" t="s">
        <v>59</v>
      </c>
      <c r="M1363" s="152">
        <v>42631.818206018521</v>
      </c>
      <c r="N1363" s="151" t="s">
        <v>3260</v>
      </c>
      <c r="O1363" s="151"/>
      <c r="P1363" s="151"/>
      <c r="Q1363" s="7" t="str">
        <f>IF(ISBLANK(patch[[#This Row],[OwnerEmail]]),Q1362,patch[[#This Row],[OwnerEmail]])</f>
        <v>zongx.li@intel.com</v>
      </c>
      <c r="R1363" s="7" t="str">
        <f>_xlfn.IFNA(VLOOKUP(patch[[#This Row],[tmp-owner.email]],OrgTree!$A:$K, 11, 0), "not ICG SWFW")</f>
        <v>BJ And dev</v>
      </c>
      <c r="S1363" s="7" t="str">
        <f>IF(patch[[#This Row],[reviewer]]=patch[[#This Row],[tmp-owner.email]], "author", _xlfn.IFNA(VLOOKUP(patch[[#This Row],[reviewer]],OrgTree!$A:$K, 11, 0), "not ICG SWFW"))</f>
        <v>BJ And dev</v>
      </c>
      <c r="T1363" s="7" t="str">
        <f>IF(ISBLANK(patch[[#This Row],[mergeDate]]), "", MID(YEAR(patch[[#This Row],[mergeDate]]), 3,2)&amp;"'ww"&amp;WEEKNUM(patch[[#This Row],[mergeDate]]))</f>
        <v>16'ww39</v>
      </c>
      <c r="U1363" s="7" t="str">
        <f>IF(ISBLANK(patch[[#This Row],[mergeDate]]), U1362, MID(YEAR(patch[[#This Row],[mergeDate]]), 3,2)&amp;"'m"&amp;MONTH(patch[[#This Row],[mergeDate]]))</f>
        <v>16'm9</v>
      </c>
      <c r="V1363" s="7" t="str">
        <f>IF(ISBLANK(patch[[#This Row],[project]]), "",SUM(patch[[#This Row],[BJ -1 num]:[SH -1 num]]))</f>
        <v/>
      </c>
      <c r="W1363" s="7" t="str">
        <f>IF(ISBLANK(patch[[#This Row],[project]]), "",COUNTIFS($A:$A,patch[[#This Row],[number]],$S:$S, "BJ And dev",$AC:$AC, "Review-1"))</f>
        <v/>
      </c>
      <c r="X1363" s="7" t="str">
        <f>IF(ISBLANK(patch[[#This Row],[project]]), "",COUNTIFS($A:$A,patch[[#This Row],[number]],$S:$S, "FL And dev",$AC:$AC, "Review-1"))</f>
        <v/>
      </c>
      <c r="Y1363" s="7" t="str">
        <f>IF(ISBLANK(patch[[#This Row],[project]]), "",COUNTIFS($A:$A,patch[[#This Row],[number]],$S:$S, "SH And dev",$AC:$AC, "Review-1"))</f>
        <v/>
      </c>
      <c r="Z1363" s="7" t="str">
        <f>IF(ISBLANK(patch[[#This Row],[project]]), "",COUNTIFS($A:$A,patch[[#This Row],[number]],$S:$S, "BJ And dev",$AD:$AD, "&lt;&gt;IntegratorValidationComment"))</f>
        <v/>
      </c>
      <c r="AA1363" s="7" t="str">
        <f>IF(ISBLANK(patch[[#This Row],[project]]), "",COUNTIFS($A:$A,patch[[#This Row],[number]],$S:$S, "FL And dev",$AD:$AD, "&lt;&gt;IntegratorValidationComment"))</f>
        <v/>
      </c>
      <c r="AB1363" s="7" t="str">
        <f>IF(ISBLANK(patch[[#This Row],[project]]), "",COUNTIFS($A:$A,patch[[#This Row],[number]],$S:$S, "SH And dev",$AD:$AD, "&lt;&gt;IntegratorValidationComment"))</f>
        <v/>
      </c>
      <c r="AC1363" s="7" t="str">
        <f>IF(OR(ISNUMBER(FIND("Review-1", patch[[#This Row],[comments]])), ISNUMBER(FIND("Approver-1", patch[[#This Row],[comments]]))), "Review-1", "")</f>
        <v/>
      </c>
      <c r="AD13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63" s="7">
        <f>IF(ISBLANK(patch[[#This Row],[number]]),AE1362,patch[[#This Row],[ifCommon]])</f>
        <v>0</v>
      </c>
    </row>
    <row r="1364" spans="1:31">
      <c r="A1364" s="151">
        <v>145099</v>
      </c>
      <c r="B1364" s="151"/>
      <c r="C1364" s="151"/>
      <c r="D1364" s="151"/>
      <c r="E1364" s="151"/>
      <c r="F1364" s="151"/>
      <c r="G1364" s="151"/>
      <c r="H1364" s="151"/>
      <c r="I1364" s="151"/>
      <c r="J1364" s="152">
        <v>42633.709699074083</v>
      </c>
      <c r="K1364" s="151"/>
      <c r="L1364" s="151" t="s">
        <v>115</v>
      </c>
      <c r="M1364" s="152">
        <v>42632.425115740742</v>
      </c>
      <c r="N1364" s="151" t="s">
        <v>2497</v>
      </c>
      <c r="O1364" s="151"/>
      <c r="P1364" s="151"/>
      <c r="Q1364" s="7" t="str">
        <f>IF(ISBLANK(patch[[#This Row],[OwnerEmail]]),Q1363,patch[[#This Row],[OwnerEmail]])</f>
        <v>zongx.li@intel.com</v>
      </c>
      <c r="R1364" s="7" t="str">
        <f>_xlfn.IFNA(VLOOKUP(patch[[#This Row],[tmp-owner.email]],OrgTree!$A:$K, 11, 0), "not ICG SWFW")</f>
        <v>BJ And dev</v>
      </c>
      <c r="S1364" s="7" t="str">
        <f>IF(patch[[#This Row],[reviewer]]=patch[[#This Row],[tmp-owner.email]], "author", _xlfn.IFNA(VLOOKUP(patch[[#This Row],[reviewer]],OrgTree!$A:$K, 11, 0), "not ICG SWFW"))</f>
        <v>Val</v>
      </c>
      <c r="T1364" s="7" t="str">
        <f>IF(ISBLANK(patch[[#This Row],[mergeDate]]), "", MID(YEAR(patch[[#This Row],[mergeDate]]), 3,2)&amp;"'ww"&amp;WEEKNUM(patch[[#This Row],[mergeDate]]))</f>
        <v>16'ww39</v>
      </c>
      <c r="U1364" s="7" t="str">
        <f>IF(ISBLANK(patch[[#This Row],[mergeDate]]), U1363, MID(YEAR(patch[[#This Row],[mergeDate]]), 3,2)&amp;"'m"&amp;MONTH(patch[[#This Row],[mergeDate]]))</f>
        <v>16'm9</v>
      </c>
      <c r="V1364" s="7" t="str">
        <f>IF(ISBLANK(patch[[#This Row],[project]]), "",SUM(patch[[#This Row],[BJ -1 num]:[SH -1 num]]))</f>
        <v/>
      </c>
      <c r="W1364" s="7" t="str">
        <f>IF(ISBLANK(patch[[#This Row],[project]]), "",COUNTIFS($A:$A,patch[[#This Row],[number]],$S:$S, "BJ And dev",$AC:$AC, "Review-1"))</f>
        <v/>
      </c>
      <c r="X1364" s="7" t="str">
        <f>IF(ISBLANK(patch[[#This Row],[project]]), "",COUNTIFS($A:$A,patch[[#This Row],[number]],$S:$S, "FL And dev",$AC:$AC, "Review-1"))</f>
        <v/>
      </c>
      <c r="Y1364" s="7" t="str">
        <f>IF(ISBLANK(patch[[#This Row],[project]]), "",COUNTIFS($A:$A,patch[[#This Row],[number]],$S:$S, "SH And dev",$AC:$AC, "Review-1"))</f>
        <v/>
      </c>
      <c r="Z1364" s="7" t="str">
        <f>IF(ISBLANK(patch[[#This Row],[project]]), "",COUNTIFS($A:$A,patch[[#This Row],[number]],$S:$S, "BJ And dev",$AD:$AD, "&lt;&gt;IntegratorValidationComment"))</f>
        <v/>
      </c>
      <c r="AA1364" s="7" t="str">
        <f>IF(ISBLANK(patch[[#This Row],[project]]), "",COUNTIFS($A:$A,patch[[#This Row],[number]],$S:$S, "FL And dev",$AD:$AD, "&lt;&gt;IntegratorValidationComment"))</f>
        <v/>
      </c>
      <c r="AB1364" s="7" t="str">
        <f>IF(ISBLANK(patch[[#This Row],[project]]), "",COUNTIFS($A:$A,patch[[#This Row],[number]],$S:$S, "SH And dev",$AD:$AD, "&lt;&gt;IntegratorValidationComment"))</f>
        <v/>
      </c>
      <c r="AC1364" s="7" t="str">
        <f>IF(OR(ISNUMBER(FIND("Review-1", patch[[#This Row],[comments]])), ISNUMBER(FIND("Approver-1", patch[[#This Row],[comments]]))), "Review-1", "")</f>
        <v/>
      </c>
      <c r="AD13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364" s="7">
        <f>IF(ISBLANK(patch[[#This Row],[number]]),AE1363,patch[[#This Row],[ifCommon]])</f>
        <v>0</v>
      </c>
    </row>
    <row r="1365" spans="1:31">
      <c r="A1365" s="151">
        <v>144798</v>
      </c>
      <c r="B1365" s="151" t="s">
        <v>2490</v>
      </c>
      <c r="C1365" s="151" t="s">
        <v>2491</v>
      </c>
      <c r="D1365" s="151" t="s">
        <v>3064</v>
      </c>
      <c r="E1365" s="151" t="s">
        <v>63</v>
      </c>
      <c r="F1365" s="151" t="s">
        <v>23</v>
      </c>
      <c r="G1365" s="151" t="s">
        <v>3065</v>
      </c>
      <c r="H1365" s="151" t="s">
        <v>3066</v>
      </c>
      <c r="I1365" s="152">
        <v>42626.512766203698</v>
      </c>
      <c r="J1365" s="152">
        <v>42633.709606481483</v>
      </c>
      <c r="K1365" s="151" t="s">
        <v>2445</v>
      </c>
      <c r="L1365" s="151" t="s">
        <v>63</v>
      </c>
      <c r="M1365" s="152">
        <v>42626.512766203698</v>
      </c>
      <c r="N1365" s="151" t="s">
        <v>25</v>
      </c>
      <c r="O1365" s="151"/>
      <c r="P1365" s="151" t="s">
        <v>2554</v>
      </c>
      <c r="Q1365" s="7" t="str">
        <f>IF(ISBLANK(patch[[#This Row],[OwnerEmail]]),Q1364,patch[[#This Row],[OwnerEmail]])</f>
        <v>zongx.li@intel.com</v>
      </c>
      <c r="R1365" s="7" t="str">
        <f>_xlfn.IFNA(VLOOKUP(patch[[#This Row],[tmp-owner.email]],OrgTree!$A:$K, 11, 0), "not ICG SWFW")</f>
        <v>BJ And dev</v>
      </c>
      <c r="S1365" s="7" t="str">
        <f>IF(patch[[#This Row],[reviewer]]=patch[[#This Row],[tmp-owner.email]], "author", _xlfn.IFNA(VLOOKUP(patch[[#This Row],[reviewer]],OrgTree!$A:$K, 11, 0), "not ICG SWFW"))</f>
        <v>author</v>
      </c>
      <c r="T1365" s="7" t="str">
        <f>IF(ISBLANK(patch[[#This Row],[mergeDate]]), "", MID(YEAR(patch[[#This Row],[mergeDate]]), 3,2)&amp;"'ww"&amp;WEEKNUM(patch[[#This Row],[mergeDate]]))</f>
        <v>16'ww39</v>
      </c>
      <c r="U1365" s="7" t="str">
        <f>IF(ISBLANK(patch[[#This Row],[mergeDate]]), U1364, MID(YEAR(patch[[#This Row],[mergeDate]]), 3,2)&amp;"'m"&amp;MONTH(patch[[#This Row],[mergeDate]]))</f>
        <v>16'm9</v>
      </c>
      <c r="V1365" s="7">
        <f>IF(ISBLANK(patch[[#This Row],[project]]), "",SUM(patch[[#This Row],[BJ -1 num]:[SH -1 num]]))</f>
        <v>0</v>
      </c>
      <c r="W1365" s="7">
        <f>IF(ISBLANK(patch[[#This Row],[project]]), "",COUNTIFS($A:$A,patch[[#This Row],[number]],$S:$S, "BJ And dev",$AC:$AC, "Review-1"))</f>
        <v>0</v>
      </c>
      <c r="X1365" s="7">
        <f>IF(ISBLANK(patch[[#This Row],[project]]), "",COUNTIFS($A:$A,patch[[#This Row],[number]],$S:$S, "FL And dev",$AC:$AC, "Review-1"))</f>
        <v>0</v>
      </c>
      <c r="Y1365" s="7">
        <f>IF(ISBLANK(patch[[#This Row],[project]]), "",COUNTIFS($A:$A,patch[[#This Row],[number]],$S:$S, "SH And dev",$AC:$AC, "Review-1"))</f>
        <v>0</v>
      </c>
      <c r="Z1365" s="7">
        <f>IF(ISBLANK(patch[[#This Row],[project]]), "",COUNTIFS($A:$A,patch[[#This Row],[number]],$S:$S, "BJ And dev",$AD:$AD, "&lt;&gt;IntegratorValidationComment"))</f>
        <v>10</v>
      </c>
      <c r="AA1365" s="7">
        <f>IF(ISBLANK(patch[[#This Row],[project]]), "",COUNTIFS($A:$A,patch[[#This Row],[number]],$S:$S, "FL And dev",$AD:$AD, "&lt;&gt;IntegratorValidationComment"))</f>
        <v>0</v>
      </c>
      <c r="AB1365" s="7">
        <f>IF(ISBLANK(patch[[#This Row],[project]]), "",COUNTIFS($A:$A,patch[[#This Row],[number]],$S:$S, "SH And dev",$AD:$AD, "&lt;&gt;IntegratorValidationComment"))</f>
        <v>0</v>
      </c>
      <c r="AC1365" s="7" t="str">
        <f>IF(OR(ISNUMBER(FIND("Review-1", patch[[#This Row],[comments]])), ISNUMBER(FIND("Approver-1", patch[[#This Row],[comments]]))), "Review-1", "")</f>
        <v/>
      </c>
      <c r="AD13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65" s="7" t="str">
        <f>IF(ISBLANK(patch[[#This Row],[number]]),AE1364,patch[[#This Row],[ifCommon]])</f>
        <v>not AndrHAL</v>
      </c>
    </row>
    <row r="1366" spans="1:31">
      <c r="A1366" s="151">
        <v>144798</v>
      </c>
      <c r="B1366" s="151"/>
      <c r="C1366" s="151"/>
      <c r="D1366" s="151"/>
      <c r="E1366" s="151"/>
      <c r="F1366" s="151"/>
      <c r="G1366" s="151"/>
      <c r="H1366" s="151"/>
      <c r="I1366" s="151"/>
      <c r="J1366" s="152">
        <v>42633.709606481483</v>
      </c>
      <c r="K1366" s="151"/>
      <c r="L1366" s="151" t="s">
        <v>63</v>
      </c>
      <c r="M1366" s="152">
        <v>42626.512766203698</v>
      </c>
      <c r="N1366" s="151" t="s">
        <v>2428</v>
      </c>
      <c r="O1366" s="151"/>
      <c r="P1366" s="151"/>
      <c r="Q1366" s="7" t="str">
        <f>IF(ISBLANK(patch[[#This Row],[OwnerEmail]]),Q1365,patch[[#This Row],[OwnerEmail]])</f>
        <v>zongx.li@intel.com</v>
      </c>
      <c r="R1366" s="7" t="str">
        <f>_xlfn.IFNA(VLOOKUP(patch[[#This Row],[tmp-owner.email]],OrgTree!$A:$K, 11, 0), "not ICG SWFW")</f>
        <v>BJ And dev</v>
      </c>
      <c r="S1366" s="7" t="str">
        <f>IF(patch[[#This Row],[reviewer]]=patch[[#This Row],[tmp-owner.email]], "author", _xlfn.IFNA(VLOOKUP(patch[[#This Row],[reviewer]],OrgTree!$A:$K, 11, 0), "not ICG SWFW"))</f>
        <v>author</v>
      </c>
      <c r="T1366" s="7" t="str">
        <f>IF(ISBLANK(patch[[#This Row],[mergeDate]]), "", MID(YEAR(patch[[#This Row],[mergeDate]]), 3,2)&amp;"'ww"&amp;WEEKNUM(patch[[#This Row],[mergeDate]]))</f>
        <v>16'ww39</v>
      </c>
      <c r="U1366" s="7" t="str">
        <f>IF(ISBLANK(patch[[#This Row],[mergeDate]]), U1365, MID(YEAR(patch[[#This Row],[mergeDate]]), 3,2)&amp;"'m"&amp;MONTH(patch[[#This Row],[mergeDate]]))</f>
        <v>16'm9</v>
      </c>
      <c r="V1366" s="7" t="str">
        <f>IF(ISBLANK(patch[[#This Row],[project]]), "",SUM(patch[[#This Row],[BJ -1 num]:[SH -1 num]]))</f>
        <v/>
      </c>
      <c r="W1366" s="7" t="str">
        <f>IF(ISBLANK(patch[[#This Row],[project]]), "",COUNTIFS($A:$A,patch[[#This Row],[number]],$S:$S, "BJ And dev",$AC:$AC, "Review-1"))</f>
        <v/>
      </c>
      <c r="X1366" s="7" t="str">
        <f>IF(ISBLANK(patch[[#This Row],[project]]), "",COUNTIFS($A:$A,patch[[#This Row],[number]],$S:$S, "FL And dev",$AC:$AC, "Review-1"))</f>
        <v/>
      </c>
      <c r="Y1366" s="7" t="str">
        <f>IF(ISBLANK(patch[[#This Row],[project]]), "",COUNTIFS($A:$A,patch[[#This Row],[number]],$S:$S, "SH And dev",$AC:$AC, "Review-1"))</f>
        <v/>
      </c>
      <c r="Z1366" s="7" t="str">
        <f>IF(ISBLANK(patch[[#This Row],[project]]), "",COUNTIFS($A:$A,patch[[#This Row],[number]],$S:$S, "BJ And dev",$AD:$AD, "&lt;&gt;IntegratorValidationComment"))</f>
        <v/>
      </c>
      <c r="AA1366" s="7" t="str">
        <f>IF(ISBLANK(patch[[#This Row],[project]]), "",COUNTIFS($A:$A,patch[[#This Row],[number]],$S:$S, "FL And dev",$AD:$AD, "&lt;&gt;IntegratorValidationComment"))</f>
        <v/>
      </c>
      <c r="AB1366" s="7" t="str">
        <f>IF(ISBLANK(patch[[#This Row],[project]]), "",COUNTIFS($A:$A,patch[[#This Row],[number]],$S:$S, "SH And dev",$AD:$AD, "&lt;&gt;IntegratorValidationComment"))</f>
        <v/>
      </c>
      <c r="AC1366" s="7" t="str">
        <f>IF(OR(ISNUMBER(FIND("Review-1", patch[[#This Row],[comments]])), ISNUMBER(FIND("Approver-1", patch[[#This Row],[comments]]))), "Review-1", "")</f>
        <v/>
      </c>
      <c r="AD13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66" s="7">
        <f>IF(ISBLANK(patch[[#This Row],[number]]),AE1365,patch[[#This Row],[ifCommon]])</f>
        <v>0</v>
      </c>
    </row>
    <row r="1367" spans="1:31">
      <c r="A1367" s="151">
        <v>144798</v>
      </c>
      <c r="B1367" s="151"/>
      <c r="C1367" s="151"/>
      <c r="D1367" s="151"/>
      <c r="E1367" s="151"/>
      <c r="F1367" s="151"/>
      <c r="G1367" s="151"/>
      <c r="H1367" s="151"/>
      <c r="I1367" s="151"/>
      <c r="J1367" s="152">
        <v>42633.709606481483</v>
      </c>
      <c r="K1367" s="151"/>
      <c r="L1367" s="151" t="s">
        <v>63</v>
      </c>
      <c r="M1367" s="152">
        <v>42626.513518518521</v>
      </c>
      <c r="N1367" s="151" t="s">
        <v>40</v>
      </c>
      <c r="O1367" s="151"/>
      <c r="P1367" s="151"/>
      <c r="Q1367" s="7" t="str">
        <f>IF(ISBLANK(patch[[#This Row],[OwnerEmail]]),Q1366,patch[[#This Row],[OwnerEmail]])</f>
        <v>zongx.li@intel.com</v>
      </c>
      <c r="R1367" s="7" t="str">
        <f>_xlfn.IFNA(VLOOKUP(patch[[#This Row],[tmp-owner.email]],OrgTree!$A:$K, 11, 0), "not ICG SWFW")</f>
        <v>BJ And dev</v>
      </c>
      <c r="S1367" s="7" t="str">
        <f>IF(patch[[#This Row],[reviewer]]=patch[[#This Row],[tmp-owner.email]], "author", _xlfn.IFNA(VLOOKUP(patch[[#This Row],[reviewer]],OrgTree!$A:$K, 11, 0), "not ICG SWFW"))</f>
        <v>author</v>
      </c>
      <c r="T1367" s="7" t="str">
        <f>IF(ISBLANK(patch[[#This Row],[mergeDate]]), "", MID(YEAR(patch[[#This Row],[mergeDate]]), 3,2)&amp;"'ww"&amp;WEEKNUM(patch[[#This Row],[mergeDate]]))</f>
        <v>16'ww39</v>
      </c>
      <c r="U1367" s="7" t="str">
        <f>IF(ISBLANK(patch[[#This Row],[mergeDate]]), U1366, MID(YEAR(patch[[#This Row],[mergeDate]]), 3,2)&amp;"'m"&amp;MONTH(patch[[#This Row],[mergeDate]]))</f>
        <v>16'm9</v>
      </c>
      <c r="V1367" s="7" t="str">
        <f>IF(ISBLANK(patch[[#This Row],[project]]), "",SUM(patch[[#This Row],[BJ -1 num]:[SH -1 num]]))</f>
        <v/>
      </c>
      <c r="W1367" s="7" t="str">
        <f>IF(ISBLANK(patch[[#This Row],[project]]), "",COUNTIFS($A:$A,patch[[#This Row],[number]],$S:$S, "BJ And dev",$AC:$AC, "Review-1"))</f>
        <v/>
      </c>
      <c r="X1367" s="7" t="str">
        <f>IF(ISBLANK(patch[[#This Row],[project]]), "",COUNTIFS($A:$A,patch[[#This Row],[number]],$S:$S, "FL And dev",$AC:$AC, "Review-1"))</f>
        <v/>
      </c>
      <c r="Y1367" s="7" t="str">
        <f>IF(ISBLANK(patch[[#This Row],[project]]), "",COUNTIFS($A:$A,patch[[#This Row],[number]],$S:$S, "SH And dev",$AC:$AC, "Review-1"))</f>
        <v/>
      </c>
      <c r="Z1367" s="7" t="str">
        <f>IF(ISBLANK(patch[[#This Row],[project]]), "",COUNTIFS($A:$A,patch[[#This Row],[number]],$S:$S, "BJ And dev",$AD:$AD, "&lt;&gt;IntegratorValidationComment"))</f>
        <v/>
      </c>
      <c r="AA1367" s="7" t="str">
        <f>IF(ISBLANK(patch[[#This Row],[project]]), "",COUNTIFS($A:$A,patch[[#This Row],[number]],$S:$S, "FL And dev",$AD:$AD, "&lt;&gt;IntegratorValidationComment"))</f>
        <v/>
      </c>
      <c r="AB1367" s="7" t="str">
        <f>IF(ISBLANK(patch[[#This Row],[project]]), "",COUNTIFS($A:$A,patch[[#This Row],[number]],$S:$S, "SH And dev",$AD:$AD, "&lt;&gt;IntegratorValidationComment"))</f>
        <v/>
      </c>
      <c r="AC1367" s="7" t="str">
        <f>IF(OR(ISNUMBER(FIND("Review-1", patch[[#This Row],[comments]])), ISNUMBER(FIND("Approver-1", patch[[#This Row],[comments]]))), "Review-1", "")</f>
        <v/>
      </c>
      <c r="AD13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67" s="7">
        <f>IF(ISBLANK(patch[[#This Row],[number]]),AE1366,patch[[#This Row],[ifCommon]])</f>
        <v>0</v>
      </c>
    </row>
    <row r="1368" spans="1:31">
      <c r="A1368" s="151">
        <v>144798</v>
      </c>
      <c r="B1368" s="151"/>
      <c r="C1368" s="151"/>
      <c r="D1368" s="151"/>
      <c r="E1368" s="151"/>
      <c r="F1368" s="151"/>
      <c r="G1368" s="151"/>
      <c r="H1368" s="151"/>
      <c r="I1368" s="151"/>
      <c r="J1368" s="152">
        <v>42633.709606481483</v>
      </c>
      <c r="K1368" s="151"/>
      <c r="L1368" s="151" t="s">
        <v>59</v>
      </c>
      <c r="M1368" s="152">
        <v>42626.515196759261</v>
      </c>
      <c r="N1368" s="151" t="s">
        <v>3261</v>
      </c>
      <c r="O1368" s="151"/>
      <c r="P1368" s="151"/>
      <c r="Q1368" s="7" t="str">
        <f>IF(ISBLANK(patch[[#This Row],[OwnerEmail]]),Q1367,patch[[#This Row],[OwnerEmail]])</f>
        <v>zongx.li@intel.com</v>
      </c>
      <c r="R1368" s="7" t="str">
        <f>_xlfn.IFNA(VLOOKUP(patch[[#This Row],[tmp-owner.email]],OrgTree!$A:$K, 11, 0), "not ICG SWFW")</f>
        <v>BJ And dev</v>
      </c>
      <c r="S1368" s="7" t="str">
        <f>IF(patch[[#This Row],[reviewer]]=patch[[#This Row],[tmp-owner.email]], "author", _xlfn.IFNA(VLOOKUP(patch[[#This Row],[reviewer]],OrgTree!$A:$K, 11, 0), "not ICG SWFW"))</f>
        <v>BJ And dev</v>
      </c>
      <c r="T1368" s="7" t="str">
        <f>IF(ISBLANK(patch[[#This Row],[mergeDate]]), "", MID(YEAR(patch[[#This Row],[mergeDate]]), 3,2)&amp;"'ww"&amp;WEEKNUM(patch[[#This Row],[mergeDate]]))</f>
        <v>16'ww39</v>
      </c>
      <c r="U1368" s="7" t="str">
        <f>IF(ISBLANK(patch[[#This Row],[mergeDate]]), U1367, MID(YEAR(patch[[#This Row],[mergeDate]]), 3,2)&amp;"'m"&amp;MONTH(patch[[#This Row],[mergeDate]]))</f>
        <v>16'm9</v>
      </c>
      <c r="V1368" s="7" t="str">
        <f>IF(ISBLANK(patch[[#This Row],[project]]), "",SUM(patch[[#This Row],[BJ -1 num]:[SH -1 num]]))</f>
        <v/>
      </c>
      <c r="W1368" s="7" t="str">
        <f>IF(ISBLANK(patch[[#This Row],[project]]), "",COUNTIFS($A:$A,patch[[#This Row],[number]],$S:$S, "BJ And dev",$AC:$AC, "Review-1"))</f>
        <v/>
      </c>
      <c r="X1368" s="7" t="str">
        <f>IF(ISBLANK(patch[[#This Row],[project]]), "",COUNTIFS($A:$A,patch[[#This Row],[number]],$S:$S, "FL And dev",$AC:$AC, "Review-1"))</f>
        <v/>
      </c>
      <c r="Y1368" s="7" t="str">
        <f>IF(ISBLANK(patch[[#This Row],[project]]), "",COUNTIFS($A:$A,patch[[#This Row],[number]],$S:$S, "SH And dev",$AC:$AC, "Review-1"))</f>
        <v/>
      </c>
      <c r="Z1368" s="7" t="str">
        <f>IF(ISBLANK(patch[[#This Row],[project]]), "",COUNTIFS($A:$A,patch[[#This Row],[number]],$S:$S, "BJ And dev",$AD:$AD, "&lt;&gt;IntegratorValidationComment"))</f>
        <v/>
      </c>
      <c r="AA1368" s="7" t="str">
        <f>IF(ISBLANK(patch[[#This Row],[project]]), "",COUNTIFS($A:$A,patch[[#This Row],[number]],$S:$S, "FL And dev",$AD:$AD, "&lt;&gt;IntegratorValidationComment"))</f>
        <v/>
      </c>
      <c r="AB1368" s="7" t="str">
        <f>IF(ISBLANK(patch[[#This Row],[project]]), "",COUNTIFS($A:$A,patch[[#This Row],[number]],$S:$S, "SH And dev",$AD:$AD, "&lt;&gt;IntegratorValidationComment"))</f>
        <v/>
      </c>
      <c r="AC1368" s="7" t="str">
        <f>IF(OR(ISNUMBER(FIND("Review-1", patch[[#This Row],[comments]])), ISNUMBER(FIND("Approver-1", patch[[#This Row],[comments]]))), "Review-1", "")</f>
        <v/>
      </c>
      <c r="AD13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68" s="7">
        <f>IF(ISBLANK(patch[[#This Row],[number]]),AE1367,patch[[#This Row],[ifCommon]])</f>
        <v>0</v>
      </c>
    </row>
    <row r="1369" spans="1:31">
      <c r="A1369" s="151">
        <v>144798</v>
      </c>
      <c r="B1369" s="151"/>
      <c r="C1369" s="151"/>
      <c r="D1369" s="151"/>
      <c r="E1369" s="151"/>
      <c r="F1369" s="151"/>
      <c r="G1369" s="151"/>
      <c r="H1369" s="151"/>
      <c r="I1369" s="151"/>
      <c r="J1369" s="152">
        <v>42633.709606481483</v>
      </c>
      <c r="K1369" s="151"/>
      <c r="L1369" s="151" t="s">
        <v>59</v>
      </c>
      <c r="M1369" s="152">
        <v>42626.515370370369</v>
      </c>
      <c r="N1369" s="151" t="s">
        <v>40</v>
      </c>
      <c r="O1369" s="151"/>
      <c r="P1369" s="151"/>
      <c r="Q1369" s="7" t="str">
        <f>IF(ISBLANK(patch[[#This Row],[OwnerEmail]]),Q1368,patch[[#This Row],[OwnerEmail]])</f>
        <v>zongx.li@intel.com</v>
      </c>
      <c r="R1369" s="7" t="str">
        <f>_xlfn.IFNA(VLOOKUP(patch[[#This Row],[tmp-owner.email]],OrgTree!$A:$K, 11, 0), "not ICG SWFW")</f>
        <v>BJ And dev</v>
      </c>
      <c r="S1369" s="7" t="str">
        <f>IF(patch[[#This Row],[reviewer]]=patch[[#This Row],[tmp-owner.email]], "author", _xlfn.IFNA(VLOOKUP(patch[[#This Row],[reviewer]],OrgTree!$A:$K, 11, 0), "not ICG SWFW"))</f>
        <v>BJ And dev</v>
      </c>
      <c r="T1369" s="7" t="str">
        <f>IF(ISBLANK(patch[[#This Row],[mergeDate]]), "", MID(YEAR(patch[[#This Row],[mergeDate]]), 3,2)&amp;"'ww"&amp;WEEKNUM(patch[[#This Row],[mergeDate]]))</f>
        <v>16'ww39</v>
      </c>
      <c r="U1369" s="7" t="str">
        <f>IF(ISBLANK(patch[[#This Row],[mergeDate]]), U1368, MID(YEAR(patch[[#This Row],[mergeDate]]), 3,2)&amp;"'m"&amp;MONTH(patch[[#This Row],[mergeDate]]))</f>
        <v>16'm9</v>
      </c>
      <c r="V1369" s="7" t="str">
        <f>IF(ISBLANK(patch[[#This Row],[project]]), "",SUM(patch[[#This Row],[BJ -1 num]:[SH -1 num]]))</f>
        <v/>
      </c>
      <c r="W1369" s="7" t="str">
        <f>IF(ISBLANK(patch[[#This Row],[project]]), "",COUNTIFS($A:$A,patch[[#This Row],[number]],$S:$S, "BJ And dev",$AC:$AC, "Review-1"))</f>
        <v/>
      </c>
      <c r="X1369" s="7" t="str">
        <f>IF(ISBLANK(patch[[#This Row],[project]]), "",COUNTIFS($A:$A,patch[[#This Row],[number]],$S:$S, "FL And dev",$AC:$AC, "Review-1"))</f>
        <v/>
      </c>
      <c r="Y1369" s="7" t="str">
        <f>IF(ISBLANK(patch[[#This Row],[project]]), "",COUNTIFS($A:$A,patch[[#This Row],[number]],$S:$S, "SH And dev",$AC:$AC, "Review-1"))</f>
        <v/>
      </c>
      <c r="Z1369" s="7" t="str">
        <f>IF(ISBLANK(patch[[#This Row],[project]]), "",COUNTIFS($A:$A,patch[[#This Row],[number]],$S:$S, "BJ And dev",$AD:$AD, "&lt;&gt;IntegratorValidationComment"))</f>
        <v/>
      </c>
      <c r="AA1369" s="7" t="str">
        <f>IF(ISBLANK(patch[[#This Row],[project]]), "",COUNTIFS($A:$A,patch[[#This Row],[number]],$S:$S, "FL And dev",$AD:$AD, "&lt;&gt;IntegratorValidationComment"))</f>
        <v/>
      </c>
      <c r="AB1369" s="7" t="str">
        <f>IF(ISBLANK(patch[[#This Row],[project]]), "",COUNTIFS($A:$A,patch[[#This Row],[number]],$S:$S, "SH And dev",$AD:$AD, "&lt;&gt;IntegratorValidationComment"))</f>
        <v/>
      </c>
      <c r="AC1369" s="7" t="str">
        <f>IF(OR(ISNUMBER(FIND("Review-1", patch[[#This Row],[comments]])), ISNUMBER(FIND("Approver-1", patch[[#This Row],[comments]]))), "Review-1", "")</f>
        <v/>
      </c>
      <c r="AD13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69" s="7">
        <f>IF(ISBLANK(patch[[#This Row],[number]]),AE1368,patch[[#This Row],[ifCommon]])</f>
        <v>0</v>
      </c>
    </row>
    <row r="1370" spans="1:31">
      <c r="A1370" s="151">
        <v>144798</v>
      </c>
      <c r="B1370" s="151"/>
      <c r="C1370" s="151"/>
      <c r="D1370" s="151"/>
      <c r="E1370" s="151"/>
      <c r="F1370" s="151"/>
      <c r="G1370" s="151"/>
      <c r="H1370" s="151"/>
      <c r="I1370" s="151"/>
      <c r="J1370" s="152">
        <v>42633.709606481483</v>
      </c>
      <c r="K1370" s="151"/>
      <c r="L1370" s="151" t="s">
        <v>59</v>
      </c>
      <c r="M1370" s="152">
        <v>42626.530277777783</v>
      </c>
      <c r="N1370" s="151" t="s">
        <v>3262</v>
      </c>
      <c r="O1370" s="151"/>
      <c r="P1370" s="151"/>
      <c r="Q1370" s="7" t="str">
        <f>IF(ISBLANK(patch[[#This Row],[OwnerEmail]]),Q1369,patch[[#This Row],[OwnerEmail]])</f>
        <v>zongx.li@intel.com</v>
      </c>
      <c r="R1370" s="7" t="str">
        <f>_xlfn.IFNA(VLOOKUP(patch[[#This Row],[tmp-owner.email]],OrgTree!$A:$K, 11, 0), "not ICG SWFW")</f>
        <v>BJ And dev</v>
      </c>
      <c r="S1370" s="7" t="str">
        <f>IF(patch[[#This Row],[reviewer]]=patch[[#This Row],[tmp-owner.email]], "author", _xlfn.IFNA(VLOOKUP(patch[[#This Row],[reviewer]],OrgTree!$A:$K, 11, 0), "not ICG SWFW"))</f>
        <v>BJ And dev</v>
      </c>
      <c r="T1370" s="7" t="str">
        <f>IF(ISBLANK(patch[[#This Row],[mergeDate]]), "", MID(YEAR(patch[[#This Row],[mergeDate]]), 3,2)&amp;"'ww"&amp;WEEKNUM(patch[[#This Row],[mergeDate]]))</f>
        <v>16'ww39</v>
      </c>
      <c r="U1370" s="7" t="str">
        <f>IF(ISBLANK(patch[[#This Row],[mergeDate]]), U1369, MID(YEAR(patch[[#This Row],[mergeDate]]), 3,2)&amp;"'m"&amp;MONTH(patch[[#This Row],[mergeDate]]))</f>
        <v>16'm9</v>
      </c>
      <c r="V1370" s="7" t="str">
        <f>IF(ISBLANK(patch[[#This Row],[project]]), "",SUM(patch[[#This Row],[BJ -1 num]:[SH -1 num]]))</f>
        <v/>
      </c>
      <c r="W1370" s="7" t="str">
        <f>IF(ISBLANK(patch[[#This Row],[project]]), "",COUNTIFS($A:$A,patch[[#This Row],[number]],$S:$S, "BJ And dev",$AC:$AC, "Review-1"))</f>
        <v/>
      </c>
      <c r="X1370" s="7" t="str">
        <f>IF(ISBLANK(patch[[#This Row],[project]]), "",COUNTIFS($A:$A,patch[[#This Row],[number]],$S:$S, "FL And dev",$AC:$AC, "Review-1"))</f>
        <v/>
      </c>
      <c r="Y1370" s="7" t="str">
        <f>IF(ISBLANK(patch[[#This Row],[project]]), "",COUNTIFS($A:$A,patch[[#This Row],[number]],$S:$S, "SH And dev",$AC:$AC, "Review-1"))</f>
        <v/>
      </c>
      <c r="Z1370" s="7" t="str">
        <f>IF(ISBLANK(patch[[#This Row],[project]]), "",COUNTIFS($A:$A,patch[[#This Row],[number]],$S:$S, "BJ And dev",$AD:$AD, "&lt;&gt;IntegratorValidationComment"))</f>
        <v/>
      </c>
      <c r="AA1370" s="7" t="str">
        <f>IF(ISBLANK(patch[[#This Row],[project]]), "",COUNTIFS($A:$A,patch[[#This Row],[number]],$S:$S, "FL And dev",$AD:$AD, "&lt;&gt;IntegratorValidationComment"))</f>
        <v/>
      </c>
      <c r="AB1370" s="7" t="str">
        <f>IF(ISBLANK(patch[[#This Row],[project]]), "",COUNTIFS($A:$A,patch[[#This Row],[number]],$S:$S, "SH And dev",$AD:$AD, "&lt;&gt;IntegratorValidationComment"))</f>
        <v/>
      </c>
      <c r="AC1370" s="7" t="str">
        <f>IF(OR(ISNUMBER(FIND("Review-1", patch[[#This Row],[comments]])), ISNUMBER(FIND("Approver-1", patch[[#This Row],[comments]]))), "Review-1", "")</f>
        <v/>
      </c>
      <c r="AD13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70" s="7">
        <f>IF(ISBLANK(patch[[#This Row],[number]]),AE1369,patch[[#This Row],[ifCommon]])</f>
        <v>0</v>
      </c>
    </row>
    <row r="1371" spans="1:31">
      <c r="A1371" s="151">
        <v>144798</v>
      </c>
      <c r="B1371" s="151"/>
      <c r="C1371" s="151"/>
      <c r="D1371" s="151"/>
      <c r="E1371" s="151"/>
      <c r="F1371" s="151"/>
      <c r="G1371" s="151"/>
      <c r="H1371" s="151"/>
      <c r="I1371" s="152"/>
      <c r="J1371" s="152">
        <v>42633.709606481483</v>
      </c>
      <c r="K1371" s="151"/>
      <c r="L1371" s="151" t="s">
        <v>59</v>
      </c>
      <c r="M1371" s="152">
        <v>42626.574178240742</v>
      </c>
      <c r="N1371" s="151" t="s">
        <v>3263</v>
      </c>
      <c r="O1371" s="151"/>
      <c r="P1371" s="151"/>
      <c r="Q1371" s="7" t="str">
        <f>IF(ISBLANK(patch[[#This Row],[OwnerEmail]]),Q1370,patch[[#This Row],[OwnerEmail]])</f>
        <v>zongx.li@intel.com</v>
      </c>
      <c r="R1371" s="7" t="str">
        <f>_xlfn.IFNA(VLOOKUP(patch[[#This Row],[tmp-owner.email]],OrgTree!$A:$K, 11, 0), "not ICG SWFW")</f>
        <v>BJ And dev</v>
      </c>
      <c r="S1371" s="7" t="str">
        <f>IF(patch[[#This Row],[reviewer]]=patch[[#This Row],[tmp-owner.email]], "author", _xlfn.IFNA(VLOOKUP(patch[[#This Row],[reviewer]],OrgTree!$A:$K, 11, 0), "not ICG SWFW"))</f>
        <v>BJ And dev</v>
      </c>
      <c r="T1371" s="7" t="str">
        <f>IF(ISBLANK(patch[[#This Row],[mergeDate]]), "", MID(YEAR(patch[[#This Row],[mergeDate]]), 3,2)&amp;"'ww"&amp;WEEKNUM(patch[[#This Row],[mergeDate]]))</f>
        <v>16'ww39</v>
      </c>
      <c r="U1371" s="7" t="str">
        <f>IF(ISBLANK(patch[[#This Row],[mergeDate]]), U1370, MID(YEAR(patch[[#This Row],[mergeDate]]), 3,2)&amp;"'m"&amp;MONTH(patch[[#This Row],[mergeDate]]))</f>
        <v>16'm9</v>
      </c>
      <c r="V1371" s="7" t="str">
        <f>IF(ISBLANK(patch[[#This Row],[project]]), "",SUM(patch[[#This Row],[BJ -1 num]:[SH -1 num]]))</f>
        <v/>
      </c>
      <c r="W1371" s="7" t="str">
        <f>IF(ISBLANK(patch[[#This Row],[project]]), "",COUNTIFS($A:$A,patch[[#This Row],[number]],$S:$S, "BJ And dev",$AC:$AC, "Review-1"))</f>
        <v/>
      </c>
      <c r="X1371" s="7" t="str">
        <f>IF(ISBLANK(patch[[#This Row],[project]]), "",COUNTIFS($A:$A,patch[[#This Row],[number]],$S:$S, "FL And dev",$AC:$AC, "Review-1"))</f>
        <v/>
      </c>
      <c r="Y1371" s="7" t="str">
        <f>IF(ISBLANK(patch[[#This Row],[project]]), "",COUNTIFS($A:$A,patch[[#This Row],[number]],$S:$S, "SH And dev",$AC:$AC, "Review-1"))</f>
        <v/>
      </c>
      <c r="Z1371" s="7" t="str">
        <f>IF(ISBLANK(patch[[#This Row],[project]]), "",COUNTIFS($A:$A,patch[[#This Row],[number]],$S:$S, "BJ And dev",$AD:$AD, "&lt;&gt;IntegratorValidationComment"))</f>
        <v/>
      </c>
      <c r="AA1371" s="7" t="str">
        <f>IF(ISBLANK(patch[[#This Row],[project]]), "",COUNTIFS($A:$A,patch[[#This Row],[number]],$S:$S, "FL And dev",$AD:$AD, "&lt;&gt;IntegratorValidationComment"))</f>
        <v/>
      </c>
      <c r="AB1371" s="7" t="str">
        <f>IF(ISBLANK(patch[[#This Row],[project]]), "",COUNTIFS($A:$A,patch[[#This Row],[number]],$S:$S, "SH And dev",$AD:$AD, "&lt;&gt;IntegratorValidationComment"))</f>
        <v/>
      </c>
      <c r="AC1371" s="7" t="str">
        <f>IF(OR(ISNUMBER(FIND("Review-1", patch[[#This Row],[comments]])), ISNUMBER(FIND("Approver-1", patch[[#This Row],[comments]]))), "Review-1", "")</f>
        <v/>
      </c>
      <c r="AD13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71" s="7">
        <f>IF(ISBLANK(patch[[#This Row],[number]]),AE1370,patch[[#This Row],[ifCommon]])</f>
        <v>0</v>
      </c>
    </row>
    <row r="1372" spans="1:31">
      <c r="A1372" s="151">
        <v>144798</v>
      </c>
      <c r="B1372" s="151"/>
      <c r="C1372" s="151"/>
      <c r="D1372" s="151"/>
      <c r="E1372" s="151"/>
      <c r="F1372" s="151"/>
      <c r="G1372" s="151"/>
      <c r="H1372" s="151"/>
      <c r="I1372" s="151"/>
      <c r="J1372" s="152">
        <v>42633.709606481483</v>
      </c>
      <c r="K1372" s="151"/>
      <c r="L1372" s="151" t="s">
        <v>63</v>
      </c>
      <c r="M1372" s="152">
        <v>42627.608530092592</v>
      </c>
      <c r="N1372" s="151" t="s">
        <v>29</v>
      </c>
      <c r="O1372" s="151"/>
      <c r="P1372" s="151"/>
      <c r="Q1372" s="7" t="str">
        <f>IF(ISBLANK(patch[[#This Row],[OwnerEmail]]),Q1371,patch[[#This Row],[OwnerEmail]])</f>
        <v>zongx.li@intel.com</v>
      </c>
      <c r="R1372" s="7" t="str">
        <f>_xlfn.IFNA(VLOOKUP(patch[[#This Row],[tmp-owner.email]],OrgTree!$A:$K, 11, 0), "not ICG SWFW")</f>
        <v>BJ And dev</v>
      </c>
      <c r="S1372" s="7" t="str">
        <f>IF(patch[[#This Row],[reviewer]]=patch[[#This Row],[tmp-owner.email]], "author", _xlfn.IFNA(VLOOKUP(patch[[#This Row],[reviewer]],OrgTree!$A:$K, 11, 0), "not ICG SWFW"))</f>
        <v>author</v>
      </c>
      <c r="T1372" s="7" t="str">
        <f>IF(ISBLANK(patch[[#This Row],[mergeDate]]), "", MID(YEAR(patch[[#This Row],[mergeDate]]), 3,2)&amp;"'ww"&amp;WEEKNUM(patch[[#This Row],[mergeDate]]))</f>
        <v>16'ww39</v>
      </c>
      <c r="U1372" s="7" t="str">
        <f>IF(ISBLANK(patch[[#This Row],[mergeDate]]), U1371, MID(YEAR(patch[[#This Row],[mergeDate]]), 3,2)&amp;"'m"&amp;MONTH(patch[[#This Row],[mergeDate]]))</f>
        <v>16'm9</v>
      </c>
      <c r="V1372" s="7" t="str">
        <f>IF(ISBLANK(patch[[#This Row],[project]]), "",SUM(patch[[#This Row],[BJ -1 num]:[SH -1 num]]))</f>
        <v/>
      </c>
      <c r="W1372" s="7" t="str">
        <f>IF(ISBLANK(patch[[#This Row],[project]]), "",COUNTIFS($A:$A,patch[[#This Row],[number]],$S:$S, "BJ And dev",$AC:$AC, "Review-1"))</f>
        <v/>
      </c>
      <c r="X1372" s="7" t="str">
        <f>IF(ISBLANK(patch[[#This Row],[project]]), "",COUNTIFS($A:$A,patch[[#This Row],[number]],$S:$S, "FL And dev",$AC:$AC, "Review-1"))</f>
        <v/>
      </c>
      <c r="Y1372" s="7" t="str">
        <f>IF(ISBLANK(patch[[#This Row],[project]]), "",COUNTIFS($A:$A,patch[[#This Row],[number]],$S:$S, "SH And dev",$AC:$AC, "Review-1"))</f>
        <v/>
      </c>
      <c r="Z1372" s="7" t="str">
        <f>IF(ISBLANK(patch[[#This Row],[project]]), "",COUNTIFS($A:$A,patch[[#This Row],[number]],$S:$S, "BJ And dev",$AD:$AD, "&lt;&gt;IntegratorValidationComment"))</f>
        <v/>
      </c>
      <c r="AA1372" s="7" t="str">
        <f>IF(ISBLANK(patch[[#This Row],[project]]), "",COUNTIFS($A:$A,patch[[#This Row],[number]],$S:$S, "FL And dev",$AD:$AD, "&lt;&gt;IntegratorValidationComment"))</f>
        <v/>
      </c>
      <c r="AB1372" s="7" t="str">
        <f>IF(ISBLANK(patch[[#This Row],[project]]), "",COUNTIFS($A:$A,patch[[#This Row],[number]],$S:$S, "SH And dev",$AD:$AD, "&lt;&gt;IntegratorValidationComment"))</f>
        <v/>
      </c>
      <c r="AC1372" s="7" t="str">
        <f>IF(OR(ISNUMBER(FIND("Review-1", patch[[#This Row],[comments]])), ISNUMBER(FIND("Approver-1", patch[[#This Row],[comments]]))), "Review-1", "")</f>
        <v/>
      </c>
      <c r="AD13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72" s="7">
        <f>IF(ISBLANK(patch[[#This Row],[number]]),AE1371,patch[[#This Row],[ifCommon]])</f>
        <v>0</v>
      </c>
    </row>
    <row r="1373" spans="1:31">
      <c r="A1373" s="151">
        <v>144798</v>
      </c>
      <c r="B1373" s="151"/>
      <c r="C1373" s="151"/>
      <c r="D1373" s="151"/>
      <c r="E1373" s="151"/>
      <c r="F1373" s="151"/>
      <c r="G1373" s="151"/>
      <c r="H1373" s="151"/>
      <c r="I1373" s="151"/>
      <c r="J1373" s="152">
        <v>42633.709606481483</v>
      </c>
      <c r="K1373" s="151"/>
      <c r="L1373" s="151" t="s">
        <v>63</v>
      </c>
      <c r="M1373" s="152">
        <v>42627.608530092592</v>
      </c>
      <c r="N1373" s="151" t="s">
        <v>2429</v>
      </c>
      <c r="O1373" s="151"/>
      <c r="P1373" s="151"/>
      <c r="Q1373" s="7" t="str">
        <f>IF(ISBLANK(patch[[#This Row],[OwnerEmail]]),Q1372,patch[[#This Row],[OwnerEmail]])</f>
        <v>zongx.li@intel.com</v>
      </c>
      <c r="R1373" s="7" t="str">
        <f>_xlfn.IFNA(VLOOKUP(patch[[#This Row],[tmp-owner.email]],OrgTree!$A:$K, 11, 0), "not ICG SWFW")</f>
        <v>BJ And dev</v>
      </c>
      <c r="S1373" s="7" t="str">
        <f>IF(patch[[#This Row],[reviewer]]=patch[[#This Row],[tmp-owner.email]], "author", _xlfn.IFNA(VLOOKUP(patch[[#This Row],[reviewer]],OrgTree!$A:$K, 11, 0), "not ICG SWFW"))</f>
        <v>author</v>
      </c>
      <c r="T1373" s="7" t="str">
        <f>IF(ISBLANK(patch[[#This Row],[mergeDate]]), "", MID(YEAR(patch[[#This Row],[mergeDate]]), 3,2)&amp;"'ww"&amp;WEEKNUM(patch[[#This Row],[mergeDate]]))</f>
        <v>16'ww39</v>
      </c>
      <c r="U1373" s="7" t="str">
        <f>IF(ISBLANK(patch[[#This Row],[mergeDate]]), U1372, MID(YEAR(patch[[#This Row],[mergeDate]]), 3,2)&amp;"'m"&amp;MONTH(patch[[#This Row],[mergeDate]]))</f>
        <v>16'm9</v>
      </c>
      <c r="V1373" s="7" t="str">
        <f>IF(ISBLANK(patch[[#This Row],[project]]), "",SUM(patch[[#This Row],[BJ -1 num]:[SH -1 num]]))</f>
        <v/>
      </c>
      <c r="W1373" s="7" t="str">
        <f>IF(ISBLANK(patch[[#This Row],[project]]), "",COUNTIFS($A:$A,patch[[#This Row],[number]],$S:$S, "BJ And dev",$AC:$AC, "Review-1"))</f>
        <v/>
      </c>
      <c r="X1373" s="7" t="str">
        <f>IF(ISBLANK(patch[[#This Row],[project]]), "",COUNTIFS($A:$A,patch[[#This Row],[number]],$S:$S, "FL And dev",$AC:$AC, "Review-1"))</f>
        <v/>
      </c>
      <c r="Y1373" s="7" t="str">
        <f>IF(ISBLANK(patch[[#This Row],[project]]), "",COUNTIFS($A:$A,patch[[#This Row],[number]],$S:$S, "SH And dev",$AC:$AC, "Review-1"))</f>
        <v/>
      </c>
      <c r="Z1373" s="7" t="str">
        <f>IF(ISBLANK(patch[[#This Row],[project]]), "",COUNTIFS($A:$A,patch[[#This Row],[number]],$S:$S, "BJ And dev",$AD:$AD, "&lt;&gt;IntegratorValidationComment"))</f>
        <v/>
      </c>
      <c r="AA1373" s="7" t="str">
        <f>IF(ISBLANK(patch[[#This Row],[project]]), "",COUNTIFS($A:$A,patch[[#This Row],[number]],$S:$S, "FL And dev",$AD:$AD, "&lt;&gt;IntegratorValidationComment"))</f>
        <v/>
      </c>
      <c r="AB1373" s="7" t="str">
        <f>IF(ISBLANK(patch[[#This Row],[project]]), "",COUNTIFS($A:$A,patch[[#This Row],[number]],$S:$S, "SH And dev",$AD:$AD, "&lt;&gt;IntegratorValidationComment"))</f>
        <v/>
      </c>
      <c r="AC1373" s="7" t="str">
        <f>IF(OR(ISNUMBER(FIND("Review-1", patch[[#This Row],[comments]])), ISNUMBER(FIND("Approver-1", patch[[#This Row],[comments]]))), "Review-1", "")</f>
        <v/>
      </c>
      <c r="AD13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73" s="7">
        <f>IF(ISBLANK(patch[[#This Row],[number]]),AE1372,patch[[#This Row],[ifCommon]])</f>
        <v>0</v>
      </c>
    </row>
    <row r="1374" spans="1:31">
      <c r="A1374" s="151">
        <v>144798</v>
      </c>
      <c r="B1374" s="151"/>
      <c r="C1374" s="151"/>
      <c r="D1374" s="151"/>
      <c r="E1374" s="151"/>
      <c r="F1374" s="151"/>
      <c r="G1374" s="151"/>
      <c r="H1374" s="151"/>
      <c r="I1374" s="151"/>
      <c r="J1374" s="152">
        <v>42633.709606481483</v>
      </c>
      <c r="K1374" s="151"/>
      <c r="L1374" s="151" t="s">
        <v>63</v>
      </c>
      <c r="M1374" s="152">
        <v>42627.608831018522</v>
      </c>
      <c r="N1374" s="151" t="s">
        <v>27</v>
      </c>
      <c r="O1374" s="151"/>
      <c r="P1374" s="151"/>
      <c r="Q1374" s="7" t="str">
        <f>IF(ISBLANK(patch[[#This Row],[OwnerEmail]]),Q1373,patch[[#This Row],[OwnerEmail]])</f>
        <v>zongx.li@intel.com</v>
      </c>
      <c r="R1374" s="7" t="str">
        <f>_xlfn.IFNA(VLOOKUP(patch[[#This Row],[tmp-owner.email]],OrgTree!$A:$K, 11, 0), "not ICG SWFW")</f>
        <v>BJ And dev</v>
      </c>
      <c r="S1374" s="7" t="str">
        <f>IF(patch[[#This Row],[reviewer]]=patch[[#This Row],[tmp-owner.email]], "author", _xlfn.IFNA(VLOOKUP(patch[[#This Row],[reviewer]],OrgTree!$A:$K, 11, 0), "not ICG SWFW"))</f>
        <v>author</v>
      </c>
      <c r="T1374" s="7" t="str">
        <f>IF(ISBLANK(patch[[#This Row],[mergeDate]]), "", MID(YEAR(patch[[#This Row],[mergeDate]]), 3,2)&amp;"'ww"&amp;WEEKNUM(patch[[#This Row],[mergeDate]]))</f>
        <v>16'ww39</v>
      </c>
      <c r="U1374" s="7" t="str">
        <f>IF(ISBLANK(patch[[#This Row],[mergeDate]]), U1373, MID(YEAR(patch[[#This Row],[mergeDate]]), 3,2)&amp;"'m"&amp;MONTH(patch[[#This Row],[mergeDate]]))</f>
        <v>16'm9</v>
      </c>
      <c r="V1374" s="7" t="str">
        <f>IF(ISBLANK(patch[[#This Row],[project]]), "",SUM(patch[[#This Row],[BJ -1 num]:[SH -1 num]]))</f>
        <v/>
      </c>
      <c r="W1374" s="7" t="str">
        <f>IF(ISBLANK(patch[[#This Row],[project]]), "",COUNTIFS($A:$A,patch[[#This Row],[number]],$S:$S, "BJ And dev",$AC:$AC, "Review-1"))</f>
        <v/>
      </c>
      <c r="X1374" s="7" t="str">
        <f>IF(ISBLANK(patch[[#This Row],[project]]), "",COUNTIFS($A:$A,patch[[#This Row],[number]],$S:$S, "FL And dev",$AC:$AC, "Review-1"))</f>
        <v/>
      </c>
      <c r="Y1374" s="7" t="str">
        <f>IF(ISBLANK(patch[[#This Row],[project]]), "",COUNTIFS($A:$A,patch[[#This Row],[number]],$S:$S, "SH And dev",$AC:$AC, "Review-1"))</f>
        <v/>
      </c>
      <c r="Z1374" s="7" t="str">
        <f>IF(ISBLANK(patch[[#This Row],[project]]), "",COUNTIFS($A:$A,patch[[#This Row],[number]],$S:$S, "BJ And dev",$AD:$AD, "&lt;&gt;IntegratorValidationComment"))</f>
        <v/>
      </c>
      <c r="AA1374" s="7" t="str">
        <f>IF(ISBLANK(patch[[#This Row],[project]]), "",COUNTIFS($A:$A,patch[[#This Row],[number]],$S:$S, "FL And dev",$AD:$AD, "&lt;&gt;IntegratorValidationComment"))</f>
        <v/>
      </c>
      <c r="AB1374" s="7" t="str">
        <f>IF(ISBLANK(patch[[#This Row],[project]]), "",COUNTIFS($A:$A,patch[[#This Row],[number]],$S:$S, "SH And dev",$AD:$AD, "&lt;&gt;IntegratorValidationComment"))</f>
        <v/>
      </c>
      <c r="AC1374" s="7" t="str">
        <f>IF(OR(ISNUMBER(FIND("Review-1", patch[[#This Row],[comments]])), ISNUMBER(FIND("Approver-1", patch[[#This Row],[comments]]))), "Review-1", "")</f>
        <v/>
      </c>
      <c r="AD13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74" s="7">
        <f>IF(ISBLANK(patch[[#This Row],[number]]),AE1373,patch[[#This Row],[ifCommon]])</f>
        <v>0</v>
      </c>
    </row>
    <row r="1375" spans="1:31">
      <c r="A1375" s="151">
        <v>144798</v>
      </c>
      <c r="B1375" s="151"/>
      <c r="C1375" s="151"/>
      <c r="D1375" s="151"/>
      <c r="E1375" s="151"/>
      <c r="F1375" s="151"/>
      <c r="G1375" s="151"/>
      <c r="H1375" s="151"/>
      <c r="I1375" s="151"/>
      <c r="J1375" s="152">
        <v>42633.709606481483</v>
      </c>
      <c r="K1375" s="151"/>
      <c r="L1375" s="151" t="s">
        <v>59</v>
      </c>
      <c r="M1375" s="152">
        <v>42627.613252314812</v>
      </c>
      <c r="N1375" s="151" t="s">
        <v>3264</v>
      </c>
      <c r="O1375" s="151"/>
      <c r="P1375" s="151"/>
      <c r="Q1375" s="7" t="str">
        <f>IF(ISBLANK(patch[[#This Row],[OwnerEmail]]),Q1374,patch[[#This Row],[OwnerEmail]])</f>
        <v>zongx.li@intel.com</v>
      </c>
      <c r="R1375" s="7" t="str">
        <f>_xlfn.IFNA(VLOOKUP(patch[[#This Row],[tmp-owner.email]],OrgTree!$A:$K, 11, 0), "not ICG SWFW")</f>
        <v>BJ And dev</v>
      </c>
      <c r="S1375" s="7" t="str">
        <f>IF(patch[[#This Row],[reviewer]]=patch[[#This Row],[tmp-owner.email]], "author", _xlfn.IFNA(VLOOKUP(patch[[#This Row],[reviewer]],OrgTree!$A:$K, 11, 0), "not ICG SWFW"))</f>
        <v>BJ And dev</v>
      </c>
      <c r="T1375" s="7" t="str">
        <f>IF(ISBLANK(patch[[#This Row],[mergeDate]]), "", MID(YEAR(patch[[#This Row],[mergeDate]]), 3,2)&amp;"'ww"&amp;WEEKNUM(patch[[#This Row],[mergeDate]]))</f>
        <v>16'ww39</v>
      </c>
      <c r="U1375" s="7" t="str">
        <f>IF(ISBLANK(patch[[#This Row],[mergeDate]]), U1374, MID(YEAR(patch[[#This Row],[mergeDate]]), 3,2)&amp;"'m"&amp;MONTH(patch[[#This Row],[mergeDate]]))</f>
        <v>16'm9</v>
      </c>
      <c r="V1375" s="7" t="str">
        <f>IF(ISBLANK(patch[[#This Row],[project]]), "",SUM(patch[[#This Row],[BJ -1 num]:[SH -1 num]]))</f>
        <v/>
      </c>
      <c r="W1375" s="7" t="str">
        <f>IF(ISBLANK(patch[[#This Row],[project]]), "",COUNTIFS($A:$A,patch[[#This Row],[number]],$S:$S, "BJ And dev",$AC:$AC, "Review-1"))</f>
        <v/>
      </c>
      <c r="X1375" s="7" t="str">
        <f>IF(ISBLANK(patch[[#This Row],[project]]), "",COUNTIFS($A:$A,patch[[#This Row],[number]],$S:$S, "FL And dev",$AC:$AC, "Review-1"))</f>
        <v/>
      </c>
      <c r="Y1375" s="7" t="str">
        <f>IF(ISBLANK(patch[[#This Row],[project]]), "",COUNTIFS($A:$A,patch[[#This Row],[number]],$S:$S, "SH And dev",$AC:$AC, "Review-1"))</f>
        <v/>
      </c>
      <c r="Z1375" s="7" t="str">
        <f>IF(ISBLANK(patch[[#This Row],[project]]), "",COUNTIFS($A:$A,patch[[#This Row],[number]],$S:$S, "BJ And dev",$AD:$AD, "&lt;&gt;IntegratorValidationComment"))</f>
        <v/>
      </c>
      <c r="AA1375" s="7" t="str">
        <f>IF(ISBLANK(patch[[#This Row],[project]]), "",COUNTIFS($A:$A,patch[[#This Row],[number]],$S:$S, "FL And dev",$AD:$AD, "&lt;&gt;IntegratorValidationComment"))</f>
        <v/>
      </c>
      <c r="AB1375" s="7" t="str">
        <f>IF(ISBLANK(patch[[#This Row],[project]]), "",COUNTIFS($A:$A,patch[[#This Row],[number]],$S:$S, "SH And dev",$AD:$AD, "&lt;&gt;IntegratorValidationComment"))</f>
        <v/>
      </c>
      <c r="AC1375" s="7" t="str">
        <f>IF(OR(ISNUMBER(FIND("Review-1", patch[[#This Row],[comments]])), ISNUMBER(FIND("Approver-1", patch[[#This Row],[comments]]))), "Review-1", "")</f>
        <v/>
      </c>
      <c r="AD13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75" s="7">
        <f>IF(ISBLANK(patch[[#This Row],[number]]),AE1374,patch[[#This Row],[ifCommon]])</f>
        <v>0</v>
      </c>
    </row>
    <row r="1376" spans="1:31">
      <c r="A1376" s="151">
        <v>144798</v>
      </c>
      <c r="B1376" s="151"/>
      <c r="C1376" s="151"/>
      <c r="D1376" s="151"/>
      <c r="E1376" s="151"/>
      <c r="F1376" s="151"/>
      <c r="G1376" s="151"/>
      <c r="H1376" s="151"/>
      <c r="I1376" s="151"/>
      <c r="J1376" s="152">
        <v>42633.709606481483</v>
      </c>
      <c r="K1376" s="151"/>
      <c r="L1376" s="151" t="s">
        <v>59</v>
      </c>
      <c r="M1376" s="152">
        <v>42627.616238425922</v>
      </c>
      <c r="N1376" s="151" t="s">
        <v>3265</v>
      </c>
      <c r="O1376" s="151"/>
      <c r="P1376" s="151"/>
      <c r="Q1376" s="7" t="str">
        <f>IF(ISBLANK(patch[[#This Row],[OwnerEmail]]),Q1375,patch[[#This Row],[OwnerEmail]])</f>
        <v>zongx.li@intel.com</v>
      </c>
      <c r="R1376" s="7" t="str">
        <f>_xlfn.IFNA(VLOOKUP(patch[[#This Row],[tmp-owner.email]],OrgTree!$A:$K, 11, 0), "not ICG SWFW")</f>
        <v>BJ And dev</v>
      </c>
      <c r="S1376" s="7" t="str">
        <f>IF(patch[[#This Row],[reviewer]]=patch[[#This Row],[tmp-owner.email]], "author", _xlfn.IFNA(VLOOKUP(patch[[#This Row],[reviewer]],OrgTree!$A:$K, 11, 0), "not ICG SWFW"))</f>
        <v>BJ And dev</v>
      </c>
      <c r="T1376" s="7" t="str">
        <f>IF(ISBLANK(patch[[#This Row],[mergeDate]]), "", MID(YEAR(patch[[#This Row],[mergeDate]]), 3,2)&amp;"'ww"&amp;WEEKNUM(patch[[#This Row],[mergeDate]]))</f>
        <v>16'ww39</v>
      </c>
      <c r="U1376" s="7" t="str">
        <f>IF(ISBLANK(patch[[#This Row],[mergeDate]]), U1375, MID(YEAR(patch[[#This Row],[mergeDate]]), 3,2)&amp;"'m"&amp;MONTH(patch[[#This Row],[mergeDate]]))</f>
        <v>16'm9</v>
      </c>
      <c r="V1376" s="7" t="str">
        <f>IF(ISBLANK(patch[[#This Row],[project]]), "",SUM(patch[[#This Row],[BJ -1 num]:[SH -1 num]]))</f>
        <v/>
      </c>
      <c r="W1376" s="7" t="str">
        <f>IF(ISBLANK(patch[[#This Row],[project]]), "",COUNTIFS($A:$A,patch[[#This Row],[number]],$S:$S, "BJ And dev",$AC:$AC, "Review-1"))</f>
        <v/>
      </c>
      <c r="X1376" s="7" t="str">
        <f>IF(ISBLANK(patch[[#This Row],[project]]), "",COUNTIFS($A:$A,patch[[#This Row],[number]],$S:$S, "FL And dev",$AC:$AC, "Review-1"))</f>
        <v/>
      </c>
      <c r="Y1376" s="7" t="str">
        <f>IF(ISBLANK(patch[[#This Row],[project]]), "",COUNTIFS($A:$A,patch[[#This Row],[number]],$S:$S, "SH And dev",$AC:$AC, "Review-1"))</f>
        <v/>
      </c>
      <c r="Z1376" s="7" t="str">
        <f>IF(ISBLANK(patch[[#This Row],[project]]), "",COUNTIFS($A:$A,patch[[#This Row],[number]],$S:$S, "BJ And dev",$AD:$AD, "&lt;&gt;IntegratorValidationComment"))</f>
        <v/>
      </c>
      <c r="AA1376" s="7" t="str">
        <f>IF(ISBLANK(patch[[#This Row],[project]]), "",COUNTIFS($A:$A,patch[[#This Row],[number]],$S:$S, "FL And dev",$AD:$AD, "&lt;&gt;IntegratorValidationComment"))</f>
        <v/>
      </c>
      <c r="AB1376" s="7" t="str">
        <f>IF(ISBLANK(patch[[#This Row],[project]]), "",COUNTIFS($A:$A,patch[[#This Row],[number]],$S:$S, "SH And dev",$AD:$AD, "&lt;&gt;IntegratorValidationComment"))</f>
        <v/>
      </c>
      <c r="AC1376" s="7" t="str">
        <f>IF(OR(ISNUMBER(FIND("Review-1", patch[[#This Row],[comments]])), ISNUMBER(FIND("Approver-1", patch[[#This Row],[comments]]))), "Review-1", "")</f>
        <v/>
      </c>
      <c r="AD13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76" s="7">
        <f>IF(ISBLANK(patch[[#This Row],[number]]),AE1375,patch[[#This Row],[ifCommon]])</f>
        <v>0</v>
      </c>
    </row>
    <row r="1377" spans="1:31">
      <c r="A1377" s="151">
        <v>144798</v>
      </c>
      <c r="B1377" s="151"/>
      <c r="C1377" s="151"/>
      <c r="D1377" s="151"/>
      <c r="E1377" s="151"/>
      <c r="F1377" s="151"/>
      <c r="G1377" s="151"/>
      <c r="H1377" s="151"/>
      <c r="I1377" s="151"/>
      <c r="J1377" s="152">
        <v>42633.709606481483</v>
      </c>
      <c r="K1377" s="151"/>
      <c r="L1377" s="151" t="s">
        <v>32</v>
      </c>
      <c r="M1377" s="152">
        <v>42627.736250000002</v>
      </c>
      <c r="N1377" s="151" t="s">
        <v>27</v>
      </c>
      <c r="O1377" s="151"/>
      <c r="P1377" s="151"/>
      <c r="Q1377" s="7" t="str">
        <f>IF(ISBLANK(patch[[#This Row],[OwnerEmail]]),Q1376,patch[[#This Row],[OwnerEmail]])</f>
        <v>zongx.li@intel.com</v>
      </c>
      <c r="R1377" s="7" t="str">
        <f>_xlfn.IFNA(VLOOKUP(patch[[#This Row],[tmp-owner.email]],OrgTree!$A:$K, 11, 0), "not ICG SWFW")</f>
        <v>BJ And dev</v>
      </c>
      <c r="S1377" s="7" t="str">
        <f>IF(patch[[#This Row],[reviewer]]=patch[[#This Row],[tmp-owner.email]], "author", _xlfn.IFNA(VLOOKUP(patch[[#This Row],[reviewer]],OrgTree!$A:$K, 11, 0), "not ICG SWFW"))</f>
        <v>BJ And dev</v>
      </c>
      <c r="T1377" s="7" t="str">
        <f>IF(ISBLANK(patch[[#This Row],[mergeDate]]), "", MID(YEAR(patch[[#This Row],[mergeDate]]), 3,2)&amp;"'ww"&amp;WEEKNUM(patch[[#This Row],[mergeDate]]))</f>
        <v>16'ww39</v>
      </c>
      <c r="U1377" s="7" t="str">
        <f>IF(ISBLANK(patch[[#This Row],[mergeDate]]), U1376, MID(YEAR(patch[[#This Row],[mergeDate]]), 3,2)&amp;"'m"&amp;MONTH(patch[[#This Row],[mergeDate]]))</f>
        <v>16'm9</v>
      </c>
      <c r="V1377" s="7" t="str">
        <f>IF(ISBLANK(patch[[#This Row],[project]]), "",SUM(patch[[#This Row],[BJ -1 num]:[SH -1 num]]))</f>
        <v/>
      </c>
      <c r="W1377" s="7" t="str">
        <f>IF(ISBLANK(patch[[#This Row],[project]]), "",COUNTIFS($A:$A,patch[[#This Row],[number]],$S:$S, "BJ And dev",$AC:$AC, "Review-1"))</f>
        <v/>
      </c>
      <c r="X1377" s="7" t="str">
        <f>IF(ISBLANK(patch[[#This Row],[project]]), "",COUNTIFS($A:$A,patch[[#This Row],[number]],$S:$S, "FL And dev",$AC:$AC, "Review-1"))</f>
        <v/>
      </c>
      <c r="Y1377" s="7" t="str">
        <f>IF(ISBLANK(patch[[#This Row],[project]]), "",COUNTIFS($A:$A,patch[[#This Row],[number]],$S:$S, "SH And dev",$AC:$AC, "Review-1"))</f>
        <v/>
      </c>
      <c r="Z1377" s="7" t="str">
        <f>IF(ISBLANK(patch[[#This Row],[project]]), "",COUNTIFS($A:$A,patch[[#This Row],[number]],$S:$S, "BJ And dev",$AD:$AD, "&lt;&gt;IntegratorValidationComment"))</f>
        <v/>
      </c>
      <c r="AA1377" s="7" t="str">
        <f>IF(ISBLANK(patch[[#This Row],[project]]), "",COUNTIFS($A:$A,patch[[#This Row],[number]],$S:$S, "FL And dev",$AD:$AD, "&lt;&gt;IntegratorValidationComment"))</f>
        <v/>
      </c>
      <c r="AB1377" s="7" t="str">
        <f>IF(ISBLANK(patch[[#This Row],[project]]), "",COUNTIFS($A:$A,patch[[#This Row],[number]],$S:$S, "SH And dev",$AD:$AD, "&lt;&gt;IntegratorValidationComment"))</f>
        <v/>
      </c>
      <c r="AC1377" s="7" t="str">
        <f>IF(OR(ISNUMBER(FIND("Review-1", patch[[#This Row],[comments]])), ISNUMBER(FIND("Approver-1", patch[[#This Row],[comments]]))), "Review-1", "")</f>
        <v/>
      </c>
      <c r="AD13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77" s="7">
        <f>IF(ISBLANK(patch[[#This Row],[number]]),AE1376,patch[[#This Row],[ifCommon]])</f>
        <v>0</v>
      </c>
    </row>
    <row r="1378" spans="1:31">
      <c r="A1378" s="151">
        <v>144798</v>
      </c>
      <c r="B1378" s="151"/>
      <c r="C1378" s="151"/>
      <c r="D1378" s="151"/>
      <c r="E1378" s="151"/>
      <c r="F1378" s="151"/>
      <c r="G1378" s="151"/>
      <c r="H1378" s="151"/>
      <c r="I1378" s="151"/>
      <c r="J1378" s="152">
        <v>42633.709606481483</v>
      </c>
      <c r="K1378" s="151"/>
      <c r="L1378" s="151" t="s">
        <v>59</v>
      </c>
      <c r="M1378" s="152">
        <v>42627.737476851849</v>
      </c>
      <c r="N1378" s="151" t="s">
        <v>1873</v>
      </c>
      <c r="O1378" s="151"/>
      <c r="P1378" s="151"/>
      <c r="Q1378" s="7" t="str">
        <f>IF(ISBLANK(patch[[#This Row],[OwnerEmail]]),Q1377,patch[[#This Row],[OwnerEmail]])</f>
        <v>zongx.li@intel.com</v>
      </c>
      <c r="R1378" s="7" t="str">
        <f>_xlfn.IFNA(VLOOKUP(patch[[#This Row],[tmp-owner.email]],OrgTree!$A:$K, 11, 0), "not ICG SWFW")</f>
        <v>BJ And dev</v>
      </c>
      <c r="S1378" s="7" t="str">
        <f>IF(patch[[#This Row],[reviewer]]=patch[[#This Row],[tmp-owner.email]], "author", _xlfn.IFNA(VLOOKUP(patch[[#This Row],[reviewer]],OrgTree!$A:$K, 11, 0), "not ICG SWFW"))</f>
        <v>BJ And dev</v>
      </c>
      <c r="T1378" s="7" t="str">
        <f>IF(ISBLANK(patch[[#This Row],[mergeDate]]), "", MID(YEAR(patch[[#This Row],[mergeDate]]), 3,2)&amp;"'ww"&amp;WEEKNUM(patch[[#This Row],[mergeDate]]))</f>
        <v>16'ww39</v>
      </c>
      <c r="U1378" s="7" t="str">
        <f>IF(ISBLANK(patch[[#This Row],[mergeDate]]), U1377, MID(YEAR(patch[[#This Row],[mergeDate]]), 3,2)&amp;"'m"&amp;MONTH(patch[[#This Row],[mergeDate]]))</f>
        <v>16'm9</v>
      </c>
      <c r="V1378" s="7" t="str">
        <f>IF(ISBLANK(patch[[#This Row],[project]]), "",SUM(patch[[#This Row],[BJ -1 num]:[SH -1 num]]))</f>
        <v/>
      </c>
      <c r="W1378" s="7" t="str">
        <f>IF(ISBLANK(patch[[#This Row],[project]]), "",COUNTIFS($A:$A,patch[[#This Row],[number]],$S:$S, "BJ And dev",$AC:$AC, "Review-1"))</f>
        <v/>
      </c>
      <c r="X1378" s="7" t="str">
        <f>IF(ISBLANK(patch[[#This Row],[project]]), "",COUNTIFS($A:$A,patch[[#This Row],[number]],$S:$S, "FL And dev",$AC:$AC, "Review-1"))</f>
        <v/>
      </c>
      <c r="Y1378" s="7" t="str">
        <f>IF(ISBLANK(patch[[#This Row],[project]]), "",COUNTIFS($A:$A,patch[[#This Row],[number]],$S:$S, "SH And dev",$AC:$AC, "Review-1"))</f>
        <v/>
      </c>
      <c r="Z1378" s="7" t="str">
        <f>IF(ISBLANK(patch[[#This Row],[project]]), "",COUNTIFS($A:$A,patch[[#This Row],[number]],$S:$S, "BJ And dev",$AD:$AD, "&lt;&gt;IntegratorValidationComment"))</f>
        <v/>
      </c>
      <c r="AA1378" s="7" t="str">
        <f>IF(ISBLANK(patch[[#This Row],[project]]), "",COUNTIFS($A:$A,patch[[#This Row],[number]],$S:$S, "FL And dev",$AD:$AD, "&lt;&gt;IntegratorValidationComment"))</f>
        <v/>
      </c>
      <c r="AB1378" s="7" t="str">
        <f>IF(ISBLANK(patch[[#This Row],[project]]), "",COUNTIFS($A:$A,patch[[#This Row],[number]],$S:$S, "SH And dev",$AD:$AD, "&lt;&gt;IntegratorValidationComment"))</f>
        <v/>
      </c>
      <c r="AC1378" s="7" t="str">
        <f>IF(OR(ISNUMBER(FIND("Review-1", patch[[#This Row],[comments]])), ISNUMBER(FIND("Approver-1", patch[[#This Row],[comments]]))), "Review-1", "")</f>
        <v/>
      </c>
      <c r="AD13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78" s="7">
        <f>IF(ISBLANK(patch[[#This Row],[number]]),AE1377,patch[[#This Row],[ifCommon]])</f>
        <v>0</v>
      </c>
    </row>
    <row r="1379" spans="1:31">
      <c r="A1379" s="151">
        <v>144798</v>
      </c>
      <c r="B1379" s="151"/>
      <c r="C1379" s="151"/>
      <c r="D1379" s="151"/>
      <c r="E1379" s="151"/>
      <c r="F1379" s="151"/>
      <c r="G1379" s="151"/>
      <c r="H1379" s="151"/>
      <c r="I1379" s="151"/>
      <c r="J1379" s="152">
        <v>42633.709606481483</v>
      </c>
      <c r="K1379" s="151"/>
      <c r="L1379" s="151" t="s">
        <v>63</v>
      </c>
      <c r="M1379" s="152">
        <v>42631.430497685193</v>
      </c>
      <c r="N1379" s="151" t="s">
        <v>2704</v>
      </c>
      <c r="O1379" s="151"/>
      <c r="P1379" s="151"/>
      <c r="Q1379" s="7" t="str">
        <f>IF(ISBLANK(patch[[#This Row],[OwnerEmail]]),Q1378,patch[[#This Row],[OwnerEmail]])</f>
        <v>zongx.li@intel.com</v>
      </c>
      <c r="R1379" s="7" t="str">
        <f>_xlfn.IFNA(VLOOKUP(patch[[#This Row],[tmp-owner.email]],OrgTree!$A:$K, 11, 0), "not ICG SWFW")</f>
        <v>BJ And dev</v>
      </c>
      <c r="S1379" s="7" t="str">
        <f>IF(patch[[#This Row],[reviewer]]=patch[[#This Row],[tmp-owner.email]], "author", _xlfn.IFNA(VLOOKUP(patch[[#This Row],[reviewer]],OrgTree!$A:$K, 11, 0), "not ICG SWFW"))</f>
        <v>author</v>
      </c>
      <c r="T1379" s="7" t="str">
        <f>IF(ISBLANK(patch[[#This Row],[mergeDate]]), "", MID(YEAR(patch[[#This Row],[mergeDate]]), 3,2)&amp;"'ww"&amp;WEEKNUM(patch[[#This Row],[mergeDate]]))</f>
        <v>16'ww39</v>
      </c>
      <c r="U1379" s="7" t="str">
        <f>IF(ISBLANK(patch[[#This Row],[mergeDate]]), U1378, MID(YEAR(patch[[#This Row],[mergeDate]]), 3,2)&amp;"'m"&amp;MONTH(patch[[#This Row],[mergeDate]]))</f>
        <v>16'm9</v>
      </c>
      <c r="V1379" s="7" t="str">
        <f>IF(ISBLANK(patch[[#This Row],[project]]), "",SUM(patch[[#This Row],[BJ -1 num]:[SH -1 num]]))</f>
        <v/>
      </c>
      <c r="W1379" s="7" t="str">
        <f>IF(ISBLANK(patch[[#This Row],[project]]), "",COUNTIFS($A:$A,patch[[#This Row],[number]],$S:$S, "BJ And dev",$AC:$AC, "Review-1"))</f>
        <v/>
      </c>
      <c r="X1379" s="7" t="str">
        <f>IF(ISBLANK(patch[[#This Row],[project]]), "",COUNTIFS($A:$A,patch[[#This Row],[number]],$S:$S, "FL And dev",$AC:$AC, "Review-1"))</f>
        <v/>
      </c>
      <c r="Y1379" s="7" t="str">
        <f>IF(ISBLANK(patch[[#This Row],[project]]), "",COUNTIFS($A:$A,patch[[#This Row],[number]],$S:$S, "SH And dev",$AC:$AC, "Review-1"))</f>
        <v/>
      </c>
      <c r="Z1379" s="7" t="str">
        <f>IF(ISBLANK(patch[[#This Row],[project]]), "",COUNTIFS($A:$A,patch[[#This Row],[number]],$S:$S, "BJ And dev",$AD:$AD, "&lt;&gt;IntegratorValidationComment"))</f>
        <v/>
      </c>
      <c r="AA1379" s="7" t="str">
        <f>IF(ISBLANK(patch[[#This Row],[project]]), "",COUNTIFS($A:$A,patch[[#This Row],[number]],$S:$S, "FL And dev",$AD:$AD, "&lt;&gt;IntegratorValidationComment"))</f>
        <v/>
      </c>
      <c r="AB1379" s="7" t="str">
        <f>IF(ISBLANK(patch[[#This Row],[project]]), "",COUNTIFS($A:$A,patch[[#This Row],[number]],$S:$S, "SH And dev",$AD:$AD, "&lt;&gt;IntegratorValidationComment"))</f>
        <v/>
      </c>
      <c r="AC1379" s="7" t="str">
        <f>IF(OR(ISNUMBER(FIND("Review-1", patch[[#This Row],[comments]])), ISNUMBER(FIND("Approver-1", patch[[#This Row],[comments]]))), "Review-1", "")</f>
        <v/>
      </c>
      <c r="AD13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79" s="7">
        <f>IF(ISBLANK(patch[[#This Row],[number]]),AE1378,patch[[#This Row],[ifCommon]])</f>
        <v>0</v>
      </c>
    </row>
    <row r="1380" spans="1:31">
      <c r="A1380" s="151">
        <v>144798</v>
      </c>
      <c r="B1380" s="151"/>
      <c r="C1380" s="151"/>
      <c r="D1380" s="151"/>
      <c r="E1380" s="151"/>
      <c r="F1380" s="151"/>
      <c r="G1380" s="151"/>
      <c r="H1380" s="151"/>
      <c r="I1380" s="151"/>
      <c r="J1380" s="152">
        <v>42633.709606481483</v>
      </c>
      <c r="K1380" s="151"/>
      <c r="L1380" s="151" t="s">
        <v>63</v>
      </c>
      <c r="M1380" s="152">
        <v>42631.430509259262</v>
      </c>
      <c r="N1380" s="151" t="s">
        <v>2450</v>
      </c>
      <c r="O1380" s="151"/>
      <c r="P1380" s="151"/>
      <c r="Q1380" s="7" t="str">
        <f>IF(ISBLANK(patch[[#This Row],[OwnerEmail]]),Q1379,patch[[#This Row],[OwnerEmail]])</f>
        <v>zongx.li@intel.com</v>
      </c>
      <c r="R1380" s="7" t="str">
        <f>_xlfn.IFNA(VLOOKUP(patch[[#This Row],[tmp-owner.email]],OrgTree!$A:$K, 11, 0), "not ICG SWFW")</f>
        <v>BJ And dev</v>
      </c>
      <c r="S1380" s="7" t="str">
        <f>IF(patch[[#This Row],[reviewer]]=patch[[#This Row],[tmp-owner.email]], "author", _xlfn.IFNA(VLOOKUP(patch[[#This Row],[reviewer]],OrgTree!$A:$K, 11, 0), "not ICG SWFW"))</f>
        <v>author</v>
      </c>
      <c r="T1380" s="7" t="str">
        <f>IF(ISBLANK(patch[[#This Row],[mergeDate]]), "", MID(YEAR(patch[[#This Row],[mergeDate]]), 3,2)&amp;"'ww"&amp;WEEKNUM(patch[[#This Row],[mergeDate]]))</f>
        <v>16'ww39</v>
      </c>
      <c r="U1380" s="7" t="str">
        <f>IF(ISBLANK(patch[[#This Row],[mergeDate]]), U1379, MID(YEAR(patch[[#This Row],[mergeDate]]), 3,2)&amp;"'m"&amp;MONTH(patch[[#This Row],[mergeDate]]))</f>
        <v>16'm9</v>
      </c>
      <c r="V1380" s="7" t="str">
        <f>IF(ISBLANK(patch[[#This Row],[project]]), "",SUM(patch[[#This Row],[BJ -1 num]:[SH -1 num]]))</f>
        <v/>
      </c>
      <c r="W1380" s="7" t="str">
        <f>IF(ISBLANK(patch[[#This Row],[project]]), "",COUNTIFS($A:$A,patch[[#This Row],[number]],$S:$S, "BJ And dev",$AC:$AC, "Review-1"))</f>
        <v/>
      </c>
      <c r="X1380" s="7" t="str">
        <f>IF(ISBLANK(patch[[#This Row],[project]]), "",COUNTIFS($A:$A,patch[[#This Row],[number]],$S:$S, "FL And dev",$AC:$AC, "Review-1"))</f>
        <v/>
      </c>
      <c r="Y1380" s="7" t="str">
        <f>IF(ISBLANK(patch[[#This Row],[project]]), "",COUNTIFS($A:$A,patch[[#This Row],[number]],$S:$S, "SH And dev",$AC:$AC, "Review-1"))</f>
        <v/>
      </c>
      <c r="Z1380" s="7" t="str">
        <f>IF(ISBLANK(patch[[#This Row],[project]]), "",COUNTIFS($A:$A,patch[[#This Row],[number]],$S:$S, "BJ And dev",$AD:$AD, "&lt;&gt;IntegratorValidationComment"))</f>
        <v/>
      </c>
      <c r="AA1380" s="7" t="str">
        <f>IF(ISBLANK(patch[[#This Row],[project]]), "",COUNTIFS($A:$A,patch[[#This Row],[number]],$S:$S, "FL And dev",$AD:$AD, "&lt;&gt;IntegratorValidationComment"))</f>
        <v/>
      </c>
      <c r="AB1380" s="7" t="str">
        <f>IF(ISBLANK(patch[[#This Row],[project]]), "",COUNTIFS($A:$A,patch[[#This Row],[number]],$S:$S, "SH And dev",$AD:$AD, "&lt;&gt;IntegratorValidationComment"))</f>
        <v/>
      </c>
      <c r="AC1380" s="7" t="str">
        <f>IF(OR(ISNUMBER(FIND("Review-1", patch[[#This Row],[comments]])), ISNUMBER(FIND("Approver-1", patch[[#This Row],[comments]]))), "Review-1", "")</f>
        <v/>
      </c>
      <c r="AD13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80" s="7">
        <f>IF(ISBLANK(patch[[#This Row],[number]]),AE1379,patch[[#This Row],[ifCommon]])</f>
        <v>0</v>
      </c>
    </row>
    <row r="1381" spans="1:31">
      <c r="A1381" s="151">
        <v>144798</v>
      </c>
      <c r="B1381" s="151"/>
      <c r="C1381" s="151"/>
      <c r="D1381" s="151"/>
      <c r="E1381" s="151"/>
      <c r="F1381" s="151"/>
      <c r="G1381" s="151"/>
      <c r="H1381" s="151"/>
      <c r="I1381" s="151"/>
      <c r="J1381" s="152">
        <v>42633.709606481483</v>
      </c>
      <c r="K1381" s="151"/>
      <c r="L1381" s="151" t="s">
        <v>59</v>
      </c>
      <c r="M1381" s="152">
        <v>42631.777800925927</v>
      </c>
      <c r="N1381" s="151" t="s">
        <v>3266</v>
      </c>
      <c r="O1381" s="151"/>
      <c r="P1381" s="151"/>
      <c r="Q1381" s="7" t="str">
        <f>IF(ISBLANK(patch[[#This Row],[OwnerEmail]]),Q1380,patch[[#This Row],[OwnerEmail]])</f>
        <v>zongx.li@intel.com</v>
      </c>
      <c r="R1381" s="7" t="str">
        <f>_xlfn.IFNA(VLOOKUP(patch[[#This Row],[tmp-owner.email]],OrgTree!$A:$K, 11, 0), "not ICG SWFW")</f>
        <v>BJ And dev</v>
      </c>
      <c r="S1381" s="7" t="str">
        <f>IF(patch[[#This Row],[reviewer]]=patch[[#This Row],[tmp-owner.email]], "author", _xlfn.IFNA(VLOOKUP(patch[[#This Row],[reviewer]],OrgTree!$A:$K, 11, 0), "not ICG SWFW"))</f>
        <v>BJ And dev</v>
      </c>
      <c r="T1381" s="7" t="str">
        <f>IF(ISBLANK(patch[[#This Row],[mergeDate]]), "", MID(YEAR(patch[[#This Row],[mergeDate]]), 3,2)&amp;"'ww"&amp;WEEKNUM(patch[[#This Row],[mergeDate]]))</f>
        <v>16'ww39</v>
      </c>
      <c r="U1381" s="7" t="str">
        <f>IF(ISBLANK(patch[[#This Row],[mergeDate]]), U1380, MID(YEAR(patch[[#This Row],[mergeDate]]), 3,2)&amp;"'m"&amp;MONTH(patch[[#This Row],[mergeDate]]))</f>
        <v>16'm9</v>
      </c>
      <c r="V1381" s="7" t="str">
        <f>IF(ISBLANK(patch[[#This Row],[project]]), "",SUM(patch[[#This Row],[BJ -1 num]:[SH -1 num]]))</f>
        <v/>
      </c>
      <c r="W1381" s="7" t="str">
        <f>IF(ISBLANK(patch[[#This Row],[project]]), "",COUNTIFS($A:$A,patch[[#This Row],[number]],$S:$S, "BJ And dev",$AC:$AC, "Review-1"))</f>
        <v/>
      </c>
      <c r="X1381" s="7" t="str">
        <f>IF(ISBLANK(patch[[#This Row],[project]]), "",COUNTIFS($A:$A,patch[[#This Row],[number]],$S:$S, "FL And dev",$AC:$AC, "Review-1"))</f>
        <v/>
      </c>
      <c r="Y1381" s="7" t="str">
        <f>IF(ISBLANK(patch[[#This Row],[project]]), "",COUNTIFS($A:$A,patch[[#This Row],[number]],$S:$S, "SH And dev",$AC:$AC, "Review-1"))</f>
        <v/>
      </c>
      <c r="Z1381" s="7" t="str">
        <f>IF(ISBLANK(patch[[#This Row],[project]]), "",COUNTIFS($A:$A,patch[[#This Row],[number]],$S:$S, "BJ And dev",$AD:$AD, "&lt;&gt;IntegratorValidationComment"))</f>
        <v/>
      </c>
      <c r="AA1381" s="7" t="str">
        <f>IF(ISBLANK(patch[[#This Row],[project]]), "",COUNTIFS($A:$A,patch[[#This Row],[number]],$S:$S, "FL And dev",$AD:$AD, "&lt;&gt;IntegratorValidationComment"))</f>
        <v/>
      </c>
      <c r="AB1381" s="7" t="str">
        <f>IF(ISBLANK(patch[[#This Row],[project]]), "",COUNTIFS($A:$A,patch[[#This Row],[number]],$S:$S, "SH And dev",$AD:$AD, "&lt;&gt;IntegratorValidationComment"))</f>
        <v/>
      </c>
      <c r="AC1381" s="7" t="str">
        <f>IF(OR(ISNUMBER(FIND("Review-1", patch[[#This Row],[comments]])), ISNUMBER(FIND("Approver-1", patch[[#This Row],[comments]]))), "Review-1", "")</f>
        <v/>
      </c>
      <c r="AD13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81" s="7">
        <f>IF(ISBLANK(patch[[#This Row],[number]]),AE1380,patch[[#This Row],[ifCommon]])</f>
        <v>0</v>
      </c>
    </row>
    <row r="1382" spans="1:31">
      <c r="A1382" s="151">
        <v>144798</v>
      </c>
      <c r="B1382" s="151"/>
      <c r="C1382" s="151"/>
      <c r="D1382" s="151"/>
      <c r="E1382" s="151"/>
      <c r="F1382" s="151"/>
      <c r="G1382" s="151"/>
      <c r="H1382" s="151"/>
      <c r="I1382" s="151"/>
      <c r="J1382" s="152">
        <v>42633.709606481483</v>
      </c>
      <c r="K1382" s="151"/>
      <c r="L1382" s="151" t="s">
        <v>59</v>
      </c>
      <c r="M1382" s="152">
        <v>42631.798530092587</v>
      </c>
      <c r="N1382" s="151" t="s">
        <v>3267</v>
      </c>
      <c r="O1382" s="151"/>
      <c r="P1382" s="151"/>
      <c r="Q1382" s="7" t="str">
        <f>IF(ISBLANK(patch[[#This Row],[OwnerEmail]]),Q1381,patch[[#This Row],[OwnerEmail]])</f>
        <v>zongx.li@intel.com</v>
      </c>
      <c r="R1382" s="7" t="str">
        <f>_xlfn.IFNA(VLOOKUP(patch[[#This Row],[tmp-owner.email]],OrgTree!$A:$K, 11, 0), "not ICG SWFW")</f>
        <v>BJ And dev</v>
      </c>
      <c r="S1382" s="7" t="str">
        <f>IF(patch[[#This Row],[reviewer]]=patch[[#This Row],[tmp-owner.email]], "author", _xlfn.IFNA(VLOOKUP(patch[[#This Row],[reviewer]],OrgTree!$A:$K, 11, 0), "not ICG SWFW"))</f>
        <v>BJ And dev</v>
      </c>
      <c r="T1382" s="7" t="str">
        <f>IF(ISBLANK(patch[[#This Row],[mergeDate]]), "", MID(YEAR(patch[[#This Row],[mergeDate]]), 3,2)&amp;"'ww"&amp;WEEKNUM(patch[[#This Row],[mergeDate]]))</f>
        <v>16'ww39</v>
      </c>
      <c r="U1382" s="7" t="str">
        <f>IF(ISBLANK(patch[[#This Row],[mergeDate]]), U1381, MID(YEAR(patch[[#This Row],[mergeDate]]), 3,2)&amp;"'m"&amp;MONTH(patch[[#This Row],[mergeDate]]))</f>
        <v>16'm9</v>
      </c>
      <c r="V1382" s="7" t="str">
        <f>IF(ISBLANK(patch[[#This Row],[project]]), "",SUM(patch[[#This Row],[BJ -1 num]:[SH -1 num]]))</f>
        <v/>
      </c>
      <c r="W1382" s="7" t="str">
        <f>IF(ISBLANK(patch[[#This Row],[project]]), "",COUNTIFS($A:$A,patch[[#This Row],[number]],$S:$S, "BJ And dev",$AC:$AC, "Review-1"))</f>
        <v/>
      </c>
      <c r="X1382" s="7" t="str">
        <f>IF(ISBLANK(patch[[#This Row],[project]]), "",COUNTIFS($A:$A,patch[[#This Row],[number]],$S:$S, "FL And dev",$AC:$AC, "Review-1"))</f>
        <v/>
      </c>
      <c r="Y1382" s="7" t="str">
        <f>IF(ISBLANK(patch[[#This Row],[project]]), "",COUNTIFS($A:$A,patch[[#This Row],[number]],$S:$S, "SH And dev",$AC:$AC, "Review-1"))</f>
        <v/>
      </c>
      <c r="Z1382" s="7" t="str">
        <f>IF(ISBLANK(patch[[#This Row],[project]]), "",COUNTIFS($A:$A,patch[[#This Row],[number]],$S:$S, "BJ And dev",$AD:$AD, "&lt;&gt;IntegratorValidationComment"))</f>
        <v/>
      </c>
      <c r="AA1382" s="7" t="str">
        <f>IF(ISBLANK(patch[[#This Row],[project]]), "",COUNTIFS($A:$A,patch[[#This Row],[number]],$S:$S, "FL And dev",$AD:$AD, "&lt;&gt;IntegratorValidationComment"))</f>
        <v/>
      </c>
      <c r="AB1382" s="7" t="str">
        <f>IF(ISBLANK(patch[[#This Row],[project]]), "",COUNTIFS($A:$A,patch[[#This Row],[number]],$S:$S, "SH And dev",$AD:$AD, "&lt;&gt;IntegratorValidationComment"))</f>
        <v/>
      </c>
      <c r="AC1382" s="7" t="str">
        <f>IF(OR(ISNUMBER(FIND("Review-1", patch[[#This Row],[comments]])), ISNUMBER(FIND("Approver-1", patch[[#This Row],[comments]]))), "Review-1", "")</f>
        <v/>
      </c>
      <c r="AD13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82" s="7">
        <f>IF(ISBLANK(patch[[#This Row],[number]]),AE1381,patch[[#This Row],[ifCommon]])</f>
        <v>0</v>
      </c>
    </row>
    <row r="1383" spans="1:31">
      <c r="A1383" s="151">
        <v>144798</v>
      </c>
      <c r="B1383" s="151"/>
      <c r="C1383" s="151"/>
      <c r="D1383" s="151"/>
      <c r="E1383" s="151"/>
      <c r="F1383" s="151"/>
      <c r="G1383" s="151"/>
      <c r="H1383" s="151"/>
      <c r="I1383" s="152"/>
      <c r="J1383" s="152">
        <v>42633.709606481483</v>
      </c>
      <c r="K1383" s="151"/>
      <c r="L1383" s="151" t="s">
        <v>115</v>
      </c>
      <c r="M1383" s="152">
        <v>42632.425173611111</v>
      </c>
      <c r="N1383" s="151" t="s">
        <v>2497</v>
      </c>
      <c r="O1383" s="151"/>
      <c r="P1383" s="151"/>
      <c r="Q1383" s="7" t="str">
        <f>IF(ISBLANK(patch[[#This Row],[OwnerEmail]]),Q1382,patch[[#This Row],[OwnerEmail]])</f>
        <v>zongx.li@intel.com</v>
      </c>
      <c r="R1383" s="7" t="str">
        <f>_xlfn.IFNA(VLOOKUP(patch[[#This Row],[tmp-owner.email]],OrgTree!$A:$K, 11, 0), "not ICG SWFW")</f>
        <v>BJ And dev</v>
      </c>
      <c r="S1383" s="7" t="str">
        <f>IF(patch[[#This Row],[reviewer]]=patch[[#This Row],[tmp-owner.email]], "author", _xlfn.IFNA(VLOOKUP(patch[[#This Row],[reviewer]],OrgTree!$A:$K, 11, 0), "not ICG SWFW"))</f>
        <v>Val</v>
      </c>
      <c r="T1383" s="7" t="str">
        <f>IF(ISBLANK(patch[[#This Row],[mergeDate]]), "", MID(YEAR(patch[[#This Row],[mergeDate]]), 3,2)&amp;"'ww"&amp;WEEKNUM(patch[[#This Row],[mergeDate]]))</f>
        <v>16'ww39</v>
      </c>
      <c r="U1383" s="7" t="str">
        <f>IF(ISBLANK(patch[[#This Row],[mergeDate]]), U1382, MID(YEAR(patch[[#This Row],[mergeDate]]), 3,2)&amp;"'m"&amp;MONTH(patch[[#This Row],[mergeDate]]))</f>
        <v>16'm9</v>
      </c>
      <c r="V1383" s="7" t="str">
        <f>IF(ISBLANK(patch[[#This Row],[project]]), "",SUM(patch[[#This Row],[BJ -1 num]:[SH -1 num]]))</f>
        <v/>
      </c>
      <c r="W1383" s="7" t="str">
        <f>IF(ISBLANK(patch[[#This Row],[project]]), "",COUNTIFS($A:$A,patch[[#This Row],[number]],$S:$S, "BJ And dev",$AC:$AC, "Review-1"))</f>
        <v/>
      </c>
      <c r="X1383" s="7" t="str">
        <f>IF(ISBLANK(patch[[#This Row],[project]]), "",COUNTIFS($A:$A,patch[[#This Row],[number]],$S:$S, "FL And dev",$AC:$AC, "Review-1"))</f>
        <v/>
      </c>
      <c r="Y1383" s="7" t="str">
        <f>IF(ISBLANK(patch[[#This Row],[project]]), "",COUNTIFS($A:$A,patch[[#This Row],[number]],$S:$S, "SH And dev",$AC:$AC, "Review-1"))</f>
        <v/>
      </c>
      <c r="Z1383" s="7" t="str">
        <f>IF(ISBLANK(patch[[#This Row],[project]]), "",COUNTIFS($A:$A,patch[[#This Row],[number]],$S:$S, "BJ And dev",$AD:$AD, "&lt;&gt;IntegratorValidationComment"))</f>
        <v/>
      </c>
      <c r="AA1383" s="7" t="str">
        <f>IF(ISBLANK(patch[[#This Row],[project]]), "",COUNTIFS($A:$A,patch[[#This Row],[number]],$S:$S, "FL And dev",$AD:$AD, "&lt;&gt;IntegratorValidationComment"))</f>
        <v/>
      </c>
      <c r="AB1383" s="7" t="str">
        <f>IF(ISBLANK(patch[[#This Row],[project]]), "",COUNTIFS($A:$A,patch[[#This Row],[number]],$S:$S, "SH And dev",$AD:$AD, "&lt;&gt;IntegratorValidationComment"))</f>
        <v/>
      </c>
      <c r="AC1383" s="7" t="str">
        <f>IF(OR(ISNUMBER(FIND("Review-1", patch[[#This Row],[comments]])), ISNUMBER(FIND("Approver-1", patch[[#This Row],[comments]]))), "Review-1", "")</f>
        <v/>
      </c>
      <c r="AD13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383" s="7">
        <f>IF(ISBLANK(patch[[#This Row],[number]]),AE1382,patch[[#This Row],[ifCommon]])</f>
        <v>0</v>
      </c>
    </row>
    <row r="1384" spans="1:31">
      <c r="A1384" s="151">
        <v>144573</v>
      </c>
      <c r="B1384" s="151" t="s">
        <v>2490</v>
      </c>
      <c r="C1384" s="151" t="s">
        <v>2491</v>
      </c>
      <c r="D1384" s="151" t="s">
        <v>3069</v>
      </c>
      <c r="E1384" s="151" t="s">
        <v>32</v>
      </c>
      <c r="F1384" s="151" t="s">
        <v>23</v>
      </c>
      <c r="G1384" s="151" t="s">
        <v>3070</v>
      </c>
      <c r="H1384" s="151" t="s">
        <v>3071</v>
      </c>
      <c r="I1384" s="152">
        <v>42625.516562500001</v>
      </c>
      <c r="J1384" s="152">
        <v>42633.709490740737</v>
      </c>
      <c r="K1384" s="151" t="s">
        <v>2445</v>
      </c>
      <c r="L1384" s="151" t="s">
        <v>32</v>
      </c>
      <c r="M1384" s="152">
        <v>42625.516562500001</v>
      </c>
      <c r="N1384" s="151" t="s">
        <v>25</v>
      </c>
      <c r="O1384" s="151"/>
      <c r="P1384" s="151" t="s">
        <v>3268</v>
      </c>
      <c r="Q1384" s="7" t="str">
        <f>IF(ISBLANK(patch[[#This Row],[OwnerEmail]]),Q1383,patch[[#This Row],[OwnerEmail]])</f>
        <v>gang.a.hu@intel.com</v>
      </c>
      <c r="R1384" s="7" t="str">
        <f>_xlfn.IFNA(VLOOKUP(patch[[#This Row],[tmp-owner.email]],OrgTree!$A:$K, 11, 0), "not ICG SWFW")</f>
        <v>BJ And dev</v>
      </c>
      <c r="S1384" s="7" t="str">
        <f>IF(patch[[#This Row],[reviewer]]=patch[[#This Row],[tmp-owner.email]], "author", _xlfn.IFNA(VLOOKUP(patch[[#This Row],[reviewer]],OrgTree!$A:$K, 11, 0), "not ICG SWFW"))</f>
        <v>author</v>
      </c>
      <c r="T1384" s="7" t="str">
        <f>IF(ISBLANK(patch[[#This Row],[mergeDate]]), "", MID(YEAR(patch[[#This Row],[mergeDate]]), 3,2)&amp;"'ww"&amp;WEEKNUM(patch[[#This Row],[mergeDate]]))</f>
        <v>16'ww39</v>
      </c>
      <c r="U1384" s="7" t="str">
        <f>IF(ISBLANK(patch[[#This Row],[mergeDate]]), U1383, MID(YEAR(patch[[#This Row],[mergeDate]]), 3,2)&amp;"'m"&amp;MONTH(patch[[#This Row],[mergeDate]]))</f>
        <v>16'm9</v>
      </c>
      <c r="V1384" s="7">
        <f>IF(ISBLANK(patch[[#This Row],[project]]), "",SUM(patch[[#This Row],[BJ -1 num]:[SH -1 num]]))</f>
        <v>0</v>
      </c>
      <c r="W1384" s="7">
        <f>IF(ISBLANK(patch[[#This Row],[project]]), "",COUNTIFS($A:$A,patch[[#This Row],[number]],$S:$S, "BJ And dev",$AC:$AC, "Review-1"))</f>
        <v>0</v>
      </c>
      <c r="X1384" s="7">
        <f>IF(ISBLANK(patch[[#This Row],[project]]), "",COUNTIFS($A:$A,patch[[#This Row],[number]],$S:$S, "FL And dev",$AC:$AC, "Review-1"))</f>
        <v>0</v>
      </c>
      <c r="Y1384" s="7">
        <f>IF(ISBLANK(patch[[#This Row],[project]]), "",COUNTIFS($A:$A,patch[[#This Row],[number]],$S:$S, "SH And dev",$AC:$AC, "Review-1"))</f>
        <v>0</v>
      </c>
      <c r="Z1384" s="7">
        <f>IF(ISBLANK(patch[[#This Row],[project]]), "",COUNTIFS($A:$A,patch[[#This Row],[number]],$S:$S, "BJ And dev",$AD:$AD, "&lt;&gt;IntegratorValidationComment"))</f>
        <v>12</v>
      </c>
      <c r="AA1384" s="7">
        <f>IF(ISBLANK(patch[[#This Row],[project]]), "",COUNTIFS($A:$A,patch[[#This Row],[number]],$S:$S, "FL And dev",$AD:$AD, "&lt;&gt;IntegratorValidationComment"))</f>
        <v>0</v>
      </c>
      <c r="AB1384" s="7">
        <f>IF(ISBLANK(patch[[#This Row],[project]]), "",COUNTIFS($A:$A,patch[[#This Row],[number]],$S:$S, "SH And dev",$AD:$AD, "&lt;&gt;IntegratorValidationComment"))</f>
        <v>0</v>
      </c>
      <c r="AC1384" s="7" t="str">
        <f>IF(OR(ISNUMBER(FIND("Review-1", patch[[#This Row],[comments]])), ISNUMBER(FIND("Approver-1", patch[[#This Row],[comments]]))), "Review-1", "")</f>
        <v/>
      </c>
      <c r="AD13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84" s="7" t="str">
        <f>IF(ISBLANK(patch[[#This Row],[number]]),AE1383,patch[[#This Row],[ifCommon]])</f>
        <v>not AndrHAL</v>
      </c>
    </row>
    <row r="1385" spans="1:31">
      <c r="A1385" s="151">
        <v>144573</v>
      </c>
      <c r="B1385" s="151"/>
      <c r="C1385" s="151"/>
      <c r="D1385" s="151"/>
      <c r="E1385" s="151"/>
      <c r="F1385" s="151"/>
      <c r="G1385" s="151"/>
      <c r="H1385" s="151"/>
      <c r="I1385" s="151"/>
      <c r="J1385" s="152">
        <v>42633.709490740737</v>
      </c>
      <c r="K1385" s="151"/>
      <c r="L1385" s="151" t="s">
        <v>32</v>
      </c>
      <c r="M1385" s="152">
        <v>42625.516562500001</v>
      </c>
      <c r="N1385" s="151" t="s">
        <v>2428</v>
      </c>
      <c r="O1385" s="151"/>
      <c r="P1385" s="151"/>
      <c r="Q1385" s="7" t="str">
        <f>IF(ISBLANK(patch[[#This Row],[OwnerEmail]]),Q1384,patch[[#This Row],[OwnerEmail]])</f>
        <v>gang.a.hu@intel.com</v>
      </c>
      <c r="R1385" s="7" t="str">
        <f>_xlfn.IFNA(VLOOKUP(patch[[#This Row],[tmp-owner.email]],OrgTree!$A:$K, 11, 0), "not ICG SWFW")</f>
        <v>BJ And dev</v>
      </c>
      <c r="S1385" s="7" t="str">
        <f>IF(patch[[#This Row],[reviewer]]=patch[[#This Row],[tmp-owner.email]], "author", _xlfn.IFNA(VLOOKUP(patch[[#This Row],[reviewer]],OrgTree!$A:$K, 11, 0), "not ICG SWFW"))</f>
        <v>author</v>
      </c>
      <c r="T1385" s="7" t="str">
        <f>IF(ISBLANK(patch[[#This Row],[mergeDate]]), "", MID(YEAR(patch[[#This Row],[mergeDate]]), 3,2)&amp;"'ww"&amp;WEEKNUM(patch[[#This Row],[mergeDate]]))</f>
        <v>16'ww39</v>
      </c>
      <c r="U1385" s="7" t="str">
        <f>IF(ISBLANK(patch[[#This Row],[mergeDate]]), U1384, MID(YEAR(patch[[#This Row],[mergeDate]]), 3,2)&amp;"'m"&amp;MONTH(patch[[#This Row],[mergeDate]]))</f>
        <v>16'm9</v>
      </c>
      <c r="V1385" s="7" t="str">
        <f>IF(ISBLANK(patch[[#This Row],[project]]), "",SUM(patch[[#This Row],[BJ -1 num]:[SH -1 num]]))</f>
        <v/>
      </c>
      <c r="W1385" s="7" t="str">
        <f>IF(ISBLANK(patch[[#This Row],[project]]), "",COUNTIFS($A:$A,patch[[#This Row],[number]],$S:$S, "BJ And dev",$AC:$AC, "Review-1"))</f>
        <v/>
      </c>
      <c r="X1385" s="7" t="str">
        <f>IF(ISBLANK(patch[[#This Row],[project]]), "",COUNTIFS($A:$A,patch[[#This Row],[number]],$S:$S, "FL And dev",$AC:$AC, "Review-1"))</f>
        <v/>
      </c>
      <c r="Y1385" s="7" t="str">
        <f>IF(ISBLANK(patch[[#This Row],[project]]), "",COUNTIFS($A:$A,patch[[#This Row],[number]],$S:$S, "SH And dev",$AC:$AC, "Review-1"))</f>
        <v/>
      </c>
      <c r="Z1385" s="7" t="str">
        <f>IF(ISBLANK(patch[[#This Row],[project]]), "",COUNTIFS($A:$A,patch[[#This Row],[number]],$S:$S, "BJ And dev",$AD:$AD, "&lt;&gt;IntegratorValidationComment"))</f>
        <v/>
      </c>
      <c r="AA1385" s="7" t="str">
        <f>IF(ISBLANK(patch[[#This Row],[project]]), "",COUNTIFS($A:$A,patch[[#This Row],[number]],$S:$S, "FL And dev",$AD:$AD, "&lt;&gt;IntegratorValidationComment"))</f>
        <v/>
      </c>
      <c r="AB1385" s="7" t="str">
        <f>IF(ISBLANK(patch[[#This Row],[project]]), "",COUNTIFS($A:$A,patch[[#This Row],[number]],$S:$S, "SH And dev",$AD:$AD, "&lt;&gt;IntegratorValidationComment"))</f>
        <v/>
      </c>
      <c r="AC1385" s="7" t="str">
        <f>IF(OR(ISNUMBER(FIND("Review-1", patch[[#This Row],[comments]])), ISNUMBER(FIND("Approver-1", patch[[#This Row],[comments]]))), "Review-1", "")</f>
        <v/>
      </c>
      <c r="AD13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85" s="7">
        <f>IF(ISBLANK(patch[[#This Row],[number]]),AE1384,patch[[#This Row],[ifCommon]])</f>
        <v>0</v>
      </c>
    </row>
    <row r="1386" spans="1:31">
      <c r="A1386" s="151">
        <v>144573</v>
      </c>
      <c r="B1386" s="151"/>
      <c r="C1386" s="151"/>
      <c r="D1386" s="151"/>
      <c r="E1386" s="151"/>
      <c r="F1386" s="151"/>
      <c r="G1386" s="151"/>
      <c r="H1386" s="151"/>
      <c r="I1386" s="151"/>
      <c r="J1386" s="152">
        <v>42633.709490740737</v>
      </c>
      <c r="K1386" s="151"/>
      <c r="L1386" s="151" t="s">
        <v>32</v>
      </c>
      <c r="M1386" s="152">
        <v>42625.51803240741</v>
      </c>
      <c r="N1386" s="151" t="s">
        <v>40</v>
      </c>
      <c r="O1386" s="151"/>
      <c r="P1386" s="151"/>
      <c r="Q1386" s="7" t="str">
        <f>IF(ISBLANK(patch[[#This Row],[OwnerEmail]]),Q1385,patch[[#This Row],[OwnerEmail]])</f>
        <v>gang.a.hu@intel.com</v>
      </c>
      <c r="R1386" s="7" t="str">
        <f>_xlfn.IFNA(VLOOKUP(patch[[#This Row],[tmp-owner.email]],OrgTree!$A:$K, 11, 0), "not ICG SWFW")</f>
        <v>BJ And dev</v>
      </c>
      <c r="S1386" s="7" t="str">
        <f>IF(patch[[#This Row],[reviewer]]=patch[[#This Row],[tmp-owner.email]], "author", _xlfn.IFNA(VLOOKUP(patch[[#This Row],[reviewer]],OrgTree!$A:$K, 11, 0), "not ICG SWFW"))</f>
        <v>author</v>
      </c>
      <c r="T1386" s="7" t="str">
        <f>IF(ISBLANK(patch[[#This Row],[mergeDate]]), "", MID(YEAR(patch[[#This Row],[mergeDate]]), 3,2)&amp;"'ww"&amp;WEEKNUM(patch[[#This Row],[mergeDate]]))</f>
        <v>16'ww39</v>
      </c>
      <c r="U1386" s="7" t="str">
        <f>IF(ISBLANK(patch[[#This Row],[mergeDate]]), U1385, MID(YEAR(patch[[#This Row],[mergeDate]]), 3,2)&amp;"'m"&amp;MONTH(patch[[#This Row],[mergeDate]]))</f>
        <v>16'm9</v>
      </c>
      <c r="V1386" s="7" t="str">
        <f>IF(ISBLANK(patch[[#This Row],[project]]), "",SUM(patch[[#This Row],[BJ -1 num]:[SH -1 num]]))</f>
        <v/>
      </c>
      <c r="W1386" s="7" t="str">
        <f>IF(ISBLANK(patch[[#This Row],[project]]), "",COUNTIFS($A:$A,patch[[#This Row],[number]],$S:$S, "BJ And dev",$AC:$AC, "Review-1"))</f>
        <v/>
      </c>
      <c r="X1386" s="7" t="str">
        <f>IF(ISBLANK(patch[[#This Row],[project]]), "",COUNTIFS($A:$A,patch[[#This Row],[number]],$S:$S, "FL And dev",$AC:$AC, "Review-1"))</f>
        <v/>
      </c>
      <c r="Y1386" s="7" t="str">
        <f>IF(ISBLANK(patch[[#This Row],[project]]), "",COUNTIFS($A:$A,patch[[#This Row],[number]],$S:$S, "SH And dev",$AC:$AC, "Review-1"))</f>
        <v/>
      </c>
      <c r="Z1386" s="7" t="str">
        <f>IF(ISBLANK(patch[[#This Row],[project]]), "",COUNTIFS($A:$A,patch[[#This Row],[number]],$S:$S, "BJ And dev",$AD:$AD, "&lt;&gt;IntegratorValidationComment"))</f>
        <v/>
      </c>
      <c r="AA1386" s="7" t="str">
        <f>IF(ISBLANK(patch[[#This Row],[project]]), "",COUNTIFS($A:$A,patch[[#This Row],[number]],$S:$S, "FL And dev",$AD:$AD, "&lt;&gt;IntegratorValidationComment"))</f>
        <v/>
      </c>
      <c r="AB1386" s="7" t="str">
        <f>IF(ISBLANK(patch[[#This Row],[project]]), "",COUNTIFS($A:$A,patch[[#This Row],[number]],$S:$S, "SH And dev",$AD:$AD, "&lt;&gt;IntegratorValidationComment"))</f>
        <v/>
      </c>
      <c r="AC1386" s="7" t="str">
        <f>IF(OR(ISNUMBER(FIND("Review-1", patch[[#This Row],[comments]])), ISNUMBER(FIND("Approver-1", patch[[#This Row],[comments]]))), "Review-1", "")</f>
        <v/>
      </c>
      <c r="AD13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86" s="7">
        <f>IF(ISBLANK(patch[[#This Row],[number]]),AE1385,patch[[#This Row],[ifCommon]])</f>
        <v>0</v>
      </c>
    </row>
    <row r="1387" spans="1:31">
      <c r="A1387" s="151">
        <v>144573</v>
      </c>
      <c r="B1387" s="151"/>
      <c r="C1387" s="151"/>
      <c r="D1387" s="151"/>
      <c r="E1387" s="151"/>
      <c r="F1387" s="151"/>
      <c r="G1387" s="151"/>
      <c r="H1387" s="151"/>
      <c r="I1387" s="151"/>
      <c r="J1387" s="152">
        <v>42633.709490740737</v>
      </c>
      <c r="K1387" s="151"/>
      <c r="L1387" s="151" t="s">
        <v>59</v>
      </c>
      <c r="M1387" s="152">
        <v>42625.522557870368</v>
      </c>
      <c r="N1387" s="151" t="s">
        <v>3269</v>
      </c>
      <c r="O1387" s="151"/>
      <c r="P1387" s="151"/>
      <c r="Q1387" s="7" t="str">
        <f>IF(ISBLANK(patch[[#This Row],[OwnerEmail]]),Q1386,patch[[#This Row],[OwnerEmail]])</f>
        <v>gang.a.hu@intel.com</v>
      </c>
      <c r="R1387" s="7" t="str">
        <f>_xlfn.IFNA(VLOOKUP(patch[[#This Row],[tmp-owner.email]],OrgTree!$A:$K, 11, 0), "not ICG SWFW")</f>
        <v>BJ And dev</v>
      </c>
      <c r="S1387" s="7" t="str">
        <f>IF(patch[[#This Row],[reviewer]]=patch[[#This Row],[tmp-owner.email]], "author", _xlfn.IFNA(VLOOKUP(patch[[#This Row],[reviewer]],OrgTree!$A:$K, 11, 0), "not ICG SWFW"))</f>
        <v>BJ And dev</v>
      </c>
      <c r="T1387" s="7" t="str">
        <f>IF(ISBLANK(patch[[#This Row],[mergeDate]]), "", MID(YEAR(patch[[#This Row],[mergeDate]]), 3,2)&amp;"'ww"&amp;WEEKNUM(patch[[#This Row],[mergeDate]]))</f>
        <v>16'ww39</v>
      </c>
      <c r="U1387" s="7" t="str">
        <f>IF(ISBLANK(patch[[#This Row],[mergeDate]]), U1386, MID(YEAR(patch[[#This Row],[mergeDate]]), 3,2)&amp;"'m"&amp;MONTH(patch[[#This Row],[mergeDate]]))</f>
        <v>16'm9</v>
      </c>
      <c r="V1387" s="7" t="str">
        <f>IF(ISBLANK(patch[[#This Row],[project]]), "",SUM(patch[[#This Row],[BJ -1 num]:[SH -1 num]]))</f>
        <v/>
      </c>
      <c r="W1387" s="7" t="str">
        <f>IF(ISBLANK(patch[[#This Row],[project]]), "",COUNTIFS($A:$A,patch[[#This Row],[number]],$S:$S, "BJ And dev",$AC:$AC, "Review-1"))</f>
        <v/>
      </c>
      <c r="X1387" s="7" t="str">
        <f>IF(ISBLANK(patch[[#This Row],[project]]), "",COUNTIFS($A:$A,patch[[#This Row],[number]],$S:$S, "FL And dev",$AC:$AC, "Review-1"))</f>
        <v/>
      </c>
      <c r="Y1387" s="7" t="str">
        <f>IF(ISBLANK(patch[[#This Row],[project]]), "",COUNTIFS($A:$A,patch[[#This Row],[number]],$S:$S, "SH And dev",$AC:$AC, "Review-1"))</f>
        <v/>
      </c>
      <c r="Z1387" s="7" t="str">
        <f>IF(ISBLANK(patch[[#This Row],[project]]), "",COUNTIFS($A:$A,patch[[#This Row],[number]],$S:$S, "BJ And dev",$AD:$AD, "&lt;&gt;IntegratorValidationComment"))</f>
        <v/>
      </c>
      <c r="AA1387" s="7" t="str">
        <f>IF(ISBLANK(patch[[#This Row],[project]]), "",COUNTIFS($A:$A,patch[[#This Row],[number]],$S:$S, "FL And dev",$AD:$AD, "&lt;&gt;IntegratorValidationComment"))</f>
        <v/>
      </c>
      <c r="AB1387" s="7" t="str">
        <f>IF(ISBLANK(patch[[#This Row],[project]]), "",COUNTIFS($A:$A,patch[[#This Row],[number]],$S:$S, "SH And dev",$AD:$AD, "&lt;&gt;IntegratorValidationComment"))</f>
        <v/>
      </c>
      <c r="AC1387" s="7" t="str">
        <f>IF(OR(ISNUMBER(FIND("Review-1", patch[[#This Row],[comments]])), ISNUMBER(FIND("Approver-1", patch[[#This Row],[comments]]))), "Review-1", "")</f>
        <v/>
      </c>
      <c r="AD13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87" s="7">
        <f>IF(ISBLANK(patch[[#This Row],[number]]),AE1386,patch[[#This Row],[ifCommon]])</f>
        <v>0</v>
      </c>
    </row>
    <row r="1388" spans="1:31">
      <c r="A1388" s="151">
        <v>144573</v>
      </c>
      <c r="B1388" s="151"/>
      <c r="C1388" s="151"/>
      <c r="D1388" s="151"/>
      <c r="E1388" s="151"/>
      <c r="F1388" s="151"/>
      <c r="G1388" s="151"/>
      <c r="H1388" s="151"/>
      <c r="I1388" s="151"/>
      <c r="J1388" s="152">
        <v>42633.709490740737</v>
      </c>
      <c r="K1388" s="151"/>
      <c r="L1388" s="151" t="s">
        <v>59</v>
      </c>
      <c r="M1388" s="152">
        <v>42625.52553240741</v>
      </c>
      <c r="N1388" s="151" t="s">
        <v>3270</v>
      </c>
      <c r="O1388" s="151"/>
      <c r="P1388" s="151"/>
      <c r="Q1388" s="7" t="str">
        <f>IF(ISBLANK(patch[[#This Row],[OwnerEmail]]),Q1387,patch[[#This Row],[OwnerEmail]])</f>
        <v>gang.a.hu@intel.com</v>
      </c>
      <c r="R1388" s="7" t="str">
        <f>_xlfn.IFNA(VLOOKUP(patch[[#This Row],[tmp-owner.email]],OrgTree!$A:$K, 11, 0), "not ICG SWFW")</f>
        <v>BJ And dev</v>
      </c>
      <c r="S1388" s="7" t="str">
        <f>IF(patch[[#This Row],[reviewer]]=patch[[#This Row],[tmp-owner.email]], "author", _xlfn.IFNA(VLOOKUP(patch[[#This Row],[reviewer]],OrgTree!$A:$K, 11, 0), "not ICG SWFW"))</f>
        <v>BJ And dev</v>
      </c>
      <c r="T1388" s="7" t="str">
        <f>IF(ISBLANK(patch[[#This Row],[mergeDate]]), "", MID(YEAR(patch[[#This Row],[mergeDate]]), 3,2)&amp;"'ww"&amp;WEEKNUM(patch[[#This Row],[mergeDate]]))</f>
        <v>16'ww39</v>
      </c>
      <c r="U1388" s="7" t="str">
        <f>IF(ISBLANK(patch[[#This Row],[mergeDate]]), U1387, MID(YEAR(patch[[#This Row],[mergeDate]]), 3,2)&amp;"'m"&amp;MONTH(patch[[#This Row],[mergeDate]]))</f>
        <v>16'm9</v>
      </c>
      <c r="V1388" s="7" t="str">
        <f>IF(ISBLANK(patch[[#This Row],[project]]), "",SUM(patch[[#This Row],[BJ -1 num]:[SH -1 num]]))</f>
        <v/>
      </c>
      <c r="W1388" s="7" t="str">
        <f>IF(ISBLANK(patch[[#This Row],[project]]), "",COUNTIFS($A:$A,patch[[#This Row],[number]],$S:$S, "BJ And dev",$AC:$AC, "Review-1"))</f>
        <v/>
      </c>
      <c r="X1388" s="7" t="str">
        <f>IF(ISBLANK(patch[[#This Row],[project]]), "",COUNTIFS($A:$A,patch[[#This Row],[number]],$S:$S, "FL And dev",$AC:$AC, "Review-1"))</f>
        <v/>
      </c>
      <c r="Y1388" s="7" t="str">
        <f>IF(ISBLANK(patch[[#This Row],[project]]), "",COUNTIFS($A:$A,patch[[#This Row],[number]],$S:$S, "SH And dev",$AC:$AC, "Review-1"))</f>
        <v/>
      </c>
      <c r="Z1388" s="7" t="str">
        <f>IF(ISBLANK(patch[[#This Row],[project]]), "",COUNTIFS($A:$A,patch[[#This Row],[number]],$S:$S, "BJ And dev",$AD:$AD, "&lt;&gt;IntegratorValidationComment"))</f>
        <v/>
      </c>
      <c r="AA1388" s="7" t="str">
        <f>IF(ISBLANK(patch[[#This Row],[project]]), "",COUNTIFS($A:$A,patch[[#This Row],[number]],$S:$S, "FL And dev",$AD:$AD, "&lt;&gt;IntegratorValidationComment"))</f>
        <v/>
      </c>
      <c r="AB1388" s="7" t="str">
        <f>IF(ISBLANK(patch[[#This Row],[project]]), "",COUNTIFS($A:$A,patch[[#This Row],[number]],$S:$S, "SH And dev",$AD:$AD, "&lt;&gt;IntegratorValidationComment"))</f>
        <v/>
      </c>
      <c r="AC1388" s="7" t="str">
        <f>IF(OR(ISNUMBER(FIND("Review-1", patch[[#This Row],[comments]])), ISNUMBER(FIND("Approver-1", patch[[#This Row],[comments]]))), "Review-1", "")</f>
        <v/>
      </c>
      <c r="AD13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88" s="7">
        <f>IF(ISBLANK(patch[[#This Row],[number]]),AE1387,patch[[#This Row],[ifCommon]])</f>
        <v>0</v>
      </c>
    </row>
    <row r="1389" spans="1:31">
      <c r="A1389" s="151">
        <v>144573</v>
      </c>
      <c r="B1389" s="151"/>
      <c r="C1389" s="151"/>
      <c r="D1389" s="151"/>
      <c r="E1389" s="151"/>
      <c r="F1389" s="151"/>
      <c r="G1389" s="151"/>
      <c r="H1389" s="151"/>
      <c r="I1389" s="151"/>
      <c r="J1389" s="152">
        <v>42633.709490740737</v>
      </c>
      <c r="K1389" s="151"/>
      <c r="L1389" s="151" t="s">
        <v>24</v>
      </c>
      <c r="M1389" s="152">
        <v>42625.598645833343</v>
      </c>
      <c r="N1389" s="151" t="s">
        <v>2448</v>
      </c>
      <c r="O1389" s="151" t="s">
        <v>3271</v>
      </c>
      <c r="P1389" s="151"/>
      <c r="Q1389" s="7" t="str">
        <f>IF(ISBLANK(patch[[#This Row],[OwnerEmail]]),Q1388,patch[[#This Row],[OwnerEmail]])</f>
        <v>gang.a.hu@intel.com</v>
      </c>
      <c r="R1389" s="7" t="str">
        <f>_xlfn.IFNA(VLOOKUP(patch[[#This Row],[tmp-owner.email]],OrgTree!$A:$K, 11, 0), "not ICG SWFW")</f>
        <v>BJ And dev</v>
      </c>
      <c r="S1389" s="7" t="str">
        <f>IF(patch[[#This Row],[reviewer]]=patch[[#This Row],[tmp-owner.email]], "author", _xlfn.IFNA(VLOOKUP(patch[[#This Row],[reviewer]],OrgTree!$A:$K, 11, 0), "not ICG SWFW"))</f>
        <v>BJ And dev</v>
      </c>
      <c r="T1389" s="7" t="str">
        <f>IF(ISBLANK(patch[[#This Row],[mergeDate]]), "", MID(YEAR(patch[[#This Row],[mergeDate]]), 3,2)&amp;"'ww"&amp;WEEKNUM(patch[[#This Row],[mergeDate]]))</f>
        <v>16'ww39</v>
      </c>
      <c r="U1389" s="7" t="str">
        <f>IF(ISBLANK(patch[[#This Row],[mergeDate]]), U1388, MID(YEAR(patch[[#This Row],[mergeDate]]), 3,2)&amp;"'m"&amp;MONTH(patch[[#This Row],[mergeDate]]))</f>
        <v>16'm9</v>
      </c>
      <c r="V1389" s="7" t="str">
        <f>IF(ISBLANK(patch[[#This Row],[project]]), "",SUM(patch[[#This Row],[BJ -1 num]:[SH -1 num]]))</f>
        <v/>
      </c>
      <c r="W1389" s="7" t="str">
        <f>IF(ISBLANK(patch[[#This Row],[project]]), "",COUNTIFS($A:$A,patch[[#This Row],[number]],$S:$S, "BJ And dev",$AC:$AC, "Review-1"))</f>
        <v/>
      </c>
      <c r="X1389" s="7" t="str">
        <f>IF(ISBLANK(patch[[#This Row],[project]]), "",COUNTIFS($A:$A,patch[[#This Row],[number]],$S:$S, "FL And dev",$AC:$AC, "Review-1"))</f>
        <v/>
      </c>
      <c r="Y1389" s="7" t="str">
        <f>IF(ISBLANK(patch[[#This Row],[project]]), "",COUNTIFS($A:$A,patch[[#This Row],[number]],$S:$S, "SH And dev",$AC:$AC, "Review-1"))</f>
        <v/>
      </c>
      <c r="Z1389" s="7" t="str">
        <f>IF(ISBLANK(patch[[#This Row],[project]]), "",COUNTIFS($A:$A,patch[[#This Row],[number]],$S:$S, "BJ And dev",$AD:$AD, "&lt;&gt;IntegratorValidationComment"))</f>
        <v/>
      </c>
      <c r="AA1389" s="7" t="str">
        <f>IF(ISBLANK(patch[[#This Row],[project]]), "",COUNTIFS($A:$A,patch[[#This Row],[number]],$S:$S, "FL And dev",$AD:$AD, "&lt;&gt;IntegratorValidationComment"))</f>
        <v/>
      </c>
      <c r="AB1389" s="7" t="str">
        <f>IF(ISBLANK(patch[[#This Row],[project]]), "",COUNTIFS($A:$A,patch[[#This Row],[number]],$S:$S, "SH And dev",$AD:$AD, "&lt;&gt;IntegratorValidationComment"))</f>
        <v/>
      </c>
      <c r="AC1389" s="7" t="str">
        <f>IF(OR(ISNUMBER(FIND("Review-1", patch[[#This Row],[comments]])), ISNUMBER(FIND("Approver-1", patch[[#This Row],[comments]]))), "Review-1", "")</f>
        <v/>
      </c>
      <c r="AD13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89" s="7">
        <f>IF(ISBLANK(patch[[#This Row],[number]]),AE1388,patch[[#This Row],[ifCommon]])</f>
        <v>0</v>
      </c>
    </row>
    <row r="1390" spans="1:31">
      <c r="A1390" s="151">
        <v>144573</v>
      </c>
      <c r="B1390" s="151"/>
      <c r="C1390" s="151"/>
      <c r="D1390" s="151"/>
      <c r="E1390" s="151"/>
      <c r="F1390" s="151"/>
      <c r="G1390" s="151"/>
      <c r="H1390" s="151"/>
      <c r="I1390" s="151"/>
      <c r="J1390" s="152">
        <v>42633.709490740737</v>
      </c>
      <c r="K1390" s="151"/>
      <c r="L1390" s="151" t="s">
        <v>32</v>
      </c>
      <c r="M1390" s="152">
        <v>42625.615046296298</v>
      </c>
      <c r="N1390" s="151" t="s">
        <v>2448</v>
      </c>
      <c r="O1390" s="151" t="s">
        <v>3272</v>
      </c>
      <c r="P1390" s="151"/>
      <c r="Q1390" s="7" t="str">
        <f>IF(ISBLANK(patch[[#This Row],[OwnerEmail]]),Q1389,patch[[#This Row],[OwnerEmail]])</f>
        <v>gang.a.hu@intel.com</v>
      </c>
      <c r="R1390" s="7" t="str">
        <f>_xlfn.IFNA(VLOOKUP(patch[[#This Row],[tmp-owner.email]],OrgTree!$A:$K, 11, 0), "not ICG SWFW")</f>
        <v>BJ And dev</v>
      </c>
      <c r="S1390" s="7" t="str">
        <f>IF(patch[[#This Row],[reviewer]]=patch[[#This Row],[tmp-owner.email]], "author", _xlfn.IFNA(VLOOKUP(patch[[#This Row],[reviewer]],OrgTree!$A:$K, 11, 0), "not ICG SWFW"))</f>
        <v>author</v>
      </c>
      <c r="T1390" s="7" t="str">
        <f>IF(ISBLANK(patch[[#This Row],[mergeDate]]), "", MID(YEAR(patch[[#This Row],[mergeDate]]), 3,2)&amp;"'ww"&amp;WEEKNUM(patch[[#This Row],[mergeDate]]))</f>
        <v>16'ww39</v>
      </c>
      <c r="U1390" s="7" t="str">
        <f>IF(ISBLANK(patch[[#This Row],[mergeDate]]), U1389, MID(YEAR(patch[[#This Row],[mergeDate]]), 3,2)&amp;"'m"&amp;MONTH(patch[[#This Row],[mergeDate]]))</f>
        <v>16'm9</v>
      </c>
      <c r="V1390" s="7" t="str">
        <f>IF(ISBLANK(patch[[#This Row],[project]]), "",SUM(patch[[#This Row],[BJ -1 num]:[SH -1 num]]))</f>
        <v/>
      </c>
      <c r="W1390" s="7" t="str">
        <f>IF(ISBLANK(patch[[#This Row],[project]]), "",COUNTIFS($A:$A,patch[[#This Row],[number]],$S:$S, "BJ And dev",$AC:$AC, "Review-1"))</f>
        <v/>
      </c>
      <c r="X1390" s="7" t="str">
        <f>IF(ISBLANK(patch[[#This Row],[project]]), "",COUNTIFS($A:$A,patch[[#This Row],[number]],$S:$S, "FL And dev",$AC:$AC, "Review-1"))</f>
        <v/>
      </c>
      <c r="Y1390" s="7" t="str">
        <f>IF(ISBLANK(patch[[#This Row],[project]]), "",COUNTIFS($A:$A,patch[[#This Row],[number]],$S:$S, "SH And dev",$AC:$AC, "Review-1"))</f>
        <v/>
      </c>
      <c r="Z1390" s="7" t="str">
        <f>IF(ISBLANK(patch[[#This Row],[project]]), "",COUNTIFS($A:$A,patch[[#This Row],[number]],$S:$S, "BJ And dev",$AD:$AD, "&lt;&gt;IntegratorValidationComment"))</f>
        <v/>
      </c>
      <c r="AA1390" s="7" t="str">
        <f>IF(ISBLANK(patch[[#This Row],[project]]), "",COUNTIFS($A:$A,patch[[#This Row],[number]],$S:$S, "FL And dev",$AD:$AD, "&lt;&gt;IntegratorValidationComment"))</f>
        <v/>
      </c>
      <c r="AB1390" s="7" t="str">
        <f>IF(ISBLANK(patch[[#This Row],[project]]), "",COUNTIFS($A:$A,patch[[#This Row],[number]],$S:$S, "SH And dev",$AD:$AD, "&lt;&gt;IntegratorValidationComment"))</f>
        <v/>
      </c>
      <c r="AC1390" s="7" t="str">
        <f>IF(OR(ISNUMBER(FIND("Review-1", patch[[#This Row],[comments]])), ISNUMBER(FIND("Approver-1", patch[[#This Row],[comments]]))), "Review-1", "")</f>
        <v/>
      </c>
      <c r="AD13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90" s="7">
        <f>IF(ISBLANK(patch[[#This Row],[number]]),AE1389,patch[[#This Row],[ifCommon]])</f>
        <v>0</v>
      </c>
    </row>
    <row r="1391" spans="1:31">
      <c r="A1391" s="151">
        <v>144573</v>
      </c>
      <c r="B1391" s="151"/>
      <c r="C1391" s="151"/>
      <c r="D1391" s="151"/>
      <c r="E1391" s="151"/>
      <c r="F1391" s="151"/>
      <c r="G1391" s="151"/>
      <c r="H1391" s="151"/>
      <c r="I1391" s="151"/>
      <c r="J1391" s="152">
        <v>42633.709490740737</v>
      </c>
      <c r="K1391" s="151"/>
      <c r="L1391" s="151" t="s">
        <v>32</v>
      </c>
      <c r="M1391" s="152">
        <v>42625.617372685178</v>
      </c>
      <c r="N1391" s="151" t="s">
        <v>2456</v>
      </c>
      <c r="O1391" s="151"/>
      <c r="P1391" s="151"/>
      <c r="Q1391" s="7" t="str">
        <f>IF(ISBLANK(patch[[#This Row],[OwnerEmail]]),Q1390,patch[[#This Row],[OwnerEmail]])</f>
        <v>gang.a.hu@intel.com</v>
      </c>
      <c r="R1391" s="7" t="str">
        <f>_xlfn.IFNA(VLOOKUP(patch[[#This Row],[tmp-owner.email]],OrgTree!$A:$K, 11, 0), "not ICG SWFW")</f>
        <v>BJ And dev</v>
      </c>
      <c r="S1391" s="7" t="str">
        <f>IF(patch[[#This Row],[reviewer]]=patch[[#This Row],[tmp-owner.email]], "author", _xlfn.IFNA(VLOOKUP(patch[[#This Row],[reviewer]],OrgTree!$A:$K, 11, 0), "not ICG SWFW"))</f>
        <v>author</v>
      </c>
      <c r="T1391" s="7" t="str">
        <f>IF(ISBLANK(patch[[#This Row],[mergeDate]]), "", MID(YEAR(patch[[#This Row],[mergeDate]]), 3,2)&amp;"'ww"&amp;WEEKNUM(patch[[#This Row],[mergeDate]]))</f>
        <v>16'ww39</v>
      </c>
      <c r="U1391" s="7" t="str">
        <f>IF(ISBLANK(patch[[#This Row],[mergeDate]]), U1390, MID(YEAR(patch[[#This Row],[mergeDate]]), 3,2)&amp;"'m"&amp;MONTH(patch[[#This Row],[mergeDate]]))</f>
        <v>16'm9</v>
      </c>
      <c r="V1391" s="7" t="str">
        <f>IF(ISBLANK(patch[[#This Row],[project]]), "",SUM(patch[[#This Row],[BJ -1 num]:[SH -1 num]]))</f>
        <v/>
      </c>
      <c r="W1391" s="7" t="str">
        <f>IF(ISBLANK(patch[[#This Row],[project]]), "",COUNTIFS($A:$A,patch[[#This Row],[number]],$S:$S, "BJ And dev",$AC:$AC, "Review-1"))</f>
        <v/>
      </c>
      <c r="X1391" s="7" t="str">
        <f>IF(ISBLANK(patch[[#This Row],[project]]), "",COUNTIFS($A:$A,patch[[#This Row],[number]],$S:$S, "FL And dev",$AC:$AC, "Review-1"))</f>
        <v/>
      </c>
      <c r="Y1391" s="7" t="str">
        <f>IF(ISBLANK(patch[[#This Row],[project]]), "",COUNTIFS($A:$A,patch[[#This Row],[number]],$S:$S, "SH And dev",$AC:$AC, "Review-1"))</f>
        <v/>
      </c>
      <c r="Z1391" s="7" t="str">
        <f>IF(ISBLANK(patch[[#This Row],[project]]), "",COUNTIFS($A:$A,patch[[#This Row],[number]],$S:$S, "BJ And dev",$AD:$AD, "&lt;&gt;IntegratorValidationComment"))</f>
        <v/>
      </c>
      <c r="AA1391" s="7" t="str">
        <f>IF(ISBLANK(patch[[#This Row],[project]]), "",COUNTIFS($A:$A,patch[[#This Row],[number]],$S:$S, "FL And dev",$AD:$AD, "&lt;&gt;IntegratorValidationComment"))</f>
        <v/>
      </c>
      <c r="AB1391" s="7" t="str">
        <f>IF(ISBLANK(patch[[#This Row],[project]]), "",COUNTIFS($A:$A,patch[[#This Row],[number]],$S:$S, "SH And dev",$AD:$AD, "&lt;&gt;IntegratorValidationComment"))</f>
        <v/>
      </c>
      <c r="AC1391" s="7" t="str">
        <f>IF(OR(ISNUMBER(FIND("Review-1", patch[[#This Row],[comments]])), ISNUMBER(FIND("Approver-1", patch[[#This Row],[comments]]))), "Review-1", "")</f>
        <v/>
      </c>
      <c r="AD13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91" s="7">
        <f>IF(ISBLANK(patch[[#This Row],[number]]),AE1390,patch[[#This Row],[ifCommon]])</f>
        <v>0</v>
      </c>
    </row>
    <row r="1392" spans="1:31">
      <c r="A1392" s="151">
        <v>144573</v>
      </c>
      <c r="B1392" s="151"/>
      <c r="C1392" s="151"/>
      <c r="D1392" s="151"/>
      <c r="E1392" s="151"/>
      <c r="F1392" s="151"/>
      <c r="G1392" s="151"/>
      <c r="H1392" s="151"/>
      <c r="I1392" s="151"/>
      <c r="J1392" s="152">
        <v>42633.709490740737</v>
      </c>
      <c r="K1392" s="151"/>
      <c r="L1392" s="151" t="s">
        <v>32</v>
      </c>
      <c r="M1392" s="152">
        <v>42625.617384259262</v>
      </c>
      <c r="N1392" s="151" t="s">
        <v>2429</v>
      </c>
      <c r="O1392" s="151"/>
      <c r="P1392" s="151"/>
      <c r="Q1392" s="7" t="str">
        <f>IF(ISBLANK(patch[[#This Row],[OwnerEmail]]),Q1391,patch[[#This Row],[OwnerEmail]])</f>
        <v>gang.a.hu@intel.com</v>
      </c>
      <c r="R1392" s="7" t="str">
        <f>_xlfn.IFNA(VLOOKUP(patch[[#This Row],[tmp-owner.email]],OrgTree!$A:$K, 11, 0), "not ICG SWFW")</f>
        <v>BJ And dev</v>
      </c>
      <c r="S1392" s="7" t="str">
        <f>IF(patch[[#This Row],[reviewer]]=patch[[#This Row],[tmp-owner.email]], "author", _xlfn.IFNA(VLOOKUP(patch[[#This Row],[reviewer]],OrgTree!$A:$K, 11, 0), "not ICG SWFW"))</f>
        <v>author</v>
      </c>
      <c r="T1392" s="7" t="str">
        <f>IF(ISBLANK(patch[[#This Row],[mergeDate]]), "", MID(YEAR(patch[[#This Row],[mergeDate]]), 3,2)&amp;"'ww"&amp;WEEKNUM(patch[[#This Row],[mergeDate]]))</f>
        <v>16'ww39</v>
      </c>
      <c r="U1392" s="7" t="str">
        <f>IF(ISBLANK(patch[[#This Row],[mergeDate]]), U1391, MID(YEAR(patch[[#This Row],[mergeDate]]), 3,2)&amp;"'m"&amp;MONTH(patch[[#This Row],[mergeDate]]))</f>
        <v>16'm9</v>
      </c>
      <c r="V1392" s="7" t="str">
        <f>IF(ISBLANK(patch[[#This Row],[project]]), "",SUM(patch[[#This Row],[BJ -1 num]:[SH -1 num]]))</f>
        <v/>
      </c>
      <c r="W1392" s="7" t="str">
        <f>IF(ISBLANK(patch[[#This Row],[project]]), "",COUNTIFS($A:$A,patch[[#This Row],[number]],$S:$S, "BJ And dev",$AC:$AC, "Review-1"))</f>
        <v/>
      </c>
      <c r="X1392" s="7" t="str">
        <f>IF(ISBLANK(patch[[#This Row],[project]]), "",COUNTIFS($A:$A,patch[[#This Row],[number]],$S:$S, "FL And dev",$AC:$AC, "Review-1"))</f>
        <v/>
      </c>
      <c r="Y1392" s="7" t="str">
        <f>IF(ISBLANK(patch[[#This Row],[project]]), "",COUNTIFS($A:$A,patch[[#This Row],[number]],$S:$S, "SH And dev",$AC:$AC, "Review-1"))</f>
        <v/>
      </c>
      <c r="Z1392" s="7" t="str">
        <f>IF(ISBLANK(patch[[#This Row],[project]]), "",COUNTIFS($A:$A,patch[[#This Row],[number]],$S:$S, "BJ And dev",$AD:$AD, "&lt;&gt;IntegratorValidationComment"))</f>
        <v/>
      </c>
      <c r="AA1392" s="7" t="str">
        <f>IF(ISBLANK(patch[[#This Row],[project]]), "",COUNTIFS($A:$A,patch[[#This Row],[number]],$S:$S, "FL And dev",$AD:$AD, "&lt;&gt;IntegratorValidationComment"))</f>
        <v/>
      </c>
      <c r="AB1392" s="7" t="str">
        <f>IF(ISBLANK(patch[[#This Row],[project]]), "",COUNTIFS($A:$A,patch[[#This Row],[number]],$S:$S, "SH And dev",$AD:$AD, "&lt;&gt;IntegratorValidationComment"))</f>
        <v/>
      </c>
      <c r="AC1392" s="7" t="str">
        <f>IF(OR(ISNUMBER(FIND("Review-1", patch[[#This Row],[comments]])), ISNUMBER(FIND("Approver-1", patch[[#This Row],[comments]]))), "Review-1", "")</f>
        <v/>
      </c>
      <c r="AD13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92" s="7">
        <f>IF(ISBLANK(patch[[#This Row],[number]]),AE1391,patch[[#This Row],[ifCommon]])</f>
        <v>0</v>
      </c>
    </row>
    <row r="1393" spans="1:31">
      <c r="A1393" s="151">
        <v>144573</v>
      </c>
      <c r="B1393" s="151"/>
      <c r="C1393" s="151"/>
      <c r="D1393" s="151"/>
      <c r="E1393" s="151"/>
      <c r="F1393" s="151"/>
      <c r="G1393" s="151"/>
      <c r="H1393" s="151"/>
      <c r="I1393" s="151"/>
      <c r="J1393" s="152">
        <v>42633.709490740737</v>
      </c>
      <c r="K1393" s="151"/>
      <c r="L1393" s="151" t="s">
        <v>59</v>
      </c>
      <c r="M1393" s="152">
        <v>42625.619432870371</v>
      </c>
      <c r="N1393" s="151" t="s">
        <v>3273</v>
      </c>
      <c r="O1393" s="151"/>
      <c r="P1393" s="151"/>
      <c r="Q1393" s="7" t="str">
        <f>IF(ISBLANK(patch[[#This Row],[OwnerEmail]]),Q1392,patch[[#This Row],[OwnerEmail]])</f>
        <v>gang.a.hu@intel.com</v>
      </c>
      <c r="R1393" s="7" t="str">
        <f>_xlfn.IFNA(VLOOKUP(patch[[#This Row],[tmp-owner.email]],OrgTree!$A:$K, 11, 0), "not ICG SWFW")</f>
        <v>BJ And dev</v>
      </c>
      <c r="S1393" s="7" t="str">
        <f>IF(patch[[#This Row],[reviewer]]=patch[[#This Row],[tmp-owner.email]], "author", _xlfn.IFNA(VLOOKUP(patch[[#This Row],[reviewer]],OrgTree!$A:$K, 11, 0), "not ICG SWFW"))</f>
        <v>BJ And dev</v>
      </c>
      <c r="T1393" s="7" t="str">
        <f>IF(ISBLANK(patch[[#This Row],[mergeDate]]), "", MID(YEAR(patch[[#This Row],[mergeDate]]), 3,2)&amp;"'ww"&amp;WEEKNUM(patch[[#This Row],[mergeDate]]))</f>
        <v>16'ww39</v>
      </c>
      <c r="U1393" s="7" t="str">
        <f>IF(ISBLANK(patch[[#This Row],[mergeDate]]), U1392, MID(YEAR(patch[[#This Row],[mergeDate]]), 3,2)&amp;"'m"&amp;MONTH(patch[[#This Row],[mergeDate]]))</f>
        <v>16'm9</v>
      </c>
      <c r="V1393" s="7" t="str">
        <f>IF(ISBLANK(patch[[#This Row],[project]]), "",SUM(patch[[#This Row],[BJ -1 num]:[SH -1 num]]))</f>
        <v/>
      </c>
      <c r="W1393" s="7" t="str">
        <f>IF(ISBLANK(patch[[#This Row],[project]]), "",COUNTIFS($A:$A,patch[[#This Row],[number]],$S:$S, "BJ And dev",$AC:$AC, "Review-1"))</f>
        <v/>
      </c>
      <c r="X1393" s="7" t="str">
        <f>IF(ISBLANK(patch[[#This Row],[project]]), "",COUNTIFS($A:$A,patch[[#This Row],[number]],$S:$S, "FL And dev",$AC:$AC, "Review-1"))</f>
        <v/>
      </c>
      <c r="Y1393" s="7" t="str">
        <f>IF(ISBLANK(patch[[#This Row],[project]]), "",COUNTIFS($A:$A,patch[[#This Row],[number]],$S:$S, "SH And dev",$AC:$AC, "Review-1"))</f>
        <v/>
      </c>
      <c r="Z1393" s="7" t="str">
        <f>IF(ISBLANK(patch[[#This Row],[project]]), "",COUNTIFS($A:$A,patch[[#This Row],[number]],$S:$S, "BJ And dev",$AD:$AD, "&lt;&gt;IntegratorValidationComment"))</f>
        <v/>
      </c>
      <c r="AA1393" s="7" t="str">
        <f>IF(ISBLANK(patch[[#This Row],[project]]), "",COUNTIFS($A:$A,patch[[#This Row],[number]],$S:$S, "FL And dev",$AD:$AD, "&lt;&gt;IntegratorValidationComment"))</f>
        <v/>
      </c>
      <c r="AB1393" s="7" t="str">
        <f>IF(ISBLANK(patch[[#This Row],[project]]), "",COUNTIFS($A:$A,patch[[#This Row],[number]],$S:$S, "SH And dev",$AD:$AD, "&lt;&gt;IntegratorValidationComment"))</f>
        <v/>
      </c>
      <c r="AC1393" s="7" t="str">
        <f>IF(OR(ISNUMBER(FIND("Review-1", patch[[#This Row],[comments]])), ISNUMBER(FIND("Approver-1", patch[[#This Row],[comments]]))), "Review-1", "")</f>
        <v/>
      </c>
      <c r="AD13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93" s="7">
        <f>IF(ISBLANK(patch[[#This Row],[number]]),AE1392,patch[[#This Row],[ifCommon]])</f>
        <v>0</v>
      </c>
    </row>
    <row r="1394" spans="1:31">
      <c r="A1394" s="151">
        <v>144573</v>
      </c>
      <c r="B1394" s="151"/>
      <c r="C1394" s="151"/>
      <c r="D1394" s="151"/>
      <c r="E1394" s="151"/>
      <c r="F1394" s="151"/>
      <c r="G1394" s="151"/>
      <c r="H1394" s="151"/>
      <c r="I1394" s="151"/>
      <c r="J1394" s="152">
        <v>42633.709490740737</v>
      </c>
      <c r="K1394" s="151"/>
      <c r="L1394" s="151" t="s">
        <v>59</v>
      </c>
      <c r="M1394" s="152">
        <v>42625.622013888889</v>
      </c>
      <c r="N1394" s="151" t="s">
        <v>3274</v>
      </c>
      <c r="O1394" s="151"/>
      <c r="P1394" s="151"/>
      <c r="Q1394" s="7" t="str">
        <f>IF(ISBLANK(patch[[#This Row],[OwnerEmail]]),Q1393,patch[[#This Row],[OwnerEmail]])</f>
        <v>gang.a.hu@intel.com</v>
      </c>
      <c r="R1394" s="7" t="str">
        <f>_xlfn.IFNA(VLOOKUP(patch[[#This Row],[tmp-owner.email]],OrgTree!$A:$K, 11, 0), "not ICG SWFW")</f>
        <v>BJ And dev</v>
      </c>
      <c r="S1394" s="7" t="str">
        <f>IF(patch[[#This Row],[reviewer]]=patch[[#This Row],[tmp-owner.email]], "author", _xlfn.IFNA(VLOOKUP(patch[[#This Row],[reviewer]],OrgTree!$A:$K, 11, 0), "not ICG SWFW"))</f>
        <v>BJ And dev</v>
      </c>
      <c r="T1394" s="7" t="str">
        <f>IF(ISBLANK(patch[[#This Row],[mergeDate]]), "", MID(YEAR(patch[[#This Row],[mergeDate]]), 3,2)&amp;"'ww"&amp;WEEKNUM(patch[[#This Row],[mergeDate]]))</f>
        <v>16'ww39</v>
      </c>
      <c r="U1394" s="7" t="str">
        <f>IF(ISBLANK(patch[[#This Row],[mergeDate]]), U1393, MID(YEAR(patch[[#This Row],[mergeDate]]), 3,2)&amp;"'m"&amp;MONTH(patch[[#This Row],[mergeDate]]))</f>
        <v>16'm9</v>
      </c>
      <c r="V1394" s="7" t="str">
        <f>IF(ISBLANK(patch[[#This Row],[project]]), "",SUM(patch[[#This Row],[BJ -1 num]:[SH -1 num]]))</f>
        <v/>
      </c>
      <c r="W1394" s="7" t="str">
        <f>IF(ISBLANK(patch[[#This Row],[project]]), "",COUNTIFS($A:$A,patch[[#This Row],[number]],$S:$S, "BJ And dev",$AC:$AC, "Review-1"))</f>
        <v/>
      </c>
      <c r="X1394" s="7" t="str">
        <f>IF(ISBLANK(patch[[#This Row],[project]]), "",COUNTIFS($A:$A,patch[[#This Row],[number]],$S:$S, "FL And dev",$AC:$AC, "Review-1"))</f>
        <v/>
      </c>
      <c r="Y1394" s="7" t="str">
        <f>IF(ISBLANK(patch[[#This Row],[project]]), "",COUNTIFS($A:$A,patch[[#This Row],[number]],$S:$S, "SH And dev",$AC:$AC, "Review-1"))</f>
        <v/>
      </c>
      <c r="Z1394" s="7" t="str">
        <f>IF(ISBLANK(patch[[#This Row],[project]]), "",COUNTIFS($A:$A,patch[[#This Row],[number]],$S:$S, "BJ And dev",$AD:$AD, "&lt;&gt;IntegratorValidationComment"))</f>
        <v/>
      </c>
      <c r="AA1394" s="7" t="str">
        <f>IF(ISBLANK(patch[[#This Row],[project]]), "",COUNTIFS($A:$A,patch[[#This Row],[number]],$S:$S, "FL And dev",$AD:$AD, "&lt;&gt;IntegratorValidationComment"))</f>
        <v/>
      </c>
      <c r="AB1394" s="7" t="str">
        <f>IF(ISBLANK(patch[[#This Row],[project]]), "",COUNTIFS($A:$A,patch[[#This Row],[number]],$S:$S, "SH And dev",$AD:$AD, "&lt;&gt;IntegratorValidationComment"))</f>
        <v/>
      </c>
      <c r="AC1394" s="7" t="str">
        <f>IF(OR(ISNUMBER(FIND("Review-1", patch[[#This Row],[comments]])), ISNUMBER(FIND("Approver-1", patch[[#This Row],[comments]]))), "Review-1", "")</f>
        <v/>
      </c>
      <c r="AD13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94" s="7">
        <f>IF(ISBLANK(patch[[#This Row],[number]]),AE1393,patch[[#This Row],[ifCommon]])</f>
        <v>0</v>
      </c>
    </row>
    <row r="1395" spans="1:31">
      <c r="A1395" s="151">
        <v>144573</v>
      </c>
      <c r="B1395" s="151"/>
      <c r="C1395" s="151"/>
      <c r="D1395" s="151"/>
      <c r="E1395" s="151"/>
      <c r="F1395" s="151"/>
      <c r="G1395" s="151"/>
      <c r="H1395" s="151"/>
      <c r="I1395" s="151"/>
      <c r="J1395" s="152">
        <v>42633.709490740737</v>
      </c>
      <c r="K1395" s="151"/>
      <c r="L1395" s="151" t="s">
        <v>24</v>
      </c>
      <c r="M1395" s="152">
        <v>42625.634432870371</v>
      </c>
      <c r="N1395" s="151" t="s">
        <v>27</v>
      </c>
      <c r="O1395" s="151"/>
      <c r="P1395" s="151"/>
      <c r="Q1395" s="7" t="str">
        <f>IF(ISBLANK(patch[[#This Row],[OwnerEmail]]),Q1394,patch[[#This Row],[OwnerEmail]])</f>
        <v>gang.a.hu@intel.com</v>
      </c>
      <c r="R1395" s="7" t="str">
        <f>_xlfn.IFNA(VLOOKUP(patch[[#This Row],[tmp-owner.email]],OrgTree!$A:$K, 11, 0), "not ICG SWFW")</f>
        <v>BJ And dev</v>
      </c>
      <c r="S1395" s="7" t="str">
        <f>IF(patch[[#This Row],[reviewer]]=patch[[#This Row],[tmp-owner.email]], "author", _xlfn.IFNA(VLOOKUP(patch[[#This Row],[reviewer]],OrgTree!$A:$K, 11, 0), "not ICG SWFW"))</f>
        <v>BJ And dev</v>
      </c>
      <c r="T1395" s="7" t="str">
        <f>IF(ISBLANK(patch[[#This Row],[mergeDate]]), "", MID(YEAR(patch[[#This Row],[mergeDate]]), 3,2)&amp;"'ww"&amp;WEEKNUM(patch[[#This Row],[mergeDate]]))</f>
        <v>16'ww39</v>
      </c>
      <c r="U1395" s="7" t="str">
        <f>IF(ISBLANK(patch[[#This Row],[mergeDate]]), U1394, MID(YEAR(patch[[#This Row],[mergeDate]]), 3,2)&amp;"'m"&amp;MONTH(patch[[#This Row],[mergeDate]]))</f>
        <v>16'm9</v>
      </c>
      <c r="V1395" s="7" t="str">
        <f>IF(ISBLANK(patch[[#This Row],[project]]), "",SUM(patch[[#This Row],[BJ -1 num]:[SH -1 num]]))</f>
        <v/>
      </c>
      <c r="W1395" s="7" t="str">
        <f>IF(ISBLANK(patch[[#This Row],[project]]), "",COUNTIFS($A:$A,patch[[#This Row],[number]],$S:$S, "BJ And dev",$AC:$AC, "Review-1"))</f>
        <v/>
      </c>
      <c r="X1395" s="7" t="str">
        <f>IF(ISBLANK(patch[[#This Row],[project]]), "",COUNTIFS($A:$A,patch[[#This Row],[number]],$S:$S, "FL And dev",$AC:$AC, "Review-1"))</f>
        <v/>
      </c>
      <c r="Y1395" s="7" t="str">
        <f>IF(ISBLANK(patch[[#This Row],[project]]), "",COUNTIFS($A:$A,patch[[#This Row],[number]],$S:$S, "SH And dev",$AC:$AC, "Review-1"))</f>
        <v/>
      </c>
      <c r="Z1395" s="7" t="str">
        <f>IF(ISBLANK(patch[[#This Row],[project]]), "",COUNTIFS($A:$A,patch[[#This Row],[number]],$S:$S, "BJ And dev",$AD:$AD, "&lt;&gt;IntegratorValidationComment"))</f>
        <v/>
      </c>
      <c r="AA1395" s="7" t="str">
        <f>IF(ISBLANK(patch[[#This Row],[project]]), "",COUNTIFS($A:$A,patch[[#This Row],[number]],$S:$S, "FL And dev",$AD:$AD, "&lt;&gt;IntegratorValidationComment"))</f>
        <v/>
      </c>
      <c r="AB1395" s="7" t="str">
        <f>IF(ISBLANK(patch[[#This Row],[project]]), "",COUNTIFS($A:$A,patch[[#This Row],[number]],$S:$S, "SH And dev",$AD:$AD, "&lt;&gt;IntegratorValidationComment"))</f>
        <v/>
      </c>
      <c r="AC1395" s="7" t="str">
        <f>IF(OR(ISNUMBER(FIND("Review-1", patch[[#This Row],[comments]])), ISNUMBER(FIND("Approver-1", patch[[#This Row],[comments]]))), "Review-1", "")</f>
        <v/>
      </c>
      <c r="AD13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95" s="7">
        <f>IF(ISBLANK(patch[[#This Row],[number]]),AE1394,patch[[#This Row],[ifCommon]])</f>
        <v>0</v>
      </c>
    </row>
    <row r="1396" spans="1:31">
      <c r="A1396" s="151">
        <v>144573</v>
      </c>
      <c r="B1396" s="151"/>
      <c r="C1396" s="151"/>
      <c r="D1396" s="151"/>
      <c r="E1396" s="151"/>
      <c r="F1396" s="151"/>
      <c r="G1396" s="151"/>
      <c r="H1396" s="151"/>
      <c r="I1396" s="151"/>
      <c r="J1396" s="152">
        <v>42633.709490740737</v>
      </c>
      <c r="K1396" s="151"/>
      <c r="L1396" s="151" t="s">
        <v>59</v>
      </c>
      <c r="M1396" s="152">
        <v>42625.750520833331</v>
      </c>
      <c r="N1396" s="151" t="s">
        <v>27</v>
      </c>
      <c r="O1396" s="151"/>
      <c r="P1396" s="151"/>
      <c r="Q1396" s="7" t="str">
        <f>IF(ISBLANK(patch[[#This Row],[OwnerEmail]]),Q1395,patch[[#This Row],[OwnerEmail]])</f>
        <v>gang.a.hu@intel.com</v>
      </c>
      <c r="R1396" s="7" t="str">
        <f>_xlfn.IFNA(VLOOKUP(patch[[#This Row],[tmp-owner.email]],OrgTree!$A:$K, 11, 0), "not ICG SWFW")</f>
        <v>BJ And dev</v>
      </c>
      <c r="S1396" s="7" t="str">
        <f>IF(patch[[#This Row],[reviewer]]=patch[[#This Row],[tmp-owner.email]], "author", _xlfn.IFNA(VLOOKUP(patch[[#This Row],[reviewer]],OrgTree!$A:$K, 11, 0), "not ICG SWFW"))</f>
        <v>BJ And dev</v>
      </c>
      <c r="T1396" s="7" t="str">
        <f>IF(ISBLANK(patch[[#This Row],[mergeDate]]), "", MID(YEAR(patch[[#This Row],[mergeDate]]), 3,2)&amp;"'ww"&amp;WEEKNUM(patch[[#This Row],[mergeDate]]))</f>
        <v>16'ww39</v>
      </c>
      <c r="U1396" s="7" t="str">
        <f>IF(ISBLANK(patch[[#This Row],[mergeDate]]), U1395, MID(YEAR(patch[[#This Row],[mergeDate]]), 3,2)&amp;"'m"&amp;MONTH(patch[[#This Row],[mergeDate]]))</f>
        <v>16'm9</v>
      </c>
      <c r="V1396" s="7" t="str">
        <f>IF(ISBLANK(patch[[#This Row],[project]]), "",SUM(patch[[#This Row],[BJ -1 num]:[SH -1 num]]))</f>
        <v/>
      </c>
      <c r="W1396" s="7" t="str">
        <f>IF(ISBLANK(patch[[#This Row],[project]]), "",COUNTIFS($A:$A,patch[[#This Row],[number]],$S:$S, "BJ And dev",$AC:$AC, "Review-1"))</f>
        <v/>
      </c>
      <c r="X1396" s="7" t="str">
        <f>IF(ISBLANK(patch[[#This Row],[project]]), "",COUNTIFS($A:$A,patch[[#This Row],[number]],$S:$S, "FL And dev",$AC:$AC, "Review-1"))</f>
        <v/>
      </c>
      <c r="Y1396" s="7" t="str">
        <f>IF(ISBLANK(patch[[#This Row],[project]]), "",COUNTIFS($A:$A,patch[[#This Row],[number]],$S:$S, "SH And dev",$AC:$AC, "Review-1"))</f>
        <v/>
      </c>
      <c r="Z1396" s="7" t="str">
        <f>IF(ISBLANK(patch[[#This Row],[project]]), "",COUNTIFS($A:$A,patch[[#This Row],[number]],$S:$S, "BJ And dev",$AD:$AD, "&lt;&gt;IntegratorValidationComment"))</f>
        <v/>
      </c>
      <c r="AA1396" s="7" t="str">
        <f>IF(ISBLANK(patch[[#This Row],[project]]), "",COUNTIFS($A:$A,patch[[#This Row],[number]],$S:$S, "FL And dev",$AD:$AD, "&lt;&gt;IntegratorValidationComment"))</f>
        <v/>
      </c>
      <c r="AB1396" s="7" t="str">
        <f>IF(ISBLANK(patch[[#This Row],[project]]), "",COUNTIFS($A:$A,patch[[#This Row],[number]],$S:$S, "SH And dev",$AD:$AD, "&lt;&gt;IntegratorValidationComment"))</f>
        <v/>
      </c>
      <c r="AC1396" s="7" t="str">
        <f>IF(OR(ISNUMBER(FIND("Review-1", patch[[#This Row],[comments]])), ISNUMBER(FIND("Approver-1", patch[[#This Row],[comments]]))), "Review-1", "")</f>
        <v/>
      </c>
      <c r="AD13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96" s="7">
        <f>IF(ISBLANK(patch[[#This Row],[number]]),AE1395,patch[[#This Row],[ifCommon]])</f>
        <v>0</v>
      </c>
    </row>
    <row r="1397" spans="1:31">
      <c r="A1397" s="151">
        <v>144573</v>
      </c>
      <c r="B1397" s="151"/>
      <c r="C1397" s="151"/>
      <c r="D1397" s="151"/>
      <c r="E1397" s="151"/>
      <c r="F1397" s="151"/>
      <c r="G1397" s="151"/>
      <c r="H1397" s="151"/>
      <c r="I1397" s="152"/>
      <c r="J1397" s="152">
        <v>42633.709490740737</v>
      </c>
      <c r="K1397" s="151"/>
      <c r="L1397" s="151" t="s">
        <v>32</v>
      </c>
      <c r="M1397" s="152">
        <v>42627.600624999999</v>
      </c>
      <c r="N1397" s="151" t="s">
        <v>47</v>
      </c>
      <c r="O1397" s="151"/>
      <c r="P1397" s="151"/>
      <c r="Q1397" s="7" t="str">
        <f>IF(ISBLANK(patch[[#This Row],[OwnerEmail]]),Q1396,patch[[#This Row],[OwnerEmail]])</f>
        <v>gang.a.hu@intel.com</v>
      </c>
      <c r="R1397" s="7" t="str">
        <f>_xlfn.IFNA(VLOOKUP(patch[[#This Row],[tmp-owner.email]],OrgTree!$A:$K, 11, 0), "not ICG SWFW")</f>
        <v>BJ And dev</v>
      </c>
      <c r="S1397" s="7" t="str">
        <f>IF(patch[[#This Row],[reviewer]]=patch[[#This Row],[tmp-owner.email]], "author", _xlfn.IFNA(VLOOKUP(patch[[#This Row],[reviewer]],OrgTree!$A:$K, 11, 0), "not ICG SWFW"))</f>
        <v>author</v>
      </c>
      <c r="T1397" s="7" t="str">
        <f>IF(ISBLANK(patch[[#This Row],[mergeDate]]), "", MID(YEAR(patch[[#This Row],[mergeDate]]), 3,2)&amp;"'ww"&amp;WEEKNUM(patch[[#This Row],[mergeDate]]))</f>
        <v>16'ww39</v>
      </c>
      <c r="U1397" s="7" t="str">
        <f>IF(ISBLANK(patch[[#This Row],[mergeDate]]), U1396, MID(YEAR(patch[[#This Row],[mergeDate]]), 3,2)&amp;"'m"&amp;MONTH(patch[[#This Row],[mergeDate]]))</f>
        <v>16'm9</v>
      </c>
      <c r="V1397" s="7" t="str">
        <f>IF(ISBLANK(patch[[#This Row],[project]]), "",SUM(patch[[#This Row],[BJ -1 num]:[SH -1 num]]))</f>
        <v/>
      </c>
      <c r="W1397" s="7" t="str">
        <f>IF(ISBLANK(patch[[#This Row],[project]]), "",COUNTIFS($A:$A,patch[[#This Row],[number]],$S:$S, "BJ And dev",$AC:$AC, "Review-1"))</f>
        <v/>
      </c>
      <c r="X1397" s="7" t="str">
        <f>IF(ISBLANK(patch[[#This Row],[project]]), "",COUNTIFS($A:$A,patch[[#This Row],[number]],$S:$S, "FL And dev",$AC:$AC, "Review-1"))</f>
        <v/>
      </c>
      <c r="Y1397" s="7" t="str">
        <f>IF(ISBLANK(patch[[#This Row],[project]]), "",COUNTIFS($A:$A,patch[[#This Row],[number]],$S:$S, "SH And dev",$AC:$AC, "Review-1"))</f>
        <v/>
      </c>
      <c r="Z1397" s="7" t="str">
        <f>IF(ISBLANK(patch[[#This Row],[project]]), "",COUNTIFS($A:$A,patch[[#This Row],[number]],$S:$S, "BJ And dev",$AD:$AD, "&lt;&gt;IntegratorValidationComment"))</f>
        <v/>
      </c>
      <c r="AA1397" s="7" t="str">
        <f>IF(ISBLANK(patch[[#This Row],[project]]), "",COUNTIFS($A:$A,patch[[#This Row],[number]],$S:$S, "FL And dev",$AD:$AD, "&lt;&gt;IntegratorValidationComment"))</f>
        <v/>
      </c>
      <c r="AB1397" s="7" t="str">
        <f>IF(ISBLANK(patch[[#This Row],[project]]), "",COUNTIFS($A:$A,patch[[#This Row],[number]],$S:$S, "SH And dev",$AD:$AD, "&lt;&gt;IntegratorValidationComment"))</f>
        <v/>
      </c>
      <c r="AC1397" s="7" t="str">
        <f>IF(OR(ISNUMBER(FIND("Review-1", patch[[#This Row],[comments]])), ISNUMBER(FIND("Approver-1", patch[[#This Row],[comments]]))), "Review-1", "")</f>
        <v/>
      </c>
      <c r="AD13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97" s="7">
        <f>IF(ISBLANK(patch[[#This Row],[number]]),AE1396,patch[[#This Row],[ifCommon]])</f>
        <v>0</v>
      </c>
    </row>
    <row r="1398" spans="1:31">
      <c r="A1398" s="151">
        <v>144573</v>
      </c>
      <c r="B1398" s="151"/>
      <c r="C1398" s="151"/>
      <c r="D1398" s="151"/>
      <c r="E1398" s="151"/>
      <c r="F1398" s="151"/>
      <c r="G1398" s="151"/>
      <c r="H1398" s="151"/>
      <c r="I1398" s="151"/>
      <c r="J1398" s="152">
        <v>42633.709490740737</v>
      </c>
      <c r="K1398" s="151"/>
      <c r="L1398" s="151" t="s">
        <v>32</v>
      </c>
      <c r="M1398" s="152">
        <v>42627.600659722222</v>
      </c>
      <c r="N1398" s="151" t="s">
        <v>2450</v>
      </c>
      <c r="O1398" s="151"/>
      <c r="P1398" s="151"/>
      <c r="Q1398" s="7" t="str">
        <f>IF(ISBLANK(patch[[#This Row],[OwnerEmail]]),Q1397,patch[[#This Row],[OwnerEmail]])</f>
        <v>gang.a.hu@intel.com</v>
      </c>
      <c r="R1398" s="7" t="str">
        <f>_xlfn.IFNA(VLOOKUP(patch[[#This Row],[tmp-owner.email]],OrgTree!$A:$K, 11, 0), "not ICG SWFW")</f>
        <v>BJ And dev</v>
      </c>
      <c r="S1398" s="7" t="str">
        <f>IF(patch[[#This Row],[reviewer]]=patch[[#This Row],[tmp-owner.email]], "author", _xlfn.IFNA(VLOOKUP(patch[[#This Row],[reviewer]],OrgTree!$A:$K, 11, 0), "not ICG SWFW"))</f>
        <v>author</v>
      </c>
      <c r="T1398" s="7" t="str">
        <f>IF(ISBLANK(patch[[#This Row],[mergeDate]]), "", MID(YEAR(patch[[#This Row],[mergeDate]]), 3,2)&amp;"'ww"&amp;WEEKNUM(patch[[#This Row],[mergeDate]]))</f>
        <v>16'ww39</v>
      </c>
      <c r="U1398" s="7" t="str">
        <f>IF(ISBLANK(patch[[#This Row],[mergeDate]]), U1397, MID(YEAR(patch[[#This Row],[mergeDate]]), 3,2)&amp;"'m"&amp;MONTH(patch[[#This Row],[mergeDate]]))</f>
        <v>16'm9</v>
      </c>
      <c r="V1398" s="7" t="str">
        <f>IF(ISBLANK(patch[[#This Row],[project]]), "",SUM(patch[[#This Row],[BJ -1 num]:[SH -1 num]]))</f>
        <v/>
      </c>
      <c r="W1398" s="7" t="str">
        <f>IF(ISBLANK(patch[[#This Row],[project]]), "",COUNTIFS($A:$A,patch[[#This Row],[number]],$S:$S, "BJ And dev",$AC:$AC, "Review-1"))</f>
        <v/>
      </c>
      <c r="X1398" s="7" t="str">
        <f>IF(ISBLANK(patch[[#This Row],[project]]), "",COUNTIFS($A:$A,patch[[#This Row],[number]],$S:$S, "FL And dev",$AC:$AC, "Review-1"))</f>
        <v/>
      </c>
      <c r="Y1398" s="7" t="str">
        <f>IF(ISBLANK(patch[[#This Row],[project]]), "",COUNTIFS($A:$A,patch[[#This Row],[number]],$S:$S, "SH And dev",$AC:$AC, "Review-1"))</f>
        <v/>
      </c>
      <c r="Z1398" s="7" t="str">
        <f>IF(ISBLANK(patch[[#This Row],[project]]), "",COUNTIFS($A:$A,patch[[#This Row],[number]],$S:$S, "BJ And dev",$AD:$AD, "&lt;&gt;IntegratorValidationComment"))</f>
        <v/>
      </c>
      <c r="AA1398" s="7" t="str">
        <f>IF(ISBLANK(patch[[#This Row],[project]]), "",COUNTIFS($A:$A,patch[[#This Row],[number]],$S:$S, "FL And dev",$AD:$AD, "&lt;&gt;IntegratorValidationComment"))</f>
        <v/>
      </c>
      <c r="AB1398" s="7" t="str">
        <f>IF(ISBLANK(patch[[#This Row],[project]]), "",COUNTIFS($A:$A,patch[[#This Row],[number]],$S:$S, "SH And dev",$AD:$AD, "&lt;&gt;IntegratorValidationComment"))</f>
        <v/>
      </c>
      <c r="AC1398" s="7" t="str">
        <f>IF(OR(ISNUMBER(FIND("Review-1", patch[[#This Row],[comments]])), ISNUMBER(FIND("Approver-1", patch[[#This Row],[comments]]))), "Review-1", "")</f>
        <v/>
      </c>
      <c r="AD13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98" s="7">
        <f>IF(ISBLANK(patch[[#This Row],[number]]),AE1397,patch[[#This Row],[ifCommon]])</f>
        <v>0</v>
      </c>
    </row>
    <row r="1399" spans="1:31">
      <c r="A1399" s="151">
        <v>144573</v>
      </c>
      <c r="B1399" s="151"/>
      <c r="C1399" s="151"/>
      <c r="D1399" s="151"/>
      <c r="E1399" s="151"/>
      <c r="F1399" s="151"/>
      <c r="G1399" s="151"/>
      <c r="H1399" s="151"/>
      <c r="I1399" s="151"/>
      <c r="J1399" s="152">
        <v>42633.709490740737</v>
      </c>
      <c r="K1399" s="151"/>
      <c r="L1399" s="151" t="s">
        <v>59</v>
      </c>
      <c r="M1399" s="152">
        <v>42627.606377314813</v>
      </c>
      <c r="N1399" s="151" t="s">
        <v>3275</v>
      </c>
      <c r="O1399" s="151"/>
      <c r="P1399" s="151"/>
      <c r="Q1399" s="7" t="str">
        <f>IF(ISBLANK(patch[[#This Row],[OwnerEmail]]),Q1398,patch[[#This Row],[OwnerEmail]])</f>
        <v>gang.a.hu@intel.com</v>
      </c>
      <c r="R1399" s="7" t="str">
        <f>_xlfn.IFNA(VLOOKUP(patch[[#This Row],[tmp-owner.email]],OrgTree!$A:$K, 11, 0), "not ICG SWFW")</f>
        <v>BJ And dev</v>
      </c>
      <c r="S1399" s="7" t="str">
        <f>IF(patch[[#This Row],[reviewer]]=patch[[#This Row],[tmp-owner.email]], "author", _xlfn.IFNA(VLOOKUP(patch[[#This Row],[reviewer]],OrgTree!$A:$K, 11, 0), "not ICG SWFW"))</f>
        <v>BJ And dev</v>
      </c>
      <c r="T1399" s="7" t="str">
        <f>IF(ISBLANK(patch[[#This Row],[mergeDate]]), "", MID(YEAR(patch[[#This Row],[mergeDate]]), 3,2)&amp;"'ww"&amp;WEEKNUM(patch[[#This Row],[mergeDate]]))</f>
        <v>16'ww39</v>
      </c>
      <c r="U1399" s="7" t="str">
        <f>IF(ISBLANK(patch[[#This Row],[mergeDate]]), U1398, MID(YEAR(patch[[#This Row],[mergeDate]]), 3,2)&amp;"'m"&amp;MONTH(patch[[#This Row],[mergeDate]]))</f>
        <v>16'm9</v>
      </c>
      <c r="V1399" s="7" t="str">
        <f>IF(ISBLANK(patch[[#This Row],[project]]), "",SUM(patch[[#This Row],[BJ -1 num]:[SH -1 num]]))</f>
        <v/>
      </c>
      <c r="W1399" s="7" t="str">
        <f>IF(ISBLANK(patch[[#This Row],[project]]), "",COUNTIFS($A:$A,patch[[#This Row],[number]],$S:$S, "BJ And dev",$AC:$AC, "Review-1"))</f>
        <v/>
      </c>
      <c r="X1399" s="7" t="str">
        <f>IF(ISBLANK(patch[[#This Row],[project]]), "",COUNTIFS($A:$A,patch[[#This Row],[number]],$S:$S, "FL And dev",$AC:$AC, "Review-1"))</f>
        <v/>
      </c>
      <c r="Y1399" s="7" t="str">
        <f>IF(ISBLANK(patch[[#This Row],[project]]), "",COUNTIFS($A:$A,patch[[#This Row],[number]],$S:$S, "SH And dev",$AC:$AC, "Review-1"))</f>
        <v/>
      </c>
      <c r="Z1399" s="7" t="str">
        <f>IF(ISBLANK(patch[[#This Row],[project]]), "",COUNTIFS($A:$A,patch[[#This Row],[number]],$S:$S, "BJ And dev",$AD:$AD, "&lt;&gt;IntegratorValidationComment"))</f>
        <v/>
      </c>
      <c r="AA1399" s="7" t="str">
        <f>IF(ISBLANK(patch[[#This Row],[project]]), "",COUNTIFS($A:$A,patch[[#This Row],[number]],$S:$S, "FL And dev",$AD:$AD, "&lt;&gt;IntegratorValidationComment"))</f>
        <v/>
      </c>
      <c r="AB1399" s="7" t="str">
        <f>IF(ISBLANK(patch[[#This Row],[project]]), "",COUNTIFS($A:$A,patch[[#This Row],[number]],$S:$S, "SH And dev",$AD:$AD, "&lt;&gt;IntegratorValidationComment"))</f>
        <v/>
      </c>
      <c r="AC1399" s="7" t="str">
        <f>IF(OR(ISNUMBER(FIND("Review-1", patch[[#This Row],[comments]])), ISNUMBER(FIND("Approver-1", patch[[#This Row],[comments]]))), "Review-1", "")</f>
        <v/>
      </c>
      <c r="AD13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399" s="7">
        <f>IF(ISBLANK(patch[[#This Row],[number]]),AE1398,patch[[#This Row],[ifCommon]])</f>
        <v>0</v>
      </c>
    </row>
    <row r="1400" spans="1:31">
      <c r="A1400" s="151">
        <v>144573</v>
      </c>
      <c r="B1400" s="151"/>
      <c r="C1400" s="151"/>
      <c r="D1400" s="151"/>
      <c r="E1400" s="151"/>
      <c r="F1400" s="151"/>
      <c r="G1400" s="151"/>
      <c r="H1400" s="151"/>
      <c r="I1400" s="151"/>
      <c r="J1400" s="152">
        <v>42633.709490740737</v>
      </c>
      <c r="K1400" s="151"/>
      <c r="L1400" s="151" t="s">
        <v>59</v>
      </c>
      <c r="M1400" s="152">
        <v>42627.613425925927</v>
      </c>
      <c r="N1400" s="151" t="s">
        <v>3276</v>
      </c>
      <c r="O1400" s="151"/>
      <c r="P1400" s="151"/>
      <c r="Q1400" s="7" t="str">
        <f>IF(ISBLANK(patch[[#This Row],[OwnerEmail]]),Q1399,patch[[#This Row],[OwnerEmail]])</f>
        <v>gang.a.hu@intel.com</v>
      </c>
      <c r="R1400" s="7" t="str">
        <f>_xlfn.IFNA(VLOOKUP(patch[[#This Row],[tmp-owner.email]],OrgTree!$A:$K, 11, 0), "not ICG SWFW")</f>
        <v>BJ And dev</v>
      </c>
      <c r="S1400" s="7" t="str">
        <f>IF(patch[[#This Row],[reviewer]]=patch[[#This Row],[tmp-owner.email]], "author", _xlfn.IFNA(VLOOKUP(patch[[#This Row],[reviewer]],OrgTree!$A:$K, 11, 0), "not ICG SWFW"))</f>
        <v>BJ And dev</v>
      </c>
      <c r="T1400" s="7" t="str">
        <f>IF(ISBLANK(patch[[#This Row],[mergeDate]]), "", MID(YEAR(patch[[#This Row],[mergeDate]]), 3,2)&amp;"'ww"&amp;WEEKNUM(patch[[#This Row],[mergeDate]]))</f>
        <v>16'ww39</v>
      </c>
      <c r="U1400" s="7" t="str">
        <f>IF(ISBLANK(patch[[#This Row],[mergeDate]]), U1399, MID(YEAR(patch[[#This Row],[mergeDate]]), 3,2)&amp;"'m"&amp;MONTH(patch[[#This Row],[mergeDate]]))</f>
        <v>16'm9</v>
      </c>
      <c r="V1400" s="7" t="str">
        <f>IF(ISBLANK(patch[[#This Row],[project]]), "",SUM(patch[[#This Row],[BJ -1 num]:[SH -1 num]]))</f>
        <v/>
      </c>
      <c r="W1400" s="7" t="str">
        <f>IF(ISBLANK(patch[[#This Row],[project]]), "",COUNTIFS($A:$A,patch[[#This Row],[number]],$S:$S, "BJ And dev",$AC:$AC, "Review-1"))</f>
        <v/>
      </c>
      <c r="X1400" s="7" t="str">
        <f>IF(ISBLANK(patch[[#This Row],[project]]), "",COUNTIFS($A:$A,patch[[#This Row],[number]],$S:$S, "FL And dev",$AC:$AC, "Review-1"))</f>
        <v/>
      </c>
      <c r="Y1400" s="7" t="str">
        <f>IF(ISBLANK(patch[[#This Row],[project]]), "",COUNTIFS($A:$A,patch[[#This Row],[number]],$S:$S, "SH And dev",$AC:$AC, "Review-1"))</f>
        <v/>
      </c>
      <c r="Z1400" s="7" t="str">
        <f>IF(ISBLANK(patch[[#This Row],[project]]), "",COUNTIFS($A:$A,patch[[#This Row],[number]],$S:$S, "BJ And dev",$AD:$AD, "&lt;&gt;IntegratorValidationComment"))</f>
        <v/>
      </c>
      <c r="AA1400" s="7" t="str">
        <f>IF(ISBLANK(patch[[#This Row],[project]]), "",COUNTIFS($A:$A,patch[[#This Row],[number]],$S:$S, "FL And dev",$AD:$AD, "&lt;&gt;IntegratorValidationComment"))</f>
        <v/>
      </c>
      <c r="AB1400" s="7" t="str">
        <f>IF(ISBLANK(patch[[#This Row],[project]]), "",COUNTIFS($A:$A,patch[[#This Row],[number]],$S:$S, "SH And dev",$AD:$AD, "&lt;&gt;IntegratorValidationComment"))</f>
        <v/>
      </c>
      <c r="AC1400" s="7" t="str">
        <f>IF(OR(ISNUMBER(FIND("Review-1", patch[[#This Row],[comments]])), ISNUMBER(FIND("Approver-1", patch[[#This Row],[comments]]))), "Review-1", "")</f>
        <v/>
      </c>
      <c r="AD14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00" s="7">
        <f>IF(ISBLANK(patch[[#This Row],[number]]),AE1399,patch[[#This Row],[ifCommon]])</f>
        <v>0</v>
      </c>
    </row>
    <row r="1401" spans="1:31">
      <c r="A1401" s="151">
        <v>144573</v>
      </c>
      <c r="B1401" s="151"/>
      <c r="C1401" s="151"/>
      <c r="D1401" s="151"/>
      <c r="E1401" s="151"/>
      <c r="F1401" s="151"/>
      <c r="G1401" s="151"/>
      <c r="H1401" s="151"/>
      <c r="I1401" s="151"/>
      <c r="J1401" s="152">
        <v>42633.709490740737</v>
      </c>
      <c r="K1401" s="151"/>
      <c r="L1401" s="151" t="s">
        <v>55</v>
      </c>
      <c r="M1401" s="152">
        <v>42627.638368055559</v>
      </c>
      <c r="N1401" s="151" t="s">
        <v>1831</v>
      </c>
      <c r="O1401" s="151"/>
      <c r="P1401" s="151"/>
      <c r="Q1401" s="7" t="str">
        <f>IF(ISBLANK(patch[[#This Row],[OwnerEmail]]),Q1400,patch[[#This Row],[OwnerEmail]])</f>
        <v>gang.a.hu@intel.com</v>
      </c>
      <c r="R1401" s="7" t="str">
        <f>_xlfn.IFNA(VLOOKUP(patch[[#This Row],[tmp-owner.email]],OrgTree!$A:$K, 11, 0), "not ICG SWFW")</f>
        <v>BJ And dev</v>
      </c>
      <c r="S1401" s="7" t="str">
        <f>IF(patch[[#This Row],[reviewer]]=patch[[#This Row],[tmp-owner.email]], "author", _xlfn.IFNA(VLOOKUP(patch[[#This Row],[reviewer]],OrgTree!$A:$K, 11, 0), "not ICG SWFW"))</f>
        <v>BJ And dev</v>
      </c>
      <c r="T1401" s="7" t="str">
        <f>IF(ISBLANK(patch[[#This Row],[mergeDate]]), "", MID(YEAR(patch[[#This Row],[mergeDate]]), 3,2)&amp;"'ww"&amp;WEEKNUM(patch[[#This Row],[mergeDate]]))</f>
        <v>16'ww39</v>
      </c>
      <c r="U1401" s="7" t="str">
        <f>IF(ISBLANK(patch[[#This Row],[mergeDate]]), U1400, MID(YEAR(patch[[#This Row],[mergeDate]]), 3,2)&amp;"'m"&amp;MONTH(patch[[#This Row],[mergeDate]]))</f>
        <v>16'm9</v>
      </c>
      <c r="V1401" s="7" t="str">
        <f>IF(ISBLANK(patch[[#This Row],[project]]), "",SUM(patch[[#This Row],[BJ -1 num]:[SH -1 num]]))</f>
        <v/>
      </c>
      <c r="W1401" s="7" t="str">
        <f>IF(ISBLANK(patch[[#This Row],[project]]), "",COUNTIFS($A:$A,patch[[#This Row],[number]],$S:$S, "BJ And dev",$AC:$AC, "Review-1"))</f>
        <v/>
      </c>
      <c r="X1401" s="7" t="str">
        <f>IF(ISBLANK(patch[[#This Row],[project]]), "",COUNTIFS($A:$A,patch[[#This Row],[number]],$S:$S, "FL And dev",$AC:$AC, "Review-1"))</f>
        <v/>
      </c>
      <c r="Y1401" s="7" t="str">
        <f>IF(ISBLANK(patch[[#This Row],[project]]), "",COUNTIFS($A:$A,patch[[#This Row],[number]],$S:$S, "SH And dev",$AC:$AC, "Review-1"))</f>
        <v/>
      </c>
      <c r="Z1401" s="7" t="str">
        <f>IF(ISBLANK(patch[[#This Row],[project]]), "",COUNTIFS($A:$A,patch[[#This Row],[number]],$S:$S, "BJ And dev",$AD:$AD, "&lt;&gt;IntegratorValidationComment"))</f>
        <v/>
      </c>
      <c r="AA1401" s="7" t="str">
        <f>IF(ISBLANK(patch[[#This Row],[project]]), "",COUNTIFS($A:$A,patch[[#This Row],[number]],$S:$S, "FL And dev",$AD:$AD, "&lt;&gt;IntegratorValidationComment"))</f>
        <v/>
      </c>
      <c r="AB1401" s="7" t="str">
        <f>IF(ISBLANK(patch[[#This Row],[project]]), "",COUNTIFS($A:$A,patch[[#This Row],[number]],$S:$S, "SH And dev",$AD:$AD, "&lt;&gt;IntegratorValidationComment"))</f>
        <v/>
      </c>
      <c r="AC1401" s="7" t="str">
        <f>IF(OR(ISNUMBER(FIND("Review-1", patch[[#This Row],[comments]])), ISNUMBER(FIND("Approver-1", patch[[#This Row],[comments]]))), "Review-1", "")</f>
        <v/>
      </c>
      <c r="AD14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01" s="7">
        <f>IF(ISBLANK(patch[[#This Row],[number]]),AE1400,patch[[#This Row],[ifCommon]])</f>
        <v>0</v>
      </c>
    </row>
    <row r="1402" spans="1:31">
      <c r="A1402" s="151">
        <v>144573</v>
      </c>
      <c r="B1402" s="151"/>
      <c r="C1402" s="151"/>
      <c r="D1402" s="151"/>
      <c r="E1402" s="151"/>
      <c r="F1402" s="151"/>
      <c r="G1402" s="151"/>
      <c r="H1402" s="151"/>
      <c r="I1402" s="151"/>
      <c r="J1402" s="152">
        <v>42633.709490740737</v>
      </c>
      <c r="K1402" s="151"/>
      <c r="L1402" s="151" t="s">
        <v>32</v>
      </c>
      <c r="M1402" s="152">
        <v>42627.66846064815</v>
      </c>
      <c r="N1402" s="151" t="s">
        <v>2536</v>
      </c>
      <c r="O1402" s="151"/>
      <c r="P1402" s="151"/>
      <c r="Q1402" s="7" t="str">
        <f>IF(ISBLANK(patch[[#This Row],[OwnerEmail]]),Q1401,patch[[#This Row],[OwnerEmail]])</f>
        <v>gang.a.hu@intel.com</v>
      </c>
      <c r="R1402" s="7" t="str">
        <f>_xlfn.IFNA(VLOOKUP(patch[[#This Row],[tmp-owner.email]],OrgTree!$A:$K, 11, 0), "not ICG SWFW")</f>
        <v>BJ And dev</v>
      </c>
      <c r="S1402" s="7" t="str">
        <f>IF(patch[[#This Row],[reviewer]]=patch[[#This Row],[tmp-owner.email]], "author", _xlfn.IFNA(VLOOKUP(patch[[#This Row],[reviewer]],OrgTree!$A:$K, 11, 0), "not ICG SWFW"))</f>
        <v>author</v>
      </c>
      <c r="T1402" s="7" t="str">
        <f>IF(ISBLANK(patch[[#This Row],[mergeDate]]), "", MID(YEAR(patch[[#This Row],[mergeDate]]), 3,2)&amp;"'ww"&amp;WEEKNUM(patch[[#This Row],[mergeDate]]))</f>
        <v>16'ww39</v>
      </c>
      <c r="U1402" s="7" t="str">
        <f>IF(ISBLANK(patch[[#This Row],[mergeDate]]), U1401, MID(YEAR(patch[[#This Row],[mergeDate]]), 3,2)&amp;"'m"&amp;MONTH(patch[[#This Row],[mergeDate]]))</f>
        <v>16'm9</v>
      </c>
      <c r="V1402" s="7" t="str">
        <f>IF(ISBLANK(patch[[#This Row],[project]]), "",SUM(patch[[#This Row],[BJ -1 num]:[SH -1 num]]))</f>
        <v/>
      </c>
      <c r="W1402" s="7" t="str">
        <f>IF(ISBLANK(patch[[#This Row],[project]]), "",COUNTIFS($A:$A,patch[[#This Row],[number]],$S:$S, "BJ And dev",$AC:$AC, "Review-1"))</f>
        <v/>
      </c>
      <c r="X1402" s="7" t="str">
        <f>IF(ISBLANK(patch[[#This Row],[project]]), "",COUNTIFS($A:$A,patch[[#This Row],[number]],$S:$S, "FL And dev",$AC:$AC, "Review-1"))</f>
        <v/>
      </c>
      <c r="Y1402" s="7" t="str">
        <f>IF(ISBLANK(patch[[#This Row],[project]]), "",COUNTIFS($A:$A,patch[[#This Row],[number]],$S:$S, "SH And dev",$AC:$AC, "Review-1"))</f>
        <v/>
      </c>
      <c r="Z1402" s="7" t="str">
        <f>IF(ISBLANK(patch[[#This Row],[project]]), "",COUNTIFS($A:$A,patch[[#This Row],[number]],$S:$S, "BJ And dev",$AD:$AD, "&lt;&gt;IntegratorValidationComment"))</f>
        <v/>
      </c>
      <c r="AA1402" s="7" t="str">
        <f>IF(ISBLANK(patch[[#This Row],[project]]), "",COUNTIFS($A:$A,patch[[#This Row],[number]],$S:$S, "FL And dev",$AD:$AD, "&lt;&gt;IntegratorValidationComment"))</f>
        <v/>
      </c>
      <c r="AB1402" s="7" t="str">
        <f>IF(ISBLANK(patch[[#This Row],[project]]), "",COUNTIFS($A:$A,patch[[#This Row],[number]],$S:$S, "SH And dev",$AD:$AD, "&lt;&gt;IntegratorValidationComment"))</f>
        <v/>
      </c>
      <c r="AC1402" s="7" t="str">
        <f>IF(OR(ISNUMBER(FIND("Review-1", patch[[#This Row],[comments]])), ISNUMBER(FIND("Approver-1", patch[[#This Row],[comments]]))), "Review-1", "")</f>
        <v/>
      </c>
      <c r="AD14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02" s="7">
        <f>IF(ISBLANK(patch[[#This Row],[number]]),AE1401,patch[[#This Row],[ifCommon]])</f>
        <v>0</v>
      </c>
    </row>
    <row r="1403" spans="1:31">
      <c r="A1403" s="151">
        <v>144573</v>
      </c>
      <c r="B1403" s="151"/>
      <c r="C1403" s="151"/>
      <c r="D1403" s="151"/>
      <c r="E1403" s="151"/>
      <c r="F1403" s="151"/>
      <c r="G1403" s="151"/>
      <c r="H1403" s="151"/>
      <c r="I1403" s="151"/>
      <c r="J1403" s="152">
        <v>42633.709490740737</v>
      </c>
      <c r="K1403" s="151"/>
      <c r="L1403" s="151" t="s">
        <v>32</v>
      </c>
      <c r="M1403" s="152">
        <v>42627.66847222222</v>
      </c>
      <c r="N1403" s="151" t="s">
        <v>2451</v>
      </c>
      <c r="O1403" s="151"/>
      <c r="P1403" s="151"/>
      <c r="Q1403" s="7" t="str">
        <f>IF(ISBLANK(patch[[#This Row],[OwnerEmail]]),Q1402,patch[[#This Row],[OwnerEmail]])</f>
        <v>gang.a.hu@intel.com</v>
      </c>
      <c r="R1403" s="7" t="str">
        <f>_xlfn.IFNA(VLOOKUP(patch[[#This Row],[tmp-owner.email]],OrgTree!$A:$K, 11, 0), "not ICG SWFW")</f>
        <v>BJ And dev</v>
      </c>
      <c r="S1403" s="7" t="str">
        <f>IF(patch[[#This Row],[reviewer]]=patch[[#This Row],[tmp-owner.email]], "author", _xlfn.IFNA(VLOOKUP(patch[[#This Row],[reviewer]],OrgTree!$A:$K, 11, 0), "not ICG SWFW"))</f>
        <v>author</v>
      </c>
      <c r="T1403" s="7" t="str">
        <f>IF(ISBLANK(patch[[#This Row],[mergeDate]]), "", MID(YEAR(patch[[#This Row],[mergeDate]]), 3,2)&amp;"'ww"&amp;WEEKNUM(patch[[#This Row],[mergeDate]]))</f>
        <v>16'ww39</v>
      </c>
      <c r="U1403" s="7" t="str">
        <f>IF(ISBLANK(patch[[#This Row],[mergeDate]]), U1402, MID(YEAR(patch[[#This Row],[mergeDate]]), 3,2)&amp;"'m"&amp;MONTH(patch[[#This Row],[mergeDate]]))</f>
        <v>16'm9</v>
      </c>
      <c r="V1403" s="7" t="str">
        <f>IF(ISBLANK(patch[[#This Row],[project]]), "",SUM(patch[[#This Row],[BJ -1 num]:[SH -1 num]]))</f>
        <v/>
      </c>
      <c r="W1403" s="7" t="str">
        <f>IF(ISBLANK(patch[[#This Row],[project]]), "",COUNTIFS($A:$A,patch[[#This Row],[number]],$S:$S, "BJ And dev",$AC:$AC, "Review-1"))</f>
        <v/>
      </c>
      <c r="X1403" s="7" t="str">
        <f>IF(ISBLANK(patch[[#This Row],[project]]), "",COUNTIFS($A:$A,patch[[#This Row],[number]],$S:$S, "FL And dev",$AC:$AC, "Review-1"))</f>
        <v/>
      </c>
      <c r="Y1403" s="7" t="str">
        <f>IF(ISBLANK(patch[[#This Row],[project]]), "",COUNTIFS($A:$A,patch[[#This Row],[number]],$S:$S, "SH And dev",$AC:$AC, "Review-1"))</f>
        <v/>
      </c>
      <c r="Z1403" s="7" t="str">
        <f>IF(ISBLANK(patch[[#This Row],[project]]), "",COUNTIFS($A:$A,patch[[#This Row],[number]],$S:$S, "BJ And dev",$AD:$AD, "&lt;&gt;IntegratorValidationComment"))</f>
        <v/>
      </c>
      <c r="AA1403" s="7" t="str">
        <f>IF(ISBLANK(patch[[#This Row],[project]]), "",COUNTIFS($A:$A,patch[[#This Row],[number]],$S:$S, "FL And dev",$AD:$AD, "&lt;&gt;IntegratorValidationComment"))</f>
        <v/>
      </c>
      <c r="AB1403" s="7" t="str">
        <f>IF(ISBLANK(patch[[#This Row],[project]]), "",COUNTIFS($A:$A,patch[[#This Row],[number]],$S:$S, "SH And dev",$AD:$AD, "&lt;&gt;IntegratorValidationComment"))</f>
        <v/>
      </c>
      <c r="AC1403" s="7" t="str">
        <f>IF(OR(ISNUMBER(FIND("Review-1", patch[[#This Row],[comments]])), ISNUMBER(FIND("Approver-1", patch[[#This Row],[comments]]))), "Review-1", "")</f>
        <v/>
      </c>
      <c r="AD14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03" s="7">
        <f>IF(ISBLANK(patch[[#This Row],[number]]),AE1402,patch[[#This Row],[ifCommon]])</f>
        <v>0</v>
      </c>
    </row>
    <row r="1404" spans="1:31">
      <c r="A1404" s="151">
        <v>144573</v>
      </c>
      <c r="B1404" s="151"/>
      <c r="C1404" s="151"/>
      <c r="D1404" s="151"/>
      <c r="E1404" s="151"/>
      <c r="F1404" s="151"/>
      <c r="G1404" s="151"/>
      <c r="H1404" s="151"/>
      <c r="I1404" s="151"/>
      <c r="J1404" s="152">
        <v>42633.709490740737</v>
      </c>
      <c r="K1404" s="151"/>
      <c r="L1404" s="151" t="s">
        <v>59</v>
      </c>
      <c r="M1404" s="152">
        <v>42627.675775462973</v>
      </c>
      <c r="N1404" s="151" t="s">
        <v>3277</v>
      </c>
      <c r="O1404" s="151"/>
      <c r="P1404" s="151"/>
      <c r="Q1404" s="7" t="str">
        <f>IF(ISBLANK(patch[[#This Row],[OwnerEmail]]),Q1403,patch[[#This Row],[OwnerEmail]])</f>
        <v>gang.a.hu@intel.com</v>
      </c>
      <c r="R1404" s="7" t="str">
        <f>_xlfn.IFNA(VLOOKUP(patch[[#This Row],[tmp-owner.email]],OrgTree!$A:$K, 11, 0), "not ICG SWFW")</f>
        <v>BJ And dev</v>
      </c>
      <c r="S1404" s="7" t="str">
        <f>IF(patch[[#This Row],[reviewer]]=patch[[#This Row],[tmp-owner.email]], "author", _xlfn.IFNA(VLOOKUP(patch[[#This Row],[reviewer]],OrgTree!$A:$K, 11, 0), "not ICG SWFW"))</f>
        <v>BJ And dev</v>
      </c>
      <c r="T1404" s="7" t="str">
        <f>IF(ISBLANK(patch[[#This Row],[mergeDate]]), "", MID(YEAR(patch[[#This Row],[mergeDate]]), 3,2)&amp;"'ww"&amp;WEEKNUM(patch[[#This Row],[mergeDate]]))</f>
        <v>16'ww39</v>
      </c>
      <c r="U1404" s="7" t="str">
        <f>IF(ISBLANK(patch[[#This Row],[mergeDate]]), U1403, MID(YEAR(patch[[#This Row],[mergeDate]]), 3,2)&amp;"'m"&amp;MONTH(patch[[#This Row],[mergeDate]]))</f>
        <v>16'm9</v>
      </c>
      <c r="V1404" s="7" t="str">
        <f>IF(ISBLANK(patch[[#This Row],[project]]), "",SUM(patch[[#This Row],[BJ -1 num]:[SH -1 num]]))</f>
        <v/>
      </c>
      <c r="W1404" s="7" t="str">
        <f>IF(ISBLANK(patch[[#This Row],[project]]), "",COUNTIFS($A:$A,patch[[#This Row],[number]],$S:$S, "BJ And dev",$AC:$AC, "Review-1"))</f>
        <v/>
      </c>
      <c r="X1404" s="7" t="str">
        <f>IF(ISBLANK(patch[[#This Row],[project]]), "",COUNTIFS($A:$A,patch[[#This Row],[number]],$S:$S, "FL And dev",$AC:$AC, "Review-1"))</f>
        <v/>
      </c>
      <c r="Y1404" s="7" t="str">
        <f>IF(ISBLANK(patch[[#This Row],[project]]), "",COUNTIFS($A:$A,patch[[#This Row],[number]],$S:$S, "SH And dev",$AC:$AC, "Review-1"))</f>
        <v/>
      </c>
      <c r="Z1404" s="7" t="str">
        <f>IF(ISBLANK(patch[[#This Row],[project]]), "",COUNTIFS($A:$A,patch[[#This Row],[number]],$S:$S, "BJ And dev",$AD:$AD, "&lt;&gt;IntegratorValidationComment"))</f>
        <v/>
      </c>
      <c r="AA1404" s="7" t="str">
        <f>IF(ISBLANK(patch[[#This Row],[project]]), "",COUNTIFS($A:$A,patch[[#This Row],[number]],$S:$S, "FL And dev",$AD:$AD, "&lt;&gt;IntegratorValidationComment"))</f>
        <v/>
      </c>
      <c r="AB1404" s="7" t="str">
        <f>IF(ISBLANK(patch[[#This Row],[project]]), "",COUNTIFS($A:$A,patch[[#This Row],[number]],$S:$S, "SH And dev",$AD:$AD, "&lt;&gt;IntegratorValidationComment"))</f>
        <v/>
      </c>
      <c r="AC1404" s="7" t="str">
        <f>IF(OR(ISNUMBER(FIND("Review-1", patch[[#This Row],[comments]])), ISNUMBER(FIND("Approver-1", patch[[#This Row],[comments]]))), "Review-1", "")</f>
        <v/>
      </c>
      <c r="AD14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04" s="7">
        <f>IF(ISBLANK(patch[[#This Row],[number]]),AE1403,patch[[#This Row],[ifCommon]])</f>
        <v>0</v>
      </c>
    </row>
    <row r="1405" spans="1:31">
      <c r="A1405" s="151">
        <v>144573</v>
      </c>
      <c r="B1405" s="151"/>
      <c r="C1405" s="151"/>
      <c r="D1405" s="151"/>
      <c r="E1405" s="151"/>
      <c r="F1405" s="151"/>
      <c r="G1405" s="151"/>
      <c r="H1405" s="151"/>
      <c r="I1405" s="151"/>
      <c r="J1405" s="152">
        <v>42633.709490740737</v>
      </c>
      <c r="K1405" s="151"/>
      <c r="L1405" s="151" t="s">
        <v>59</v>
      </c>
      <c r="M1405" s="152">
        <v>42627.680914351848</v>
      </c>
      <c r="N1405" s="151" t="s">
        <v>3278</v>
      </c>
      <c r="O1405" s="151"/>
      <c r="P1405" s="151"/>
      <c r="Q1405" s="7" t="str">
        <f>IF(ISBLANK(patch[[#This Row],[OwnerEmail]]),Q1404,patch[[#This Row],[OwnerEmail]])</f>
        <v>gang.a.hu@intel.com</v>
      </c>
      <c r="R1405" s="7" t="str">
        <f>_xlfn.IFNA(VLOOKUP(patch[[#This Row],[tmp-owner.email]],OrgTree!$A:$K, 11, 0), "not ICG SWFW")</f>
        <v>BJ And dev</v>
      </c>
      <c r="S1405" s="7" t="str">
        <f>IF(patch[[#This Row],[reviewer]]=patch[[#This Row],[tmp-owner.email]], "author", _xlfn.IFNA(VLOOKUP(patch[[#This Row],[reviewer]],OrgTree!$A:$K, 11, 0), "not ICG SWFW"))</f>
        <v>BJ And dev</v>
      </c>
      <c r="T1405" s="7" t="str">
        <f>IF(ISBLANK(patch[[#This Row],[mergeDate]]), "", MID(YEAR(patch[[#This Row],[mergeDate]]), 3,2)&amp;"'ww"&amp;WEEKNUM(patch[[#This Row],[mergeDate]]))</f>
        <v>16'ww39</v>
      </c>
      <c r="U1405" s="7" t="str">
        <f>IF(ISBLANK(patch[[#This Row],[mergeDate]]), U1404, MID(YEAR(patch[[#This Row],[mergeDate]]), 3,2)&amp;"'m"&amp;MONTH(patch[[#This Row],[mergeDate]]))</f>
        <v>16'm9</v>
      </c>
      <c r="V1405" s="7" t="str">
        <f>IF(ISBLANK(patch[[#This Row],[project]]), "",SUM(patch[[#This Row],[BJ -1 num]:[SH -1 num]]))</f>
        <v/>
      </c>
      <c r="W1405" s="7" t="str">
        <f>IF(ISBLANK(patch[[#This Row],[project]]), "",COUNTIFS($A:$A,patch[[#This Row],[number]],$S:$S, "BJ And dev",$AC:$AC, "Review-1"))</f>
        <v/>
      </c>
      <c r="X1405" s="7" t="str">
        <f>IF(ISBLANK(patch[[#This Row],[project]]), "",COUNTIFS($A:$A,patch[[#This Row],[number]],$S:$S, "FL And dev",$AC:$AC, "Review-1"))</f>
        <v/>
      </c>
      <c r="Y1405" s="7" t="str">
        <f>IF(ISBLANK(patch[[#This Row],[project]]), "",COUNTIFS($A:$A,patch[[#This Row],[number]],$S:$S, "SH And dev",$AC:$AC, "Review-1"))</f>
        <v/>
      </c>
      <c r="Z1405" s="7" t="str">
        <f>IF(ISBLANK(patch[[#This Row],[project]]), "",COUNTIFS($A:$A,patch[[#This Row],[number]],$S:$S, "BJ And dev",$AD:$AD, "&lt;&gt;IntegratorValidationComment"))</f>
        <v/>
      </c>
      <c r="AA1405" s="7" t="str">
        <f>IF(ISBLANK(patch[[#This Row],[project]]), "",COUNTIFS($A:$A,patch[[#This Row],[number]],$S:$S, "FL And dev",$AD:$AD, "&lt;&gt;IntegratorValidationComment"))</f>
        <v/>
      </c>
      <c r="AB1405" s="7" t="str">
        <f>IF(ISBLANK(patch[[#This Row],[project]]), "",COUNTIFS($A:$A,patch[[#This Row],[number]],$S:$S, "SH And dev",$AD:$AD, "&lt;&gt;IntegratorValidationComment"))</f>
        <v/>
      </c>
      <c r="AC1405" s="7" t="str">
        <f>IF(OR(ISNUMBER(FIND("Review-1", patch[[#This Row],[comments]])), ISNUMBER(FIND("Approver-1", patch[[#This Row],[comments]]))), "Review-1", "")</f>
        <v/>
      </c>
      <c r="AD14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05" s="7">
        <f>IF(ISBLANK(patch[[#This Row],[number]]),AE1404,patch[[#This Row],[ifCommon]])</f>
        <v>0</v>
      </c>
    </row>
    <row r="1406" spans="1:31">
      <c r="A1406" s="151">
        <v>144573</v>
      </c>
      <c r="B1406" s="151"/>
      <c r="C1406" s="151"/>
      <c r="D1406" s="151"/>
      <c r="E1406" s="151"/>
      <c r="F1406" s="151"/>
      <c r="G1406" s="151"/>
      <c r="H1406" s="151"/>
      <c r="I1406" s="151"/>
      <c r="J1406" s="152">
        <v>42633.709490740737</v>
      </c>
      <c r="K1406" s="151"/>
      <c r="L1406" s="151" t="s">
        <v>115</v>
      </c>
      <c r="M1406" s="152">
        <v>42632.425578703696</v>
      </c>
      <c r="N1406" s="151" t="s">
        <v>2496</v>
      </c>
      <c r="O1406" s="151"/>
      <c r="P1406" s="151"/>
      <c r="Q1406" s="7" t="str">
        <f>IF(ISBLANK(patch[[#This Row],[OwnerEmail]]),Q1405,patch[[#This Row],[OwnerEmail]])</f>
        <v>gang.a.hu@intel.com</v>
      </c>
      <c r="R1406" s="7" t="str">
        <f>_xlfn.IFNA(VLOOKUP(patch[[#This Row],[tmp-owner.email]],OrgTree!$A:$K, 11, 0), "not ICG SWFW")</f>
        <v>BJ And dev</v>
      </c>
      <c r="S1406" s="7" t="str">
        <f>IF(patch[[#This Row],[reviewer]]=patch[[#This Row],[tmp-owner.email]], "author", _xlfn.IFNA(VLOOKUP(patch[[#This Row],[reviewer]],OrgTree!$A:$K, 11, 0), "not ICG SWFW"))</f>
        <v>Val</v>
      </c>
      <c r="T1406" s="7" t="str">
        <f>IF(ISBLANK(patch[[#This Row],[mergeDate]]), "", MID(YEAR(patch[[#This Row],[mergeDate]]), 3,2)&amp;"'ww"&amp;WEEKNUM(patch[[#This Row],[mergeDate]]))</f>
        <v>16'ww39</v>
      </c>
      <c r="U1406" s="7" t="str">
        <f>IF(ISBLANK(patch[[#This Row],[mergeDate]]), U1405, MID(YEAR(patch[[#This Row],[mergeDate]]), 3,2)&amp;"'m"&amp;MONTH(patch[[#This Row],[mergeDate]]))</f>
        <v>16'm9</v>
      </c>
      <c r="V1406" s="7" t="str">
        <f>IF(ISBLANK(patch[[#This Row],[project]]), "",SUM(patch[[#This Row],[BJ -1 num]:[SH -1 num]]))</f>
        <v/>
      </c>
      <c r="W1406" s="7" t="str">
        <f>IF(ISBLANK(patch[[#This Row],[project]]), "",COUNTIFS($A:$A,patch[[#This Row],[number]],$S:$S, "BJ And dev",$AC:$AC, "Review-1"))</f>
        <v/>
      </c>
      <c r="X1406" s="7" t="str">
        <f>IF(ISBLANK(patch[[#This Row],[project]]), "",COUNTIFS($A:$A,patch[[#This Row],[number]],$S:$S, "FL And dev",$AC:$AC, "Review-1"))</f>
        <v/>
      </c>
      <c r="Y1406" s="7" t="str">
        <f>IF(ISBLANK(patch[[#This Row],[project]]), "",COUNTIFS($A:$A,patch[[#This Row],[number]],$S:$S, "SH And dev",$AC:$AC, "Review-1"))</f>
        <v/>
      </c>
      <c r="Z1406" s="7" t="str">
        <f>IF(ISBLANK(patch[[#This Row],[project]]), "",COUNTIFS($A:$A,patch[[#This Row],[number]],$S:$S, "BJ And dev",$AD:$AD, "&lt;&gt;IntegratorValidationComment"))</f>
        <v/>
      </c>
      <c r="AA1406" s="7" t="str">
        <f>IF(ISBLANK(patch[[#This Row],[project]]), "",COUNTIFS($A:$A,patch[[#This Row],[number]],$S:$S, "FL And dev",$AD:$AD, "&lt;&gt;IntegratorValidationComment"))</f>
        <v/>
      </c>
      <c r="AB1406" s="7" t="str">
        <f>IF(ISBLANK(patch[[#This Row],[project]]), "",COUNTIFS($A:$A,patch[[#This Row],[number]],$S:$S, "SH And dev",$AD:$AD, "&lt;&gt;IntegratorValidationComment"))</f>
        <v/>
      </c>
      <c r="AC1406" s="7" t="str">
        <f>IF(OR(ISNUMBER(FIND("Review-1", patch[[#This Row],[comments]])), ISNUMBER(FIND("Approver-1", patch[[#This Row],[comments]]))), "Review-1", "")</f>
        <v/>
      </c>
      <c r="AD14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406" s="7">
        <f>IF(ISBLANK(patch[[#This Row],[number]]),AE1405,patch[[#This Row],[ifCommon]])</f>
        <v>0</v>
      </c>
    </row>
    <row r="1407" spans="1:31">
      <c r="A1407" s="151">
        <v>144558</v>
      </c>
      <c r="B1407" s="151" t="s">
        <v>2490</v>
      </c>
      <c r="C1407" s="151" t="s">
        <v>2491</v>
      </c>
      <c r="D1407" s="151" t="s">
        <v>3074</v>
      </c>
      <c r="E1407" s="151" t="s">
        <v>32</v>
      </c>
      <c r="F1407" s="151" t="s">
        <v>23</v>
      </c>
      <c r="G1407" s="151" t="s">
        <v>3075</v>
      </c>
      <c r="H1407" s="151" t="s">
        <v>3076</v>
      </c>
      <c r="I1407" s="152">
        <v>42625.482604166667</v>
      </c>
      <c r="J1407" s="152">
        <v>42633.709398148138</v>
      </c>
      <c r="K1407" s="151" t="s">
        <v>2445</v>
      </c>
      <c r="L1407" s="151" t="s">
        <v>32</v>
      </c>
      <c r="M1407" s="152">
        <v>42625.482604166667</v>
      </c>
      <c r="N1407" s="151" t="s">
        <v>25</v>
      </c>
      <c r="O1407" s="151"/>
      <c r="P1407" s="151" t="s">
        <v>3279</v>
      </c>
      <c r="Q1407" s="7" t="str">
        <f>IF(ISBLANK(patch[[#This Row],[OwnerEmail]]),Q1406,patch[[#This Row],[OwnerEmail]])</f>
        <v>gang.a.hu@intel.com</v>
      </c>
      <c r="R1407" s="7" t="str">
        <f>_xlfn.IFNA(VLOOKUP(patch[[#This Row],[tmp-owner.email]],OrgTree!$A:$K, 11, 0), "not ICG SWFW")</f>
        <v>BJ And dev</v>
      </c>
      <c r="S1407" s="7" t="str">
        <f>IF(patch[[#This Row],[reviewer]]=patch[[#This Row],[tmp-owner.email]], "author", _xlfn.IFNA(VLOOKUP(patch[[#This Row],[reviewer]],OrgTree!$A:$K, 11, 0), "not ICG SWFW"))</f>
        <v>author</v>
      </c>
      <c r="T1407" s="7" t="str">
        <f>IF(ISBLANK(patch[[#This Row],[mergeDate]]), "", MID(YEAR(patch[[#This Row],[mergeDate]]), 3,2)&amp;"'ww"&amp;WEEKNUM(patch[[#This Row],[mergeDate]]))</f>
        <v>16'ww39</v>
      </c>
      <c r="U1407" s="7" t="str">
        <f>IF(ISBLANK(patch[[#This Row],[mergeDate]]), U1406, MID(YEAR(patch[[#This Row],[mergeDate]]), 3,2)&amp;"'m"&amp;MONTH(patch[[#This Row],[mergeDate]]))</f>
        <v>16'm9</v>
      </c>
      <c r="V1407" s="7">
        <f>IF(ISBLANK(patch[[#This Row],[project]]), "",SUM(patch[[#This Row],[BJ -1 num]:[SH -1 num]]))</f>
        <v>0</v>
      </c>
      <c r="W1407" s="7">
        <f>IF(ISBLANK(patch[[#This Row],[project]]), "",COUNTIFS($A:$A,patch[[#This Row],[number]],$S:$S, "BJ And dev",$AC:$AC, "Review-1"))</f>
        <v>0</v>
      </c>
      <c r="X1407" s="7">
        <f>IF(ISBLANK(patch[[#This Row],[project]]), "",COUNTIFS($A:$A,patch[[#This Row],[number]],$S:$S, "FL And dev",$AC:$AC, "Review-1"))</f>
        <v>0</v>
      </c>
      <c r="Y1407" s="7">
        <f>IF(ISBLANK(patch[[#This Row],[project]]), "",COUNTIFS($A:$A,patch[[#This Row],[number]],$S:$S, "SH And dev",$AC:$AC, "Review-1"))</f>
        <v>0</v>
      </c>
      <c r="Z1407" s="7">
        <f>IF(ISBLANK(patch[[#This Row],[project]]), "",COUNTIFS($A:$A,patch[[#This Row],[number]],$S:$S, "BJ And dev",$AD:$AD, "&lt;&gt;IntegratorValidationComment"))</f>
        <v>16</v>
      </c>
      <c r="AA1407" s="7">
        <f>IF(ISBLANK(patch[[#This Row],[project]]), "",COUNTIFS($A:$A,patch[[#This Row],[number]],$S:$S, "FL And dev",$AD:$AD, "&lt;&gt;IntegratorValidationComment"))</f>
        <v>0</v>
      </c>
      <c r="AB1407" s="7">
        <f>IF(ISBLANK(patch[[#This Row],[project]]), "",COUNTIFS($A:$A,patch[[#This Row],[number]],$S:$S, "SH And dev",$AD:$AD, "&lt;&gt;IntegratorValidationComment"))</f>
        <v>0</v>
      </c>
      <c r="AC1407" s="7" t="str">
        <f>IF(OR(ISNUMBER(FIND("Review-1", patch[[#This Row],[comments]])), ISNUMBER(FIND("Approver-1", patch[[#This Row],[comments]]))), "Review-1", "")</f>
        <v/>
      </c>
      <c r="AD14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07" s="7" t="str">
        <f>IF(ISBLANK(patch[[#This Row],[number]]),AE1406,patch[[#This Row],[ifCommon]])</f>
        <v>not AndrHAL</v>
      </c>
    </row>
    <row r="1408" spans="1:31">
      <c r="A1408" s="151">
        <v>144558</v>
      </c>
      <c r="B1408" s="151"/>
      <c r="C1408" s="151"/>
      <c r="D1408" s="151"/>
      <c r="E1408" s="151"/>
      <c r="F1408" s="151"/>
      <c r="G1408" s="151"/>
      <c r="H1408" s="151"/>
      <c r="I1408" s="151"/>
      <c r="J1408" s="152">
        <v>42633.709398148138</v>
      </c>
      <c r="K1408" s="151"/>
      <c r="L1408" s="151" t="s">
        <v>32</v>
      </c>
      <c r="M1408" s="152">
        <v>42625.482604166667</v>
      </c>
      <c r="N1408" s="151" t="s">
        <v>2428</v>
      </c>
      <c r="O1408" s="151"/>
      <c r="P1408" s="151"/>
      <c r="Q1408" s="7" t="str">
        <f>IF(ISBLANK(patch[[#This Row],[OwnerEmail]]),Q1407,patch[[#This Row],[OwnerEmail]])</f>
        <v>gang.a.hu@intel.com</v>
      </c>
      <c r="R1408" s="7" t="str">
        <f>_xlfn.IFNA(VLOOKUP(patch[[#This Row],[tmp-owner.email]],OrgTree!$A:$K, 11, 0), "not ICG SWFW")</f>
        <v>BJ And dev</v>
      </c>
      <c r="S1408" s="7" t="str">
        <f>IF(patch[[#This Row],[reviewer]]=patch[[#This Row],[tmp-owner.email]], "author", _xlfn.IFNA(VLOOKUP(patch[[#This Row],[reviewer]],OrgTree!$A:$K, 11, 0), "not ICG SWFW"))</f>
        <v>author</v>
      </c>
      <c r="T1408" s="7" t="str">
        <f>IF(ISBLANK(patch[[#This Row],[mergeDate]]), "", MID(YEAR(patch[[#This Row],[mergeDate]]), 3,2)&amp;"'ww"&amp;WEEKNUM(patch[[#This Row],[mergeDate]]))</f>
        <v>16'ww39</v>
      </c>
      <c r="U1408" s="7" t="str">
        <f>IF(ISBLANK(patch[[#This Row],[mergeDate]]), U1407, MID(YEAR(patch[[#This Row],[mergeDate]]), 3,2)&amp;"'m"&amp;MONTH(patch[[#This Row],[mergeDate]]))</f>
        <v>16'm9</v>
      </c>
      <c r="V1408" s="7" t="str">
        <f>IF(ISBLANK(patch[[#This Row],[project]]), "",SUM(patch[[#This Row],[BJ -1 num]:[SH -1 num]]))</f>
        <v/>
      </c>
      <c r="W1408" s="7" t="str">
        <f>IF(ISBLANK(patch[[#This Row],[project]]), "",COUNTIFS($A:$A,patch[[#This Row],[number]],$S:$S, "BJ And dev",$AC:$AC, "Review-1"))</f>
        <v/>
      </c>
      <c r="X1408" s="7" t="str">
        <f>IF(ISBLANK(patch[[#This Row],[project]]), "",COUNTIFS($A:$A,patch[[#This Row],[number]],$S:$S, "FL And dev",$AC:$AC, "Review-1"))</f>
        <v/>
      </c>
      <c r="Y1408" s="7" t="str">
        <f>IF(ISBLANK(patch[[#This Row],[project]]), "",COUNTIFS($A:$A,patch[[#This Row],[number]],$S:$S, "SH And dev",$AC:$AC, "Review-1"))</f>
        <v/>
      </c>
      <c r="Z1408" s="7" t="str">
        <f>IF(ISBLANK(patch[[#This Row],[project]]), "",COUNTIFS($A:$A,patch[[#This Row],[number]],$S:$S, "BJ And dev",$AD:$AD, "&lt;&gt;IntegratorValidationComment"))</f>
        <v/>
      </c>
      <c r="AA1408" s="7" t="str">
        <f>IF(ISBLANK(patch[[#This Row],[project]]), "",COUNTIFS($A:$A,patch[[#This Row],[number]],$S:$S, "FL And dev",$AD:$AD, "&lt;&gt;IntegratorValidationComment"))</f>
        <v/>
      </c>
      <c r="AB1408" s="7" t="str">
        <f>IF(ISBLANK(patch[[#This Row],[project]]), "",COUNTIFS($A:$A,patch[[#This Row],[number]],$S:$S, "SH And dev",$AD:$AD, "&lt;&gt;IntegratorValidationComment"))</f>
        <v/>
      </c>
      <c r="AC1408" s="7" t="str">
        <f>IF(OR(ISNUMBER(FIND("Review-1", patch[[#This Row],[comments]])), ISNUMBER(FIND("Approver-1", patch[[#This Row],[comments]]))), "Review-1", "")</f>
        <v/>
      </c>
      <c r="AD14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08" s="7">
        <f>IF(ISBLANK(patch[[#This Row],[number]]),AE1407,patch[[#This Row],[ifCommon]])</f>
        <v>0</v>
      </c>
    </row>
    <row r="1409" spans="1:31">
      <c r="A1409" s="151">
        <v>144558</v>
      </c>
      <c r="B1409" s="151"/>
      <c r="C1409" s="151"/>
      <c r="D1409" s="151"/>
      <c r="E1409" s="151"/>
      <c r="F1409" s="151"/>
      <c r="G1409" s="151"/>
      <c r="H1409" s="151"/>
      <c r="I1409" s="151"/>
      <c r="J1409" s="152">
        <v>42633.709398148138</v>
      </c>
      <c r="K1409" s="151"/>
      <c r="L1409" s="151" t="s">
        <v>59</v>
      </c>
      <c r="M1409" s="152">
        <v>42625.48810185185</v>
      </c>
      <c r="N1409" s="151" t="s">
        <v>3280</v>
      </c>
      <c r="O1409" s="151"/>
      <c r="P1409" s="151"/>
      <c r="Q1409" s="7" t="str">
        <f>IF(ISBLANK(patch[[#This Row],[OwnerEmail]]),Q1408,patch[[#This Row],[OwnerEmail]])</f>
        <v>gang.a.hu@intel.com</v>
      </c>
      <c r="R1409" s="7" t="str">
        <f>_xlfn.IFNA(VLOOKUP(patch[[#This Row],[tmp-owner.email]],OrgTree!$A:$K, 11, 0), "not ICG SWFW")</f>
        <v>BJ And dev</v>
      </c>
      <c r="S1409" s="7" t="str">
        <f>IF(patch[[#This Row],[reviewer]]=patch[[#This Row],[tmp-owner.email]], "author", _xlfn.IFNA(VLOOKUP(patch[[#This Row],[reviewer]],OrgTree!$A:$K, 11, 0), "not ICG SWFW"))</f>
        <v>BJ And dev</v>
      </c>
      <c r="T1409" s="7" t="str">
        <f>IF(ISBLANK(patch[[#This Row],[mergeDate]]), "", MID(YEAR(patch[[#This Row],[mergeDate]]), 3,2)&amp;"'ww"&amp;WEEKNUM(patch[[#This Row],[mergeDate]]))</f>
        <v>16'ww39</v>
      </c>
      <c r="U1409" s="7" t="str">
        <f>IF(ISBLANK(patch[[#This Row],[mergeDate]]), U1408, MID(YEAR(patch[[#This Row],[mergeDate]]), 3,2)&amp;"'m"&amp;MONTH(patch[[#This Row],[mergeDate]]))</f>
        <v>16'm9</v>
      </c>
      <c r="V1409" s="7" t="str">
        <f>IF(ISBLANK(patch[[#This Row],[project]]), "",SUM(patch[[#This Row],[BJ -1 num]:[SH -1 num]]))</f>
        <v/>
      </c>
      <c r="W1409" s="7" t="str">
        <f>IF(ISBLANK(patch[[#This Row],[project]]), "",COUNTIFS($A:$A,patch[[#This Row],[number]],$S:$S, "BJ And dev",$AC:$AC, "Review-1"))</f>
        <v/>
      </c>
      <c r="X1409" s="7" t="str">
        <f>IF(ISBLANK(patch[[#This Row],[project]]), "",COUNTIFS($A:$A,patch[[#This Row],[number]],$S:$S, "FL And dev",$AC:$AC, "Review-1"))</f>
        <v/>
      </c>
      <c r="Y1409" s="7" t="str">
        <f>IF(ISBLANK(patch[[#This Row],[project]]), "",COUNTIFS($A:$A,patch[[#This Row],[number]],$S:$S, "SH And dev",$AC:$AC, "Review-1"))</f>
        <v/>
      </c>
      <c r="Z1409" s="7" t="str">
        <f>IF(ISBLANK(patch[[#This Row],[project]]), "",COUNTIFS($A:$A,patch[[#This Row],[number]],$S:$S, "BJ And dev",$AD:$AD, "&lt;&gt;IntegratorValidationComment"))</f>
        <v/>
      </c>
      <c r="AA1409" s="7" t="str">
        <f>IF(ISBLANK(patch[[#This Row],[project]]), "",COUNTIFS($A:$A,patch[[#This Row],[number]],$S:$S, "FL And dev",$AD:$AD, "&lt;&gt;IntegratorValidationComment"))</f>
        <v/>
      </c>
      <c r="AB1409" s="7" t="str">
        <f>IF(ISBLANK(patch[[#This Row],[project]]), "",COUNTIFS($A:$A,patch[[#This Row],[number]],$S:$S, "SH And dev",$AD:$AD, "&lt;&gt;IntegratorValidationComment"))</f>
        <v/>
      </c>
      <c r="AC1409" s="7" t="str">
        <f>IF(OR(ISNUMBER(FIND("Review-1", patch[[#This Row],[comments]])), ISNUMBER(FIND("Approver-1", patch[[#This Row],[comments]]))), "Review-1", "")</f>
        <v/>
      </c>
      <c r="AD14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09" s="7">
        <f>IF(ISBLANK(patch[[#This Row],[number]]),AE1408,patch[[#This Row],[ifCommon]])</f>
        <v>0</v>
      </c>
    </row>
    <row r="1410" spans="1:31">
      <c r="A1410" s="151">
        <v>144558</v>
      </c>
      <c r="B1410" s="151"/>
      <c r="C1410" s="151"/>
      <c r="D1410" s="151"/>
      <c r="E1410" s="151"/>
      <c r="F1410" s="151"/>
      <c r="G1410" s="151"/>
      <c r="H1410" s="151"/>
      <c r="I1410" s="151"/>
      <c r="J1410" s="152">
        <v>42633.709398148138</v>
      </c>
      <c r="K1410" s="151"/>
      <c r="L1410" s="151" t="s">
        <v>59</v>
      </c>
      <c r="M1410" s="152">
        <v>42625.490879629629</v>
      </c>
      <c r="N1410" s="151" t="s">
        <v>3281</v>
      </c>
      <c r="O1410" s="151"/>
      <c r="P1410" s="151"/>
      <c r="Q1410" s="7" t="str">
        <f>IF(ISBLANK(patch[[#This Row],[OwnerEmail]]),Q1409,patch[[#This Row],[OwnerEmail]])</f>
        <v>gang.a.hu@intel.com</v>
      </c>
      <c r="R1410" s="7" t="str">
        <f>_xlfn.IFNA(VLOOKUP(patch[[#This Row],[tmp-owner.email]],OrgTree!$A:$K, 11, 0), "not ICG SWFW")</f>
        <v>BJ And dev</v>
      </c>
      <c r="S1410" s="7" t="str">
        <f>IF(patch[[#This Row],[reviewer]]=patch[[#This Row],[tmp-owner.email]], "author", _xlfn.IFNA(VLOOKUP(patch[[#This Row],[reviewer]],OrgTree!$A:$K, 11, 0), "not ICG SWFW"))</f>
        <v>BJ And dev</v>
      </c>
      <c r="T1410" s="7" t="str">
        <f>IF(ISBLANK(patch[[#This Row],[mergeDate]]), "", MID(YEAR(patch[[#This Row],[mergeDate]]), 3,2)&amp;"'ww"&amp;WEEKNUM(patch[[#This Row],[mergeDate]]))</f>
        <v>16'ww39</v>
      </c>
      <c r="U1410" s="7" t="str">
        <f>IF(ISBLANK(patch[[#This Row],[mergeDate]]), U1409, MID(YEAR(patch[[#This Row],[mergeDate]]), 3,2)&amp;"'m"&amp;MONTH(patch[[#This Row],[mergeDate]]))</f>
        <v>16'm9</v>
      </c>
      <c r="V1410" s="7" t="str">
        <f>IF(ISBLANK(patch[[#This Row],[project]]), "",SUM(patch[[#This Row],[BJ -1 num]:[SH -1 num]]))</f>
        <v/>
      </c>
      <c r="W1410" s="7" t="str">
        <f>IF(ISBLANK(patch[[#This Row],[project]]), "",COUNTIFS($A:$A,patch[[#This Row],[number]],$S:$S, "BJ And dev",$AC:$AC, "Review-1"))</f>
        <v/>
      </c>
      <c r="X1410" s="7" t="str">
        <f>IF(ISBLANK(patch[[#This Row],[project]]), "",COUNTIFS($A:$A,patch[[#This Row],[number]],$S:$S, "FL And dev",$AC:$AC, "Review-1"))</f>
        <v/>
      </c>
      <c r="Y1410" s="7" t="str">
        <f>IF(ISBLANK(patch[[#This Row],[project]]), "",COUNTIFS($A:$A,patch[[#This Row],[number]],$S:$S, "SH And dev",$AC:$AC, "Review-1"))</f>
        <v/>
      </c>
      <c r="Z1410" s="7" t="str">
        <f>IF(ISBLANK(patch[[#This Row],[project]]), "",COUNTIFS($A:$A,patch[[#This Row],[number]],$S:$S, "BJ And dev",$AD:$AD, "&lt;&gt;IntegratorValidationComment"))</f>
        <v/>
      </c>
      <c r="AA1410" s="7" t="str">
        <f>IF(ISBLANK(patch[[#This Row],[project]]), "",COUNTIFS($A:$A,patch[[#This Row],[number]],$S:$S, "FL And dev",$AD:$AD, "&lt;&gt;IntegratorValidationComment"))</f>
        <v/>
      </c>
      <c r="AB1410" s="7" t="str">
        <f>IF(ISBLANK(patch[[#This Row],[project]]), "",COUNTIFS($A:$A,patch[[#This Row],[number]],$S:$S, "SH And dev",$AD:$AD, "&lt;&gt;IntegratorValidationComment"))</f>
        <v/>
      </c>
      <c r="AC1410" s="7" t="str">
        <f>IF(OR(ISNUMBER(FIND("Review-1", patch[[#This Row],[comments]])), ISNUMBER(FIND("Approver-1", patch[[#This Row],[comments]]))), "Review-1", "")</f>
        <v/>
      </c>
      <c r="AD14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10" s="7">
        <f>IF(ISBLANK(patch[[#This Row],[number]]),AE1409,patch[[#This Row],[ifCommon]])</f>
        <v>0</v>
      </c>
    </row>
    <row r="1411" spans="1:31">
      <c r="A1411" s="151">
        <v>144558</v>
      </c>
      <c r="B1411" s="151"/>
      <c r="C1411" s="151"/>
      <c r="D1411" s="151"/>
      <c r="E1411" s="151"/>
      <c r="F1411" s="151"/>
      <c r="G1411" s="151"/>
      <c r="H1411" s="151"/>
      <c r="I1411" s="151"/>
      <c r="J1411" s="152">
        <v>42633.709398148138</v>
      </c>
      <c r="K1411" s="151"/>
      <c r="L1411" s="151" t="s">
        <v>59</v>
      </c>
      <c r="M1411" s="152">
        <v>42625.493506944447</v>
      </c>
      <c r="N1411" s="151" t="s">
        <v>3282</v>
      </c>
      <c r="O1411" s="151"/>
      <c r="P1411" s="151"/>
      <c r="Q1411" s="7" t="str">
        <f>IF(ISBLANK(patch[[#This Row],[OwnerEmail]]),Q1410,patch[[#This Row],[OwnerEmail]])</f>
        <v>gang.a.hu@intel.com</v>
      </c>
      <c r="R1411" s="7" t="str">
        <f>_xlfn.IFNA(VLOOKUP(patch[[#This Row],[tmp-owner.email]],OrgTree!$A:$K, 11, 0), "not ICG SWFW")</f>
        <v>BJ And dev</v>
      </c>
      <c r="S1411" s="7" t="str">
        <f>IF(patch[[#This Row],[reviewer]]=patch[[#This Row],[tmp-owner.email]], "author", _xlfn.IFNA(VLOOKUP(patch[[#This Row],[reviewer]],OrgTree!$A:$K, 11, 0), "not ICG SWFW"))</f>
        <v>BJ And dev</v>
      </c>
      <c r="T1411" s="7" t="str">
        <f>IF(ISBLANK(patch[[#This Row],[mergeDate]]), "", MID(YEAR(patch[[#This Row],[mergeDate]]), 3,2)&amp;"'ww"&amp;WEEKNUM(patch[[#This Row],[mergeDate]]))</f>
        <v>16'ww39</v>
      </c>
      <c r="U1411" s="7" t="str">
        <f>IF(ISBLANK(patch[[#This Row],[mergeDate]]), U1410, MID(YEAR(patch[[#This Row],[mergeDate]]), 3,2)&amp;"'m"&amp;MONTH(patch[[#This Row],[mergeDate]]))</f>
        <v>16'm9</v>
      </c>
      <c r="V1411" s="7" t="str">
        <f>IF(ISBLANK(patch[[#This Row],[project]]), "",SUM(patch[[#This Row],[BJ -1 num]:[SH -1 num]]))</f>
        <v/>
      </c>
      <c r="W1411" s="7" t="str">
        <f>IF(ISBLANK(patch[[#This Row],[project]]), "",COUNTIFS($A:$A,patch[[#This Row],[number]],$S:$S, "BJ And dev",$AC:$AC, "Review-1"))</f>
        <v/>
      </c>
      <c r="X1411" s="7" t="str">
        <f>IF(ISBLANK(patch[[#This Row],[project]]), "",COUNTIFS($A:$A,patch[[#This Row],[number]],$S:$S, "FL And dev",$AC:$AC, "Review-1"))</f>
        <v/>
      </c>
      <c r="Y1411" s="7" t="str">
        <f>IF(ISBLANK(patch[[#This Row],[project]]), "",COUNTIFS($A:$A,patch[[#This Row],[number]],$S:$S, "SH And dev",$AC:$AC, "Review-1"))</f>
        <v/>
      </c>
      <c r="Z1411" s="7" t="str">
        <f>IF(ISBLANK(patch[[#This Row],[project]]), "",COUNTIFS($A:$A,patch[[#This Row],[number]],$S:$S, "BJ And dev",$AD:$AD, "&lt;&gt;IntegratorValidationComment"))</f>
        <v/>
      </c>
      <c r="AA1411" s="7" t="str">
        <f>IF(ISBLANK(patch[[#This Row],[project]]), "",COUNTIFS($A:$A,patch[[#This Row],[number]],$S:$S, "FL And dev",$AD:$AD, "&lt;&gt;IntegratorValidationComment"))</f>
        <v/>
      </c>
      <c r="AB1411" s="7" t="str">
        <f>IF(ISBLANK(patch[[#This Row],[project]]), "",COUNTIFS($A:$A,patch[[#This Row],[number]],$S:$S, "SH And dev",$AD:$AD, "&lt;&gt;IntegratorValidationComment"))</f>
        <v/>
      </c>
      <c r="AC1411" s="7" t="str">
        <f>IF(OR(ISNUMBER(FIND("Review-1", patch[[#This Row],[comments]])), ISNUMBER(FIND("Approver-1", patch[[#This Row],[comments]]))), "Review-1", "")</f>
        <v/>
      </c>
      <c r="AD14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11" s="7">
        <f>IF(ISBLANK(patch[[#This Row],[number]]),AE1410,patch[[#This Row],[ifCommon]])</f>
        <v>0</v>
      </c>
    </row>
    <row r="1412" spans="1:31">
      <c r="A1412" s="151">
        <v>144558</v>
      </c>
      <c r="B1412" s="151"/>
      <c r="C1412" s="151"/>
      <c r="D1412" s="151"/>
      <c r="E1412" s="151"/>
      <c r="F1412" s="151"/>
      <c r="G1412" s="151"/>
      <c r="H1412" s="151"/>
      <c r="I1412" s="151"/>
      <c r="J1412" s="152">
        <v>42633.709398148138</v>
      </c>
      <c r="K1412" s="151"/>
      <c r="L1412" s="151" t="s">
        <v>32</v>
      </c>
      <c r="M1412" s="152">
        <v>42625.502141203702</v>
      </c>
      <c r="N1412" s="151" t="s">
        <v>2429</v>
      </c>
      <c r="O1412" s="151"/>
      <c r="P1412" s="151"/>
      <c r="Q1412" s="7" t="str">
        <f>IF(ISBLANK(patch[[#This Row],[OwnerEmail]]),Q1411,patch[[#This Row],[OwnerEmail]])</f>
        <v>gang.a.hu@intel.com</v>
      </c>
      <c r="R1412" s="7" t="str">
        <f>_xlfn.IFNA(VLOOKUP(patch[[#This Row],[tmp-owner.email]],OrgTree!$A:$K, 11, 0), "not ICG SWFW")</f>
        <v>BJ And dev</v>
      </c>
      <c r="S1412" s="7" t="str">
        <f>IF(patch[[#This Row],[reviewer]]=patch[[#This Row],[tmp-owner.email]], "author", _xlfn.IFNA(VLOOKUP(patch[[#This Row],[reviewer]],OrgTree!$A:$K, 11, 0), "not ICG SWFW"))</f>
        <v>author</v>
      </c>
      <c r="T1412" s="7" t="str">
        <f>IF(ISBLANK(patch[[#This Row],[mergeDate]]), "", MID(YEAR(patch[[#This Row],[mergeDate]]), 3,2)&amp;"'ww"&amp;WEEKNUM(patch[[#This Row],[mergeDate]]))</f>
        <v>16'ww39</v>
      </c>
      <c r="U1412" s="7" t="str">
        <f>IF(ISBLANK(patch[[#This Row],[mergeDate]]), U1411, MID(YEAR(patch[[#This Row],[mergeDate]]), 3,2)&amp;"'m"&amp;MONTH(patch[[#This Row],[mergeDate]]))</f>
        <v>16'm9</v>
      </c>
      <c r="V1412" s="7" t="str">
        <f>IF(ISBLANK(patch[[#This Row],[project]]), "",SUM(patch[[#This Row],[BJ -1 num]:[SH -1 num]]))</f>
        <v/>
      </c>
      <c r="W1412" s="7" t="str">
        <f>IF(ISBLANK(patch[[#This Row],[project]]), "",COUNTIFS($A:$A,patch[[#This Row],[number]],$S:$S, "BJ And dev",$AC:$AC, "Review-1"))</f>
        <v/>
      </c>
      <c r="X1412" s="7" t="str">
        <f>IF(ISBLANK(patch[[#This Row],[project]]), "",COUNTIFS($A:$A,patch[[#This Row],[number]],$S:$S, "FL And dev",$AC:$AC, "Review-1"))</f>
        <v/>
      </c>
      <c r="Y1412" s="7" t="str">
        <f>IF(ISBLANK(patch[[#This Row],[project]]), "",COUNTIFS($A:$A,patch[[#This Row],[number]],$S:$S, "SH And dev",$AC:$AC, "Review-1"))</f>
        <v/>
      </c>
      <c r="Z1412" s="7" t="str">
        <f>IF(ISBLANK(patch[[#This Row],[project]]), "",COUNTIFS($A:$A,patch[[#This Row],[number]],$S:$S, "BJ And dev",$AD:$AD, "&lt;&gt;IntegratorValidationComment"))</f>
        <v/>
      </c>
      <c r="AA1412" s="7" t="str">
        <f>IF(ISBLANK(patch[[#This Row],[project]]), "",COUNTIFS($A:$A,patch[[#This Row],[number]],$S:$S, "FL And dev",$AD:$AD, "&lt;&gt;IntegratorValidationComment"))</f>
        <v/>
      </c>
      <c r="AB1412" s="7" t="str">
        <f>IF(ISBLANK(patch[[#This Row],[project]]), "",COUNTIFS($A:$A,patch[[#This Row],[number]],$S:$S, "SH And dev",$AD:$AD, "&lt;&gt;IntegratorValidationComment"))</f>
        <v/>
      </c>
      <c r="AC1412" s="7" t="str">
        <f>IF(OR(ISNUMBER(FIND("Review-1", patch[[#This Row],[comments]])), ISNUMBER(FIND("Approver-1", patch[[#This Row],[comments]]))), "Review-1", "")</f>
        <v/>
      </c>
      <c r="AD14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12" s="7">
        <f>IF(ISBLANK(patch[[#This Row],[number]]),AE1411,patch[[#This Row],[ifCommon]])</f>
        <v>0</v>
      </c>
    </row>
    <row r="1413" spans="1:31">
      <c r="A1413" s="151">
        <v>144558</v>
      </c>
      <c r="B1413" s="151"/>
      <c r="C1413" s="151"/>
      <c r="D1413" s="151"/>
      <c r="E1413" s="151"/>
      <c r="F1413" s="151"/>
      <c r="G1413" s="151"/>
      <c r="H1413" s="151"/>
      <c r="I1413" s="151"/>
      <c r="J1413" s="152">
        <v>42633.709398148138</v>
      </c>
      <c r="K1413" s="151"/>
      <c r="L1413" s="151" t="s">
        <v>32</v>
      </c>
      <c r="M1413" s="152">
        <v>42625.502141203702</v>
      </c>
      <c r="N1413" s="151" t="s">
        <v>29</v>
      </c>
      <c r="O1413" s="151"/>
      <c r="P1413" s="151"/>
      <c r="Q1413" s="7" t="str">
        <f>IF(ISBLANK(patch[[#This Row],[OwnerEmail]]),Q1412,patch[[#This Row],[OwnerEmail]])</f>
        <v>gang.a.hu@intel.com</v>
      </c>
      <c r="R1413" s="7" t="str">
        <f>_xlfn.IFNA(VLOOKUP(patch[[#This Row],[tmp-owner.email]],OrgTree!$A:$K, 11, 0), "not ICG SWFW")</f>
        <v>BJ And dev</v>
      </c>
      <c r="S1413" s="7" t="str">
        <f>IF(patch[[#This Row],[reviewer]]=patch[[#This Row],[tmp-owner.email]], "author", _xlfn.IFNA(VLOOKUP(patch[[#This Row],[reviewer]],OrgTree!$A:$K, 11, 0), "not ICG SWFW"))</f>
        <v>author</v>
      </c>
      <c r="T1413" s="7" t="str">
        <f>IF(ISBLANK(patch[[#This Row],[mergeDate]]), "", MID(YEAR(patch[[#This Row],[mergeDate]]), 3,2)&amp;"'ww"&amp;WEEKNUM(patch[[#This Row],[mergeDate]]))</f>
        <v>16'ww39</v>
      </c>
      <c r="U1413" s="7" t="str">
        <f>IF(ISBLANK(patch[[#This Row],[mergeDate]]), U1412, MID(YEAR(patch[[#This Row],[mergeDate]]), 3,2)&amp;"'m"&amp;MONTH(patch[[#This Row],[mergeDate]]))</f>
        <v>16'm9</v>
      </c>
      <c r="V1413" s="7" t="str">
        <f>IF(ISBLANK(patch[[#This Row],[project]]), "",SUM(patch[[#This Row],[BJ -1 num]:[SH -1 num]]))</f>
        <v/>
      </c>
      <c r="W1413" s="7" t="str">
        <f>IF(ISBLANK(patch[[#This Row],[project]]), "",COUNTIFS($A:$A,patch[[#This Row],[number]],$S:$S, "BJ And dev",$AC:$AC, "Review-1"))</f>
        <v/>
      </c>
      <c r="X1413" s="7" t="str">
        <f>IF(ISBLANK(patch[[#This Row],[project]]), "",COUNTIFS($A:$A,patch[[#This Row],[number]],$S:$S, "FL And dev",$AC:$AC, "Review-1"))</f>
        <v/>
      </c>
      <c r="Y1413" s="7" t="str">
        <f>IF(ISBLANK(patch[[#This Row],[project]]), "",COUNTIFS($A:$A,patch[[#This Row],[number]],$S:$S, "SH And dev",$AC:$AC, "Review-1"))</f>
        <v/>
      </c>
      <c r="Z1413" s="7" t="str">
        <f>IF(ISBLANK(patch[[#This Row],[project]]), "",COUNTIFS($A:$A,patch[[#This Row],[number]],$S:$S, "BJ And dev",$AD:$AD, "&lt;&gt;IntegratorValidationComment"))</f>
        <v/>
      </c>
      <c r="AA1413" s="7" t="str">
        <f>IF(ISBLANK(patch[[#This Row],[project]]), "",COUNTIFS($A:$A,patch[[#This Row],[number]],$S:$S, "FL And dev",$AD:$AD, "&lt;&gt;IntegratorValidationComment"))</f>
        <v/>
      </c>
      <c r="AB1413" s="7" t="str">
        <f>IF(ISBLANK(patch[[#This Row],[project]]), "",COUNTIFS($A:$A,patch[[#This Row],[number]],$S:$S, "SH And dev",$AD:$AD, "&lt;&gt;IntegratorValidationComment"))</f>
        <v/>
      </c>
      <c r="AC1413" s="7" t="str">
        <f>IF(OR(ISNUMBER(FIND("Review-1", patch[[#This Row],[comments]])), ISNUMBER(FIND("Approver-1", patch[[#This Row],[comments]]))), "Review-1", "")</f>
        <v/>
      </c>
      <c r="AD14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13" s="7">
        <f>IF(ISBLANK(patch[[#This Row],[number]]),AE1412,patch[[#This Row],[ifCommon]])</f>
        <v>0</v>
      </c>
    </row>
    <row r="1414" spans="1:31">
      <c r="A1414" s="151">
        <v>144558</v>
      </c>
      <c r="B1414" s="151"/>
      <c r="C1414" s="151"/>
      <c r="D1414" s="151"/>
      <c r="E1414" s="151"/>
      <c r="F1414" s="151"/>
      <c r="G1414" s="151"/>
      <c r="H1414" s="151"/>
      <c r="I1414" s="151"/>
      <c r="J1414" s="152">
        <v>42633.709398148138</v>
      </c>
      <c r="K1414" s="151"/>
      <c r="L1414" s="151" t="s">
        <v>32</v>
      </c>
      <c r="M1414" s="152">
        <v>42625.506539351853</v>
      </c>
      <c r="N1414" s="151" t="s">
        <v>27</v>
      </c>
      <c r="O1414" s="151"/>
      <c r="P1414" s="151"/>
      <c r="Q1414" s="7" t="str">
        <f>IF(ISBLANK(patch[[#This Row],[OwnerEmail]]),Q1413,patch[[#This Row],[OwnerEmail]])</f>
        <v>gang.a.hu@intel.com</v>
      </c>
      <c r="R1414" s="7" t="str">
        <f>_xlfn.IFNA(VLOOKUP(patch[[#This Row],[tmp-owner.email]],OrgTree!$A:$K, 11, 0), "not ICG SWFW")</f>
        <v>BJ And dev</v>
      </c>
      <c r="S1414" s="7" t="str">
        <f>IF(patch[[#This Row],[reviewer]]=patch[[#This Row],[tmp-owner.email]], "author", _xlfn.IFNA(VLOOKUP(patch[[#This Row],[reviewer]],OrgTree!$A:$K, 11, 0), "not ICG SWFW"))</f>
        <v>author</v>
      </c>
      <c r="T1414" s="7" t="str">
        <f>IF(ISBLANK(patch[[#This Row],[mergeDate]]), "", MID(YEAR(patch[[#This Row],[mergeDate]]), 3,2)&amp;"'ww"&amp;WEEKNUM(patch[[#This Row],[mergeDate]]))</f>
        <v>16'ww39</v>
      </c>
      <c r="U1414" s="7" t="str">
        <f>IF(ISBLANK(patch[[#This Row],[mergeDate]]), U1413, MID(YEAR(patch[[#This Row],[mergeDate]]), 3,2)&amp;"'m"&amp;MONTH(patch[[#This Row],[mergeDate]]))</f>
        <v>16'm9</v>
      </c>
      <c r="V1414" s="7" t="str">
        <f>IF(ISBLANK(patch[[#This Row],[project]]), "",SUM(patch[[#This Row],[BJ -1 num]:[SH -1 num]]))</f>
        <v/>
      </c>
      <c r="W1414" s="7" t="str">
        <f>IF(ISBLANK(patch[[#This Row],[project]]), "",COUNTIFS($A:$A,patch[[#This Row],[number]],$S:$S, "BJ And dev",$AC:$AC, "Review-1"))</f>
        <v/>
      </c>
      <c r="X1414" s="7" t="str">
        <f>IF(ISBLANK(patch[[#This Row],[project]]), "",COUNTIFS($A:$A,patch[[#This Row],[number]],$S:$S, "FL And dev",$AC:$AC, "Review-1"))</f>
        <v/>
      </c>
      <c r="Y1414" s="7" t="str">
        <f>IF(ISBLANK(patch[[#This Row],[project]]), "",COUNTIFS($A:$A,patch[[#This Row],[number]],$S:$S, "SH And dev",$AC:$AC, "Review-1"))</f>
        <v/>
      </c>
      <c r="Z1414" s="7" t="str">
        <f>IF(ISBLANK(patch[[#This Row],[project]]), "",COUNTIFS($A:$A,patch[[#This Row],[number]],$S:$S, "BJ And dev",$AD:$AD, "&lt;&gt;IntegratorValidationComment"))</f>
        <v/>
      </c>
      <c r="AA1414" s="7" t="str">
        <f>IF(ISBLANK(patch[[#This Row],[project]]), "",COUNTIFS($A:$A,patch[[#This Row],[number]],$S:$S, "FL And dev",$AD:$AD, "&lt;&gt;IntegratorValidationComment"))</f>
        <v/>
      </c>
      <c r="AB1414" s="7" t="str">
        <f>IF(ISBLANK(patch[[#This Row],[project]]), "",COUNTIFS($A:$A,patch[[#This Row],[number]],$S:$S, "SH And dev",$AD:$AD, "&lt;&gt;IntegratorValidationComment"))</f>
        <v/>
      </c>
      <c r="AC1414" s="7" t="str">
        <f>IF(OR(ISNUMBER(FIND("Review-1", patch[[#This Row],[comments]])), ISNUMBER(FIND("Approver-1", patch[[#This Row],[comments]]))), "Review-1", "")</f>
        <v/>
      </c>
      <c r="AD14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14" s="7">
        <f>IF(ISBLANK(patch[[#This Row],[number]]),AE1413,patch[[#This Row],[ifCommon]])</f>
        <v>0</v>
      </c>
    </row>
    <row r="1415" spans="1:31">
      <c r="A1415" s="151">
        <v>144558</v>
      </c>
      <c r="B1415" s="151"/>
      <c r="C1415" s="151"/>
      <c r="D1415" s="151"/>
      <c r="E1415" s="151"/>
      <c r="F1415" s="151"/>
      <c r="G1415" s="151"/>
      <c r="H1415" s="151"/>
      <c r="I1415" s="151"/>
      <c r="J1415" s="152">
        <v>42633.709398148138</v>
      </c>
      <c r="K1415" s="151"/>
      <c r="L1415" s="151" t="s">
        <v>59</v>
      </c>
      <c r="M1415" s="152">
        <v>42625.507627314822</v>
      </c>
      <c r="N1415" s="151" t="s">
        <v>3283</v>
      </c>
      <c r="O1415" s="151"/>
      <c r="P1415" s="151"/>
      <c r="Q1415" s="7" t="str">
        <f>IF(ISBLANK(patch[[#This Row],[OwnerEmail]]),Q1414,patch[[#This Row],[OwnerEmail]])</f>
        <v>gang.a.hu@intel.com</v>
      </c>
      <c r="R1415" s="7" t="str">
        <f>_xlfn.IFNA(VLOOKUP(patch[[#This Row],[tmp-owner.email]],OrgTree!$A:$K, 11, 0), "not ICG SWFW")</f>
        <v>BJ And dev</v>
      </c>
      <c r="S1415" s="7" t="str">
        <f>IF(patch[[#This Row],[reviewer]]=patch[[#This Row],[tmp-owner.email]], "author", _xlfn.IFNA(VLOOKUP(patch[[#This Row],[reviewer]],OrgTree!$A:$K, 11, 0), "not ICG SWFW"))</f>
        <v>BJ And dev</v>
      </c>
      <c r="T1415" s="7" t="str">
        <f>IF(ISBLANK(patch[[#This Row],[mergeDate]]), "", MID(YEAR(patch[[#This Row],[mergeDate]]), 3,2)&amp;"'ww"&amp;WEEKNUM(patch[[#This Row],[mergeDate]]))</f>
        <v>16'ww39</v>
      </c>
      <c r="U1415" s="7" t="str">
        <f>IF(ISBLANK(patch[[#This Row],[mergeDate]]), U1414, MID(YEAR(patch[[#This Row],[mergeDate]]), 3,2)&amp;"'m"&amp;MONTH(patch[[#This Row],[mergeDate]]))</f>
        <v>16'm9</v>
      </c>
      <c r="V1415" s="7" t="str">
        <f>IF(ISBLANK(patch[[#This Row],[project]]), "",SUM(patch[[#This Row],[BJ -1 num]:[SH -1 num]]))</f>
        <v/>
      </c>
      <c r="W1415" s="7" t="str">
        <f>IF(ISBLANK(patch[[#This Row],[project]]), "",COUNTIFS($A:$A,patch[[#This Row],[number]],$S:$S, "BJ And dev",$AC:$AC, "Review-1"))</f>
        <v/>
      </c>
      <c r="X1415" s="7" t="str">
        <f>IF(ISBLANK(patch[[#This Row],[project]]), "",COUNTIFS($A:$A,patch[[#This Row],[number]],$S:$S, "FL And dev",$AC:$AC, "Review-1"))</f>
        <v/>
      </c>
      <c r="Y1415" s="7" t="str">
        <f>IF(ISBLANK(patch[[#This Row],[project]]), "",COUNTIFS($A:$A,patch[[#This Row],[number]],$S:$S, "SH And dev",$AC:$AC, "Review-1"))</f>
        <v/>
      </c>
      <c r="Z1415" s="7" t="str">
        <f>IF(ISBLANK(patch[[#This Row],[project]]), "",COUNTIFS($A:$A,patch[[#This Row],[number]],$S:$S, "BJ And dev",$AD:$AD, "&lt;&gt;IntegratorValidationComment"))</f>
        <v/>
      </c>
      <c r="AA1415" s="7" t="str">
        <f>IF(ISBLANK(patch[[#This Row],[project]]), "",COUNTIFS($A:$A,patch[[#This Row],[number]],$S:$S, "FL And dev",$AD:$AD, "&lt;&gt;IntegratorValidationComment"))</f>
        <v/>
      </c>
      <c r="AB1415" s="7" t="str">
        <f>IF(ISBLANK(patch[[#This Row],[project]]), "",COUNTIFS($A:$A,patch[[#This Row],[number]],$S:$S, "SH And dev",$AD:$AD, "&lt;&gt;IntegratorValidationComment"))</f>
        <v/>
      </c>
      <c r="AC1415" s="7" t="str">
        <f>IF(OR(ISNUMBER(FIND("Review-1", patch[[#This Row],[comments]])), ISNUMBER(FIND("Approver-1", patch[[#This Row],[comments]]))), "Review-1", "")</f>
        <v/>
      </c>
      <c r="AD14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15" s="7">
        <f>IF(ISBLANK(patch[[#This Row],[number]]),AE1414,patch[[#This Row],[ifCommon]])</f>
        <v>0</v>
      </c>
    </row>
    <row r="1416" spans="1:31">
      <c r="A1416" s="151">
        <v>144558</v>
      </c>
      <c r="B1416" s="151"/>
      <c r="C1416" s="151"/>
      <c r="D1416" s="151"/>
      <c r="E1416" s="151"/>
      <c r="F1416" s="151"/>
      <c r="G1416" s="151"/>
      <c r="H1416" s="151"/>
      <c r="I1416" s="151"/>
      <c r="J1416" s="152">
        <v>42633.709398148138</v>
      </c>
      <c r="K1416" s="151"/>
      <c r="L1416" s="151" t="s">
        <v>59</v>
      </c>
      <c r="M1416" s="152">
        <v>42625.508368055547</v>
      </c>
      <c r="N1416" s="151" t="s">
        <v>3284</v>
      </c>
      <c r="O1416" s="151"/>
      <c r="P1416" s="151"/>
      <c r="Q1416" s="7" t="str">
        <f>IF(ISBLANK(patch[[#This Row],[OwnerEmail]]),Q1415,patch[[#This Row],[OwnerEmail]])</f>
        <v>gang.a.hu@intel.com</v>
      </c>
      <c r="R1416" s="7" t="str">
        <f>_xlfn.IFNA(VLOOKUP(patch[[#This Row],[tmp-owner.email]],OrgTree!$A:$K, 11, 0), "not ICG SWFW")</f>
        <v>BJ And dev</v>
      </c>
      <c r="S1416" s="7" t="str">
        <f>IF(patch[[#This Row],[reviewer]]=patch[[#This Row],[tmp-owner.email]], "author", _xlfn.IFNA(VLOOKUP(patch[[#This Row],[reviewer]],OrgTree!$A:$K, 11, 0), "not ICG SWFW"))</f>
        <v>BJ And dev</v>
      </c>
      <c r="T1416" s="7" t="str">
        <f>IF(ISBLANK(patch[[#This Row],[mergeDate]]), "", MID(YEAR(patch[[#This Row],[mergeDate]]), 3,2)&amp;"'ww"&amp;WEEKNUM(patch[[#This Row],[mergeDate]]))</f>
        <v>16'ww39</v>
      </c>
      <c r="U1416" s="7" t="str">
        <f>IF(ISBLANK(patch[[#This Row],[mergeDate]]), U1415, MID(YEAR(patch[[#This Row],[mergeDate]]), 3,2)&amp;"'m"&amp;MONTH(patch[[#This Row],[mergeDate]]))</f>
        <v>16'm9</v>
      </c>
      <c r="V1416" s="7" t="str">
        <f>IF(ISBLANK(patch[[#This Row],[project]]), "",SUM(patch[[#This Row],[BJ -1 num]:[SH -1 num]]))</f>
        <v/>
      </c>
      <c r="W1416" s="7" t="str">
        <f>IF(ISBLANK(patch[[#This Row],[project]]), "",COUNTIFS($A:$A,patch[[#This Row],[number]],$S:$S, "BJ And dev",$AC:$AC, "Review-1"))</f>
        <v/>
      </c>
      <c r="X1416" s="7" t="str">
        <f>IF(ISBLANK(patch[[#This Row],[project]]), "",COUNTIFS($A:$A,patch[[#This Row],[number]],$S:$S, "FL And dev",$AC:$AC, "Review-1"))</f>
        <v/>
      </c>
      <c r="Y1416" s="7" t="str">
        <f>IF(ISBLANK(patch[[#This Row],[project]]), "",COUNTIFS($A:$A,patch[[#This Row],[number]],$S:$S, "SH And dev",$AC:$AC, "Review-1"))</f>
        <v/>
      </c>
      <c r="Z1416" s="7" t="str">
        <f>IF(ISBLANK(patch[[#This Row],[project]]), "",COUNTIFS($A:$A,patch[[#This Row],[number]],$S:$S, "BJ And dev",$AD:$AD, "&lt;&gt;IntegratorValidationComment"))</f>
        <v/>
      </c>
      <c r="AA1416" s="7" t="str">
        <f>IF(ISBLANK(patch[[#This Row],[project]]), "",COUNTIFS($A:$A,patch[[#This Row],[number]],$S:$S, "FL And dev",$AD:$AD, "&lt;&gt;IntegratorValidationComment"))</f>
        <v/>
      </c>
      <c r="AB1416" s="7" t="str">
        <f>IF(ISBLANK(patch[[#This Row],[project]]), "",COUNTIFS($A:$A,patch[[#This Row],[number]],$S:$S, "SH And dev",$AD:$AD, "&lt;&gt;IntegratorValidationComment"))</f>
        <v/>
      </c>
      <c r="AC1416" s="7" t="str">
        <f>IF(OR(ISNUMBER(FIND("Review-1", patch[[#This Row],[comments]])), ISNUMBER(FIND("Approver-1", patch[[#This Row],[comments]]))), "Review-1", "")</f>
        <v/>
      </c>
      <c r="AD14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16" s="7">
        <f>IF(ISBLANK(patch[[#This Row],[number]]),AE1415,patch[[#This Row],[ifCommon]])</f>
        <v>0</v>
      </c>
    </row>
    <row r="1417" spans="1:31">
      <c r="A1417" s="151">
        <v>144558</v>
      </c>
      <c r="B1417" s="151"/>
      <c r="C1417" s="151"/>
      <c r="D1417" s="151"/>
      <c r="E1417" s="151"/>
      <c r="F1417" s="151"/>
      <c r="G1417" s="151"/>
      <c r="H1417" s="151"/>
      <c r="I1417" s="151"/>
      <c r="J1417" s="152">
        <v>42633.709398148138</v>
      </c>
      <c r="K1417" s="151"/>
      <c r="L1417" s="151" t="s">
        <v>32</v>
      </c>
      <c r="M1417" s="152">
        <v>42625.512048611112</v>
      </c>
      <c r="N1417" s="151" t="s">
        <v>1829</v>
      </c>
      <c r="O1417" s="151"/>
      <c r="P1417" s="151"/>
      <c r="Q1417" s="7" t="str">
        <f>IF(ISBLANK(patch[[#This Row],[OwnerEmail]]),Q1416,patch[[#This Row],[OwnerEmail]])</f>
        <v>gang.a.hu@intel.com</v>
      </c>
      <c r="R1417" s="7" t="str">
        <f>_xlfn.IFNA(VLOOKUP(patch[[#This Row],[tmp-owner.email]],OrgTree!$A:$K, 11, 0), "not ICG SWFW")</f>
        <v>BJ And dev</v>
      </c>
      <c r="S1417" s="7" t="str">
        <f>IF(patch[[#This Row],[reviewer]]=patch[[#This Row],[tmp-owner.email]], "author", _xlfn.IFNA(VLOOKUP(patch[[#This Row],[reviewer]],OrgTree!$A:$K, 11, 0), "not ICG SWFW"))</f>
        <v>author</v>
      </c>
      <c r="T1417" s="7" t="str">
        <f>IF(ISBLANK(patch[[#This Row],[mergeDate]]), "", MID(YEAR(patch[[#This Row],[mergeDate]]), 3,2)&amp;"'ww"&amp;WEEKNUM(patch[[#This Row],[mergeDate]]))</f>
        <v>16'ww39</v>
      </c>
      <c r="U1417" s="7" t="str">
        <f>IF(ISBLANK(patch[[#This Row],[mergeDate]]), U1416, MID(YEAR(patch[[#This Row],[mergeDate]]), 3,2)&amp;"'m"&amp;MONTH(patch[[#This Row],[mergeDate]]))</f>
        <v>16'm9</v>
      </c>
      <c r="V1417" s="7" t="str">
        <f>IF(ISBLANK(patch[[#This Row],[project]]), "",SUM(patch[[#This Row],[BJ -1 num]:[SH -1 num]]))</f>
        <v/>
      </c>
      <c r="W1417" s="7" t="str">
        <f>IF(ISBLANK(patch[[#This Row],[project]]), "",COUNTIFS($A:$A,patch[[#This Row],[number]],$S:$S, "BJ And dev",$AC:$AC, "Review-1"))</f>
        <v/>
      </c>
      <c r="X1417" s="7" t="str">
        <f>IF(ISBLANK(patch[[#This Row],[project]]), "",COUNTIFS($A:$A,patch[[#This Row],[number]],$S:$S, "FL And dev",$AC:$AC, "Review-1"))</f>
        <v/>
      </c>
      <c r="Y1417" s="7" t="str">
        <f>IF(ISBLANK(patch[[#This Row],[project]]), "",COUNTIFS($A:$A,patch[[#This Row],[number]],$S:$S, "SH And dev",$AC:$AC, "Review-1"))</f>
        <v/>
      </c>
      <c r="Z1417" s="7" t="str">
        <f>IF(ISBLANK(patch[[#This Row],[project]]), "",COUNTIFS($A:$A,patch[[#This Row],[number]],$S:$S, "BJ And dev",$AD:$AD, "&lt;&gt;IntegratorValidationComment"))</f>
        <v/>
      </c>
      <c r="AA1417" s="7" t="str">
        <f>IF(ISBLANK(patch[[#This Row],[project]]), "",COUNTIFS($A:$A,patch[[#This Row],[number]],$S:$S, "FL And dev",$AD:$AD, "&lt;&gt;IntegratorValidationComment"))</f>
        <v/>
      </c>
      <c r="AB1417" s="7" t="str">
        <f>IF(ISBLANK(patch[[#This Row],[project]]), "",COUNTIFS($A:$A,patch[[#This Row],[number]],$S:$S, "SH And dev",$AD:$AD, "&lt;&gt;IntegratorValidationComment"))</f>
        <v/>
      </c>
      <c r="AC1417" s="7" t="str">
        <f>IF(OR(ISNUMBER(FIND("Review-1", patch[[#This Row],[comments]])), ISNUMBER(FIND("Approver-1", patch[[#This Row],[comments]]))), "Review-1", "")</f>
        <v/>
      </c>
      <c r="AD14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17" s="7">
        <f>IF(ISBLANK(patch[[#This Row],[number]]),AE1416,patch[[#This Row],[ifCommon]])</f>
        <v>0</v>
      </c>
    </row>
    <row r="1418" spans="1:31">
      <c r="A1418" s="151">
        <v>144558</v>
      </c>
      <c r="B1418" s="151"/>
      <c r="C1418" s="151"/>
      <c r="D1418" s="151"/>
      <c r="E1418" s="151"/>
      <c r="F1418" s="151"/>
      <c r="G1418" s="151"/>
      <c r="H1418" s="151"/>
      <c r="I1418" s="151"/>
      <c r="J1418" s="152">
        <v>42633.709398148138</v>
      </c>
      <c r="K1418" s="151"/>
      <c r="L1418" s="151" t="s">
        <v>32</v>
      </c>
      <c r="M1418" s="152">
        <v>42625.512048611112</v>
      </c>
      <c r="N1418" s="151" t="s">
        <v>2450</v>
      </c>
      <c r="O1418" s="151"/>
      <c r="P1418" s="151"/>
      <c r="Q1418" s="7" t="str">
        <f>IF(ISBLANK(patch[[#This Row],[OwnerEmail]]),Q1417,patch[[#This Row],[OwnerEmail]])</f>
        <v>gang.a.hu@intel.com</v>
      </c>
      <c r="R1418" s="7" t="str">
        <f>_xlfn.IFNA(VLOOKUP(patch[[#This Row],[tmp-owner.email]],OrgTree!$A:$K, 11, 0), "not ICG SWFW")</f>
        <v>BJ And dev</v>
      </c>
      <c r="S1418" s="7" t="str">
        <f>IF(patch[[#This Row],[reviewer]]=patch[[#This Row],[tmp-owner.email]], "author", _xlfn.IFNA(VLOOKUP(patch[[#This Row],[reviewer]],OrgTree!$A:$K, 11, 0), "not ICG SWFW"))</f>
        <v>author</v>
      </c>
      <c r="T1418" s="7" t="str">
        <f>IF(ISBLANK(patch[[#This Row],[mergeDate]]), "", MID(YEAR(patch[[#This Row],[mergeDate]]), 3,2)&amp;"'ww"&amp;WEEKNUM(patch[[#This Row],[mergeDate]]))</f>
        <v>16'ww39</v>
      </c>
      <c r="U1418" s="7" t="str">
        <f>IF(ISBLANK(patch[[#This Row],[mergeDate]]), U1417, MID(YEAR(patch[[#This Row],[mergeDate]]), 3,2)&amp;"'m"&amp;MONTH(patch[[#This Row],[mergeDate]]))</f>
        <v>16'm9</v>
      </c>
      <c r="V1418" s="7" t="str">
        <f>IF(ISBLANK(patch[[#This Row],[project]]), "",SUM(patch[[#This Row],[BJ -1 num]:[SH -1 num]]))</f>
        <v/>
      </c>
      <c r="W1418" s="7" t="str">
        <f>IF(ISBLANK(patch[[#This Row],[project]]), "",COUNTIFS($A:$A,patch[[#This Row],[number]],$S:$S, "BJ And dev",$AC:$AC, "Review-1"))</f>
        <v/>
      </c>
      <c r="X1418" s="7" t="str">
        <f>IF(ISBLANK(patch[[#This Row],[project]]), "",COUNTIFS($A:$A,patch[[#This Row],[number]],$S:$S, "FL And dev",$AC:$AC, "Review-1"))</f>
        <v/>
      </c>
      <c r="Y1418" s="7" t="str">
        <f>IF(ISBLANK(patch[[#This Row],[project]]), "",COUNTIFS($A:$A,patch[[#This Row],[number]],$S:$S, "SH And dev",$AC:$AC, "Review-1"))</f>
        <v/>
      </c>
      <c r="Z1418" s="7" t="str">
        <f>IF(ISBLANK(patch[[#This Row],[project]]), "",COUNTIFS($A:$A,patch[[#This Row],[number]],$S:$S, "BJ And dev",$AD:$AD, "&lt;&gt;IntegratorValidationComment"))</f>
        <v/>
      </c>
      <c r="AA1418" s="7" t="str">
        <f>IF(ISBLANK(patch[[#This Row],[project]]), "",COUNTIFS($A:$A,patch[[#This Row],[number]],$S:$S, "FL And dev",$AD:$AD, "&lt;&gt;IntegratorValidationComment"))</f>
        <v/>
      </c>
      <c r="AB1418" s="7" t="str">
        <f>IF(ISBLANK(patch[[#This Row],[project]]), "",COUNTIFS($A:$A,patch[[#This Row],[number]],$S:$S, "SH And dev",$AD:$AD, "&lt;&gt;IntegratorValidationComment"))</f>
        <v/>
      </c>
      <c r="AC1418" s="7" t="str">
        <f>IF(OR(ISNUMBER(FIND("Review-1", patch[[#This Row],[comments]])), ISNUMBER(FIND("Approver-1", patch[[#This Row],[comments]]))), "Review-1", "")</f>
        <v/>
      </c>
      <c r="AD14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18" s="7">
        <f>IF(ISBLANK(patch[[#This Row],[number]]),AE1417,patch[[#This Row],[ifCommon]])</f>
        <v>0</v>
      </c>
    </row>
    <row r="1419" spans="1:31">
      <c r="A1419" s="151">
        <v>144558</v>
      </c>
      <c r="B1419" s="151"/>
      <c r="C1419" s="151"/>
      <c r="D1419" s="151"/>
      <c r="E1419" s="151"/>
      <c r="F1419" s="151"/>
      <c r="G1419" s="151"/>
      <c r="H1419" s="151"/>
      <c r="I1419" s="151"/>
      <c r="J1419" s="152">
        <v>42633.709398148138</v>
      </c>
      <c r="K1419" s="151"/>
      <c r="L1419" s="151" t="s">
        <v>32</v>
      </c>
      <c r="M1419" s="152">
        <v>42625.512199074074</v>
      </c>
      <c r="N1419" s="151" t="s">
        <v>48</v>
      </c>
      <c r="O1419" s="151"/>
      <c r="P1419" s="151"/>
      <c r="Q1419" s="7" t="str">
        <f>IF(ISBLANK(patch[[#This Row],[OwnerEmail]]),Q1418,patch[[#This Row],[OwnerEmail]])</f>
        <v>gang.a.hu@intel.com</v>
      </c>
      <c r="R1419" s="7" t="str">
        <f>_xlfn.IFNA(VLOOKUP(patch[[#This Row],[tmp-owner.email]],OrgTree!$A:$K, 11, 0), "not ICG SWFW")</f>
        <v>BJ And dev</v>
      </c>
      <c r="S1419" s="7" t="str">
        <f>IF(patch[[#This Row],[reviewer]]=patch[[#This Row],[tmp-owner.email]], "author", _xlfn.IFNA(VLOOKUP(patch[[#This Row],[reviewer]],OrgTree!$A:$K, 11, 0), "not ICG SWFW"))</f>
        <v>author</v>
      </c>
      <c r="T1419" s="7" t="str">
        <f>IF(ISBLANK(patch[[#This Row],[mergeDate]]), "", MID(YEAR(patch[[#This Row],[mergeDate]]), 3,2)&amp;"'ww"&amp;WEEKNUM(patch[[#This Row],[mergeDate]]))</f>
        <v>16'ww39</v>
      </c>
      <c r="U1419" s="7" t="str">
        <f>IF(ISBLANK(patch[[#This Row],[mergeDate]]), U1418, MID(YEAR(patch[[#This Row],[mergeDate]]), 3,2)&amp;"'m"&amp;MONTH(patch[[#This Row],[mergeDate]]))</f>
        <v>16'm9</v>
      </c>
      <c r="V1419" s="7" t="str">
        <f>IF(ISBLANK(patch[[#This Row],[project]]), "",SUM(patch[[#This Row],[BJ -1 num]:[SH -1 num]]))</f>
        <v/>
      </c>
      <c r="W1419" s="7" t="str">
        <f>IF(ISBLANK(patch[[#This Row],[project]]), "",COUNTIFS($A:$A,patch[[#This Row],[number]],$S:$S, "BJ And dev",$AC:$AC, "Review-1"))</f>
        <v/>
      </c>
      <c r="X1419" s="7" t="str">
        <f>IF(ISBLANK(patch[[#This Row],[project]]), "",COUNTIFS($A:$A,patch[[#This Row],[number]],$S:$S, "FL And dev",$AC:$AC, "Review-1"))</f>
        <v/>
      </c>
      <c r="Y1419" s="7" t="str">
        <f>IF(ISBLANK(patch[[#This Row],[project]]), "",COUNTIFS($A:$A,patch[[#This Row],[number]],$S:$S, "SH And dev",$AC:$AC, "Review-1"))</f>
        <v/>
      </c>
      <c r="Z1419" s="7" t="str">
        <f>IF(ISBLANK(patch[[#This Row],[project]]), "",COUNTIFS($A:$A,patch[[#This Row],[number]],$S:$S, "BJ And dev",$AD:$AD, "&lt;&gt;IntegratorValidationComment"))</f>
        <v/>
      </c>
      <c r="AA1419" s="7" t="str">
        <f>IF(ISBLANK(patch[[#This Row],[project]]), "",COUNTIFS($A:$A,patch[[#This Row],[number]],$S:$S, "FL And dev",$AD:$AD, "&lt;&gt;IntegratorValidationComment"))</f>
        <v/>
      </c>
      <c r="AB1419" s="7" t="str">
        <f>IF(ISBLANK(patch[[#This Row],[project]]), "",COUNTIFS($A:$A,patch[[#This Row],[number]],$S:$S, "SH And dev",$AD:$AD, "&lt;&gt;IntegratorValidationComment"))</f>
        <v/>
      </c>
      <c r="AC1419" s="7" t="str">
        <f>IF(OR(ISNUMBER(FIND("Review-1", patch[[#This Row],[comments]])), ISNUMBER(FIND("Approver-1", patch[[#This Row],[comments]]))), "Review-1", "")</f>
        <v/>
      </c>
      <c r="AD14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19" s="7">
        <f>IF(ISBLANK(patch[[#This Row],[number]]),AE1418,patch[[#This Row],[ifCommon]])</f>
        <v>0</v>
      </c>
    </row>
    <row r="1420" spans="1:31">
      <c r="A1420" s="151">
        <v>144558</v>
      </c>
      <c r="B1420" s="151"/>
      <c r="C1420" s="151"/>
      <c r="D1420" s="151"/>
      <c r="E1420" s="151"/>
      <c r="F1420" s="151"/>
      <c r="G1420" s="151"/>
      <c r="H1420" s="151"/>
      <c r="I1420" s="151"/>
      <c r="J1420" s="152">
        <v>42633.709398148138</v>
      </c>
      <c r="K1420" s="151"/>
      <c r="L1420" s="151" t="s">
        <v>59</v>
      </c>
      <c r="M1420" s="152">
        <v>42625.51525462963</v>
      </c>
      <c r="N1420" s="151" t="s">
        <v>3285</v>
      </c>
      <c r="O1420" s="151"/>
      <c r="P1420" s="151"/>
      <c r="Q1420" s="7" t="str">
        <f>IF(ISBLANK(patch[[#This Row],[OwnerEmail]]),Q1419,patch[[#This Row],[OwnerEmail]])</f>
        <v>gang.a.hu@intel.com</v>
      </c>
      <c r="R1420" s="7" t="str">
        <f>_xlfn.IFNA(VLOOKUP(patch[[#This Row],[tmp-owner.email]],OrgTree!$A:$K, 11, 0), "not ICG SWFW")</f>
        <v>BJ And dev</v>
      </c>
      <c r="S1420" s="7" t="str">
        <f>IF(patch[[#This Row],[reviewer]]=patch[[#This Row],[tmp-owner.email]], "author", _xlfn.IFNA(VLOOKUP(patch[[#This Row],[reviewer]],OrgTree!$A:$K, 11, 0), "not ICG SWFW"))</f>
        <v>BJ And dev</v>
      </c>
      <c r="T1420" s="7" t="str">
        <f>IF(ISBLANK(patch[[#This Row],[mergeDate]]), "", MID(YEAR(patch[[#This Row],[mergeDate]]), 3,2)&amp;"'ww"&amp;WEEKNUM(patch[[#This Row],[mergeDate]]))</f>
        <v>16'ww39</v>
      </c>
      <c r="U1420" s="7" t="str">
        <f>IF(ISBLANK(patch[[#This Row],[mergeDate]]), U1419, MID(YEAR(patch[[#This Row],[mergeDate]]), 3,2)&amp;"'m"&amp;MONTH(patch[[#This Row],[mergeDate]]))</f>
        <v>16'm9</v>
      </c>
      <c r="V1420" s="7" t="str">
        <f>IF(ISBLANK(patch[[#This Row],[project]]), "",SUM(patch[[#This Row],[BJ -1 num]:[SH -1 num]]))</f>
        <v/>
      </c>
      <c r="W1420" s="7" t="str">
        <f>IF(ISBLANK(patch[[#This Row],[project]]), "",COUNTIFS($A:$A,patch[[#This Row],[number]],$S:$S, "BJ And dev",$AC:$AC, "Review-1"))</f>
        <v/>
      </c>
      <c r="X1420" s="7" t="str">
        <f>IF(ISBLANK(patch[[#This Row],[project]]), "",COUNTIFS($A:$A,patch[[#This Row],[number]],$S:$S, "FL And dev",$AC:$AC, "Review-1"))</f>
        <v/>
      </c>
      <c r="Y1420" s="7" t="str">
        <f>IF(ISBLANK(patch[[#This Row],[project]]), "",COUNTIFS($A:$A,patch[[#This Row],[number]],$S:$S, "SH And dev",$AC:$AC, "Review-1"))</f>
        <v/>
      </c>
      <c r="Z1420" s="7" t="str">
        <f>IF(ISBLANK(patch[[#This Row],[project]]), "",COUNTIFS($A:$A,patch[[#This Row],[number]],$S:$S, "BJ And dev",$AD:$AD, "&lt;&gt;IntegratorValidationComment"))</f>
        <v/>
      </c>
      <c r="AA1420" s="7" t="str">
        <f>IF(ISBLANK(patch[[#This Row],[project]]), "",COUNTIFS($A:$A,patch[[#This Row],[number]],$S:$S, "FL And dev",$AD:$AD, "&lt;&gt;IntegratorValidationComment"))</f>
        <v/>
      </c>
      <c r="AB1420" s="7" t="str">
        <f>IF(ISBLANK(patch[[#This Row],[project]]), "",COUNTIFS($A:$A,patch[[#This Row],[number]],$S:$S, "SH And dev",$AD:$AD, "&lt;&gt;IntegratorValidationComment"))</f>
        <v/>
      </c>
      <c r="AC1420" s="7" t="str">
        <f>IF(OR(ISNUMBER(FIND("Review-1", patch[[#This Row],[comments]])), ISNUMBER(FIND("Approver-1", patch[[#This Row],[comments]]))), "Review-1", "")</f>
        <v/>
      </c>
      <c r="AD14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20" s="7">
        <f>IF(ISBLANK(patch[[#This Row],[number]]),AE1419,patch[[#This Row],[ifCommon]])</f>
        <v>0</v>
      </c>
    </row>
    <row r="1421" spans="1:31">
      <c r="A1421" s="151">
        <v>144558</v>
      </c>
      <c r="B1421" s="151"/>
      <c r="C1421" s="151"/>
      <c r="D1421" s="151"/>
      <c r="E1421" s="151"/>
      <c r="F1421" s="151"/>
      <c r="G1421" s="151"/>
      <c r="H1421" s="151"/>
      <c r="I1421" s="151"/>
      <c r="J1421" s="152">
        <v>42633.709398148138</v>
      </c>
      <c r="K1421" s="151"/>
      <c r="L1421" s="151" t="s">
        <v>59</v>
      </c>
      <c r="M1421" s="152">
        <v>42625.518888888888</v>
      </c>
      <c r="N1421" s="151" t="s">
        <v>3286</v>
      </c>
      <c r="O1421" s="151"/>
      <c r="P1421" s="151"/>
      <c r="Q1421" s="7" t="str">
        <f>IF(ISBLANK(patch[[#This Row],[OwnerEmail]]),Q1420,patch[[#This Row],[OwnerEmail]])</f>
        <v>gang.a.hu@intel.com</v>
      </c>
      <c r="R1421" s="7" t="str">
        <f>_xlfn.IFNA(VLOOKUP(patch[[#This Row],[tmp-owner.email]],OrgTree!$A:$K, 11, 0), "not ICG SWFW")</f>
        <v>BJ And dev</v>
      </c>
      <c r="S1421" s="7" t="str">
        <f>IF(patch[[#This Row],[reviewer]]=patch[[#This Row],[tmp-owner.email]], "author", _xlfn.IFNA(VLOOKUP(patch[[#This Row],[reviewer]],OrgTree!$A:$K, 11, 0), "not ICG SWFW"))</f>
        <v>BJ And dev</v>
      </c>
      <c r="T1421" s="7" t="str">
        <f>IF(ISBLANK(patch[[#This Row],[mergeDate]]), "", MID(YEAR(patch[[#This Row],[mergeDate]]), 3,2)&amp;"'ww"&amp;WEEKNUM(patch[[#This Row],[mergeDate]]))</f>
        <v>16'ww39</v>
      </c>
      <c r="U1421" s="7" t="str">
        <f>IF(ISBLANK(patch[[#This Row],[mergeDate]]), U1420, MID(YEAR(patch[[#This Row],[mergeDate]]), 3,2)&amp;"'m"&amp;MONTH(patch[[#This Row],[mergeDate]]))</f>
        <v>16'm9</v>
      </c>
      <c r="V1421" s="7" t="str">
        <f>IF(ISBLANK(patch[[#This Row],[project]]), "",SUM(patch[[#This Row],[BJ -1 num]:[SH -1 num]]))</f>
        <v/>
      </c>
      <c r="W1421" s="7" t="str">
        <f>IF(ISBLANK(patch[[#This Row],[project]]), "",COUNTIFS($A:$A,patch[[#This Row],[number]],$S:$S, "BJ And dev",$AC:$AC, "Review-1"))</f>
        <v/>
      </c>
      <c r="X1421" s="7" t="str">
        <f>IF(ISBLANK(patch[[#This Row],[project]]), "",COUNTIFS($A:$A,patch[[#This Row],[number]],$S:$S, "FL And dev",$AC:$AC, "Review-1"))</f>
        <v/>
      </c>
      <c r="Y1421" s="7" t="str">
        <f>IF(ISBLANK(patch[[#This Row],[project]]), "",COUNTIFS($A:$A,patch[[#This Row],[number]],$S:$S, "SH And dev",$AC:$AC, "Review-1"))</f>
        <v/>
      </c>
      <c r="Z1421" s="7" t="str">
        <f>IF(ISBLANK(patch[[#This Row],[project]]), "",COUNTIFS($A:$A,patch[[#This Row],[number]],$S:$S, "BJ And dev",$AD:$AD, "&lt;&gt;IntegratorValidationComment"))</f>
        <v/>
      </c>
      <c r="AA1421" s="7" t="str">
        <f>IF(ISBLANK(patch[[#This Row],[project]]), "",COUNTIFS($A:$A,patch[[#This Row],[number]],$S:$S, "FL And dev",$AD:$AD, "&lt;&gt;IntegratorValidationComment"))</f>
        <v/>
      </c>
      <c r="AB1421" s="7" t="str">
        <f>IF(ISBLANK(patch[[#This Row],[project]]), "",COUNTIFS($A:$A,patch[[#This Row],[number]],$S:$S, "SH And dev",$AD:$AD, "&lt;&gt;IntegratorValidationComment"))</f>
        <v/>
      </c>
      <c r="AC1421" s="7" t="str">
        <f>IF(OR(ISNUMBER(FIND("Review-1", patch[[#This Row],[comments]])), ISNUMBER(FIND("Approver-1", patch[[#This Row],[comments]]))), "Review-1", "")</f>
        <v/>
      </c>
      <c r="AD14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21" s="7">
        <f>IF(ISBLANK(patch[[#This Row],[number]]),AE1420,patch[[#This Row],[ifCommon]])</f>
        <v>0</v>
      </c>
    </row>
    <row r="1422" spans="1:31">
      <c r="A1422" s="151">
        <v>144558</v>
      </c>
      <c r="B1422" s="151"/>
      <c r="C1422" s="151"/>
      <c r="D1422" s="151"/>
      <c r="E1422" s="151"/>
      <c r="F1422" s="151"/>
      <c r="G1422" s="151"/>
      <c r="H1422" s="151"/>
      <c r="I1422" s="151"/>
      <c r="J1422" s="152">
        <v>42633.709398148138</v>
      </c>
      <c r="K1422" s="151"/>
      <c r="L1422" s="151" t="s">
        <v>59</v>
      </c>
      <c r="M1422" s="152">
        <v>42625.576041666667</v>
      </c>
      <c r="N1422" s="151" t="s">
        <v>3287</v>
      </c>
      <c r="O1422" s="151"/>
      <c r="P1422" s="151"/>
      <c r="Q1422" s="7" t="str">
        <f>IF(ISBLANK(patch[[#This Row],[OwnerEmail]]),Q1421,patch[[#This Row],[OwnerEmail]])</f>
        <v>gang.a.hu@intel.com</v>
      </c>
      <c r="R1422" s="7" t="str">
        <f>_xlfn.IFNA(VLOOKUP(patch[[#This Row],[tmp-owner.email]],OrgTree!$A:$K, 11, 0), "not ICG SWFW")</f>
        <v>BJ And dev</v>
      </c>
      <c r="S1422" s="7" t="str">
        <f>IF(patch[[#This Row],[reviewer]]=patch[[#This Row],[tmp-owner.email]], "author", _xlfn.IFNA(VLOOKUP(patch[[#This Row],[reviewer]],OrgTree!$A:$K, 11, 0), "not ICG SWFW"))</f>
        <v>BJ And dev</v>
      </c>
      <c r="T1422" s="7" t="str">
        <f>IF(ISBLANK(patch[[#This Row],[mergeDate]]), "", MID(YEAR(patch[[#This Row],[mergeDate]]), 3,2)&amp;"'ww"&amp;WEEKNUM(patch[[#This Row],[mergeDate]]))</f>
        <v>16'ww39</v>
      </c>
      <c r="U1422" s="7" t="str">
        <f>IF(ISBLANK(patch[[#This Row],[mergeDate]]), U1421, MID(YEAR(patch[[#This Row],[mergeDate]]), 3,2)&amp;"'m"&amp;MONTH(patch[[#This Row],[mergeDate]]))</f>
        <v>16'm9</v>
      </c>
      <c r="V1422" s="7" t="str">
        <f>IF(ISBLANK(patch[[#This Row],[project]]), "",SUM(patch[[#This Row],[BJ -1 num]:[SH -1 num]]))</f>
        <v/>
      </c>
      <c r="W1422" s="7" t="str">
        <f>IF(ISBLANK(patch[[#This Row],[project]]), "",COUNTIFS($A:$A,patch[[#This Row],[number]],$S:$S, "BJ And dev",$AC:$AC, "Review-1"))</f>
        <v/>
      </c>
      <c r="X1422" s="7" t="str">
        <f>IF(ISBLANK(patch[[#This Row],[project]]), "",COUNTIFS($A:$A,patch[[#This Row],[number]],$S:$S, "FL And dev",$AC:$AC, "Review-1"))</f>
        <v/>
      </c>
      <c r="Y1422" s="7" t="str">
        <f>IF(ISBLANK(patch[[#This Row],[project]]), "",COUNTIFS($A:$A,patch[[#This Row],[number]],$S:$S, "SH And dev",$AC:$AC, "Review-1"))</f>
        <v/>
      </c>
      <c r="Z1422" s="7" t="str">
        <f>IF(ISBLANK(patch[[#This Row],[project]]), "",COUNTIFS($A:$A,patch[[#This Row],[number]],$S:$S, "BJ And dev",$AD:$AD, "&lt;&gt;IntegratorValidationComment"))</f>
        <v/>
      </c>
      <c r="AA1422" s="7" t="str">
        <f>IF(ISBLANK(patch[[#This Row],[project]]), "",COUNTIFS($A:$A,patch[[#This Row],[number]],$S:$S, "FL And dev",$AD:$AD, "&lt;&gt;IntegratorValidationComment"))</f>
        <v/>
      </c>
      <c r="AB1422" s="7" t="str">
        <f>IF(ISBLANK(patch[[#This Row],[project]]), "",COUNTIFS($A:$A,patch[[#This Row],[number]],$S:$S, "SH And dev",$AD:$AD, "&lt;&gt;IntegratorValidationComment"))</f>
        <v/>
      </c>
      <c r="AC1422" s="7" t="str">
        <f>IF(OR(ISNUMBER(FIND("Review-1", patch[[#This Row],[comments]])), ISNUMBER(FIND("Approver-1", patch[[#This Row],[comments]]))), "Review-1", "")</f>
        <v/>
      </c>
      <c r="AD14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22" s="7">
        <f>IF(ISBLANK(patch[[#This Row],[number]]),AE1421,patch[[#This Row],[ifCommon]])</f>
        <v>0</v>
      </c>
    </row>
    <row r="1423" spans="1:31">
      <c r="A1423" s="151">
        <v>144558</v>
      </c>
      <c r="B1423" s="151"/>
      <c r="C1423" s="151"/>
      <c r="D1423" s="151"/>
      <c r="E1423" s="151"/>
      <c r="F1423" s="151"/>
      <c r="G1423" s="151"/>
      <c r="H1423" s="151"/>
      <c r="I1423" s="152"/>
      <c r="J1423" s="152">
        <v>42633.709398148138</v>
      </c>
      <c r="K1423" s="151"/>
      <c r="L1423" s="151" t="s">
        <v>59</v>
      </c>
      <c r="M1423" s="152">
        <v>42625.754618055558</v>
      </c>
      <c r="N1423" s="151" t="s">
        <v>3288</v>
      </c>
      <c r="O1423" s="151"/>
      <c r="P1423" s="151"/>
      <c r="Q1423" s="7" t="str">
        <f>IF(ISBLANK(patch[[#This Row],[OwnerEmail]]),Q1422,patch[[#This Row],[OwnerEmail]])</f>
        <v>gang.a.hu@intel.com</v>
      </c>
      <c r="R1423" s="7" t="str">
        <f>_xlfn.IFNA(VLOOKUP(patch[[#This Row],[tmp-owner.email]],OrgTree!$A:$K, 11, 0), "not ICG SWFW")</f>
        <v>BJ And dev</v>
      </c>
      <c r="S1423" s="7" t="str">
        <f>IF(patch[[#This Row],[reviewer]]=patch[[#This Row],[tmp-owner.email]], "author", _xlfn.IFNA(VLOOKUP(patch[[#This Row],[reviewer]],OrgTree!$A:$K, 11, 0), "not ICG SWFW"))</f>
        <v>BJ And dev</v>
      </c>
      <c r="T1423" s="7" t="str">
        <f>IF(ISBLANK(patch[[#This Row],[mergeDate]]), "", MID(YEAR(patch[[#This Row],[mergeDate]]), 3,2)&amp;"'ww"&amp;WEEKNUM(patch[[#This Row],[mergeDate]]))</f>
        <v>16'ww39</v>
      </c>
      <c r="U1423" s="7" t="str">
        <f>IF(ISBLANK(patch[[#This Row],[mergeDate]]), U1422, MID(YEAR(patch[[#This Row],[mergeDate]]), 3,2)&amp;"'m"&amp;MONTH(patch[[#This Row],[mergeDate]]))</f>
        <v>16'm9</v>
      </c>
      <c r="V1423" s="7" t="str">
        <f>IF(ISBLANK(patch[[#This Row],[project]]), "",SUM(patch[[#This Row],[BJ -1 num]:[SH -1 num]]))</f>
        <v/>
      </c>
      <c r="W1423" s="7" t="str">
        <f>IF(ISBLANK(patch[[#This Row],[project]]), "",COUNTIFS($A:$A,patch[[#This Row],[number]],$S:$S, "BJ And dev",$AC:$AC, "Review-1"))</f>
        <v/>
      </c>
      <c r="X1423" s="7" t="str">
        <f>IF(ISBLANK(patch[[#This Row],[project]]), "",COUNTIFS($A:$A,patch[[#This Row],[number]],$S:$S, "FL And dev",$AC:$AC, "Review-1"))</f>
        <v/>
      </c>
      <c r="Y1423" s="7" t="str">
        <f>IF(ISBLANK(patch[[#This Row],[project]]), "",COUNTIFS($A:$A,patch[[#This Row],[number]],$S:$S, "SH And dev",$AC:$AC, "Review-1"))</f>
        <v/>
      </c>
      <c r="Z1423" s="7" t="str">
        <f>IF(ISBLANK(patch[[#This Row],[project]]), "",COUNTIFS($A:$A,patch[[#This Row],[number]],$S:$S, "BJ And dev",$AD:$AD, "&lt;&gt;IntegratorValidationComment"))</f>
        <v/>
      </c>
      <c r="AA1423" s="7" t="str">
        <f>IF(ISBLANK(patch[[#This Row],[project]]), "",COUNTIFS($A:$A,patch[[#This Row],[number]],$S:$S, "FL And dev",$AD:$AD, "&lt;&gt;IntegratorValidationComment"))</f>
        <v/>
      </c>
      <c r="AB1423" s="7" t="str">
        <f>IF(ISBLANK(patch[[#This Row],[project]]), "",COUNTIFS($A:$A,patch[[#This Row],[number]],$S:$S, "SH And dev",$AD:$AD, "&lt;&gt;IntegratorValidationComment"))</f>
        <v/>
      </c>
      <c r="AC1423" s="7" t="str">
        <f>IF(OR(ISNUMBER(FIND("Review-1", patch[[#This Row],[comments]])), ISNUMBER(FIND("Approver-1", patch[[#This Row],[comments]]))), "Review-1", "")</f>
        <v/>
      </c>
      <c r="AD14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23" s="7">
        <f>IF(ISBLANK(patch[[#This Row],[number]]),AE1422,patch[[#This Row],[ifCommon]])</f>
        <v>0</v>
      </c>
    </row>
    <row r="1424" spans="1:31">
      <c r="A1424" s="151">
        <v>144558</v>
      </c>
      <c r="B1424" s="151"/>
      <c r="C1424" s="151"/>
      <c r="D1424" s="151"/>
      <c r="E1424" s="151"/>
      <c r="F1424" s="151"/>
      <c r="G1424" s="151"/>
      <c r="H1424" s="151"/>
      <c r="I1424" s="151"/>
      <c r="J1424" s="152">
        <v>42633.709398148138</v>
      </c>
      <c r="K1424" s="151"/>
      <c r="L1424" s="151" t="s">
        <v>59</v>
      </c>
      <c r="M1424" s="152">
        <v>42625.756504629629</v>
      </c>
      <c r="N1424" s="151" t="s">
        <v>3289</v>
      </c>
      <c r="O1424" s="151"/>
      <c r="P1424" s="151"/>
      <c r="Q1424" s="7" t="str">
        <f>IF(ISBLANK(patch[[#This Row],[OwnerEmail]]),Q1423,patch[[#This Row],[OwnerEmail]])</f>
        <v>gang.a.hu@intel.com</v>
      </c>
      <c r="R1424" s="7" t="str">
        <f>_xlfn.IFNA(VLOOKUP(patch[[#This Row],[tmp-owner.email]],OrgTree!$A:$K, 11, 0), "not ICG SWFW")</f>
        <v>BJ And dev</v>
      </c>
      <c r="S1424" s="7" t="str">
        <f>IF(patch[[#This Row],[reviewer]]=patch[[#This Row],[tmp-owner.email]], "author", _xlfn.IFNA(VLOOKUP(patch[[#This Row],[reviewer]],OrgTree!$A:$K, 11, 0), "not ICG SWFW"))</f>
        <v>BJ And dev</v>
      </c>
      <c r="T1424" s="7" t="str">
        <f>IF(ISBLANK(patch[[#This Row],[mergeDate]]), "", MID(YEAR(patch[[#This Row],[mergeDate]]), 3,2)&amp;"'ww"&amp;WEEKNUM(patch[[#This Row],[mergeDate]]))</f>
        <v>16'ww39</v>
      </c>
      <c r="U1424" s="7" t="str">
        <f>IF(ISBLANK(patch[[#This Row],[mergeDate]]), U1423, MID(YEAR(patch[[#This Row],[mergeDate]]), 3,2)&amp;"'m"&amp;MONTH(patch[[#This Row],[mergeDate]]))</f>
        <v>16'm9</v>
      </c>
      <c r="V1424" s="7" t="str">
        <f>IF(ISBLANK(patch[[#This Row],[project]]), "",SUM(patch[[#This Row],[BJ -1 num]:[SH -1 num]]))</f>
        <v/>
      </c>
      <c r="W1424" s="7" t="str">
        <f>IF(ISBLANK(patch[[#This Row],[project]]), "",COUNTIFS($A:$A,patch[[#This Row],[number]],$S:$S, "BJ And dev",$AC:$AC, "Review-1"))</f>
        <v/>
      </c>
      <c r="X1424" s="7" t="str">
        <f>IF(ISBLANK(patch[[#This Row],[project]]), "",COUNTIFS($A:$A,patch[[#This Row],[number]],$S:$S, "FL And dev",$AC:$AC, "Review-1"))</f>
        <v/>
      </c>
      <c r="Y1424" s="7" t="str">
        <f>IF(ISBLANK(patch[[#This Row],[project]]), "",COUNTIFS($A:$A,patch[[#This Row],[number]],$S:$S, "SH And dev",$AC:$AC, "Review-1"))</f>
        <v/>
      </c>
      <c r="Z1424" s="7" t="str">
        <f>IF(ISBLANK(patch[[#This Row],[project]]), "",COUNTIFS($A:$A,patch[[#This Row],[number]],$S:$S, "BJ And dev",$AD:$AD, "&lt;&gt;IntegratorValidationComment"))</f>
        <v/>
      </c>
      <c r="AA1424" s="7" t="str">
        <f>IF(ISBLANK(patch[[#This Row],[project]]), "",COUNTIFS($A:$A,patch[[#This Row],[number]],$S:$S, "FL And dev",$AD:$AD, "&lt;&gt;IntegratorValidationComment"))</f>
        <v/>
      </c>
      <c r="AB1424" s="7" t="str">
        <f>IF(ISBLANK(patch[[#This Row],[project]]), "",COUNTIFS($A:$A,patch[[#This Row],[number]],$S:$S, "SH And dev",$AD:$AD, "&lt;&gt;IntegratorValidationComment"))</f>
        <v/>
      </c>
      <c r="AC1424" s="7" t="str">
        <f>IF(OR(ISNUMBER(FIND("Review-1", patch[[#This Row],[comments]])), ISNUMBER(FIND("Approver-1", patch[[#This Row],[comments]]))), "Review-1", "")</f>
        <v/>
      </c>
      <c r="AD14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24" s="7">
        <f>IF(ISBLANK(patch[[#This Row],[number]]),AE1423,patch[[#This Row],[ifCommon]])</f>
        <v>0</v>
      </c>
    </row>
    <row r="1425" spans="1:31">
      <c r="A1425" s="151">
        <v>144558</v>
      </c>
      <c r="B1425" s="151"/>
      <c r="C1425" s="151"/>
      <c r="D1425" s="151"/>
      <c r="E1425" s="151"/>
      <c r="F1425" s="151"/>
      <c r="G1425" s="151"/>
      <c r="H1425" s="151"/>
      <c r="I1425" s="151"/>
      <c r="J1425" s="152">
        <v>42633.709398148138</v>
      </c>
      <c r="K1425" s="151"/>
      <c r="L1425" s="151" t="s">
        <v>32</v>
      </c>
      <c r="M1425" s="152">
        <v>42627.600624999999</v>
      </c>
      <c r="N1425" s="151" t="s">
        <v>1841</v>
      </c>
      <c r="O1425" s="151"/>
      <c r="P1425" s="151"/>
      <c r="Q1425" s="7" t="str">
        <f>IF(ISBLANK(patch[[#This Row],[OwnerEmail]]),Q1424,patch[[#This Row],[OwnerEmail]])</f>
        <v>gang.a.hu@intel.com</v>
      </c>
      <c r="R1425" s="7" t="str">
        <f>_xlfn.IFNA(VLOOKUP(patch[[#This Row],[tmp-owner.email]],OrgTree!$A:$K, 11, 0), "not ICG SWFW")</f>
        <v>BJ And dev</v>
      </c>
      <c r="S1425" s="7" t="str">
        <f>IF(patch[[#This Row],[reviewer]]=patch[[#This Row],[tmp-owner.email]], "author", _xlfn.IFNA(VLOOKUP(patch[[#This Row],[reviewer]],OrgTree!$A:$K, 11, 0), "not ICG SWFW"))</f>
        <v>author</v>
      </c>
      <c r="T1425" s="7" t="str">
        <f>IF(ISBLANK(patch[[#This Row],[mergeDate]]), "", MID(YEAR(patch[[#This Row],[mergeDate]]), 3,2)&amp;"'ww"&amp;WEEKNUM(patch[[#This Row],[mergeDate]]))</f>
        <v>16'ww39</v>
      </c>
      <c r="U1425" s="7" t="str">
        <f>IF(ISBLANK(patch[[#This Row],[mergeDate]]), U1424, MID(YEAR(patch[[#This Row],[mergeDate]]), 3,2)&amp;"'m"&amp;MONTH(patch[[#This Row],[mergeDate]]))</f>
        <v>16'm9</v>
      </c>
      <c r="V1425" s="7" t="str">
        <f>IF(ISBLANK(patch[[#This Row],[project]]), "",SUM(patch[[#This Row],[BJ -1 num]:[SH -1 num]]))</f>
        <v/>
      </c>
      <c r="W1425" s="7" t="str">
        <f>IF(ISBLANK(patch[[#This Row],[project]]), "",COUNTIFS($A:$A,patch[[#This Row],[number]],$S:$S, "BJ And dev",$AC:$AC, "Review-1"))</f>
        <v/>
      </c>
      <c r="X1425" s="7" t="str">
        <f>IF(ISBLANK(patch[[#This Row],[project]]), "",COUNTIFS($A:$A,patch[[#This Row],[number]],$S:$S, "FL And dev",$AC:$AC, "Review-1"))</f>
        <v/>
      </c>
      <c r="Y1425" s="7" t="str">
        <f>IF(ISBLANK(patch[[#This Row],[project]]), "",COUNTIFS($A:$A,patch[[#This Row],[number]],$S:$S, "SH And dev",$AC:$AC, "Review-1"))</f>
        <v/>
      </c>
      <c r="Z1425" s="7" t="str">
        <f>IF(ISBLANK(patch[[#This Row],[project]]), "",COUNTIFS($A:$A,patch[[#This Row],[number]],$S:$S, "BJ And dev",$AD:$AD, "&lt;&gt;IntegratorValidationComment"))</f>
        <v/>
      </c>
      <c r="AA1425" s="7" t="str">
        <f>IF(ISBLANK(patch[[#This Row],[project]]), "",COUNTIFS($A:$A,patch[[#This Row],[number]],$S:$S, "FL And dev",$AD:$AD, "&lt;&gt;IntegratorValidationComment"))</f>
        <v/>
      </c>
      <c r="AB1425" s="7" t="str">
        <f>IF(ISBLANK(patch[[#This Row],[project]]), "",COUNTIFS($A:$A,patch[[#This Row],[number]],$S:$S, "SH And dev",$AD:$AD, "&lt;&gt;IntegratorValidationComment"))</f>
        <v/>
      </c>
      <c r="AC1425" s="7" t="str">
        <f>IF(OR(ISNUMBER(FIND("Review-1", patch[[#This Row],[comments]])), ISNUMBER(FIND("Approver-1", patch[[#This Row],[comments]]))), "Review-1", "")</f>
        <v/>
      </c>
      <c r="AD14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25" s="7">
        <f>IF(ISBLANK(patch[[#This Row],[number]]),AE1424,patch[[#This Row],[ifCommon]])</f>
        <v>0</v>
      </c>
    </row>
    <row r="1426" spans="1:31">
      <c r="A1426" s="151">
        <v>144558</v>
      </c>
      <c r="B1426" s="151"/>
      <c r="C1426" s="151"/>
      <c r="D1426" s="151"/>
      <c r="E1426" s="151"/>
      <c r="F1426" s="151"/>
      <c r="G1426" s="151"/>
      <c r="H1426" s="151"/>
      <c r="I1426" s="151"/>
      <c r="J1426" s="152">
        <v>42633.709398148138</v>
      </c>
      <c r="K1426" s="151"/>
      <c r="L1426" s="151" t="s">
        <v>32</v>
      </c>
      <c r="M1426" s="152">
        <v>42627.600624999999</v>
      </c>
      <c r="N1426" s="151" t="s">
        <v>2451</v>
      </c>
      <c r="O1426" s="151"/>
      <c r="P1426" s="151"/>
      <c r="Q1426" s="7" t="str">
        <f>IF(ISBLANK(patch[[#This Row],[OwnerEmail]]),Q1425,patch[[#This Row],[OwnerEmail]])</f>
        <v>gang.a.hu@intel.com</v>
      </c>
      <c r="R1426" s="7" t="str">
        <f>_xlfn.IFNA(VLOOKUP(patch[[#This Row],[tmp-owner.email]],OrgTree!$A:$K, 11, 0), "not ICG SWFW")</f>
        <v>BJ And dev</v>
      </c>
      <c r="S1426" s="7" t="str">
        <f>IF(patch[[#This Row],[reviewer]]=patch[[#This Row],[tmp-owner.email]], "author", _xlfn.IFNA(VLOOKUP(patch[[#This Row],[reviewer]],OrgTree!$A:$K, 11, 0), "not ICG SWFW"))</f>
        <v>author</v>
      </c>
      <c r="T1426" s="7" t="str">
        <f>IF(ISBLANK(patch[[#This Row],[mergeDate]]), "", MID(YEAR(patch[[#This Row],[mergeDate]]), 3,2)&amp;"'ww"&amp;WEEKNUM(patch[[#This Row],[mergeDate]]))</f>
        <v>16'ww39</v>
      </c>
      <c r="U1426" s="7" t="str">
        <f>IF(ISBLANK(patch[[#This Row],[mergeDate]]), U1425, MID(YEAR(patch[[#This Row],[mergeDate]]), 3,2)&amp;"'m"&amp;MONTH(patch[[#This Row],[mergeDate]]))</f>
        <v>16'm9</v>
      </c>
      <c r="V1426" s="7" t="str">
        <f>IF(ISBLANK(patch[[#This Row],[project]]), "",SUM(patch[[#This Row],[BJ -1 num]:[SH -1 num]]))</f>
        <v/>
      </c>
      <c r="W1426" s="7" t="str">
        <f>IF(ISBLANK(patch[[#This Row],[project]]), "",COUNTIFS($A:$A,patch[[#This Row],[number]],$S:$S, "BJ And dev",$AC:$AC, "Review-1"))</f>
        <v/>
      </c>
      <c r="X1426" s="7" t="str">
        <f>IF(ISBLANK(patch[[#This Row],[project]]), "",COUNTIFS($A:$A,patch[[#This Row],[number]],$S:$S, "FL And dev",$AC:$AC, "Review-1"))</f>
        <v/>
      </c>
      <c r="Y1426" s="7" t="str">
        <f>IF(ISBLANK(patch[[#This Row],[project]]), "",COUNTIFS($A:$A,patch[[#This Row],[number]],$S:$S, "SH And dev",$AC:$AC, "Review-1"))</f>
        <v/>
      </c>
      <c r="Z1426" s="7" t="str">
        <f>IF(ISBLANK(patch[[#This Row],[project]]), "",COUNTIFS($A:$A,patch[[#This Row],[number]],$S:$S, "BJ And dev",$AD:$AD, "&lt;&gt;IntegratorValidationComment"))</f>
        <v/>
      </c>
      <c r="AA1426" s="7" t="str">
        <f>IF(ISBLANK(patch[[#This Row],[project]]), "",COUNTIFS($A:$A,patch[[#This Row],[number]],$S:$S, "FL And dev",$AD:$AD, "&lt;&gt;IntegratorValidationComment"))</f>
        <v/>
      </c>
      <c r="AB1426" s="7" t="str">
        <f>IF(ISBLANK(patch[[#This Row],[project]]), "",COUNTIFS($A:$A,patch[[#This Row],[number]],$S:$S, "SH And dev",$AD:$AD, "&lt;&gt;IntegratorValidationComment"))</f>
        <v/>
      </c>
      <c r="AC1426" s="7" t="str">
        <f>IF(OR(ISNUMBER(FIND("Review-1", patch[[#This Row],[comments]])), ISNUMBER(FIND("Approver-1", patch[[#This Row],[comments]]))), "Review-1", "")</f>
        <v/>
      </c>
      <c r="AD14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26" s="7">
        <f>IF(ISBLANK(patch[[#This Row],[number]]),AE1425,patch[[#This Row],[ifCommon]])</f>
        <v>0</v>
      </c>
    </row>
    <row r="1427" spans="1:31">
      <c r="A1427" s="151">
        <v>144558</v>
      </c>
      <c r="B1427" s="151"/>
      <c r="C1427" s="151"/>
      <c r="D1427" s="151"/>
      <c r="E1427" s="151"/>
      <c r="F1427" s="151"/>
      <c r="G1427" s="151"/>
      <c r="H1427" s="151"/>
      <c r="I1427" s="151"/>
      <c r="J1427" s="152">
        <v>42633.709398148138</v>
      </c>
      <c r="K1427" s="151"/>
      <c r="L1427" s="151" t="s">
        <v>59</v>
      </c>
      <c r="M1427" s="152">
        <v>42627.606365740743</v>
      </c>
      <c r="N1427" s="151" t="s">
        <v>3290</v>
      </c>
      <c r="O1427" s="151"/>
      <c r="P1427" s="151"/>
      <c r="Q1427" s="7" t="str">
        <f>IF(ISBLANK(patch[[#This Row],[OwnerEmail]]),Q1426,patch[[#This Row],[OwnerEmail]])</f>
        <v>gang.a.hu@intel.com</v>
      </c>
      <c r="R1427" s="7" t="str">
        <f>_xlfn.IFNA(VLOOKUP(patch[[#This Row],[tmp-owner.email]],OrgTree!$A:$K, 11, 0), "not ICG SWFW")</f>
        <v>BJ And dev</v>
      </c>
      <c r="S1427" s="7" t="str">
        <f>IF(patch[[#This Row],[reviewer]]=patch[[#This Row],[tmp-owner.email]], "author", _xlfn.IFNA(VLOOKUP(patch[[#This Row],[reviewer]],OrgTree!$A:$K, 11, 0), "not ICG SWFW"))</f>
        <v>BJ And dev</v>
      </c>
      <c r="T1427" s="7" t="str">
        <f>IF(ISBLANK(patch[[#This Row],[mergeDate]]), "", MID(YEAR(patch[[#This Row],[mergeDate]]), 3,2)&amp;"'ww"&amp;WEEKNUM(patch[[#This Row],[mergeDate]]))</f>
        <v>16'ww39</v>
      </c>
      <c r="U1427" s="7" t="str">
        <f>IF(ISBLANK(patch[[#This Row],[mergeDate]]), U1426, MID(YEAR(patch[[#This Row],[mergeDate]]), 3,2)&amp;"'m"&amp;MONTH(patch[[#This Row],[mergeDate]]))</f>
        <v>16'm9</v>
      </c>
      <c r="V1427" s="7" t="str">
        <f>IF(ISBLANK(patch[[#This Row],[project]]), "",SUM(patch[[#This Row],[BJ -1 num]:[SH -1 num]]))</f>
        <v/>
      </c>
      <c r="W1427" s="7" t="str">
        <f>IF(ISBLANK(patch[[#This Row],[project]]), "",COUNTIFS($A:$A,patch[[#This Row],[number]],$S:$S, "BJ And dev",$AC:$AC, "Review-1"))</f>
        <v/>
      </c>
      <c r="X1427" s="7" t="str">
        <f>IF(ISBLANK(patch[[#This Row],[project]]), "",COUNTIFS($A:$A,patch[[#This Row],[number]],$S:$S, "FL And dev",$AC:$AC, "Review-1"))</f>
        <v/>
      </c>
      <c r="Y1427" s="7" t="str">
        <f>IF(ISBLANK(patch[[#This Row],[project]]), "",COUNTIFS($A:$A,patch[[#This Row],[number]],$S:$S, "SH And dev",$AC:$AC, "Review-1"))</f>
        <v/>
      </c>
      <c r="Z1427" s="7" t="str">
        <f>IF(ISBLANK(patch[[#This Row],[project]]), "",COUNTIFS($A:$A,patch[[#This Row],[number]],$S:$S, "BJ And dev",$AD:$AD, "&lt;&gt;IntegratorValidationComment"))</f>
        <v/>
      </c>
      <c r="AA1427" s="7" t="str">
        <f>IF(ISBLANK(patch[[#This Row],[project]]), "",COUNTIFS($A:$A,patch[[#This Row],[number]],$S:$S, "FL And dev",$AD:$AD, "&lt;&gt;IntegratorValidationComment"))</f>
        <v/>
      </c>
      <c r="AB1427" s="7" t="str">
        <f>IF(ISBLANK(patch[[#This Row],[project]]), "",COUNTIFS($A:$A,patch[[#This Row],[number]],$S:$S, "SH And dev",$AD:$AD, "&lt;&gt;IntegratorValidationComment"))</f>
        <v/>
      </c>
      <c r="AC1427" s="7" t="str">
        <f>IF(OR(ISNUMBER(FIND("Review-1", patch[[#This Row],[comments]])), ISNUMBER(FIND("Approver-1", patch[[#This Row],[comments]]))), "Review-1", "")</f>
        <v/>
      </c>
      <c r="AD14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27" s="7">
        <f>IF(ISBLANK(patch[[#This Row],[number]]),AE1426,patch[[#This Row],[ifCommon]])</f>
        <v>0</v>
      </c>
    </row>
    <row r="1428" spans="1:31">
      <c r="A1428" s="151">
        <v>144558</v>
      </c>
      <c r="B1428" s="151"/>
      <c r="C1428" s="151"/>
      <c r="D1428" s="151"/>
      <c r="E1428" s="151"/>
      <c r="F1428" s="151"/>
      <c r="G1428" s="151"/>
      <c r="H1428" s="151"/>
      <c r="I1428" s="151"/>
      <c r="J1428" s="152">
        <v>42633.709398148138</v>
      </c>
      <c r="K1428" s="151"/>
      <c r="L1428" s="151" t="s">
        <v>59</v>
      </c>
      <c r="M1428" s="152">
        <v>42627.6093287037</v>
      </c>
      <c r="N1428" s="151" t="s">
        <v>3291</v>
      </c>
      <c r="O1428" s="151"/>
      <c r="P1428" s="151"/>
      <c r="Q1428" s="7" t="str">
        <f>IF(ISBLANK(patch[[#This Row],[OwnerEmail]]),Q1427,patch[[#This Row],[OwnerEmail]])</f>
        <v>gang.a.hu@intel.com</v>
      </c>
      <c r="R1428" s="7" t="str">
        <f>_xlfn.IFNA(VLOOKUP(patch[[#This Row],[tmp-owner.email]],OrgTree!$A:$K, 11, 0), "not ICG SWFW")</f>
        <v>BJ And dev</v>
      </c>
      <c r="S1428" s="7" t="str">
        <f>IF(patch[[#This Row],[reviewer]]=patch[[#This Row],[tmp-owner.email]], "author", _xlfn.IFNA(VLOOKUP(patch[[#This Row],[reviewer]],OrgTree!$A:$K, 11, 0), "not ICG SWFW"))</f>
        <v>BJ And dev</v>
      </c>
      <c r="T1428" s="7" t="str">
        <f>IF(ISBLANK(patch[[#This Row],[mergeDate]]), "", MID(YEAR(patch[[#This Row],[mergeDate]]), 3,2)&amp;"'ww"&amp;WEEKNUM(patch[[#This Row],[mergeDate]]))</f>
        <v>16'ww39</v>
      </c>
      <c r="U1428" s="7" t="str">
        <f>IF(ISBLANK(patch[[#This Row],[mergeDate]]), U1427, MID(YEAR(patch[[#This Row],[mergeDate]]), 3,2)&amp;"'m"&amp;MONTH(patch[[#This Row],[mergeDate]]))</f>
        <v>16'm9</v>
      </c>
      <c r="V1428" s="7" t="str">
        <f>IF(ISBLANK(patch[[#This Row],[project]]), "",SUM(patch[[#This Row],[BJ -1 num]:[SH -1 num]]))</f>
        <v/>
      </c>
      <c r="W1428" s="7" t="str">
        <f>IF(ISBLANK(patch[[#This Row],[project]]), "",COUNTIFS($A:$A,patch[[#This Row],[number]],$S:$S, "BJ And dev",$AC:$AC, "Review-1"))</f>
        <v/>
      </c>
      <c r="X1428" s="7" t="str">
        <f>IF(ISBLANK(patch[[#This Row],[project]]), "",COUNTIFS($A:$A,patch[[#This Row],[number]],$S:$S, "FL And dev",$AC:$AC, "Review-1"))</f>
        <v/>
      </c>
      <c r="Y1428" s="7" t="str">
        <f>IF(ISBLANK(patch[[#This Row],[project]]), "",COUNTIFS($A:$A,patch[[#This Row],[number]],$S:$S, "SH And dev",$AC:$AC, "Review-1"))</f>
        <v/>
      </c>
      <c r="Z1428" s="7" t="str">
        <f>IF(ISBLANK(patch[[#This Row],[project]]), "",COUNTIFS($A:$A,patch[[#This Row],[number]],$S:$S, "BJ And dev",$AD:$AD, "&lt;&gt;IntegratorValidationComment"))</f>
        <v/>
      </c>
      <c r="AA1428" s="7" t="str">
        <f>IF(ISBLANK(patch[[#This Row],[project]]), "",COUNTIFS($A:$A,patch[[#This Row],[number]],$S:$S, "FL And dev",$AD:$AD, "&lt;&gt;IntegratorValidationComment"))</f>
        <v/>
      </c>
      <c r="AB1428" s="7" t="str">
        <f>IF(ISBLANK(patch[[#This Row],[project]]), "",COUNTIFS($A:$A,patch[[#This Row],[number]],$S:$S, "SH And dev",$AD:$AD, "&lt;&gt;IntegratorValidationComment"))</f>
        <v/>
      </c>
      <c r="AC1428" s="7" t="str">
        <f>IF(OR(ISNUMBER(FIND("Review-1", patch[[#This Row],[comments]])), ISNUMBER(FIND("Approver-1", patch[[#This Row],[comments]]))), "Review-1", "")</f>
        <v/>
      </c>
      <c r="AD14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28" s="7">
        <f>IF(ISBLANK(patch[[#This Row],[number]]),AE1427,patch[[#This Row],[ifCommon]])</f>
        <v>0</v>
      </c>
    </row>
    <row r="1429" spans="1:31">
      <c r="A1429" s="151">
        <v>144558</v>
      </c>
      <c r="B1429" s="151"/>
      <c r="C1429" s="151"/>
      <c r="D1429" s="151"/>
      <c r="E1429" s="151"/>
      <c r="F1429" s="151"/>
      <c r="G1429" s="151"/>
      <c r="H1429" s="151"/>
      <c r="I1429" s="151"/>
      <c r="J1429" s="152">
        <v>42633.709398148138</v>
      </c>
      <c r="K1429" s="151"/>
      <c r="L1429" s="151" t="s">
        <v>59</v>
      </c>
      <c r="M1429" s="152">
        <v>42627.636736111112</v>
      </c>
      <c r="N1429" s="151" t="s">
        <v>31</v>
      </c>
      <c r="O1429" s="151"/>
      <c r="P1429" s="151"/>
      <c r="Q1429" s="7" t="str">
        <f>IF(ISBLANK(patch[[#This Row],[OwnerEmail]]),Q1428,patch[[#This Row],[OwnerEmail]])</f>
        <v>gang.a.hu@intel.com</v>
      </c>
      <c r="R1429" s="7" t="str">
        <f>_xlfn.IFNA(VLOOKUP(patch[[#This Row],[tmp-owner.email]],OrgTree!$A:$K, 11, 0), "not ICG SWFW")</f>
        <v>BJ And dev</v>
      </c>
      <c r="S1429" s="7" t="str">
        <f>IF(patch[[#This Row],[reviewer]]=patch[[#This Row],[tmp-owner.email]], "author", _xlfn.IFNA(VLOOKUP(patch[[#This Row],[reviewer]],OrgTree!$A:$K, 11, 0), "not ICG SWFW"))</f>
        <v>BJ And dev</v>
      </c>
      <c r="T1429" s="7" t="str">
        <f>IF(ISBLANK(patch[[#This Row],[mergeDate]]), "", MID(YEAR(patch[[#This Row],[mergeDate]]), 3,2)&amp;"'ww"&amp;WEEKNUM(patch[[#This Row],[mergeDate]]))</f>
        <v>16'ww39</v>
      </c>
      <c r="U1429" s="7" t="str">
        <f>IF(ISBLANK(patch[[#This Row],[mergeDate]]), U1428, MID(YEAR(patch[[#This Row],[mergeDate]]), 3,2)&amp;"'m"&amp;MONTH(patch[[#This Row],[mergeDate]]))</f>
        <v>16'm9</v>
      </c>
      <c r="V1429" s="7" t="str">
        <f>IF(ISBLANK(patch[[#This Row],[project]]), "",SUM(patch[[#This Row],[BJ -1 num]:[SH -1 num]]))</f>
        <v/>
      </c>
      <c r="W1429" s="7" t="str">
        <f>IF(ISBLANK(patch[[#This Row],[project]]), "",COUNTIFS($A:$A,patch[[#This Row],[number]],$S:$S, "BJ And dev",$AC:$AC, "Review-1"))</f>
        <v/>
      </c>
      <c r="X1429" s="7" t="str">
        <f>IF(ISBLANK(patch[[#This Row],[project]]), "",COUNTIFS($A:$A,patch[[#This Row],[number]],$S:$S, "FL And dev",$AC:$AC, "Review-1"))</f>
        <v/>
      </c>
      <c r="Y1429" s="7" t="str">
        <f>IF(ISBLANK(patch[[#This Row],[project]]), "",COUNTIFS($A:$A,patch[[#This Row],[number]],$S:$S, "SH And dev",$AC:$AC, "Review-1"))</f>
        <v/>
      </c>
      <c r="Z1429" s="7" t="str">
        <f>IF(ISBLANK(patch[[#This Row],[project]]), "",COUNTIFS($A:$A,patch[[#This Row],[number]],$S:$S, "BJ And dev",$AD:$AD, "&lt;&gt;IntegratorValidationComment"))</f>
        <v/>
      </c>
      <c r="AA1429" s="7" t="str">
        <f>IF(ISBLANK(patch[[#This Row],[project]]), "",COUNTIFS($A:$A,patch[[#This Row],[number]],$S:$S, "FL And dev",$AD:$AD, "&lt;&gt;IntegratorValidationComment"))</f>
        <v/>
      </c>
      <c r="AB1429" s="7" t="str">
        <f>IF(ISBLANK(patch[[#This Row],[project]]), "",COUNTIFS($A:$A,patch[[#This Row],[number]],$S:$S, "SH And dev",$AD:$AD, "&lt;&gt;IntegratorValidationComment"))</f>
        <v/>
      </c>
      <c r="AC1429" s="7" t="str">
        <f>IF(OR(ISNUMBER(FIND("Review-1", patch[[#This Row],[comments]])), ISNUMBER(FIND("Approver-1", patch[[#This Row],[comments]]))), "Review-1", "")</f>
        <v/>
      </c>
      <c r="AD14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29" s="7">
        <f>IF(ISBLANK(patch[[#This Row],[number]]),AE1428,patch[[#This Row],[ifCommon]])</f>
        <v>0</v>
      </c>
    </row>
    <row r="1430" spans="1:31">
      <c r="A1430" s="151">
        <v>144558</v>
      </c>
      <c r="B1430" s="151"/>
      <c r="C1430" s="151"/>
      <c r="D1430" s="151"/>
      <c r="E1430" s="151"/>
      <c r="F1430" s="151"/>
      <c r="G1430" s="151"/>
      <c r="H1430" s="151"/>
      <c r="I1430" s="151"/>
      <c r="J1430" s="152">
        <v>42633.709398148138</v>
      </c>
      <c r="K1430" s="151"/>
      <c r="L1430" s="151" t="s">
        <v>55</v>
      </c>
      <c r="M1430" s="152">
        <v>42627.640462962961</v>
      </c>
      <c r="N1430" s="151" t="s">
        <v>1890</v>
      </c>
      <c r="O1430" s="151"/>
      <c r="P1430" s="151"/>
      <c r="Q1430" s="7" t="str">
        <f>IF(ISBLANK(patch[[#This Row],[OwnerEmail]]),Q1429,patch[[#This Row],[OwnerEmail]])</f>
        <v>gang.a.hu@intel.com</v>
      </c>
      <c r="R1430" s="7" t="str">
        <f>_xlfn.IFNA(VLOOKUP(patch[[#This Row],[tmp-owner.email]],OrgTree!$A:$K, 11, 0), "not ICG SWFW")</f>
        <v>BJ And dev</v>
      </c>
      <c r="S1430" s="7" t="str">
        <f>IF(patch[[#This Row],[reviewer]]=patch[[#This Row],[tmp-owner.email]], "author", _xlfn.IFNA(VLOOKUP(patch[[#This Row],[reviewer]],OrgTree!$A:$K, 11, 0), "not ICG SWFW"))</f>
        <v>BJ And dev</v>
      </c>
      <c r="T1430" s="7" t="str">
        <f>IF(ISBLANK(patch[[#This Row],[mergeDate]]), "", MID(YEAR(patch[[#This Row],[mergeDate]]), 3,2)&amp;"'ww"&amp;WEEKNUM(patch[[#This Row],[mergeDate]]))</f>
        <v>16'ww39</v>
      </c>
      <c r="U1430" s="7" t="str">
        <f>IF(ISBLANK(patch[[#This Row],[mergeDate]]), U1429, MID(YEAR(patch[[#This Row],[mergeDate]]), 3,2)&amp;"'m"&amp;MONTH(patch[[#This Row],[mergeDate]]))</f>
        <v>16'm9</v>
      </c>
      <c r="V1430" s="7" t="str">
        <f>IF(ISBLANK(patch[[#This Row],[project]]), "",SUM(patch[[#This Row],[BJ -1 num]:[SH -1 num]]))</f>
        <v/>
      </c>
      <c r="W1430" s="7" t="str">
        <f>IF(ISBLANK(patch[[#This Row],[project]]), "",COUNTIFS($A:$A,patch[[#This Row],[number]],$S:$S, "BJ And dev",$AC:$AC, "Review-1"))</f>
        <v/>
      </c>
      <c r="X1430" s="7" t="str">
        <f>IF(ISBLANK(patch[[#This Row],[project]]), "",COUNTIFS($A:$A,patch[[#This Row],[number]],$S:$S, "FL And dev",$AC:$AC, "Review-1"))</f>
        <v/>
      </c>
      <c r="Y1430" s="7" t="str">
        <f>IF(ISBLANK(patch[[#This Row],[project]]), "",COUNTIFS($A:$A,patch[[#This Row],[number]],$S:$S, "SH And dev",$AC:$AC, "Review-1"))</f>
        <v/>
      </c>
      <c r="Z1430" s="7" t="str">
        <f>IF(ISBLANK(patch[[#This Row],[project]]), "",COUNTIFS($A:$A,patch[[#This Row],[number]],$S:$S, "BJ And dev",$AD:$AD, "&lt;&gt;IntegratorValidationComment"))</f>
        <v/>
      </c>
      <c r="AA1430" s="7" t="str">
        <f>IF(ISBLANK(patch[[#This Row],[project]]), "",COUNTIFS($A:$A,patch[[#This Row],[number]],$S:$S, "FL And dev",$AD:$AD, "&lt;&gt;IntegratorValidationComment"))</f>
        <v/>
      </c>
      <c r="AB1430" s="7" t="str">
        <f>IF(ISBLANK(patch[[#This Row],[project]]), "",COUNTIFS($A:$A,patch[[#This Row],[number]],$S:$S, "SH And dev",$AD:$AD, "&lt;&gt;IntegratorValidationComment"))</f>
        <v/>
      </c>
      <c r="AC1430" s="7" t="str">
        <f>IF(OR(ISNUMBER(FIND("Review-1", patch[[#This Row],[comments]])), ISNUMBER(FIND("Approver-1", patch[[#This Row],[comments]]))), "Review-1", "")</f>
        <v/>
      </c>
      <c r="AD14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30" s="7">
        <f>IF(ISBLANK(patch[[#This Row],[number]]),AE1429,patch[[#This Row],[ifCommon]])</f>
        <v>0</v>
      </c>
    </row>
    <row r="1431" spans="1:31">
      <c r="A1431" s="151">
        <v>144558</v>
      </c>
      <c r="B1431" s="151"/>
      <c r="C1431" s="151"/>
      <c r="D1431" s="151"/>
      <c r="E1431" s="151"/>
      <c r="F1431" s="151"/>
      <c r="G1431" s="151"/>
      <c r="H1431" s="151"/>
      <c r="I1431" s="151"/>
      <c r="J1431" s="152">
        <v>42633.709398148138</v>
      </c>
      <c r="K1431" s="151"/>
      <c r="L1431" s="151" t="s">
        <v>32</v>
      </c>
      <c r="M1431" s="152">
        <v>42627.668275462973</v>
      </c>
      <c r="N1431" s="151" t="s">
        <v>2452</v>
      </c>
      <c r="O1431" s="151"/>
      <c r="P1431" s="151"/>
      <c r="Q1431" s="7" t="str">
        <f>IF(ISBLANK(patch[[#This Row],[OwnerEmail]]),Q1430,patch[[#This Row],[OwnerEmail]])</f>
        <v>gang.a.hu@intel.com</v>
      </c>
      <c r="R1431" s="7" t="str">
        <f>_xlfn.IFNA(VLOOKUP(patch[[#This Row],[tmp-owner.email]],OrgTree!$A:$K, 11, 0), "not ICG SWFW")</f>
        <v>BJ And dev</v>
      </c>
      <c r="S1431" s="7" t="str">
        <f>IF(patch[[#This Row],[reviewer]]=patch[[#This Row],[tmp-owner.email]], "author", _xlfn.IFNA(VLOOKUP(patch[[#This Row],[reviewer]],OrgTree!$A:$K, 11, 0), "not ICG SWFW"))</f>
        <v>author</v>
      </c>
      <c r="T1431" s="7" t="str">
        <f>IF(ISBLANK(patch[[#This Row],[mergeDate]]), "", MID(YEAR(patch[[#This Row],[mergeDate]]), 3,2)&amp;"'ww"&amp;WEEKNUM(patch[[#This Row],[mergeDate]]))</f>
        <v>16'ww39</v>
      </c>
      <c r="U1431" s="7" t="str">
        <f>IF(ISBLANK(patch[[#This Row],[mergeDate]]), U1430, MID(YEAR(patch[[#This Row],[mergeDate]]), 3,2)&amp;"'m"&amp;MONTH(patch[[#This Row],[mergeDate]]))</f>
        <v>16'm9</v>
      </c>
      <c r="V1431" s="7" t="str">
        <f>IF(ISBLANK(patch[[#This Row],[project]]), "",SUM(patch[[#This Row],[BJ -1 num]:[SH -1 num]]))</f>
        <v/>
      </c>
      <c r="W1431" s="7" t="str">
        <f>IF(ISBLANK(patch[[#This Row],[project]]), "",COUNTIFS($A:$A,patch[[#This Row],[number]],$S:$S, "BJ And dev",$AC:$AC, "Review-1"))</f>
        <v/>
      </c>
      <c r="X1431" s="7" t="str">
        <f>IF(ISBLANK(patch[[#This Row],[project]]), "",COUNTIFS($A:$A,patch[[#This Row],[number]],$S:$S, "FL And dev",$AC:$AC, "Review-1"))</f>
        <v/>
      </c>
      <c r="Y1431" s="7" t="str">
        <f>IF(ISBLANK(patch[[#This Row],[project]]), "",COUNTIFS($A:$A,patch[[#This Row],[number]],$S:$S, "SH And dev",$AC:$AC, "Review-1"))</f>
        <v/>
      </c>
      <c r="Z1431" s="7" t="str">
        <f>IF(ISBLANK(patch[[#This Row],[project]]), "",COUNTIFS($A:$A,patch[[#This Row],[number]],$S:$S, "BJ And dev",$AD:$AD, "&lt;&gt;IntegratorValidationComment"))</f>
        <v/>
      </c>
      <c r="AA1431" s="7" t="str">
        <f>IF(ISBLANK(patch[[#This Row],[project]]), "",COUNTIFS($A:$A,patch[[#This Row],[number]],$S:$S, "FL And dev",$AD:$AD, "&lt;&gt;IntegratorValidationComment"))</f>
        <v/>
      </c>
      <c r="AB1431" s="7" t="str">
        <f>IF(ISBLANK(patch[[#This Row],[project]]), "",COUNTIFS($A:$A,patch[[#This Row],[number]],$S:$S, "SH And dev",$AD:$AD, "&lt;&gt;IntegratorValidationComment"))</f>
        <v/>
      </c>
      <c r="AC1431" s="7" t="str">
        <f>IF(OR(ISNUMBER(FIND("Review-1", patch[[#This Row],[comments]])), ISNUMBER(FIND("Approver-1", patch[[#This Row],[comments]]))), "Review-1", "")</f>
        <v/>
      </c>
      <c r="AD14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31" s="7">
        <f>IF(ISBLANK(patch[[#This Row],[number]]),AE1430,patch[[#This Row],[ifCommon]])</f>
        <v>0</v>
      </c>
    </row>
    <row r="1432" spans="1:31">
      <c r="A1432" s="151">
        <v>144558</v>
      </c>
      <c r="B1432" s="151"/>
      <c r="C1432" s="151"/>
      <c r="D1432" s="151"/>
      <c r="E1432" s="151"/>
      <c r="F1432" s="151"/>
      <c r="G1432" s="151"/>
      <c r="H1432" s="151"/>
      <c r="I1432" s="151"/>
      <c r="J1432" s="152">
        <v>42633.709398148138</v>
      </c>
      <c r="K1432" s="151"/>
      <c r="L1432" s="151" t="s">
        <v>32</v>
      </c>
      <c r="M1432" s="152">
        <v>42627.668287037042</v>
      </c>
      <c r="N1432" s="151" t="s">
        <v>2453</v>
      </c>
      <c r="O1432" s="151"/>
      <c r="P1432" s="151"/>
      <c r="Q1432" s="7" t="str">
        <f>IF(ISBLANK(patch[[#This Row],[OwnerEmail]]),Q1431,patch[[#This Row],[OwnerEmail]])</f>
        <v>gang.a.hu@intel.com</v>
      </c>
      <c r="R1432" s="7" t="str">
        <f>_xlfn.IFNA(VLOOKUP(patch[[#This Row],[tmp-owner.email]],OrgTree!$A:$K, 11, 0), "not ICG SWFW")</f>
        <v>BJ And dev</v>
      </c>
      <c r="S1432" s="7" t="str">
        <f>IF(patch[[#This Row],[reviewer]]=patch[[#This Row],[tmp-owner.email]], "author", _xlfn.IFNA(VLOOKUP(patch[[#This Row],[reviewer]],OrgTree!$A:$K, 11, 0), "not ICG SWFW"))</f>
        <v>author</v>
      </c>
      <c r="T1432" s="7" t="str">
        <f>IF(ISBLANK(patch[[#This Row],[mergeDate]]), "", MID(YEAR(patch[[#This Row],[mergeDate]]), 3,2)&amp;"'ww"&amp;WEEKNUM(patch[[#This Row],[mergeDate]]))</f>
        <v>16'ww39</v>
      </c>
      <c r="U1432" s="7" t="str">
        <f>IF(ISBLANK(patch[[#This Row],[mergeDate]]), U1431, MID(YEAR(patch[[#This Row],[mergeDate]]), 3,2)&amp;"'m"&amp;MONTH(patch[[#This Row],[mergeDate]]))</f>
        <v>16'm9</v>
      </c>
      <c r="V1432" s="7" t="str">
        <f>IF(ISBLANK(patch[[#This Row],[project]]), "",SUM(patch[[#This Row],[BJ -1 num]:[SH -1 num]]))</f>
        <v/>
      </c>
      <c r="W1432" s="7" t="str">
        <f>IF(ISBLANK(patch[[#This Row],[project]]), "",COUNTIFS($A:$A,patch[[#This Row],[number]],$S:$S, "BJ And dev",$AC:$AC, "Review-1"))</f>
        <v/>
      </c>
      <c r="X1432" s="7" t="str">
        <f>IF(ISBLANK(patch[[#This Row],[project]]), "",COUNTIFS($A:$A,patch[[#This Row],[number]],$S:$S, "FL And dev",$AC:$AC, "Review-1"))</f>
        <v/>
      </c>
      <c r="Y1432" s="7" t="str">
        <f>IF(ISBLANK(patch[[#This Row],[project]]), "",COUNTIFS($A:$A,patch[[#This Row],[number]],$S:$S, "SH And dev",$AC:$AC, "Review-1"))</f>
        <v/>
      </c>
      <c r="Z1432" s="7" t="str">
        <f>IF(ISBLANK(patch[[#This Row],[project]]), "",COUNTIFS($A:$A,patch[[#This Row],[number]],$S:$S, "BJ And dev",$AD:$AD, "&lt;&gt;IntegratorValidationComment"))</f>
        <v/>
      </c>
      <c r="AA1432" s="7" t="str">
        <f>IF(ISBLANK(patch[[#This Row],[project]]), "",COUNTIFS($A:$A,patch[[#This Row],[number]],$S:$S, "FL And dev",$AD:$AD, "&lt;&gt;IntegratorValidationComment"))</f>
        <v/>
      </c>
      <c r="AB1432" s="7" t="str">
        <f>IF(ISBLANK(patch[[#This Row],[project]]), "",COUNTIFS($A:$A,patch[[#This Row],[number]],$S:$S, "SH And dev",$AD:$AD, "&lt;&gt;IntegratorValidationComment"))</f>
        <v/>
      </c>
      <c r="AC1432" s="7" t="str">
        <f>IF(OR(ISNUMBER(FIND("Review-1", patch[[#This Row],[comments]])), ISNUMBER(FIND("Approver-1", patch[[#This Row],[comments]]))), "Review-1", "")</f>
        <v/>
      </c>
      <c r="AD14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32" s="7">
        <f>IF(ISBLANK(patch[[#This Row],[number]]),AE1431,patch[[#This Row],[ifCommon]])</f>
        <v>0</v>
      </c>
    </row>
    <row r="1433" spans="1:31">
      <c r="A1433" s="151">
        <v>144558</v>
      </c>
      <c r="B1433" s="151"/>
      <c r="C1433" s="151"/>
      <c r="D1433" s="151"/>
      <c r="E1433" s="151"/>
      <c r="F1433" s="151"/>
      <c r="G1433" s="151"/>
      <c r="H1433" s="151"/>
      <c r="I1433" s="151"/>
      <c r="J1433" s="152">
        <v>42633.709398148138</v>
      </c>
      <c r="K1433" s="151"/>
      <c r="L1433" s="151" t="s">
        <v>59</v>
      </c>
      <c r="M1433" s="152">
        <v>42627.675775462973</v>
      </c>
      <c r="N1433" s="151" t="s">
        <v>3292</v>
      </c>
      <c r="O1433" s="151"/>
      <c r="P1433" s="151"/>
      <c r="Q1433" s="7" t="str">
        <f>IF(ISBLANK(patch[[#This Row],[OwnerEmail]]),Q1432,patch[[#This Row],[OwnerEmail]])</f>
        <v>gang.a.hu@intel.com</v>
      </c>
      <c r="R1433" s="7" t="str">
        <f>_xlfn.IFNA(VLOOKUP(patch[[#This Row],[tmp-owner.email]],OrgTree!$A:$K, 11, 0), "not ICG SWFW")</f>
        <v>BJ And dev</v>
      </c>
      <c r="S1433" s="7" t="str">
        <f>IF(patch[[#This Row],[reviewer]]=patch[[#This Row],[tmp-owner.email]], "author", _xlfn.IFNA(VLOOKUP(patch[[#This Row],[reviewer]],OrgTree!$A:$K, 11, 0), "not ICG SWFW"))</f>
        <v>BJ And dev</v>
      </c>
      <c r="T1433" s="7" t="str">
        <f>IF(ISBLANK(patch[[#This Row],[mergeDate]]), "", MID(YEAR(patch[[#This Row],[mergeDate]]), 3,2)&amp;"'ww"&amp;WEEKNUM(patch[[#This Row],[mergeDate]]))</f>
        <v>16'ww39</v>
      </c>
      <c r="U1433" s="7" t="str">
        <f>IF(ISBLANK(patch[[#This Row],[mergeDate]]), U1432, MID(YEAR(patch[[#This Row],[mergeDate]]), 3,2)&amp;"'m"&amp;MONTH(patch[[#This Row],[mergeDate]]))</f>
        <v>16'm9</v>
      </c>
      <c r="V1433" s="7" t="str">
        <f>IF(ISBLANK(patch[[#This Row],[project]]), "",SUM(patch[[#This Row],[BJ -1 num]:[SH -1 num]]))</f>
        <v/>
      </c>
      <c r="W1433" s="7" t="str">
        <f>IF(ISBLANK(patch[[#This Row],[project]]), "",COUNTIFS($A:$A,patch[[#This Row],[number]],$S:$S, "BJ And dev",$AC:$AC, "Review-1"))</f>
        <v/>
      </c>
      <c r="X1433" s="7" t="str">
        <f>IF(ISBLANK(patch[[#This Row],[project]]), "",COUNTIFS($A:$A,patch[[#This Row],[number]],$S:$S, "FL And dev",$AC:$AC, "Review-1"))</f>
        <v/>
      </c>
      <c r="Y1433" s="7" t="str">
        <f>IF(ISBLANK(patch[[#This Row],[project]]), "",COUNTIFS($A:$A,patch[[#This Row],[number]],$S:$S, "SH And dev",$AC:$AC, "Review-1"))</f>
        <v/>
      </c>
      <c r="Z1433" s="7" t="str">
        <f>IF(ISBLANK(patch[[#This Row],[project]]), "",COUNTIFS($A:$A,patch[[#This Row],[number]],$S:$S, "BJ And dev",$AD:$AD, "&lt;&gt;IntegratorValidationComment"))</f>
        <v/>
      </c>
      <c r="AA1433" s="7" t="str">
        <f>IF(ISBLANK(patch[[#This Row],[project]]), "",COUNTIFS($A:$A,patch[[#This Row],[number]],$S:$S, "FL And dev",$AD:$AD, "&lt;&gt;IntegratorValidationComment"))</f>
        <v/>
      </c>
      <c r="AB1433" s="7" t="str">
        <f>IF(ISBLANK(patch[[#This Row],[project]]), "",COUNTIFS($A:$A,patch[[#This Row],[number]],$S:$S, "SH And dev",$AD:$AD, "&lt;&gt;IntegratorValidationComment"))</f>
        <v/>
      </c>
      <c r="AC1433" s="7" t="str">
        <f>IF(OR(ISNUMBER(FIND("Review-1", patch[[#This Row],[comments]])), ISNUMBER(FIND("Approver-1", patch[[#This Row],[comments]]))), "Review-1", "")</f>
        <v/>
      </c>
      <c r="AD14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33" s="7">
        <f>IF(ISBLANK(patch[[#This Row],[number]]),AE1432,patch[[#This Row],[ifCommon]])</f>
        <v>0</v>
      </c>
    </row>
    <row r="1434" spans="1:31">
      <c r="A1434" s="151">
        <v>144558</v>
      </c>
      <c r="B1434" s="151"/>
      <c r="C1434" s="151"/>
      <c r="D1434" s="151"/>
      <c r="E1434" s="151"/>
      <c r="F1434" s="151"/>
      <c r="G1434" s="151"/>
      <c r="H1434" s="151"/>
      <c r="I1434" s="151"/>
      <c r="J1434" s="152">
        <v>42633.709398148138</v>
      </c>
      <c r="K1434" s="151"/>
      <c r="L1434" s="151" t="s">
        <v>59</v>
      </c>
      <c r="M1434" s="152">
        <v>42627.683055555557</v>
      </c>
      <c r="N1434" s="151" t="s">
        <v>3293</v>
      </c>
      <c r="O1434" s="151"/>
      <c r="P1434" s="151"/>
      <c r="Q1434" s="7" t="str">
        <f>IF(ISBLANK(patch[[#This Row],[OwnerEmail]]),Q1433,patch[[#This Row],[OwnerEmail]])</f>
        <v>gang.a.hu@intel.com</v>
      </c>
      <c r="R1434" s="7" t="str">
        <f>_xlfn.IFNA(VLOOKUP(patch[[#This Row],[tmp-owner.email]],OrgTree!$A:$K, 11, 0), "not ICG SWFW")</f>
        <v>BJ And dev</v>
      </c>
      <c r="S1434" s="7" t="str">
        <f>IF(patch[[#This Row],[reviewer]]=patch[[#This Row],[tmp-owner.email]], "author", _xlfn.IFNA(VLOOKUP(patch[[#This Row],[reviewer]],OrgTree!$A:$K, 11, 0), "not ICG SWFW"))</f>
        <v>BJ And dev</v>
      </c>
      <c r="T1434" s="7" t="str">
        <f>IF(ISBLANK(patch[[#This Row],[mergeDate]]), "", MID(YEAR(patch[[#This Row],[mergeDate]]), 3,2)&amp;"'ww"&amp;WEEKNUM(patch[[#This Row],[mergeDate]]))</f>
        <v>16'ww39</v>
      </c>
      <c r="U1434" s="7" t="str">
        <f>IF(ISBLANK(patch[[#This Row],[mergeDate]]), U1433, MID(YEAR(patch[[#This Row],[mergeDate]]), 3,2)&amp;"'m"&amp;MONTH(patch[[#This Row],[mergeDate]]))</f>
        <v>16'm9</v>
      </c>
      <c r="V1434" s="7" t="str">
        <f>IF(ISBLANK(patch[[#This Row],[project]]), "",SUM(patch[[#This Row],[BJ -1 num]:[SH -1 num]]))</f>
        <v/>
      </c>
      <c r="W1434" s="7" t="str">
        <f>IF(ISBLANK(patch[[#This Row],[project]]), "",COUNTIFS($A:$A,patch[[#This Row],[number]],$S:$S, "BJ And dev",$AC:$AC, "Review-1"))</f>
        <v/>
      </c>
      <c r="X1434" s="7" t="str">
        <f>IF(ISBLANK(patch[[#This Row],[project]]), "",COUNTIFS($A:$A,patch[[#This Row],[number]],$S:$S, "FL And dev",$AC:$AC, "Review-1"))</f>
        <v/>
      </c>
      <c r="Y1434" s="7" t="str">
        <f>IF(ISBLANK(patch[[#This Row],[project]]), "",COUNTIFS($A:$A,patch[[#This Row],[number]],$S:$S, "SH And dev",$AC:$AC, "Review-1"))</f>
        <v/>
      </c>
      <c r="Z1434" s="7" t="str">
        <f>IF(ISBLANK(patch[[#This Row],[project]]), "",COUNTIFS($A:$A,patch[[#This Row],[number]],$S:$S, "BJ And dev",$AD:$AD, "&lt;&gt;IntegratorValidationComment"))</f>
        <v/>
      </c>
      <c r="AA1434" s="7" t="str">
        <f>IF(ISBLANK(patch[[#This Row],[project]]), "",COUNTIFS($A:$A,patch[[#This Row],[number]],$S:$S, "FL And dev",$AD:$AD, "&lt;&gt;IntegratorValidationComment"))</f>
        <v/>
      </c>
      <c r="AB1434" s="7" t="str">
        <f>IF(ISBLANK(patch[[#This Row],[project]]), "",COUNTIFS($A:$A,patch[[#This Row],[number]],$S:$S, "SH And dev",$AD:$AD, "&lt;&gt;IntegratorValidationComment"))</f>
        <v/>
      </c>
      <c r="AC1434" s="7" t="str">
        <f>IF(OR(ISNUMBER(FIND("Review-1", patch[[#This Row],[comments]])), ISNUMBER(FIND("Approver-1", patch[[#This Row],[comments]]))), "Review-1", "")</f>
        <v/>
      </c>
      <c r="AD14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34" s="7">
        <f>IF(ISBLANK(patch[[#This Row],[number]]),AE1433,patch[[#This Row],[ifCommon]])</f>
        <v>0</v>
      </c>
    </row>
    <row r="1435" spans="1:31">
      <c r="A1435" s="151">
        <v>144558</v>
      </c>
      <c r="B1435" s="151"/>
      <c r="C1435" s="151"/>
      <c r="D1435" s="151"/>
      <c r="E1435" s="151"/>
      <c r="F1435" s="151"/>
      <c r="G1435" s="151"/>
      <c r="H1435" s="151"/>
      <c r="I1435" s="151"/>
      <c r="J1435" s="152">
        <v>42633.709398148138</v>
      </c>
      <c r="K1435" s="151"/>
      <c r="L1435" s="151" t="s">
        <v>115</v>
      </c>
      <c r="M1435" s="152">
        <v>42632.425509259258</v>
      </c>
      <c r="N1435" s="151" t="s">
        <v>2492</v>
      </c>
      <c r="O1435" s="151"/>
      <c r="P1435" s="151"/>
      <c r="Q1435" s="7" t="str">
        <f>IF(ISBLANK(patch[[#This Row],[OwnerEmail]]),Q1434,patch[[#This Row],[OwnerEmail]])</f>
        <v>gang.a.hu@intel.com</v>
      </c>
      <c r="R1435" s="7" t="str">
        <f>_xlfn.IFNA(VLOOKUP(patch[[#This Row],[tmp-owner.email]],OrgTree!$A:$K, 11, 0), "not ICG SWFW")</f>
        <v>BJ And dev</v>
      </c>
      <c r="S1435" s="7" t="str">
        <f>IF(patch[[#This Row],[reviewer]]=patch[[#This Row],[tmp-owner.email]], "author", _xlfn.IFNA(VLOOKUP(patch[[#This Row],[reviewer]],OrgTree!$A:$K, 11, 0), "not ICG SWFW"))</f>
        <v>Val</v>
      </c>
      <c r="T1435" s="7" t="str">
        <f>IF(ISBLANK(patch[[#This Row],[mergeDate]]), "", MID(YEAR(patch[[#This Row],[mergeDate]]), 3,2)&amp;"'ww"&amp;WEEKNUM(patch[[#This Row],[mergeDate]]))</f>
        <v>16'ww39</v>
      </c>
      <c r="U1435" s="7" t="str">
        <f>IF(ISBLANK(patch[[#This Row],[mergeDate]]), U1434, MID(YEAR(patch[[#This Row],[mergeDate]]), 3,2)&amp;"'m"&amp;MONTH(patch[[#This Row],[mergeDate]]))</f>
        <v>16'm9</v>
      </c>
      <c r="V1435" s="7" t="str">
        <f>IF(ISBLANK(patch[[#This Row],[project]]), "",SUM(patch[[#This Row],[BJ -1 num]:[SH -1 num]]))</f>
        <v/>
      </c>
      <c r="W1435" s="7" t="str">
        <f>IF(ISBLANK(patch[[#This Row],[project]]), "",COUNTIFS($A:$A,patch[[#This Row],[number]],$S:$S, "BJ And dev",$AC:$AC, "Review-1"))</f>
        <v/>
      </c>
      <c r="X1435" s="7" t="str">
        <f>IF(ISBLANK(patch[[#This Row],[project]]), "",COUNTIFS($A:$A,patch[[#This Row],[number]],$S:$S, "FL And dev",$AC:$AC, "Review-1"))</f>
        <v/>
      </c>
      <c r="Y1435" s="7" t="str">
        <f>IF(ISBLANK(patch[[#This Row],[project]]), "",COUNTIFS($A:$A,patch[[#This Row],[number]],$S:$S, "SH And dev",$AC:$AC, "Review-1"))</f>
        <v/>
      </c>
      <c r="Z1435" s="7" t="str">
        <f>IF(ISBLANK(patch[[#This Row],[project]]), "",COUNTIFS($A:$A,patch[[#This Row],[number]],$S:$S, "BJ And dev",$AD:$AD, "&lt;&gt;IntegratorValidationComment"))</f>
        <v/>
      </c>
      <c r="AA1435" s="7" t="str">
        <f>IF(ISBLANK(patch[[#This Row],[project]]), "",COUNTIFS($A:$A,patch[[#This Row],[number]],$S:$S, "FL And dev",$AD:$AD, "&lt;&gt;IntegratorValidationComment"))</f>
        <v/>
      </c>
      <c r="AB1435" s="7" t="str">
        <f>IF(ISBLANK(patch[[#This Row],[project]]), "",COUNTIFS($A:$A,patch[[#This Row],[number]],$S:$S, "SH And dev",$AD:$AD, "&lt;&gt;IntegratorValidationComment"))</f>
        <v/>
      </c>
      <c r="AC1435" s="7" t="str">
        <f>IF(OR(ISNUMBER(FIND("Review-1", patch[[#This Row],[comments]])), ISNUMBER(FIND("Approver-1", patch[[#This Row],[comments]]))), "Review-1", "")</f>
        <v/>
      </c>
      <c r="AD14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435" s="7">
        <f>IF(ISBLANK(patch[[#This Row],[number]]),AE1434,patch[[#This Row],[ifCommon]])</f>
        <v>0</v>
      </c>
    </row>
    <row r="1436" spans="1:31">
      <c r="A1436" s="151">
        <v>144479</v>
      </c>
      <c r="B1436" s="151" t="s">
        <v>2490</v>
      </c>
      <c r="C1436" s="151" t="s">
        <v>2491</v>
      </c>
      <c r="D1436" s="151" t="s">
        <v>3079</v>
      </c>
      <c r="E1436" s="151" t="s">
        <v>32</v>
      </c>
      <c r="F1436" s="151" t="s">
        <v>23</v>
      </c>
      <c r="G1436" s="151" t="s">
        <v>3080</v>
      </c>
      <c r="H1436" s="151" t="s">
        <v>3081</v>
      </c>
      <c r="I1436" s="152">
        <v>42624.288159722222</v>
      </c>
      <c r="J1436" s="152">
        <v>42633.709270833337</v>
      </c>
      <c r="K1436" s="151" t="s">
        <v>2445</v>
      </c>
      <c r="L1436" s="151" t="s">
        <v>32</v>
      </c>
      <c r="M1436" s="152">
        <v>42624.288159722222</v>
      </c>
      <c r="N1436" s="151" t="s">
        <v>25</v>
      </c>
      <c r="O1436" s="151"/>
      <c r="P1436" s="151" t="s">
        <v>3279</v>
      </c>
      <c r="Q1436" s="7" t="str">
        <f>IF(ISBLANK(patch[[#This Row],[OwnerEmail]]),Q1435,patch[[#This Row],[OwnerEmail]])</f>
        <v>gang.a.hu@intel.com</v>
      </c>
      <c r="R1436" s="7" t="str">
        <f>_xlfn.IFNA(VLOOKUP(patch[[#This Row],[tmp-owner.email]],OrgTree!$A:$K, 11, 0), "not ICG SWFW")</f>
        <v>BJ And dev</v>
      </c>
      <c r="S1436" s="7" t="str">
        <f>IF(patch[[#This Row],[reviewer]]=patch[[#This Row],[tmp-owner.email]], "author", _xlfn.IFNA(VLOOKUP(patch[[#This Row],[reviewer]],OrgTree!$A:$K, 11, 0), "not ICG SWFW"))</f>
        <v>author</v>
      </c>
      <c r="T1436" s="7" t="str">
        <f>IF(ISBLANK(patch[[#This Row],[mergeDate]]), "", MID(YEAR(patch[[#This Row],[mergeDate]]), 3,2)&amp;"'ww"&amp;WEEKNUM(patch[[#This Row],[mergeDate]]))</f>
        <v>16'ww39</v>
      </c>
      <c r="U1436" s="7" t="str">
        <f>IF(ISBLANK(patch[[#This Row],[mergeDate]]), U1435, MID(YEAR(patch[[#This Row],[mergeDate]]), 3,2)&amp;"'m"&amp;MONTH(patch[[#This Row],[mergeDate]]))</f>
        <v>16'm9</v>
      </c>
      <c r="V1436" s="7">
        <f>IF(ISBLANK(patch[[#This Row],[project]]), "",SUM(patch[[#This Row],[BJ -1 num]:[SH -1 num]]))</f>
        <v>0</v>
      </c>
      <c r="W1436" s="7">
        <f>IF(ISBLANK(patch[[#This Row],[project]]), "",COUNTIFS($A:$A,patch[[#This Row],[number]],$S:$S, "BJ And dev",$AC:$AC, "Review-1"))</f>
        <v>0</v>
      </c>
      <c r="X1436" s="7">
        <f>IF(ISBLANK(patch[[#This Row],[project]]), "",COUNTIFS($A:$A,patch[[#This Row],[number]],$S:$S, "FL And dev",$AC:$AC, "Review-1"))</f>
        <v>0</v>
      </c>
      <c r="Y1436" s="7">
        <f>IF(ISBLANK(patch[[#This Row],[project]]), "",COUNTIFS($A:$A,patch[[#This Row],[number]],$S:$S, "SH And dev",$AC:$AC, "Review-1"))</f>
        <v>0</v>
      </c>
      <c r="Z1436" s="7">
        <f>IF(ISBLANK(patch[[#This Row],[project]]), "",COUNTIFS($A:$A,patch[[#This Row],[number]],$S:$S, "BJ And dev",$AD:$AD, "&lt;&gt;IntegratorValidationComment"))</f>
        <v>10</v>
      </c>
      <c r="AA1436" s="7">
        <f>IF(ISBLANK(patch[[#This Row],[project]]), "",COUNTIFS($A:$A,patch[[#This Row],[number]],$S:$S, "FL And dev",$AD:$AD, "&lt;&gt;IntegratorValidationComment"))</f>
        <v>0</v>
      </c>
      <c r="AB1436" s="7">
        <f>IF(ISBLANK(patch[[#This Row],[project]]), "",COUNTIFS($A:$A,patch[[#This Row],[number]],$S:$S, "SH And dev",$AD:$AD, "&lt;&gt;IntegratorValidationComment"))</f>
        <v>0</v>
      </c>
      <c r="AC1436" s="7" t="str">
        <f>IF(OR(ISNUMBER(FIND("Review-1", patch[[#This Row],[comments]])), ISNUMBER(FIND("Approver-1", patch[[#This Row],[comments]]))), "Review-1", "")</f>
        <v/>
      </c>
      <c r="AD14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36" s="7" t="str">
        <f>IF(ISBLANK(patch[[#This Row],[number]]),AE1435,patch[[#This Row],[ifCommon]])</f>
        <v>not AndrHAL</v>
      </c>
    </row>
    <row r="1437" spans="1:31">
      <c r="A1437" s="151">
        <v>144479</v>
      </c>
      <c r="B1437" s="151"/>
      <c r="C1437" s="151"/>
      <c r="D1437" s="151"/>
      <c r="E1437" s="151"/>
      <c r="F1437" s="151"/>
      <c r="G1437" s="151"/>
      <c r="H1437" s="151"/>
      <c r="I1437" s="151"/>
      <c r="J1437" s="152">
        <v>42633.709270833337</v>
      </c>
      <c r="K1437" s="151"/>
      <c r="L1437" s="151" t="s">
        <v>32</v>
      </c>
      <c r="M1437" s="152">
        <v>42624.288159722222</v>
      </c>
      <c r="N1437" s="151" t="s">
        <v>2428</v>
      </c>
      <c r="O1437" s="151"/>
      <c r="P1437" s="151"/>
      <c r="Q1437" s="7" t="str">
        <f>IF(ISBLANK(patch[[#This Row],[OwnerEmail]]),Q1436,patch[[#This Row],[OwnerEmail]])</f>
        <v>gang.a.hu@intel.com</v>
      </c>
      <c r="R1437" s="7" t="str">
        <f>_xlfn.IFNA(VLOOKUP(patch[[#This Row],[tmp-owner.email]],OrgTree!$A:$K, 11, 0), "not ICG SWFW")</f>
        <v>BJ And dev</v>
      </c>
      <c r="S1437" s="7" t="str">
        <f>IF(patch[[#This Row],[reviewer]]=patch[[#This Row],[tmp-owner.email]], "author", _xlfn.IFNA(VLOOKUP(patch[[#This Row],[reviewer]],OrgTree!$A:$K, 11, 0), "not ICG SWFW"))</f>
        <v>author</v>
      </c>
      <c r="T1437" s="7" t="str">
        <f>IF(ISBLANK(patch[[#This Row],[mergeDate]]), "", MID(YEAR(patch[[#This Row],[mergeDate]]), 3,2)&amp;"'ww"&amp;WEEKNUM(patch[[#This Row],[mergeDate]]))</f>
        <v>16'ww39</v>
      </c>
      <c r="U1437" s="7" t="str">
        <f>IF(ISBLANK(patch[[#This Row],[mergeDate]]), U1436, MID(YEAR(patch[[#This Row],[mergeDate]]), 3,2)&amp;"'m"&amp;MONTH(patch[[#This Row],[mergeDate]]))</f>
        <v>16'm9</v>
      </c>
      <c r="V1437" s="7" t="str">
        <f>IF(ISBLANK(patch[[#This Row],[project]]), "",SUM(patch[[#This Row],[BJ -1 num]:[SH -1 num]]))</f>
        <v/>
      </c>
      <c r="W1437" s="7" t="str">
        <f>IF(ISBLANK(patch[[#This Row],[project]]), "",COUNTIFS($A:$A,patch[[#This Row],[number]],$S:$S, "BJ And dev",$AC:$AC, "Review-1"))</f>
        <v/>
      </c>
      <c r="X1437" s="7" t="str">
        <f>IF(ISBLANK(patch[[#This Row],[project]]), "",COUNTIFS($A:$A,patch[[#This Row],[number]],$S:$S, "FL And dev",$AC:$AC, "Review-1"))</f>
        <v/>
      </c>
      <c r="Y1437" s="7" t="str">
        <f>IF(ISBLANK(patch[[#This Row],[project]]), "",COUNTIFS($A:$A,patch[[#This Row],[number]],$S:$S, "SH And dev",$AC:$AC, "Review-1"))</f>
        <v/>
      </c>
      <c r="Z1437" s="7" t="str">
        <f>IF(ISBLANK(patch[[#This Row],[project]]), "",COUNTIFS($A:$A,patch[[#This Row],[number]],$S:$S, "BJ And dev",$AD:$AD, "&lt;&gt;IntegratorValidationComment"))</f>
        <v/>
      </c>
      <c r="AA1437" s="7" t="str">
        <f>IF(ISBLANK(patch[[#This Row],[project]]), "",COUNTIFS($A:$A,patch[[#This Row],[number]],$S:$S, "FL And dev",$AD:$AD, "&lt;&gt;IntegratorValidationComment"))</f>
        <v/>
      </c>
      <c r="AB1437" s="7" t="str">
        <f>IF(ISBLANK(patch[[#This Row],[project]]), "",COUNTIFS($A:$A,patch[[#This Row],[number]],$S:$S, "SH And dev",$AD:$AD, "&lt;&gt;IntegratorValidationComment"))</f>
        <v/>
      </c>
      <c r="AC1437" s="7" t="str">
        <f>IF(OR(ISNUMBER(FIND("Review-1", patch[[#This Row],[comments]])), ISNUMBER(FIND("Approver-1", patch[[#This Row],[comments]]))), "Review-1", "")</f>
        <v/>
      </c>
      <c r="AD14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37" s="7">
        <f>IF(ISBLANK(patch[[#This Row],[number]]),AE1436,patch[[#This Row],[ifCommon]])</f>
        <v>0</v>
      </c>
    </row>
    <row r="1438" spans="1:31">
      <c r="A1438" s="151">
        <v>144479</v>
      </c>
      <c r="B1438" s="151"/>
      <c r="C1438" s="151"/>
      <c r="D1438" s="151"/>
      <c r="E1438" s="151"/>
      <c r="F1438" s="151"/>
      <c r="G1438" s="151"/>
      <c r="H1438" s="151"/>
      <c r="I1438" s="151"/>
      <c r="J1438" s="152">
        <v>42633.709270833337</v>
      </c>
      <c r="K1438" s="151"/>
      <c r="L1438" s="151" t="s">
        <v>32</v>
      </c>
      <c r="M1438" s="152">
        <v>42624.288726851853</v>
      </c>
      <c r="N1438" s="151" t="s">
        <v>40</v>
      </c>
      <c r="O1438" s="151"/>
      <c r="P1438" s="151"/>
      <c r="Q1438" s="7" t="str">
        <f>IF(ISBLANK(patch[[#This Row],[OwnerEmail]]),Q1437,patch[[#This Row],[OwnerEmail]])</f>
        <v>gang.a.hu@intel.com</v>
      </c>
      <c r="R1438" s="7" t="str">
        <f>_xlfn.IFNA(VLOOKUP(patch[[#This Row],[tmp-owner.email]],OrgTree!$A:$K, 11, 0), "not ICG SWFW")</f>
        <v>BJ And dev</v>
      </c>
      <c r="S1438" s="7" t="str">
        <f>IF(patch[[#This Row],[reviewer]]=patch[[#This Row],[tmp-owner.email]], "author", _xlfn.IFNA(VLOOKUP(patch[[#This Row],[reviewer]],OrgTree!$A:$K, 11, 0), "not ICG SWFW"))</f>
        <v>author</v>
      </c>
      <c r="T1438" s="7" t="str">
        <f>IF(ISBLANK(patch[[#This Row],[mergeDate]]), "", MID(YEAR(patch[[#This Row],[mergeDate]]), 3,2)&amp;"'ww"&amp;WEEKNUM(patch[[#This Row],[mergeDate]]))</f>
        <v>16'ww39</v>
      </c>
      <c r="U1438" s="7" t="str">
        <f>IF(ISBLANK(patch[[#This Row],[mergeDate]]), U1437, MID(YEAR(patch[[#This Row],[mergeDate]]), 3,2)&amp;"'m"&amp;MONTH(patch[[#This Row],[mergeDate]]))</f>
        <v>16'm9</v>
      </c>
      <c r="V1438" s="7" t="str">
        <f>IF(ISBLANK(patch[[#This Row],[project]]), "",SUM(patch[[#This Row],[BJ -1 num]:[SH -1 num]]))</f>
        <v/>
      </c>
      <c r="W1438" s="7" t="str">
        <f>IF(ISBLANK(patch[[#This Row],[project]]), "",COUNTIFS($A:$A,patch[[#This Row],[number]],$S:$S, "BJ And dev",$AC:$AC, "Review-1"))</f>
        <v/>
      </c>
      <c r="X1438" s="7" t="str">
        <f>IF(ISBLANK(patch[[#This Row],[project]]), "",COUNTIFS($A:$A,patch[[#This Row],[number]],$S:$S, "FL And dev",$AC:$AC, "Review-1"))</f>
        <v/>
      </c>
      <c r="Y1438" s="7" t="str">
        <f>IF(ISBLANK(patch[[#This Row],[project]]), "",COUNTIFS($A:$A,patch[[#This Row],[number]],$S:$S, "SH And dev",$AC:$AC, "Review-1"))</f>
        <v/>
      </c>
      <c r="Z1438" s="7" t="str">
        <f>IF(ISBLANK(patch[[#This Row],[project]]), "",COUNTIFS($A:$A,patch[[#This Row],[number]],$S:$S, "BJ And dev",$AD:$AD, "&lt;&gt;IntegratorValidationComment"))</f>
        <v/>
      </c>
      <c r="AA1438" s="7" t="str">
        <f>IF(ISBLANK(patch[[#This Row],[project]]), "",COUNTIFS($A:$A,patch[[#This Row],[number]],$S:$S, "FL And dev",$AD:$AD, "&lt;&gt;IntegratorValidationComment"))</f>
        <v/>
      </c>
      <c r="AB1438" s="7" t="str">
        <f>IF(ISBLANK(patch[[#This Row],[project]]), "",COUNTIFS($A:$A,patch[[#This Row],[number]],$S:$S, "SH And dev",$AD:$AD, "&lt;&gt;IntegratorValidationComment"))</f>
        <v/>
      </c>
      <c r="AC1438" s="7" t="str">
        <f>IF(OR(ISNUMBER(FIND("Review-1", patch[[#This Row],[comments]])), ISNUMBER(FIND("Approver-1", patch[[#This Row],[comments]]))), "Review-1", "")</f>
        <v/>
      </c>
      <c r="AD14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38" s="7">
        <f>IF(ISBLANK(patch[[#This Row],[number]]),AE1437,patch[[#This Row],[ifCommon]])</f>
        <v>0</v>
      </c>
    </row>
    <row r="1439" spans="1:31">
      <c r="A1439" s="151">
        <v>144479</v>
      </c>
      <c r="B1439" s="151"/>
      <c r="C1439" s="151"/>
      <c r="D1439" s="151"/>
      <c r="E1439" s="151"/>
      <c r="F1439" s="151"/>
      <c r="G1439" s="151"/>
      <c r="H1439" s="151"/>
      <c r="I1439" s="151"/>
      <c r="J1439" s="152">
        <v>42633.709270833337</v>
      </c>
      <c r="K1439" s="151"/>
      <c r="L1439" s="151" t="s">
        <v>32</v>
      </c>
      <c r="M1439" s="152">
        <v>42624.292581018519</v>
      </c>
      <c r="N1439" s="151" t="s">
        <v>29</v>
      </c>
      <c r="O1439" s="151"/>
      <c r="P1439" s="151"/>
      <c r="Q1439" s="7" t="str">
        <f>IF(ISBLANK(patch[[#This Row],[OwnerEmail]]),Q1438,patch[[#This Row],[OwnerEmail]])</f>
        <v>gang.a.hu@intel.com</v>
      </c>
      <c r="R1439" s="7" t="str">
        <f>_xlfn.IFNA(VLOOKUP(patch[[#This Row],[tmp-owner.email]],OrgTree!$A:$K, 11, 0), "not ICG SWFW")</f>
        <v>BJ And dev</v>
      </c>
      <c r="S1439" s="7" t="str">
        <f>IF(patch[[#This Row],[reviewer]]=patch[[#This Row],[tmp-owner.email]], "author", _xlfn.IFNA(VLOOKUP(patch[[#This Row],[reviewer]],OrgTree!$A:$K, 11, 0), "not ICG SWFW"))</f>
        <v>author</v>
      </c>
      <c r="T1439" s="7" t="str">
        <f>IF(ISBLANK(patch[[#This Row],[mergeDate]]), "", MID(YEAR(patch[[#This Row],[mergeDate]]), 3,2)&amp;"'ww"&amp;WEEKNUM(patch[[#This Row],[mergeDate]]))</f>
        <v>16'ww39</v>
      </c>
      <c r="U1439" s="7" t="str">
        <f>IF(ISBLANK(patch[[#This Row],[mergeDate]]), U1438, MID(YEAR(patch[[#This Row],[mergeDate]]), 3,2)&amp;"'m"&amp;MONTH(patch[[#This Row],[mergeDate]]))</f>
        <v>16'm9</v>
      </c>
      <c r="V1439" s="7" t="str">
        <f>IF(ISBLANK(patch[[#This Row],[project]]), "",SUM(patch[[#This Row],[BJ -1 num]:[SH -1 num]]))</f>
        <v/>
      </c>
      <c r="W1439" s="7" t="str">
        <f>IF(ISBLANK(patch[[#This Row],[project]]), "",COUNTIFS($A:$A,patch[[#This Row],[number]],$S:$S, "BJ And dev",$AC:$AC, "Review-1"))</f>
        <v/>
      </c>
      <c r="X1439" s="7" t="str">
        <f>IF(ISBLANK(patch[[#This Row],[project]]), "",COUNTIFS($A:$A,patch[[#This Row],[number]],$S:$S, "FL And dev",$AC:$AC, "Review-1"))</f>
        <v/>
      </c>
      <c r="Y1439" s="7" t="str">
        <f>IF(ISBLANK(patch[[#This Row],[project]]), "",COUNTIFS($A:$A,patch[[#This Row],[number]],$S:$S, "SH And dev",$AC:$AC, "Review-1"))</f>
        <v/>
      </c>
      <c r="Z1439" s="7" t="str">
        <f>IF(ISBLANK(patch[[#This Row],[project]]), "",COUNTIFS($A:$A,patch[[#This Row],[number]],$S:$S, "BJ And dev",$AD:$AD, "&lt;&gt;IntegratorValidationComment"))</f>
        <v/>
      </c>
      <c r="AA1439" s="7" t="str">
        <f>IF(ISBLANK(patch[[#This Row],[project]]), "",COUNTIFS($A:$A,patch[[#This Row],[number]],$S:$S, "FL And dev",$AD:$AD, "&lt;&gt;IntegratorValidationComment"))</f>
        <v/>
      </c>
      <c r="AB1439" s="7" t="str">
        <f>IF(ISBLANK(patch[[#This Row],[project]]), "",COUNTIFS($A:$A,patch[[#This Row],[number]],$S:$S, "SH And dev",$AD:$AD, "&lt;&gt;IntegratorValidationComment"))</f>
        <v/>
      </c>
      <c r="AC1439" s="7" t="str">
        <f>IF(OR(ISNUMBER(FIND("Review-1", patch[[#This Row],[comments]])), ISNUMBER(FIND("Approver-1", patch[[#This Row],[comments]]))), "Review-1", "")</f>
        <v/>
      </c>
      <c r="AD14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39" s="7">
        <f>IF(ISBLANK(patch[[#This Row],[number]]),AE1438,patch[[#This Row],[ifCommon]])</f>
        <v>0</v>
      </c>
    </row>
    <row r="1440" spans="1:31">
      <c r="A1440" s="151">
        <v>144479</v>
      </c>
      <c r="B1440" s="151"/>
      <c r="C1440" s="151"/>
      <c r="D1440" s="151"/>
      <c r="E1440" s="151"/>
      <c r="F1440" s="151"/>
      <c r="G1440" s="151"/>
      <c r="H1440" s="151"/>
      <c r="I1440" s="151"/>
      <c r="J1440" s="152">
        <v>42633.709270833337</v>
      </c>
      <c r="K1440" s="151"/>
      <c r="L1440" s="151" t="s">
        <v>32</v>
      </c>
      <c r="M1440" s="152">
        <v>42624.292592592603</v>
      </c>
      <c r="N1440" s="151" t="s">
        <v>2429</v>
      </c>
      <c r="O1440" s="151"/>
      <c r="P1440" s="151"/>
      <c r="Q1440" s="7" t="str">
        <f>IF(ISBLANK(patch[[#This Row],[OwnerEmail]]),Q1439,patch[[#This Row],[OwnerEmail]])</f>
        <v>gang.a.hu@intel.com</v>
      </c>
      <c r="R1440" s="7" t="str">
        <f>_xlfn.IFNA(VLOOKUP(patch[[#This Row],[tmp-owner.email]],OrgTree!$A:$K, 11, 0), "not ICG SWFW")</f>
        <v>BJ And dev</v>
      </c>
      <c r="S1440" s="7" t="str">
        <f>IF(patch[[#This Row],[reviewer]]=patch[[#This Row],[tmp-owner.email]], "author", _xlfn.IFNA(VLOOKUP(patch[[#This Row],[reviewer]],OrgTree!$A:$K, 11, 0), "not ICG SWFW"))</f>
        <v>author</v>
      </c>
      <c r="T1440" s="7" t="str">
        <f>IF(ISBLANK(patch[[#This Row],[mergeDate]]), "", MID(YEAR(patch[[#This Row],[mergeDate]]), 3,2)&amp;"'ww"&amp;WEEKNUM(patch[[#This Row],[mergeDate]]))</f>
        <v>16'ww39</v>
      </c>
      <c r="U1440" s="7" t="str">
        <f>IF(ISBLANK(patch[[#This Row],[mergeDate]]), U1439, MID(YEAR(patch[[#This Row],[mergeDate]]), 3,2)&amp;"'m"&amp;MONTH(patch[[#This Row],[mergeDate]]))</f>
        <v>16'm9</v>
      </c>
      <c r="V1440" s="7" t="str">
        <f>IF(ISBLANK(patch[[#This Row],[project]]), "",SUM(patch[[#This Row],[BJ -1 num]:[SH -1 num]]))</f>
        <v/>
      </c>
      <c r="W1440" s="7" t="str">
        <f>IF(ISBLANK(patch[[#This Row],[project]]), "",COUNTIFS($A:$A,patch[[#This Row],[number]],$S:$S, "BJ And dev",$AC:$AC, "Review-1"))</f>
        <v/>
      </c>
      <c r="X1440" s="7" t="str">
        <f>IF(ISBLANK(patch[[#This Row],[project]]), "",COUNTIFS($A:$A,patch[[#This Row],[number]],$S:$S, "FL And dev",$AC:$AC, "Review-1"))</f>
        <v/>
      </c>
      <c r="Y1440" s="7" t="str">
        <f>IF(ISBLANK(patch[[#This Row],[project]]), "",COUNTIFS($A:$A,patch[[#This Row],[number]],$S:$S, "SH And dev",$AC:$AC, "Review-1"))</f>
        <v/>
      </c>
      <c r="Z1440" s="7" t="str">
        <f>IF(ISBLANK(patch[[#This Row],[project]]), "",COUNTIFS($A:$A,patch[[#This Row],[number]],$S:$S, "BJ And dev",$AD:$AD, "&lt;&gt;IntegratorValidationComment"))</f>
        <v/>
      </c>
      <c r="AA1440" s="7" t="str">
        <f>IF(ISBLANK(patch[[#This Row],[project]]), "",COUNTIFS($A:$A,patch[[#This Row],[number]],$S:$S, "FL And dev",$AD:$AD, "&lt;&gt;IntegratorValidationComment"))</f>
        <v/>
      </c>
      <c r="AB1440" s="7" t="str">
        <f>IF(ISBLANK(patch[[#This Row],[project]]), "",COUNTIFS($A:$A,patch[[#This Row],[number]],$S:$S, "SH And dev",$AD:$AD, "&lt;&gt;IntegratorValidationComment"))</f>
        <v/>
      </c>
      <c r="AC1440" s="7" t="str">
        <f>IF(OR(ISNUMBER(FIND("Review-1", patch[[#This Row],[comments]])), ISNUMBER(FIND("Approver-1", patch[[#This Row],[comments]]))), "Review-1", "")</f>
        <v/>
      </c>
      <c r="AD14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40" s="7">
        <f>IF(ISBLANK(patch[[#This Row],[number]]),AE1439,patch[[#This Row],[ifCommon]])</f>
        <v>0</v>
      </c>
    </row>
    <row r="1441" spans="1:31">
      <c r="A1441" s="151">
        <v>144479</v>
      </c>
      <c r="B1441" s="151"/>
      <c r="C1441" s="151"/>
      <c r="D1441" s="151"/>
      <c r="E1441" s="151"/>
      <c r="F1441" s="151"/>
      <c r="G1441" s="151"/>
      <c r="H1441" s="151"/>
      <c r="I1441" s="151"/>
      <c r="J1441" s="152">
        <v>42633.709270833337</v>
      </c>
      <c r="K1441" s="151"/>
      <c r="L1441" s="151" t="s">
        <v>59</v>
      </c>
      <c r="M1441" s="152">
        <v>42625.376701388886</v>
      </c>
      <c r="N1441" s="151" t="s">
        <v>3294</v>
      </c>
      <c r="O1441" s="151"/>
      <c r="P1441" s="151"/>
      <c r="Q1441" s="7" t="str">
        <f>IF(ISBLANK(patch[[#This Row],[OwnerEmail]]),Q1440,patch[[#This Row],[OwnerEmail]])</f>
        <v>gang.a.hu@intel.com</v>
      </c>
      <c r="R1441" s="7" t="str">
        <f>_xlfn.IFNA(VLOOKUP(patch[[#This Row],[tmp-owner.email]],OrgTree!$A:$K, 11, 0), "not ICG SWFW")</f>
        <v>BJ And dev</v>
      </c>
      <c r="S1441" s="7" t="str">
        <f>IF(patch[[#This Row],[reviewer]]=patch[[#This Row],[tmp-owner.email]], "author", _xlfn.IFNA(VLOOKUP(patch[[#This Row],[reviewer]],OrgTree!$A:$K, 11, 0), "not ICG SWFW"))</f>
        <v>BJ And dev</v>
      </c>
      <c r="T1441" s="7" t="str">
        <f>IF(ISBLANK(patch[[#This Row],[mergeDate]]), "", MID(YEAR(patch[[#This Row],[mergeDate]]), 3,2)&amp;"'ww"&amp;WEEKNUM(patch[[#This Row],[mergeDate]]))</f>
        <v>16'ww39</v>
      </c>
      <c r="U1441" s="7" t="str">
        <f>IF(ISBLANK(patch[[#This Row],[mergeDate]]), U1440, MID(YEAR(patch[[#This Row],[mergeDate]]), 3,2)&amp;"'m"&amp;MONTH(patch[[#This Row],[mergeDate]]))</f>
        <v>16'm9</v>
      </c>
      <c r="V1441" s="7" t="str">
        <f>IF(ISBLANK(patch[[#This Row],[project]]), "",SUM(patch[[#This Row],[BJ -1 num]:[SH -1 num]]))</f>
        <v/>
      </c>
      <c r="W1441" s="7" t="str">
        <f>IF(ISBLANK(patch[[#This Row],[project]]), "",COUNTIFS($A:$A,patch[[#This Row],[number]],$S:$S, "BJ And dev",$AC:$AC, "Review-1"))</f>
        <v/>
      </c>
      <c r="X1441" s="7" t="str">
        <f>IF(ISBLANK(patch[[#This Row],[project]]), "",COUNTIFS($A:$A,patch[[#This Row],[number]],$S:$S, "FL And dev",$AC:$AC, "Review-1"))</f>
        <v/>
      </c>
      <c r="Y1441" s="7" t="str">
        <f>IF(ISBLANK(patch[[#This Row],[project]]), "",COUNTIFS($A:$A,patch[[#This Row],[number]],$S:$S, "SH And dev",$AC:$AC, "Review-1"))</f>
        <v/>
      </c>
      <c r="Z1441" s="7" t="str">
        <f>IF(ISBLANK(patch[[#This Row],[project]]), "",COUNTIFS($A:$A,patch[[#This Row],[number]],$S:$S, "BJ And dev",$AD:$AD, "&lt;&gt;IntegratorValidationComment"))</f>
        <v/>
      </c>
      <c r="AA1441" s="7" t="str">
        <f>IF(ISBLANK(patch[[#This Row],[project]]), "",COUNTIFS($A:$A,patch[[#This Row],[number]],$S:$S, "FL And dev",$AD:$AD, "&lt;&gt;IntegratorValidationComment"))</f>
        <v/>
      </c>
      <c r="AB1441" s="7" t="str">
        <f>IF(ISBLANK(patch[[#This Row],[project]]), "",COUNTIFS($A:$A,patch[[#This Row],[number]],$S:$S, "SH And dev",$AD:$AD, "&lt;&gt;IntegratorValidationComment"))</f>
        <v/>
      </c>
      <c r="AC1441" s="7" t="str">
        <f>IF(OR(ISNUMBER(FIND("Review-1", patch[[#This Row],[comments]])), ISNUMBER(FIND("Approver-1", patch[[#This Row],[comments]]))), "Review-1", "")</f>
        <v/>
      </c>
      <c r="AD14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41" s="7">
        <f>IF(ISBLANK(patch[[#This Row],[number]]),AE1440,patch[[#This Row],[ifCommon]])</f>
        <v>0</v>
      </c>
    </row>
    <row r="1442" spans="1:31">
      <c r="A1442" s="151">
        <v>144479</v>
      </c>
      <c r="B1442" s="151"/>
      <c r="C1442" s="151"/>
      <c r="D1442" s="151"/>
      <c r="E1442" s="151"/>
      <c r="F1442" s="151"/>
      <c r="G1442" s="151"/>
      <c r="H1442" s="151"/>
      <c r="I1442" s="151"/>
      <c r="J1442" s="152">
        <v>42633.709270833337</v>
      </c>
      <c r="K1442" s="151"/>
      <c r="L1442" s="151" t="s">
        <v>59</v>
      </c>
      <c r="M1442" s="152">
        <v>42625.379733796297</v>
      </c>
      <c r="N1442" s="151" t="s">
        <v>3295</v>
      </c>
      <c r="O1442" s="151"/>
      <c r="P1442" s="151"/>
      <c r="Q1442" s="7" t="str">
        <f>IF(ISBLANK(patch[[#This Row],[OwnerEmail]]),Q1441,patch[[#This Row],[OwnerEmail]])</f>
        <v>gang.a.hu@intel.com</v>
      </c>
      <c r="R1442" s="7" t="str">
        <f>_xlfn.IFNA(VLOOKUP(patch[[#This Row],[tmp-owner.email]],OrgTree!$A:$K, 11, 0), "not ICG SWFW")</f>
        <v>BJ And dev</v>
      </c>
      <c r="S1442" s="7" t="str">
        <f>IF(patch[[#This Row],[reviewer]]=patch[[#This Row],[tmp-owner.email]], "author", _xlfn.IFNA(VLOOKUP(patch[[#This Row],[reviewer]],OrgTree!$A:$K, 11, 0), "not ICG SWFW"))</f>
        <v>BJ And dev</v>
      </c>
      <c r="T1442" s="7" t="str">
        <f>IF(ISBLANK(patch[[#This Row],[mergeDate]]), "", MID(YEAR(patch[[#This Row],[mergeDate]]), 3,2)&amp;"'ww"&amp;WEEKNUM(patch[[#This Row],[mergeDate]]))</f>
        <v>16'ww39</v>
      </c>
      <c r="U1442" s="7" t="str">
        <f>IF(ISBLANK(patch[[#This Row],[mergeDate]]), U1441, MID(YEAR(patch[[#This Row],[mergeDate]]), 3,2)&amp;"'m"&amp;MONTH(patch[[#This Row],[mergeDate]]))</f>
        <v>16'm9</v>
      </c>
      <c r="V1442" s="7" t="str">
        <f>IF(ISBLANK(patch[[#This Row],[project]]), "",SUM(patch[[#This Row],[BJ -1 num]:[SH -1 num]]))</f>
        <v/>
      </c>
      <c r="W1442" s="7" t="str">
        <f>IF(ISBLANK(patch[[#This Row],[project]]), "",COUNTIFS($A:$A,patch[[#This Row],[number]],$S:$S, "BJ And dev",$AC:$AC, "Review-1"))</f>
        <v/>
      </c>
      <c r="X1442" s="7" t="str">
        <f>IF(ISBLANK(patch[[#This Row],[project]]), "",COUNTIFS($A:$A,patch[[#This Row],[number]],$S:$S, "FL And dev",$AC:$AC, "Review-1"))</f>
        <v/>
      </c>
      <c r="Y1442" s="7" t="str">
        <f>IF(ISBLANK(patch[[#This Row],[project]]), "",COUNTIFS($A:$A,patch[[#This Row],[number]],$S:$S, "SH And dev",$AC:$AC, "Review-1"))</f>
        <v/>
      </c>
      <c r="Z1442" s="7" t="str">
        <f>IF(ISBLANK(patch[[#This Row],[project]]), "",COUNTIFS($A:$A,patch[[#This Row],[number]],$S:$S, "BJ And dev",$AD:$AD, "&lt;&gt;IntegratorValidationComment"))</f>
        <v/>
      </c>
      <c r="AA1442" s="7" t="str">
        <f>IF(ISBLANK(patch[[#This Row],[project]]), "",COUNTIFS($A:$A,patch[[#This Row],[number]],$S:$S, "FL And dev",$AD:$AD, "&lt;&gt;IntegratorValidationComment"))</f>
        <v/>
      </c>
      <c r="AB1442" s="7" t="str">
        <f>IF(ISBLANK(patch[[#This Row],[project]]), "",COUNTIFS($A:$A,patch[[#This Row],[number]],$S:$S, "SH And dev",$AD:$AD, "&lt;&gt;IntegratorValidationComment"))</f>
        <v/>
      </c>
      <c r="AC1442" s="7" t="str">
        <f>IF(OR(ISNUMBER(FIND("Review-1", patch[[#This Row],[comments]])), ISNUMBER(FIND("Approver-1", patch[[#This Row],[comments]]))), "Review-1", "")</f>
        <v/>
      </c>
      <c r="AD14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42" s="7">
        <f>IF(ISBLANK(patch[[#This Row],[number]]),AE1441,patch[[#This Row],[ifCommon]])</f>
        <v>0</v>
      </c>
    </row>
    <row r="1443" spans="1:31">
      <c r="A1443" s="151">
        <v>144479</v>
      </c>
      <c r="B1443" s="151"/>
      <c r="C1443" s="151"/>
      <c r="D1443" s="151"/>
      <c r="E1443" s="151"/>
      <c r="F1443" s="151"/>
      <c r="G1443" s="151"/>
      <c r="H1443" s="151"/>
      <c r="I1443" s="151"/>
      <c r="J1443" s="152">
        <v>42633.709270833337</v>
      </c>
      <c r="K1443" s="151"/>
      <c r="L1443" s="151" t="s">
        <v>59</v>
      </c>
      <c r="M1443" s="152">
        <v>42625.491967592592</v>
      </c>
      <c r="N1443" s="151" t="s">
        <v>27</v>
      </c>
      <c r="O1443" s="151"/>
      <c r="P1443" s="151"/>
      <c r="Q1443" s="7" t="str">
        <f>IF(ISBLANK(patch[[#This Row],[OwnerEmail]]),Q1442,patch[[#This Row],[OwnerEmail]])</f>
        <v>gang.a.hu@intel.com</v>
      </c>
      <c r="R1443" s="7" t="str">
        <f>_xlfn.IFNA(VLOOKUP(patch[[#This Row],[tmp-owner.email]],OrgTree!$A:$K, 11, 0), "not ICG SWFW")</f>
        <v>BJ And dev</v>
      </c>
      <c r="S1443" s="7" t="str">
        <f>IF(patch[[#This Row],[reviewer]]=patch[[#This Row],[tmp-owner.email]], "author", _xlfn.IFNA(VLOOKUP(patch[[#This Row],[reviewer]],OrgTree!$A:$K, 11, 0), "not ICG SWFW"))</f>
        <v>BJ And dev</v>
      </c>
      <c r="T1443" s="7" t="str">
        <f>IF(ISBLANK(patch[[#This Row],[mergeDate]]), "", MID(YEAR(patch[[#This Row],[mergeDate]]), 3,2)&amp;"'ww"&amp;WEEKNUM(patch[[#This Row],[mergeDate]]))</f>
        <v>16'ww39</v>
      </c>
      <c r="U1443" s="7" t="str">
        <f>IF(ISBLANK(patch[[#This Row],[mergeDate]]), U1442, MID(YEAR(patch[[#This Row],[mergeDate]]), 3,2)&amp;"'m"&amp;MONTH(patch[[#This Row],[mergeDate]]))</f>
        <v>16'm9</v>
      </c>
      <c r="V1443" s="7" t="str">
        <f>IF(ISBLANK(patch[[#This Row],[project]]), "",SUM(patch[[#This Row],[BJ -1 num]:[SH -1 num]]))</f>
        <v/>
      </c>
      <c r="W1443" s="7" t="str">
        <f>IF(ISBLANK(patch[[#This Row],[project]]), "",COUNTIFS($A:$A,patch[[#This Row],[number]],$S:$S, "BJ And dev",$AC:$AC, "Review-1"))</f>
        <v/>
      </c>
      <c r="X1443" s="7" t="str">
        <f>IF(ISBLANK(patch[[#This Row],[project]]), "",COUNTIFS($A:$A,patch[[#This Row],[number]],$S:$S, "FL And dev",$AC:$AC, "Review-1"))</f>
        <v/>
      </c>
      <c r="Y1443" s="7" t="str">
        <f>IF(ISBLANK(patch[[#This Row],[project]]), "",COUNTIFS($A:$A,patch[[#This Row],[number]],$S:$S, "SH And dev",$AC:$AC, "Review-1"))</f>
        <v/>
      </c>
      <c r="Z1443" s="7" t="str">
        <f>IF(ISBLANK(patch[[#This Row],[project]]), "",COUNTIFS($A:$A,patch[[#This Row],[number]],$S:$S, "BJ And dev",$AD:$AD, "&lt;&gt;IntegratorValidationComment"))</f>
        <v/>
      </c>
      <c r="AA1443" s="7" t="str">
        <f>IF(ISBLANK(patch[[#This Row],[project]]), "",COUNTIFS($A:$A,patch[[#This Row],[number]],$S:$S, "FL And dev",$AD:$AD, "&lt;&gt;IntegratorValidationComment"))</f>
        <v/>
      </c>
      <c r="AB1443" s="7" t="str">
        <f>IF(ISBLANK(patch[[#This Row],[project]]), "",COUNTIFS($A:$A,patch[[#This Row],[number]],$S:$S, "SH And dev",$AD:$AD, "&lt;&gt;IntegratorValidationComment"))</f>
        <v/>
      </c>
      <c r="AC1443" s="7" t="str">
        <f>IF(OR(ISNUMBER(FIND("Review-1", patch[[#This Row],[comments]])), ISNUMBER(FIND("Approver-1", patch[[#This Row],[comments]]))), "Review-1", "")</f>
        <v/>
      </c>
      <c r="AD14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43" s="7">
        <f>IF(ISBLANK(patch[[#This Row],[number]]),AE1442,patch[[#This Row],[ifCommon]])</f>
        <v>0</v>
      </c>
    </row>
    <row r="1444" spans="1:31">
      <c r="A1444" s="151">
        <v>144479</v>
      </c>
      <c r="B1444" s="151"/>
      <c r="C1444" s="151"/>
      <c r="D1444" s="151"/>
      <c r="E1444" s="151"/>
      <c r="F1444" s="151"/>
      <c r="G1444" s="151"/>
      <c r="H1444" s="151"/>
      <c r="I1444" s="151"/>
      <c r="J1444" s="152">
        <v>42633.709270833337</v>
      </c>
      <c r="K1444" s="151"/>
      <c r="L1444" s="151" t="s">
        <v>55</v>
      </c>
      <c r="M1444" s="152">
        <v>42625.494050925918</v>
      </c>
      <c r="N1444" s="151" t="s">
        <v>1873</v>
      </c>
      <c r="O1444" s="151"/>
      <c r="P1444" s="151"/>
      <c r="Q1444" s="7" t="str">
        <f>IF(ISBLANK(patch[[#This Row],[OwnerEmail]]),Q1443,patch[[#This Row],[OwnerEmail]])</f>
        <v>gang.a.hu@intel.com</v>
      </c>
      <c r="R1444" s="7" t="str">
        <f>_xlfn.IFNA(VLOOKUP(patch[[#This Row],[tmp-owner.email]],OrgTree!$A:$K, 11, 0), "not ICG SWFW")</f>
        <v>BJ And dev</v>
      </c>
      <c r="S1444" s="7" t="str">
        <f>IF(patch[[#This Row],[reviewer]]=patch[[#This Row],[tmp-owner.email]], "author", _xlfn.IFNA(VLOOKUP(patch[[#This Row],[reviewer]],OrgTree!$A:$K, 11, 0), "not ICG SWFW"))</f>
        <v>BJ And dev</v>
      </c>
      <c r="T1444" s="7" t="str">
        <f>IF(ISBLANK(patch[[#This Row],[mergeDate]]), "", MID(YEAR(patch[[#This Row],[mergeDate]]), 3,2)&amp;"'ww"&amp;WEEKNUM(patch[[#This Row],[mergeDate]]))</f>
        <v>16'ww39</v>
      </c>
      <c r="U1444" s="7" t="str">
        <f>IF(ISBLANK(patch[[#This Row],[mergeDate]]), U1443, MID(YEAR(patch[[#This Row],[mergeDate]]), 3,2)&amp;"'m"&amp;MONTH(patch[[#This Row],[mergeDate]]))</f>
        <v>16'm9</v>
      </c>
      <c r="V1444" s="7" t="str">
        <f>IF(ISBLANK(patch[[#This Row],[project]]), "",SUM(patch[[#This Row],[BJ -1 num]:[SH -1 num]]))</f>
        <v/>
      </c>
      <c r="W1444" s="7" t="str">
        <f>IF(ISBLANK(patch[[#This Row],[project]]), "",COUNTIFS($A:$A,patch[[#This Row],[number]],$S:$S, "BJ And dev",$AC:$AC, "Review-1"))</f>
        <v/>
      </c>
      <c r="X1444" s="7" t="str">
        <f>IF(ISBLANK(patch[[#This Row],[project]]), "",COUNTIFS($A:$A,patch[[#This Row],[number]],$S:$S, "FL And dev",$AC:$AC, "Review-1"))</f>
        <v/>
      </c>
      <c r="Y1444" s="7" t="str">
        <f>IF(ISBLANK(patch[[#This Row],[project]]), "",COUNTIFS($A:$A,patch[[#This Row],[number]],$S:$S, "SH And dev",$AC:$AC, "Review-1"))</f>
        <v/>
      </c>
      <c r="Z1444" s="7" t="str">
        <f>IF(ISBLANK(patch[[#This Row],[project]]), "",COUNTIFS($A:$A,patch[[#This Row],[number]],$S:$S, "BJ And dev",$AD:$AD, "&lt;&gt;IntegratorValidationComment"))</f>
        <v/>
      </c>
      <c r="AA1444" s="7" t="str">
        <f>IF(ISBLANK(patch[[#This Row],[project]]), "",COUNTIFS($A:$A,patch[[#This Row],[number]],$S:$S, "FL And dev",$AD:$AD, "&lt;&gt;IntegratorValidationComment"))</f>
        <v/>
      </c>
      <c r="AB1444" s="7" t="str">
        <f>IF(ISBLANK(patch[[#This Row],[project]]), "",COUNTIFS($A:$A,patch[[#This Row],[number]],$S:$S, "SH And dev",$AD:$AD, "&lt;&gt;IntegratorValidationComment"))</f>
        <v/>
      </c>
      <c r="AC1444" s="7" t="str">
        <f>IF(OR(ISNUMBER(FIND("Review-1", patch[[#This Row],[comments]])), ISNUMBER(FIND("Approver-1", patch[[#This Row],[comments]]))), "Review-1", "")</f>
        <v/>
      </c>
      <c r="AD14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44" s="7">
        <f>IF(ISBLANK(patch[[#This Row],[number]]),AE1443,patch[[#This Row],[ifCommon]])</f>
        <v>0</v>
      </c>
    </row>
    <row r="1445" spans="1:31">
      <c r="A1445" s="151">
        <v>144479</v>
      </c>
      <c r="B1445" s="151"/>
      <c r="C1445" s="151"/>
      <c r="D1445" s="151"/>
      <c r="E1445" s="151"/>
      <c r="F1445" s="151"/>
      <c r="G1445" s="151"/>
      <c r="H1445" s="151"/>
      <c r="I1445" s="152"/>
      <c r="J1445" s="152">
        <v>42633.709270833337</v>
      </c>
      <c r="K1445" s="151"/>
      <c r="L1445" s="151" t="s">
        <v>55</v>
      </c>
      <c r="M1445" s="152">
        <v>42625.494120370371</v>
      </c>
      <c r="N1445" s="151" t="s">
        <v>3296</v>
      </c>
      <c r="O1445" s="151"/>
      <c r="P1445" s="151"/>
      <c r="Q1445" s="7" t="str">
        <f>IF(ISBLANK(patch[[#This Row],[OwnerEmail]]),Q1444,patch[[#This Row],[OwnerEmail]])</f>
        <v>gang.a.hu@intel.com</v>
      </c>
      <c r="R1445" s="7" t="str">
        <f>_xlfn.IFNA(VLOOKUP(patch[[#This Row],[tmp-owner.email]],OrgTree!$A:$K, 11, 0), "not ICG SWFW")</f>
        <v>BJ And dev</v>
      </c>
      <c r="S1445" s="7" t="str">
        <f>IF(patch[[#This Row],[reviewer]]=patch[[#This Row],[tmp-owner.email]], "author", _xlfn.IFNA(VLOOKUP(patch[[#This Row],[reviewer]],OrgTree!$A:$K, 11, 0), "not ICG SWFW"))</f>
        <v>BJ And dev</v>
      </c>
      <c r="T1445" s="7" t="str">
        <f>IF(ISBLANK(patch[[#This Row],[mergeDate]]), "", MID(YEAR(patch[[#This Row],[mergeDate]]), 3,2)&amp;"'ww"&amp;WEEKNUM(patch[[#This Row],[mergeDate]]))</f>
        <v>16'ww39</v>
      </c>
      <c r="U1445" s="7" t="str">
        <f>IF(ISBLANK(patch[[#This Row],[mergeDate]]), U1444, MID(YEAR(patch[[#This Row],[mergeDate]]), 3,2)&amp;"'m"&amp;MONTH(patch[[#This Row],[mergeDate]]))</f>
        <v>16'm9</v>
      </c>
      <c r="V1445" s="7" t="str">
        <f>IF(ISBLANK(patch[[#This Row],[project]]), "",SUM(patch[[#This Row],[BJ -1 num]:[SH -1 num]]))</f>
        <v/>
      </c>
      <c r="W1445" s="7" t="str">
        <f>IF(ISBLANK(patch[[#This Row],[project]]), "",COUNTIFS($A:$A,patch[[#This Row],[number]],$S:$S, "BJ And dev",$AC:$AC, "Review-1"))</f>
        <v/>
      </c>
      <c r="X1445" s="7" t="str">
        <f>IF(ISBLANK(patch[[#This Row],[project]]), "",COUNTIFS($A:$A,patch[[#This Row],[number]],$S:$S, "FL And dev",$AC:$AC, "Review-1"))</f>
        <v/>
      </c>
      <c r="Y1445" s="7" t="str">
        <f>IF(ISBLANK(patch[[#This Row],[project]]), "",COUNTIFS($A:$A,patch[[#This Row],[number]],$S:$S, "SH And dev",$AC:$AC, "Review-1"))</f>
        <v/>
      </c>
      <c r="Z1445" s="7" t="str">
        <f>IF(ISBLANK(patch[[#This Row],[project]]), "",COUNTIFS($A:$A,patch[[#This Row],[number]],$S:$S, "BJ And dev",$AD:$AD, "&lt;&gt;IntegratorValidationComment"))</f>
        <v/>
      </c>
      <c r="AA1445" s="7" t="str">
        <f>IF(ISBLANK(patch[[#This Row],[project]]), "",COUNTIFS($A:$A,patch[[#This Row],[number]],$S:$S, "FL And dev",$AD:$AD, "&lt;&gt;IntegratorValidationComment"))</f>
        <v/>
      </c>
      <c r="AB1445" s="7" t="str">
        <f>IF(ISBLANK(patch[[#This Row],[project]]), "",COUNTIFS($A:$A,patch[[#This Row],[number]],$S:$S, "SH And dev",$AD:$AD, "&lt;&gt;IntegratorValidationComment"))</f>
        <v/>
      </c>
      <c r="AC1445" s="7" t="str">
        <f>IF(OR(ISNUMBER(FIND("Review-1", patch[[#This Row],[comments]])), ISNUMBER(FIND("Approver-1", patch[[#This Row],[comments]]))), "Review-1", "")</f>
        <v/>
      </c>
      <c r="AD14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45" s="7">
        <f>IF(ISBLANK(patch[[#This Row],[number]]),AE1444,patch[[#This Row],[ifCommon]])</f>
        <v>0</v>
      </c>
    </row>
    <row r="1446" spans="1:31">
      <c r="A1446" s="151">
        <v>144479</v>
      </c>
      <c r="B1446" s="151"/>
      <c r="C1446" s="151"/>
      <c r="D1446" s="151"/>
      <c r="E1446" s="151"/>
      <c r="F1446" s="151"/>
      <c r="G1446" s="151"/>
      <c r="H1446" s="151"/>
      <c r="I1446" s="151"/>
      <c r="J1446" s="152">
        <v>42633.709270833337</v>
      </c>
      <c r="K1446" s="151"/>
      <c r="L1446" s="151" t="s">
        <v>32</v>
      </c>
      <c r="M1446" s="152">
        <v>42625.504374999997</v>
      </c>
      <c r="N1446" s="151" t="s">
        <v>27</v>
      </c>
      <c r="O1446" s="151"/>
      <c r="P1446" s="151"/>
      <c r="Q1446" s="7" t="str">
        <f>IF(ISBLANK(patch[[#This Row],[OwnerEmail]]),Q1445,patch[[#This Row],[OwnerEmail]])</f>
        <v>gang.a.hu@intel.com</v>
      </c>
      <c r="R1446" s="7" t="str">
        <f>_xlfn.IFNA(VLOOKUP(patch[[#This Row],[tmp-owner.email]],OrgTree!$A:$K, 11, 0), "not ICG SWFW")</f>
        <v>BJ And dev</v>
      </c>
      <c r="S1446" s="7" t="str">
        <f>IF(patch[[#This Row],[reviewer]]=patch[[#This Row],[tmp-owner.email]], "author", _xlfn.IFNA(VLOOKUP(patch[[#This Row],[reviewer]],OrgTree!$A:$K, 11, 0), "not ICG SWFW"))</f>
        <v>author</v>
      </c>
      <c r="T1446" s="7" t="str">
        <f>IF(ISBLANK(patch[[#This Row],[mergeDate]]), "", MID(YEAR(patch[[#This Row],[mergeDate]]), 3,2)&amp;"'ww"&amp;WEEKNUM(patch[[#This Row],[mergeDate]]))</f>
        <v>16'ww39</v>
      </c>
      <c r="U1446" s="7" t="str">
        <f>IF(ISBLANK(patch[[#This Row],[mergeDate]]), U1445, MID(YEAR(patch[[#This Row],[mergeDate]]), 3,2)&amp;"'m"&amp;MONTH(patch[[#This Row],[mergeDate]]))</f>
        <v>16'm9</v>
      </c>
      <c r="V1446" s="7" t="str">
        <f>IF(ISBLANK(patch[[#This Row],[project]]), "",SUM(patch[[#This Row],[BJ -1 num]:[SH -1 num]]))</f>
        <v/>
      </c>
      <c r="W1446" s="7" t="str">
        <f>IF(ISBLANK(patch[[#This Row],[project]]), "",COUNTIFS($A:$A,patch[[#This Row],[number]],$S:$S, "BJ And dev",$AC:$AC, "Review-1"))</f>
        <v/>
      </c>
      <c r="X1446" s="7" t="str">
        <f>IF(ISBLANK(patch[[#This Row],[project]]), "",COUNTIFS($A:$A,patch[[#This Row],[number]],$S:$S, "FL And dev",$AC:$AC, "Review-1"))</f>
        <v/>
      </c>
      <c r="Y1446" s="7" t="str">
        <f>IF(ISBLANK(patch[[#This Row],[project]]), "",COUNTIFS($A:$A,patch[[#This Row],[number]],$S:$S, "SH And dev",$AC:$AC, "Review-1"))</f>
        <v/>
      </c>
      <c r="Z1446" s="7" t="str">
        <f>IF(ISBLANK(patch[[#This Row],[project]]), "",COUNTIFS($A:$A,patch[[#This Row],[number]],$S:$S, "BJ And dev",$AD:$AD, "&lt;&gt;IntegratorValidationComment"))</f>
        <v/>
      </c>
      <c r="AA1446" s="7" t="str">
        <f>IF(ISBLANK(patch[[#This Row],[project]]), "",COUNTIFS($A:$A,patch[[#This Row],[number]],$S:$S, "FL And dev",$AD:$AD, "&lt;&gt;IntegratorValidationComment"))</f>
        <v/>
      </c>
      <c r="AB1446" s="7" t="str">
        <f>IF(ISBLANK(patch[[#This Row],[project]]), "",COUNTIFS($A:$A,patch[[#This Row],[number]],$S:$S, "SH And dev",$AD:$AD, "&lt;&gt;IntegratorValidationComment"))</f>
        <v/>
      </c>
      <c r="AC1446" s="7" t="str">
        <f>IF(OR(ISNUMBER(FIND("Review-1", patch[[#This Row],[comments]])), ISNUMBER(FIND("Approver-1", patch[[#This Row],[comments]]))), "Review-1", "")</f>
        <v/>
      </c>
      <c r="AD14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46" s="7">
        <f>IF(ISBLANK(patch[[#This Row],[number]]),AE1445,patch[[#This Row],[ifCommon]])</f>
        <v>0</v>
      </c>
    </row>
    <row r="1447" spans="1:31">
      <c r="A1447" s="151">
        <v>144479</v>
      </c>
      <c r="B1447" s="151"/>
      <c r="C1447" s="151"/>
      <c r="D1447" s="151"/>
      <c r="E1447" s="151"/>
      <c r="F1447" s="151"/>
      <c r="G1447" s="151"/>
      <c r="H1447" s="151"/>
      <c r="I1447" s="151"/>
      <c r="J1447" s="152">
        <v>42633.709270833337</v>
      </c>
      <c r="K1447" s="151"/>
      <c r="L1447" s="151" t="s">
        <v>32</v>
      </c>
      <c r="M1447" s="152">
        <v>42627.600624999999</v>
      </c>
      <c r="N1447" s="151" t="s">
        <v>47</v>
      </c>
      <c r="O1447" s="151"/>
      <c r="P1447" s="151"/>
      <c r="Q1447" s="7" t="str">
        <f>IF(ISBLANK(patch[[#This Row],[OwnerEmail]]),Q1446,patch[[#This Row],[OwnerEmail]])</f>
        <v>gang.a.hu@intel.com</v>
      </c>
      <c r="R1447" s="7" t="str">
        <f>_xlfn.IFNA(VLOOKUP(patch[[#This Row],[tmp-owner.email]],OrgTree!$A:$K, 11, 0), "not ICG SWFW")</f>
        <v>BJ And dev</v>
      </c>
      <c r="S1447" s="7" t="str">
        <f>IF(patch[[#This Row],[reviewer]]=patch[[#This Row],[tmp-owner.email]], "author", _xlfn.IFNA(VLOOKUP(patch[[#This Row],[reviewer]],OrgTree!$A:$K, 11, 0), "not ICG SWFW"))</f>
        <v>author</v>
      </c>
      <c r="T1447" s="7" t="str">
        <f>IF(ISBLANK(patch[[#This Row],[mergeDate]]), "", MID(YEAR(patch[[#This Row],[mergeDate]]), 3,2)&amp;"'ww"&amp;WEEKNUM(patch[[#This Row],[mergeDate]]))</f>
        <v>16'ww39</v>
      </c>
      <c r="U1447" s="7" t="str">
        <f>IF(ISBLANK(patch[[#This Row],[mergeDate]]), U1446, MID(YEAR(patch[[#This Row],[mergeDate]]), 3,2)&amp;"'m"&amp;MONTH(patch[[#This Row],[mergeDate]]))</f>
        <v>16'm9</v>
      </c>
      <c r="V1447" s="7" t="str">
        <f>IF(ISBLANK(patch[[#This Row],[project]]), "",SUM(patch[[#This Row],[BJ -1 num]:[SH -1 num]]))</f>
        <v/>
      </c>
      <c r="W1447" s="7" t="str">
        <f>IF(ISBLANK(patch[[#This Row],[project]]), "",COUNTIFS($A:$A,patch[[#This Row],[number]],$S:$S, "BJ And dev",$AC:$AC, "Review-1"))</f>
        <v/>
      </c>
      <c r="X1447" s="7" t="str">
        <f>IF(ISBLANK(patch[[#This Row],[project]]), "",COUNTIFS($A:$A,patch[[#This Row],[number]],$S:$S, "FL And dev",$AC:$AC, "Review-1"))</f>
        <v/>
      </c>
      <c r="Y1447" s="7" t="str">
        <f>IF(ISBLANK(patch[[#This Row],[project]]), "",COUNTIFS($A:$A,patch[[#This Row],[number]],$S:$S, "SH And dev",$AC:$AC, "Review-1"))</f>
        <v/>
      </c>
      <c r="Z1447" s="7" t="str">
        <f>IF(ISBLANK(patch[[#This Row],[project]]), "",COUNTIFS($A:$A,patch[[#This Row],[number]],$S:$S, "BJ And dev",$AD:$AD, "&lt;&gt;IntegratorValidationComment"))</f>
        <v/>
      </c>
      <c r="AA1447" s="7" t="str">
        <f>IF(ISBLANK(patch[[#This Row],[project]]), "",COUNTIFS($A:$A,patch[[#This Row],[number]],$S:$S, "FL And dev",$AD:$AD, "&lt;&gt;IntegratorValidationComment"))</f>
        <v/>
      </c>
      <c r="AB1447" s="7" t="str">
        <f>IF(ISBLANK(patch[[#This Row],[project]]), "",COUNTIFS($A:$A,patch[[#This Row],[number]],$S:$S, "SH And dev",$AD:$AD, "&lt;&gt;IntegratorValidationComment"))</f>
        <v/>
      </c>
      <c r="AC1447" s="7" t="str">
        <f>IF(OR(ISNUMBER(FIND("Review-1", patch[[#This Row],[comments]])), ISNUMBER(FIND("Approver-1", patch[[#This Row],[comments]]))), "Review-1", "")</f>
        <v/>
      </c>
      <c r="AD14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47" s="7">
        <f>IF(ISBLANK(patch[[#This Row],[number]]),AE1446,patch[[#This Row],[ifCommon]])</f>
        <v>0</v>
      </c>
    </row>
    <row r="1448" spans="1:31">
      <c r="A1448" s="151">
        <v>144479</v>
      </c>
      <c r="B1448" s="151"/>
      <c r="C1448" s="151"/>
      <c r="D1448" s="151"/>
      <c r="E1448" s="151"/>
      <c r="F1448" s="151"/>
      <c r="G1448" s="151"/>
      <c r="H1448" s="151"/>
      <c r="I1448" s="151"/>
      <c r="J1448" s="152">
        <v>42633.709270833337</v>
      </c>
      <c r="K1448" s="151"/>
      <c r="L1448" s="151" t="s">
        <v>32</v>
      </c>
      <c r="M1448" s="152">
        <v>42627.600648148153</v>
      </c>
      <c r="N1448" s="151" t="s">
        <v>2450</v>
      </c>
      <c r="O1448" s="151"/>
      <c r="P1448" s="151"/>
      <c r="Q1448" s="7" t="str">
        <f>IF(ISBLANK(patch[[#This Row],[OwnerEmail]]),Q1447,patch[[#This Row],[OwnerEmail]])</f>
        <v>gang.a.hu@intel.com</v>
      </c>
      <c r="R1448" s="7" t="str">
        <f>_xlfn.IFNA(VLOOKUP(patch[[#This Row],[tmp-owner.email]],OrgTree!$A:$K, 11, 0), "not ICG SWFW")</f>
        <v>BJ And dev</v>
      </c>
      <c r="S1448" s="7" t="str">
        <f>IF(patch[[#This Row],[reviewer]]=patch[[#This Row],[tmp-owner.email]], "author", _xlfn.IFNA(VLOOKUP(patch[[#This Row],[reviewer]],OrgTree!$A:$K, 11, 0), "not ICG SWFW"))</f>
        <v>author</v>
      </c>
      <c r="T1448" s="7" t="str">
        <f>IF(ISBLANK(patch[[#This Row],[mergeDate]]), "", MID(YEAR(patch[[#This Row],[mergeDate]]), 3,2)&amp;"'ww"&amp;WEEKNUM(patch[[#This Row],[mergeDate]]))</f>
        <v>16'ww39</v>
      </c>
      <c r="U1448" s="7" t="str">
        <f>IF(ISBLANK(patch[[#This Row],[mergeDate]]), U1447, MID(YEAR(patch[[#This Row],[mergeDate]]), 3,2)&amp;"'m"&amp;MONTH(patch[[#This Row],[mergeDate]]))</f>
        <v>16'm9</v>
      </c>
      <c r="V1448" s="7" t="str">
        <f>IF(ISBLANK(patch[[#This Row],[project]]), "",SUM(patch[[#This Row],[BJ -1 num]:[SH -1 num]]))</f>
        <v/>
      </c>
      <c r="W1448" s="7" t="str">
        <f>IF(ISBLANK(patch[[#This Row],[project]]), "",COUNTIFS($A:$A,patch[[#This Row],[number]],$S:$S, "BJ And dev",$AC:$AC, "Review-1"))</f>
        <v/>
      </c>
      <c r="X1448" s="7" t="str">
        <f>IF(ISBLANK(patch[[#This Row],[project]]), "",COUNTIFS($A:$A,patch[[#This Row],[number]],$S:$S, "FL And dev",$AC:$AC, "Review-1"))</f>
        <v/>
      </c>
      <c r="Y1448" s="7" t="str">
        <f>IF(ISBLANK(patch[[#This Row],[project]]), "",COUNTIFS($A:$A,patch[[#This Row],[number]],$S:$S, "SH And dev",$AC:$AC, "Review-1"))</f>
        <v/>
      </c>
      <c r="Z1448" s="7" t="str">
        <f>IF(ISBLANK(patch[[#This Row],[project]]), "",COUNTIFS($A:$A,patch[[#This Row],[number]],$S:$S, "BJ And dev",$AD:$AD, "&lt;&gt;IntegratorValidationComment"))</f>
        <v/>
      </c>
      <c r="AA1448" s="7" t="str">
        <f>IF(ISBLANK(patch[[#This Row],[project]]), "",COUNTIFS($A:$A,patch[[#This Row],[number]],$S:$S, "FL And dev",$AD:$AD, "&lt;&gt;IntegratorValidationComment"))</f>
        <v/>
      </c>
      <c r="AB1448" s="7" t="str">
        <f>IF(ISBLANK(patch[[#This Row],[project]]), "",COUNTIFS($A:$A,patch[[#This Row],[number]],$S:$S, "SH And dev",$AD:$AD, "&lt;&gt;IntegratorValidationComment"))</f>
        <v/>
      </c>
      <c r="AC1448" s="7" t="str">
        <f>IF(OR(ISNUMBER(FIND("Review-1", patch[[#This Row],[comments]])), ISNUMBER(FIND("Approver-1", patch[[#This Row],[comments]]))), "Review-1", "")</f>
        <v/>
      </c>
      <c r="AD14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48" s="7">
        <f>IF(ISBLANK(patch[[#This Row],[number]]),AE1447,patch[[#This Row],[ifCommon]])</f>
        <v>0</v>
      </c>
    </row>
    <row r="1449" spans="1:31">
      <c r="A1449" s="151">
        <v>144479</v>
      </c>
      <c r="B1449" s="151"/>
      <c r="C1449" s="151"/>
      <c r="D1449" s="151"/>
      <c r="E1449" s="151"/>
      <c r="F1449" s="151"/>
      <c r="G1449" s="151"/>
      <c r="H1449" s="151"/>
      <c r="I1449" s="151"/>
      <c r="J1449" s="152">
        <v>42633.709270833337</v>
      </c>
      <c r="K1449" s="151"/>
      <c r="L1449" s="151" t="s">
        <v>59</v>
      </c>
      <c r="M1449" s="152">
        <v>42627.606296296297</v>
      </c>
      <c r="N1449" s="151" t="s">
        <v>3297</v>
      </c>
      <c r="O1449" s="151"/>
      <c r="P1449" s="151"/>
      <c r="Q1449" s="7" t="str">
        <f>IF(ISBLANK(patch[[#This Row],[OwnerEmail]]),Q1448,patch[[#This Row],[OwnerEmail]])</f>
        <v>gang.a.hu@intel.com</v>
      </c>
      <c r="R1449" s="7" t="str">
        <f>_xlfn.IFNA(VLOOKUP(patch[[#This Row],[tmp-owner.email]],OrgTree!$A:$K, 11, 0), "not ICG SWFW")</f>
        <v>BJ And dev</v>
      </c>
      <c r="S1449" s="7" t="str">
        <f>IF(patch[[#This Row],[reviewer]]=patch[[#This Row],[tmp-owner.email]], "author", _xlfn.IFNA(VLOOKUP(patch[[#This Row],[reviewer]],OrgTree!$A:$K, 11, 0), "not ICG SWFW"))</f>
        <v>BJ And dev</v>
      </c>
      <c r="T1449" s="7" t="str">
        <f>IF(ISBLANK(patch[[#This Row],[mergeDate]]), "", MID(YEAR(patch[[#This Row],[mergeDate]]), 3,2)&amp;"'ww"&amp;WEEKNUM(patch[[#This Row],[mergeDate]]))</f>
        <v>16'ww39</v>
      </c>
      <c r="U1449" s="7" t="str">
        <f>IF(ISBLANK(patch[[#This Row],[mergeDate]]), U1448, MID(YEAR(patch[[#This Row],[mergeDate]]), 3,2)&amp;"'m"&amp;MONTH(patch[[#This Row],[mergeDate]]))</f>
        <v>16'm9</v>
      </c>
      <c r="V1449" s="7" t="str">
        <f>IF(ISBLANK(patch[[#This Row],[project]]), "",SUM(patch[[#This Row],[BJ -1 num]:[SH -1 num]]))</f>
        <v/>
      </c>
      <c r="W1449" s="7" t="str">
        <f>IF(ISBLANK(patch[[#This Row],[project]]), "",COUNTIFS($A:$A,patch[[#This Row],[number]],$S:$S, "BJ And dev",$AC:$AC, "Review-1"))</f>
        <v/>
      </c>
      <c r="X1449" s="7" t="str">
        <f>IF(ISBLANK(patch[[#This Row],[project]]), "",COUNTIFS($A:$A,patch[[#This Row],[number]],$S:$S, "FL And dev",$AC:$AC, "Review-1"))</f>
        <v/>
      </c>
      <c r="Y1449" s="7" t="str">
        <f>IF(ISBLANK(patch[[#This Row],[project]]), "",COUNTIFS($A:$A,patch[[#This Row],[number]],$S:$S, "SH And dev",$AC:$AC, "Review-1"))</f>
        <v/>
      </c>
      <c r="Z1449" s="7" t="str">
        <f>IF(ISBLANK(patch[[#This Row],[project]]), "",COUNTIFS($A:$A,patch[[#This Row],[number]],$S:$S, "BJ And dev",$AD:$AD, "&lt;&gt;IntegratorValidationComment"))</f>
        <v/>
      </c>
      <c r="AA1449" s="7" t="str">
        <f>IF(ISBLANK(patch[[#This Row],[project]]), "",COUNTIFS($A:$A,patch[[#This Row],[number]],$S:$S, "FL And dev",$AD:$AD, "&lt;&gt;IntegratorValidationComment"))</f>
        <v/>
      </c>
      <c r="AB1449" s="7" t="str">
        <f>IF(ISBLANK(patch[[#This Row],[project]]), "",COUNTIFS($A:$A,patch[[#This Row],[number]],$S:$S, "SH And dev",$AD:$AD, "&lt;&gt;IntegratorValidationComment"))</f>
        <v/>
      </c>
      <c r="AC1449" s="7" t="str">
        <f>IF(OR(ISNUMBER(FIND("Review-1", patch[[#This Row],[comments]])), ISNUMBER(FIND("Approver-1", patch[[#This Row],[comments]]))), "Review-1", "")</f>
        <v/>
      </c>
      <c r="AD14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49" s="7">
        <f>IF(ISBLANK(patch[[#This Row],[number]]),AE1448,patch[[#This Row],[ifCommon]])</f>
        <v>0</v>
      </c>
    </row>
    <row r="1450" spans="1:31">
      <c r="A1450" s="151">
        <v>144479</v>
      </c>
      <c r="B1450" s="151"/>
      <c r="C1450" s="151"/>
      <c r="D1450" s="151"/>
      <c r="E1450" s="151"/>
      <c r="F1450" s="151"/>
      <c r="G1450" s="151"/>
      <c r="H1450" s="151"/>
      <c r="I1450" s="151"/>
      <c r="J1450" s="152">
        <v>42633.709270833337</v>
      </c>
      <c r="K1450" s="151"/>
      <c r="L1450" s="151" t="s">
        <v>59</v>
      </c>
      <c r="M1450" s="152">
        <v>42627.61141203704</v>
      </c>
      <c r="N1450" s="151" t="s">
        <v>3298</v>
      </c>
      <c r="O1450" s="151"/>
      <c r="P1450" s="151"/>
      <c r="Q1450" s="7" t="str">
        <f>IF(ISBLANK(patch[[#This Row],[OwnerEmail]]),Q1449,patch[[#This Row],[OwnerEmail]])</f>
        <v>gang.a.hu@intel.com</v>
      </c>
      <c r="R1450" s="7" t="str">
        <f>_xlfn.IFNA(VLOOKUP(patch[[#This Row],[tmp-owner.email]],OrgTree!$A:$K, 11, 0), "not ICG SWFW")</f>
        <v>BJ And dev</v>
      </c>
      <c r="S1450" s="7" t="str">
        <f>IF(patch[[#This Row],[reviewer]]=patch[[#This Row],[tmp-owner.email]], "author", _xlfn.IFNA(VLOOKUP(patch[[#This Row],[reviewer]],OrgTree!$A:$K, 11, 0), "not ICG SWFW"))</f>
        <v>BJ And dev</v>
      </c>
      <c r="T1450" s="7" t="str">
        <f>IF(ISBLANK(patch[[#This Row],[mergeDate]]), "", MID(YEAR(patch[[#This Row],[mergeDate]]), 3,2)&amp;"'ww"&amp;WEEKNUM(patch[[#This Row],[mergeDate]]))</f>
        <v>16'ww39</v>
      </c>
      <c r="U1450" s="7" t="str">
        <f>IF(ISBLANK(patch[[#This Row],[mergeDate]]), U1449, MID(YEAR(patch[[#This Row],[mergeDate]]), 3,2)&amp;"'m"&amp;MONTH(patch[[#This Row],[mergeDate]]))</f>
        <v>16'm9</v>
      </c>
      <c r="V1450" s="7" t="str">
        <f>IF(ISBLANK(patch[[#This Row],[project]]), "",SUM(patch[[#This Row],[BJ -1 num]:[SH -1 num]]))</f>
        <v/>
      </c>
      <c r="W1450" s="7" t="str">
        <f>IF(ISBLANK(patch[[#This Row],[project]]), "",COUNTIFS($A:$A,patch[[#This Row],[number]],$S:$S, "BJ And dev",$AC:$AC, "Review-1"))</f>
        <v/>
      </c>
      <c r="X1450" s="7" t="str">
        <f>IF(ISBLANK(patch[[#This Row],[project]]), "",COUNTIFS($A:$A,patch[[#This Row],[number]],$S:$S, "FL And dev",$AC:$AC, "Review-1"))</f>
        <v/>
      </c>
      <c r="Y1450" s="7" t="str">
        <f>IF(ISBLANK(patch[[#This Row],[project]]), "",COUNTIFS($A:$A,patch[[#This Row],[number]],$S:$S, "SH And dev",$AC:$AC, "Review-1"))</f>
        <v/>
      </c>
      <c r="Z1450" s="7" t="str">
        <f>IF(ISBLANK(patch[[#This Row],[project]]), "",COUNTIFS($A:$A,patch[[#This Row],[number]],$S:$S, "BJ And dev",$AD:$AD, "&lt;&gt;IntegratorValidationComment"))</f>
        <v/>
      </c>
      <c r="AA1450" s="7" t="str">
        <f>IF(ISBLANK(patch[[#This Row],[project]]), "",COUNTIFS($A:$A,patch[[#This Row],[number]],$S:$S, "FL And dev",$AD:$AD, "&lt;&gt;IntegratorValidationComment"))</f>
        <v/>
      </c>
      <c r="AB1450" s="7" t="str">
        <f>IF(ISBLANK(patch[[#This Row],[project]]), "",COUNTIFS($A:$A,patch[[#This Row],[number]],$S:$S, "SH And dev",$AD:$AD, "&lt;&gt;IntegratorValidationComment"))</f>
        <v/>
      </c>
      <c r="AC1450" s="7" t="str">
        <f>IF(OR(ISNUMBER(FIND("Review-1", patch[[#This Row],[comments]])), ISNUMBER(FIND("Approver-1", patch[[#This Row],[comments]]))), "Review-1", "")</f>
        <v/>
      </c>
      <c r="AD14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50" s="7">
        <f>IF(ISBLANK(patch[[#This Row],[number]]),AE1449,patch[[#This Row],[ifCommon]])</f>
        <v>0</v>
      </c>
    </row>
    <row r="1451" spans="1:31">
      <c r="A1451" s="151">
        <v>144479</v>
      </c>
      <c r="B1451" s="151"/>
      <c r="C1451" s="151"/>
      <c r="D1451" s="151"/>
      <c r="E1451" s="151"/>
      <c r="F1451" s="151"/>
      <c r="G1451" s="151"/>
      <c r="H1451" s="151"/>
      <c r="I1451" s="151"/>
      <c r="J1451" s="152">
        <v>42633.709270833337</v>
      </c>
      <c r="K1451" s="151"/>
      <c r="L1451" s="151" t="s">
        <v>59</v>
      </c>
      <c r="M1451" s="152">
        <v>42627.636435185188</v>
      </c>
      <c r="N1451" s="151" t="s">
        <v>2484</v>
      </c>
      <c r="O1451" s="151"/>
      <c r="P1451" s="151"/>
      <c r="Q1451" s="7" t="str">
        <f>IF(ISBLANK(patch[[#This Row],[OwnerEmail]]),Q1450,patch[[#This Row],[OwnerEmail]])</f>
        <v>gang.a.hu@intel.com</v>
      </c>
      <c r="R1451" s="7" t="str">
        <f>_xlfn.IFNA(VLOOKUP(patch[[#This Row],[tmp-owner.email]],OrgTree!$A:$K, 11, 0), "not ICG SWFW")</f>
        <v>BJ And dev</v>
      </c>
      <c r="S1451" s="7" t="str">
        <f>IF(patch[[#This Row],[reviewer]]=patch[[#This Row],[tmp-owner.email]], "author", _xlfn.IFNA(VLOOKUP(patch[[#This Row],[reviewer]],OrgTree!$A:$K, 11, 0), "not ICG SWFW"))</f>
        <v>BJ And dev</v>
      </c>
      <c r="T1451" s="7" t="str">
        <f>IF(ISBLANK(patch[[#This Row],[mergeDate]]), "", MID(YEAR(patch[[#This Row],[mergeDate]]), 3,2)&amp;"'ww"&amp;WEEKNUM(patch[[#This Row],[mergeDate]]))</f>
        <v>16'ww39</v>
      </c>
      <c r="U1451" s="7" t="str">
        <f>IF(ISBLANK(patch[[#This Row],[mergeDate]]), U1450, MID(YEAR(patch[[#This Row],[mergeDate]]), 3,2)&amp;"'m"&amp;MONTH(patch[[#This Row],[mergeDate]]))</f>
        <v>16'm9</v>
      </c>
      <c r="V1451" s="7" t="str">
        <f>IF(ISBLANK(patch[[#This Row],[project]]), "",SUM(patch[[#This Row],[BJ -1 num]:[SH -1 num]]))</f>
        <v/>
      </c>
      <c r="W1451" s="7" t="str">
        <f>IF(ISBLANK(patch[[#This Row],[project]]), "",COUNTIFS($A:$A,patch[[#This Row],[number]],$S:$S, "BJ And dev",$AC:$AC, "Review-1"))</f>
        <v/>
      </c>
      <c r="X1451" s="7" t="str">
        <f>IF(ISBLANK(patch[[#This Row],[project]]), "",COUNTIFS($A:$A,patch[[#This Row],[number]],$S:$S, "FL And dev",$AC:$AC, "Review-1"))</f>
        <v/>
      </c>
      <c r="Y1451" s="7" t="str">
        <f>IF(ISBLANK(patch[[#This Row],[project]]), "",COUNTIFS($A:$A,patch[[#This Row],[number]],$S:$S, "SH And dev",$AC:$AC, "Review-1"))</f>
        <v/>
      </c>
      <c r="Z1451" s="7" t="str">
        <f>IF(ISBLANK(patch[[#This Row],[project]]), "",COUNTIFS($A:$A,patch[[#This Row],[number]],$S:$S, "BJ And dev",$AD:$AD, "&lt;&gt;IntegratorValidationComment"))</f>
        <v/>
      </c>
      <c r="AA1451" s="7" t="str">
        <f>IF(ISBLANK(patch[[#This Row],[project]]), "",COUNTIFS($A:$A,patch[[#This Row],[number]],$S:$S, "FL And dev",$AD:$AD, "&lt;&gt;IntegratorValidationComment"))</f>
        <v/>
      </c>
      <c r="AB1451" s="7" t="str">
        <f>IF(ISBLANK(patch[[#This Row],[project]]), "",COUNTIFS($A:$A,patch[[#This Row],[number]],$S:$S, "SH And dev",$AD:$AD, "&lt;&gt;IntegratorValidationComment"))</f>
        <v/>
      </c>
      <c r="AC1451" s="7" t="str">
        <f>IF(OR(ISNUMBER(FIND("Review-1", patch[[#This Row],[comments]])), ISNUMBER(FIND("Approver-1", patch[[#This Row],[comments]]))), "Review-1", "")</f>
        <v/>
      </c>
      <c r="AD14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51" s="7">
        <f>IF(ISBLANK(patch[[#This Row],[number]]),AE1450,patch[[#This Row],[ifCommon]])</f>
        <v>0</v>
      </c>
    </row>
    <row r="1452" spans="1:31">
      <c r="A1452" s="151">
        <v>144479</v>
      </c>
      <c r="B1452" s="151"/>
      <c r="C1452" s="151"/>
      <c r="D1452" s="151"/>
      <c r="E1452" s="151"/>
      <c r="F1452" s="151"/>
      <c r="G1452" s="151"/>
      <c r="H1452" s="151"/>
      <c r="I1452" s="151"/>
      <c r="J1452" s="152">
        <v>42633.709270833337</v>
      </c>
      <c r="K1452" s="151"/>
      <c r="L1452" s="151" t="s">
        <v>32</v>
      </c>
      <c r="M1452" s="152">
        <v>42627.668055555558</v>
      </c>
      <c r="N1452" s="151" t="s">
        <v>2536</v>
      </c>
      <c r="O1452" s="151"/>
      <c r="P1452" s="151"/>
      <c r="Q1452" s="7" t="str">
        <f>IF(ISBLANK(patch[[#This Row],[OwnerEmail]]),Q1451,patch[[#This Row],[OwnerEmail]])</f>
        <v>gang.a.hu@intel.com</v>
      </c>
      <c r="R1452" s="7" t="str">
        <f>_xlfn.IFNA(VLOOKUP(patch[[#This Row],[tmp-owner.email]],OrgTree!$A:$K, 11, 0), "not ICG SWFW")</f>
        <v>BJ And dev</v>
      </c>
      <c r="S1452" s="7" t="str">
        <f>IF(patch[[#This Row],[reviewer]]=patch[[#This Row],[tmp-owner.email]], "author", _xlfn.IFNA(VLOOKUP(patch[[#This Row],[reviewer]],OrgTree!$A:$K, 11, 0), "not ICG SWFW"))</f>
        <v>author</v>
      </c>
      <c r="T1452" s="7" t="str">
        <f>IF(ISBLANK(patch[[#This Row],[mergeDate]]), "", MID(YEAR(patch[[#This Row],[mergeDate]]), 3,2)&amp;"'ww"&amp;WEEKNUM(patch[[#This Row],[mergeDate]]))</f>
        <v>16'ww39</v>
      </c>
      <c r="U1452" s="7" t="str">
        <f>IF(ISBLANK(patch[[#This Row],[mergeDate]]), U1451, MID(YEAR(patch[[#This Row],[mergeDate]]), 3,2)&amp;"'m"&amp;MONTH(patch[[#This Row],[mergeDate]]))</f>
        <v>16'm9</v>
      </c>
      <c r="V1452" s="7" t="str">
        <f>IF(ISBLANK(patch[[#This Row],[project]]), "",SUM(patch[[#This Row],[BJ -1 num]:[SH -1 num]]))</f>
        <v/>
      </c>
      <c r="W1452" s="7" t="str">
        <f>IF(ISBLANK(patch[[#This Row],[project]]), "",COUNTIFS($A:$A,patch[[#This Row],[number]],$S:$S, "BJ And dev",$AC:$AC, "Review-1"))</f>
        <v/>
      </c>
      <c r="X1452" s="7" t="str">
        <f>IF(ISBLANK(patch[[#This Row],[project]]), "",COUNTIFS($A:$A,patch[[#This Row],[number]],$S:$S, "FL And dev",$AC:$AC, "Review-1"))</f>
        <v/>
      </c>
      <c r="Y1452" s="7" t="str">
        <f>IF(ISBLANK(patch[[#This Row],[project]]), "",COUNTIFS($A:$A,patch[[#This Row],[number]],$S:$S, "SH And dev",$AC:$AC, "Review-1"))</f>
        <v/>
      </c>
      <c r="Z1452" s="7" t="str">
        <f>IF(ISBLANK(patch[[#This Row],[project]]), "",COUNTIFS($A:$A,patch[[#This Row],[number]],$S:$S, "BJ And dev",$AD:$AD, "&lt;&gt;IntegratorValidationComment"))</f>
        <v/>
      </c>
      <c r="AA1452" s="7" t="str">
        <f>IF(ISBLANK(patch[[#This Row],[project]]), "",COUNTIFS($A:$A,patch[[#This Row],[number]],$S:$S, "FL And dev",$AD:$AD, "&lt;&gt;IntegratorValidationComment"))</f>
        <v/>
      </c>
      <c r="AB1452" s="7" t="str">
        <f>IF(ISBLANK(patch[[#This Row],[project]]), "",COUNTIFS($A:$A,patch[[#This Row],[number]],$S:$S, "SH And dev",$AD:$AD, "&lt;&gt;IntegratorValidationComment"))</f>
        <v/>
      </c>
      <c r="AC1452" s="7" t="str">
        <f>IF(OR(ISNUMBER(FIND("Review-1", patch[[#This Row],[comments]])), ISNUMBER(FIND("Approver-1", patch[[#This Row],[comments]]))), "Review-1", "")</f>
        <v/>
      </c>
      <c r="AD14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52" s="7">
        <f>IF(ISBLANK(patch[[#This Row],[number]]),AE1451,patch[[#This Row],[ifCommon]])</f>
        <v>0</v>
      </c>
    </row>
    <row r="1453" spans="1:31">
      <c r="A1453" s="151">
        <v>144479</v>
      </c>
      <c r="B1453" s="151"/>
      <c r="C1453" s="151"/>
      <c r="D1453" s="151"/>
      <c r="E1453" s="151"/>
      <c r="F1453" s="151"/>
      <c r="G1453" s="151"/>
      <c r="H1453" s="151"/>
      <c r="I1453" s="151"/>
      <c r="J1453" s="152">
        <v>42633.709270833337</v>
      </c>
      <c r="K1453" s="151"/>
      <c r="L1453" s="151" t="s">
        <v>32</v>
      </c>
      <c r="M1453" s="152">
        <v>42627.668078703697</v>
      </c>
      <c r="N1453" s="151" t="s">
        <v>2451</v>
      </c>
      <c r="O1453" s="151"/>
      <c r="P1453" s="151"/>
      <c r="Q1453" s="7" t="str">
        <f>IF(ISBLANK(patch[[#This Row],[OwnerEmail]]),Q1452,patch[[#This Row],[OwnerEmail]])</f>
        <v>gang.a.hu@intel.com</v>
      </c>
      <c r="R1453" s="7" t="str">
        <f>_xlfn.IFNA(VLOOKUP(patch[[#This Row],[tmp-owner.email]],OrgTree!$A:$K, 11, 0), "not ICG SWFW")</f>
        <v>BJ And dev</v>
      </c>
      <c r="S1453" s="7" t="str">
        <f>IF(patch[[#This Row],[reviewer]]=patch[[#This Row],[tmp-owner.email]], "author", _xlfn.IFNA(VLOOKUP(patch[[#This Row],[reviewer]],OrgTree!$A:$K, 11, 0), "not ICG SWFW"))</f>
        <v>author</v>
      </c>
      <c r="T1453" s="7" t="str">
        <f>IF(ISBLANK(patch[[#This Row],[mergeDate]]), "", MID(YEAR(patch[[#This Row],[mergeDate]]), 3,2)&amp;"'ww"&amp;WEEKNUM(patch[[#This Row],[mergeDate]]))</f>
        <v>16'ww39</v>
      </c>
      <c r="U1453" s="7" t="str">
        <f>IF(ISBLANK(patch[[#This Row],[mergeDate]]), U1452, MID(YEAR(patch[[#This Row],[mergeDate]]), 3,2)&amp;"'m"&amp;MONTH(patch[[#This Row],[mergeDate]]))</f>
        <v>16'm9</v>
      </c>
      <c r="V1453" s="7" t="str">
        <f>IF(ISBLANK(patch[[#This Row],[project]]), "",SUM(patch[[#This Row],[BJ -1 num]:[SH -1 num]]))</f>
        <v/>
      </c>
      <c r="W1453" s="7" t="str">
        <f>IF(ISBLANK(patch[[#This Row],[project]]), "",COUNTIFS($A:$A,patch[[#This Row],[number]],$S:$S, "BJ And dev",$AC:$AC, "Review-1"))</f>
        <v/>
      </c>
      <c r="X1453" s="7" t="str">
        <f>IF(ISBLANK(patch[[#This Row],[project]]), "",COUNTIFS($A:$A,patch[[#This Row],[number]],$S:$S, "FL And dev",$AC:$AC, "Review-1"))</f>
        <v/>
      </c>
      <c r="Y1453" s="7" t="str">
        <f>IF(ISBLANK(patch[[#This Row],[project]]), "",COUNTIFS($A:$A,patch[[#This Row],[number]],$S:$S, "SH And dev",$AC:$AC, "Review-1"))</f>
        <v/>
      </c>
      <c r="Z1453" s="7" t="str">
        <f>IF(ISBLANK(patch[[#This Row],[project]]), "",COUNTIFS($A:$A,patch[[#This Row],[number]],$S:$S, "BJ And dev",$AD:$AD, "&lt;&gt;IntegratorValidationComment"))</f>
        <v/>
      </c>
      <c r="AA1453" s="7" t="str">
        <f>IF(ISBLANK(patch[[#This Row],[project]]), "",COUNTIFS($A:$A,patch[[#This Row],[number]],$S:$S, "FL And dev",$AD:$AD, "&lt;&gt;IntegratorValidationComment"))</f>
        <v/>
      </c>
      <c r="AB1453" s="7" t="str">
        <f>IF(ISBLANK(patch[[#This Row],[project]]), "",COUNTIFS($A:$A,patch[[#This Row],[number]],$S:$S, "SH And dev",$AD:$AD, "&lt;&gt;IntegratorValidationComment"))</f>
        <v/>
      </c>
      <c r="AC1453" s="7" t="str">
        <f>IF(OR(ISNUMBER(FIND("Review-1", patch[[#This Row],[comments]])), ISNUMBER(FIND("Approver-1", patch[[#This Row],[comments]]))), "Review-1", "")</f>
        <v/>
      </c>
      <c r="AD14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53" s="7">
        <f>IF(ISBLANK(patch[[#This Row],[number]]),AE1452,patch[[#This Row],[ifCommon]])</f>
        <v>0</v>
      </c>
    </row>
    <row r="1454" spans="1:31">
      <c r="A1454" s="151">
        <v>144479</v>
      </c>
      <c r="B1454" s="151"/>
      <c r="C1454" s="151"/>
      <c r="D1454" s="151"/>
      <c r="E1454" s="151"/>
      <c r="F1454" s="151"/>
      <c r="G1454" s="151"/>
      <c r="H1454" s="151"/>
      <c r="I1454" s="151"/>
      <c r="J1454" s="152">
        <v>42633.709270833337</v>
      </c>
      <c r="K1454" s="151"/>
      <c r="L1454" s="151" t="s">
        <v>59</v>
      </c>
      <c r="M1454" s="152">
        <v>42627.675763888888</v>
      </c>
      <c r="N1454" s="151" t="s">
        <v>3299</v>
      </c>
      <c r="O1454" s="151"/>
      <c r="P1454" s="151"/>
      <c r="Q1454" s="7" t="str">
        <f>IF(ISBLANK(patch[[#This Row],[OwnerEmail]]),Q1453,patch[[#This Row],[OwnerEmail]])</f>
        <v>gang.a.hu@intel.com</v>
      </c>
      <c r="R1454" s="7" t="str">
        <f>_xlfn.IFNA(VLOOKUP(patch[[#This Row],[tmp-owner.email]],OrgTree!$A:$K, 11, 0), "not ICG SWFW")</f>
        <v>BJ And dev</v>
      </c>
      <c r="S1454" s="7" t="str">
        <f>IF(patch[[#This Row],[reviewer]]=patch[[#This Row],[tmp-owner.email]], "author", _xlfn.IFNA(VLOOKUP(patch[[#This Row],[reviewer]],OrgTree!$A:$K, 11, 0), "not ICG SWFW"))</f>
        <v>BJ And dev</v>
      </c>
      <c r="T1454" s="7" t="str">
        <f>IF(ISBLANK(patch[[#This Row],[mergeDate]]), "", MID(YEAR(patch[[#This Row],[mergeDate]]), 3,2)&amp;"'ww"&amp;WEEKNUM(patch[[#This Row],[mergeDate]]))</f>
        <v>16'ww39</v>
      </c>
      <c r="U1454" s="7" t="str">
        <f>IF(ISBLANK(patch[[#This Row],[mergeDate]]), U1453, MID(YEAR(patch[[#This Row],[mergeDate]]), 3,2)&amp;"'m"&amp;MONTH(patch[[#This Row],[mergeDate]]))</f>
        <v>16'm9</v>
      </c>
      <c r="V1454" s="7" t="str">
        <f>IF(ISBLANK(patch[[#This Row],[project]]), "",SUM(patch[[#This Row],[BJ -1 num]:[SH -1 num]]))</f>
        <v/>
      </c>
      <c r="W1454" s="7" t="str">
        <f>IF(ISBLANK(patch[[#This Row],[project]]), "",COUNTIFS($A:$A,patch[[#This Row],[number]],$S:$S, "BJ And dev",$AC:$AC, "Review-1"))</f>
        <v/>
      </c>
      <c r="X1454" s="7" t="str">
        <f>IF(ISBLANK(patch[[#This Row],[project]]), "",COUNTIFS($A:$A,patch[[#This Row],[number]],$S:$S, "FL And dev",$AC:$AC, "Review-1"))</f>
        <v/>
      </c>
      <c r="Y1454" s="7" t="str">
        <f>IF(ISBLANK(patch[[#This Row],[project]]), "",COUNTIFS($A:$A,patch[[#This Row],[number]],$S:$S, "SH And dev",$AC:$AC, "Review-1"))</f>
        <v/>
      </c>
      <c r="Z1454" s="7" t="str">
        <f>IF(ISBLANK(patch[[#This Row],[project]]), "",COUNTIFS($A:$A,patch[[#This Row],[number]],$S:$S, "BJ And dev",$AD:$AD, "&lt;&gt;IntegratorValidationComment"))</f>
        <v/>
      </c>
      <c r="AA1454" s="7" t="str">
        <f>IF(ISBLANK(patch[[#This Row],[project]]), "",COUNTIFS($A:$A,patch[[#This Row],[number]],$S:$S, "FL And dev",$AD:$AD, "&lt;&gt;IntegratorValidationComment"))</f>
        <v/>
      </c>
      <c r="AB1454" s="7" t="str">
        <f>IF(ISBLANK(patch[[#This Row],[project]]), "",COUNTIFS($A:$A,patch[[#This Row],[number]],$S:$S, "SH And dev",$AD:$AD, "&lt;&gt;IntegratorValidationComment"))</f>
        <v/>
      </c>
      <c r="AC1454" s="7" t="str">
        <f>IF(OR(ISNUMBER(FIND("Review-1", patch[[#This Row],[comments]])), ISNUMBER(FIND("Approver-1", patch[[#This Row],[comments]]))), "Review-1", "")</f>
        <v/>
      </c>
      <c r="AD14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54" s="7">
        <f>IF(ISBLANK(patch[[#This Row],[number]]),AE1453,patch[[#This Row],[ifCommon]])</f>
        <v>0</v>
      </c>
    </row>
    <row r="1455" spans="1:31">
      <c r="A1455" s="151">
        <v>144479</v>
      </c>
      <c r="B1455" s="151"/>
      <c r="C1455" s="151"/>
      <c r="D1455" s="151"/>
      <c r="E1455" s="151"/>
      <c r="F1455" s="151"/>
      <c r="G1455" s="151"/>
      <c r="H1455" s="151"/>
      <c r="I1455" s="152"/>
      <c r="J1455" s="152">
        <v>42633.709270833337</v>
      </c>
      <c r="K1455" s="151"/>
      <c r="L1455" s="151" t="s">
        <v>59</v>
      </c>
      <c r="M1455" s="152">
        <v>42627.678506944438</v>
      </c>
      <c r="N1455" s="151" t="s">
        <v>3300</v>
      </c>
      <c r="O1455" s="151"/>
      <c r="P1455" s="151"/>
      <c r="Q1455" s="7" t="str">
        <f>IF(ISBLANK(patch[[#This Row],[OwnerEmail]]),Q1454,patch[[#This Row],[OwnerEmail]])</f>
        <v>gang.a.hu@intel.com</v>
      </c>
      <c r="R1455" s="7" t="str">
        <f>_xlfn.IFNA(VLOOKUP(patch[[#This Row],[tmp-owner.email]],OrgTree!$A:$K, 11, 0), "not ICG SWFW")</f>
        <v>BJ And dev</v>
      </c>
      <c r="S1455" s="7" t="str">
        <f>IF(patch[[#This Row],[reviewer]]=patch[[#This Row],[tmp-owner.email]], "author", _xlfn.IFNA(VLOOKUP(patch[[#This Row],[reviewer]],OrgTree!$A:$K, 11, 0), "not ICG SWFW"))</f>
        <v>BJ And dev</v>
      </c>
      <c r="T1455" s="7" t="str">
        <f>IF(ISBLANK(patch[[#This Row],[mergeDate]]), "", MID(YEAR(patch[[#This Row],[mergeDate]]), 3,2)&amp;"'ww"&amp;WEEKNUM(patch[[#This Row],[mergeDate]]))</f>
        <v>16'ww39</v>
      </c>
      <c r="U1455" s="7" t="str">
        <f>IF(ISBLANK(patch[[#This Row],[mergeDate]]), U1454, MID(YEAR(patch[[#This Row],[mergeDate]]), 3,2)&amp;"'m"&amp;MONTH(patch[[#This Row],[mergeDate]]))</f>
        <v>16'm9</v>
      </c>
      <c r="V1455" s="7" t="str">
        <f>IF(ISBLANK(patch[[#This Row],[project]]), "",SUM(patch[[#This Row],[BJ -1 num]:[SH -1 num]]))</f>
        <v/>
      </c>
      <c r="W1455" s="7" t="str">
        <f>IF(ISBLANK(patch[[#This Row],[project]]), "",COUNTIFS($A:$A,patch[[#This Row],[number]],$S:$S, "BJ And dev",$AC:$AC, "Review-1"))</f>
        <v/>
      </c>
      <c r="X1455" s="7" t="str">
        <f>IF(ISBLANK(patch[[#This Row],[project]]), "",COUNTIFS($A:$A,patch[[#This Row],[number]],$S:$S, "FL And dev",$AC:$AC, "Review-1"))</f>
        <v/>
      </c>
      <c r="Y1455" s="7" t="str">
        <f>IF(ISBLANK(patch[[#This Row],[project]]), "",COUNTIFS($A:$A,patch[[#This Row],[number]],$S:$S, "SH And dev",$AC:$AC, "Review-1"))</f>
        <v/>
      </c>
      <c r="Z1455" s="7" t="str">
        <f>IF(ISBLANK(patch[[#This Row],[project]]), "",COUNTIFS($A:$A,patch[[#This Row],[number]],$S:$S, "BJ And dev",$AD:$AD, "&lt;&gt;IntegratorValidationComment"))</f>
        <v/>
      </c>
      <c r="AA1455" s="7" t="str">
        <f>IF(ISBLANK(patch[[#This Row],[project]]), "",COUNTIFS($A:$A,patch[[#This Row],[number]],$S:$S, "FL And dev",$AD:$AD, "&lt;&gt;IntegratorValidationComment"))</f>
        <v/>
      </c>
      <c r="AB1455" s="7" t="str">
        <f>IF(ISBLANK(patch[[#This Row],[project]]), "",COUNTIFS($A:$A,patch[[#This Row],[number]],$S:$S, "SH And dev",$AD:$AD, "&lt;&gt;IntegratorValidationComment"))</f>
        <v/>
      </c>
      <c r="AC1455" s="7" t="str">
        <f>IF(OR(ISNUMBER(FIND("Review-1", patch[[#This Row],[comments]])), ISNUMBER(FIND("Approver-1", patch[[#This Row],[comments]]))), "Review-1", "")</f>
        <v/>
      </c>
      <c r="AD14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55" s="7">
        <f>IF(ISBLANK(patch[[#This Row],[number]]),AE1454,patch[[#This Row],[ifCommon]])</f>
        <v>0</v>
      </c>
    </row>
    <row r="1456" spans="1:31">
      <c r="A1456" s="151">
        <v>144479</v>
      </c>
      <c r="B1456" s="151"/>
      <c r="C1456" s="151"/>
      <c r="D1456" s="151"/>
      <c r="E1456" s="151"/>
      <c r="F1456" s="151"/>
      <c r="G1456" s="151"/>
      <c r="H1456" s="151"/>
      <c r="I1456" s="151"/>
      <c r="J1456" s="152">
        <v>42633.709270833337</v>
      </c>
      <c r="K1456" s="151"/>
      <c r="L1456" s="151" t="s">
        <v>115</v>
      </c>
      <c r="M1456" s="152">
        <v>42632.42564814815</v>
      </c>
      <c r="N1456" s="151" t="s">
        <v>2496</v>
      </c>
      <c r="O1456" s="151"/>
      <c r="P1456" s="151"/>
      <c r="Q1456" s="7" t="str">
        <f>IF(ISBLANK(patch[[#This Row],[OwnerEmail]]),Q1455,patch[[#This Row],[OwnerEmail]])</f>
        <v>gang.a.hu@intel.com</v>
      </c>
      <c r="R1456" s="7" t="str">
        <f>_xlfn.IFNA(VLOOKUP(patch[[#This Row],[tmp-owner.email]],OrgTree!$A:$K, 11, 0), "not ICG SWFW")</f>
        <v>BJ And dev</v>
      </c>
      <c r="S1456" s="7" t="str">
        <f>IF(patch[[#This Row],[reviewer]]=patch[[#This Row],[tmp-owner.email]], "author", _xlfn.IFNA(VLOOKUP(patch[[#This Row],[reviewer]],OrgTree!$A:$K, 11, 0), "not ICG SWFW"))</f>
        <v>Val</v>
      </c>
      <c r="T1456" s="7" t="str">
        <f>IF(ISBLANK(patch[[#This Row],[mergeDate]]), "", MID(YEAR(patch[[#This Row],[mergeDate]]), 3,2)&amp;"'ww"&amp;WEEKNUM(patch[[#This Row],[mergeDate]]))</f>
        <v>16'ww39</v>
      </c>
      <c r="U1456" s="7" t="str">
        <f>IF(ISBLANK(patch[[#This Row],[mergeDate]]), U1455, MID(YEAR(patch[[#This Row],[mergeDate]]), 3,2)&amp;"'m"&amp;MONTH(patch[[#This Row],[mergeDate]]))</f>
        <v>16'm9</v>
      </c>
      <c r="V1456" s="7" t="str">
        <f>IF(ISBLANK(patch[[#This Row],[project]]), "",SUM(patch[[#This Row],[BJ -1 num]:[SH -1 num]]))</f>
        <v/>
      </c>
      <c r="W1456" s="7" t="str">
        <f>IF(ISBLANK(patch[[#This Row],[project]]), "",COUNTIFS($A:$A,patch[[#This Row],[number]],$S:$S, "BJ And dev",$AC:$AC, "Review-1"))</f>
        <v/>
      </c>
      <c r="X1456" s="7" t="str">
        <f>IF(ISBLANK(patch[[#This Row],[project]]), "",COUNTIFS($A:$A,patch[[#This Row],[number]],$S:$S, "FL And dev",$AC:$AC, "Review-1"))</f>
        <v/>
      </c>
      <c r="Y1456" s="7" t="str">
        <f>IF(ISBLANK(patch[[#This Row],[project]]), "",COUNTIFS($A:$A,patch[[#This Row],[number]],$S:$S, "SH And dev",$AC:$AC, "Review-1"))</f>
        <v/>
      </c>
      <c r="Z1456" s="7" t="str">
        <f>IF(ISBLANK(patch[[#This Row],[project]]), "",COUNTIFS($A:$A,patch[[#This Row],[number]],$S:$S, "BJ And dev",$AD:$AD, "&lt;&gt;IntegratorValidationComment"))</f>
        <v/>
      </c>
      <c r="AA1456" s="7" t="str">
        <f>IF(ISBLANK(patch[[#This Row],[project]]), "",COUNTIFS($A:$A,patch[[#This Row],[number]],$S:$S, "FL And dev",$AD:$AD, "&lt;&gt;IntegratorValidationComment"))</f>
        <v/>
      </c>
      <c r="AB1456" s="7" t="str">
        <f>IF(ISBLANK(patch[[#This Row],[project]]), "",COUNTIFS($A:$A,patch[[#This Row],[number]],$S:$S, "SH And dev",$AD:$AD, "&lt;&gt;IntegratorValidationComment"))</f>
        <v/>
      </c>
      <c r="AC1456" s="7" t="str">
        <f>IF(OR(ISNUMBER(FIND("Review-1", patch[[#This Row],[comments]])), ISNUMBER(FIND("Approver-1", patch[[#This Row],[comments]]))), "Review-1", "")</f>
        <v/>
      </c>
      <c r="AD14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456" s="7">
        <f>IF(ISBLANK(patch[[#This Row],[number]]),AE1455,patch[[#This Row],[ifCommon]])</f>
        <v>0</v>
      </c>
    </row>
    <row r="1457" spans="1:31">
      <c r="A1457" s="151">
        <v>146163</v>
      </c>
      <c r="B1457" s="151" t="s">
        <v>2490</v>
      </c>
      <c r="C1457" s="151" t="s">
        <v>2795</v>
      </c>
      <c r="D1457" s="151" t="s">
        <v>3131</v>
      </c>
      <c r="E1457" s="151" t="s">
        <v>24</v>
      </c>
      <c r="F1457" s="151" t="s">
        <v>23</v>
      </c>
      <c r="G1457" s="151" t="s">
        <v>3132</v>
      </c>
      <c r="H1457" s="151" t="s">
        <v>3133</v>
      </c>
      <c r="I1457" s="152">
        <v>42631.751307870371</v>
      </c>
      <c r="J1457" s="152">
        <v>42632.758344907408</v>
      </c>
      <c r="K1457" s="151" t="s">
        <v>2445</v>
      </c>
      <c r="L1457" s="151" t="s">
        <v>24</v>
      </c>
      <c r="M1457" s="152">
        <v>42631.751331018517</v>
      </c>
      <c r="N1457" s="151" t="s">
        <v>3301</v>
      </c>
      <c r="O1457" s="151"/>
      <c r="P1457" s="151" t="s">
        <v>59</v>
      </c>
      <c r="Q1457" s="7" t="str">
        <f>IF(ISBLANK(patch[[#This Row],[OwnerEmail]]),Q1456,patch[[#This Row],[OwnerEmail]])</f>
        <v>qingwu.zhang@intel.com</v>
      </c>
      <c r="R1457" s="7" t="str">
        <f>_xlfn.IFNA(VLOOKUP(patch[[#This Row],[tmp-owner.email]],OrgTree!$A:$K, 11, 0), "not ICG SWFW")</f>
        <v>BJ And dev</v>
      </c>
      <c r="S1457" s="7" t="str">
        <f>IF(patch[[#This Row],[reviewer]]=patch[[#This Row],[tmp-owner.email]], "author", _xlfn.IFNA(VLOOKUP(patch[[#This Row],[reviewer]],OrgTree!$A:$K, 11, 0), "not ICG SWFW"))</f>
        <v>author</v>
      </c>
      <c r="T1457" s="7" t="str">
        <f>IF(ISBLANK(patch[[#This Row],[mergeDate]]), "", MID(YEAR(patch[[#This Row],[mergeDate]]), 3,2)&amp;"'ww"&amp;WEEKNUM(patch[[#This Row],[mergeDate]]))</f>
        <v>16'ww39</v>
      </c>
      <c r="U1457" s="7" t="str">
        <f>IF(ISBLANK(patch[[#This Row],[mergeDate]]), U1456, MID(YEAR(patch[[#This Row],[mergeDate]]), 3,2)&amp;"'m"&amp;MONTH(patch[[#This Row],[mergeDate]]))</f>
        <v>16'm9</v>
      </c>
      <c r="V1457" s="7">
        <f>IF(ISBLANK(patch[[#This Row],[project]]), "",SUM(patch[[#This Row],[BJ -1 num]:[SH -1 num]]))</f>
        <v>0</v>
      </c>
      <c r="W1457" s="7">
        <f>IF(ISBLANK(patch[[#This Row],[project]]), "",COUNTIFS($A:$A,patch[[#This Row],[number]],$S:$S, "BJ And dev",$AC:$AC, "Review-1"))</f>
        <v>0</v>
      </c>
      <c r="X1457" s="7">
        <f>IF(ISBLANK(patch[[#This Row],[project]]), "",COUNTIFS($A:$A,patch[[#This Row],[number]],$S:$S, "FL And dev",$AC:$AC, "Review-1"))</f>
        <v>0</v>
      </c>
      <c r="Y1457" s="7">
        <f>IF(ISBLANK(patch[[#This Row],[project]]), "",COUNTIFS($A:$A,patch[[#This Row],[number]],$S:$S, "SH And dev",$AC:$AC, "Review-1"))</f>
        <v>0</v>
      </c>
      <c r="Z1457" s="7">
        <f>IF(ISBLANK(patch[[#This Row],[project]]), "",COUNTIFS($A:$A,patch[[#This Row],[number]],$S:$S, "BJ And dev",$AD:$AD, "&lt;&gt;IntegratorValidationComment"))</f>
        <v>4</v>
      </c>
      <c r="AA1457" s="7">
        <f>IF(ISBLANK(patch[[#This Row],[project]]), "",COUNTIFS($A:$A,patch[[#This Row],[number]],$S:$S, "FL And dev",$AD:$AD, "&lt;&gt;IntegratorValidationComment"))</f>
        <v>0</v>
      </c>
      <c r="AB1457" s="7">
        <f>IF(ISBLANK(patch[[#This Row],[project]]), "",COUNTIFS($A:$A,patch[[#This Row],[number]],$S:$S, "SH And dev",$AD:$AD, "&lt;&gt;IntegratorValidationComment"))</f>
        <v>0</v>
      </c>
      <c r="AC1457" s="7" t="str">
        <f>IF(OR(ISNUMBER(FIND("Review-1", patch[[#This Row],[comments]])), ISNUMBER(FIND("Approver-1", patch[[#This Row],[comments]]))), "Review-1", "")</f>
        <v/>
      </c>
      <c r="AD14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57" s="7" t="str">
        <f>IF(ISBLANK(patch[[#This Row],[number]]),AE1456,patch[[#This Row],[ifCommon]])</f>
        <v>not AndrHAL</v>
      </c>
    </row>
    <row r="1458" spans="1:31">
      <c r="A1458" s="151">
        <v>146163</v>
      </c>
      <c r="B1458" s="151"/>
      <c r="C1458" s="151"/>
      <c r="D1458" s="151"/>
      <c r="E1458" s="151"/>
      <c r="F1458" s="151"/>
      <c r="G1458" s="151"/>
      <c r="H1458" s="151"/>
      <c r="I1458" s="151"/>
      <c r="J1458" s="152">
        <v>42632.758344907408</v>
      </c>
      <c r="K1458" s="151"/>
      <c r="L1458" s="151" t="s">
        <v>24</v>
      </c>
      <c r="M1458" s="152">
        <v>42631.751331018517</v>
      </c>
      <c r="N1458" s="151" t="s">
        <v>2428</v>
      </c>
      <c r="O1458" s="151"/>
      <c r="P1458" s="151"/>
      <c r="Q1458" s="7" t="str">
        <f>IF(ISBLANK(patch[[#This Row],[OwnerEmail]]),Q1457,patch[[#This Row],[OwnerEmail]])</f>
        <v>qingwu.zhang@intel.com</v>
      </c>
      <c r="R1458" s="7" t="str">
        <f>_xlfn.IFNA(VLOOKUP(patch[[#This Row],[tmp-owner.email]],OrgTree!$A:$K, 11, 0), "not ICG SWFW")</f>
        <v>BJ And dev</v>
      </c>
      <c r="S1458" s="7" t="str">
        <f>IF(patch[[#This Row],[reviewer]]=patch[[#This Row],[tmp-owner.email]], "author", _xlfn.IFNA(VLOOKUP(patch[[#This Row],[reviewer]],OrgTree!$A:$K, 11, 0), "not ICG SWFW"))</f>
        <v>author</v>
      </c>
      <c r="T1458" s="7" t="str">
        <f>IF(ISBLANK(patch[[#This Row],[mergeDate]]), "", MID(YEAR(patch[[#This Row],[mergeDate]]), 3,2)&amp;"'ww"&amp;WEEKNUM(patch[[#This Row],[mergeDate]]))</f>
        <v>16'ww39</v>
      </c>
      <c r="U1458" s="7" t="str">
        <f>IF(ISBLANK(patch[[#This Row],[mergeDate]]), U1457, MID(YEAR(patch[[#This Row],[mergeDate]]), 3,2)&amp;"'m"&amp;MONTH(patch[[#This Row],[mergeDate]]))</f>
        <v>16'm9</v>
      </c>
      <c r="V1458" s="7" t="str">
        <f>IF(ISBLANK(patch[[#This Row],[project]]), "",SUM(patch[[#This Row],[BJ -1 num]:[SH -1 num]]))</f>
        <v/>
      </c>
      <c r="W1458" s="7" t="str">
        <f>IF(ISBLANK(patch[[#This Row],[project]]), "",COUNTIFS($A:$A,patch[[#This Row],[number]],$S:$S, "BJ And dev",$AC:$AC, "Review-1"))</f>
        <v/>
      </c>
      <c r="X1458" s="7" t="str">
        <f>IF(ISBLANK(patch[[#This Row],[project]]), "",COUNTIFS($A:$A,patch[[#This Row],[number]],$S:$S, "FL And dev",$AC:$AC, "Review-1"))</f>
        <v/>
      </c>
      <c r="Y1458" s="7" t="str">
        <f>IF(ISBLANK(patch[[#This Row],[project]]), "",COUNTIFS($A:$A,patch[[#This Row],[number]],$S:$S, "SH And dev",$AC:$AC, "Review-1"))</f>
        <v/>
      </c>
      <c r="Z1458" s="7" t="str">
        <f>IF(ISBLANK(patch[[#This Row],[project]]), "",COUNTIFS($A:$A,patch[[#This Row],[number]],$S:$S, "BJ And dev",$AD:$AD, "&lt;&gt;IntegratorValidationComment"))</f>
        <v/>
      </c>
      <c r="AA1458" s="7" t="str">
        <f>IF(ISBLANK(patch[[#This Row],[project]]), "",COUNTIFS($A:$A,patch[[#This Row],[number]],$S:$S, "FL And dev",$AD:$AD, "&lt;&gt;IntegratorValidationComment"))</f>
        <v/>
      </c>
      <c r="AB1458" s="7" t="str">
        <f>IF(ISBLANK(patch[[#This Row],[project]]), "",COUNTIFS($A:$A,patch[[#This Row],[number]],$S:$S, "SH And dev",$AD:$AD, "&lt;&gt;IntegratorValidationComment"))</f>
        <v/>
      </c>
      <c r="AC1458" s="7" t="str">
        <f>IF(OR(ISNUMBER(FIND("Review-1", patch[[#This Row],[comments]])), ISNUMBER(FIND("Approver-1", patch[[#This Row],[comments]]))), "Review-1", "")</f>
        <v/>
      </c>
      <c r="AD14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58" s="7">
        <f>IF(ISBLANK(patch[[#This Row],[number]]),AE1457,patch[[#This Row],[ifCommon]])</f>
        <v>0</v>
      </c>
    </row>
    <row r="1459" spans="1:31">
      <c r="A1459" s="151">
        <v>146163</v>
      </c>
      <c r="B1459" s="151"/>
      <c r="C1459" s="151"/>
      <c r="D1459" s="151"/>
      <c r="E1459" s="151"/>
      <c r="F1459" s="151"/>
      <c r="G1459" s="151"/>
      <c r="H1459" s="151"/>
      <c r="I1459" s="151"/>
      <c r="J1459" s="152">
        <v>42632.758344907408</v>
      </c>
      <c r="K1459" s="151"/>
      <c r="L1459" s="151" t="s">
        <v>24</v>
      </c>
      <c r="M1459" s="152">
        <v>42631.752500000002</v>
      </c>
      <c r="N1459" s="151" t="s">
        <v>40</v>
      </c>
      <c r="O1459" s="151"/>
      <c r="P1459" s="151"/>
      <c r="Q1459" s="7" t="str">
        <f>IF(ISBLANK(patch[[#This Row],[OwnerEmail]]),Q1458,patch[[#This Row],[OwnerEmail]])</f>
        <v>qingwu.zhang@intel.com</v>
      </c>
      <c r="R1459" s="7" t="str">
        <f>_xlfn.IFNA(VLOOKUP(patch[[#This Row],[tmp-owner.email]],OrgTree!$A:$K, 11, 0), "not ICG SWFW")</f>
        <v>BJ And dev</v>
      </c>
      <c r="S1459" s="7" t="str">
        <f>IF(patch[[#This Row],[reviewer]]=patch[[#This Row],[tmp-owner.email]], "author", _xlfn.IFNA(VLOOKUP(patch[[#This Row],[reviewer]],OrgTree!$A:$K, 11, 0), "not ICG SWFW"))</f>
        <v>author</v>
      </c>
      <c r="T1459" s="7" t="str">
        <f>IF(ISBLANK(patch[[#This Row],[mergeDate]]), "", MID(YEAR(patch[[#This Row],[mergeDate]]), 3,2)&amp;"'ww"&amp;WEEKNUM(patch[[#This Row],[mergeDate]]))</f>
        <v>16'ww39</v>
      </c>
      <c r="U1459" s="7" t="str">
        <f>IF(ISBLANK(patch[[#This Row],[mergeDate]]), U1458, MID(YEAR(patch[[#This Row],[mergeDate]]), 3,2)&amp;"'m"&amp;MONTH(patch[[#This Row],[mergeDate]]))</f>
        <v>16'm9</v>
      </c>
      <c r="V1459" s="7" t="str">
        <f>IF(ISBLANK(patch[[#This Row],[project]]), "",SUM(patch[[#This Row],[BJ -1 num]:[SH -1 num]]))</f>
        <v/>
      </c>
      <c r="W1459" s="7" t="str">
        <f>IF(ISBLANK(patch[[#This Row],[project]]), "",COUNTIFS($A:$A,patch[[#This Row],[number]],$S:$S, "BJ And dev",$AC:$AC, "Review-1"))</f>
        <v/>
      </c>
      <c r="X1459" s="7" t="str">
        <f>IF(ISBLANK(patch[[#This Row],[project]]), "",COUNTIFS($A:$A,patch[[#This Row],[number]],$S:$S, "FL And dev",$AC:$AC, "Review-1"))</f>
        <v/>
      </c>
      <c r="Y1459" s="7" t="str">
        <f>IF(ISBLANK(patch[[#This Row],[project]]), "",COUNTIFS($A:$A,patch[[#This Row],[number]],$S:$S, "SH And dev",$AC:$AC, "Review-1"))</f>
        <v/>
      </c>
      <c r="Z1459" s="7" t="str">
        <f>IF(ISBLANK(patch[[#This Row],[project]]), "",COUNTIFS($A:$A,patch[[#This Row],[number]],$S:$S, "BJ And dev",$AD:$AD, "&lt;&gt;IntegratorValidationComment"))</f>
        <v/>
      </c>
      <c r="AA1459" s="7" t="str">
        <f>IF(ISBLANK(patch[[#This Row],[project]]), "",COUNTIFS($A:$A,patch[[#This Row],[number]],$S:$S, "FL And dev",$AD:$AD, "&lt;&gt;IntegratorValidationComment"))</f>
        <v/>
      </c>
      <c r="AB1459" s="7" t="str">
        <f>IF(ISBLANK(patch[[#This Row],[project]]), "",COUNTIFS($A:$A,patch[[#This Row],[number]],$S:$S, "SH And dev",$AD:$AD, "&lt;&gt;IntegratorValidationComment"))</f>
        <v/>
      </c>
      <c r="AC1459" s="7" t="str">
        <f>IF(OR(ISNUMBER(FIND("Review-1", patch[[#This Row],[comments]])), ISNUMBER(FIND("Approver-1", patch[[#This Row],[comments]]))), "Review-1", "")</f>
        <v/>
      </c>
      <c r="AD14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59" s="7">
        <f>IF(ISBLANK(patch[[#This Row],[number]]),AE1458,patch[[#This Row],[ifCommon]])</f>
        <v>0</v>
      </c>
    </row>
    <row r="1460" spans="1:31">
      <c r="A1460" s="151">
        <v>146163</v>
      </c>
      <c r="B1460" s="151"/>
      <c r="C1460" s="151"/>
      <c r="D1460" s="151"/>
      <c r="E1460" s="151"/>
      <c r="F1460" s="151"/>
      <c r="G1460" s="151"/>
      <c r="H1460" s="151"/>
      <c r="I1460" s="151"/>
      <c r="J1460" s="152">
        <v>42632.758344907408</v>
      </c>
      <c r="K1460" s="151"/>
      <c r="L1460" s="151" t="s">
        <v>59</v>
      </c>
      <c r="M1460" s="152">
        <v>42631.76221064815</v>
      </c>
      <c r="N1460" s="151" t="s">
        <v>40</v>
      </c>
      <c r="O1460" s="151"/>
      <c r="P1460" s="151"/>
      <c r="Q1460" s="7" t="str">
        <f>IF(ISBLANK(patch[[#This Row],[OwnerEmail]]),Q1459,patch[[#This Row],[OwnerEmail]])</f>
        <v>qingwu.zhang@intel.com</v>
      </c>
      <c r="R1460" s="7" t="str">
        <f>_xlfn.IFNA(VLOOKUP(patch[[#This Row],[tmp-owner.email]],OrgTree!$A:$K, 11, 0), "not ICG SWFW")</f>
        <v>BJ And dev</v>
      </c>
      <c r="S1460" s="7" t="str">
        <f>IF(patch[[#This Row],[reviewer]]=patch[[#This Row],[tmp-owner.email]], "author", _xlfn.IFNA(VLOOKUP(patch[[#This Row],[reviewer]],OrgTree!$A:$K, 11, 0), "not ICG SWFW"))</f>
        <v>BJ And dev</v>
      </c>
      <c r="T1460" s="7" t="str">
        <f>IF(ISBLANK(patch[[#This Row],[mergeDate]]), "", MID(YEAR(patch[[#This Row],[mergeDate]]), 3,2)&amp;"'ww"&amp;WEEKNUM(patch[[#This Row],[mergeDate]]))</f>
        <v>16'ww39</v>
      </c>
      <c r="U1460" s="7" t="str">
        <f>IF(ISBLANK(patch[[#This Row],[mergeDate]]), U1459, MID(YEAR(patch[[#This Row],[mergeDate]]), 3,2)&amp;"'m"&amp;MONTH(patch[[#This Row],[mergeDate]]))</f>
        <v>16'm9</v>
      </c>
      <c r="V1460" s="7" t="str">
        <f>IF(ISBLANK(patch[[#This Row],[project]]), "",SUM(patch[[#This Row],[BJ -1 num]:[SH -1 num]]))</f>
        <v/>
      </c>
      <c r="W1460" s="7" t="str">
        <f>IF(ISBLANK(patch[[#This Row],[project]]), "",COUNTIFS($A:$A,patch[[#This Row],[number]],$S:$S, "BJ And dev",$AC:$AC, "Review-1"))</f>
        <v/>
      </c>
      <c r="X1460" s="7" t="str">
        <f>IF(ISBLANK(patch[[#This Row],[project]]), "",COUNTIFS($A:$A,patch[[#This Row],[number]],$S:$S, "FL And dev",$AC:$AC, "Review-1"))</f>
        <v/>
      </c>
      <c r="Y1460" s="7" t="str">
        <f>IF(ISBLANK(patch[[#This Row],[project]]), "",COUNTIFS($A:$A,patch[[#This Row],[number]],$S:$S, "SH And dev",$AC:$AC, "Review-1"))</f>
        <v/>
      </c>
      <c r="Z1460" s="7" t="str">
        <f>IF(ISBLANK(patch[[#This Row],[project]]), "",COUNTIFS($A:$A,patch[[#This Row],[number]],$S:$S, "BJ And dev",$AD:$AD, "&lt;&gt;IntegratorValidationComment"))</f>
        <v/>
      </c>
      <c r="AA1460" s="7" t="str">
        <f>IF(ISBLANK(patch[[#This Row],[project]]), "",COUNTIFS($A:$A,patch[[#This Row],[number]],$S:$S, "FL And dev",$AD:$AD, "&lt;&gt;IntegratorValidationComment"))</f>
        <v/>
      </c>
      <c r="AB1460" s="7" t="str">
        <f>IF(ISBLANK(patch[[#This Row],[project]]), "",COUNTIFS($A:$A,patch[[#This Row],[number]],$S:$S, "SH And dev",$AD:$AD, "&lt;&gt;IntegratorValidationComment"))</f>
        <v/>
      </c>
      <c r="AC1460" s="7" t="str">
        <f>IF(OR(ISNUMBER(FIND("Review-1", patch[[#This Row],[comments]])), ISNUMBER(FIND("Approver-1", patch[[#This Row],[comments]]))), "Review-1", "")</f>
        <v/>
      </c>
      <c r="AD14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60" s="7">
        <f>IF(ISBLANK(patch[[#This Row],[number]]),AE1459,patch[[#This Row],[ifCommon]])</f>
        <v>0</v>
      </c>
    </row>
    <row r="1461" spans="1:31">
      <c r="A1461" s="151">
        <v>146163</v>
      </c>
      <c r="B1461" s="151"/>
      <c r="C1461" s="151"/>
      <c r="D1461" s="151"/>
      <c r="E1461" s="151"/>
      <c r="F1461" s="151"/>
      <c r="G1461" s="151"/>
      <c r="H1461" s="151"/>
      <c r="I1461" s="151"/>
      <c r="J1461" s="152">
        <v>42632.758344907408</v>
      </c>
      <c r="K1461" s="151"/>
      <c r="L1461" s="151" t="s">
        <v>59</v>
      </c>
      <c r="M1461" s="152">
        <v>42631.769375000003</v>
      </c>
      <c r="N1461" s="151" t="s">
        <v>58</v>
      </c>
      <c r="O1461" s="151"/>
      <c r="P1461" s="151"/>
      <c r="Q1461" s="7" t="str">
        <f>IF(ISBLANK(patch[[#This Row],[OwnerEmail]]),Q1460,patch[[#This Row],[OwnerEmail]])</f>
        <v>qingwu.zhang@intel.com</v>
      </c>
      <c r="R1461" s="7" t="str">
        <f>_xlfn.IFNA(VLOOKUP(patch[[#This Row],[tmp-owner.email]],OrgTree!$A:$K, 11, 0), "not ICG SWFW")</f>
        <v>BJ And dev</v>
      </c>
      <c r="S1461" s="7" t="str">
        <f>IF(patch[[#This Row],[reviewer]]=patch[[#This Row],[tmp-owner.email]], "author", _xlfn.IFNA(VLOOKUP(patch[[#This Row],[reviewer]],OrgTree!$A:$K, 11, 0), "not ICG SWFW"))</f>
        <v>BJ And dev</v>
      </c>
      <c r="T1461" s="7" t="str">
        <f>IF(ISBLANK(patch[[#This Row],[mergeDate]]), "", MID(YEAR(patch[[#This Row],[mergeDate]]), 3,2)&amp;"'ww"&amp;WEEKNUM(patch[[#This Row],[mergeDate]]))</f>
        <v>16'ww39</v>
      </c>
      <c r="U1461" s="7" t="str">
        <f>IF(ISBLANK(patch[[#This Row],[mergeDate]]), U1460, MID(YEAR(patch[[#This Row],[mergeDate]]), 3,2)&amp;"'m"&amp;MONTH(patch[[#This Row],[mergeDate]]))</f>
        <v>16'm9</v>
      </c>
      <c r="V1461" s="7" t="str">
        <f>IF(ISBLANK(patch[[#This Row],[project]]), "",SUM(patch[[#This Row],[BJ -1 num]:[SH -1 num]]))</f>
        <v/>
      </c>
      <c r="W1461" s="7" t="str">
        <f>IF(ISBLANK(patch[[#This Row],[project]]), "",COUNTIFS($A:$A,patch[[#This Row],[number]],$S:$S, "BJ And dev",$AC:$AC, "Review-1"))</f>
        <v/>
      </c>
      <c r="X1461" s="7" t="str">
        <f>IF(ISBLANK(patch[[#This Row],[project]]), "",COUNTIFS($A:$A,patch[[#This Row],[number]],$S:$S, "FL And dev",$AC:$AC, "Review-1"))</f>
        <v/>
      </c>
      <c r="Y1461" s="7" t="str">
        <f>IF(ISBLANK(patch[[#This Row],[project]]), "",COUNTIFS($A:$A,patch[[#This Row],[number]],$S:$S, "SH And dev",$AC:$AC, "Review-1"))</f>
        <v/>
      </c>
      <c r="Z1461" s="7" t="str">
        <f>IF(ISBLANK(patch[[#This Row],[project]]), "",COUNTIFS($A:$A,patch[[#This Row],[number]],$S:$S, "BJ And dev",$AD:$AD, "&lt;&gt;IntegratorValidationComment"))</f>
        <v/>
      </c>
      <c r="AA1461" s="7" t="str">
        <f>IF(ISBLANK(patch[[#This Row],[project]]), "",COUNTIFS($A:$A,patch[[#This Row],[number]],$S:$S, "FL And dev",$AD:$AD, "&lt;&gt;IntegratorValidationComment"))</f>
        <v/>
      </c>
      <c r="AB1461" s="7" t="str">
        <f>IF(ISBLANK(patch[[#This Row],[project]]), "",COUNTIFS($A:$A,patch[[#This Row],[number]],$S:$S, "SH And dev",$AD:$AD, "&lt;&gt;IntegratorValidationComment"))</f>
        <v/>
      </c>
      <c r="AC1461" s="7" t="str">
        <f>IF(OR(ISNUMBER(FIND("Review-1", patch[[#This Row],[comments]])), ISNUMBER(FIND("Approver-1", patch[[#This Row],[comments]]))), "Review-1", "")</f>
        <v/>
      </c>
      <c r="AD14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61" s="7">
        <f>IF(ISBLANK(patch[[#This Row],[number]]),AE1460,patch[[#This Row],[ifCommon]])</f>
        <v>0</v>
      </c>
    </row>
    <row r="1462" spans="1:31">
      <c r="A1462" s="151">
        <v>146163</v>
      </c>
      <c r="B1462" s="151"/>
      <c r="C1462" s="151"/>
      <c r="D1462" s="151"/>
      <c r="E1462" s="151"/>
      <c r="F1462" s="151"/>
      <c r="G1462" s="151"/>
      <c r="H1462" s="151"/>
      <c r="I1462" s="151"/>
      <c r="J1462" s="152">
        <v>42632.758344907408</v>
      </c>
      <c r="K1462" s="151"/>
      <c r="L1462" s="151" t="s">
        <v>59</v>
      </c>
      <c r="M1462" s="152">
        <v>42631.794629629629</v>
      </c>
      <c r="N1462" s="151" t="s">
        <v>3302</v>
      </c>
      <c r="O1462" s="151"/>
      <c r="P1462" s="151"/>
      <c r="Q1462" s="7" t="str">
        <f>IF(ISBLANK(patch[[#This Row],[OwnerEmail]]),Q1461,patch[[#This Row],[OwnerEmail]])</f>
        <v>qingwu.zhang@intel.com</v>
      </c>
      <c r="R1462" s="7" t="str">
        <f>_xlfn.IFNA(VLOOKUP(patch[[#This Row],[tmp-owner.email]],OrgTree!$A:$K, 11, 0), "not ICG SWFW")</f>
        <v>BJ And dev</v>
      </c>
      <c r="S1462" s="7" t="str">
        <f>IF(patch[[#This Row],[reviewer]]=patch[[#This Row],[tmp-owner.email]], "author", _xlfn.IFNA(VLOOKUP(patch[[#This Row],[reviewer]],OrgTree!$A:$K, 11, 0), "not ICG SWFW"))</f>
        <v>BJ And dev</v>
      </c>
      <c r="T1462" s="7" t="str">
        <f>IF(ISBLANK(patch[[#This Row],[mergeDate]]), "", MID(YEAR(patch[[#This Row],[mergeDate]]), 3,2)&amp;"'ww"&amp;WEEKNUM(patch[[#This Row],[mergeDate]]))</f>
        <v>16'ww39</v>
      </c>
      <c r="U1462" s="7" t="str">
        <f>IF(ISBLANK(patch[[#This Row],[mergeDate]]), U1461, MID(YEAR(patch[[#This Row],[mergeDate]]), 3,2)&amp;"'m"&amp;MONTH(patch[[#This Row],[mergeDate]]))</f>
        <v>16'm9</v>
      </c>
      <c r="V1462" s="7" t="str">
        <f>IF(ISBLANK(patch[[#This Row],[project]]), "",SUM(patch[[#This Row],[BJ -1 num]:[SH -1 num]]))</f>
        <v/>
      </c>
      <c r="W1462" s="7" t="str">
        <f>IF(ISBLANK(patch[[#This Row],[project]]), "",COUNTIFS($A:$A,patch[[#This Row],[number]],$S:$S, "BJ And dev",$AC:$AC, "Review-1"))</f>
        <v/>
      </c>
      <c r="X1462" s="7" t="str">
        <f>IF(ISBLANK(patch[[#This Row],[project]]), "",COUNTIFS($A:$A,patch[[#This Row],[number]],$S:$S, "FL And dev",$AC:$AC, "Review-1"))</f>
        <v/>
      </c>
      <c r="Y1462" s="7" t="str">
        <f>IF(ISBLANK(patch[[#This Row],[project]]), "",COUNTIFS($A:$A,patch[[#This Row],[number]],$S:$S, "SH And dev",$AC:$AC, "Review-1"))</f>
        <v/>
      </c>
      <c r="Z1462" s="7" t="str">
        <f>IF(ISBLANK(patch[[#This Row],[project]]), "",COUNTIFS($A:$A,patch[[#This Row],[number]],$S:$S, "BJ And dev",$AD:$AD, "&lt;&gt;IntegratorValidationComment"))</f>
        <v/>
      </c>
      <c r="AA1462" s="7" t="str">
        <f>IF(ISBLANK(patch[[#This Row],[project]]), "",COUNTIFS($A:$A,patch[[#This Row],[number]],$S:$S, "FL And dev",$AD:$AD, "&lt;&gt;IntegratorValidationComment"))</f>
        <v/>
      </c>
      <c r="AB1462" s="7" t="str">
        <f>IF(ISBLANK(patch[[#This Row],[project]]), "",COUNTIFS($A:$A,patch[[#This Row],[number]],$S:$S, "SH And dev",$AD:$AD, "&lt;&gt;IntegratorValidationComment"))</f>
        <v/>
      </c>
      <c r="AC1462" s="7" t="str">
        <f>IF(OR(ISNUMBER(FIND("Review-1", patch[[#This Row],[comments]])), ISNUMBER(FIND("Approver-1", patch[[#This Row],[comments]]))), "Review-1", "")</f>
        <v/>
      </c>
      <c r="AD14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62" s="7">
        <f>IF(ISBLANK(patch[[#This Row],[number]]),AE1461,patch[[#This Row],[ifCommon]])</f>
        <v>0</v>
      </c>
    </row>
    <row r="1463" spans="1:31">
      <c r="A1463" s="151">
        <v>146163</v>
      </c>
      <c r="B1463" s="151"/>
      <c r="C1463" s="151"/>
      <c r="D1463" s="151"/>
      <c r="E1463" s="151"/>
      <c r="F1463" s="151"/>
      <c r="G1463" s="151"/>
      <c r="H1463" s="151"/>
      <c r="I1463" s="152"/>
      <c r="J1463" s="152">
        <v>42632.758344907408</v>
      </c>
      <c r="K1463" s="151"/>
      <c r="L1463" s="151" t="s">
        <v>59</v>
      </c>
      <c r="M1463" s="152">
        <v>42631.840162037042</v>
      </c>
      <c r="N1463" s="151" t="s">
        <v>3303</v>
      </c>
      <c r="O1463" s="151"/>
      <c r="P1463" s="151"/>
      <c r="Q1463" s="7" t="str">
        <f>IF(ISBLANK(patch[[#This Row],[OwnerEmail]]),Q1462,patch[[#This Row],[OwnerEmail]])</f>
        <v>qingwu.zhang@intel.com</v>
      </c>
      <c r="R1463" s="7" t="str">
        <f>_xlfn.IFNA(VLOOKUP(patch[[#This Row],[tmp-owner.email]],OrgTree!$A:$K, 11, 0), "not ICG SWFW")</f>
        <v>BJ And dev</v>
      </c>
      <c r="S1463" s="7" t="str">
        <f>IF(patch[[#This Row],[reviewer]]=patch[[#This Row],[tmp-owner.email]], "author", _xlfn.IFNA(VLOOKUP(patch[[#This Row],[reviewer]],OrgTree!$A:$K, 11, 0), "not ICG SWFW"))</f>
        <v>BJ And dev</v>
      </c>
      <c r="T1463" s="7" t="str">
        <f>IF(ISBLANK(patch[[#This Row],[mergeDate]]), "", MID(YEAR(patch[[#This Row],[mergeDate]]), 3,2)&amp;"'ww"&amp;WEEKNUM(patch[[#This Row],[mergeDate]]))</f>
        <v>16'ww39</v>
      </c>
      <c r="U1463" s="7" t="str">
        <f>IF(ISBLANK(patch[[#This Row],[mergeDate]]), U1462, MID(YEAR(patch[[#This Row],[mergeDate]]), 3,2)&amp;"'m"&amp;MONTH(patch[[#This Row],[mergeDate]]))</f>
        <v>16'm9</v>
      </c>
      <c r="V1463" s="7" t="str">
        <f>IF(ISBLANK(patch[[#This Row],[project]]), "",SUM(patch[[#This Row],[BJ -1 num]:[SH -1 num]]))</f>
        <v/>
      </c>
      <c r="W1463" s="7" t="str">
        <f>IF(ISBLANK(patch[[#This Row],[project]]), "",COUNTIFS($A:$A,patch[[#This Row],[number]],$S:$S, "BJ And dev",$AC:$AC, "Review-1"))</f>
        <v/>
      </c>
      <c r="X1463" s="7" t="str">
        <f>IF(ISBLANK(patch[[#This Row],[project]]), "",COUNTIFS($A:$A,patch[[#This Row],[number]],$S:$S, "FL And dev",$AC:$AC, "Review-1"))</f>
        <v/>
      </c>
      <c r="Y1463" s="7" t="str">
        <f>IF(ISBLANK(patch[[#This Row],[project]]), "",COUNTIFS($A:$A,patch[[#This Row],[number]],$S:$S, "SH And dev",$AC:$AC, "Review-1"))</f>
        <v/>
      </c>
      <c r="Z1463" s="7" t="str">
        <f>IF(ISBLANK(patch[[#This Row],[project]]), "",COUNTIFS($A:$A,patch[[#This Row],[number]],$S:$S, "BJ And dev",$AD:$AD, "&lt;&gt;IntegratorValidationComment"))</f>
        <v/>
      </c>
      <c r="AA1463" s="7" t="str">
        <f>IF(ISBLANK(patch[[#This Row],[project]]), "",COUNTIFS($A:$A,patch[[#This Row],[number]],$S:$S, "FL And dev",$AD:$AD, "&lt;&gt;IntegratorValidationComment"))</f>
        <v/>
      </c>
      <c r="AB1463" s="7" t="str">
        <f>IF(ISBLANK(patch[[#This Row],[project]]), "",COUNTIFS($A:$A,patch[[#This Row],[number]],$S:$S, "SH And dev",$AD:$AD, "&lt;&gt;IntegratorValidationComment"))</f>
        <v/>
      </c>
      <c r="AC1463" s="7" t="str">
        <f>IF(OR(ISNUMBER(FIND("Review-1", patch[[#This Row],[comments]])), ISNUMBER(FIND("Approver-1", patch[[#This Row],[comments]]))), "Review-1", "")</f>
        <v/>
      </c>
      <c r="AD14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63" s="7">
        <f>IF(ISBLANK(patch[[#This Row],[number]]),AE1462,patch[[#This Row],[ifCommon]])</f>
        <v>0</v>
      </c>
    </row>
    <row r="1464" spans="1:31">
      <c r="A1464" s="151">
        <v>146163</v>
      </c>
      <c r="B1464" s="151"/>
      <c r="C1464" s="151"/>
      <c r="D1464" s="151"/>
      <c r="E1464" s="151"/>
      <c r="F1464" s="151"/>
      <c r="G1464" s="151"/>
      <c r="H1464" s="151"/>
      <c r="I1464" s="151"/>
      <c r="J1464" s="152">
        <v>42632.758344907408</v>
      </c>
      <c r="K1464" s="151"/>
      <c r="L1464" s="151" t="s">
        <v>115</v>
      </c>
      <c r="M1464" s="152">
        <v>42632.616493055553</v>
      </c>
      <c r="N1464" s="151" t="s">
        <v>2494</v>
      </c>
      <c r="O1464" s="151"/>
      <c r="P1464" s="151"/>
      <c r="Q1464" s="7" t="str">
        <f>IF(ISBLANK(patch[[#This Row],[OwnerEmail]]),Q1463,patch[[#This Row],[OwnerEmail]])</f>
        <v>qingwu.zhang@intel.com</v>
      </c>
      <c r="R1464" s="7" t="str">
        <f>_xlfn.IFNA(VLOOKUP(patch[[#This Row],[tmp-owner.email]],OrgTree!$A:$K, 11, 0), "not ICG SWFW")</f>
        <v>BJ And dev</v>
      </c>
      <c r="S1464" s="7" t="str">
        <f>IF(patch[[#This Row],[reviewer]]=patch[[#This Row],[tmp-owner.email]], "author", _xlfn.IFNA(VLOOKUP(patch[[#This Row],[reviewer]],OrgTree!$A:$K, 11, 0), "not ICG SWFW"))</f>
        <v>Val</v>
      </c>
      <c r="T1464" s="7" t="str">
        <f>IF(ISBLANK(patch[[#This Row],[mergeDate]]), "", MID(YEAR(patch[[#This Row],[mergeDate]]), 3,2)&amp;"'ww"&amp;WEEKNUM(patch[[#This Row],[mergeDate]]))</f>
        <v>16'ww39</v>
      </c>
      <c r="U1464" s="7" t="str">
        <f>IF(ISBLANK(patch[[#This Row],[mergeDate]]), U1463, MID(YEAR(patch[[#This Row],[mergeDate]]), 3,2)&amp;"'m"&amp;MONTH(patch[[#This Row],[mergeDate]]))</f>
        <v>16'm9</v>
      </c>
      <c r="V1464" s="7" t="str">
        <f>IF(ISBLANK(patch[[#This Row],[project]]), "",SUM(patch[[#This Row],[BJ -1 num]:[SH -1 num]]))</f>
        <v/>
      </c>
      <c r="W1464" s="7" t="str">
        <f>IF(ISBLANK(patch[[#This Row],[project]]), "",COUNTIFS($A:$A,patch[[#This Row],[number]],$S:$S, "BJ And dev",$AC:$AC, "Review-1"))</f>
        <v/>
      </c>
      <c r="X1464" s="7" t="str">
        <f>IF(ISBLANK(patch[[#This Row],[project]]), "",COUNTIFS($A:$A,patch[[#This Row],[number]],$S:$S, "FL And dev",$AC:$AC, "Review-1"))</f>
        <v/>
      </c>
      <c r="Y1464" s="7" t="str">
        <f>IF(ISBLANK(patch[[#This Row],[project]]), "",COUNTIFS($A:$A,patch[[#This Row],[number]],$S:$S, "SH And dev",$AC:$AC, "Review-1"))</f>
        <v/>
      </c>
      <c r="Z1464" s="7" t="str">
        <f>IF(ISBLANK(patch[[#This Row],[project]]), "",COUNTIFS($A:$A,patch[[#This Row],[number]],$S:$S, "BJ And dev",$AD:$AD, "&lt;&gt;IntegratorValidationComment"))</f>
        <v/>
      </c>
      <c r="AA1464" s="7" t="str">
        <f>IF(ISBLANK(patch[[#This Row],[project]]), "",COUNTIFS($A:$A,patch[[#This Row],[number]],$S:$S, "FL And dev",$AD:$AD, "&lt;&gt;IntegratorValidationComment"))</f>
        <v/>
      </c>
      <c r="AB1464" s="7" t="str">
        <f>IF(ISBLANK(patch[[#This Row],[project]]), "",COUNTIFS($A:$A,patch[[#This Row],[number]],$S:$S, "SH And dev",$AD:$AD, "&lt;&gt;IntegratorValidationComment"))</f>
        <v/>
      </c>
      <c r="AC1464" s="7" t="str">
        <f>IF(OR(ISNUMBER(FIND("Review-1", patch[[#This Row],[comments]])), ISNUMBER(FIND("Approver-1", patch[[#This Row],[comments]]))), "Review-1", "")</f>
        <v/>
      </c>
      <c r="AD14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464" s="7">
        <f>IF(ISBLANK(patch[[#This Row],[number]]),AE1463,patch[[#This Row],[ifCommon]])</f>
        <v>0</v>
      </c>
    </row>
    <row r="1465" spans="1:31">
      <c r="A1465" s="151">
        <v>146161</v>
      </c>
      <c r="B1465" s="151" t="s">
        <v>2490</v>
      </c>
      <c r="C1465" s="151" t="s">
        <v>2795</v>
      </c>
      <c r="D1465" s="151" t="s">
        <v>3304</v>
      </c>
      <c r="E1465" s="151" t="s">
        <v>24</v>
      </c>
      <c r="F1465" s="151" t="s">
        <v>23</v>
      </c>
      <c r="G1465" s="151" t="s">
        <v>3305</v>
      </c>
      <c r="H1465" s="151" t="s">
        <v>3306</v>
      </c>
      <c r="I1465" s="152">
        <v>42631.750856481478</v>
      </c>
      <c r="J1465" s="152">
        <v>42632.758298611108</v>
      </c>
      <c r="K1465" s="151" t="s">
        <v>2445</v>
      </c>
      <c r="L1465" s="151" t="s">
        <v>24</v>
      </c>
      <c r="M1465" s="152">
        <v>42631.750879629632</v>
      </c>
      <c r="N1465" s="151" t="s">
        <v>2428</v>
      </c>
      <c r="O1465" s="151"/>
      <c r="P1465" s="151" t="s">
        <v>59</v>
      </c>
      <c r="Q1465" s="7" t="str">
        <f>IF(ISBLANK(patch[[#This Row],[OwnerEmail]]),Q1464,patch[[#This Row],[OwnerEmail]])</f>
        <v>qingwu.zhang@intel.com</v>
      </c>
      <c r="R1465" s="7" t="str">
        <f>_xlfn.IFNA(VLOOKUP(patch[[#This Row],[tmp-owner.email]],OrgTree!$A:$K, 11, 0), "not ICG SWFW")</f>
        <v>BJ And dev</v>
      </c>
      <c r="S1465" s="7" t="str">
        <f>IF(patch[[#This Row],[reviewer]]=patch[[#This Row],[tmp-owner.email]], "author", _xlfn.IFNA(VLOOKUP(patch[[#This Row],[reviewer]],OrgTree!$A:$K, 11, 0), "not ICG SWFW"))</f>
        <v>author</v>
      </c>
      <c r="T1465" s="7" t="str">
        <f>IF(ISBLANK(patch[[#This Row],[mergeDate]]), "", MID(YEAR(patch[[#This Row],[mergeDate]]), 3,2)&amp;"'ww"&amp;WEEKNUM(patch[[#This Row],[mergeDate]]))</f>
        <v>16'ww39</v>
      </c>
      <c r="U1465" s="7" t="str">
        <f>IF(ISBLANK(patch[[#This Row],[mergeDate]]), U1464, MID(YEAR(patch[[#This Row],[mergeDate]]), 3,2)&amp;"'m"&amp;MONTH(patch[[#This Row],[mergeDate]]))</f>
        <v>16'm9</v>
      </c>
      <c r="V1465" s="7">
        <f>IF(ISBLANK(patch[[#This Row],[project]]), "",SUM(patch[[#This Row],[BJ -1 num]:[SH -1 num]]))</f>
        <v>0</v>
      </c>
      <c r="W1465" s="7">
        <f>IF(ISBLANK(patch[[#This Row],[project]]), "",COUNTIFS($A:$A,patch[[#This Row],[number]],$S:$S, "BJ And dev",$AC:$AC, "Review-1"))</f>
        <v>0</v>
      </c>
      <c r="X1465" s="7">
        <f>IF(ISBLANK(patch[[#This Row],[project]]), "",COUNTIFS($A:$A,patch[[#This Row],[number]],$S:$S, "FL And dev",$AC:$AC, "Review-1"))</f>
        <v>0</v>
      </c>
      <c r="Y1465" s="7">
        <f>IF(ISBLANK(patch[[#This Row],[project]]), "",COUNTIFS($A:$A,patch[[#This Row],[number]],$S:$S, "SH And dev",$AC:$AC, "Review-1"))</f>
        <v>0</v>
      </c>
      <c r="Z1465" s="7">
        <f>IF(ISBLANK(patch[[#This Row],[project]]), "",COUNTIFS($A:$A,patch[[#This Row],[number]],$S:$S, "BJ And dev",$AD:$AD, "&lt;&gt;IntegratorValidationComment"))</f>
        <v>4</v>
      </c>
      <c r="AA1465" s="7">
        <f>IF(ISBLANK(patch[[#This Row],[project]]), "",COUNTIFS($A:$A,patch[[#This Row],[number]],$S:$S, "FL And dev",$AD:$AD, "&lt;&gt;IntegratorValidationComment"))</f>
        <v>0</v>
      </c>
      <c r="AB1465" s="7">
        <f>IF(ISBLANK(patch[[#This Row],[project]]), "",COUNTIFS($A:$A,patch[[#This Row],[number]],$S:$S, "SH And dev",$AD:$AD, "&lt;&gt;IntegratorValidationComment"))</f>
        <v>0</v>
      </c>
      <c r="AC1465" s="7" t="str">
        <f>IF(OR(ISNUMBER(FIND("Review-1", patch[[#This Row],[comments]])), ISNUMBER(FIND("Approver-1", patch[[#This Row],[comments]]))), "Review-1", "")</f>
        <v/>
      </c>
      <c r="AD14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65" s="7" t="str">
        <f>IF(ISBLANK(patch[[#This Row],[number]]),AE1464,patch[[#This Row],[ifCommon]])</f>
        <v>not AndrHAL</v>
      </c>
    </row>
    <row r="1466" spans="1:31">
      <c r="A1466" s="151">
        <v>146161</v>
      </c>
      <c r="B1466" s="151"/>
      <c r="C1466" s="151"/>
      <c r="D1466" s="151"/>
      <c r="E1466" s="151"/>
      <c r="F1466" s="151"/>
      <c r="G1466" s="151"/>
      <c r="H1466" s="151"/>
      <c r="I1466" s="151"/>
      <c r="J1466" s="152">
        <v>42632.758298611108</v>
      </c>
      <c r="K1466" s="151"/>
      <c r="L1466" s="151" t="s">
        <v>24</v>
      </c>
      <c r="M1466" s="152">
        <v>42631.750879629632</v>
      </c>
      <c r="N1466" s="151" t="s">
        <v>3301</v>
      </c>
      <c r="O1466" s="151"/>
      <c r="P1466" s="151"/>
      <c r="Q1466" s="7" t="str">
        <f>IF(ISBLANK(patch[[#This Row],[OwnerEmail]]),Q1465,patch[[#This Row],[OwnerEmail]])</f>
        <v>qingwu.zhang@intel.com</v>
      </c>
      <c r="R1466" s="7" t="str">
        <f>_xlfn.IFNA(VLOOKUP(patch[[#This Row],[tmp-owner.email]],OrgTree!$A:$K, 11, 0), "not ICG SWFW")</f>
        <v>BJ And dev</v>
      </c>
      <c r="S1466" s="7" t="str">
        <f>IF(patch[[#This Row],[reviewer]]=patch[[#This Row],[tmp-owner.email]], "author", _xlfn.IFNA(VLOOKUP(patch[[#This Row],[reviewer]],OrgTree!$A:$K, 11, 0), "not ICG SWFW"))</f>
        <v>author</v>
      </c>
      <c r="T1466" s="7" t="str">
        <f>IF(ISBLANK(patch[[#This Row],[mergeDate]]), "", MID(YEAR(patch[[#This Row],[mergeDate]]), 3,2)&amp;"'ww"&amp;WEEKNUM(patch[[#This Row],[mergeDate]]))</f>
        <v>16'ww39</v>
      </c>
      <c r="U1466" s="7" t="str">
        <f>IF(ISBLANK(patch[[#This Row],[mergeDate]]), U1465, MID(YEAR(patch[[#This Row],[mergeDate]]), 3,2)&amp;"'m"&amp;MONTH(patch[[#This Row],[mergeDate]]))</f>
        <v>16'm9</v>
      </c>
      <c r="V1466" s="7" t="str">
        <f>IF(ISBLANK(patch[[#This Row],[project]]), "",SUM(patch[[#This Row],[BJ -1 num]:[SH -1 num]]))</f>
        <v/>
      </c>
      <c r="W1466" s="7" t="str">
        <f>IF(ISBLANK(patch[[#This Row],[project]]), "",COUNTIFS($A:$A,patch[[#This Row],[number]],$S:$S, "BJ And dev",$AC:$AC, "Review-1"))</f>
        <v/>
      </c>
      <c r="X1466" s="7" t="str">
        <f>IF(ISBLANK(patch[[#This Row],[project]]), "",COUNTIFS($A:$A,patch[[#This Row],[number]],$S:$S, "FL And dev",$AC:$AC, "Review-1"))</f>
        <v/>
      </c>
      <c r="Y1466" s="7" t="str">
        <f>IF(ISBLANK(patch[[#This Row],[project]]), "",COUNTIFS($A:$A,patch[[#This Row],[number]],$S:$S, "SH And dev",$AC:$AC, "Review-1"))</f>
        <v/>
      </c>
      <c r="Z1466" s="7" t="str">
        <f>IF(ISBLANK(patch[[#This Row],[project]]), "",COUNTIFS($A:$A,patch[[#This Row],[number]],$S:$S, "BJ And dev",$AD:$AD, "&lt;&gt;IntegratorValidationComment"))</f>
        <v/>
      </c>
      <c r="AA1466" s="7" t="str">
        <f>IF(ISBLANK(patch[[#This Row],[project]]), "",COUNTIFS($A:$A,patch[[#This Row],[number]],$S:$S, "FL And dev",$AD:$AD, "&lt;&gt;IntegratorValidationComment"))</f>
        <v/>
      </c>
      <c r="AB1466" s="7" t="str">
        <f>IF(ISBLANK(patch[[#This Row],[project]]), "",COUNTIFS($A:$A,patch[[#This Row],[number]],$S:$S, "SH And dev",$AD:$AD, "&lt;&gt;IntegratorValidationComment"))</f>
        <v/>
      </c>
      <c r="AC1466" s="7" t="str">
        <f>IF(OR(ISNUMBER(FIND("Review-1", patch[[#This Row],[comments]])), ISNUMBER(FIND("Approver-1", patch[[#This Row],[comments]]))), "Review-1", "")</f>
        <v/>
      </c>
      <c r="AD14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66" s="7">
        <f>IF(ISBLANK(patch[[#This Row],[number]]),AE1465,patch[[#This Row],[ifCommon]])</f>
        <v>0</v>
      </c>
    </row>
    <row r="1467" spans="1:31">
      <c r="A1467" s="151">
        <v>146161</v>
      </c>
      <c r="B1467" s="151"/>
      <c r="C1467" s="151"/>
      <c r="D1467" s="151"/>
      <c r="E1467" s="151"/>
      <c r="F1467" s="151"/>
      <c r="G1467" s="151"/>
      <c r="H1467" s="151"/>
      <c r="I1467" s="151"/>
      <c r="J1467" s="152">
        <v>42632.758298611108</v>
      </c>
      <c r="K1467" s="151"/>
      <c r="L1467" s="151" t="s">
        <v>24</v>
      </c>
      <c r="M1467" s="152">
        <v>42631.752974537027</v>
      </c>
      <c r="N1467" s="151" t="s">
        <v>40</v>
      </c>
      <c r="O1467" s="151"/>
      <c r="P1467" s="151"/>
      <c r="Q1467" s="7" t="str">
        <f>IF(ISBLANK(patch[[#This Row],[OwnerEmail]]),Q1466,patch[[#This Row],[OwnerEmail]])</f>
        <v>qingwu.zhang@intel.com</v>
      </c>
      <c r="R1467" s="7" t="str">
        <f>_xlfn.IFNA(VLOOKUP(patch[[#This Row],[tmp-owner.email]],OrgTree!$A:$K, 11, 0), "not ICG SWFW")</f>
        <v>BJ And dev</v>
      </c>
      <c r="S1467" s="7" t="str">
        <f>IF(patch[[#This Row],[reviewer]]=patch[[#This Row],[tmp-owner.email]], "author", _xlfn.IFNA(VLOOKUP(patch[[#This Row],[reviewer]],OrgTree!$A:$K, 11, 0), "not ICG SWFW"))</f>
        <v>author</v>
      </c>
      <c r="T1467" s="7" t="str">
        <f>IF(ISBLANK(patch[[#This Row],[mergeDate]]), "", MID(YEAR(patch[[#This Row],[mergeDate]]), 3,2)&amp;"'ww"&amp;WEEKNUM(patch[[#This Row],[mergeDate]]))</f>
        <v>16'ww39</v>
      </c>
      <c r="U1467" s="7" t="str">
        <f>IF(ISBLANK(patch[[#This Row],[mergeDate]]), U1466, MID(YEAR(patch[[#This Row],[mergeDate]]), 3,2)&amp;"'m"&amp;MONTH(patch[[#This Row],[mergeDate]]))</f>
        <v>16'm9</v>
      </c>
      <c r="V1467" s="7" t="str">
        <f>IF(ISBLANK(patch[[#This Row],[project]]), "",SUM(patch[[#This Row],[BJ -1 num]:[SH -1 num]]))</f>
        <v/>
      </c>
      <c r="W1467" s="7" t="str">
        <f>IF(ISBLANK(patch[[#This Row],[project]]), "",COUNTIFS($A:$A,patch[[#This Row],[number]],$S:$S, "BJ And dev",$AC:$AC, "Review-1"))</f>
        <v/>
      </c>
      <c r="X1467" s="7" t="str">
        <f>IF(ISBLANK(patch[[#This Row],[project]]), "",COUNTIFS($A:$A,patch[[#This Row],[number]],$S:$S, "FL And dev",$AC:$AC, "Review-1"))</f>
        <v/>
      </c>
      <c r="Y1467" s="7" t="str">
        <f>IF(ISBLANK(patch[[#This Row],[project]]), "",COUNTIFS($A:$A,patch[[#This Row],[number]],$S:$S, "SH And dev",$AC:$AC, "Review-1"))</f>
        <v/>
      </c>
      <c r="Z1467" s="7" t="str">
        <f>IF(ISBLANK(patch[[#This Row],[project]]), "",COUNTIFS($A:$A,patch[[#This Row],[number]],$S:$S, "BJ And dev",$AD:$AD, "&lt;&gt;IntegratorValidationComment"))</f>
        <v/>
      </c>
      <c r="AA1467" s="7" t="str">
        <f>IF(ISBLANK(patch[[#This Row],[project]]), "",COUNTIFS($A:$A,patch[[#This Row],[number]],$S:$S, "FL And dev",$AD:$AD, "&lt;&gt;IntegratorValidationComment"))</f>
        <v/>
      </c>
      <c r="AB1467" s="7" t="str">
        <f>IF(ISBLANK(patch[[#This Row],[project]]), "",COUNTIFS($A:$A,patch[[#This Row],[number]],$S:$S, "SH And dev",$AD:$AD, "&lt;&gt;IntegratorValidationComment"))</f>
        <v/>
      </c>
      <c r="AC1467" s="7" t="str">
        <f>IF(OR(ISNUMBER(FIND("Review-1", patch[[#This Row],[comments]])), ISNUMBER(FIND("Approver-1", patch[[#This Row],[comments]]))), "Review-1", "")</f>
        <v/>
      </c>
      <c r="AD14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67" s="7">
        <f>IF(ISBLANK(patch[[#This Row],[number]]),AE1466,patch[[#This Row],[ifCommon]])</f>
        <v>0</v>
      </c>
    </row>
    <row r="1468" spans="1:31">
      <c r="A1468" s="151">
        <v>146161</v>
      </c>
      <c r="B1468" s="151"/>
      <c r="C1468" s="151"/>
      <c r="D1468" s="151"/>
      <c r="E1468" s="151"/>
      <c r="F1468" s="151"/>
      <c r="G1468" s="151"/>
      <c r="H1468" s="151"/>
      <c r="I1468" s="151"/>
      <c r="J1468" s="152">
        <v>42632.758298611108</v>
      </c>
      <c r="K1468" s="151"/>
      <c r="L1468" s="151" t="s">
        <v>59</v>
      </c>
      <c r="M1468" s="152">
        <v>42631.762152777781</v>
      </c>
      <c r="N1468" s="151" t="s">
        <v>40</v>
      </c>
      <c r="O1468" s="151"/>
      <c r="P1468" s="151"/>
      <c r="Q1468" s="7" t="str">
        <f>IF(ISBLANK(patch[[#This Row],[OwnerEmail]]),Q1467,patch[[#This Row],[OwnerEmail]])</f>
        <v>qingwu.zhang@intel.com</v>
      </c>
      <c r="R1468" s="7" t="str">
        <f>_xlfn.IFNA(VLOOKUP(patch[[#This Row],[tmp-owner.email]],OrgTree!$A:$K, 11, 0), "not ICG SWFW")</f>
        <v>BJ And dev</v>
      </c>
      <c r="S1468" s="7" t="str">
        <f>IF(patch[[#This Row],[reviewer]]=patch[[#This Row],[tmp-owner.email]], "author", _xlfn.IFNA(VLOOKUP(patch[[#This Row],[reviewer]],OrgTree!$A:$K, 11, 0), "not ICG SWFW"))</f>
        <v>BJ And dev</v>
      </c>
      <c r="T1468" s="7" t="str">
        <f>IF(ISBLANK(patch[[#This Row],[mergeDate]]), "", MID(YEAR(patch[[#This Row],[mergeDate]]), 3,2)&amp;"'ww"&amp;WEEKNUM(patch[[#This Row],[mergeDate]]))</f>
        <v>16'ww39</v>
      </c>
      <c r="U1468" s="7" t="str">
        <f>IF(ISBLANK(patch[[#This Row],[mergeDate]]), U1467, MID(YEAR(patch[[#This Row],[mergeDate]]), 3,2)&amp;"'m"&amp;MONTH(patch[[#This Row],[mergeDate]]))</f>
        <v>16'm9</v>
      </c>
      <c r="V1468" s="7" t="str">
        <f>IF(ISBLANK(patch[[#This Row],[project]]), "",SUM(patch[[#This Row],[BJ -1 num]:[SH -1 num]]))</f>
        <v/>
      </c>
      <c r="W1468" s="7" t="str">
        <f>IF(ISBLANK(patch[[#This Row],[project]]), "",COUNTIFS($A:$A,patch[[#This Row],[number]],$S:$S, "BJ And dev",$AC:$AC, "Review-1"))</f>
        <v/>
      </c>
      <c r="X1468" s="7" t="str">
        <f>IF(ISBLANK(patch[[#This Row],[project]]), "",COUNTIFS($A:$A,patch[[#This Row],[number]],$S:$S, "FL And dev",$AC:$AC, "Review-1"))</f>
        <v/>
      </c>
      <c r="Y1468" s="7" t="str">
        <f>IF(ISBLANK(patch[[#This Row],[project]]), "",COUNTIFS($A:$A,patch[[#This Row],[number]],$S:$S, "SH And dev",$AC:$AC, "Review-1"))</f>
        <v/>
      </c>
      <c r="Z1468" s="7" t="str">
        <f>IF(ISBLANK(patch[[#This Row],[project]]), "",COUNTIFS($A:$A,patch[[#This Row],[number]],$S:$S, "BJ And dev",$AD:$AD, "&lt;&gt;IntegratorValidationComment"))</f>
        <v/>
      </c>
      <c r="AA1468" s="7" t="str">
        <f>IF(ISBLANK(patch[[#This Row],[project]]), "",COUNTIFS($A:$A,patch[[#This Row],[number]],$S:$S, "FL And dev",$AD:$AD, "&lt;&gt;IntegratorValidationComment"))</f>
        <v/>
      </c>
      <c r="AB1468" s="7" t="str">
        <f>IF(ISBLANK(patch[[#This Row],[project]]), "",COUNTIFS($A:$A,patch[[#This Row],[number]],$S:$S, "SH And dev",$AD:$AD, "&lt;&gt;IntegratorValidationComment"))</f>
        <v/>
      </c>
      <c r="AC1468" s="7" t="str">
        <f>IF(OR(ISNUMBER(FIND("Review-1", patch[[#This Row],[comments]])), ISNUMBER(FIND("Approver-1", patch[[#This Row],[comments]]))), "Review-1", "")</f>
        <v/>
      </c>
      <c r="AD14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68" s="7">
        <f>IF(ISBLANK(patch[[#This Row],[number]]),AE1467,patch[[#This Row],[ifCommon]])</f>
        <v>0</v>
      </c>
    </row>
    <row r="1469" spans="1:31">
      <c r="A1469" s="151">
        <v>146161</v>
      </c>
      <c r="B1469" s="151"/>
      <c r="C1469" s="151"/>
      <c r="D1469" s="151"/>
      <c r="E1469" s="151"/>
      <c r="F1469" s="151"/>
      <c r="G1469" s="151"/>
      <c r="H1469" s="151"/>
      <c r="I1469" s="151"/>
      <c r="J1469" s="152">
        <v>42632.758298611108</v>
      </c>
      <c r="K1469" s="151"/>
      <c r="L1469" s="151" t="s">
        <v>59</v>
      </c>
      <c r="M1469" s="152">
        <v>42631.769467592603</v>
      </c>
      <c r="N1469" s="151" t="s">
        <v>58</v>
      </c>
      <c r="O1469" s="151"/>
      <c r="P1469" s="151"/>
      <c r="Q1469" s="7" t="str">
        <f>IF(ISBLANK(patch[[#This Row],[OwnerEmail]]),Q1468,patch[[#This Row],[OwnerEmail]])</f>
        <v>qingwu.zhang@intel.com</v>
      </c>
      <c r="R1469" s="7" t="str">
        <f>_xlfn.IFNA(VLOOKUP(patch[[#This Row],[tmp-owner.email]],OrgTree!$A:$K, 11, 0), "not ICG SWFW")</f>
        <v>BJ And dev</v>
      </c>
      <c r="S1469" s="7" t="str">
        <f>IF(patch[[#This Row],[reviewer]]=patch[[#This Row],[tmp-owner.email]], "author", _xlfn.IFNA(VLOOKUP(patch[[#This Row],[reviewer]],OrgTree!$A:$K, 11, 0), "not ICG SWFW"))</f>
        <v>BJ And dev</v>
      </c>
      <c r="T1469" s="7" t="str">
        <f>IF(ISBLANK(patch[[#This Row],[mergeDate]]), "", MID(YEAR(patch[[#This Row],[mergeDate]]), 3,2)&amp;"'ww"&amp;WEEKNUM(patch[[#This Row],[mergeDate]]))</f>
        <v>16'ww39</v>
      </c>
      <c r="U1469" s="7" t="str">
        <f>IF(ISBLANK(patch[[#This Row],[mergeDate]]), U1468, MID(YEAR(patch[[#This Row],[mergeDate]]), 3,2)&amp;"'m"&amp;MONTH(patch[[#This Row],[mergeDate]]))</f>
        <v>16'm9</v>
      </c>
      <c r="V1469" s="7" t="str">
        <f>IF(ISBLANK(patch[[#This Row],[project]]), "",SUM(patch[[#This Row],[BJ -1 num]:[SH -1 num]]))</f>
        <v/>
      </c>
      <c r="W1469" s="7" t="str">
        <f>IF(ISBLANK(patch[[#This Row],[project]]), "",COUNTIFS($A:$A,patch[[#This Row],[number]],$S:$S, "BJ And dev",$AC:$AC, "Review-1"))</f>
        <v/>
      </c>
      <c r="X1469" s="7" t="str">
        <f>IF(ISBLANK(patch[[#This Row],[project]]), "",COUNTIFS($A:$A,patch[[#This Row],[number]],$S:$S, "FL And dev",$AC:$AC, "Review-1"))</f>
        <v/>
      </c>
      <c r="Y1469" s="7" t="str">
        <f>IF(ISBLANK(patch[[#This Row],[project]]), "",COUNTIFS($A:$A,patch[[#This Row],[number]],$S:$S, "SH And dev",$AC:$AC, "Review-1"))</f>
        <v/>
      </c>
      <c r="Z1469" s="7" t="str">
        <f>IF(ISBLANK(patch[[#This Row],[project]]), "",COUNTIFS($A:$A,patch[[#This Row],[number]],$S:$S, "BJ And dev",$AD:$AD, "&lt;&gt;IntegratorValidationComment"))</f>
        <v/>
      </c>
      <c r="AA1469" s="7" t="str">
        <f>IF(ISBLANK(patch[[#This Row],[project]]), "",COUNTIFS($A:$A,patch[[#This Row],[number]],$S:$S, "FL And dev",$AD:$AD, "&lt;&gt;IntegratorValidationComment"))</f>
        <v/>
      </c>
      <c r="AB1469" s="7" t="str">
        <f>IF(ISBLANK(patch[[#This Row],[project]]), "",COUNTIFS($A:$A,patch[[#This Row],[number]],$S:$S, "SH And dev",$AD:$AD, "&lt;&gt;IntegratorValidationComment"))</f>
        <v/>
      </c>
      <c r="AC1469" s="7" t="str">
        <f>IF(OR(ISNUMBER(FIND("Review-1", patch[[#This Row],[comments]])), ISNUMBER(FIND("Approver-1", patch[[#This Row],[comments]]))), "Review-1", "")</f>
        <v/>
      </c>
      <c r="AD14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69" s="7">
        <f>IF(ISBLANK(patch[[#This Row],[number]]),AE1468,patch[[#This Row],[ifCommon]])</f>
        <v>0</v>
      </c>
    </row>
    <row r="1470" spans="1:31">
      <c r="A1470" s="151">
        <v>146161</v>
      </c>
      <c r="B1470" s="151"/>
      <c r="C1470" s="151"/>
      <c r="D1470" s="151"/>
      <c r="E1470" s="151"/>
      <c r="F1470" s="151"/>
      <c r="G1470" s="151"/>
      <c r="H1470" s="151"/>
      <c r="I1470" s="151"/>
      <c r="J1470" s="152">
        <v>42632.758298611108</v>
      </c>
      <c r="K1470" s="151"/>
      <c r="L1470" s="151" t="s">
        <v>59</v>
      </c>
      <c r="M1470" s="152">
        <v>42631.793946759259</v>
      </c>
      <c r="N1470" s="151" t="s">
        <v>3307</v>
      </c>
      <c r="O1470" s="151"/>
      <c r="P1470" s="151"/>
      <c r="Q1470" s="7" t="str">
        <f>IF(ISBLANK(patch[[#This Row],[OwnerEmail]]),Q1469,patch[[#This Row],[OwnerEmail]])</f>
        <v>qingwu.zhang@intel.com</v>
      </c>
      <c r="R1470" s="7" t="str">
        <f>_xlfn.IFNA(VLOOKUP(patch[[#This Row],[tmp-owner.email]],OrgTree!$A:$K, 11, 0), "not ICG SWFW")</f>
        <v>BJ And dev</v>
      </c>
      <c r="S1470" s="7" t="str">
        <f>IF(patch[[#This Row],[reviewer]]=patch[[#This Row],[tmp-owner.email]], "author", _xlfn.IFNA(VLOOKUP(patch[[#This Row],[reviewer]],OrgTree!$A:$K, 11, 0), "not ICG SWFW"))</f>
        <v>BJ And dev</v>
      </c>
      <c r="T1470" s="7" t="str">
        <f>IF(ISBLANK(patch[[#This Row],[mergeDate]]), "", MID(YEAR(patch[[#This Row],[mergeDate]]), 3,2)&amp;"'ww"&amp;WEEKNUM(patch[[#This Row],[mergeDate]]))</f>
        <v>16'ww39</v>
      </c>
      <c r="U1470" s="7" t="str">
        <f>IF(ISBLANK(patch[[#This Row],[mergeDate]]), U1469, MID(YEAR(patch[[#This Row],[mergeDate]]), 3,2)&amp;"'m"&amp;MONTH(patch[[#This Row],[mergeDate]]))</f>
        <v>16'm9</v>
      </c>
      <c r="V1470" s="7" t="str">
        <f>IF(ISBLANK(patch[[#This Row],[project]]), "",SUM(patch[[#This Row],[BJ -1 num]:[SH -1 num]]))</f>
        <v/>
      </c>
      <c r="W1470" s="7" t="str">
        <f>IF(ISBLANK(patch[[#This Row],[project]]), "",COUNTIFS($A:$A,patch[[#This Row],[number]],$S:$S, "BJ And dev",$AC:$AC, "Review-1"))</f>
        <v/>
      </c>
      <c r="X1470" s="7" t="str">
        <f>IF(ISBLANK(patch[[#This Row],[project]]), "",COUNTIFS($A:$A,patch[[#This Row],[number]],$S:$S, "FL And dev",$AC:$AC, "Review-1"))</f>
        <v/>
      </c>
      <c r="Y1470" s="7" t="str">
        <f>IF(ISBLANK(patch[[#This Row],[project]]), "",COUNTIFS($A:$A,patch[[#This Row],[number]],$S:$S, "SH And dev",$AC:$AC, "Review-1"))</f>
        <v/>
      </c>
      <c r="Z1470" s="7" t="str">
        <f>IF(ISBLANK(patch[[#This Row],[project]]), "",COUNTIFS($A:$A,patch[[#This Row],[number]],$S:$S, "BJ And dev",$AD:$AD, "&lt;&gt;IntegratorValidationComment"))</f>
        <v/>
      </c>
      <c r="AA1470" s="7" t="str">
        <f>IF(ISBLANK(patch[[#This Row],[project]]), "",COUNTIFS($A:$A,patch[[#This Row],[number]],$S:$S, "FL And dev",$AD:$AD, "&lt;&gt;IntegratorValidationComment"))</f>
        <v/>
      </c>
      <c r="AB1470" s="7" t="str">
        <f>IF(ISBLANK(patch[[#This Row],[project]]), "",COUNTIFS($A:$A,patch[[#This Row],[number]],$S:$S, "SH And dev",$AD:$AD, "&lt;&gt;IntegratorValidationComment"))</f>
        <v/>
      </c>
      <c r="AC1470" s="7" t="str">
        <f>IF(OR(ISNUMBER(FIND("Review-1", patch[[#This Row],[comments]])), ISNUMBER(FIND("Approver-1", patch[[#This Row],[comments]]))), "Review-1", "")</f>
        <v/>
      </c>
      <c r="AD14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70" s="7">
        <f>IF(ISBLANK(patch[[#This Row],[number]]),AE1469,patch[[#This Row],[ifCommon]])</f>
        <v>0</v>
      </c>
    </row>
    <row r="1471" spans="1:31">
      <c r="A1471" s="151">
        <v>146161</v>
      </c>
      <c r="B1471" s="151"/>
      <c r="C1471" s="151"/>
      <c r="D1471" s="151"/>
      <c r="E1471" s="151"/>
      <c r="F1471" s="151"/>
      <c r="G1471" s="151"/>
      <c r="H1471" s="151"/>
      <c r="I1471" s="151"/>
      <c r="J1471" s="152">
        <v>42632.758298611108</v>
      </c>
      <c r="K1471" s="151"/>
      <c r="L1471" s="151" t="s">
        <v>59</v>
      </c>
      <c r="M1471" s="152">
        <v>42631.83798611111</v>
      </c>
      <c r="N1471" s="151" t="s">
        <v>3308</v>
      </c>
      <c r="O1471" s="151"/>
      <c r="P1471" s="151"/>
      <c r="Q1471" s="7" t="str">
        <f>IF(ISBLANK(patch[[#This Row],[OwnerEmail]]),Q1470,patch[[#This Row],[OwnerEmail]])</f>
        <v>qingwu.zhang@intel.com</v>
      </c>
      <c r="R1471" s="7" t="str">
        <f>_xlfn.IFNA(VLOOKUP(patch[[#This Row],[tmp-owner.email]],OrgTree!$A:$K, 11, 0), "not ICG SWFW")</f>
        <v>BJ And dev</v>
      </c>
      <c r="S1471" s="7" t="str">
        <f>IF(patch[[#This Row],[reviewer]]=patch[[#This Row],[tmp-owner.email]], "author", _xlfn.IFNA(VLOOKUP(patch[[#This Row],[reviewer]],OrgTree!$A:$K, 11, 0), "not ICG SWFW"))</f>
        <v>BJ And dev</v>
      </c>
      <c r="T1471" s="7" t="str">
        <f>IF(ISBLANK(patch[[#This Row],[mergeDate]]), "", MID(YEAR(patch[[#This Row],[mergeDate]]), 3,2)&amp;"'ww"&amp;WEEKNUM(patch[[#This Row],[mergeDate]]))</f>
        <v>16'ww39</v>
      </c>
      <c r="U1471" s="7" t="str">
        <f>IF(ISBLANK(patch[[#This Row],[mergeDate]]), U1470, MID(YEAR(patch[[#This Row],[mergeDate]]), 3,2)&amp;"'m"&amp;MONTH(patch[[#This Row],[mergeDate]]))</f>
        <v>16'm9</v>
      </c>
      <c r="V1471" s="7" t="str">
        <f>IF(ISBLANK(patch[[#This Row],[project]]), "",SUM(patch[[#This Row],[BJ -1 num]:[SH -1 num]]))</f>
        <v/>
      </c>
      <c r="W1471" s="7" t="str">
        <f>IF(ISBLANK(patch[[#This Row],[project]]), "",COUNTIFS($A:$A,patch[[#This Row],[number]],$S:$S, "BJ And dev",$AC:$AC, "Review-1"))</f>
        <v/>
      </c>
      <c r="X1471" s="7" t="str">
        <f>IF(ISBLANK(patch[[#This Row],[project]]), "",COUNTIFS($A:$A,patch[[#This Row],[number]],$S:$S, "FL And dev",$AC:$AC, "Review-1"))</f>
        <v/>
      </c>
      <c r="Y1471" s="7" t="str">
        <f>IF(ISBLANK(patch[[#This Row],[project]]), "",COUNTIFS($A:$A,patch[[#This Row],[number]],$S:$S, "SH And dev",$AC:$AC, "Review-1"))</f>
        <v/>
      </c>
      <c r="Z1471" s="7" t="str">
        <f>IF(ISBLANK(patch[[#This Row],[project]]), "",COUNTIFS($A:$A,patch[[#This Row],[number]],$S:$S, "BJ And dev",$AD:$AD, "&lt;&gt;IntegratorValidationComment"))</f>
        <v/>
      </c>
      <c r="AA1471" s="7" t="str">
        <f>IF(ISBLANK(patch[[#This Row],[project]]), "",COUNTIFS($A:$A,patch[[#This Row],[number]],$S:$S, "FL And dev",$AD:$AD, "&lt;&gt;IntegratorValidationComment"))</f>
        <v/>
      </c>
      <c r="AB1471" s="7" t="str">
        <f>IF(ISBLANK(patch[[#This Row],[project]]), "",COUNTIFS($A:$A,patch[[#This Row],[number]],$S:$S, "SH And dev",$AD:$AD, "&lt;&gt;IntegratorValidationComment"))</f>
        <v/>
      </c>
      <c r="AC1471" s="7" t="str">
        <f>IF(OR(ISNUMBER(FIND("Review-1", patch[[#This Row],[comments]])), ISNUMBER(FIND("Approver-1", patch[[#This Row],[comments]]))), "Review-1", "")</f>
        <v/>
      </c>
      <c r="AD14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71" s="7">
        <f>IF(ISBLANK(patch[[#This Row],[number]]),AE1470,patch[[#This Row],[ifCommon]])</f>
        <v>0</v>
      </c>
    </row>
    <row r="1472" spans="1:31">
      <c r="A1472" s="151">
        <v>146161</v>
      </c>
      <c r="B1472" s="151"/>
      <c r="C1472" s="151"/>
      <c r="D1472" s="151"/>
      <c r="E1472" s="151"/>
      <c r="F1472" s="151"/>
      <c r="G1472" s="151"/>
      <c r="H1472" s="151"/>
      <c r="I1472" s="151"/>
      <c r="J1472" s="152">
        <v>42632.758298611108</v>
      </c>
      <c r="K1472" s="151"/>
      <c r="L1472" s="151" t="s">
        <v>115</v>
      </c>
      <c r="M1472" s="152">
        <v>42632.617719907408</v>
      </c>
      <c r="N1472" s="151" t="s">
        <v>2494</v>
      </c>
      <c r="O1472" s="151"/>
      <c r="P1472" s="151"/>
      <c r="Q1472" s="7" t="str">
        <f>IF(ISBLANK(patch[[#This Row],[OwnerEmail]]),Q1471,patch[[#This Row],[OwnerEmail]])</f>
        <v>qingwu.zhang@intel.com</v>
      </c>
      <c r="R1472" s="7" t="str">
        <f>_xlfn.IFNA(VLOOKUP(patch[[#This Row],[tmp-owner.email]],OrgTree!$A:$K, 11, 0), "not ICG SWFW")</f>
        <v>BJ And dev</v>
      </c>
      <c r="S1472" s="7" t="str">
        <f>IF(patch[[#This Row],[reviewer]]=patch[[#This Row],[tmp-owner.email]], "author", _xlfn.IFNA(VLOOKUP(patch[[#This Row],[reviewer]],OrgTree!$A:$K, 11, 0), "not ICG SWFW"))</f>
        <v>Val</v>
      </c>
      <c r="T1472" s="7" t="str">
        <f>IF(ISBLANK(patch[[#This Row],[mergeDate]]), "", MID(YEAR(patch[[#This Row],[mergeDate]]), 3,2)&amp;"'ww"&amp;WEEKNUM(patch[[#This Row],[mergeDate]]))</f>
        <v>16'ww39</v>
      </c>
      <c r="U1472" s="7" t="str">
        <f>IF(ISBLANK(patch[[#This Row],[mergeDate]]), U1471, MID(YEAR(patch[[#This Row],[mergeDate]]), 3,2)&amp;"'m"&amp;MONTH(patch[[#This Row],[mergeDate]]))</f>
        <v>16'm9</v>
      </c>
      <c r="V1472" s="7" t="str">
        <f>IF(ISBLANK(patch[[#This Row],[project]]), "",SUM(patch[[#This Row],[BJ -1 num]:[SH -1 num]]))</f>
        <v/>
      </c>
      <c r="W1472" s="7" t="str">
        <f>IF(ISBLANK(patch[[#This Row],[project]]), "",COUNTIFS($A:$A,patch[[#This Row],[number]],$S:$S, "BJ And dev",$AC:$AC, "Review-1"))</f>
        <v/>
      </c>
      <c r="X1472" s="7" t="str">
        <f>IF(ISBLANK(patch[[#This Row],[project]]), "",COUNTIFS($A:$A,patch[[#This Row],[number]],$S:$S, "FL And dev",$AC:$AC, "Review-1"))</f>
        <v/>
      </c>
      <c r="Y1472" s="7" t="str">
        <f>IF(ISBLANK(patch[[#This Row],[project]]), "",COUNTIFS($A:$A,patch[[#This Row],[number]],$S:$S, "SH And dev",$AC:$AC, "Review-1"))</f>
        <v/>
      </c>
      <c r="Z1472" s="7" t="str">
        <f>IF(ISBLANK(patch[[#This Row],[project]]), "",COUNTIFS($A:$A,patch[[#This Row],[number]],$S:$S, "BJ And dev",$AD:$AD, "&lt;&gt;IntegratorValidationComment"))</f>
        <v/>
      </c>
      <c r="AA1472" s="7" t="str">
        <f>IF(ISBLANK(patch[[#This Row],[project]]), "",COUNTIFS($A:$A,patch[[#This Row],[number]],$S:$S, "FL And dev",$AD:$AD, "&lt;&gt;IntegratorValidationComment"))</f>
        <v/>
      </c>
      <c r="AB1472" s="7" t="str">
        <f>IF(ISBLANK(patch[[#This Row],[project]]), "",COUNTIFS($A:$A,patch[[#This Row],[number]],$S:$S, "SH And dev",$AD:$AD, "&lt;&gt;IntegratorValidationComment"))</f>
        <v/>
      </c>
      <c r="AC1472" s="7" t="str">
        <f>IF(OR(ISNUMBER(FIND("Review-1", patch[[#This Row],[comments]])), ISNUMBER(FIND("Approver-1", patch[[#This Row],[comments]]))), "Review-1", "")</f>
        <v/>
      </c>
      <c r="AD14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472" s="7">
        <f>IF(ISBLANK(patch[[#This Row],[number]]),AE1471,patch[[#This Row],[ifCommon]])</f>
        <v>0</v>
      </c>
    </row>
    <row r="1473" spans="1:31">
      <c r="A1473" s="151">
        <v>146154</v>
      </c>
      <c r="B1473" s="151" t="s">
        <v>2490</v>
      </c>
      <c r="C1473" s="151" t="s">
        <v>2795</v>
      </c>
      <c r="D1473" s="151" t="s">
        <v>3309</v>
      </c>
      <c r="E1473" s="151" t="s">
        <v>677</v>
      </c>
      <c r="F1473" s="151" t="s">
        <v>23</v>
      </c>
      <c r="G1473" s="151" t="s">
        <v>3310</v>
      </c>
      <c r="H1473" s="151" t="s">
        <v>3311</v>
      </c>
      <c r="I1473" s="152">
        <v>42631.742442129631</v>
      </c>
      <c r="J1473" s="152">
        <v>42632.754444444443</v>
      </c>
      <c r="K1473" s="151" t="s">
        <v>2445</v>
      </c>
      <c r="L1473" s="151" t="s">
        <v>677</v>
      </c>
      <c r="M1473" s="152">
        <v>42631.742442129631</v>
      </c>
      <c r="N1473" s="151" t="s">
        <v>25</v>
      </c>
      <c r="O1473" s="151"/>
      <c r="P1473" s="151" t="s">
        <v>3312</v>
      </c>
      <c r="Q1473" s="7" t="str">
        <f>IF(ISBLANK(patch[[#This Row],[OwnerEmail]]),Q1472,patch[[#This Row],[OwnerEmail]])</f>
        <v>lipingx.xu@intel.com</v>
      </c>
      <c r="R1473" s="7" t="str">
        <f>_xlfn.IFNA(VLOOKUP(patch[[#This Row],[tmp-owner.email]],OrgTree!$A:$K, 11, 0), "not ICG SWFW")</f>
        <v>BJ And dev</v>
      </c>
      <c r="S1473" s="7" t="str">
        <f>IF(patch[[#This Row],[reviewer]]=patch[[#This Row],[tmp-owner.email]], "author", _xlfn.IFNA(VLOOKUP(patch[[#This Row],[reviewer]],OrgTree!$A:$K, 11, 0), "not ICG SWFW"))</f>
        <v>author</v>
      </c>
      <c r="T1473" s="7" t="str">
        <f>IF(ISBLANK(patch[[#This Row],[mergeDate]]), "", MID(YEAR(patch[[#This Row],[mergeDate]]), 3,2)&amp;"'ww"&amp;WEEKNUM(patch[[#This Row],[mergeDate]]))</f>
        <v>16'ww39</v>
      </c>
      <c r="U1473" s="7" t="str">
        <f>IF(ISBLANK(patch[[#This Row],[mergeDate]]), U1472, MID(YEAR(patch[[#This Row],[mergeDate]]), 3,2)&amp;"'m"&amp;MONTH(patch[[#This Row],[mergeDate]]))</f>
        <v>16'm9</v>
      </c>
      <c r="V1473" s="7">
        <f>IF(ISBLANK(patch[[#This Row],[project]]), "",SUM(patch[[#This Row],[BJ -1 num]:[SH -1 num]]))</f>
        <v>0</v>
      </c>
      <c r="W1473" s="7">
        <f>IF(ISBLANK(patch[[#This Row],[project]]), "",COUNTIFS($A:$A,patch[[#This Row],[number]],$S:$S, "BJ And dev",$AC:$AC, "Review-1"))</f>
        <v>0</v>
      </c>
      <c r="X1473" s="7">
        <f>IF(ISBLANK(patch[[#This Row],[project]]), "",COUNTIFS($A:$A,patch[[#This Row],[number]],$S:$S, "FL And dev",$AC:$AC, "Review-1"))</f>
        <v>0</v>
      </c>
      <c r="Y1473" s="7">
        <f>IF(ISBLANK(patch[[#This Row],[project]]), "",COUNTIFS($A:$A,patch[[#This Row],[number]],$S:$S, "SH And dev",$AC:$AC, "Review-1"))</f>
        <v>0</v>
      </c>
      <c r="Z1473" s="7">
        <f>IF(ISBLANK(patch[[#This Row],[project]]), "",COUNTIFS($A:$A,patch[[#This Row],[number]],$S:$S, "BJ And dev",$AD:$AD, "&lt;&gt;IntegratorValidationComment"))</f>
        <v>3</v>
      </c>
      <c r="AA1473" s="7">
        <f>IF(ISBLANK(patch[[#This Row],[project]]), "",COUNTIFS($A:$A,patch[[#This Row],[number]],$S:$S, "FL And dev",$AD:$AD, "&lt;&gt;IntegratorValidationComment"))</f>
        <v>0</v>
      </c>
      <c r="AB1473" s="7">
        <f>IF(ISBLANK(patch[[#This Row],[project]]), "",COUNTIFS($A:$A,patch[[#This Row],[number]],$S:$S, "SH And dev",$AD:$AD, "&lt;&gt;IntegratorValidationComment"))</f>
        <v>0</v>
      </c>
      <c r="AC1473" s="7" t="str">
        <f>IF(OR(ISNUMBER(FIND("Review-1", patch[[#This Row],[comments]])), ISNUMBER(FIND("Approver-1", patch[[#This Row],[comments]]))), "Review-1", "")</f>
        <v/>
      </c>
      <c r="AD14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73" s="7" t="str">
        <f>IF(ISBLANK(patch[[#This Row],[number]]),AE1472,patch[[#This Row],[ifCommon]])</f>
        <v>not AndrHAL</v>
      </c>
    </row>
    <row r="1474" spans="1:31">
      <c r="A1474" s="151">
        <v>146154</v>
      </c>
      <c r="B1474" s="151"/>
      <c r="C1474" s="151"/>
      <c r="D1474" s="151"/>
      <c r="E1474" s="151"/>
      <c r="F1474" s="151"/>
      <c r="G1474" s="151"/>
      <c r="H1474" s="151"/>
      <c r="I1474" s="151"/>
      <c r="J1474" s="152">
        <v>42632.754444444443</v>
      </c>
      <c r="K1474" s="151"/>
      <c r="L1474" s="151" t="s">
        <v>677</v>
      </c>
      <c r="M1474" s="152">
        <v>42631.742592592593</v>
      </c>
      <c r="N1474" s="151" t="s">
        <v>2428</v>
      </c>
      <c r="O1474" s="151"/>
      <c r="P1474" s="151"/>
      <c r="Q1474" s="7" t="str">
        <f>IF(ISBLANK(patch[[#This Row],[OwnerEmail]]),Q1473,patch[[#This Row],[OwnerEmail]])</f>
        <v>lipingx.xu@intel.com</v>
      </c>
      <c r="R1474" s="7" t="str">
        <f>_xlfn.IFNA(VLOOKUP(patch[[#This Row],[tmp-owner.email]],OrgTree!$A:$K, 11, 0), "not ICG SWFW")</f>
        <v>BJ And dev</v>
      </c>
      <c r="S1474" s="7" t="str">
        <f>IF(patch[[#This Row],[reviewer]]=patch[[#This Row],[tmp-owner.email]], "author", _xlfn.IFNA(VLOOKUP(patch[[#This Row],[reviewer]],OrgTree!$A:$K, 11, 0), "not ICG SWFW"))</f>
        <v>author</v>
      </c>
      <c r="T1474" s="7" t="str">
        <f>IF(ISBLANK(patch[[#This Row],[mergeDate]]), "", MID(YEAR(patch[[#This Row],[mergeDate]]), 3,2)&amp;"'ww"&amp;WEEKNUM(patch[[#This Row],[mergeDate]]))</f>
        <v>16'ww39</v>
      </c>
      <c r="U1474" s="7" t="str">
        <f>IF(ISBLANK(patch[[#This Row],[mergeDate]]), U1473, MID(YEAR(patch[[#This Row],[mergeDate]]), 3,2)&amp;"'m"&amp;MONTH(patch[[#This Row],[mergeDate]]))</f>
        <v>16'm9</v>
      </c>
      <c r="V1474" s="7" t="str">
        <f>IF(ISBLANK(patch[[#This Row],[project]]), "",SUM(patch[[#This Row],[BJ -1 num]:[SH -1 num]]))</f>
        <v/>
      </c>
      <c r="W1474" s="7" t="str">
        <f>IF(ISBLANK(patch[[#This Row],[project]]), "",COUNTIFS($A:$A,patch[[#This Row],[number]],$S:$S, "BJ And dev",$AC:$AC, "Review-1"))</f>
        <v/>
      </c>
      <c r="X1474" s="7" t="str">
        <f>IF(ISBLANK(patch[[#This Row],[project]]), "",COUNTIFS($A:$A,patch[[#This Row],[number]],$S:$S, "FL And dev",$AC:$AC, "Review-1"))</f>
        <v/>
      </c>
      <c r="Y1474" s="7" t="str">
        <f>IF(ISBLANK(patch[[#This Row],[project]]), "",COUNTIFS($A:$A,patch[[#This Row],[number]],$S:$S, "SH And dev",$AC:$AC, "Review-1"))</f>
        <v/>
      </c>
      <c r="Z1474" s="7" t="str">
        <f>IF(ISBLANK(patch[[#This Row],[project]]), "",COUNTIFS($A:$A,patch[[#This Row],[number]],$S:$S, "BJ And dev",$AD:$AD, "&lt;&gt;IntegratorValidationComment"))</f>
        <v/>
      </c>
      <c r="AA1474" s="7" t="str">
        <f>IF(ISBLANK(patch[[#This Row],[project]]), "",COUNTIFS($A:$A,patch[[#This Row],[number]],$S:$S, "FL And dev",$AD:$AD, "&lt;&gt;IntegratorValidationComment"))</f>
        <v/>
      </c>
      <c r="AB1474" s="7" t="str">
        <f>IF(ISBLANK(patch[[#This Row],[project]]), "",COUNTIFS($A:$A,patch[[#This Row],[number]],$S:$S, "SH And dev",$AD:$AD, "&lt;&gt;IntegratorValidationComment"))</f>
        <v/>
      </c>
      <c r="AC1474" s="7" t="str">
        <f>IF(OR(ISNUMBER(FIND("Review-1", patch[[#This Row],[comments]])), ISNUMBER(FIND("Approver-1", patch[[#This Row],[comments]]))), "Review-1", "")</f>
        <v/>
      </c>
      <c r="AD14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74" s="7">
        <f>IF(ISBLANK(patch[[#This Row],[number]]),AE1473,patch[[#This Row],[ifCommon]])</f>
        <v>0</v>
      </c>
    </row>
    <row r="1475" spans="1:31">
      <c r="A1475" s="151">
        <v>146154</v>
      </c>
      <c r="B1475" s="151"/>
      <c r="C1475" s="151"/>
      <c r="D1475" s="151"/>
      <c r="E1475" s="151"/>
      <c r="F1475" s="151"/>
      <c r="G1475" s="151"/>
      <c r="H1475" s="151"/>
      <c r="I1475" s="151"/>
      <c r="J1475" s="152">
        <v>42632.754444444443</v>
      </c>
      <c r="K1475" s="151"/>
      <c r="L1475" s="151" t="s">
        <v>24</v>
      </c>
      <c r="M1475" s="152">
        <v>42631.757256944453</v>
      </c>
      <c r="N1475" s="151" t="s">
        <v>1880</v>
      </c>
      <c r="O1475" s="151"/>
      <c r="P1475" s="151"/>
      <c r="Q1475" s="7" t="str">
        <f>IF(ISBLANK(patch[[#This Row],[OwnerEmail]]),Q1474,patch[[#This Row],[OwnerEmail]])</f>
        <v>lipingx.xu@intel.com</v>
      </c>
      <c r="R1475" s="7" t="str">
        <f>_xlfn.IFNA(VLOOKUP(patch[[#This Row],[tmp-owner.email]],OrgTree!$A:$K, 11, 0), "not ICG SWFW")</f>
        <v>BJ And dev</v>
      </c>
      <c r="S1475" s="7" t="str">
        <f>IF(patch[[#This Row],[reviewer]]=patch[[#This Row],[tmp-owner.email]], "author", _xlfn.IFNA(VLOOKUP(patch[[#This Row],[reviewer]],OrgTree!$A:$K, 11, 0), "not ICG SWFW"))</f>
        <v>BJ And dev</v>
      </c>
      <c r="T1475" s="7" t="str">
        <f>IF(ISBLANK(patch[[#This Row],[mergeDate]]), "", MID(YEAR(patch[[#This Row],[mergeDate]]), 3,2)&amp;"'ww"&amp;WEEKNUM(patch[[#This Row],[mergeDate]]))</f>
        <v>16'ww39</v>
      </c>
      <c r="U1475" s="7" t="str">
        <f>IF(ISBLANK(patch[[#This Row],[mergeDate]]), U1474, MID(YEAR(patch[[#This Row],[mergeDate]]), 3,2)&amp;"'m"&amp;MONTH(patch[[#This Row],[mergeDate]]))</f>
        <v>16'm9</v>
      </c>
      <c r="V1475" s="7" t="str">
        <f>IF(ISBLANK(patch[[#This Row],[project]]), "",SUM(patch[[#This Row],[BJ -1 num]:[SH -1 num]]))</f>
        <v/>
      </c>
      <c r="W1475" s="7" t="str">
        <f>IF(ISBLANK(patch[[#This Row],[project]]), "",COUNTIFS($A:$A,patch[[#This Row],[number]],$S:$S, "BJ And dev",$AC:$AC, "Review-1"))</f>
        <v/>
      </c>
      <c r="X1475" s="7" t="str">
        <f>IF(ISBLANK(patch[[#This Row],[project]]), "",COUNTIFS($A:$A,patch[[#This Row],[number]],$S:$S, "FL And dev",$AC:$AC, "Review-1"))</f>
        <v/>
      </c>
      <c r="Y1475" s="7" t="str">
        <f>IF(ISBLANK(patch[[#This Row],[project]]), "",COUNTIFS($A:$A,patch[[#This Row],[number]],$S:$S, "SH And dev",$AC:$AC, "Review-1"))</f>
        <v/>
      </c>
      <c r="Z1475" s="7" t="str">
        <f>IF(ISBLANK(patch[[#This Row],[project]]), "",COUNTIFS($A:$A,patch[[#This Row],[number]],$S:$S, "BJ And dev",$AD:$AD, "&lt;&gt;IntegratorValidationComment"))</f>
        <v/>
      </c>
      <c r="AA1475" s="7" t="str">
        <f>IF(ISBLANK(patch[[#This Row],[project]]), "",COUNTIFS($A:$A,patch[[#This Row],[number]],$S:$S, "FL And dev",$AD:$AD, "&lt;&gt;IntegratorValidationComment"))</f>
        <v/>
      </c>
      <c r="AB1475" s="7" t="str">
        <f>IF(ISBLANK(patch[[#This Row],[project]]), "",COUNTIFS($A:$A,patch[[#This Row],[number]],$S:$S, "SH And dev",$AD:$AD, "&lt;&gt;IntegratorValidationComment"))</f>
        <v/>
      </c>
      <c r="AC1475" s="7" t="str">
        <f>IF(OR(ISNUMBER(FIND("Review-1", patch[[#This Row],[comments]])), ISNUMBER(FIND("Approver-1", patch[[#This Row],[comments]]))), "Review-1", "")</f>
        <v/>
      </c>
      <c r="AD14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75" s="7">
        <f>IF(ISBLANK(patch[[#This Row],[number]]),AE1474,patch[[#This Row],[ifCommon]])</f>
        <v>0</v>
      </c>
    </row>
    <row r="1476" spans="1:31">
      <c r="A1476" s="151">
        <v>146154</v>
      </c>
      <c r="B1476" s="151"/>
      <c r="C1476" s="151"/>
      <c r="D1476" s="151"/>
      <c r="E1476" s="151"/>
      <c r="F1476" s="151"/>
      <c r="G1476" s="151"/>
      <c r="H1476" s="151"/>
      <c r="I1476" s="152"/>
      <c r="J1476" s="152">
        <v>42632.754444444443</v>
      </c>
      <c r="K1476" s="151"/>
      <c r="L1476" s="151" t="s">
        <v>59</v>
      </c>
      <c r="M1476" s="152">
        <v>42631.783206018517</v>
      </c>
      <c r="N1476" s="151" t="s">
        <v>3313</v>
      </c>
      <c r="O1476" s="151"/>
      <c r="P1476" s="151"/>
      <c r="Q1476" s="7" t="str">
        <f>IF(ISBLANK(patch[[#This Row],[OwnerEmail]]),Q1475,patch[[#This Row],[OwnerEmail]])</f>
        <v>lipingx.xu@intel.com</v>
      </c>
      <c r="R1476" s="7" t="str">
        <f>_xlfn.IFNA(VLOOKUP(patch[[#This Row],[tmp-owner.email]],OrgTree!$A:$K, 11, 0), "not ICG SWFW")</f>
        <v>BJ And dev</v>
      </c>
      <c r="S1476" s="7" t="str">
        <f>IF(patch[[#This Row],[reviewer]]=patch[[#This Row],[tmp-owner.email]], "author", _xlfn.IFNA(VLOOKUP(patch[[#This Row],[reviewer]],OrgTree!$A:$K, 11, 0), "not ICG SWFW"))</f>
        <v>BJ And dev</v>
      </c>
      <c r="T1476" s="7" t="str">
        <f>IF(ISBLANK(patch[[#This Row],[mergeDate]]), "", MID(YEAR(patch[[#This Row],[mergeDate]]), 3,2)&amp;"'ww"&amp;WEEKNUM(patch[[#This Row],[mergeDate]]))</f>
        <v>16'ww39</v>
      </c>
      <c r="U1476" s="7" t="str">
        <f>IF(ISBLANK(patch[[#This Row],[mergeDate]]), U1475, MID(YEAR(patch[[#This Row],[mergeDate]]), 3,2)&amp;"'m"&amp;MONTH(patch[[#This Row],[mergeDate]]))</f>
        <v>16'm9</v>
      </c>
      <c r="V1476" s="7" t="str">
        <f>IF(ISBLANK(patch[[#This Row],[project]]), "",SUM(patch[[#This Row],[BJ -1 num]:[SH -1 num]]))</f>
        <v/>
      </c>
      <c r="W1476" s="7" t="str">
        <f>IF(ISBLANK(patch[[#This Row],[project]]), "",COUNTIFS($A:$A,patch[[#This Row],[number]],$S:$S, "BJ And dev",$AC:$AC, "Review-1"))</f>
        <v/>
      </c>
      <c r="X1476" s="7" t="str">
        <f>IF(ISBLANK(patch[[#This Row],[project]]), "",COUNTIFS($A:$A,patch[[#This Row],[number]],$S:$S, "FL And dev",$AC:$AC, "Review-1"))</f>
        <v/>
      </c>
      <c r="Y1476" s="7" t="str">
        <f>IF(ISBLANK(patch[[#This Row],[project]]), "",COUNTIFS($A:$A,patch[[#This Row],[number]],$S:$S, "SH And dev",$AC:$AC, "Review-1"))</f>
        <v/>
      </c>
      <c r="Z1476" s="7" t="str">
        <f>IF(ISBLANK(patch[[#This Row],[project]]), "",COUNTIFS($A:$A,patch[[#This Row],[number]],$S:$S, "BJ And dev",$AD:$AD, "&lt;&gt;IntegratorValidationComment"))</f>
        <v/>
      </c>
      <c r="AA1476" s="7" t="str">
        <f>IF(ISBLANK(patch[[#This Row],[project]]), "",COUNTIFS($A:$A,patch[[#This Row],[number]],$S:$S, "FL And dev",$AD:$AD, "&lt;&gt;IntegratorValidationComment"))</f>
        <v/>
      </c>
      <c r="AB1476" s="7" t="str">
        <f>IF(ISBLANK(patch[[#This Row],[project]]), "",COUNTIFS($A:$A,patch[[#This Row],[number]],$S:$S, "SH And dev",$AD:$AD, "&lt;&gt;IntegratorValidationComment"))</f>
        <v/>
      </c>
      <c r="AC1476" s="7" t="str">
        <f>IF(OR(ISNUMBER(FIND("Review-1", patch[[#This Row],[comments]])), ISNUMBER(FIND("Approver-1", patch[[#This Row],[comments]]))), "Review-1", "")</f>
        <v/>
      </c>
      <c r="AD14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76" s="7">
        <f>IF(ISBLANK(patch[[#This Row],[number]]),AE1475,patch[[#This Row],[ifCommon]])</f>
        <v>0</v>
      </c>
    </row>
    <row r="1477" spans="1:31">
      <c r="A1477" s="151">
        <v>146154</v>
      </c>
      <c r="B1477" s="151"/>
      <c r="C1477" s="151"/>
      <c r="D1477" s="151"/>
      <c r="E1477" s="151"/>
      <c r="F1477" s="151"/>
      <c r="G1477" s="151"/>
      <c r="H1477" s="151"/>
      <c r="I1477" s="151"/>
      <c r="J1477" s="152">
        <v>42632.754444444443</v>
      </c>
      <c r="K1477" s="151"/>
      <c r="L1477" s="151" t="s">
        <v>59</v>
      </c>
      <c r="M1477" s="152">
        <v>42631.809155092589</v>
      </c>
      <c r="N1477" s="151" t="s">
        <v>3314</v>
      </c>
      <c r="O1477" s="151"/>
      <c r="P1477" s="151"/>
      <c r="Q1477" s="7" t="str">
        <f>IF(ISBLANK(patch[[#This Row],[OwnerEmail]]),Q1476,patch[[#This Row],[OwnerEmail]])</f>
        <v>lipingx.xu@intel.com</v>
      </c>
      <c r="R1477" s="7" t="str">
        <f>_xlfn.IFNA(VLOOKUP(patch[[#This Row],[tmp-owner.email]],OrgTree!$A:$K, 11, 0), "not ICG SWFW")</f>
        <v>BJ And dev</v>
      </c>
      <c r="S1477" s="7" t="str">
        <f>IF(patch[[#This Row],[reviewer]]=patch[[#This Row],[tmp-owner.email]], "author", _xlfn.IFNA(VLOOKUP(patch[[#This Row],[reviewer]],OrgTree!$A:$K, 11, 0), "not ICG SWFW"))</f>
        <v>BJ And dev</v>
      </c>
      <c r="T1477" s="7" t="str">
        <f>IF(ISBLANK(patch[[#This Row],[mergeDate]]), "", MID(YEAR(patch[[#This Row],[mergeDate]]), 3,2)&amp;"'ww"&amp;WEEKNUM(patch[[#This Row],[mergeDate]]))</f>
        <v>16'ww39</v>
      </c>
      <c r="U1477" s="7" t="str">
        <f>IF(ISBLANK(patch[[#This Row],[mergeDate]]), U1476, MID(YEAR(patch[[#This Row],[mergeDate]]), 3,2)&amp;"'m"&amp;MONTH(patch[[#This Row],[mergeDate]]))</f>
        <v>16'm9</v>
      </c>
      <c r="V1477" s="7" t="str">
        <f>IF(ISBLANK(patch[[#This Row],[project]]), "",SUM(patch[[#This Row],[BJ -1 num]:[SH -1 num]]))</f>
        <v/>
      </c>
      <c r="W1477" s="7" t="str">
        <f>IF(ISBLANK(patch[[#This Row],[project]]), "",COUNTIFS($A:$A,patch[[#This Row],[number]],$S:$S, "BJ And dev",$AC:$AC, "Review-1"))</f>
        <v/>
      </c>
      <c r="X1477" s="7" t="str">
        <f>IF(ISBLANK(patch[[#This Row],[project]]), "",COUNTIFS($A:$A,patch[[#This Row],[number]],$S:$S, "FL And dev",$AC:$AC, "Review-1"))</f>
        <v/>
      </c>
      <c r="Y1477" s="7" t="str">
        <f>IF(ISBLANK(patch[[#This Row],[project]]), "",COUNTIFS($A:$A,patch[[#This Row],[number]],$S:$S, "SH And dev",$AC:$AC, "Review-1"))</f>
        <v/>
      </c>
      <c r="Z1477" s="7" t="str">
        <f>IF(ISBLANK(patch[[#This Row],[project]]), "",COUNTIFS($A:$A,patch[[#This Row],[number]],$S:$S, "BJ And dev",$AD:$AD, "&lt;&gt;IntegratorValidationComment"))</f>
        <v/>
      </c>
      <c r="AA1477" s="7" t="str">
        <f>IF(ISBLANK(patch[[#This Row],[project]]), "",COUNTIFS($A:$A,patch[[#This Row],[number]],$S:$S, "FL And dev",$AD:$AD, "&lt;&gt;IntegratorValidationComment"))</f>
        <v/>
      </c>
      <c r="AB1477" s="7" t="str">
        <f>IF(ISBLANK(patch[[#This Row],[project]]), "",COUNTIFS($A:$A,patch[[#This Row],[number]],$S:$S, "SH And dev",$AD:$AD, "&lt;&gt;IntegratorValidationComment"))</f>
        <v/>
      </c>
      <c r="AC1477" s="7" t="str">
        <f>IF(OR(ISNUMBER(FIND("Review-1", patch[[#This Row],[comments]])), ISNUMBER(FIND("Approver-1", patch[[#This Row],[comments]]))), "Review-1", "")</f>
        <v/>
      </c>
      <c r="AD14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77" s="7">
        <f>IF(ISBLANK(patch[[#This Row],[number]]),AE1476,patch[[#This Row],[ifCommon]])</f>
        <v>0</v>
      </c>
    </row>
    <row r="1478" spans="1:31">
      <c r="A1478" s="151">
        <v>146154</v>
      </c>
      <c r="B1478" s="151"/>
      <c r="C1478" s="151"/>
      <c r="D1478" s="151"/>
      <c r="E1478" s="151"/>
      <c r="F1478" s="151"/>
      <c r="G1478" s="151"/>
      <c r="H1478" s="151"/>
      <c r="I1478" s="151"/>
      <c r="J1478" s="152">
        <v>42632.754444444443</v>
      </c>
      <c r="K1478" s="151"/>
      <c r="L1478" s="151" t="s">
        <v>677</v>
      </c>
      <c r="M1478" s="152">
        <v>42632.459189814806</v>
      </c>
      <c r="N1478" s="151" t="s">
        <v>40</v>
      </c>
      <c r="O1478" s="151"/>
      <c r="P1478" s="151"/>
      <c r="Q1478" s="7" t="str">
        <f>IF(ISBLANK(patch[[#This Row],[OwnerEmail]]),Q1477,patch[[#This Row],[OwnerEmail]])</f>
        <v>lipingx.xu@intel.com</v>
      </c>
      <c r="R1478" s="7" t="str">
        <f>_xlfn.IFNA(VLOOKUP(patch[[#This Row],[tmp-owner.email]],OrgTree!$A:$K, 11, 0), "not ICG SWFW")</f>
        <v>BJ And dev</v>
      </c>
      <c r="S1478" s="7" t="str">
        <f>IF(patch[[#This Row],[reviewer]]=patch[[#This Row],[tmp-owner.email]], "author", _xlfn.IFNA(VLOOKUP(patch[[#This Row],[reviewer]],OrgTree!$A:$K, 11, 0), "not ICG SWFW"))</f>
        <v>author</v>
      </c>
      <c r="T1478" s="7" t="str">
        <f>IF(ISBLANK(patch[[#This Row],[mergeDate]]), "", MID(YEAR(patch[[#This Row],[mergeDate]]), 3,2)&amp;"'ww"&amp;WEEKNUM(patch[[#This Row],[mergeDate]]))</f>
        <v>16'ww39</v>
      </c>
      <c r="U1478" s="7" t="str">
        <f>IF(ISBLANK(patch[[#This Row],[mergeDate]]), U1477, MID(YEAR(patch[[#This Row],[mergeDate]]), 3,2)&amp;"'m"&amp;MONTH(patch[[#This Row],[mergeDate]]))</f>
        <v>16'm9</v>
      </c>
      <c r="V1478" s="7" t="str">
        <f>IF(ISBLANK(patch[[#This Row],[project]]), "",SUM(patch[[#This Row],[BJ -1 num]:[SH -1 num]]))</f>
        <v/>
      </c>
      <c r="W1478" s="7" t="str">
        <f>IF(ISBLANK(patch[[#This Row],[project]]), "",COUNTIFS($A:$A,patch[[#This Row],[number]],$S:$S, "BJ And dev",$AC:$AC, "Review-1"))</f>
        <v/>
      </c>
      <c r="X1478" s="7" t="str">
        <f>IF(ISBLANK(patch[[#This Row],[project]]), "",COUNTIFS($A:$A,patch[[#This Row],[number]],$S:$S, "FL And dev",$AC:$AC, "Review-1"))</f>
        <v/>
      </c>
      <c r="Y1478" s="7" t="str">
        <f>IF(ISBLANK(patch[[#This Row],[project]]), "",COUNTIFS($A:$A,patch[[#This Row],[number]],$S:$S, "SH And dev",$AC:$AC, "Review-1"))</f>
        <v/>
      </c>
      <c r="Z1478" s="7" t="str">
        <f>IF(ISBLANK(patch[[#This Row],[project]]), "",COUNTIFS($A:$A,patch[[#This Row],[number]],$S:$S, "BJ And dev",$AD:$AD, "&lt;&gt;IntegratorValidationComment"))</f>
        <v/>
      </c>
      <c r="AA1478" s="7" t="str">
        <f>IF(ISBLANK(patch[[#This Row],[project]]), "",COUNTIFS($A:$A,patch[[#This Row],[number]],$S:$S, "FL And dev",$AD:$AD, "&lt;&gt;IntegratorValidationComment"))</f>
        <v/>
      </c>
      <c r="AB1478" s="7" t="str">
        <f>IF(ISBLANK(patch[[#This Row],[project]]), "",COUNTIFS($A:$A,patch[[#This Row],[number]],$S:$S, "SH And dev",$AD:$AD, "&lt;&gt;IntegratorValidationComment"))</f>
        <v/>
      </c>
      <c r="AC1478" s="7" t="str">
        <f>IF(OR(ISNUMBER(FIND("Review-1", patch[[#This Row],[comments]])), ISNUMBER(FIND("Approver-1", patch[[#This Row],[comments]]))), "Review-1", "")</f>
        <v/>
      </c>
      <c r="AD14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78" s="7">
        <f>IF(ISBLANK(patch[[#This Row],[number]]),AE1477,patch[[#This Row],[ifCommon]])</f>
        <v>0</v>
      </c>
    </row>
    <row r="1479" spans="1:31">
      <c r="A1479" s="151">
        <v>146154</v>
      </c>
      <c r="B1479" s="151"/>
      <c r="C1479" s="151"/>
      <c r="D1479" s="151"/>
      <c r="E1479" s="151"/>
      <c r="F1479" s="151"/>
      <c r="G1479" s="151"/>
      <c r="H1479" s="151"/>
      <c r="I1479" s="151"/>
      <c r="J1479" s="152">
        <v>42632.754444444443</v>
      </c>
      <c r="K1479" s="151"/>
      <c r="L1479" s="151" t="s">
        <v>115</v>
      </c>
      <c r="M1479" s="152">
        <v>42632.601770833331</v>
      </c>
      <c r="N1479" s="151" t="s">
        <v>2494</v>
      </c>
      <c r="O1479" s="151"/>
      <c r="P1479" s="151"/>
      <c r="Q1479" s="7" t="str">
        <f>IF(ISBLANK(patch[[#This Row],[OwnerEmail]]),Q1478,patch[[#This Row],[OwnerEmail]])</f>
        <v>lipingx.xu@intel.com</v>
      </c>
      <c r="R1479" s="7" t="str">
        <f>_xlfn.IFNA(VLOOKUP(patch[[#This Row],[tmp-owner.email]],OrgTree!$A:$K, 11, 0), "not ICG SWFW")</f>
        <v>BJ And dev</v>
      </c>
      <c r="S1479" s="7" t="str">
        <f>IF(patch[[#This Row],[reviewer]]=patch[[#This Row],[tmp-owner.email]], "author", _xlfn.IFNA(VLOOKUP(patch[[#This Row],[reviewer]],OrgTree!$A:$K, 11, 0), "not ICG SWFW"))</f>
        <v>Val</v>
      </c>
      <c r="T1479" s="7" t="str">
        <f>IF(ISBLANK(patch[[#This Row],[mergeDate]]), "", MID(YEAR(patch[[#This Row],[mergeDate]]), 3,2)&amp;"'ww"&amp;WEEKNUM(patch[[#This Row],[mergeDate]]))</f>
        <v>16'ww39</v>
      </c>
      <c r="U1479" s="7" t="str">
        <f>IF(ISBLANK(patch[[#This Row],[mergeDate]]), U1478, MID(YEAR(patch[[#This Row],[mergeDate]]), 3,2)&amp;"'m"&amp;MONTH(patch[[#This Row],[mergeDate]]))</f>
        <v>16'm9</v>
      </c>
      <c r="V1479" s="7" t="str">
        <f>IF(ISBLANK(patch[[#This Row],[project]]), "",SUM(patch[[#This Row],[BJ -1 num]:[SH -1 num]]))</f>
        <v/>
      </c>
      <c r="W1479" s="7" t="str">
        <f>IF(ISBLANK(patch[[#This Row],[project]]), "",COUNTIFS($A:$A,patch[[#This Row],[number]],$S:$S, "BJ And dev",$AC:$AC, "Review-1"))</f>
        <v/>
      </c>
      <c r="X1479" s="7" t="str">
        <f>IF(ISBLANK(patch[[#This Row],[project]]), "",COUNTIFS($A:$A,patch[[#This Row],[number]],$S:$S, "FL And dev",$AC:$AC, "Review-1"))</f>
        <v/>
      </c>
      <c r="Y1479" s="7" t="str">
        <f>IF(ISBLANK(patch[[#This Row],[project]]), "",COUNTIFS($A:$A,patch[[#This Row],[number]],$S:$S, "SH And dev",$AC:$AC, "Review-1"))</f>
        <v/>
      </c>
      <c r="Z1479" s="7" t="str">
        <f>IF(ISBLANK(patch[[#This Row],[project]]), "",COUNTIFS($A:$A,patch[[#This Row],[number]],$S:$S, "BJ And dev",$AD:$AD, "&lt;&gt;IntegratorValidationComment"))</f>
        <v/>
      </c>
      <c r="AA1479" s="7" t="str">
        <f>IF(ISBLANK(patch[[#This Row],[project]]), "",COUNTIFS($A:$A,patch[[#This Row],[number]],$S:$S, "FL And dev",$AD:$AD, "&lt;&gt;IntegratorValidationComment"))</f>
        <v/>
      </c>
      <c r="AB1479" s="7" t="str">
        <f>IF(ISBLANK(patch[[#This Row],[project]]), "",COUNTIFS($A:$A,patch[[#This Row],[number]],$S:$S, "SH And dev",$AD:$AD, "&lt;&gt;IntegratorValidationComment"))</f>
        <v/>
      </c>
      <c r="AC1479" s="7" t="str">
        <f>IF(OR(ISNUMBER(FIND("Review-1", patch[[#This Row],[comments]])), ISNUMBER(FIND("Approver-1", patch[[#This Row],[comments]]))), "Review-1", "")</f>
        <v/>
      </c>
      <c r="AD14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479" s="7">
        <f>IF(ISBLANK(patch[[#This Row],[number]]),AE1478,patch[[#This Row],[ifCommon]])</f>
        <v>0</v>
      </c>
    </row>
    <row r="1480" spans="1:31">
      <c r="A1480" s="151">
        <v>146153</v>
      </c>
      <c r="B1480" s="151" t="s">
        <v>2490</v>
      </c>
      <c r="C1480" s="151" t="s">
        <v>2795</v>
      </c>
      <c r="D1480" s="151" t="s">
        <v>3315</v>
      </c>
      <c r="E1480" s="151" t="s">
        <v>677</v>
      </c>
      <c r="F1480" s="151" t="s">
        <v>23</v>
      </c>
      <c r="G1480" s="151" t="s">
        <v>3316</v>
      </c>
      <c r="H1480" s="151" t="s">
        <v>3317</v>
      </c>
      <c r="I1480" s="152">
        <v>42631.742442129631</v>
      </c>
      <c r="J1480" s="152">
        <v>42632.75439814815</v>
      </c>
      <c r="K1480" s="151" t="s">
        <v>2445</v>
      </c>
      <c r="L1480" s="151" t="s">
        <v>677</v>
      </c>
      <c r="M1480" s="152">
        <v>42631.742442129631</v>
      </c>
      <c r="N1480" s="151" t="s">
        <v>25</v>
      </c>
      <c r="O1480" s="151"/>
      <c r="P1480" s="151" t="s">
        <v>3312</v>
      </c>
      <c r="Q1480" s="7" t="str">
        <f>IF(ISBLANK(patch[[#This Row],[OwnerEmail]]),Q1479,patch[[#This Row],[OwnerEmail]])</f>
        <v>lipingx.xu@intel.com</v>
      </c>
      <c r="R1480" s="7" t="str">
        <f>_xlfn.IFNA(VLOOKUP(patch[[#This Row],[tmp-owner.email]],OrgTree!$A:$K, 11, 0), "not ICG SWFW")</f>
        <v>BJ And dev</v>
      </c>
      <c r="S1480" s="7" t="str">
        <f>IF(patch[[#This Row],[reviewer]]=patch[[#This Row],[tmp-owner.email]], "author", _xlfn.IFNA(VLOOKUP(patch[[#This Row],[reviewer]],OrgTree!$A:$K, 11, 0), "not ICG SWFW"))</f>
        <v>author</v>
      </c>
      <c r="T1480" s="7" t="str">
        <f>IF(ISBLANK(patch[[#This Row],[mergeDate]]), "", MID(YEAR(patch[[#This Row],[mergeDate]]), 3,2)&amp;"'ww"&amp;WEEKNUM(patch[[#This Row],[mergeDate]]))</f>
        <v>16'ww39</v>
      </c>
      <c r="U1480" s="7" t="str">
        <f>IF(ISBLANK(patch[[#This Row],[mergeDate]]), U1479, MID(YEAR(patch[[#This Row],[mergeDate]]), 3,2)&amp;"'m"&amp;MONTH(patch[[#This Row],[mergeDate]]))</f>
        <v>16'm9</v>
      </c>
      <c r="V1480" s="7">
        <f>IF(ISBLANK(patch[[#This Row],[project]]), "",SUM(patch[[#This Row],[BJ -1 num]:[SH -1 num]]))</f>
        <v>0</v>
      </c>
      <c r="W1480" s="7">
        <f>IF(ISBLANK(patch[[#This Row],[project]]), "",COUNTIFS($A:$A,patch[[#This Row],[number]],$S:$S, "BJ And dev",$AC:$AC, "Review-1"))</f>
        <v>0</v>
      </c>
      <c r="X1480" s="7">
        <f>IF(ISBLANK(patch[[#This Row],[project]]), "",COUNTIFS($A:$A,patch[[#This Row],[number]],$S:$S, "FL And dev",$AC:$AC, "Review-1"))</f>
        <v>0</v>
      </c>
      <c r="Y1480" s="7">
        <f>IF(ISBLANK(patch[[#This Row],[project]]), "",COUNTIFS($A:$A,patch[[#This Row],[number]],$S:$S, "SH And dev",$AC:$AC, "Review-1"))</f>
        <v>0</v>
      </c>
      <c r="Z1480" s="7">
        <f>IF(ISBLANK(patch[[#This Row],[project]]), "",COUNTIFS($A:$A,patch[[#This Row],[number]],$S:$S, "BJ And dev",$AD:$AD, "&lt;&gt;IntegratorValidationComment"))</f>
        <v>3</v>
      </c>
      <c r="AA1480" s="7">
        <f>IF(ISBLANK(patch[[#This Row],[project]]), "",COUNTIFS($A:$A,patch[[#This Row],[number]],$S:$S, "FL And dev",$AD:$AD, "&lt;&gt;IntegratorValidationComment"))</f>
        <v>0</v>
      </c>
      <c r="AB1480" s="7">
        <f>IF(ISBLANK(patch[[#This Row],[project]]), "",COUNTIFS($A:$A,patch[[#This Row],[number]],$S:$S, "SH And dev",$AD:$AD, "&lt;&gt;IntegratorValidationComment"))</f>
        <v>0</v>
      </c>
      <c r="AC1480" s="7" t="str">
        <f>IF(OR(ISNUMBER(FIND("Review-1", patch[[#This Row],[comments]])), ISNUMBER(FIND("Approver-1", patch[[#This Row],[comments]]))), "Review-1", "")</f>
        <v/>
      </c>
      <c r="AD14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80" s="7" t="str">
        <f>IF(ISBLANK(patch[[#This Row],[number]]),AE1479,patch[[#This Row],[ifCommon]])</f>
        <v>not AndrHAL</v>
      </c>
    </row>
    <row r="1481" spans="1:31">
      <c r="A1481" s="151">
        <v>146153</v>
      </c>
      <c r="B1481" s="151"/>
      <c r="C1481" s="151"/>
      <c r="D1481" s="151"/>
      <c r="E1481" s="151"/>
      <c r="F1481" s="151"/>
      <c r="G1481" s="151"/>
      <c r="H1481" s="151"/>
      <c r="I1481" s="151"/>
      <c r="J1481" s="152">
        <v>42632.75439814815</v>
      </c>
      <c r="K1481" s="151"/>
      <c r="L1481" s="151" t="s">
        <v>677</v>
      </c>
      <c r="M1481" s="152">
        <v>42631.742592592593</v>
      </c>
      <c r="N1481" s="151" t="s">
        <v>2428</v>
      </c>
      <c r="O1481" s="151"/>
      <c r="P1481" s="151"/>
      <c r="Q1481" s="7" t="str">
        <f>IF(ISBLANK(patch[[#This Row],[OwnerEmail]]),Q1480,patch[[#This Row],[OwnerEmail]])</f>
        <v>lipingx.xu@intel.com</v>
      </c>
      <c r="R1481" s="7" t="str">
        <f>_xlfn.IFNA(VLOOKUP(patch[[#This Row],[tmp-owner.email]],OrgTree!$A:$K, 11, 0), "not ICG SWFW")</f>
        <v>BJ And dev</v>
      </c>
      <c r="S1481" s="7" t="str">
        <f>IF(patch[[#This Row],[reviewer]]=patch[[#This Row],[tmp-owner.email]], "author", _xlfn.IFNA(VLOOKUP(patch[[#This Row],[reviewer]],OrgTree!$A:$K, 11, 0), "not ICG SWFW"))</f>
        <v>author</v>
      </c>
      <c r="T1481" s="7" t="str">
        <f>IF(ISBLANK(patch[[#This Row],[mergeDate]]), "", MID(YEAR(patch[[#This Row],[mergeDate]]), 3,2)&amp;"'ww"&amp;WEEKNUM(patch[[#This Row],[mergeDate]]))</f>
        <v>16'ww39</v>
      </c>
      <c r="U1481" s="7" t="str">
        <f>IF(ISBLANK(patch[[#This Row],[mergeDate]]), U1480, MID(YEAR(patch[[#This Row],[mergeDate]]), 3,2)&amp;"'m"&amp;MONTH(patch[[#This Row],[mergeDate]]))</f>
        <v>16'm9</v>
      </c>
      <c r="V1481" s="7" t="str">
        <f>IF(ISBLANK(patch[[#This Row],[project]]), "",SUM(patch[[#This Row],[BJ -1 num]:[SH -1 num]]))</f>
        <v/>
      </c>
      <c r="W1481" s="7" t="str">
        <f>IF(ISBLANK(patch[[#This Row],[project]]), "",COUNTIFS($A:$A,patch[[#This Row],[number]],$S:$S, "BJ And dev",$AC:$AC, "Review-1"))</f>
        <v/>
      </c>
      <c r="X1481" s="7" t="str">
        <f>IF(ISBLANK(patch[[#This Row],[project]]), "",COUNTIFS($A:$A,patch[[#This Row],[number]],$S:$S, "FL And dev",$AC:$AC, "Review-1"))</f>
        <v/>
      </c>
      <c r="Y1481" s="7" t="str">
        <f>IF(ISBLANK(patch[[#This Row],[project]]), "",COUNTIFS($A:$A,patch[[#This Row],[number]],$S:$S, "SH And dev",$AC:$AC, "Review-1"))</f>
        <v/>
      </c>
      <c r="Z1481" s="7" t="str">
        <f>IF(ISBLANK(patch[[#This Row],[project]]), "",COUNTIFS($A:$A,patch[[#This Row],[number]],$S:$S, "BJ And dev",$AD:$AD, "&lt;&gt;IntegratorValidationComment"))</f>
        <v/>
      </c>
      <c r="AA1481" s="7" t="str">
        <f>IF(ISBLANK(patch[[#This Row],[project]]), "",COUNTIFS($A:$A,patch[[#This Row],[number]],$S:$S, "FL And dev",$AD:$AD, "&lt;&gt;IntegratorValidationComment"))</f>
        <v/>
      </c>
      <c r="AB1481" s="7" t="str">
        <f>IF(ISBLANK(patch[[#This Row],[project]]), "",COUNTIFS($A:$A,patch[[#This Row],[number]],$S:$S, "SH And dev",$AD:$AD, "&lt;&gt;IntegratorValidationComment"))</f>
        <v/>
      </c>
      <c r="AC1481" s="7" t="str">
        <f>IF(OR(ISNUMBER(FIND("Review-1", patch[[#This Row],[comments]])), ISNUMBER(FIND("Approver-1", patch[[#This Row],[comments]]))), "Review-1", "")</f>
        <v/>
      </c>
      <c r="AD14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81" s="7">
        <f>IF(ISBLANK(patch[[#This Row],[number]]),AE1480,patch[[#This Row],[ifCommon]])</f>
        <v>0</v>
      </c>
    </row>
    <row r="1482" spans="1:31">
      <c r="A1482" s="151">
        <v>146153</v>
      </c>
      <c r="B1482" s="151"/>
      <c r="C1482" s="151"/>
      <c r="D1482" s="151"/>
      <c r="E1482" s="151"/>
      <c r="F1482" s="151"/>
      <c r="G1482" s="151"/>
      <c r="H1482" s="151"/>
      <c r="I1482" s="151"/>
      <c r="J1482" s="152">
        <v>42632.75439814815</v>
      </c>
      <c r="K1482" s="151"/>
      <c r="L1482" s="151" t="s">
        <v>24</v>
      </c>
      <c r="M1482" s="152">
        <v>42631.757164351853</v>
      </c>
      <c r="N1482" s="151" t="s">
        <v>1880</v>
      </c>
      <c r="O1482" s="151"/>
      <c r="P1482" s="151"/>
      <c r="Q1482" s="7" t="str">
        <f>IF(ISBLANK(patch[[#This Row],[OwnerEmail]]),Q1481,patch[[#This Row],[OwnerEmail]])</f>
        <v>lipingx.xu@intel.com</v>
      </c>
      <c r="R1482" s="7" t="str">
        <f>_xlfn.IFNA(VLOOKUP(patch[[#This Row],[tmp-owner.email]],OrgTree!$A:$K, 11, 0), "not ICG SWFW")</f>
        <v>BJ And dev</v>
      </c>
      <c r="S1482" s="7" t="str">
        <f>IF(patch[[#This Row],[reviewer]]=patch[[#This Row],[tmp-owner.email]], "author", _xlfn.IFNA(VLOOKUP(patch[[#This Row],[reviewer]],OrgTree!$A:$K, 11, 0), "not ICG SWFW"))</f>
        <v>BJ And dev</v>
      </c>
      <c r="T1482" s="7" t="str">
        <f>IF(ISBLANK(patch[[#This Row],[mergeDate]]), "", MID(YEAR(patch[[#This Row],[mergeDate]]), 3,2)&amp;"'ww"&amp;WEEKNUM(patch[[#This Row],[mergeDate]]))</f>
        <v>16'ww39</v>
      </c>
      <c r="U1482" s="7" t="str">
        <f>IF(ISBLANK(patch[[#This Row],[mergeDate]]), U1481, MID(YEAR(patch[[#This Row],[mergeDate]]), 3,2)&amp;"'m"&amp;MONTH(patch[[#This Row],[mergeDate]]))</f>
        <v>16'm9</v>
      </c>
      <c r="V1482" s="7" t="str">
        <f>IF(ISBLANK(patch[[#This Row],[project]]), "",SUM(patch[[#This Row],[BJ -1 num]:[SH -1 num]]))</f>
        <v/>
      </c>
      <c r="W1482" s="7" t="str">
        <f>IF(ISBLANK(patch[[#This Row],[project]]), "",COUNTIFS($A:$A,patch[[#This Row],[number]],$S:$S, "BJ And dev",$AC:$AC, "Review-1"))</f>
        <v/>
      </c>
      <c r="X1482" s="7" t="str">
        <f>IF(ISBLANK(patch[[#This Row],[project]]), "",COUNTIFS($A:$A,patch[[#This Row],[number]],$S:$S, "FL And dev",$AC:$AC, "Review-1"))</f>
        <v/>
      </c>
      <c r="Y1482" s="7" t="str">
        <f>IF(ISBLANK(patch[[#This Row],[project]]), "",COUNTIFS($A:$A,patch[[#This Row],[number]],$S:$S, "SH And dev",$AC:$AC, "Review-1"))</f>
        <v/>
      </c>
      <c r="Z1482" s="7" t="str">
        <f>IF(ISBLANK(patch[[#This Row],[project]]), "",COUNTIFS($A:$A,patch[[#This Row],[number]],$S:$S, "BJ And dev",$AD:$AD, "&lt;&gt;IntegratorValidationComment"))</f>
        <v/>
      </c>
      <c r="AA1482" s="7" t="str">
        <f>IF(ISBLANK(patch[[#This Row],[project]]), "",COUNTIFS($A:$A,patch[[#This Row],[number]],$S:$S, "FL And dev",$AD:$AD, "&lt;&gt;IntegratorValidationComment"))</f>
        <v/>
      </c>
      <c r="AB1482" s="7" t="str">
        <f>IF(ISBLANK(patch[[#This Row],[project]]), "",COUNTIFS($A:$A,patch[[#This Row],[number]],$S:$S, "SH And dev",$AD:$AD, "&lt;&gt;IntegratorValidationComment"))</f>
        <v/>
      </c>
      <c r="AC1482" s="7" t="str">
        <f>IF(OR(ISNUMBER(FIND("Review-1", patch[[#This Row],[comments]])), ISNUMBER(FIND("Approver-1", patch[[#This Row],[comments]]))), "Review-1", "")</f>
        <v/>
      </c>
      <c r="AD14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82" s="7">
        <f>IF(ISBLANK(patch[[#This Row],[number]]),AE1481,patch[[#This Row],[ifCommon]])</f>
        <v>0</v>
      </c>
    </row>
    <row r="1483" spans="1:31">
      <c r="A1483" s="151">
        <v>146153</v>
      </c>
      <c r="B1483" s="151"/>
      <c r="C1483" s="151"/>
      <c r="D1483" s="151"/>
      <c r="E1483" s="151"/>
      <c r="F1483" s="151"/>
      <c r="G1483" s="151"/>
      <c r="H1483" s="151"/>
      <c r="I1483" s="151"/>
      <c r="J1483" s="152">
        <v>42632.75439814815</v>
      </c>
      <c r="K1483" s="151"/>
      <c r="L1483" s="151" t="s">
        <v>59</v>
      </c>
      <c r="M1483" s="152">
        <v>42631.777800925927</v>
      </c>
      <c r="N1483" s="151" t="s">
        <v>3318</v>
      </c>
      <c r="O1483" s="151"/>
      <c r="P1483" s="151"/>
      <c r="Q1483" s="7" t="str">
        <f>IF(ISBLANK(patch[[#This Row],[OwnerEmail]]),Q1482,patch[[#This Row],[OwnerEmail]])</f>
        <v>lipingx.xu@intel.com</v>
      </c>
      <c r="R1483" s="7" t="str">
        <f>_xlfn.IFNA(VLOOKUP(patch[[#This Row],[tmp-owner.email]],OrgTree!$A:$K, 11, 0), "not ICG SWFW")</f>
        <v>BJ And dev</v>
      </c>
      <c r="S1483" s="7" t="str">
        <f>IF(patch[[#This Row],[reviewer]]=patch[[#This Row],[tmp-owner.email]], "author", _xlfn.IFNA(VLOOKUP(patch[[#This Row],[reviewer]],OrgTree!$A:$K, 11, 0), "not ICG SWFW"))</f>
        <v>BJ And dev</v>
      </c>
      <c r="T1483" s="7" t="str">
        <f>IF(ISBLANK(patch[[#This Row],[mergeDate]]), "", MID(YEAR(patch[[#This Row],[mergeDate]]), 3,2)&amp;"'ww"&amp;WEEKNUM(patch[[#This Row],[mergeDate]]))</f>
        <v>16'ww39</v>
      </c>
      <c r="U1483" s="7" t="str">
        <f>IF(ISBLANK(patch[[#This Row],[mergeDate]]), U1482, MID(YEAR(patch[[#This Row],[mergeDate]]), 3,2)&amp;"'m"&amp;MONTH(patch[[#This Row],[mergeDate]]))</f>
        <v>16'm9</v>
      </c>
      <c r="V1483" s="7" t="str">
        <f>IF(ISBLANK(patch[[#This Row],[project]]), "",SUM(patch[[#This Row],[BJ -1 num]:[SH -1 num]]))</f>
        <v/>
      </c>
      <c r="W1483" s="7" t="str">
        <f>IF(ISBLANK(patch[[#This Row],[project]]), "",COUNTIFS($A:$A,patch[[#This Row],[number]],$S:$S, "BJ And dev",$AC:$AC, "Review-1"))</f>
        <v/>
      </c>
      <c r="X1483" s="7" t="str">
        <f>IF(ISBLANK(patch[[#This Row],[project]]), "",COUNTIFS($A:$A,patch[[#This Row],[number]],$S:$S, "FL And dev",$AC:$AC, "Review-1"))</f>
        <v/>
      </c>
      <c r="Y1483" s="7" t="str">
        <f>IF(ISBLANK(patch[[#This Row],[project]]), "",COUNTIFS($A:$A,patch[[#This Row],[number]],$S:$S, "SH And dev",$AC:$AC, "Review-1"))</f>
        <v/>
      </c>
      <c r="Z1483" s="7" t="str">
        <f>IF(ISBLANK(patch[[#This Row],[project]]), "",COUNTIFS($A:$A,patch[[#This Row],[number]],$S:$S, "BJ And dev",$AD:$AD, "&lt;&gt;IntegratorValidationComment"))</f>
        <v/>
      </c>
      <c r="AA1483" s="7" t="str">
        <f>IF(ISBLANK(patch[[#This Row],[project]]), "",COUNTIFS($A:$A,patch[[#This Row],[number]],$S:$S, "FL And dev",$AD:$AD, "&lt;&gt;IntegratorValidationComment"))</f>
        <v/>
      </c>
      <c r="AB1483" s="7" t="str">
        <f>IF(ISBLANK(patch[[#This Row],[project]]), "",COUNTIFS($A:$A,patch[[#This Row],[number]],$S:$S, "SH And dev",$AD:$AD, "&lt;&gt;IntegratorValidationComment"))</f>
        <v/>
      </c>
      <c r="AC1483" s="7" t="str">
        <f>IF(OR(ISNUMBER(FIND("Review-1", patch[[#This Row],[comments]])), ISNUMBER(FIND("Approver-1", patch[[#This Row],[comments]]))), "Review-1", "")</f>
        <v/>
      </c>
      <c r="AD14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83" s="7">
        <f>IF(ISBLANK(patch[[#This Row],[number]]),AE1482,patch[[#This Row],[ifCommon]])</f>
        <v>0</v>
      </c>
    </row>
    <row r="1484" spans="1:31">
      <c r="A1484" s="151">
        <v>146153</v>
      </c>
      <c r="B1484" s="151"/>
      <c r="C1484" s="151"/>
      <c r="D1484" s="151"/>
      <c r="E1484" s="151"/>
      <c r="F1484" s="151"/>
      <c r="G1484" s="151"/>
      <c r="H1484" s="151"/>
      <c r="I1484" s="151"/>
      <c r="J1484" s="152">
        <v>42632.75439814815</v>
      </c>
      <c r="K1484" s="151"/>
      <c r="L1484" s="151" t="s">
        <v>59</v>
      </c>
      <c r="M1484" s="152">
        <v>42631.804942129631</v>
      </c>
      <c r="N1484" s="151" t="s">
        <v>3319</v>
      </c>
      <c r="O1484" s="151"/>
      <c r="P1484" s="151"/>
      <c r="Q1484" s="7" t="str">
        <f>IF(ISBLANK(patch[[#This Row],[OwnerEmail]]),Q1483,patch[[#This Row],[OwnerEmail]])</f>
        <v>lipingx.xu@intel.com</v>
      </c>
      <c r="R1484" s="7" t="str">
        <f>_xlfn.IFNA(VLOOKUP(patch[[#This Row],[tmp-owner.email]],OrgTree!$A:$K, 11, 0), "not ICG SWFW")</f>
        <v>BJ And dev</v>
      </c>
      <c r="S1484" s="7" t="str">
        <f>IF(patch[[#This Row],[reviewer]]=patch[[#This Row],[tmp-owner.email]], "author", _xlfn.IFNA(VLOOKUP(patch[[#This Row],[reviewer]],OrgTree!$A:$K, 11, 0), "not ICG SWFW"))</f>
        <v>BJ And dev</v>
      </c>
      <c r="T1484" s="7" t="str">
        <f>IF(ISBLANK(patch[[#This Row],[mergeDate]]), "", MID(YEAR(patch[[#This Row],[mergeDate]]), 3,2)&amp;"'ww"&amp;WEEKNUM(patch[[#This Row],[mergeDate]]))</f>
        <v>16'ww39</v>
      </c>
      <c r="U1484" s="7" t="str">
        <f>IF(ISBLANK(patch[[#This Row],[mergeDate]]), U1483, MID(YEAR(patch[[#This Row],[mergeDate]]), 3,2)&amp;"'m"&amp;MONTH(patch[[#This Row],[mergeDate]]))</f>
        <v>16'm9</v>
      </c>
      <c r="V1484" s="7" t="str">
        <f>IF(ISBLANK(patch[[#This Row],[project]]), "",SUM(patch[[#This Row],[BJ -1 num]:[SH -1 num]]))</f>
        <v/>
      </c>
      <c r="W1484" s="7" t="str">
        <f>IF(ISBLANK(patch[[#This Row],[project]]), "",COUNTIFS($A:$A,patch[[#This Row],[number]],$S:$S, "BJ And dev",$AC:$AC, "Review-1"))</f>
        <v/>
      </c>
      <c r="X1484" s="7" t="str">
        <f>IF(ISBLANK(patch[[#This Row],[project]]), "",COUNTIFS($A:$A,patch[[#This Row],[number]],$S:$S, "FL And dev",$AC:$AC, "Review-1"))</f>
        <v/>
      </c>
      <c r="Y1484" s="7" t="str">
        <f>IF(ISBLANK(patch[[#This Row],[project]]), "",COUNTIFS($A:$A,patch[[#This Row],[number]],$S:$S, "SH And dev",$AC:$AC, "Review-1"))</f>
        <v/>
      </c>
      <c r="Z1484" s="7" t="str">
        <f>IF(ISBLANK(patch[[#This Row],[project]]), "",COUNTIFS($A:$A,patch[[#This Row],[number]],$S:$S, "BJ And dev",$AD:$AD, "&lt;&gt;IntegratorValidationComment"))</f>
        <v/>
      </c>
      <c r="AA1484" s="7" t="str">
        <f>IF(ISBLANK(patch[[#This Row],[project]]), "",COUNTIFS($A:$A,patch[[#This Row],[number]],$S:$S, "FL And dev",$AD:$AD, "&lt;&gt;IntegratorValidationComment"))</f>
        <v/>
      </c>
      <c r="AB1484" s="7" t="str">
        <f>IF(ISBLANK(patch[[#This Row],[project]]), "",COUNTIFS($A:$A,patch[[#This Row],[number]],$S:$S, "SH And dev",$AD:$AD, "&lt;&gt;IntegratorValidationComment"))</f>
        <v/>
      </c>
      <c r="AC1484" s="7" t="str">
        <f>IF(OR(ISNUMBER(FIND("Review-1", patch[[#This Row],[comments]])), ISNUMBER(FIND("Approver-1", patch[[#This Row],[comments]]))), "Review-1", "")</f>
        <v/>
      </c>
      <c r="AD14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84" s="7">
        <f>IF(ISBLANK(patch[[#This Row],[number]]),AE1483,patch[[#This Row],[ifCommon]])</f>
        <v>0</v>
      </c>
    </row>
    <row r="1485" spans="1:31">
      <c r="A1485" s="151">
        <v>146153</v>
      </c>
      <c r="B1485" s="151"/>
      <c r="C1485" s="151"/>
      <c r="D1485" s="151"/>
      <c r="E1485" s="151"/>
      <c r="F1485" s="151"/>
      <c r="G1485" s="151"/>
      <c r="H1485" s="151"/>
      <c r="I1485" s="151"/>
      <c r="J1485" s="152">
        <v>42632.75439814815</v>
      </c>
      <c r="K1485" s="151"/>
      <c r="L1485" s="151" t="s">
        <v>677</v>
      </c>
      <c r="M1485" s="152">
        <v>42632.459120370368</v>
      </c>
      <c r="N1485" s="151" t="s">
        <v>40</v>
      </c>
      <c r="O1485" s="151"/>
      <c r="P1485" s="151"/>
      <c r="Q1485" s="7" t="str">
        <f>IF(ISBLANK(patch[[#This Row],[OwnerEmail]]),Q1484,patch[[#This Row],[OwnerEmail]])</f>
        <v>lipingx.xu@intel.com</v>
      </c>
      <c r="R1485" s="7" t="str">
        <f>_xlfn.IFNA(VLOOKUP(patch[[#This Row],[tmp-owner.email]],OrgTree!$A:$K, 11, 0), "not ICG SWFW")</f>
        <v>BJ And dev</v>
      </c>
      <c r="S1485" s="7" t="str">
        <f>IF(patch[[#This Row],[reviewer]]=patch[[#This Row],[tmp-owner.email]], "author", _xlfn.IFNA(VLOOKUP(patch[[#This Row],[reviewer]],OrgTree!$A:$K, 11, 0), "not ICG SWFW"))</f>
        <v>author</v>
      </c>
      <c r="T1485" s="7" t="str">
        <f>IF(ISBLANK(patch[[#This Row],[mergeDate]]), "", MID(YEAR(patch[[#This Row],[mergeDate]]), 3,2)&amp;"'ww"&amp;WEEKNUM(patch[[#This Row],[mergeDate]]))</f>
        <v>16'ww39</v>
      </c>
      <c r="U1485" s="7" t="str">
        <f>IF(ISBLANK(patch[[#This Row],[mergeDate]]), U1484, MID(YEAR(patch[[#This Row],[mergeDate]]), 3,2)&amp;"'m"&amp;MONTH(patch[[#This Row],[mergeDate]]))</f>
        <v>16'm9</v>
      </c>
      <c r="V1485" s="7" t="str">
        <f>IF(ISBLANK(patch[[#This Row],[project]]), "",SUM(patch[[#This Row],[BJ -1 num]:[SH -1 num]]))</f>
        <v/>
      </c>
      <c r="W1485" s="7" t="str">
        <f>IF(ISBLANK(patch[[#This Row],[project]]), "",COUNTIFS($A:$A,patch[[#This Row],[number]],$S:$S, "BJ And dev",$AC:$AC, "Review-1"))</f>
        <v/>
      </c>
      <c r="X1485" s="7" t="str">
        <f>IF(ISBLANK(patch[[#This Row],[project]]), "",COUNTIFS($A:$A,patch[[#This Row],[number]],$S:$S, "FL And dev",$AC:$AC, "Review-1"))</f>
        <v/>
      </c>
      <c r="Y1485" s="7" t="str">
        <f>IF(ISBLANK(patch[[#This Row],[project]]), "",COUNTIFS($A:$A,patch[[#This Row],[number]],$S:$S, "SH And dev",$AC:$AC, "Review-1"))</f>
        <v/>
      </c>
      <c r="Z1485" s="7" t="str">
        <f>IF(ISBLANK(patch[[#This Row],[project]]), "",COUNTIFS($A:$A,patch[[#This Row],[number]],$S:$S, "BJ And dev",$AD:$AD, "&lt;&gt;IntegratorValidationComment"))</f>
        <v/>
      </c>
      <c r="AA1485" s="7" t="str">
        <f>IF(ISBLANK(patch[[#This Row],[project]]), "",COUNTIFS($A:$A,patch[[#This Row],[number]],$S:$S, "FL And dev",$AD:$AD, "&lt;&gt;IntegratorValidationComment"))</f>
        <v/>
      </c>
      <c r="AB1485" s="7" t="str">
        <f>IF(ISBLANK(patch[[#This Row],[project]]), "",COUNTIFS($A:$A,patch[[#This Row],[number]],$S:$S, "SH And dev",$AD:$AD, "&lt;&gt;IntegratorValidationComment"))</f>
        <v/>
      </c>
      <c r="AC1485" s="7" t="str">
        <f>IF(OR(ISNUMBER(FIND("Review-1", patch[[#This Row],[comments]])), ISNUMBER(FIND("Approver-1", patch[[#This Row],[comments]]))), "Review-1", "")</f>
        <v/>
      </c>
      <c r="AD14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85" s="7">
        <f>IF(ISBLANK(patch[[#This Row],[number]]),AE1484,patch[[#This Row],[ifCommon]])</f>
        <v>0</v>
      </c>
    </row>
    <row r="1486" spans="1:31">
      <c r="A1486" s="151">
        <v>146153</v>
      </c>
      <c r="B1486" s="151"/>
      <c r="C1486" s="151"/>
      <c r="D1486" s="151"/>
      <c r="E1486" s="151"/>
      <c r="F1486" s="151"/>
      <c r="G1486" s="151"/>
      <c r="H1486" s="151"/>
      <c r="I1486" s="151"/>
      <c r="J1486" s="152">
        <v>42632.75439814815</v>
      </c>
      <c r="K1486" s="151"/>
      <c r="L1486" s="151" t="s">
        <v>115</v>
      </c>
      <c r="M1486" s="152">
        <v>42632.602997685193</v>
      </c>
      <c r="N1486" s="151" t="s">
        <v>2494</v>
      </c>
      <c r="O1486" s="151"/>
      <c r="P1486" s="151"/>
      <c r="Q1486" s="7" t="str">
        <f>IF(ISBLANK(patch[[#This Row],[OwnerEmail]]),Q1485,patch[[#This Row],[OwnerEmail]])</f>
        <v>lipingx.xu@intel.com</v>
      </c>
      <c r="R1486" s="7" t="str">
        <f>_xlfn.IFNA(VLOOKUP(patch[[#This Row],[tmp-owner.email]],OrgTree!$A:$K, 11, 0), "not ICG SWFW")</f>
        <v>BJ And dev</v>
      </c>
      <c r="S1486" s="7" t="str">
        <f>IF(patch[[#This Row],[reviewer]]=patch[[#This Row],[tmp-owner.email]], "author", _xlfn.IFNA(VLOOKUP(patch[[#This Row],[reviewer]],OrgTree!$A:$K, 11, 0), "not ICG SWFW"))</f>
        <v>Val</v>
      </c>
      <c r="T1486" s="7" t="str">
        <f>IF(ISBLANK(patch[[#This Row],[mergeDate]]), "", MID(YEAR(patch[[#This Row],[mergeDate]]), 3,2)&amp;"'ww"&amp;WEEKNUM(patch[[#This Row],[mergeDate]]))</f>
        <v>16'ww39</v>
      </c>
      <c r="U1486" s="7" t="str">
        <f>IF(ISBLANK(patch[[#This Row],[mergeDate]]), U1485, MID(YEAR(patch[[#This Row],[mergeDate]]), 3,2)&amp;"'m"&amp;MONTH(patch[[#This Row],[mergeDate]]))</f>
        <v>16'm9</v>
      </c>
      <c r="V1486" s="7" t="str">
        <f>IF(ISBLANK(patch[[#This Row],[project]]), "",SUM(patch[[#This Row],[BJ -1 num]:[SH -1 num]]))</f>
        <v/>
      </c>
      <c r="W1486" s="7" t="str">
        <f>IF(ISBLANK(patch[[#This Row],[project]]), "",COUNTIFS($A:$A,patch[[#This Row],[number]],$S:$S, "BJ And dev",$AC:$AC, "Review-1"))</f>
        <v/>
      </c>
      <c r="X1486" s="7" t="str">
        <f>IF(ISBLANK(patch[[#This Row],[project]]), "",COUNTIFS($A:$A,patch[[#This Row],[number]],$S:$S, "FL And dev",$AC:$AC, "Review-1"))</f>
        <v/>
      </c>
      <c r="Y1486" s="7" t="str">
        <f>IF(ISBLANK(patch[[#This Row],[project]]), "",COUNTIFS($A:$A,patch[[#This Row],[number]],$S:$S, "SH And dev",$AC:$AC, "Review-1"))</f>
        <v/>
      </c>
      <c r="Z1486" s="7" t="str">
        <f>IF(ISBLANK(patch[[#This Row],[project]]), "",COUNTIFS($A:$A,patch[[#This Row],[number]],$S:$S, "BJ And dev",$AD:$AD, "&lt;&gt;IntegratorValidationComment"))</f>
        <v/>
      </c>
      <c r="AA1486" s="7" t="str">
        <f>IF(ISBLANK(patch[[#This Row],[project]]), "",COUNTIFS($A:$A,patch[[#This Row],[number]],$S:$S, "FL And dev",$AD:$AD, "&lt;&gt;IntegratorValidationComment"))</f>
        <v/>
      </c>
      <c r="AB1486" s="7" t="str">
        <f>IF(ISBLANK(patch[[#This Row],[project]]), "",COUNTIFS($A:$A,patch[[#This Row],[number]],$S:$S, "SH And dev",$AD:$AD, "&lt;&gt;IntegratorValidationComment"))</f>
        <v/>
      </c>
      <c r="AC1486" s="7" t="str">
        <f>IF(OR(ISNUMBER(FIND("Review-1", patch[[#This Row],[comments]])), ISNUMBER(FIND("Approver-1", patch[[#This Row],[comments]]))), "Review-1", "")</f>
        <v/>
      </c>
      <c r="AD14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486" s="7">
        <f>IF(ISBLANK(patch[[#This Row],[number]]),AE1485,patch[[#This Row],[ifCommon]])</f>
        <v>0</v>
      </c>
    </row>
    <row r="1487" spans="1:31">
      <c r="A1487" s="151">
        <v>146152</v>
      </c>
      <c r="B1487" s="151" t="s">
        <v>2490</v>
      </c>
      <c r="C1487" s="151" t="s">
        <v>2795</v>
      </c>
      <c r="D1487" s="151" t="s">
        <v>3320</v>
      </c>
      <c r="E1487" s="151" t="s">
        <v>677</v>
      </c>
      <c r="F1487" s="151" t="s">
        <v>23</v>
      </c>
      <c r="G1487" s="151" t="s">
        <v>3321</v>
      </c>
      <c r="H1487" s="151" t="s">
        <v>3322</v>
      </c>
      <c r="I1487" s="152">
        <v>42631.742442129631</v>
      </c>
      <c r="J1487" s="152">
        <v>42632.754363425927</v>
      </c>
      <c r="K1487" s="151" t="s">
        <v>2445</v>
      </c>
      <c r="L1487" s="151" t="s">
        <v>677</v>
      </c>
      <c r="M1487" s="152">
        <v>42631.742442129631</v>
      </c>
      <c r="N1487" s="151" t="s">
        <v>25</v>
      </c>
      <c r="O1487" s="151"/>
      <c r="P1487" s="151" t="s">
        <v>3312</v>
      </c>
      <c r="Q1487" s="7" t="str">
        <f>IF(ISBLANK(patch[[#This Row],[OwnerEmail]]),Q1486,patch[[#This Row],[OwnerEmail]])</f>
        <v>lipingx.xu@intel.com</v>
      </c>
      <c r="R1487" s="7" t="str">
        <f>_xlfn.IFNA(VLOOKUP(patch[[#This Row],[tmp-owner.email]],OrgTree!$A:$K, 11, 0), "not ICG SWFW")</f>
        <v>BJ And dev</v>
      </c>
      <c r="S1487" s="7" t="str">
        <f>IF(patch[[#This Row],[reviewer]]=patch[[#This Row],[tmp-owner.email]], "author", _xlfn.IFNA(VLOOKUP(patch[[#This Row],[reviewer]],OrgTree!$A:$K, 11, 0), "not ICG SWFW"))</f>
        <v>author</v>
      </c>
      <c r="T1487" s="7" t="str">
        <f>IF(ISBLANK(patch[[#This Row],[mergeDate]]), "", MID(YEAR(patch[[#This Row],[mergeDate]]), 3,2)&amp;"'ww"&amp;WEEKNUM(patch[[#This Row],[mergeDate]]))</f>
        <v>16'ww39</v>
      </c>
      <c r="U1487" s="7" t="str">
        <f>IF(ISBLANK(patch[[#This Row],[mergeDate]]), U1486, MID(YEAR(patch[[#This Row],[mergeDate]]), 3,2)&amp;"'m"&amp;MONTH(patch[[#This Row],[mergeDate]]))</f>
        <v>16'm9</v>
      </c>
      <c r="V1487" s="7">
        <f>IF(ISBLANK(patch[[#This Row],[project]]), "",SUM(patch[[#This Row],[BJ -1 num]:[SH -1 num]]))</f>
        <v>0</v>
      </c>
      <c r="W1487" s="7">
        <f>IF(ISBLANK(patch[[#This Row],[project]]), "",COUNTIFS($A:$A,patch[[#This Row],[number]],$S:$S, "BJ And dev",$AC:$AC, "Review-1"))</f>
        <v>0</v>
      </c>
      <c r="X1487" s="7">
        <f>IF(ISBLANK(patch[[#This Row],[project]]), "",COUNTIFS($A:$A,patch[[#This Row],[number]],$S:$S, "FL And dev",$AC:$AC, "Review-1"))</f>
        <v>0</v>
      </c>
      <c r="Y1487" s="7">
        <f>IF(ISBLANK(patch[[#This Row],[project]]), "",COUNTIFS($A:$A,patch[[#This Row],[number]],$S:$S, "SH And dev",$AC:$AC, "Review-1"))</f>
        <v>0</v>
      </c>
      <c r="Z1487" s="7">
        <f>IF(ISBLANK(patch[[#This Row],[project]]), "",COUNTIFS($A:$A,patch[[#This Row],[number]],$S:$S, "BJ And dev",$AD:$AD, "&lt;&gt;IntegratorValidationComment"))</f>
        <v>3</v>
      </c>
      <c r="AA1487" s="7">
        <f>IF(ISBLANK(patch[[#This Row],[project]]), "",COUNTIFS($A:$A,patch[[#This Row],[number]],$S:$S, "FL And dev",$AD:$AD, "&lt;&gt;IntegratorValidationComment"))</f>
        <v>0</v>
      </c>
      <c r="AB1487" s="7">
        <f>IF(ISBLANK(patch[[#This Row],[project]]), "",COUNTIFS($A:$A,patch[[#This Row],[number]],$S:$S, "SH And dev",$AD:$AD, "&lt;&gt;IntegratorValidationComment"))</f>
        <v>0</v>
      </c>
      <c r="AC1487" s="7" t="str">
        <f>IF(OR(ISNUMBER(FIND("Review-1", patch[[#This Row],[comments]])), ISNUMBER(FIND("Approver-1", patch[[#This Row],[comments]]))), "Review-1", "")</f>
        <v/>
      </c>
      <c r="AD14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87" s="7" t="str">
        <f>IF(ISBLANK(patch[[#This Row],[number]]),AE1486,patch[[#This Row],[ifCommon]])</f>
        <v>not AndrHAL</v>
      </c>
    </row>
    <row r="1488" spans="1:31">
      <c r="A1488" s="151">
        <v>146152</v>
      </c>
      <c r="B1488" s="151"/>
      <c r="C1488" s="151"/>
      <c r="D1488" s="151"/>
      <c r="E1488" s="151"/>
      <c r="F1488" s="151"/>
      <c r="G1488" s="151"/>
      <c r="H1488" s="151"/>
      <c r="I1488" s="151"/>
      <c r="J1488" s="152">
        <v>42632.754363425927</v>
      </c>
      <c r="K1488" s="151"/>
      <c r="L1488" s="151" t="s">
        <v>677</v>
      </c>
      <c r="M1488" s="152">
        <v>42631.742581018523</v>
      </c>
      <c r="N1488" s="151" t="s">
        <v>2428</v>
      </c>
      <c r="O1488" s="151"/>
      <c r="P1488" s="151"/>
      <c r="Q1488" s="7" t="str">
        <f>IF(ISBLANK(patch[[#This Row],[OwnerEmail]]),Q1487,patch[[#This Row],[OwnerEmail]])</f>
        <v>lipingx.xu@intel.com</v>
      </c>
      <c r="R1488" s="7" t="str">
        <f>_xlfn.IFNA(VLOOKUP(patch[[#This Row],[tmp-owner.email]],OrgTree!$A:$K, 11, 0), "not ICG SWFW")</f>
        <v>BJ And dev</v>
      </c>
      <c r="S1488" s="7" t="str">
        <f>IF(patch[[#This Row],[reviewer]]=patch[[#This Row],[tmp-owner.email]], "author", _xlfn.IFNA(VLOOKUP(patch[[#This Row],[reviewer]],OrgTree!$A:$K, 11, 0), "not ICG SWFW"))</f>
        <v>author</v>
      </c>
      <c r="T1488" s="7" t="str">
        <f>IF(ISBLANK(patch[[#This Row],[mergeDate]]), "", MID(YEAR(patch[[#This Row],[mergeDate]]), 3,2)&amp;"'ww"&amp;WEEKNUM(patch[[#This Row],[mergeDate]]))</f>
        <v>16'ww39</v>
      </c>
      <c r="U1488" s="7" t="str">
        <f>IF(ISBLANK(patch[[#This Row],[mergeDate]]), U1487, MID(YEAR(patch[[#This Row],[mergeDate]]), 3,2)&amp;"'m"&amp;MONTH(patch[[#This Row],[mergeDate]]))</f>
        <v>16'm9</v>
      </c>
      <c r="V1488" s="7" t="str">
        <f>IF(ISBLANK(patch[[#This Row],[project]]), "",SUM(patch[[#This Row],[BJ -1 num]:[SH -1 num]]))</f>
        <v/>
      </c>
      <c r="W1488" s="7" t="str">
        <f>IF(ISBLANK(patch[[#This Row],[project]]), "",COUNTIFS($A:$A,patch[[#This Row],[number]],$S:$S, "BJ And dev",$AC:$AC, "Review-1"))</f>
        <v/>
      </c>
      <c r="X1488" s="7" t="str">
        <f>IF(ISBLANK(patch[[#This Row],[project]]), "",COUNTIFS($A:$A,patch[[#This Row],[number]],$S:$S, "FL And dev",$AC:$AC, "Review-1"))</f>
        <v/>
      </c>
      <c r="Y1488" s="7" t="str">
        <f>IF(ISBLANK(patch[[#This Row],[project]]), "",COUNTIFS($A:$A,patch[[#This Row],[number]],$S:$S, "SH And dev",$AC:$AC, "Review-1"))</f>
        <v/>
      </c>
      <c r="Z1488" s="7" t="str">
        <f>IF(ISBLANK(patch[[#This Row],[project]]), "",COUNTIFS($A:$A,patch[[#This Row],[number]],$S:$S, "BJ And dev",$AD:$AD, "&lt;&gt;IntegratorValidationComment"))</f>
        <v/>
      </c>
      <c r="AA1488" s="7" t="str">
        <f>IF(ISBLANK(patch[[#This Row],[project]]), "",COUNTIFS($A:$A,patch[[#This Row],[number]],$S:$S, "FL And dev",$AD:$AD, "&lt;&gt;IntegratorValidationComment"))</f>
        <v/>
      </c>
      <c r="AB1488" s="7" t="str">
        <f>IF(ISBLANK(patch[[#This Row],[project]]), "",COUNTIFS($A:$A,patch[[#This Row],[number]],$S:$S, "SH And dev",$AD:$AD, "&lt;&gt;IntegratorValidationComment"))</f>
        <v/>
      </c>
      <c r="AC1488" s="7" t="str">
        <f>IF(OR(ISNUMBER(FIND("Review-1", patch[[#This Row],[comments]])), ISNUMBER(FIND("Approver-1", patch[[#This Row],[comments]]))), "Review-1", "")</f>
        <v/>
      </c>
      <c r="AD14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88" s="7">
        <f>IF(ISBLANK(patch[[#This Row],[number]]),AE1487,patch[[#This Row],[ifCommon]])</f>
        <v>0</v>
      </c>
    </row>
    <row r="1489" spans="1:31">
      <c r="A1489" s="151">
        <v>146152</v>
      </c>
      <c r="B1489" s="151"/>
      <c r="C1489" s="151"/>
      <c r="D1489" s="151"/>
      <c r="E1489" s="151"/>
      <c r="F1489" s="151"/>
      <c r="G1489" s="151"/>
      <c r="H1489" s="151"/>
      <c r="I1489" s="151"/>
      <c r="J1489" s="152">
        <v>42632.754363425927</v>
      </c>
      <c r="K1489" s="151"/>
      <c r="L1489" s="151" t="s">
        <v>24</v>
      </c>
      <c r="M1489" s="152">
        <v>42631.75708333333</v>
      </c>
      <c r="N1489" s="151" t="s">
        <v>1880</v>
      </c>
      <c r="O1489" s="151"/>
      <c r="P1489" s="151"/>
      <c r="Q1489" s="7" t="str">
        <f>IF(ISBLANK(patch[[#This Row],[OwnerEmail]]),Q1488,patch[[#This Row],[OwnerEmail]])</f>
        <v>lipingx.xu@intel.com</v>
      </c>
      <c r="R1489" s="7" t="str">
        <f>_xlfn.IFNA(VLOOKUP(patch[[#This Row],[tmp-owner.email]],OrgTree!$A:$K, 11, 0), "not ICG SWFW")</f>
        <v>BJ And dev</v>
      </c>
      <c r="S1489" s="7" t="str">
        <f>IF(patch[[#This Row],[reviewer]]=patch[[#This Row],[tmp-owner.email]], "author", _xlfn.IFNA(VLOOKUP(patch[[#This Row],[reviewer]],OrgTree!$A:$K, 11, 0), "not ICG SWFW"))</f>
        <v>BJ And dev</v>
      </c>
      <c r="T1489" s="7" t="str">
        <f>IF(ISBLANK(patch[[#This Row],[mergeDate]]), "", MID(YEAR(patch[[#This Row],[mergeDate]]), 3,2)&amp;"'ww"&amp;WEEKNUM(patch[[#This Row],[mergeDate]]))</f>
        <v>16'ww39</v>
      </c>
      <c r="U1489" s="7" t="str">
        <f>IF(ISBLANK(patch[[#This Row],[mergeDate]]), U1488, MID(YEAR(patch[[#This Row],[mergeDate]]), 3,2)&amp;"'m"&amp;MONTH(patch[[#This Row],[mergeDate]]))</f>
        <v>16'm9</v>
      </c>
      <c r="V1489" s="7" t="str">
        <f>IF(ISBLANK(patch[[#This Row],[project]]), "",SUM(patch[[#This Row],[BJ -1 num]:[SH -1 num]]))</f>
        <v/>
      </c>
      <c r="W1489" s="7" t="str">
        <f>IF(ISBLANK(patch[[#This Row],[project]]), "",COUNTIFS($A:$A,patch[[#This Row],[number]],$S:$S, "BJ And dev",$AC:$AC, "Review-1"))</f>
        <v/>
      </c>
      <c r="X1489" s="7" t="str">
        <f>IF(ISBLANK(patch[[#This Row],[project]]), "",COUNTIFS($A:$A,patch[[#This Row],[number]],$S:$S, "FL And dev",$AC:$AC, "Review-1"))</f>
        <v/>
      </c>
      <c r="Y1489" s="7" t="str">
        <f>IF(ISBLANK(patch[[#This Row],[project]]), "",COUNTIFS($A:$A,patch[[#This Row],[number]],$S:$S, "SH And dev",$AC:$AC, "Review-1"))</f>
        <v/>
      </c>
      <c r="Z1489" s="7" t="str">
        <f>IF(ISBLANK(patch[[#This Row],[project]]), "",COUNTIFS($A:$A,patch[[#This Row],[number]],$S:$S, "BJ And dev",$AD:$AD, "&lt;&gt;IntegratorValidationComment"))</f>
        <v/>
      </c>
      <c r="AA1489" s="7" t="str">
        <f>IF(ISBLANK(patch[[#This Row],[project]]), "",COUNTIFS($A:$A,patch[[#This Row],[number]],$S:$S, "FL And dev",$AD:$AD, "&lt;&gt;IntegratorValidationComment"))</f>
        <v/>
      </c>
      <c r="AB1489" s="7" t="str">
        <f>IF(ISBLANK(patch[[#This Row],[project]]), "",COUNTIFS($A:$A,patch[[#This Row],[number]],$S:$S, "SH And dev",$AD:$AD, "&lt;&gt;IntegratorValidationComment"))</f>
        <v/>
      </c>
      <c r="AC1489" s="7" t="str">
        <f>IF(OR(ISNUMBER(FIND("Review-1", patch[[#This Row],[comments]])), ISNUMBER(FIND("Approver-1", patch[[#This Row],[comments]]))), "Review-1", "")</f>
        <v/>
      </c>
      <c r="AD14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89" s="7">
        <f>IF(ISBLANK(patch[[#This Row],[number]]),AE1488,patch[[#This Row],[ifCommon]])</f>
        <v>0</v>
      </c>
    </row>
    <row r="1490" spans="1:31">
      <c r="A1490" s="151">
        <v>146152</v>
      </c>
      <c r="B1490" s="151"/>
      <c r="C1490" s="151"/>
      <c r="D1490" s="151"/>
      <c r="E1490" s="151"/>
      <c r="F1490" s="151"/>
      <c r="G1490" s="151"/>
      <c r="H1490" s="151"/>
      <c r="I1490" s="151"/>
      <c r="J1490" s="152">
        <v>42632.754363425927</v>
      </c>
      <c r="K1490" s="151"/>
      <c r="L1490" s="151" t="s">
        <v>59</v>
      </c>
      <c r="M1490" s="152">
        <v>42631.781759259262</v>
      </c>
      <c r="N1490" s="151" t="s">
        <v>3323</v>
      </c>
      <c r="O1490" s="151"/>
      <c r="P1490" s="151"/>
      <c r="Q1490" s="7" t="str">
        <f>IF(ISBLANK(patch[[#This Row],[OwnerEmail]]),Q1489,patch[[#This Row],[OwnerEmail]])</f>
        <v>lipingx.xu@intel.com</v>
      </c>
      <c r="R1490" s="7" t="str">
        <f>_xlfn.IFNA(VLOOKUP(patch[[#This Row],[tmp-owner.email]],OrgTree!$A:$K, 11, 0), "not ICG SWFW")</f>
        <v>BJ And dev</v>
      </c>
      <c r="S1490" s="7" t="str">
        <f>IF(patch[[#This Row],[reviewer]]=patch[[#This Row],[tmp-owner.email]], "author", _xlfn.IFNA(VLOOKUP(patch[[#This Row],[reviewer]],OrgTree!$A:$K, 11, 0), "not ICG SWFW"))</f>
        <v>BJ And dev</v>
      </c>
      <c r="T1490" s="7" t="str">
        <f>IF(ISBLANK(patch[[#This Row],[mergeDate]]), "", MID(YEAR(patch[[#This Row],[mergeDate]]), 3,2)&amp;"'ww"&amp;WEEKNUM(patch[[#This Row],[mergeDate]]))</f>
        <v>16'ww39</v>
      </c>
      <c r="U1490" s="7" t="str">
        <f>IF(ISBLANK(patch[[#This Row],[mergeDate]]), U1489, MID(YEAR(patch[[#This Row],[mergeDate]]), 3,2)&amp;"'m"&amp;MONTH(patch[[#This Row],[mergeDate]]))</f>
        <v>16'm9</v>
      </c>
      <c r="V1490" s="7" t="str">
        <f>IF(ISBLANK(patch[[#This Row],[project]]), "",SUM(patch[[#This Row],[BJ -1 num]:[SH -1 num]]))</f>
        <v/>
      </c>
      <c r="W1490" s="7" t="str">
        <f>IF(ISBLANK(patch[[#This Row],[project]]), "",COUNTIFS($A:$A,patch[[#This Row],[number]],$S:$S, "BJ And dev",$AC:$AC, "Review-1"))</f>
        <v/>
      </c>
      <c r="X1490" s="7" t="str">
        <f>IF(ISBLANK(patch[[#This Row],[project]]), "",COUNTIFS($A:$A,patch[[#This Row],[number]],$S:$S, "FL And dev",$AC:$AC, "Review-1"))</f>
        <v/>
      </c>
      <c r="Y1490" s="7" t="str">
        <f>IF(ISBLANK(patch[[#This Row],[project]]), "",COUNTIFS($A:$A,patch[[#This Row],[number]],$S:$S, "SH And dev",$AC:$AC, "Review-1"))</f>
        <v/>
      </c>
      <c r="Z1490" s="7" t="str">
        <f>IF(ISBLANK(patch[[#This Row],[project]]), "",COUNTIFS($A:$A,patch[[#This Row],[number]],$S:$S, "BJ And dev",$AD:$AD, "&lt;&gt;IntegratorValidationComment"))</f>
        <v/>
      </c>
      <c r="AA1490" s="7" t="str">
        <f>IF(ISBLANK(patch[[#This Row],[project]]), "",COUNTIFS($A:$A,patch[[#This Row],[number]],$S:$S, "FL And dev",$AD:$AD, "&lt;&gt;IntegratorValidationComment"))</f>
        <v/>
      </c>
      <c r="AB1490" s="7" t="str">
        <f>IF(ISBLANK(patch[[#This Row],[project]]), "",COUNTIFS($A:$A,patch[[#This Row],[number]],$S:$S, "SH And dev",$AD:$AD, "&lt;&gt;IntegratorValidationComment"))</f>
        <v/>
      </c>
      <c r="AC1490" s="7" t="str">
        <f>IF(OR(ISNUMBER(FIND("Review-1", patch[[#This Row],[comments]])), ISNUMBER(FIND("Approver-1", patch[[#This Row],[comments]]))), "Review-1", "")</f>
        <v/>
      </c>
      <c r="AD14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90" s="7">
        <f>IF(ISBLANK(patch[[#This Row],[number]]),AE1489,patch[[#This Row],[ifCommon]])</f>
        <v>0</v>
      </c>
    </row>
    <row r="1491" spans="1:31">
      <c r="A1491" s="151">
        <v>146152</v>
      </c>
      <c r="B1491" s="151"/>
      <c r="C1491" s="151"/>
      <c r="D1491" s="151"/>
      <c r="E1491" s="151"/>
      <c r="F1491" s="151"/>
      <c r="G1491" s="151"/>
      <c r="H1491" s="151"/>
      <c r="I1491" s="151"/>
      <c r="J1491" s="152">
        <v>42632.754363425927</v>
      </c>
      <c r="K1491" s="151"/>
      <c r="L1491" s="151" t="s">
        <v>59</v>
      </c>
      <c r="M1491" s="152">
        <v>42631.807025462957</v>
      </c>
      <c r="N1491" s="151" t="s">
        <v>3324</v>
      </c>
      <c r="O1491" s="151"/>
      <c r="P1491" s="151"/>
      <c r="Q1491" s="7" t="str">
        <f>IF(ISBLANK(patch[[#This Row],[OwnerEmail]]),Q1490,patch[[#This Row],[OwnerEmail]])</f>
        <v>lipingx.xu@intel.com</v>
      </c>
      <c r="R1491" s="7" t="str">
        <f>_xlfn.IFNA(VLOOKUP(patch[[#This Row],[tmp-owner.email]],OrgTree!$A:$K, 11, 0), "not ICG SWFW")</f>
        <v>BJ And dev</v>
      </c>
      <c r="S1491" s="7" t="str">
        <f>IF(patch[[#This Row],[reviewer]]=patch[[#This Row],[tmp-owner.email]], "author", _xlfn.IFNA(VLOOKUP(patch[[#This Row],[reviewer]],OrgTree!$A:$K, 11, 0), "not ICG SWFW"))</f>
        <v>BJ And dev</v>
      </c>
      <c r="T1491" s="7" t="str">
        <f>IF(ISBLANK(patch[[#This Row],[mergeDate]]), "", MID(YEAR(patch[[#This Row],[mergeDate]]), 3,2)&amp;"'ww"&amp;WEEKNUM(patch[[#This Row],[mergeDate]]))</f>
        <v>16'ww39</v>
      </c>
      <c r="U1491" s="7" t="str">
        <f>IF(ISBLANK(patch[[#This Row],[mergeDate]]), U1490, MID(YEAR(patch[[#This Row],[mergeDate]]), 3,2)&amp;"'m"&amp;MONTH(patch[[#This Row],[mergeDate]]))</f>
        <v>16'm9</v>
      </c>
      <c r="V1491" s="7" t="str">
        <f>IF(ISBLANK(patch[[#This Row],[project]]), "",SUM(patch[[#This Row],[BJ -1 num]:[SH -1 num]]))</f>
        <v/>
      </c>
      <c r="W1491" s="7" t="str">
        <f>IF(ISBLANK(patch[[#This Row],[project]]), "",COUNTIFS($A:$A,patch[[#This Row],[number]],$S:$S, "BJ And dev",$AC:$AC, "Review-1"))</f>
        <v/>
      </c>
      <c r="X1491" s="7" t="str">
        <f>IF(ISBLANK(patch[[#This Row],[project]]), "",COUNTIFS($A:$A,patch[[#This Row],[number]],$S:$S, "FL And dev",$AC:$AC, "Review-1"))</f>
        <v/>
      </c>
      <c r="Y1491" s="7" t="str">
        <f>IF(ISBLANK(patch[[#This Row],[project]]), "",COUNTIFS($A:$A,patch[[#This Row],[number]],$S:$S, "SH And dev",$AC:$AC, "Review-1"))</f>
        <v/>
      </c>
      <c r="Z1491" s="7" t="str">
        <f>IF(ISBLANK(patch[[#This Row],[project]]), "",COUNTIFS($A:$A,patch[[#This Row],[number]],$S:$S, "BJ And dev",$AD:$AD, "&lt;&gt;IntegratorValidationComment"))</f>
        <v/>
      </c>
      <c r="AA1491" s="7" t="str">
        <f>IF(ISBLANK(patch[[#This Row],[project]]), "",COUNTIFS($A:$A,patch[[#This Row],[number]],$S:$S, "FL And dev",$AD:$AD, "&lt;&gt;IntegratorValidationComment"))</f>
        <v/>
      </c>
      <c r="AB1491" s="7" t="str">
        <f>IF(ISBLANK(patch[[#This Row],[project]]), "",COUNTIFS($A:$A,patch[[#This Row],[number]],$S:$S, "SH And dev",$AD:$AD, "&lt;&gt;IntegratorValidationComment"))</f>
        <v/>
      </c>
      <c r="AC1491" s="7" t="str">
        <f>IF(OR(ISNUMBER(FIND("Review-1", patch[[#This Row],[comments]])), ISNUMBER(FIND("Approver-1", patch[[#This Row],[comments]]))), "Review-1", "")</f>
        <v/>
      </c>
      <c r="AD14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91" s="7">
        <f>IF(ISBLANK(patch[[#This Row],[number]]),AE1490,patch[[#This Row],[ifCommon]])</f>
        <v>0</v>
      </c>
    </row>
    <row r="1492" spans="1:31">
      <c r="A1492" s="151">
        <v>146152</v>
      </c>
      <c r="B1492" s="151"/>
      <c r="C1492" s="151"/>
      <c r="D1492" s="151"/>
      <c r="E1492" s="151"/>
      <c r="F1492" s="151"/>
      <c r="G1492" s="151"/>
      <c r="H1492" s="151"/>
      <c r="I1492" s="151"/>
      <c r="J1492" s="152">
        <v>42632.754363425927</v>
      </c>
      <c r="K1492" s="151"/>
      <c r="L1492" s="151" t="s">
        <v>677</v>
      </c>
      <c r="M1492" s="152">
        <v>42632.459050925929</v>
      </c>
      <c r="N1492" s="151" t="s">
        <v>40</v>
      </c>
      <c r="O1492" s="151"/>
      <c r="P1492" s="151"/>
      <c r="Q1492" s="7" t="str">
        <f>IF(ISBLANK(patch[[#This Row],[OwnerEmail]]),Q1491,patch[[#This Row],[OwnerEmail]])</f>
        <v>lipingx.xu@intel.com</v>
      </c>
      <c r="R1492" s="7" t="str">
        <f>_xlfn.IFNA(VLOOKUP(patch[[#This Row],[tmp-owner.email]],OrgTree!$A:$K, 11, 0), "not ICG SWFW")</f>
        <v>BJ And dev</v>
      </c>
      <c r="S1492" s="7" t="str">
        <f>IF(patch[[#This Row],[reviewer]]=patch[[#This Row],[tmp-owner.email]], "author", _xlfn.IFNA(VLOOKUP(patch[[#This Row],[reviewer]],OrgTree!$A:$K, 11, 0), "not ICG SWFW"))</f>
        <v>author</v>
      </c>
      <c r="T1492" s="7" t="str">
        <f>IF(ISBLANK(patch[[#This Row],[mergeDate]]), "", MID(YEAR(patch[[#This Row],[mergeDate]]), 3,2)&amp;"'ww"&amp;WEEKNUM(patch[[#This Row],[mergeDate]]))</f>
        <v>16'ww39</v>
      </c>
      <c r="U1492" s="7" t="str">
        <f>IF(ISBLANK(patch[[#This Row],[mergeDate]]), U1491, MID(YEAR(patch[[#This Row],[mergeDate]]), 3,2)&amp;"'m"&amp;MONTH(patch[[#This Row],[mergeDate]]))</f>
        <v>16'm9</v>
      </c>
      <c r="V1492" s="7" t="str">
        <f>IF(ISBLANK(patch[[#This Row],[project]]), "",SUM(patch[[#This Row],[BJ -1 num]:[SH -1 num]]))</f>
        <v/>
      </c>
      <c r="W1492" s="7" t="str">
        <f>IF(ISBLANK(patch[[#This Row],[project]]), "",COUNTIFS($A:$A,patch[[#This Row],[number]],$S:$S, "BJ And dev",$AC:$AC, "Review-1"))</f>
        <v/>
      </c>
      <c r="X1492" s="7" t="str">
        <f>IF(ISBLANK(patch[[#This Row],[project]]), "",COUNTIFS($A:$A,patch[[#This Row],[number]],$S:$S, "FL And dev",$AC:$AC, "Review-1"))</f>
        <v/>
      </c>
      <c r="Y1492" s="7" t="str">
        <f>IF(ISBLANK(patch[[#This Row],[project]]), "",COUNTIFS($A:$A,patch[[#This Row],[number]],$S:$S, "SH And dev",$AC:$AC, "Review-1"))</f>
        <v/>
      </c>
      <c r="Z1492" s="7" t="str">
        <f>IF(ISBLANK(patch[[#This Row],[project]]), "",COUNTIFS($A:$A,patch[[#This Row],[number]],$S:$S, "BJ And dev",$AD:$AD, "&lt;&gt;IntegratorValidationComment"))</f>
        <v/>
      </c>
      <c r="AA1492" s="7" t="str">
        <f>IF(ISBLANK(patch[[#This Row],[project]]), "",COUNTIFS($A:$A,patch[[#This Row],[number]],$S:$S, "FL And dev",$AD:$AD, "&lt;&gt;IntegratorValidationComment"))</f>
        <v/>
      </c>
      <c r="AB1492" s="7" t="str">
        <f>IF(ISBLANK(patch[[#This Row],[project]]), "",COUNTIFS($A:$A,patch[[#This Row],[number]],$S:$S, "SH And dev",$AD:$AD, "&lt;&gt;IntegratorValidationComment"))</f>
        <v/>
      </c>
      <c r="AC1492" s="7" t="str">
        <f>IF(OR(ISNUMBER(FIND("Review-1", patch[[#This Row],[comments]])), ISNUMBER(FIND("Approver-1", patch[[#This Row],[comments]]))), "Review-1", "")</f>
        <v/>
      </c>
      <c r="AD14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92" s="7">
        <f>IF(ISBLANK(patch[[#This Row],[number]]),AE1491,patch[[#This Row],[ifCommon]])</f>
        <v>0</v>
      </c>
    </row>
    <row r="1493" spans="1:31">
      <c r="A1493" s="151">
        <v>146152</v>
      </c>
      <c r="B1493" s="151"/>
      <c r="C1493" s="151"/>
      <c r="D1493" s="151"/>
      <c r="E1493" s="151"/>
      <c r="F1493" s="151"/>
      <c r="G1493" s="151"/>
      <c r="H1493" s="151"/>
      <c r="I1493" s="151"/>
      <c r="J1493" s="152">
        <v>42632.754363425927</v>
      </c>
      <c r="K1493" s="151"/>
      <c r="L1493" s="151" t="s">
        <v>115</v>
      </c>
      <c r="M1493" s="152">
        <v>42632.604224537034</v>
      </c>
      <c r="N1493" s="151" t="s">
        <v>2494</v>
      </c>
      <c r="O1493" s="151"/>
      <c r="P1493" s="151"/>
      <c r="Q1493" s="7" t="str">
        <f>IF(ISBLANK(patch[[#This Row],[OwnerEmail]]),Q1492,patch[[#This Row],[OwnerEmail]])</f>
        <v>lipingx.xu@intel.com</v>
      </c>
      <c r="R1493" s="7" t="str">
        <f>_xlfn.IFNA(VLOOKUP(patch[[#This Row],[tmp-owner.email]],OrgTree!$A:$K, 11, 0), "not ICG SWFW")</f>
        <v>BJ And dev</v>
      </c>
      <c r="S1493" s="7" t="str">
        <f>IF(patch[[#This Row],[reviewer]]=patch[[#This Row],[tmp-owner.email]], "author", _xlfn.IFNA(VLOOKUP(patch[[#This Row],[reviewer]],OrgTree!$A:$K, 11, 0), "not ICG SWFW"))</f>
        <v>Val</v>
      </c>
      <c r="T1493" s="7" t="str">
        <f>IF(ISBLANK(patch[[#This Row],[mergeDate]]), "", MID(YEAR(patch[[#This Row],[mergeDate]]), 3,2)&amp;"'ww"&amp;WEEKNUM(patch[[#This Row],[mergeDate]]))</f>
        <v>16'ww39</v>
      </c>
      <c r="U1493" s="7" t="str">
        <f>IF(ISBLANK(patch[[#This Row],[mergeDate]]), U1492, MID(YEAR(patch[[#This Row],[mergeDate]]), 3,2)&amp;"'m"&amp;MONTH(patch[[#This Row],[mergeDate]]))</f>
        <v>16'm9</v>
      </c>
      <c r="V1493" s="7" t="str">
        <f>IF(ISBLANK(patch[[#This Row],[project]]), "",SUM(patch[[#This Row],[BJ -1 num]:[SH -1 num]]))</f>
        <v/>
      </c>
      <c r="W1493" s="7" t="str">
        <f>IF(ISBLANK(patch[[#This Row],[project]]), "",COUNTIFS($A:$A,patch[[#This Row],[number]],$S:$S, "BJ And dev",$AC:$AC, "Review-1"))</f>
        <v/>
      </c>
      <c r="X1493" s="7" t="str">
        <f>IF(ISBLANK(patch[[#This Row],[project]]), "",COUNTIFS($A:$A,patch[[#This Row],[number]],$S:$S, "FL And dev",$AC:$AC, "Review-1"))</f>
        <v/>
      </c>
      <c r="Y1493" s="7" t="str">
        <f>IF(ISBLANK(patch[[#This Row],[project]]), "",COUNTIFS($A:$A,patch[[#This Row],[number]],$S:$S, "SH And dev",$AC:$AC, "Review-1"))</f>
        <v/>
      </c>
      <c r="Z1493" s="7" t="str">
        <f>IF(ISBLANK(patch[[#This Row],[project]]), "",COUNTIFS($A:$A,patch[[#This Row],[number]],$S:$S, "BJ And dev",$AD:$AD, "&lt;&gt;IntegratorValidationComment"))</f>
        <v/>
      </c>
      <c r="AA1493" s="7" t="str">
        <f>IF(ISBLANK(patch[[#This Row],[project]]), "",COUNTIFS($A:$A,patch[[#This Row],[number]],$S:$S, "FL And dev",$AD:$AD, "&lt;&gt;IntegratorValidationComment"))</f>
        <v/>
      </c>
      <c r="AB1493" s="7" t="str">
        <f>IF(ISBLANK(patch[[#This Row],[project]]), "",COUNTIFS($A:$A,patch[[#This Row],[number]],$S:$S, "SH And dev",$AD:$AD, "&lt;&gt;IntegratorValidationComment"))</f>
        <v/>
      </c>
      <c r="AC1493" s="7" t="str">
        <f>IF(OR(ISNUMBER(FIND("Review-1", patch[[#This Row],[comments]])), ISNUMBER(FIND("Approver-1", patch[[#This Row],[comments]]))), "Review-1", "")</f>
        <v/>
      </c>
      <c r="AD14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493" s="7">
        <f>IF(ISBLANK(patch[[#This Row],[number]]),AE1492,patch[[#This Row],[ifCommon]])</f>
        <v>0</v>
      </c>
    </row>
    <row r="1494" spans="1:31">
      <c r="A1494" s="151">
        <v>146151</v>
      </c>
      <c r="B1494" s="151" t="s">
        <v>2490</v>
      </c>
      <c r="C1494" s="151" t="s">
        <v>2795</v>
      </c>
      <c r="D1494" s="151" t="s">
        <v>3325</v>
      </c>
      <c r="E1494" s="151" t="s">
        <v>677</v>
      </c>
      <c r="F1494" s="151" t="s">
        <v>23</v>
      </c>
      <c r="G1494" s="151" t="s">
        <v>3326</v>
      </c>
      <c r="H1494" s="151" t="s">
        <v>3327</v>
      </c>
      <c r="I1494" s="152">
        <v>42631.742442129631</v>
      </c>
      <c r="J1494" s="152">
        <v>42632.754259259258</v>
      </c>
      <c r="K1494" s="151" t="s">
        <v>2445</v>
      </c>
      <c r="L1494" s="151" t="s">
        <v>677</v>
      </c>
      <c r="M1494" s="152">
        <v>42631.742442129631</v>
      </c>
      <c r="N1494" s="151" t="s">
        <v>25</v>
      </c>
      <c r="O1494" s="151"/>
      <c r="P1494" s="151" t="s">
        <v>3312</v>
      </c>
      <c r="Q1494" s="7" t="str">
        <f>IF(ISBLANK(patch[[#This Row],[OwnerEmail]]),Q1493,patch[[#This Row],[OwnerEmail]])</f>
        <v>lipingx.xu@intel.com</v>
      </c>
      <c r="R1494" s="7" t="str">
        <f>_xlfn.IFNA(VLOOKUP(patch[[#This Row],[tmp-owner.email]],OrgTree!$A:$K, 11, 0), "not ICG SWFW")</f>
        <v>BJ And dev</v>
      </c>
      <c r="S1494" s="7" t="str">
        <f>IF(patch[[#This Row],[reviewer]]=patch[[#This Row],[tmp-owner.email]], "author", _xlfn.IFNA(VLOOKUP(patch[[#This Row],[reviewer]],OrgTree!$A:$K, 11, 0), "not ICG SWFW"))</f>
        <v>author</v>
      </c>
      <c r="T1494" s="7" t="str">
        <f>IF(ISBLANK(patch[[#This Row],[mergeDate]]), "", MID(YEAR(patch[[#This Row],[mergeDate]]), 3,2)&amp;"'ww"&amp;WEEKNUM(patch[[#This Row],[mergeDate]]))</f>
        <v>16'ww39</v>
      </c>
      <c r="U1494" s="7" t="str">
        <f>IF(ISBLANK(patch[[#This Row],[mergeDate]]), U1493, MID(YEAR(patch[[#This Row],[mergeDate]]), 3,2)&amp;"'m"&amp;MONTH(patch[[#This Row],[mergeDate]]))</f>
        <v>16'm9</v>
      </c>
      <c r="V1494" s="7">
        <f>IF(ISBLANK(patch[[#This Row],[project]]), "",SUM(patch[[#This Row],[BJ -1 num]:[SH -1 num]]))</f>
        <v>0</v>
      </c>
      <c r="W1494" s="7">
        <f>IF(ISBLANK(patch[[#This Row],[project]]), "",COUNTIFS($A:$A,patch[[#This Row],[number]],$S:$S, "BJ And dev",$AC:$AC, "Review-1"))</f>
        <v>0</v>
      </c>
      <c r="X1494" s="7">
        <f>IF(ISBLANK(patch[[#This Row],[project]]), "",COUNTIFS($A:$A,patch[[#This Row],[number]],$S:$S, "FL And dev",$AC:$AC, "Review-1"))</f>
        <v>0</v>
      </c>
      <c r="Y1494" s="7">
        <f>IF(ISBLANK(patch[[#This Row],[project]]), "",COUNTIFS($A:$A,patch[[#This Row],[number]],$S:$S, "SH And dev",$AC:$AC, "Review-1"))</f>
        <v>0</v>
      </c>
      <c r="Z1494" s="7">
        <f>IF(ISBLANK(patch[[#This Row],[project]]), "",COUNTIFS($A:$A,patch[[#This Row],[number]],$S:$S, "BJ And dev",$AD:$AD, "&lt;&gt;IntegratorValidationComment"))</f>
        <v>3</v>
      </c>
      <c r="AA1494" s="7">
        <f>IF(ISBLANK(patch[[#This Row],[project]]), "",COUNTIFS($A:$A,patch[[#This Row],[number]],$S:$S, "FL And dev",$AD:$AD, "&lt;&gt;IntegratorValidationComment"))</f>
        <v>0</v>
      </c>
      <c r="AB1494" s="7">
        <f>IF(ISBLANK(patch[[#This Row],[project]]), "",COUNTIFS($A:$A,patch[[#This Row],[number]],$S:$S, "SH And dev",$AD:$AD, "&lt;&gt;IntegratorValidationComment"))</f>
        <v>0</v>
      </c>
      <c r="AC1494" s="7" t="str">
        <f>IF(OR(ISNUMBER(FIND("Review-1", patch[[#This Row],[comments]])), ISNUMBER(FIND("Approver-1", patch[[#This Row],[comments]]))), "Review-1", "")</f>
        <v/>
      </c>
      <c r="AD14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94" s="7" t="str">
        <f>IF(ISBLANK(patch[[#This Row],[number]]),AE1493,patch[[#This Row],[ifCommon]])</f>
        <v>not AndrHAL</v>
      </c>
    </row>
    <row r="1495" spans="1:31">
      <c r="A1495" s="151">
        <v>146151</v>
      </c>
      <c r="B1495" s="151"/>
      <c r="C1495" s="151"/>
      <c r="D1495" s="151"/>
      <c r="E1495" s="151"/>
      <c r="F1495" s="151"/>
      <c r="G1495" s="151"/>
      <c r="H1495" s="151"/>
      <c r="I1495" s="151"/>
      <c r="J1495" s="152">
        <v>42632.754259259258</v>
      </c>
      <c r="K1495" s="151"/>
      <c r="L1495" s="151" t="s">
        <v>677</v>
      </c>
      <c r="M1495" s="152">
        <v>42631.742569444446</v>
      </c>
      <c r="N1495" s="151" t="s">
        <v>2428</v>
      </c>
      <c r="O1495" s="151"/>
      <c r="P1495" s="151"/>
      <c r="Q1495" s="7" t="str">
        <f>IF(ISBLANK(patch[[#This Row],[OwnerEmail]]),Q1494,patch[[#This Row],[OwnerEmail]])</f>
        <v>lipingx.xu@intel.com</v>
      </c>
      <c r="R1495" s="7" t="str">
        <f>_xlfn.IFNA(VLOOKUP(patch[[#This Row],[tmp-owner.email]],OrgTree!$A:$K, 11, 0), "not ICG SWFW")</f>
        <v>BJ And dev</v>
      </c>
      <c r="S1495" s="7" t="str">
        <f>IF(patch[[#This Row],[reviewer]]=patch[[#This Row],[tmp-owner.email]], "author", _xlfn.IFNA(VLOOKUP(patch[[#This Row],[reviewer]],OrgTree!$A:$K, 11, 0), "not ICG SWFW"))</f>
        <v>author</v>
      </c>
      <c r="T1495" s="7" t="str">
        <f>IF(ISBLANK(patch[[#This Row],[mergeDate]]), "", MID(YEAR(patch[[#This Row],[mergeDate]]), 3,2)&amp;"'ww"&amp;WEEKNUM(patch[[#This Row],[mergeDate]]))</f>
        <v>16'ww39</v>
      </c>
      <c r="U1495" s="7" t="str">
        <f>IF(ISBLANK(patch[[#This Row],[mergeDate]]), U1494, MID(YEAR(patch[[#This Row],[mergeDate]]), 3,2)&amp;"'m"&amp;MONTH(patch[[#This Row],[mergeDate]]))</f>
        <v>16'm9</v>
      </c>
      <c r="V1495" s="7" t="str">
        <f>IF(ISBLANK(patch[[#This Row],[project]]), "",SUM(patch[[#This Row],[BJ -1 num]:[SH -1 num]]))</f>
        <v/>
      </c>
      <c r="W1495" s="7" t="str">
        <f>IF(ISBLANK(patch[[#This Row],[project]]), "",COUNTIFS($A:$A,patch[[#This Row],[number]],$S:$S, "BJ And dev",$AC:$AC, "Review-1"))</f>
        <v/>
      </c>
      <c r="X1495" s="7" t="str">
        <f>IF(ISBLANK(patch[[#This Row],[project]]), "",COUNTIFS($A:$A,patch[[#This Row],[number]],$S:$S, "FL And dev",$AC:$AC, "Review-1"))</f>
        <v/>
      </c>
      <c r="Y1495" s="7" t="str">
        <f>IF(ISBLANK(patch[[#This Row],[project]]), "",COUNTIFS($A:$A,patch[[#This Row],[number]],$S:$S, "SH And dev",$AC:$AC, "Review-1"))</f>
        <v/>
      </c>
      <c r="Z1495" s="7" t="str">
        <f>IF(ISBLANK(patch[[#This Row],[project]]), "",COUNTIFS($A:$A,patch[[#This Row],[number]],$S:$S, "BJ And dev",$AD:$AD, "&lt;&gt;IntegratorValidationComment"))</f>
        <v/>
      </c>
      <c r="AA1495" s="7" t="str">
        <f>IF(ISBLANK(patch[[#This Row],[project]]), "",COUNTIFS($A:$A,patch[[#This Row],[number]],$S:$S, "FL And dev",$AD:$AD, "&lt;&gt;IntegratorValidationComment"))</f>
        <v/>
      </c>
      <c r="AB1495" s="7" t="str">
        <f>IF(ISBLANK(patch[[#This Row],[project]]), "",COUNTIFS($A:$A,patch[[#This Row],[number]],$S:$S, "SH And dev",$AD:$AD, "&lt;&gt;IntegratorValidationComment"))</f>
        <v/>
      </c>
      <c r="AC1495" s="7" t="str">
        <f>IF(OR(ISNUMBER(FIND("Review-1", patch[[#This Row],[comments]])), ISNUMBER(FIND("Approver-1", patch[[#This Row],[comments]]))), "Review-1", "")</f>
        <v/>
      </c>
      <c r="AD14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95" s="7">
        <f>IF(ISBLANK(patch[[#This Row],[number]]),AE1494,patch[[#This Row],[ifCommon]])</f>
        <v>0</v>
      </c>
    </row>
    <row r="1496" spans="1:31">
      <c r="A1496" s="151">
        <v>146151</v>
      </c>
      <c r="B1496" s="151"/>
      <c r="C1496" s="151"/>
      <c r="D1496" s="151"/>
      <c r="E1496" s="151"/>
      <c r="F1496" s="151"/>
      <c r="G1496" s="151"/>
      <c r="H1496" s="151"/>
      <c r="I1496" s="151"/>
      <c r="J1496" s="152">
        <v>42632.754259259258</v>
      </c>
      <c r="K1496" s="151"/>
      <c r="L1496" s="151" t="s">
        <v>24</v>
      </c>
      <c r="M1496" s="152">
        <v>42631.757013888891</v>
      </c>
      <c r="N1496" s="151" t="s">
        <v>1880</v>
      </c>
      <c r="O1496" s="151"/>
      <c r="P1496" s="151"/>
      <c r="Q1496" s="7" t="str">
        <f>IF(ISBLANK(patch[[#This Row],[OwnerEmail]]),Q1495,patch[[#This Row],[OwnerEmail]])</f>
        <v>lipingx.xu@intel.com</v>
      </c>
      <c r="R1496" s="7" t="str">
        <f>_xlfn.IFNA(VLOOKUP(patch[[#This Row],[tmp-owner.email]],OrgTree!$A:$K, 11, 0), "not ICG SWFW")</f>
        <v>BJ And dev</v>
      </c>
      <c r="S1496" s="7" t="str">
        <f>IF(patch[[#This Row],[reviewer]]=patch[[#This Row],[tmp-owner.email]], "author", _xlfn.IFNA(VLOOKUP(patch[[#This Row],[reviewer]],OrgTree!$A:$K, 11, 0), "not ICG SWFW"))</f>
        <v>BJ And dev</v>
      </c>
      <c r="T1496" s="7" t="str">
        <f>IF(ISBLANK(patch[[#This Row],[mergeDate]]), "", MID(YEAR(patch[[#This Row],[mergeDate]]), 3,2)&amp;"'ww"&amp;WEEKNUM(patch[[#This Row],[mergeDate]]))</f>
        <v>16'ww39</v>
      </c>
      <c r="U1496" s="7" t="str">
        <f>IF(ISBLANK(patch[[#This Row],[mergeDate]]), U1495, MID(YEAR(patch[[#This Row],[mergeDate]]), 3,2)&amp;"'m"&amp;MONTH(patch[[#This Row],[mergeDate]]))</f>
        <v>16'm9</v>
      </c>
      <c r="V1496" s="7" t="str">
        <f>IF(ISBLANK(patch[[#This Row],[project]]), "",SUM(patch[[#This Row],[BJ -1 num]:[SH -1 num]]))</f>
        <v/>
      </c>
      <c r="W1496" s="7" t="str">
        <f>IF(ISBLANK(patch[[#This Row],[project]]), "",COUNTIFS($A:$A,patch[[#This Row],[number]],$S:$S, "BJ And dev",$AC:$AC, "Review-1"))</f>
        <v/>
      </c>
      <c r="X1496" s="7" t="str">
        <f>IF(ISBLANK(patch[[#This Row],[project]]), "",COUNTIFS($A:$A,patch[[#This Row],[number]],$S:$S, "FL And dev",$AC:$AC, "Review-1"))</f>
        <v/>
      </c>
      <c r="Y1496" s="7" t="str">
        <f>IF(ISBLANK(patch[[#This Row],[project]]), "",COUNTIFS($A:$A,patch[[#This Row],[number]],$S:$S, "SH And dev",$AC:$AC, "Review-1"))</f>
        <v/>
      </c>
      <c r="Z1496" s="7" t="str">
        <f>IF(ISBLANK(patch[[#This Row],[project]]), "",COUNTIFS($A:$A,patch[[#This Row],[number]],$S:$S, "BJ And dev",$AD:$AD, "&lt;&gt;IntegratorValidationComment"))</f>
        <v/>
      </c>
      <c r="AA1496" s="7" t="str">
        <f>IF(ISBLANK(patch[[#This Row],[project]]), "",COUNTIFS($A:$A,patch[[#This Row],[number]],$S:$S, "FL And dev",$AD:$AD, "&lt;&gt;IntegratorValidationComment"))</f>
        <v/>
      </c>
      <c r="AB1496" s="7" t="str">
        <f>IF(ISBLANK(patch[[#This Row],[project]]), "",COUNTIFS($A:$A,patch[[#This Row],[number]],$S:$S, "SH And dev",$AD:$AD, "&lt;&gt;IntegratorValidationComment"))</f>
        <v/>
      </c>
      <c r="AC1496" s="7" t="str">
        <f>IF(OR(ISNUMBER(FIND("Review-1", patch[[#This Row],[comments]])), ISNUMBER(FIND("Approver-1", patch[[#This Row],[comments]]))), "Review-1", "")</f>
        <v/>
      </c>
      <c r="AD14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96" s="7">
        <f>IF(ISBLANK(patch[[#This Row],[number]]),AE1495,patch[[#This Row],[ifCommon]])</f>
        <v>0</v>
      </c>
    </row>
    <row r="1497" spans="1:31">
      <c r="A1497" s="151">
        <v>146151</v>
      </c>
      <c r="B1497" s="151"/>
      <c r="C1497" s="151"/>
      <c r="D1497" s="151"/>
      <c r="E1497" s="151"/>
      <c r="F1497" s="151"/>
      <c r="G1497" s="151"/>
      <c r="H1497" s="151"/>
      <c r="I1497" s="151"/>
      <c r="J1497" s="152">
        <v>42632.754259259258</v>
      </c>
      <c r="K1497" s="151"/>
      <c r="L1497" s="151" t="s">
        <v>59</v>
      </c>
      <c r="M1497" s="152">
        <v>42631.777789351851</v>
      </c>
      <c r="N1497" s="151" t="s">
        <v>3328</v>
      </c>
      <c r="O1497" s="151"/>
      <c r="P1497" s="151"/>
      <c r="Q1497" s="7" t="str">
        <f>IF(ISBLANK(patch[[#This Row],[OwnerEmail]]),Q1496,patch[[#This Row],[OwnerEmail]])</f>
        <v>lipingx.xu@intel.com</v>
      </c>
      <c r="R1497" s="7" t="str">
        <f>_xlfn.IFNA(VLOOKUP(patch[[#This Row],[tmp-owner.email]],OrgTree!$A:$K, 11, 0), "not ICG SWFW")</f>
        <v>BJ And dev</v>
      </c>
      <c r="S1497" s="7" t="str">
        <f>IF(patch[[#This Row],[reviewer]]=patch[[#This Row],[tmp-owner.email]], "author", _xlfn.IFNA(VLOOKUP(patch[[#This Row],[reviewer]],OrgTree!$A:$K, 11, 0), "not ICG SWFW"))</f>
        <v>BJ And dev</v>
      </c>
      <c r="T1497" s="7" t="str">
        <f>IF(ISBLANK(patch[[#This Row],[mergeDate]]), "", MID(YEAR(patch[[#This Row],[mergeDate]]), 3,2)&amp;"'ww"&amp;WEEKNUM(patch[[#This Row],[mergeDate]]))</f>
        <v>16'ww39</v>
      </c>
      <c r="U1497" s="7" t="str">
        <f>IF(ISBLANK(patch[[#This Row],[mergeDate]]), U1496, MID(YEAR(patch[[#This Row],[mergeDate]]), 3,2)&amp;"'m"&amp;MONTH(patch[[#This Row],[mergeDate]]))</f>
        <v>16'm9</v>
      </c>
      <c r="V1497" s="7" t="str">
        <f>IF(ISBLANK(patch[[#This Row],[project]]), "",SUM(patch[[#This Row],[BJ -1 num]:[SH -1 num]]))</f>
        <v/>
      </c>
      <c r="W1497" s="7" t="str">
        <f>IF(ISBLANK(patch[[#This Row],[project]]), "",COUNTIFS($A:$A,patch[[#This Row],[number]],$S:$S, "BJ And dev",$AC:$AC, "Review-1"))</f>
        <v/>
      </c>
      <c r="X1497" s="7" t="str">
        <f>IF(ISBLANK(patch[[#This Row],[project]]), "",COUNTIFS($A:$A,patch[[#This Row],[number]],$S:$S, "FL And dev",$AC:$AC, "Review-1"))</f>
        <v/>
      </c>
      <c r="Y1497" s="7" t="str">
        <f>IF(ISBLANK(patch[[#This Row],[project]]), "",COUNTIFS($A:$A,patch[[#This Row],[number]],$S:$S, "SH And dev",$AC:$AC, "Review-1"))</f>
        <v/>
      </c>
      <c r="Z1497" s="7" t="str">
        <f>IF(ISBLANK(patch[[#This Row],[project]]), "",COUNTIFS($A:$A,patch[[#This Row],[number]],$S:$S, "BJ And dev",$AD:$AD, "&lt;&gt;IntegratorValidationComment"))</f>
        <v/>
      </c>
      <c r="AA1497" s="7" t="str">
        <f>IF(ISBLANK(patch[[#This Row],[project]]), "",COUNTIFS($A:$A,patch[[#This Row],[number]],$S:$S, "FL And dev",$AD:$AD, "&lt;&gt;IntegratorValidationComment"))</f>
        <v/>
      </c>
      <c r="AB1497" s="7" t="str">
        <f>IF(ISBLANK(patch[[#This Row],[project]]), "",COUNTIFS($A:$A,patch[[#This Row],[number]],$S:$S, "SH And dev",$AD:$AD, "&lt;&gt;IntegratorValidationComment"))</f>
        <v/>
      </c>
      <c r="AC1497" s="7" t="str">
        <f>IF(OR(ISNUMBER(FIND("Review-1", patch[[#This Row],[comments]])), ISNUMBER(FIND("Approver-1", patch[[#This Row],[comments]]))), "Review-1", "")</f>
        <v/>
      </c>
      <c r="AD14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97" s="7">
        <f>IF(ISBLANK(patch[[#This Row],[number]]),AE1496,patch[[#This Row],[ifCommon]])</f>
        <v>0</v>
      </c>
    </row>
    <row r="1498" spans="1:31">
      <c r="A1498" s="151">
        <v>146151</v>
      </c>
      <c r="B1498" s="151"/>
      <c r="C1498" s="151"/>
      <c r="D1498" s="151"/>
      <c r="E1498" s="151"/>
      <c r="F1498" s="151"/>
      <c r="G1498" s="151"/>
      <c r="H1498" s="151"/>
      <c r="I1498" s="151"/>
      <c r="J1498" s="152">
        <v>42632.754259259258</v>
      </c>
      <c r="K1498" s="151"/>
      <c r="L1498" s="151" t="s">
        <v>59</v>
      </c>
      <c r="M1498" s="152">
        <v>42631.80064814815</v>
      </c>
      <c r="N1498" s="151" t="s">
        <v>3329</v>
      </c>
      <c r="O1498" s="151"/>
      <c r="P1498" s="151"/>
      <c r="Q1498" s="7" t="str">
        <f>IF(ISBLANK(patch[[#This Row],[OwnerEmail]]),Q1497,patch[[#This Row],[OwnerEmail]])</f>
        <v>lipingx.xu@intel.com</v>
      </c>
      <c r="R1498" s="7" t="str">
        <f>_xlfn.IFNA(VLOOKUP(patch[[#This Row],[tmp-owner.email]],OrgTree!$A:$K, 11, 0), "not ICG SWFW")</f>
        <v>BJ And dev</v>
      </c>
      <c r="S1498" s="7" t="str">
        <f>IF(patch[[#This Row],[reviewer]]=patch[[#This Row],[tmp-owner.email]], "author", _xlfn.IFNA(VLOOKUP(patch[[#This Row],[reviewer]],OrgTree!$A:$K, 11, 0), "not ICG SWFW"))</f>
        <v>BJ And dev</v>
      </c>
      <c r="T1498" s="7" t="str">
        <f>IF(ISBLANK(patch[[#This Row],[mergeDate]]), "", MID(YEAR(patch[[#This Row],[mergeDate]]), 3,2)&amp;"'ww"&amp;WEEKNUM(patch[[#This Row],[mergeDate]]))</f>
        <v>16'ww39</v>
      </c>
      <c r="U1498" s="7" t="str">
        <f>IF(ISBLANK(patch[[#This Row],[mergeDate]]), U1497, MID(YEAR(patch[[#This Row],[mergeDate]]), 3,2)&amp;"'m"&amp;MONTH(patch[[#This Row],[mergeDate]]))</f>
        <v>16'm9</v>
      </c>
      <c r="V1498" s="7" t="str">
        <f>IF(ISBLANK(patch[[#This Row],[project]]), "",SUM(patch[[#This Row],[BJ -1 num]:[SH -1 num]]))</f>
        <v/>
      </c>
      <c r="W1498" s="7" t="str">
        <f>IF(ISBLANK(patch[[#This Row],[project]]), "",COUNTIFS($A:$A,patch[[#This Row],[number]],$S:$S, "BJ And dev",$AC:$AC, "Review-1"))</f>
        <v/>
      </c>
      <c r="X1498" s="7" t="str">
        <f>IF(ISBLANK(patch[[#This Row],[project]]), "",COUNTIFS($A:$A,patch[[#This Row],[number]],$S:$S, "FL And dev",$AC:$AC, "Review-1"))</f>
        <v/>
      </c>
      <c r="Y1498" s="7" t="str">
        <f>IF(ISBLANK(patch[[#This Row],[project]]), "",COUNTIFS($A:$A,patch[[#This Row],[number]],$S:$S, "SH And dev",$AC:$AC, "Review-1"))</f>
        <v/>
      </c>
      <c r="Z1498" s="7" t="str">
        <f>IF(ISBLANK(patch[[#This Row],[project]]), "",COUNTIFS($A:$A,patch[[#This Row],[number]],$S:$S, "BJ And dev",$AD:$AD, "&lt;&gt;IntegratorValidationComment"))</f>
        <v/>
      </c>
      <c r="AA1498" s="7" t="str">
        <f>IF(ISBLANK(patch[[#This Row],[project]]), "",COUNTIFS($A:$A,patch[[#This Row],[number]],$S:$S, "FL And dev",$AD:$AD, "&lt;&gt;IntegratorValidationComment"))</f>
        <v/>
      </c>
      <c r="AB1498" s="7" t="str">
        <f>IF(ISBLANK(patch[[#This Row],[project]]), "",COUNTIFS($A:$A,patch[[#This Row],[number]],$S:$S, "SH And dev",$AD:$AD, "&lt;&gt;IntegratorValidationComment"))</f>
        <v/>
      </c>
      <c r="AC1498" s="7" t="str">
        <f>IF(OR(ISNUMBER(FIND("Review-1", patch[[#This Row],[comments]])), ISNUMBER(FIND("Approver-1", patch[[#This Row],[comments]]))), "Review-1", "")</f>
        <v/>
      </c>
      <c r="AD14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98" s="7">
        <f>IF(ISBLANK(patch[[#This Row],[number]]),AE1497,patch[[#This Row],[ifCommon]])</f>
        <v>0</v>
      </c>
    </row>
    <row r="1499" spans="1:31">
      <c r="A1499" s="151">
        <v>146151</v>
      </c>
      <c r="B1499" s="151"/>
      <c r="C1499" s="151"/>
      <c r="D1499" s="151"/>
      <c r="E1499" s="151"/>
      <c r="F1499" s="151"/>
      <c r="G1499" s="151"/>
      <c r="H1499" s="151"/>
      <c r="I1499" s="152"/>
      <c r="J1499" s="152">
        <v>42632.754259259258</v>
      </c>
      <c r="K1499" s="151"/>
      <c r="L1499" s="151" t="s">
        <v>677</v>
      </c>
      <c r="M1499" s="152">
        <v>42632.458969907413</v>
      </c>
      <c r="N1499" s="151" t="s">
        <v>40</v>
      </c>
      <c r="O1499" s="151"/>
      <c r="P1499" s="151"/>
      <c r="Q1499" s="7" t="str">
        <f>IF(ISBLANK(patch[[#This Row],[OwnerEmail]]),Q1498,patch[[#This Row],[OwnerEmail]])</f>
        <v>lipingx.xu@intel.com</v>
      </c>
      <c r="R1499" s="7" t="str">
        <f>_xlfn.IFNA(VLOOKUP(patch[[#This Row],[tmp-owner.email]],OrgTree!$A:$K, 11, 0), "not ICG SWFW")</f>
        <v>BJ And dev</v>
      </c>
      <c r="S1499" s="7" t="str">
        <f>IF(patch[[#This Row],[reviewer]]=patch[[#This Row],[tmp-owner.email]], "author", _xlfn.IFNA(VLOOKUP(patch[[#This Row],[reviewer]],OrgTree!$A:$K, 11, 0), "not ICG SWFW"))</f>
        <v>author</v>
      </c>
      <c r="T1499" s="7" t="str">
        <f>IF(ISBLANK(patch[[#This Row],[mergeDate]]), "", MID(YEAR(patch[[#This Row],[mergeDate]]), 3,2)&amp;"'ww"&amp;WEEKNUM(patch[[#This Row],[mergeDate]]))</f>
        <v>16'ww39</v>
      </c>
      <c r="U1499" s="7" t="str">
        <f>IF(ISBLANK(patch[[#This Row],[mergeDate]]), U1498, MID(YEAR(patch[[#This Row],[mergeDate]]), 3,2)&amp;"'m"&amp;MONTH(patch[[#This Row],[mergeDate]]))</f>
        <v>16'm9</v>
      </c>
      <c r="V1499" s="7" t="str">
        <f>IF(ISBLANK(patch[[#This Row],[project]]), "",SUM(patch[[#This Row],[BJ -1 num]:[SH -1 num]]))</f>
        <v/>
      </c>
      <c r="W1499" s="7" t="str">
        <f>IF(ISBLANK(patch[[#This Row],[project]]), "",COUNTIFS($A:$A,patch[[#This Row],[number]],$S:$S, "BJ And dev",$AC:$AC, "Review-1"))</f>
        <v/>
      </c>
      <c r="X1499" s="7" t="str">
        <f>IF(ISBLANK(patch[[#This Row],[project]]), "",COUNTIFS($A:$A,patch[[#This Row],[number]],$S:$S, "FL And dev",$AC:$AC, "Review-1"))</f>
        <v/>
      </c>
      <c r="Y1499" s="7" t="str">
        <f>IF(ISBLANK(patch[[#This Row],[project]]), "",COUNTIFS($A:$A,patch[[#This Row],[number]],$S:$S, "SH And dev",$AC:$AC, "Review-1"))</f>
        <v/>
      </c>
      <c r="Z1499" s="7" t="str">
        <f>IF(ISBLANK(patch[[#This Row],[project]]), "",COUNTIFS($A:$A,patch[[#This Row],[number]],$S:$S, "BJ And dev",$AD:$AD, "&lt;&gt;IntegratorValidationComment"))</f>
        <v/>
      </c>
      <c r="AA1499" s="7" t="str">
        <f>IF(ISBLANK(patch[[#This Row],[project]]), "",COUNTIFS($A:$A,patch[[#This Row],[number]],$S:$S, "FL And dev",$AD:$AD, "&lt;&gt;IntegratorValidationComment"))</f>
        <v/>
      </c>
      <c r="AB1499" s="7" t="str">
        <f>IF(ISBLANK(patch[[#This Row],[project]]), "",COUNTIFS($A:$A,patch[[#This Row],[number]],$S:$S, "SH And dev",$AD:$AD, "&lt;&gt;IntegratorValidationComment"))</f>
        <v/>
      </c>
      <c r="AC1499" s="7" t="str">
        <f>IF(OR(ISNUMBER(FIND("Review-1", patch[[#This Row],[comments]])), ISNUMBER(FIND("Approver-1", patch[[#This Row],[comments]]))), "Review-1", "")</f>
        <v/>
      </c>
      <c r="AD14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499" s="7">
        <f>IF(ISBLANK(patch[[#This Row],[number]]),AE1498,patch[[#This Row],[ifCommon]])</f>
        <v>0</v>
      </c>
    </row>
    <row r="1500" spans="1:31">
      <c r="A1500" s="151">
        <v>146151</v>
      </c>
      <c r="B1500" s="151"/>
      <c r="C1500" s="151"/>
      <c r="D1500" s="151"/>
      <c r="E1500" s="151"/>
      <c r="F1500" s="151"/>
      <c r="G1500" s="151"/>
      <c r="H1500" s="151"/>
      <c r="I1500" s="151"/>
      <c r="J1500" s="152">
        <v>42632.754259259258</v>
      </c>
      <c r="K1500" s="151"/>
      <c r="L1500" s="151" t="s">
        <v>115</v>
      </c>
      <c r="M1500" s="152">
        <v>42632.605451388888</v>
      </c>
      <c r="N1500" s="151" t="s">
        <v>2494</v>
      </c>
      <c r="O1500" s="151"/>
      <c r="P1500" s="151"/>
      <c r="Q1500" s="7" t="str">
        <f>IF(ISBLANK(patch[[#This Row],[OwnerEmail]]),Q1499,patch[[#This Row],[OwnerEmail]])</f>
        <v>lipingx.xu@intel.com</v>
      </c>
      <c r="R1500" s="7" t="str">
        <f>_xlfn.IFNA(VLOOKUP(patch[[#This Row],[tmp-owner.email]],OrgTree!$A:$K, 11, 0), "not ICG SWFW")</f>
        <v>BJ And dev</v>
      </c>
      <c r="S1500" s="7" t="str">
        <f>IF(patch[[#This Row],[reviewer]]=patch[[#This Row],[tmp-owner.email]], "author", _xlfn.IFNA(VLOOKUP(patch[[#This Row],[reviewer]],OrgTree!$A:$K, 11, 0), "not ICG SWFW"))</f>
        <v>Val</v>
      </c>
      <c r="T1500" s="7" t="str">
        <f>IF(ISBLANK(patch[[#This Row],[mergeDate]]), "", MID(YEAR(patch[[#This Row],[mergeDate]]), 3,2)&amp;"'ww"&amp;WEEKNUM(patch[[#This Row],[mergeDate]]))</f>
        <v>16'ww39</v>
      </c>
      <c r="U1500" s="7" t="str">
        <f>IF(ISBLANK(patch[[#This Row],[mergeDate]]), U1499, MID(YEAR(patch[[#This Row],[mergeDate]]), 3,2)&amp;"'m"&amp;MONTH(patch[[#This Row],[mergeDate]]))</f>
        <v>16'm9</v>
      </c>
      <c r="V1500" s="7" t="str">
        <f>IF(ISBLANK(patch[[#This Row],[project]]), "",SUM(patch[[#This Row],[BJ -1 num]:[SH -1 num]]))</f>
        <v/>
      </c>
      <c r="W1500" s="7" t="str">
        <f>IF(ISBLANK(patch[[#This Row],[project]]), "",COUNTIFS($A:$A,patch[[#This Row],[number]],$S:$S, "BJ And dev",$AC:$AC, "Review-1"))</f>
        <v/>
      </c>
      <c r="X1500" s="7" t="str">
        <f>IF(ISBLANK(patch[[#This Row],[project]]), "",COUNTIFS($A:$A,patch[[#This Row],[number]],$S:$S, "FL And dev",$AC:$AC, "Review-1"))</f>
        <v/>
      </c>
      <c r="Y1500" s="7" t="str">
        <f>IF(ISBLANK(patch[[#This Row],[project]]), "",COUNTIFS($A:$A,patch[[#This Row],[number]],$S:$S, "SH And dev",$AC:$AC, "Review-1"))</f>
        <v/>
      </c>
      <c r="Z1500" s="7" t="str">
        <f>IF(ISBLANK(patch[[#This Row],[project]]), "",COUNTIFS($A:$A,patch[[#This Row],[number]],$S:$S, "BJ And dev",$AD:$AD, "&lt;&gt;IntegratorValidationComment"))</f>
        <v/>
      </c>
      <c r="AA1500" s="7" t="str">
        <f>IF(ISBLANK(patch[[#This Row],[project]]), "",COUNTIFS($A:$A,patch[[#This Row],[number]],$S:$S, "FL And dev",$AD:$AD, "&lt;&gt;IntegratorValidationComment"))</f>
        <v/>
      </c>
      <c r="AB1500" s="7" t="str">
        <f>IF(ISBLANK(patch[[#This Row],[project]]), "",COUNTIFS($A:$A,patch[[#This Row],[number]],$S:$S, "SH And dev",$AD:$AD, "&lt;&gt;IntegratorValidationComment"))</f>
        <v/>
      </c>
      <c r="AC1500" s="7" t="str">
        <f>IF(OR(ISNUMBER(FIND("Review-1", patch[[#This Row],[comments]])), ISNUMBER(FIND("Approver-1", patch[[#This Row],[comments]]))), "Review-1", "")</f>
        <v/>
      </c>
      <c r="AD15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500" s="7">
        <f>IF(ISBLANK(patch[[#This Row],[number]]),AE1499,patch[[#This Row],[ifCommon]])</f>
        <v>0</v>
      </c>
    </row>
    <row r="1501" spans="1:31">
      <c r="A1501" s="151">
        <v>146150</v>
      </c>
      <c r="B1501" s="151" t="s">
        <v>2490</v>
      </c>
      <c r="C1501" s="151" t="s">
        <v>2795</v>
      </c>
      <c r="D1501" s="151" t="s">
        <v>3330</v>
      </c>
      <c r="E1501" s="151" t="s">
        <v>677</v>
      </c>
      <c r="F1501" s="151" t="s">
        <v>23</v>
      </c>
      <c r="G1501" s="151" t="s">
        <v>3331</v>
      </c>
      <c r="H1501" s="151" t="s">
        <v>3332</v>
      </c>
      <c r="I1501" s="152">
        <v>42631.742442129631</v>
      </c>
      <c r="J1501" s="152">
        <v>42632.754143518519</v>
      </c>
      <c r="K1501" s="151" t="s">
        <v>2445</v>
      </c>
      <c r="L1501" s="151" t="s">
        <v>677</v>
      </c>
      <c r="M1501" s="152">
        <v>42631.742442129631</v>
      </c>
      <c r="N1501" s="151" t="s">
        <v>25</v>
      </c>
      <c r="O1501" s="151"/>
      <c r="P1501" s="151" t="s">
        <v>3312</v>
      </c>
      <c r="Q1501" s="7" t="str">
        <f>IF(ISBLANK(patch[[#This Row],[OwnerEmail]]),Q1500,patch[[#This Row],[OwnerEmail]])</f>
        <v>lipingx.xu@intel.com</v>
      </c>
      <c r="R1501" s="7" t="str">
        <f>_xlfn.IFNA(VLOOKUP(patch[[#This Row],[tmp-owner.email]],OrgTree!$A:$K, 11, 0), "not ICG SWFW")</f>
        <v>BJ And dev</v>
      </c>
      <c r="S1501" s="7" t="str">
        <f>IF(patch[[#This Row],[reviewer]]=patch[[#This Row],[tmp-owner.email]], "author", _xlfn.IFNA(VLOOKUP(patch[[#This Row],[reviewer]],OrgTree!$A:$K, 11, 0), "not ICG SWFW"))</f>
        <v>author</v>
      </c>
      <c r="T1501" s="7" t="str">
        <f>IF(ISBLANK(patch[[#This Row],[mergeDate]]), "", MID(YEAR(patch[[#This Row],[mergeDate]]), 3,2)&amp;"'ww"&amp;WEEKNUM(patch[[#This Row],[mergeDate]]))</f>
        <v>16'ww39</v>
      </c>
      <c r="U1501" s="7" t="str">
        <f>IF(ISBLANK(patch[[#This Row],[mergeDate]]), U1500, MID(YEAR(patch[[#This Row],[mergeDate]]), 3,2)&amp;"'m"&amp;MONTH(patch[[#This Row],[mergeDate]]))</f>
        <v>16'm9</v>
      </c>
      <c r="V1501" s="7">
        <f>IF(ISBLANK(patch[[#This Row],[project]]), "",SUM(patch[[#This Row],[BJ -1 num]:[SH -1 num]]))</f>
        <v>0</v>
      </c>
      <c r="W1501" s="7">
        <f>IF(ISBLANK(patch[[#This Row],[project]]), "",COUNTIFS($A:$A,patch[[#This Row],[number]],$S:$S, "BJ And dev",$AC:$AC, "Review-1"))</f>
        <v>0</v>
      </c>
      <c r="X1501" s="7">
        <f>IF(ISBLANK(patch[[#This Row],[project]]), "",COUNTIFS($A:$A,patch[[#This Row],[number]],$S:$S, "FL And dev",$AC:$AC, "Review-1"))</f>
        <v>0</v>
      </c>
      <c r="Y1501" s="7">
        <f>IF(ISBLANK(patch[[#This Row],[project]]), "",COUNTIFS($A:$A,patch[[#This Row],[number]],$S:$S, "SH And dev",$AC:$AC, "Review-1"))</f>
        <v>0</v>
      </c>
      <c r="Z1501" s="7">
        <f>IF(ISBLANK(patch[[#This Row],[project]]), "",COUNTIFS($A:$A,patch[[#This Row],[number]],$S:$S, "BJ And dev",$AD:$AD, "&lt;&gt;IntegratorValidationComment"))</f>
        <v>3</v>
      </c>
      <c r="AA1501" s="7">
        <f>IF(ISBLANK(patch[[#This Row],[project]]), "",COUNTIFS($A:$A,patch[[#This Row],[number]],$S:$S, "FL And dev",$AD:$AD, "&lt;&gt;IntegratorValidationComment"))</f>
        <v>0</v>
      </c>
      <c r="AB1501" s="7">
        <f>IF(ISBLANK(patch[[#This Row],[project]]), "",COUNTIFS($A:$A,patch[[#This Row],[number]],$S:$S, "SH And dev",$AD:$AD, "&lt;&gt;IntegratorValidationComment"))</f>
        <v>0</v>
      </c>
      <c r="AC1501" s="7" t="str">
        <f>IF(OR(ISNUMBER(FIND("Review-1", patch[[#This Row],[comments]])), ISNUMBER(FIND("Approver-1", patch[[#This Row],[comments]]))), "Review-1", "")</f>
        <v/>
      </c>
      <c r="AD15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01" s="7" t="str">
        <f>IF(ISBLANK(patch[[#This Row],[number]]),AE1500,patch[[#This Row],[ifCommon]])</f>
        <v>not AndrHAL</v>
      </c>
    </row>
    <row r="1502" spans="1:31">
      <c r="A1502" s="151">
        <v>146150</v>
      </c>
      <c r="B1502" s="151"/>
      <c r="C1502" s="151"/>
      <c r="D1502" s="151"/>
      <c r="E1502" s="151"/>
      <c r="F1502" s="151"/>
      <c r="G1502" s="151"/>
      <c r="H1502" s="151"/>
      <c r="I1502" s="151"/>
      <c r="J1502" s="152">
        <v>42632.754143518519</v>
      </c>
      <c r="K1502" s="151"/>
      <c r="L1502" s="151" t="s">
        <v>677</v>
      </c>
      <c r="M1502" s="152">
        <v>42631.742546296293</v>
      </c>
      <c r="N1502" s="151" t="s">
        <v>2428</v>
      </c>
      <c r="O1502" s="151"/>
      <c r="P1502" s="151"/>
      <c r="Q1502" s="7" t="str">
        <f>IF(ISBLANK(patch[[#This Row],[OwnerEmail]]),Q1501,patch[[#This Row],[OwnerEmail]])</f>
        <v>lipingx.xu@intel.com</v>
      </c>
      <c r="R1502" s="7" t="str">
        <f>_xlfn.IFNA(VLOOKUP(patch[[#This Row],[tmp-owner.email]],OrgTree!$A:$K, 11, 0), "not ICG SWFW")</f>
        <v>BJ And dev</v>
      </c>
      <c r="S1502" s="7" t="str">
        <f>IF(patch[[#This Row],[reviewer]]=patch[[#This Row],[tmp-owner.email]], "author", _xlfn.IFNA(VLOOKUP(patch[[#This Row],[reviewer]],OrgTree!$A:$K, 11, 0), "not ICG SWFW"))</f>
        <v>author</v>
      </c>
      <c r="T1502" s="7" t="str">
        <f>IF(ISBLANK(patch[[#This Row],[mergeDate]]), "", MID(YEAR(patch[[#This Row],[mergeDate]]), 3,2)&amp;"'ww"&amp;WEEKNUM(patch[[#This Row],[mergeDate]]))</f>
        <v>16'ww39</v>
      </c>
      <c r="U1502" s="7" t="str">
        <f>IF(ISBLANK(patch[[#This Row],[mergeDate]]), U1501, MID(YEAR(patch[[#This Row],[mergeDate]]), 3,2)&amp;"'m"&amp;MONTH(patch[[#This Row],[mergeDate]]))</f>
        <v>16'm9</v>
      </c>
      <c r="V1502" s="7" t="str">
        <f>IF(ISBLANK(patch[[#This Row],[project]]), "",SUM(patch[[#This Row],[BJ -1 num]:[SH -1 num]]))</f>
        <v/>
      </c>
      <c r="W1502" s="7" t="str">
        <f>IF(ISBLANK(patch[[#This Row],[project]]), "",COUNTIFS($A:$A,patch[[#This Row],[number]],$S:$S, "BJ And dev",$AC:$AC, "Review-1"))</f>
        <v/>
      </c>
      <c r="X1502" s="7" t="str">
        <f>IF(ISBLANK(patch[[#This Row],[project]]), "",COUNTIFS($A:$A,patch[[#This Row],[number]],$S:$S, "FL And dev",$AC:$AC, "Review-1"))</f>
        <v/>
      </c>
      <c r="Y1502" s="7" t="str">
        <f>IF(ISBLANK(patch[[#This Row],[project]]), "",COUNTIFS($A:$A,patch[[#This Row],[number]],$S:$S, "SH And dev",$AC:$AC, "Review-1"))</f>
        <v/>
      </c>
      <c r="Z1502" s="7" t="str">
        <f>IF(ISBLANK(patch[[#This Row],[project]]), "",COUNTIFS($A:$A,patch[[#This Row],[number]],$S:$S, "BJ And dev",$AD:$AD, "&lt;&gt;IntegratorValidationComment"))</f>
        <v/>
      </c>
      <c r="AA1502" s="7" t="str">
        <f>IF(ISBLANK(patch[[#This Row],[project]]), "",COUNTIFS($A:$A,patch[[#This Row],[number]],$S:$S, "FL And dev",$AD:$AD, "&lt;&gt;IntegratorValidationComment"))</f>
        <v/>
      </c>
      <c r="AB1502" s="7" t="str">
        <f>IF(ISBLANK(patch[[#This Row],[project]]), "",COUNTIFS($A:$A,patch[[#This Row],[number]],$S:$S, "SH And dev",$AD:$AD, "&lt;&gt;IntegratorValidationComment"))</f>
        <v/>
      </c>
      <c r="AC1502" s="7" t="str">
        <f>IF(OR(ISNUMBER(FIND("Review-1", patch[[#This Row],[comments]])), ISNUMBER(FIND("Approver-1", patch[[#This Row],[comments]]))), "Review-1", "")</f>
        <v/>
      </c>
      <c r="AD15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02" s="7">
        <f>IF(ISBLANK(patch[[#This Row],[number]]),AE1501,patch[[#This Row],[ifCommon]])</f>
        <v>0</v>
      </c>
    </row>
    <row r="1503" spans="1:31">
      <c r="A1503" s="151">
        <v>146150</v>
      </c>
      <c r="B1503" s="151"/>
      <c r="C1503" s="151"/>
      <c r="D1503" s="151"/>
      <c r="E1503" s="151"/>
      <c r="F1503" s="151"/>
      <c r="G1503" s="151"/>
      <c r="H1503" s="151"/>
      <c r="I1503" s="151"/>
      <c r="J1503" s="152">
        <v>42632.754143518519</v>
      </c>
      <c r="K1503" s="151"/>
      <c r="L1503" s="151" t="s">
        <v>24</v>
      </c>
      <c r="M1503" s="152">
        <v>42631.756932870368</v>
      </c>
      <c r="N1503" s="151" t="s">
        <v>1880</v>
      </c>
      <c r="O1503" s="151"/>
      <c r="P1503" s="151"/>
      <c r="Q1503" s="7" t="str">
        <f>IF(ISBLANK(patch[[#This Row],[OwnerEmail]]),Q1502,patch[[#This Row],[OwnerEmail]])</f>
        <v>lipingx.xu@intel.com</v>
      </c>
      <c r="R1503" s="7" t="str">
        <f>_xlfn.IFNA(VLOOKUP(patch[[#This Row],[tmp-owner.email]],OrgTree!$A:$K, 11, 0), "not ICG SWFW")</f>
        <v>BJ And dev</v>
      </c>
      <c r="S1503" s="7" t="str">
        <f>IF(patch[[#This Row],[reviewer]]=patch[[#This Row],[tmp-owner.email]], "author", _xlfn.IFNA(VLOOKUP(patch[[#This Row],[reviewer]],OrgTree!$A:$K, 11, 0), "not ICG SWFW"))</f>
        <v>BJ And dev</v>
      </c>
      <c r="T1503" s="7" t="str">
        <f>IF(ISBLANK(patch[[#This Row],[mergeDate]]), "", MID(YEAR(patch[[#This Row],[mergeDate]]), 3,2)&amp;"'ww"&amp;WEEKNUM(patch[[#This Row],[mergeDate]]))</f>
        <v>16'ww39</v>
      </c>
      <c r="U1503" s="7" t="str">
        <f>IF(ISBLANK(patch[[#This Row],[mergeDate]]), U1502, MID(YEAR(patch[[#This Row],[mergeDate]]), 3,2)&amp;"'m"&amp;MONTH(patch[[#This Row],[mergeDate]]))</f>
        <v>16'm9</v>
      </c>
      <c r="V1503" s="7" t="str">
        <f>IF(ISBLANK(patch[[#This Row],[project]]), "",SUM(patch[[#This Row],[BJ -1 num]:[SH -1 num]]))</f>
        <v/>
      </c>
      <c r="W1503" s="7" t="str">
        <f>IF(ISBLANK(patch[[#This Row],[project]]), "",COUNTIFS($A:$A,patch[[#This Row],[number]],$S:$S, "BJ And dev",$AC:$AC, "Review-1"))</f>
        <v/>
      </c>
      <c r="X1503" s="7" t="str">
        <f>IF(ISBLANK(patch[[#This Row],[project]]), "",COUNTIFS($A:$A,patch[[#This Row],[number]],$S:$S, "FL And dev",$AC:$AC, "Review-1"))</f>
        <v/>
      </c>
      <c r="Y1503" s="7" t="str">
        <f>IF(ISBLANK(patch[[#This Row],[project]]), "",COUNTIFS($A:$A,patch[[#This Row],[number]],$S:$S, "SH And dev",$AC:$AC, "Review-1"))</f>
        <v/>
      </c>
      <c r="Z1503" s="7" t="str">
        <f>IF(ISBLANK(patch[[#This Row],[project]]), "",COUNTIFS($A:$A,patch[[#This Row],[number]],$S:$S, "BJ And dev",$AD:$AD, "&lt;&gt;IntegratorValidationComment"))</f>
        <v/>
      </c>
      <c r="AA1503" s="7" t="str">
        <f>IF(ISBLANK(patch[[#This Row],[project]]), "",COUNTIFS($A:$A,patch[[#This Row],[number]],$S:$S, "FL And dev",$AD:$AD, "&lt;&gt;IntegratorValidationComment"))</f>
        <v/>
      </c>
      <c r="AB1503" s="7" t="str">
        <f>IF(ISBLANK(patch[[#This Row],[project]]), "",COUNTIFS($A:$A,patch[[#This Row],[number]],$S:$S, "SH And dev",$AD:$AD, "&lt;&gt;IntegratorValidationComment"))</f>
        <v/>
      </c>
      <c r="AC1503" s="7" t="str">
        <f>IF(OR(ISNUMBER(FIND("Review-1", patch[[#This Row],[comments]])), ISNUMBER(FIND("Approver-1", patch[[#This Row],[comments]]))), "Review-1", "")</f>
        <v/>
      </c>
      <c r="AD15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03" s="7">
        <f>IF(ISBLANK(patch[[#This Row],[number]]),AE1502,patch[[#This Row],[ifCommon]])</f>
        <v>0</v>
      </c>
    </row>
    <row r="1504" spans="1:31">
      <c r="A1504" s="151">
        <v>146150</v>
      </c>
      <c r="B1504" s="151"/>
      <c r="C1504" s="151"/>
      <c r="D1504" s="151"/>
      <c r="E1504" s="151"/>
      <c r="F1504" s="151"/>
      <c r="G1504" s="151"/>
      <c r="H1504" s="151"/>
      <c r="I1504" s="151"/>
      <c r="J1504" s="152">
        <v>42632.754143518519</v>
      </c>
      <c r="K1504" s="151"/>
      <c r="L1504" s="151" t="s">
        <v>59</v>
      </c>
      <c r="M1504" s="152">
        <v>42631.777800925927</v>
      </c>
      <c r="N1504" s="151" t="s">
        <v>3333</v>
      </c>
      <c r="O1504" s="151"/>
      <c r="P1504" s="151"/>
      <c r="Q1504" s="7" t="str">
        <f>IF(ISBLANK(patch[[#This Row],[OwnerEmail]]),Q1503,patch[[#This Row],[OwnerEmail]])</f>
        <v>lipingx.xu@intel.com</v>
      </c>
      <c r="R1504" s="7" t="str">
        <f>_xlfn.IFNA(VLOOKUP(patch[[#This Row],[tmp-owner.email]],OrgTree!$A:$K, 11, 0), "not ICG SWFW")</f>
        <v>BJ And dev</v>
      </c>
      <c r="S1504" s="7" t="str">
        <f>IF(patch[[#This Row],[reviewer]]=patch[[#This Row],[tmp-owner.email]], "author", _xlfn.IFNA(VLOOKUP(patch[[#This Row],[reviewer]],OrgTree!$A:$K, 11, 0), "not ICG SWFW"))</f>
        <v>BJ And dev</v>
      </c>
      <c r="T1504" s="7" t="str">
        <f>IF(ISBLANK(patch[[#This Row],[mergeDate]]), "", MID(YEAR(patch[[#This Row],[mergeDate]]), 3,2)&amp;"'ww"&amp;WEEKNUM(patch[[#This Row],[mergeDate]]))</f>
        <v>16'ww39</v>
      </c>
      <c r="U1504" s="7" t="str">
        <f>IF(ISBLANK(patch[[#This Row],[mergeDate]]), U1503, MID(YEAR(patch[[#This Row],[mergeDate]]), 3,2)&amp;"'m"&amp;MONTH(patch[[#This Row],[mergeDate]]))</f>
        <v>16'm9</v>
      </c>
      <c r="V1504" s="7" t="str">
        <f>IF(ISBLANK(patch[[#This Row],[project]]), "",SUM(patch[[#This Row],[BJ -1 num]:[SH -1 num]]))</f>
        <v/>
      </c>
      <c r="W1504" s="7" t="str">
        <f>IF(ISBLANK(patch[[#This Row],[project]]), "",COUNTIFS($A:$A,patch[[#This Row],[number]],$S:$S, "BJ And dev",$AC:$AC, "Review-1"))</f>
        <v/>
      </c>
      <c r="X1504" s="7" t="str">
        <f>IF(ISBLANK(patch[[#This Row],[project]]), "",COUNTIFS($A:$A,patch[[#This Row],[number]],$S:$S, "FL And dev",$AC:$AC, "Review-1"))</f>
        <v/>
      </c>
      <c r="Y1504" s="7" t="str">
        <f>IF(ISBLANK(patch[[#This Row],[project]]), "",COUNTIFS($A:$A,patch[[#This Row],[number]],$S:$S, "SH And dev",$AC:$AC, "Review-1"))</f>
        <v/>
      </c>
      <c r="Z1504" s="7" t="str">
        <f>IF(ISBLANK(patch[[#This Row],[project]]), "",COUNTIFS($A:$A,patch[[#This Row],[number]],$S:$S, "BJ And dev",$AD:$AD, "&lt;&gt;IntegratorValidationComment"))</f>
        <v/>
      </c>
      <c r="AA1504" s="7" t="str">
        <f>IF(ISBLANK(patch[[#This Row],[project]]), "",COUNTIFS($A:$A,patch[[#This Row],[number]],$S:$S, "FL And dev",$AD:$AD, "&lt;&gt;IntegratorValidationComment"))</f>
        <v/>
      </c>
      <c r="AB1504" s="7" t="str">
        <f>IF(ISBLANK(patch[[#This Row],[project]]), "",COUNTIFS($A:$A,patch[[#This Row],[number]],$S:$S, "SH And dev",$AD:$AD, "&lt;&gt;IntegratorValidationComment"))</f>
        <v/>
      </c>
      <c r="AC1504" s="7" t="str">
        <f>IF(OR(ISNUMBER(FIND("Review-1", patch[[#This Row],[comments]])), ISNUMBER(FIND("Approver-1", patch[[#This Row],[comments]]))), "Review-1", "")</f>
        <v/>
      </c>
      <c r="AD15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04" s="7">
        <f>IF(ISBLANK(patch[[#This Row],[number]]),AE1503,patch[[#This Row],[ifCommon]])</f>
        <v>0</v>
      </c>
    </row>
    <row r="1505" spans="1:31">
      <c r="A1505" s="151">
        <v>146150</v>
      </c>
      <c r="B1505" s="151"/>
      <c r="C1505" s="151"/>
      <c r="D1505" s="151"/>
      <c r="E1505" s="151"/>
      <c r="F1505" s="151"/>
      <c r="G1505" s="151"/>
      <c r="H1505" s="151"/>
      <c r="I1505" s="151"/>
      <c r="J1505" s="152">
        <v>42632.754143518519</v>
      </c>
      <c r="K1505" s="151"/>
      <c r="L1505" s="151" t="s">
        <v>59</v>
      </c>
      <c r="M1505" s="152">
        <v>42631.802835648137</v>
      </c>
      <c r="N1505" s="151" t="s">
        <v>3334</v>
      </c>
      <c r="O1505" s="151"/>
      <c r="P1505" s="151"/>
      <c r="Q1505" s="7" t="str">
        <f>IF(ISBLANK(patch[[#This Row],[OwnerEmail]]),Q1504,patch[[#This Row],[OwnerEmail]])</f>
        <v>lipingx.xu@intel.com</v>
      </c>
      <c r="R1505" s="7" t="str">
        <f>_xlfn.IFNA(VLOOKUP(patch[[#This Row],[tmp-owner.email]],OrgTree!$A:$K, 11, 0), "not ICG SWFW")</f>
        <v>BJ And dev</v>
      </c>
      <c r="S1505" s="7" t="str">
        <f>IF(patch[[#This Row],[reviewer]]=patch[[#This Row],[tmp-owner.email]], "author", _xlfn.IFNA(VLOOKUP(patch[[#This Row],[reviewer]],OrgTree!$A:$K, 11, 0), "not ICG SWFW"))</f>
        <v>BJ And dev</v>
      </c>
      <c r="T1505" s="7" t="str">
        <f>IF(ISBLANK(patch[[#This Row],[mergeDate]]), "", MID(YEAR(patch[[#This Row],[mergeDate]]), 3,2)&amp;"'ww"&amp;WEEKNUM(patch[[#This Row],[mergeDate]]))</f>
        <v>16'ww39</v>
      </c>
      <c r="U1505" s="7" t="str">
        <f>IF(ISBLANK(patch[[#This Row],[mergeDate]]), U1504, MID(YEAR(patch[[#This Row],[mergeDate]]), 3,2)&amp;"'m"&amp;MONTH(patch[[#This Row],[mergeDate]]))</f>
        <v>16'm9</v>
      </c>
      <c r="V1505" s="7" t="str">
        <f>IF(ISBLANK(patch[[#This Row],[project]]), "",SUM(patch[[#This Row],[BJ -1 num]:[SH -1 num]]))</f>
        <v/>
      </c>
      <c r="W1505" s="7" t="str">
        <f>IF(ISBLANK(patch[[#This Row],[project]]), "",COUNTIFS($A:$A,patch[[#This Row],[number]],$S:$S, "BJ And dev",$AC:$AC, "Review-1"))</f>
        <v/>
      </c>
      <c r="X1505" s="7" t="str">
        <f>IF(ISBLANK(patch[[#This Row],[project]]), "",COUNTIFS($A:$A,patch[[#This Row],[number]],$S:$S, "FL And dev",$AC:$AC, "Review-1"))</f>
        <v/>
      </c>
      <c r="Y1505" s="7" t="str">
        <f>IF(ISBLANK(patch[[#This Row],[project]]), "",COUNTIFS($A:$A,patch[[#This Row],[number]],$S:$S, "SH And dev",$AC:$AC, "Review-1"))</f>
        <v/>
      </c>
      <c r="Z1505" s="7" t="str">
        <f>IF(ISBLANK(patch[[#This Row],[project]]), "",COUNTIFS($A:$A,patch[[#This Row],[number]],$S:$S, "BJ And dev",$AD:$AD, "&lt;&gt;IntegratorValidationComment"))</f>
        <v/>
      </c>
      <c r="AA1505" s="7" t="str">
        <f>IF(ISBLANK(patch[[#This Row],[project]]), "",COUNTIFS($A:$A,patch[[#This Row],[number]],$S:$S, "FL And dev",$AD:$AD, "&lt;&gt;IntegratorValidationComment"))</f>
        <v/>
      </c>
      <c r="AB1505" s="7" t="str">
        <f>IF(ISBLANK(patch[[#This Row],[project]]), "",COUNTIFS($A:$A,patch[[#This Row],[number]],$S:$S, "SH And dev",$AD:$AD, "&lt;&gt;IntegratorValidationComment"))</f>
        <v/>
      </c>
      <c r="AC1505" s="7" t="str">
        <f>IF(OR(ISNUMBER(FIND("Review-1", patch[[#This Row],[comments]])), ISNUMBER(FIND("Approver-1", patch[[#This Row],[comments]]))), "Review-1", "")</f>
        <v/>
      </c>
      <c r="AD15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05" s="7">
        <f>IF(ISBLANK(patch[[#This Row],[number]]),AE1504,patch[[#This Row],[ifCommon]])</f>
        <v>0</v>
      </c>
    </row>
    <row r="1506" spans="1:31">
      <c r="A1506" s="151">
        <v>146150</v>
      </c>
      <c r="B1506" s="151"/>
      <c r="C1506" s="151"/>
      <c r="D1506" s="151"/>
      <c r="E1506" s="151"/>
      <c r="F1506" s="151"/>
      <c r="G1506" s="151"/>
      <c r="H1506" s="151"/>
      <c r="I1506" s="151"/>
      <c r="J1506" s="152">
        <v>42632.754143518519</v>
      </c>
      <c r="K1506" s="151"/>
      <c r="L1506" s="151" t="s">
        <v>677</v>
      </c>
      <c r="M1506" s="152">
        <v>42632.45884259259</v>
      </c>
      <c r="N1506" s="151" t="s">
        <v>40</v>
      </c>
      <c r="O1506" s="151"/>
      <c r="P1506" s="151"/>
      <c r="Q1506" s="7" t="str">
        <f>IF(ISBLANK(patch[[#This Row],[OwnerEmail]]),Q1505,patch[[#This Row],[OwnerEmail]])</f>
        <v>lipingx.xu@intel.com</v>
      </c>
      <c r="R1506" s="7" t="str">
        <f>_xlfn.IFNA(VLOOKUP(patch[[#This Row],[tmp-owner.email]],OrgTree!$A:$K, 11, 0), "not ICG SWFW")</f>
        <v>BJ And dev</v>
      </c>
      <c r="S1506" s="7" t="str">
        <f>IF(patch[[#This Row],[reviewer]]=patch[[#This Row],[tmp-owner.email]], "author", _xlfn.IFNA(VLOOKUP(patch[[#This Row],[reviewer]],OrgTree!$A:$K, 11, 0), "not ICG SWFW"))</f>
        <v>author</v>
      </c>
      <c r="T1506" s="7" t="str">
        <f>IF(ISBLANK(patch[[#This Row],[mergeDate]]), "", MID(YEAR(patch[[#This Row],[mergeDate]]), 3,2)&amp;"'ww"&amp;WEEKNUM(patch[[#This Row],[mergeDate]]))</f>
        <v>16'ww39</v>
      </c>
      <c r="U1506" s="7" t="str">
        <f>IF(ISBLANK(patch[[#This Row],[mergeDate]]), U1505, MID(YEAR(patch[[#This Row],[mergeDate]]), 3,2)&amp;"'m"&amp;MONTH(patch[[#This Row],[mergeDate]]))</f>
        <v>16'm9</v>
      </c>
      <c r="V1506" s="7" t="str">
        <f>IF(ISBLANK(patch[[#This Row],[project]]), "",SUM(patch[[#This Row],[BJ -1 num]:[SH -1 num]]))</f>
        <v/>
      </c>
      <c r="W1506" s="7" t="str">
        <f>IF(ISBLANK(patch[[#This Row],[project]]), "",COUNTIFS($A:$A,patch[[#This Row],[number]],$S:$S, "BJ And dev",$AC:$AC, "Review-1"))</f>
        <v/>
      </c>
      <c r="X1506" s="7" t="str">
        <f>IF(ISBLANK(patch[[#This Row],[project]]), "",COUNTIFS($A:$A,patch[[#This Row],[number]],$S:$S, "FL And dev",$AC:$AC, "Review-1"))</f>
        <v/>
      </c>
      <c r="Y1506" s="7" t="str">
        <f>IF(ISBLANK(patch[[#This Row],[project]]), "",COUNTIFS($A:$A,patch[[#This Row],[number]],$S:$S, "SH And dev",$AC:$AC, "Review-1"))</f>
        <v/>
      </c>
      <c r="Z1506" s="7" t="str">
        <f>IF(ISBLANK(patch[[#This Row],[project]]), "",COUNTIFS($A:$A,patch[[#This Row],[number]],$S:$S, "BJ And dev",$AD:$AD, "&lt;&gt;IntegratorValidationComment"))</f>
        <v/>
      </c>
      <c r="AA1506" s="7" t="str">
        <f>IF(ISBLANK(patch[[#This Row],[project]]), "",COUNTIFS($A:$A,patch[[#This Row],[number]],$S:$S, "FL And dev",$AD:$AD, "&lt;&gt;IntegratorValidationComment"))</f>
        <v/>
      </c>
      <c r="AB1506" s="7" t="str">
        <f>IF(ISBLANK(patch[[#This Row],[project]]), "",COUNTIFS($A:$A,patch[[#This Row],[number]],$S:$S, "SH And dev",$AD:$AD, "&lt;&gt;IntegratorValidationComment"))</f>
        <v/>
      </c>
      <c r="AC1506" s="7" t="str">
        <f>IF(OR(ISNUMBER(FIND("Review-1", patch[[#This Row],[comments]])), ISNUMBER(FIND("Approver-1", patch[[#This Row],[comments]]))), "Review-1", "")</f>
        <v/>
      </c>
      <c r="AD15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06" s="7">
        <f>IF(ISBLANK(patch[[#This Row],[number]]),AE1505,patch[[#This Row],[ifCommon]])</f>
        <v>0</v>
      </c>
    </row>
    <row r="1507" spans="1:31">
      <c r="A1507" s="151">
        <v>146150</v>
      </c>
      <c r="B1507" s="151"/>
      <c r="C1507" s="151"/>
      <c r="D1507" s="151"/>
      <c r="E1507" s="151"/>
      <c r="F1507" s="151"/>
      <c r="G1507" s="151"/>
      <c r="H1507" s="151"/>
      <c r="I1507" s="151"/>
      <c r="J1507" s="152">
        <v>42632.754143518519</v>
      </c>
      <c r="K1507" s="151"/>
      <c r="L1507" s="151" t="s">
        <v>115</v>
      </c>
      <c r="M1507" s="152">
        <v>42632.606689814813</v>
      </c>
      <c r="N1507" s="151" t="s">
        <v>2494</v>
      </c>
      <c r="O1507" s="151"/>
      <c r="P1507" s="151"/>
      <c r="Q1507" s="7" t="str">
        <f>IF(ISBLANK(patch[[#This Row],[OwnerEmail]]),Q1506,patch[[#This Row],[OwnerEmail]])</f>
        <v>lipingx.xu@intel.com</v>
      </c>
      <c r="R1507" s="7" t="str">
        <f>_xlfn.IFNA(VLOOKUP(patch[[#This Row],[tmp-owner.email]],OrgTree!$A:$K, 11, 0), "not ICG SWFW")</f>
        <v>BJ And dev</v>
      </c>
      <c r="S1507" s="7" t="str">
        <f>IF(patch[[#This Row],[reviewer]]=patch[[#This Row],[tmp-owner.email]], "author", _xlfn.IFNA(VLOOKUP(patch[[#This Row],[reviewer]],OrgTree!$A:$K, 11, 0), "not ICG SWFW"))</f>
        <v>Val</v>
      </c>
      <c r="T1507" s="7" t="str">
        <f>IF(ISBLANK(patch[[#This Row],[mergeDate]]), "", MID(YEAR(patch[[#This Row],[mergeDate]]), 3,2)&amp;"'ww"&amp;WEEKNUM(patch[[#This Row],[mergeDate]]))</f>
        <v>16'ww39</v>
      </c>
      <c r="U1507" s="7" t="str">
        <f>IF(ISBLANK(patch[[#This Row],[mergeDate]]), U1506, MID(YEAR(patch[[#This Row],[mergeDate]]), 3,2)&amp;"'m"&amp;MONTH(patch[[#This Row],[mergeDate]]))</f>
        <v>16'm9</v>
      </c>
      <c r="V1507" s="7" t="str">
        <f>IF(ISBLANK(patch[[#This Row],[project]]), "",SUM(patch[[#This Row],[BJ -1 num]:[SH -1 num]]))</f>
        <v/>
      </c>
      <c r="W1507" s="7" t="str">
        <f>IF(ISBLANK(patch[[#This Row],[project]]), "",COUNTIFS($A:$A,patch[[#This Row],[number]],$S:$S, "BJ And dev",$AC:$AC, "Review-1"))</f>
        <v/>
      </c>
      <c r="X1507" s="7" t="str">
        <f>IF(ISBLANK(patch[[#This Row],[project]]), "",COUNTIFS($A:$A,patch[[#This Row],[number]],$S:$S, "FL And dev",$AC:$AC, "Review-1"))</f>
        <v/>
      </c>
      <c r="Y1507" s="7" t="str">
        <f>IF(ISBLANK(patch[[#This Row],[project]]), "",COUNTIFS($A:$A,patch[[#This Row],[number]],$S:$S, "SH And dev",$AC:$AC, "Review-1"))</f>
        <v/>
      </c>
      <c r="Z1507" s="7" t="str">
        <f>IF(ISBLANK(patch[[#This Row],[project]]), "",COUNTIFS($A:$A,patch[[#This Row],[number]],$S:$S, "BJ And dev",$AD:$AD, "&lt;&gt;IntegratorValidationComment"))</f>
        <v/>
      </c>
      <c r="AA1507" s="7" t="str">
        <f>IF(ISBLANK(patch[[#This Row],[project]]), "",COUNTIFS($A:$A,patch[[#This Row],[number]],$S:$S, "FL And dev",$AD:$AD, "&lt;&gt;IntegratorValidationComment"))</f>
        <v/>
      </c>
      <c r="AB1507" s="7" t="str">
        <f>IF(ISBLANK(patch[[#This Row],[project]]), "",COUNTIFS($A:$A,patch[[#This Row],[number]],$S:$S, "SH And dev",$AD:$AD, "&lt;&gt;IntegratorValidationComment"))</f>
        <v/>
      </c>
      <c r="AC1507" s="7" t="str">
        <f>IF(OR(ISNUMBER(FIND("Review-1", patch[[#This Row],[comments]])), ISNUMBER(FIND("Approver-1", patch[[#This Row],[comments]]))), "Review-1", "")</f>
        <v/>
      </c>
      <c r="AD15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507" s="7">
        <f>IF(ISBLANK(patch[[#This Row],[number]]),AE1506,patch[[#This Row],[ifCommon]])</f>
        <v>0</v>
      </c>
    </row>
    <row r="1508" spans="1:31">
      <c r="A1508" s="151">
        <v>146149</v>
      </c>
      <c r="B1508" s="151" t="s">
        <v>2490</v>
      </c>
      <c r="C1508" s="151" t="s">
        <v>2795</v>
      </c>
      <c r="D1508" s="151" t="s">
        <v>3335</v>
      </c>
      <c r="E1508" s="151" t="s">
        <v>677</v>
      </c>
      <c r="F1508" s="151" t="s">
        <v>23</v>
      </c>
      <c r="G1508" s="151" t="s">
        <v>3336</v>
      </c>
      <c r="H1508" s="151" t="s">
        <v>3337</v>
      </c>
      <c r="I1508" s="152">
        <v>42631.742442129631</v>
      </c>
      <c r="J1508" s="152">
        <v>42632.754027777781</v>
      </c>
      <c r="K1508" s="151" t="s">
        <v>2445</v>
      </c>
      <c r="L1508" s="151" t="s">
        <v>677</v>
      </c>
      <c r="M1508" s="152">
        <v>42631.742442129631</v>
      </c>
      <c r="N1508" s="151" t="s">
        <v>25</v>
      </c>
      <c r="O1508" s="151"/>
      <c r="P1508" s="151" t="s">
        <v>3312</v>
      </c>
      <c r="Q1508" s="7" t="str">
        <f>IF(ISBLANK(patch[[#This Row],[OwnerEmail]]),Q1507,patch[[#This Row],[OwnerEmail]])</f>
        <v>lipingx.xu@intel.com</v>
      </c>
      <c r="R1508" s="7" t="str">
        <f>_xlfn.IFNA(VLOOKUP(patch[[#This Row],[tmp-owner.email]],OrgTree!$A:$K, 11, 0), "not ICG SWFW")</f>
        <v>BJ And dev</v>
      </c>
      <c r="S1508" s="7" t="str">
        <f>IF(patch[[#This Row],[reviewer]]=patch[[#This Row],[tmp-owner.email]], "author", _xlfn.IFNA(VLOOKUP(patch[[#This Row],[reviewer]],OrgTree!$A:$K, 11, 0), "not ICG SWFW"))</f>
        <v>author</v>
      </c>
      <c r="T1508" s="7" t="str">
        <f>IF(ISBLANK(patch[[#This Row],[mergeDate]]), "", MID(YEAR(patch[[#This Row],[mergeDate]]), 3,2)&amp;"'ww"&amp;WEEKNUM(patch[[#This Row],[mergeDate]]))</f>
        <v>16'ww39</v>
      </c>
      <c r="U1508" s="7" t="str">
        <f>IF(ISBLANK(patch[[#This Row],[mergeDate]]), U1507, MID(YEAR(patch[[#This Row],[mergeDate]]), 3,2)&amp;"'m"&amp;MONTH(patch[[#This Row],[mergeDate]]))</f>
        <v>16'm9</v>
      </c>
      <c r="V1508" s="7">
        <f>IF(ISBLANK(patch[[#This Row],[project]]), "",SUM(patch[[#This Row],[BJ -1 num]:[SH -1 num]]))</f>
        <v>0</v>
      </c>
      <c r="W1508" s="7">
        <f>IF(ISBLANK(patch[[#This Row],[project]]), "",COUNTIFS($A:$A,patch[[#This Row],[number]],$S:$S, "BJ And dev",$AC:$AC, "Review-1"))</f>
        <v>0</v>
      </c>
      <c r="X1508" s="7">
        <f>IF(ISBLANK(patch[[#This Row],[project]]), "",COUNTIFS($A:$A,patch[[#This Row],[number]],$S:$S, "FL And dev",$AC:$AC, "Review-1"))</f>
        <v>0</v>
      </c>
      <c r="Y1508" s="7">
        <f>IF(ISBLANK(patch[[#This Row],[project]]), "",COUNTIFS($A:$A,patch[[#This Row],[number]],$S:$S, "SH And dev",$AC:$AC, "Review-1"))</f>
        <v>0</v>
      </c>
      <c r="Z1508" s="7">
        <f>IF(ISBLANK(patch[[#This Row],[project]]), "",COUNTIFS($A:$A,patch[[#This Row],[number]],$S:$S, "BJ And dev",$AD:$AD, "&lt;&gt;IntegratorValidationComment"))</f>
        <v>3</v>
      </c>
      <c r="AA1508" s="7">
        <f>IF(ISBLANK(patch[[#This Row],[project]]), "",COUNTIFS($A:$A,patch[[#This Row],[number]],$S:$S, "FL And dev",$AD:$AD, "&lt;&gt;IntegratorValidationComment"))</f>
        <v>0</v>
      </c>
      <c r="AB1508" s="7">
        <f>IF(ISBLANK(patch[[#This Row],[project]]), "",COUNTIFS($A:$A,patch[[#This Row],[number]],$S:$S, "SH And dev",$AD:$AD, "&lt;&gt;IntegratorValidationComment"))</f>
        <v>0</v>
      </c>
      <c r="AC1508" s="7" t="str">
        <f>IF(OR(ISNUMBER(FIND("Review-1", patch[[#This Row],[comments]])), ISNUMBER(FIND("Approver-1", patch[[#This Row],[comments]]))), "Review-1", "")</f>
        <v/>
      </c>
      <c r="AD15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08" s="7" t="str">
        <f>IF(ISBLANK(patch[[#This Row],[number]]),AE1507,patch[[#This Row],[ifCommon]])</f>
        <v>not AndrHAL</v>
      </c>
    </row>
    <row r="1509" spans="1:31">
      <c r="A1509" s="151">
        <v>146149</v>
      </c>
      <c r="B1509" s="151"/>
      <c r="C1509" s="151"/>
      <c r="D1509" s="151"/>
      <c r="E1509" s="151"/>
      <c r="F1509" s="151"/>
      <c r="G1509" s="151"/>
      <c r="H1509" s="151"/>
      <c r="I1509" s="151"/>
      <c r="J1509" s="152">
        <v>42632.754027777781</v>
      </c>
      <c r="K1509" s="151"/>
      <c r="L1509" s="151" t="s">
        <v>677</v>
      </c>
      <c r="M1509" s="152">
        <v>42631.742511574077</v>
      </c>
      <c r="N1509" s="151" t="s">
        <v>2428</v>
      </c>
      <c r="O1509" s="151"/>
      <c r="P1509" s="151"/>
      <c r="Q1509" s="7" t="str">
        <f>IF(ISBLANK(patch[[#This Row],[OwnerEmail]]),Q1508,patch[[#This Row],[OwnerEmail]])</f>
        <v>lipingx.xu@intel.com</v>
      </c>
      <c r="R1509" s="7" t="str">
        <f>_xlfn.IFNA(VLOOKUP(patch[[#This Row],[tmp-owner.email]],OrgTree!$A:$K, 11, 0), "not ICG SWFW")</f>
        <v>BJ And dev</v>
      </c>
      <c r="S1509" s="7" t="str">
        <f>IF(patch[[#This Row],[reviewer]]=patch[[#This Row],[tmp-owner.email]], "author", _xlfn.IFNA(VLOOKUP(patch[[#This Row],[reviewer]],OrgTree!$A:$K, 11, 0), "not ICG SWFW"))</f>
        <v>author</v>
      </c>
      <c r="T1509" s="7" t="str">
        <f>IF(ISBLANK(patch[[#This Row],[mergeDate]]), "", MID(YEAR(patch[[#This Row],[mergeDate]]), 3,2)&amp;"'ww"&amp;WEEKNUM(patch[[#This Row],[mergeDate]]))</f>
        <v>16'ww39</v>
      </c>
      <c r="U1509" s="7" t="str">
        <f>IF(ISBLANK(patch[[#This Row],[mergeDate]]), U1508, MID(YEAR(patch[[#This Row],[mergeDate]]), 3,2)&amp;"'m"&amp;MONTH(patch[[#This Row],[mergeDate]]))</f>
        <v>16'm9</v>
      </c>
      <c r="V1509" s="7" t="str">
        <f>IF(ISBLANK(patch[[#This Row],[project]]), "",SUM(patch[[#This Row],[BJ -1 num]:[SH -1 num]]))</f>
        <v/>
      </c>
      <c r="W1509" s="7" t="str">
        <f>IF(ISBLANK(patch[[#This Row],[project]]), "",COUNTIFS($A:$A,patch[[#This Row],[number]],$S:$S, "BJ And dev",$AC:$AC, "Review-1"))</f>
        <v/>
      </c>
      <c r="X1509" s="7" t="str">
        <f>IF(ISBLANK(patch[[#This Row],[project]]), "",COUNTIFS($A:$A,patch[[#This Row],[number]],$S:$S, "FL And dev",$AC:$AC, "Review-1"))</f>
        <v/>
      </c>
      <c r="Y1509" s="7" t="str">
        <f>IF(ISBLANK(patch[[#This Row],[project]]), "",COUNTIFS($A:$A,patch[[#This Row],[number]],$S:$S, "SH And dev",$AC:$AC, "Review-1"))</f>
        <v/>
      </c>
      <c r="Z1509" s="7" t="str">
        <f>IF(ISBLANK(patch[[#This Row],[project]]), "",COUNTIFS($A:$A,patch[[#This Row],[number]],$S:$S, "BJ And dev",$AD:$AD, "&lt;&gt;IntegratorValidationComment"))</f>
        <v/>
      </c>
      <c r="AA1509" s="7" t="str">
        <f>IF(ISBLANK(patch[[#This Row],[project]]), "",COUNTIFS($A:$A,patch[[#This Row],[number]],$S:$S, "FL And dev",$AD:$AD, "&lt;&gt;IntegratorValidationComment"))</f>
        <v/>
      </c>
      <c r="AB1509" s="7" t="str">
        <f>IF(ISBLANK(patch[[#This Row],[project]]), "",COUNTIFS($A:$A,patch[[#This Row],[number]],$S:$S, "SH And dev",$AD:$AD, "&lt;&gt;IntegratorValidationComment"))</f>
        <v/>
      </c>
      <c r="AC1509" s="7" t="str">
        <f>IF(OR(ISNUMBER(FIND("Review-1", patch[[#This Row],[comments]])), ISNUMBER(FIND("Approver-1", patch[[#This Row],[comments]]))), "Review-1", "")</f>
        <v/>
      </c>
      <c r="AD15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09" s="7">
        <f>IF(ISBLANK(patch[[#This Row],[number]]),AE1508,patch[[#This Row],[ifCommon]])</f>
        <v>0</v>
      </c>
    </row>
    <row r="1510" spans="1:31">
      <c r="A1510" s="151">
        <v>146149</v>
      </c>
      <c r="B1510" s="151"/>
      <c r="C1510" s="151"/>
      <c r="D1510" s="151"/>
      <c r="E1510" s="151"/>
      <c r="F1510" s="151"/>
      <c r="G1510" s="151"/>
      <c r="H1510" s="151"/>
      <c r="I1510" s="151"/>
      <c r="J1510" s="152">
        <v>42632.754027777781</v>
      </c>
      <c r="K1510" s="151"/>
      <c r="L1510" s="151" t="s">
        <v>24</v>
      </c>
      <c r="M1510" s="152">
        <v>42631.756851851853</v>
      </c>
      <c r="N1510" s="151" t="s">
        <v>1880</v>
      </c>
      <c r="O1510" s="151"/>
      <c r="P1510" s="151"/>
      <c r="Q1510" s="7" t="str">
        <f>IF(ISBLANK(patch[[#This Row],[OwnerEmail]]),Q1509,patch[[#This Row],[OwnerEmail]])</f>
        <v>lipingx.xu@intel.com</v>
      </c>
      <c r="R1510" s="7" t="str">
        <f>_xlfn.IFNA(VLOOKUP(patch[[#This Row],[tmp-owner.email]],OrgTree!$A:$K, 11, 0), "not ICG SWFW")</f>
        <v>BJ And dev</v>
      </c>
      <c r="S1510" s="7" t="str">
        <f>IF(patch[[#This Row],[reviewer]]=patch[[#This Row],[tmp-owner.email]], "author", _xlfn.IFNA(VLOOKUP(patch[[#This Row],[reviewer]],OrgTree!$A:$K, 11, 0), "not ICG SWFW"))</f>
        <v>BJ And dev</v>
      </c>
      <c r="T1510" s="7" t="str">
        <f>IF(ISBLANK(patch[[#This Row],[mergeDate]]), "", MID(YEAR(patch[[#This Row],[mergeDate]]), 3,2)&amp;"'ww"&amp;WEEKNUM(patch[[#This Row],[mergeDate]]))</f>
        <v>16'ww39</v>
      </c>
      <c r="U1510" s="7" t="str">
        <f>IF(ISBLANK(patch[[#This Row],[mergeDate]]), U1509, MID(YEAR(patch[[#This Row],[mergeDate]]), 3,2)&amp;"'m"&amp;MONTH(patch[[#This Row],[mergeDate]]))</f>
        <v>16'm9</v>
      </c>
      <c r="V1510" s="7" t="str">
        <f>IF(ISBLANK(patch[[#This Row],[project]]), "",SUM(patch[[#This Row],[BJ -1 num]:[SH -1 num]]))</f>
        <v/>
      </c>
      <c r="W1510" s="7" t="str">
        <f>IF(ISBLANK(patch[[#This Row],[project]]), "",COUNTIFS($A:$A,patch[[#This Row],[number]],$S:$S, "BJ And dev",$AC:$AC, "Review-1"))</f>
        <v/>
      </c>
      <c r="X1510" s="7" t="str">
        <f>IF(ISBLANK(patch[[#This Row],[project]]), "",COUNTIFS($A:$A,patch[[#This Row],[number]],$S:$S, "FL And dev",$AC:$AC, "Review-1"))</f>
        <v/>
      </c>
      <c r="Y1510" s="7" t="str">
        <f>IF(ISBLANK(patch[[#This Row],[project]]), "",COUNTIFS($A:$A,patch[[#This Row],[number]],$S:$S, "SH And dev",$AC:$AC, "Review-1"))</f>
        <v/>
      </c>
      <c r="Z1510" s="7" t="str">
        <f>IF(ISBLANK(patch[[#This Row],[project]]), "",COUNTIFS($A:$A,patch[[#This Row],[number]],$S:$S, "BJ And dev",$AD:$AD, "&lt;&gt;IntegratorValidationComment"))</f>
        <v/>
      </c>
      <c r="AA1510" s="7" t="str">
        <f>IF(ISBLANK(patch[[#This Row],[project]]), "",COUNTIFS($A:$A,patch[[#This Row],[number]],$S:$S, "FL And dev",$AD:$AD, "&lt;&gt;IntegratorValidationComment"))</f>
        <v/>
      </c>
      <c r="AB1510" s="7" t="str">
        <f>IF(ISBLANK(patch[[#This Row],[project]]), "",COUNTIFS($A:$A,patch[[#This Row],[number]],$S:$S, "SH And dev",$AD:$AD, "&lt;&gt;IntegratorValidationComment"))</f>
        <v/>
      </c>
      <c r="AC1510" s="7" t="str">
        <f>IF(OR(ISNUMBER(FIND("Review-1", patch[[#This Row],[comments]])), ISNUMBER(FIND("Approver-1", patch[[#This Row],[comments]]))), "Review-1", "")</f>
        <v/>
      </c>
      <c r="AD15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10" s="7">
        <f>IF(ISBLANK(patch[[#This Row],[number]]),AE1509,patch[[#This Row],[ifCommon]])</f>
        <v>0</v>
      </c>
    </row>
    <row r="1511" spans="1:31">
      <c r="A1511" s="151">
        <v>146149</v>
      </c>
      <c r="B1511" s="151"/>
      <c r="C1511" s="151"/>
      <c r="D1511" s="151"/>
      <c r="E1511" s="151"/>
      <c r="F1511" s="151"/>
      <c r="G1511" s="151"/>
      <c r="H1511" s="151"/>
      <c r="I1511" s="151"/>
      <c r="J1511" s="152">
        <v>42632.754027777781</v>
      </c>
      <c r="K1511" s="151"/>
      <c r="L1511" s="151" t="s">
        <v>59</v>
      </c>
      <c r="M1511" s="152">
        <v>42631.793935185182</v>
      </c>
      <c r="N1511" s="151" t="s">
        <v>3338</v>
      </c>
      <c r="O1511" s="151"/>
      <c r="P1511" s="151"/>
      <c r="Q1511" s="7" t="str">
        <f>IF(ISBLANK(patch[[#This Row],[OwnerEmail]]),Q1510,patch[[#This Row],[OwnerEmail]])</f>
        <v>lipingx.xu@intel.com</v>
      </c>
      <c r="R1511" s="7" t="str">
        <f>_xlfn.IFNA(VLOOKUP(patch[[#This Row],[tmp-owner.email]],OrgTree!$A:$K, 11, 0), "not ICG SWFW")</f>
        <v>BJ And dev</v>
      </c>
      <c r="S1511" s="7" t="str">
        <f>IF(patch[[#This Row],[reviewer]]=patch[[#This Row],[tmp-owner.email]], "author", _xlfn.IFNA(VLOOKUP(patch[[#This Row],[reviewer]],OrgTree!$A:$K, 11, 0), "not ICG SWFW"))</f>
        <v>BJ And dev</v>
      </c>
      <c r="T1511" s="7" t="str">
        <f>IF(ISBLANK(patch[[#This Row],[mergeDate]]), "", MID(YEAR(patch[[#This Row],[mergeDate]]), 3,2)&amp;"'ww"&amp;WEEKNUM(patch[[#This Row],[mergeDate]]))</f>
        <v>16'ww39</v>
      </c>
      <c r="U1511" s="7" t="str">
        <f>IF(ISBLANK(patch[[#This Row],[mergeDate]]), U1510, MID(YEAR(patch[[#This Row],[mergeDate]]), 3,2)&amp;"'m"&amp;MONTH(patch[[#This Row],[mergeDate]]))</f>
        <v>16'm9</v>
      </c>
      <c r="V1511" s="7" t="str">
        <f>IF(ISBLANK(patch[[#This Row],[project]]), "",SUM(patch[[#This Row],[BJ -1 num]:[SH -1 num]]))</f>
        <v/>
      </c>
      <c r="W1511" s="7" t="str">
        <f>IF(ISBLANK(patch[[#This Row],[project]]), "",COUNTIFS($A:$A,patch[[#This Row],[number]],$S:$S, "BJ And dev",$AC:$AC, "Review-1"))</f>
        <v/>
      </c>
      <c r="X1511" s="7" t="str">
        <f>IF(ISBLANK(patch[[#This Row],[project]]), "",COUNTIFS($A:$A,patch[[#This Row],[number]],$S:$S, "FL And dev",$AC:$AC, "Review-1"))</f>
        <v/>
      </c>
      <c r="Y1511" s="7" t="str">
        <f>IF(ISBLANK(patch[[#This Row],[project]]), "",COUNTIFS($A:$A,patch[[#This Row],[number]],$S:$S, "SH And dev",$AC:$AC, "Review-1"))</f>
        <v/>
      </c>
      <c r="Z1511" s="7" t="str">
        <f>IF(ISBLANK(patch[[#This Row],[project]]), "",COUNTIFS($A:$A,patch[[#This Row],[number]],$S:$S, "BJ And dev",$AD:$AD, "&lt;&gt;IntegratorValidationComment"))</f>
        <v/>
      </c>
      <c r="AA1511" s="7" t="str">
        <f>IF(ISBLANK(patch[[#This Row],[project]]), "",COUNTIFS($A:$A,patch[[#This Row],[number]],$S:$S, "FL And dev",$AD:$AD, "&lt;&gt;IntegratorValidationComment"))</f>
        <v/>
      </c>
      <c r="AB1511" s="7" t="str">
        <f>IF(ISBLANK(patch[[#This Row],[project]]), "",COUNTIFS($A:$A,patch[[#This Row],[number]],$S:$S, "SH And dev",$AD:$AD, "&lt;&gt;IntegratorValidationComment"))</f>
        <v/>
      </c>
      <c r="AC1511" s="7" t="str">
        <f>IF(OR(ISNUMBER(FIND("Review-1", patch[[#This Row],[comments]])), ISNUMBER(FIND("Approver-1", patch[[#This Row],[comments]]))), "Review-1", "")</f>
        <v/>
      </c>
      <c r="AD15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11" s="7">
        <f>IF(ISBLANK(patch[[#This Row],[number]]),AE1510,patch[[#This Row],[ifCommon]])</f>
        <v>0</v>
      </c>
    </row>
    <row r="1512" spans="1:31">
      <c r="A1512" s="151">
        <v>146149</v>
      </c>
      <c r="B1512" s="151"/>
      <c r="C1512" s="151"/>
      <c r="D1512" s="151"/>
      <c r="E1512" s="151"/>
      <c r="F1512" s="151"/>
      <c r="G1512" s="151"/>
      <c r="H1512" s="151"/>
      <c r="I1512" s="151"/>
      <c r="J1512" s="152">
        <v>42632.754027777781</v>
      </c>
      <c r="K1512" s="151"/>
      <c r="L1512" s="151" t="s">
        <v>59</v>
      </c>
      <c r="M1512" s="152">
        <v>42631.835810185177</v>
      </c>
      <c r="N1512" s="151" t="s">
        <v>3339</v>
      </c>
      <c r="O1512" s="151"/>
      <c r="P1512" s="151"/>
      <c r="Q1512" s="7" t="str">
        <f>IF(ISBLANK(patch[[#This Row],[OwnerEmail]]),Q1511,patch[[#This Row],[OwnerEmail]])</f>
        <v>lipingx.xu@intel.com</v>
      </c>
      <c r="R1512" s="7" t="str">
        <f>_xlfn.IFNA(VLOOKUP(patch[[#This Row],[tmp-owner.email]],OrgTree!$A:$K, 11, 0), "not ICG SWFW")</f>
        <v>BJ And dev</v>
      </c>
      <c r="S1512" s="7" t="str">
        <f>IF(patch[[#This Row],[reviewer]]=patch[[#This Row],[tmp-owner.email]], "author", _xlfn.IFNA(VLOOKUP(patch[[#This Row],[reviewer]],OrgTree!$A:$K, 11, 0), "not ICG SWFW"))</f>
        <v>BJ And dev</v>
      </c>
      <c r="T1512" s="7" t="str">
        <f>IF(ISBLANK(patch[[#This Row],[mergeDate]]), "", MID(YEAR(patch[[#This Row],[mergeDate]]), 3,2)&amp;"'ww"&amp;WEEKNUM(patch[[#This Row],[mergeDate]]))</f>
        <v>16'ww39</v>
      </c>
      <c r="U1512" s="7" t="str">
        <f>IF(ISBLANK(patch[[#This Row],[mergeDate]]), U1511, MID(YEAR(patch[[#This Row],[mergeDate]]), 3,2)&amp;"'m"&amp;MONTH(patch[[#This Row],[mergeDate]]))</f>
        <v>16'm9</v>
      </c>
      <c r="V1512" s="7" t="str">
        <f>IF(ISBLANK(patch[[#This Row],[project]]), "",SUM(patch[[#This Row],[BJ -1 num]:[SH -1 num]]))</f>
        <v/>
      </c>
      <c r="W1512" s="7" t="str">
        <f>IF(ISBLANK(patch[[#This Row],[project]]), "",COUNTIFS($A:$A,patch[[#This Row],[number]],$S:$S, "BJ And dev",$AC:$AC, "Review-1"))</f>
        <v/>
      </c>
      <c r="X1512" s="7" t="str">
        <f>IF(ISBLANK(patch[[#This Row],[project]]), "",COUNTIFS($A:$A,patch[[#This Row],[number]],$S:$S, "FL And dev",$AC:$AC, "Review-1"))</f>
        <v/>
      </c>
      <c r="Y1512" s="7" t="str">
        <f>IF(ISBLANK(patch[[#This Row],[project]]), "",COUNTIFS($A:$A,patch[[#This Row],[number]],$S:$S, "SH And dev",$AC:$AC, "Review-1"))</f>
        <v/>
      </c>
      <c r="Z1512" s="7" t="str">
        <f>IF(ISBLANK(patch[[#This Row],[project]]), "",COUNTIFS($A:$A,patch[[#This Row],[number]],$S:$S, "BJ And dev",$AD:$AD, "&lt;&gt;IntegratorValidationComment"))</f>
        <v/>
      </c>
      <c r="AA1512" s="7" t="str">
        <f>IF(ISBLANK(patch[[#This Row],[project]]), "",COUNTIFS($A:$A,patch[[#This Row],[number]],$S:$S, "FL And dev",$AD:$AD, "&lt;&gt;IntegratorValidationComment"))</f>
        <v/>
      </c>
      <c r="AB1512" s="7" t="str">
        <f>IF(ISBLANK(patch[[#This Row],[project]]), "",COUNTIFS($A:$A,patch[[#This Row],[number]],$S:$S, "SH And dev",$AD:$AD, "&lt;&gt;IntegratorValidationComment"))</f>
        <v/>
      </c>
      <c r="AC1512" s="7" t="str">
        <f>IF(OR(ISNUMBER(FIND("Review-1", patch[[#This Row],[comments]])), ISNUMBER(FIND("Approver-1", patch[[#This Row],[comments]]))), "Review-1", "")</f>
        <v/>
      </c>
      <c r="AD15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12" s="7">
        <f>IF(ISBLANK(patch[[#This Row],[number]]),AE1511,patch[[#This Row],[ifCommon]])</f>
        <v>0</v>
      </c>
    </row>
    <row r="1513" spans="1:31">
      <c r="A1513" s="151">
        <v>146149</v>
      </c>
      <c r="B1513" s="151"/>
      <c r="C1513" s="151"/>
      <c r="D1513" s="151"/>
      <c r="E1513" s="151"/>
      <c r="F1513" s="151"/>
      <c r="G1513" s="151"/>
      <c r="H1513" s="151"/>
      <c r="I1513" s="151"/>
      <c r="J1513" s="152">
        <v>42632.754027777781</v>
      </c>
      <c r="K1513" s="151"/>
      <c r="L1513" s="151" t="s">
        <v>677</v>
      </c>
      <c r="M1513" s="152">
        <v>42632.458749999998</v>
      </c>
      <c r="N1513" s="151" t="s">
        <v>40</v>
      </c>
      <c r="O1513" s="151"/>
      <c r="P1513" s="151"/>
      <c r="Q1513" s="7" t="str">
        <f>IF(ISBLANK(patch[[#This Row],[OwnerEmail]]),Q1512,patch[[#This Row],[OwnerEmail]])</f>
        <v>lipingx.xu@intel.com</v>
      </c>
      <c r="R1513" s="7" t="str">
        <f>_xlfn.IFNA(VLOOKUP(patch[[#This Row],[tmp-owner.email]],OrgTree!$A:$K, 11, 0), "not ICG SWFW")</f>
        <v>BJ And dev</v>
      </c>
      <c r="S1513" s="7" t="str">
        <f>IF(patch[[#This Row],[reviewer]]=patch[[#This Row],[tmp-owner.email]], "author", _xlfn.IFNA(VLOOKUP(patch[[#This Row],[reviewer]],OrgTree!$A:$K, 11, 0), "not ICG SWFW"))</f>
        <v>author</v>
      </c>
      <c r="T1513" s="7" t="str">
        <f>IF(ISBLANK(patch[[#This Row],[mergeDate]]), "", MID(YEAR(patch[[#This Row],[mergeDate]]), 3,2)&amp;"'ww"&amp;WEEKNUM(patch[[#This Row],[mergeDate]]))</f>
        <v>16'ww39</v>
      </c>
      <c r="U1513" s="7" t="str">
        <f>IF(ISBLANK(patch[[#This Row],[mergeDate]]), U1512, MID(YEAR(patch[[#This Row],[mergeDate]]), 3,2)&amp;"'m"&amp;MONTH(patch[[#This Row],[mergeDate]]))</f>
        <v>16'm9</v>
      </c>
      <c r="V1513" s="7" t="str">
        <f>IF(ISBLANK(patch[[#This Row],[project]]), "",SUM(patch[[#This Row],[BJ -1 num]:[SH -1 num]]))</f>
        <v/>
      </c>
      <c r="W1513" s="7" t="str">
        <f>IF(ISBLANK(patch[[#This Row],[project]]), "",COUNTIFS($A:$A,patch[[#This Row],[number]],$S:$S, "BJ And dev",$AC:$AC, "Review-1"))</f>
        <v/>
      </c>
      <c r="X1513" s="7" t="str">
        <f>IF(ISBLANK(patch[[#This Row],[project]]), "",COUNTIFS($A:$A,patch[[#This Row],[number]],$S:$S, "FL And dev",$AC:$AC, "Review-1"))</f>
        <v/>
      </c>
      <c r="Y1513" s="7" t="str">
        <f>IF(ISBLANK(patch[[#This Row],[project]]), "",COUNTIFS($A:$A,patch[[#This Row],[number]],$S:$S, "SH And dev",$AC:$AC, "Review-1"))</f>
        <v/>
      </c>
      <c r="Z1513" s="7" t="str">
        <f>IF(ISBLANK(patch[[#This Row],[project]]), "",COUNTIFS($A:$A,patch[[#This Row],[number]],$S:$S, "BJ And dev",$AD:$AD, "&lt;&gt;IntegratorValidationComment"))</f>
        <v/>
      </c>
      <c r="AA1513" s="7" t="str">
        <f>IF(ISBLANK(patch[[#This Row],[project]]), "",COUNTIFS($A:$A,patch[[#This Row],[number]],$S:$S, "FL And dev",$AD:$AD, "&lt;&gt;IntegratorValidationComment"))</f>
        <v/>
      </c>
      <c r="AB1513" s="7" t="str">
        <f>IF(ISBLANK(patch[[#This Row],[project]]), "",COUNTIFS($A:$A,patch[[#This Row],[number]],$S:$S, "SH And dev",$AD:$AD, "&lt;&gt;IntegratorValidationComment"))</f>
        <v/>
      </c>
      <c r="AC1513" s="7" t="str">
        <f>IF(OR(ISNUMBER(FIND("Review-1", patch[[#This Row],[comments]])), ISNUMBER(FIND("Approver-1", patch[[#This Row],[comments]]))), "Review-1", "")</f>
        <v/>
      </c>
      <c r="AD15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13" s="7">
        <f>IF(ISBLANK(patch[[#This Row],[number]]),AE1512,patch[[#This Row],[ifCommon]])</f>
        <v>0</v>
      </c>
    </row>
    <row r="1514" spans="1:31">
      <c r="A1514" s="151">
        <v>146149</v>
      </c>
      <c r="B1514" s="151"/>
      <c r="C1514" s="151"/>
      <c r="D1514" s="151"/>
      <c r="E1514" s="151"/>
      <c r="F1514" s="151"/>
      <c r="G1514" s="151"/>
      <c r="H1514" s="151"/>
      <c r="I1514" s="151"/>
      <c r="J1514" s="152">
        <v>42632.754027777781</v>
      </c>
      <c r="K1514" s="151"/>
      <c r="L1514" s="151" t="s">
        <v>115</v>
      </c>
      <c r="M1514" s="152">
        <v>42632.607916666668</v>
      </c>
      <c r="N1514" s="151" t="s">
        <v>2494</v>
      </c>
      <c r="O1514" s="151"/>
      <c r="P1514" s="151"/>
      <c r="Q1514" s="7" t="str">
        <f>IF(ISBLANK(patch[[#This Row],[OwnerEmail]]),Q1513,patch[[#This Row],[OwnerEmail]])</f>
        <v>lipingx.xu@intel.com</v>
      </c>
      <c r="R1514" s="7" t="str">
        <f>_xlfn.IFNA(VLOOKUP(patch[[#This Row],[tmp-owner.email]],OrgTree!$A:$K, 11, 0), "not ICG SWFW")</f>
        <v>BJ And dev</v>
      </c>
      <c r="S1514" s="7" t="str">
        <f>IF(patch[[#This Row],[reviewer]]=patch[[#This Row],[tmp-owner.email]], "author", _xlfn.IFNA(VLOOKUP(patch[[#This Row],[reviewer]],OrgTree!$A:$K, 11, 0), "not ICG SWFW"))</f>
        <v>Val</v>
      </c>
      <c r="T1514" s="7" t="str">
        <f>IF(ISBLANK(patch[[#This Row],[mergeDate]]), "", MID(YEAR(patch[[#This Row],[mergeDate]]), 3,2)&amp;"'ww"&amp;WEEKNUM(patch[[#This Row],[mergeDate]]))</f>
        <v>16'ww39</v>
      </c>
      <c r="U1514" s="7" t="str">
        <f>IF(ISBLANK(patch[[#This Row],[mergeDate]]), U1513, MID(YEAR(patch[[#This Row],[mergeDate]]), 3,2)&amp;"'m"&amp;MONTH(patch[[#This Row],[mergeDate]]))</f>
        <v>16'm9</v>
      </c>
      <c r="V1514" s="7" t="str">
        <f>IF(ISBLANK(patch[[#This Row],[project]]), "",SUM(patch[[#This Row],[BJ -1 num]:[SH -1 num]]))</f>
        <v/>
      </c>
      <c r="W1514" s="7" t="str">
        <f>IF(ISBLANK(patch[[#This Row],[project]]), "",COUNTIFS($A:$A,patch[[#This Row],[number]],$S:$S, "BJ And dev",$AC:$AC, "Review-1"))</f>
        <v/>
      </c>
      <c r="X1514" s="7" t="str">
        <f>IF(ISBLANK(patch[[#This Row],[project]]), "",COUNTIFS($A:$A,patch[[#This Row],[number]],$S:$S, "FL And dev",$AC:$AC, "Review-1"))</f>
        <v/>
      </c>
      <c r="Y1514" s="7" t="str">
        <f>IF(ISBLANK(patch[[#This Row],[project]]), "",COUNTIFS($A:$A,patch[[#This Row],[number]],$S:$S, "SH And dev",$AC:$AC, "Review-1"))</f>
        <v/>
      </c>
      <c r="Z1514" s="7" t="str">
        <f>IF(ISBLANK(patch[[#This Row],[project]]), "",COUNTIFS($A:$A,patch[[#This Row],[number]],$S:$S, "BJ And dev",$AD:$AD, "&lt;&gt;IntegratorValidationComment"))</f>
        <v/>
      </c>
      <c r="AA1514" s="7" t="str">
        <f>IF(ISBLANK(patch[[#This Row],[project]]), "",COUNTIFS($A:$A,patch[[#This Row],[number]],$S:$S, "FL And dev",$AD:$AD, "&lt;&gt;IntegratorValidationComment"))</f>
        <v/>
      </c>
      <c r="AB1514" s="7" t="str">
        <f>IF(ISBLANK(patch[[#This Row],[project]]), "",COUNTIFS($A:$A,patch[[#This Row],[number]],$S:$S, "SH And dev",$AD:$AD, "&lt;&gt;IntegratorValidationComment"))</f>
        <v/>
      </c>
      <c r="AC1514" s="7" t="str">
        <f>IF(OR(ISNUMBER(FIND("Review-1", patch[[#This Row],[comments]])), ISNUMBER(FIND("Approver-1", patch[[#This Row],[comments]]))), "Review-1", "")</f>
        <v/>
      </c>
      <c r="AD15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514" s="7">
        <f>IF(ISBLANK(patch[[#This Row],[number]]),AE1513,patch[[#This Row],[ifCommon]])</f>
        <v>0</v>
      </c>
    </row>
    <row r="1515" spans="1:31">
      <c r="A1515" s="151">
        <v>146148</v>
      </c>
      <c r="B1515" s="151" t="s">
        <v>2490</v>
      </c>
      <c r="C1515" s="151" t="s">
        <v>2795</v>
      </c>
      <c r="D1515" s="151" t="s">
        <v>3340</v>
      </c>
      <c r="E1515" s="151" t="s">
        <v>677</v>
      </c>
      <c r="F1515" s="151" t="s">
        <v>23</v>
      </c>
      <c r="G1515" s="151" t="s">
        <v>3341</v>
      </c>
      <c r="H1515" s="151" t="s">
        <v>3342</v>
      </c>
      <c r="I1515" s="152">
        <v>42631.742442129631</v>
      </c>
      <c r="J1515" s="152">
        <v>42632.753923611112</v>
      </c>
      <c r="K1515" s="151" t="s">
        <v>2445</v>
      </c>
      <c r="L1515" s="151" t="s">
        <v>677</v>
      </c>
      <c r="M1515" s="152">
        <v>42631.742442129631</v>
      </c>
      <c r="N1515" s="151" t="s">
        <v>25</v>
      </c>
      <c r="O1515" s="151"/>
      <c r="P1515" s="151" t="s">
        <v>3312</v>
      </c>
      <c r="Q1515" s="7" t="str">
        <f>IF(ISBLANK(patch[[#This Row],[OwnerEmail]]),Q1514,patch[[#This Row],[OwnerEmail]])</f>
        <v>lipingx.xu@intel.com</v>
      </c>
      <c r="R1515" s="7" t="str">
        <f>_xlfn.IFNA(VLOOKUP(patch[[#This Row],[tmp-owner.email]],OrgTree!$A:$K, 11, 0), "not ICG SWFW")</f>
        <v>BJ And dev</v>
      </c>
      <c r="S1515" s="7" t="str">
        <f>IF(patch[[#This Row],[reviewer]]=patch[[#This Row],[tmp-owner.email]], "author", _xlfn.IFNA(VLOOKUP(patch[[#This Row],[reviewer]],OrgTree!$A:$K, 11, 0), "not ICG SWFW"))</f>
        <v>author</v>
      </c>
      <c r="T1515" s="7" t="str">
        <f>IF(ISBLANK(patch[[#This Row],[mergeDate]]), "", MID(YEAR(patch[[#This Row],[mergeDate]]), 3,2)&amp;"'ww"&amp;WEEKNUM(patch[[#This Row],[mergeDate]]))</f>
        <v>16'ww39</v>
      </c>
      <c r="U1515" s="7" t="str">
        <f>IF(ISBLANK(patch[[#This Row],[mergeDate]]), U1514, MID(YEAR(patch[[#This Row],[mergeDate]]), 3,2)&amp;"'m"&amp;MONTH(patch[[#This Row],[mergeDate]]))</f>
        <v>16'm9</v>
      </c>
      <c r="V1515" s="7">
        <f>IF(ISBLANK(patch[[#This Row],[project]]), "",SUM(patch[[#This Row],[BJ -1 num]:[SH -1 num]]))</f>
        <v>0</v>
      </c>
      <c r="W1515" s="7">
        <f>IF(ISBLANK(patch[[#This Row],[project]]), "",COUNTIFS($A:$A,patch[[#This Row],[number]],$S:$S, "BJ And dev",$AC:$AC, "Review-1"))</f>
        <v>0</v>
      </c>
      <c r="X1515" s="7">
        <f>IF(ISBLANK(patch[[#This Row],[project]]), "",COUNTIFS($A:$A,patch[[#This Row],[number]],$S:$S, "FL And dev",$AC:$AC, "Review-1"))</f>
        <v>0</v>
      </c>
      <c r="Y1515" s="7">
        <f>IF(ISBLANK(patch[[#This Row],[project]]), "",COUNTIFS($A:$A,patch[[#This Row],[number]],$S:$S, "SH And dev",$AC:$AC, "Review-1"))</f>
        <v>0</v>
      </c>
      <c r="Z1515" s="7">
        <f>IF(ISBLANK(patch[[#This Row],[project]]), "",COUNTIFS($A:$A,patch[[#This Row],[number]],$S:$S, "BJ And dev",$AD:$AD, "&lt;&gt;IntegratorValidationComment"))</f>
        <v>3</v>
      </c>
      <c r="AA1515" s="7">
        <f>IF(ISBLANK(patch[[#This Row],[project]]), "",COUNTIFS($A:$A,patch[[#This Row],[number]],$S:$S, "FL And dev",$AD:$AD, "&lt;&gt;IntegratorValidationComment"))</f>
        <v>0</v>
      </c>
      <c r="AB1515" s="7">
        <f>IF(ISBLANK(patch[[#This Row],[project]]), "",COUNTIFS($A:$A,patch[[#This Row],[number]],$S:$S, "SH And dev",$AD:$AD, "&lt;&gt;IntegratorValidationComment"))</f>
        <v>0</v>
      </c>
      <c r="AC1515" s="7" t="str">
        <f>IF(OR(ISNUMBER(FIND("Review-1", patch[[#This Row],[comments]])), ISNUMBER(FIND("Approver-1", patch[[#This Row],[comments]]))), "Review-1", "")</f>
        <v/>
      </c>
      <c r="AD15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15" s="7" t="str">
        <f>IF(ISBLANK(patch[[#This Row],[number]]),AE1514,patch[[#This Row],[ifCommon]])</f>
        <v>not AndrHAL</v>
      </c>
    </row>
    <row r="1516" spans="1:31">
      <c r="A1516" s="151">
        <v>146148</v>
      </c>
      <c r="B1516" s="151"/>
      <c r="C1516" s="151"/>
      <c r="D1516" s="151"/>
      <c r="E1516" s="151"/>
      <c r="F1516" s="151"/>
      <c r="G1516" s="151"/>
      <c r="H1516" s="151"/>
      <c r="I1516" s="151"/>
      <c r="J1516" s="152">
        <v>42632.753923611112</v>
      </c>
      <c r="K1516" s="151"/>
      <c r="L1516" s="151" t="s">
        <v>677</v>
      </c>
      <c r="M1516" s="152">
        <v>42631.742488425924</v>
      </c>
      <c r="N1516" s="151" t="s">
        <v>2428</v>
      </c>
      <c r="O1516" s="151"/>
      <c r="P1516" s="151"/>
      <c r="Q1516" s="7" t="str">
        <f>IF(ISBLANK(patch[[#This Row],[OwnerEmail]]),Q1515,patch[[#This Row],[OwnerEmail]])</f>
        <v>lipingx.xu@intel.com</v>
      </c>
      <c r="R1516" s="7" t="str">
        <f>_xlfn.IFNA(VLOOKUP(patch[[#This Row],[tmp-owner.email]],OrgTree!$A:$K, 11, 0), "not ICG SWFW")</f>
        <v>BJ And dev</v>
      </c>
      <c r="S1516" s="7" t="str">
        <f>IF(patch[[#This Row],[reviewer]]=patch[[#This Row],[tmp-owner.email]], "author", _xlfn.IFNA(VLOOKUP(patch[[#This Row],[reviewer]],OrgTree!$A:$K, 11, 0), "not ICG SWFW"))</f>
        <v>author</v>
      </c>
      <c r="T1516" s="7" t="str">
        <f>IF(ISBLANK(patch[[#This Row],[mergeDate]]), "", MID(YEAR(patch[[#This Row],[mergeDate]]), 3,2)&amp;"'ww"&amp;WEEKNUM(patch[[#This Row],[mergeDate]]))</f>
        <v>16'ww39</v>
      </c>
      <c r="U1516" s="7" t="str">
        <f>IF(ISBLANK(patch[[#This Row],[mergeDate]]), U1515, MID(YEAR(patch[[#This Row],[mergeDate]]), 3,2)&amp;"'m"&amp;MONTH(patch[[#This Row],[mergeDate]]))</f>
        <v>16'm9</v>
      </c>
      <c r="V1516" s="7" t="str">
        <f>IF(ISBLANK(patch[[#This Row],[project]]), "",SUM(patch[[#This Row],[BJ -1 num]:[SH -1 num]]))</f>
        <v/>
      </c>
      <c r="W1516" s="7" t="str">
        <f>IF(ISBLANK(patch[[#This Row],[project]]), "",COUNTIFS($A:$A,patch[[#This Row],[number]],$S:$S, "BJ And dev",$AC:$AC, "Review-1"))</f>
        <v/>
      </c>
      <c r="X1516" s="7" t="str">
        <f>IF(ISBLANK(patch[[#This Row],[project]]), "",COUNTIFS($A:$A,patch[[#This Row],[number]],$S:$S, "FL And dev",$AC:$AC, "Review-1"))</f>
        <v/>
      </c>
      <c r="Y1516" s="7" t="str">
        <f>IF(ISBLANK(patch[[#This Row],[project]]), "",COUNTIFS($A:$A,patch[[#This Row],[number]],$S:$S, "SH And dev",$AC:$AC, "Review-1"))</f>
        <v/>
      </c>
      <c r="Z1516" s="7" t="str">
        <f>IF(ISBLANK(patch[[#This Row],[project]]), "",COUNTIFS($A:$A,patch[[#This Row],[number]],$S:$S, "BJ And dev",$AD:$AD, "&lt;&gt;IntegratorValidationComment"))</f>
        <v/>
      </c>
      <c r="AA1516" s="7" t="str">
        <f>IF(ISBLANK(patch[[#This Row],[project]]), "",COUNTIFS($A:$A,patch[[#This Row],[number]],$S:$S, "FL And dev",$AD:$AD, "&lt;&gt;IntegratorValidationComment"))</f>
        <v/>
      </c>
      <c r="AB1516" s="7" t="str">
        <f>IF(ISBLANK(patch[[#This Row],[project]]), "",COUNTIFS($A:$A,patch[[#This Row],[number]],$S:$S, "SH And dev",$AD:$AD, "&lt;&gt;IntegratorValidationComment"))</f>
        <v/>
      </c>
      <c r="AC1516" s="7" t="str">
        <f>IF(OR(ISNUMBER(FIND("Review-1", patch[[#This Row],[comments]])), ISNUMBER(FIND("Approver-1", patch[[#This Row],[comments]]))), "Review-1", "")</f>
        <v/>
      </c>
      <c r="AD15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16" s="7">
        <f>IF(ISBLANK(patch[[#This Row],[number]]),AE1515,patch[[#This Row],[ifCommon]])</f>
        <v>0</v>
      </c>
    </row>
    <row r="1517" spans="1:31">
      <c r="A1517" s="151">
        <v>146148</v>
      </c>
      <c r="B1517" s="151"/>
      <c r="C1517" s="151"/>
      <c r="D1517" s="151"/>
      <c r="E1517" s="151"/>
      <c r="F1517" s="151"/>
      <c r="G1517" s="151"/>
      <c r="H1517" s="151"/>
      <c r="I1517" s="151"/>
      <c r="J1517" s="152">
        <v>42632.753923611112</v>
      </c>
      <c r="K1517" s="151"/>
      <c r="L1517" s="151" t="s">
        <v>24</v>
      </c>
      <c r="M1517" s="152">
        <v>42631.756782407407</v>
      </c>
      <c r="N1517" s="151" t="s">
        <v>1880</v>
      </c>
      <c r="O1517" s="151"/>
      <c r="P1517" s="151"/>
      <c r="Q1517" s="7" t="str">
        <f>IF(ISBLANK(patch[[#This Row],[OwnerEmail]]),Q1516,patch[[#This Row],[OwnerEmail]])</f>
        <v>lipingx.xu@intel.com</v>
      </c>
      <c r="R1517" s="7" t="str">
        <f>_xlfn.IFNA(VLOOKUP(patch[[#This Row],[tmp-owner.email]],OrgTree!$A:$K, 11, 0), "not ICG SWFW")</f>
        <v>BJ And dev</v>
      </c>
      <c r="S1517" s="7" t="str">
        <f>IF(patch[[#This Row],[reviewer]]=patch[[#This Row],[tmp-owner.email]], "author", _xlfn.IFNA(VLOOKUP(patch[[#This Row],[reviewer]],OrgTree!$A:$K, 11, 0), "not ICG SWFW"))</f>
        <v>BJ And dev</v>
      </c>
      <c r="T1517" s="7" t="str">
        <f>IF(ISBLANK(patch[[#This Row],[mergeDate]]), "", MID(YEAR(patch[[#This Row],[mergeDate]]), 3,2)&amp;"'ww"&amp;WEEKNUM(patch[[#This Row],[mergeDate]]))</f>
        <v>16'ww39</v>
      </c>
      <c r="U1517" s="7" t="str">
        <f>IF(ISBLANK(patch[[#This Row],[mergeDate]]), U1516, MID(YEAR(patch[[#This Row],[mergeDate]]), 3,2)&amp;"'m"&amp;MONTH(patch[[#This Row],[mergeDate]]))</f>
        <v>16'm9</v>
      </c>
      <c r="V1517" s="7" t="str">
        <f>IF(ISBLANK(patch[[#This Row],[project]]), "",SUM(patch[[#This Row],[BJ -1 num]:[SH -1 num]]))</f>
        <v/>
      </c>
      <c r="W1517" s="7" t="str">
        <f>IF(ISBLANK(patch[[#This Row],[project]]), "",COUNTIFS($A:$A,patch[[#This Row],[number]],$S:$S, "BJ And dev",$AC:$AC, "Review-1"))</f>
        <v/>
      </c>
      <c r="X1517" s="7" t="str">
        <f>IF(ISBLANK(patch[[#This Row],[project]]), "",COUNTIFS($A:$A,patch[[#This Row],[number]],$S:$S, "FL And dev",$AC:$AC, "Review-1"))</f>
        <v/>
      </c>
      <c r="Y1517" s="7" t="str">
        <f>IF(ISBLANK(patch[[#This Row],[project]]), "",COUNTIFS($A:$A,patch[[#This Row],[number]],$S:$S, "SH And dev",$AC:$AC, "Review-1"))</f>
        <v/>
      </c>
      <c r="Z1517" s="7" t="str">
        <f>IF(ISBLANK(patch[[#This Row],[project]]), "",COUNTIFS($A:$A,patch[[#This Row],[number]],$S:$S, "BJ And dev",$AD:$AD, "&lt;&gt;IntegratorValidationComment"))</f>
        <v/>
      </c>
      <c r="AA1517" s="7" t="str">
        <f>IF(ISBLANK(patch[[#This Row],[project]]), "",COUNTIFS($A:$A,patch[[#This Row],[number]],$S:$S, "FL And dev",$AD:$AD, "&lt;&gt;IntegratorValidationComment"))</f>
        <v/>
      </c>
      <c r="AB1517" s="7" t="str">
        <f>IF(ISBLANK(patch[[#This Row],[project]]), "",COUNTIFS($A:$A,patch[[#This Row],[number]],$S:$S, "SH And dev",$AD:$AD, "&lt;&gt;IntegratorValidationComment"))</f>
        <v/>
      </c>
      <c r="AC1517" s="7" t="str">
        <f>IF(OR(ISNUMBER(FIND("Review-1", patch[[#This Row],[comments]])), ISNUMBER(FIND("Approver-1", patch[[#This Row],[comments]]))), "Review-1", "")</f>
        <v/>
      </c>
      <c r="AD15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17" s="7">
        <f>IF(ISBLANK(patch[[#This Row],[number]]),AE1516,patch[[#This Row],[ifCommon]])</f>
        <v>0</v>
      </c>
    </row>
    <row r="1518" spans="1:31">
      <c r="A1518" s="151">
        <v>146148</v>
      </c>
      <c r="B1518" s="151"/>
      <c r="C1518" s="151"/>
      <c r="D1518" s="151"/>
      <c r="E1518" s="151"/>
      <c r="F1518" s="151"/>
      <c r="G1518" s="151"/>
      <c r="H1518" s="151"/>
      <c r="I1518" s="151"/>
      <c r="J1518" s="152">
        <v>42632.753923611112</v>
      </c>
      <c r="K1518" s="151"/>
      <c r="L1518" s="151" t="s">
        <v>59</v>
      </c>
      <c r="M1518" s="152">
        <v>42631.793935185182</v>
      </c>
      <c r="N1518" s="151" t="s">
        <v>3343</v>
      </c>
      <c r="O1518" s="151"/>
      <c r="P1518" s="151"/>
      <c r="Q1518" s="7" t="str">
        <f>IF(ISBLANK(patch[[#This Row],[OwnerEmail]]),Q1517,patch[[#This Row],[OwnerEmail]])</f>
        <v>lipingx.xu@intel.com</v>
      </c>
      <c r="R1518" s="7" t="str">
        <f>_xlfn.IFNA(VLOOKUP(patch[[#This Row],[tmp-owner.email]],OrgTree!$A:$K, 11, 0), "not ICG SWFW")</f>
        <v>BJ And dev</v>
      </c>
      <c r="S1518" s="7" t="str">
        <f>IF(patch[[#This Row],[reviewer]]=patch[[#This Row],[tmp-owner.email]], "author", _xlfn.IFNA(VLOOKUP(patch[[#This Row],[reviewer]],OrgTree!$A:$K, 11, 0), "not ICG SWFW"))</f>
        <v>BJ And dev</v>
      </c>
      <c r="T1518" s="7" t="str">
        <f>IF(ISBLANK(patch[[#This Row],[mergeDate]]), "", MID(YEAR(patch[[#This Row],[mergeDate]]), 3,2)&amp;"'ww"&amp;WEEKNUM(patch[[#This Row],[mergeDate]]))</f>
        <v>16'ww39</v>
      </c>
      <c r="U1518" s="7" t="str">
        <f>IF(ISBLANK(patch[[#This Row],[mergeDate]]), U1517, MID(YEAR(patch[[#This Row],[mergeDate]]), 3,2)&amp;"'m"&amp;MONTH(patch[[#This Row],[mergeDate]]))</f>
        <v>16'm9</v>
      </c>
      <c r="V1518" s="7" t="str">
        <f>IF(ISBLANK(patch[[#This Row],[project]]), "",SUM(patch[[#This Row],[BJ -1 num]:[SH -1 num]]))</f>
        <v/>
      </c>
      <c r="W1518" s="7" t="str">
        <f>IF(ISBLANK(patch[[#This Row],[project]]), "",COUNTIFS($A:$A,patch[[#This Row],[number]],$S:$S, "BJ And dev",$AC:$AC, "Review-1"))</f>
        <v/>
      </c>
      <c r="X1518" s="7" t="str">
        <f>IF(ISBLANK(patch[[#This Row],[project]]), "",COUNTIFS($A:$A,patch[[#This Row],[number]],$S:$S, "FL And dev",$AC:$AC, "Review-1"))</f>
        <v/>
      </c>
      <c r="Y1518" s="7" t="str">
        <f>IF(ISBLANK(patch[[#This Row],[project]]), "",COUNTIFS($A:$A,patch[[#This Row],[number]],$S:$S, "SH And dev",$AC:$AC, "Review-1"))</f>
        <v/>
      </c>
      <c r="Z1518" s="7" t="str">
        <f>IF(ISBLANK(patch[[#This Row],[project]]), "",COUNTIFS($A:$A,patch[[#This Row],[number]],$S:$S, "BJ And dev",$AD:$AD, "&lt;&gt;IntegratorValidationComment"))</f>
        <v/>
      </c>
      <c r="AA1518" s="7" t="str">
        <f>IF(ISBLANK(patch[[#This Row],[project]]), "",COUNTIFS($A:$A,patch[[#This Row],[number]],$S:$S, "FL And dev",$AD:$AD, "&lt;&gt;IntegratorValidationComment"))</f>
        <v/>
      </c>
      <c r="AB1518" s="7" t="str">
        <f>IF(ISBLANK(patch[[#This Row],[project]]), "",COUNTIFS($A:$A,patch[[#This Row],[number]],$S:$S, "SH And dev",$AD:$AD, "&lt;&gt;IntegratorValidationComment"))</f>
        <v/>
      </c>
      <c r="AC1518" s="7" t="str">
        <f>IF(OR(ISNUMBER(FIND("Review-1", patch[[#This Row],[comments]])), ISNUMBER(FIND("Approver-1", patch[[#This Row],[comments]]))), "Review-1", "")</f>
        <v/>
      </c>
      <c r="AD15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18" s="7">
        <f>IF(ISBLANK(patch[[#This Row],[number]]),AE1517,patch[[#This Row],[ifCommon]])</f>
        <v>0</v>
      </c>
    </row>
    <row r="1519" spans="1:31">
      <c r="A1519" s="151">
        <v>146148</v>
      </c>
      <c r="B1519" s="151"/>
      <c r="C1519" s="151"/>
      <c r="D1519" s="151"/>
      <c r="E1519" s="151"/>
      <c r="F1519" s="151"/>
      <c r="G1519" s="151"/>
      <c r="H1519" s="151"/>
      <c r="I1519" s="151"/>
      <c r="J1519" s="152">
        <v>42632.753923611112</v>
      </c>
      <c r="K1519" s="151"/>
      <c r="L1519" s="151" t="s">
        <v>59</v>
      </c>
      <c r="M1519" s="152">
        <v>42631.833564814813</v>
      </c>
      <c r="N1519" s="151" t="s">
        <v>3344</v>
      </c>
      <c r="O1519" s="151"/>
      <c r="P1519" s="151"/>
      <c r="Q1519" s="7" t="str">
        <f>IF(ISBLANK(patch[[#This Row],[OwnerEmail]]),Q1518,patch[[#This Row],[OwnerEmail]])</f>
        <v>lipingx.xu@intel.com</v>
      </c>
      <c r="R1519" s="7" t="str">
        <f>_xlfn.IFNA(VLOOKUP(patch[[#This Row],[tmp-owner.email]],OrgTree!$A:$K, 11, 0), "not ICG SWFW")</f>
        <v>BJ And dev</v>
      </c>
      <c r="S1519" s="7" t="str">
        <f>IF(patch[[#This Row],[reviewer]]=patch[[#This Row],[tmp-owner.email]], "author", _xlfn.IFNA(VLOOKUP(patch[[#This Row],[reviewer]],OrgTree!$A:$K, 11, 0), "not ICG SWFW"))</f>
        <v>BJ And dev</v>
      </c>
      <c r="T1519" s="7" t="str">
        <f>IF(ISBLANK(patch[[#This Row],[mergeDate]]), "", MID(YEAR(patch[[#This Row],[mergeDate]]), 3,2)&amp;"'ww"&amp;WEEKNUM(patch[[#This Row],[mergeDate]]))</f>
        <v>16'ww39</v>
      </c>
      <c r="U1519" s="7" t="str">
        <f>IF(ISBLANK(patch[[#This Row],[mergeDate]]), U1518, MID(YEAR(patch[[#This Row],[mergeDate]]), 3,2)&amp;"'m"&amp;MONTH(patch[[#This Row],[mergeDate]]))</f>
        <v>16'm9</v>
      </c>
      <c r="V1519" s="7" t="str">
        <f>IF(ISBLANK(patch[[#This Row],[project]]), "",SUM(patch[[#This Row],[BJ -1 num]:[SH -1 num]]))</f>
        <v/>
      </c>
      <c r="W1519" s="7" t="str">
        <f>IF(ISBLANK(patch[[#This Row],[project]]), "",COUNTIFS($A:$A,patch[[#This Row],[number]],$S:$S, "BJ And dev",$AC:$AC, "Review-1"))</f>
        <v/>
      </c>
      <c r="X1519" s="7" t="str">
        <f>IF(ISBLANK(patch[[#This Row],[project]]), "",COUNTIFS($A:$A,patch[[#This Row],[number]],$S:$S, "FL And dev",$AC:$AC, "Review-1"))</f>
        <v/>
      </c>
      <c r="Y1519" s="7" t="str">
        <f>IF(ISBLANK(patch[[#This Row],[project]]), "",COUNTIFS($A:$A,patch[[#This Row],[number]],$S:$S, "SH And dev",$AC:$AC, "Review-1"))</f>
        <v/>
      </c>
      <c r="Z1519" s="7" t="str">
        <f>IF(ISBLANK(patch[[#This Row],[project]]), "",COUNTIFS($A:$A,patch[[#This Row],[number]],$S:$S, "BJ And dev",$AD:$AD, "&lt;&gt;IntegratorValidationComment"))</f>
        <v/>
      </c>
      <c r="AA1519" s="7" t="str">
        <f>IF(ISBLANK(patch[[#This Row],[project]]), "",COUNTIFS($A:$A,patch[[#This Row],[number]],$S:$S, "FL And dev",$AD:$AD, "&lt;&gt;IntegratorValidationComment"))</f>
        <v/>
      </c>
      <c r="AB1519" s="7" t="str">
        <f>IF(ISBLANK(patch[[#This Row],[project]]), "",COUNTIFS($A:$A,patch[[#This Row],[number]],$S:$S, "SH And dev",$AD:$AD, "&lt;&gt;IntegratorValidationComment"))</f>
        <v/>
      </c>
      <c r="AC1519" s="7" t="str">
        <f>IF(OR(ISNUMBER(FIND("Review-1", patch[[#This Row],[comments]])), ISNUMBER(FIND("Approver-1", patch[[#This Row],[comments]]))), "Review-1", "")</f>
        <v/>
      </c>
      <c r="AD15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19" s="7">
        <f>IF(ISBLANK(patch[[#This Row],[number]]),AE1518,patch[[#This Row],[ifCommon]])</f>
        <v>0</v>
      </c>
    </row>
    <row r="1520" spans="1:31">
      <c r="A1520" s="151">
        <v>146148</v>
      </c>
      <c r="B1520" s="151"/>
      <c r="C1520" s="151"/>
      <c r="D1520" s="151"/>
      <c r="E1520" s="151"/>
      <c r="F1520" s="151"/>
      <c r="G1520" s="151"/>
      <c r="H1520" s="151"/>
      <c r="I1520" s="151"/>
      <c r="J1520" s="152">
        <v>42632.753923611112</v>
      </c>
      <c r="K1520" s="151"/>
      <c r="L1520" s="151" t="s">
        <v>677</v>
      </c>
      <c r="M1520" s="152">
        <v>42632.458668981482</v>
      </c>
      <c r="N1520" s="151" t="s">
        <v>40</v>
      </c>
      <c r="O1520" s="151"/>
      <c r="P1520" s="151"/>
      <c r="Q1520" s="7" t="str">
        <f>IF(ISBLANK(patch[[#This Row],[OwnerEmail]]),Q1519,patch[[#This Row],[OwnerEmail]])</f>
        <v>lipingx.xu@intel.com</v>
      </c>
      <c r="R1520" s="7" t="str">
        <f>_xlfn.IFNA(VLOOKUP(patch[[#This Row],[tmp-owner.email]],OrgTree!$A:$K, 11, 0), "not ICG SWFW")</f>
        <v>BJ And dev</v>
      </c>
      <c r="S1520" s="7" t="str">
        <f>IF(patch[[#This Row],[reviewer]]=patch[[#This Row],[tmp-owner.email]], "author", _xlfn.IFNA(VLOOKUP(patch[[#This Row],[reviewer]],OrgTree!$A:$K, 11, 0), "not ICG SWFW"))</f>
        <v>author</v>
      </c>
      <c r="T1520" s="7" t="str">
        <f>IF(ISBLANK(patch[[#This Row],[mergeDate]]), "", MID(YEAR(patch[[#This Row],[mergeDate]]), 3,2)&amp;"'ww"&amp;WEEKNUM(patch[[#This Row],[mergeDate]]))</f>
        <v>16'ww39</v>
      </c>
      <c r="U1520" s="7" t="str">
        <f>IF(ISBLANK(patch[[#This Row],[mergeDate]]), U1519, MID(YEAR(patch[[#This Row],[mergeDate]]), 3,2)&amp;"'m"&amp;MONTH(patch[[#This Row],[mergeDate]]))</f>
        <v>16'm9</v>
      </c>
      <c r="V1520" s="7" t="str">
        <f>IF(ISBLANK(patch[[#This Row],[project]]), "",SUM(patch[[#This Row],[BJ -1 num]:[SH -1 num]]))</f>
        <v/>
      </c>
      <c r="W1520" s="7" t="str">
        <f>IF(ISBLANK(patch[[#This Row],[project]]), "",COUNTIFS($A:$A,patch[[#This Row],[number]],$S:$S, "BJ And dev",$AC:$AC, "Review-1"))</f>
        <v/>
      </c>
      <c r="X1520" s="7" t="str">
        <f>IF(ISBLANK(patch[[#This Row],[project]]), "",COUNTIFS($A:$A,patch[[#This Row],[number]],$S:$S, "FL And dev",$AC:$AC, "Review-1"))</f>
        <v/>
      </c>
      <c r="Y1520" s="7" t="str">
        <f>IF(ISBLANK(patch[[#This Row],[project]]), "",COUNTIFS($A:$A,patch[[#This Row],[number]],$S:$S, "SH And dev",$AC:$AC, "Review-1"))</f>
        <v/>
      </c>
      <c r="Z1520" s="7" t="str">
        <f>IF(ISBLANK(patch[[#This Row],[project]]), "",COUNTIFS($A:$A,patch[[#This Row],[number]],$S:$S, "BJ And dev",$AD:$AD, "&lt;&gt;IntegratorValidationComment"))</f>
        <v/>
      </c>
      <c r="AA1520" s="7" t="str">
        <f>IF(ISBLANK(patch[[#This Row],[project]]), "",COUNTIFS($A:$A,patch[[#This Row],[number]],$S:$S, "FL And dev",$AD:$AD, "&lt;&gt;IntegratorValidationComment"))</f>
        <v/>
      </c>
      <c r="AB1520" s="7" t="str">
        <f>IF(ISBLANK(patch[[#This Row],[project]]), "",COUNTIFS($A:$A,patch[[#This Row],[number]],$S:$S, "SH And dev",$AD:$AD, "&lt;&gt;IntegratorValidationComment"))</f>
        <v/>
      </c>
      <c r="AC1520" s="7" t="str">
        <f>IF(OR(ISNUMBER(FIND("Review-1", patch[[#This Row],[comments]])), ISNUMBER(FIND("Approver-1", patch[[#This Row],[comments]]))), "Review-1", "")</f>
        <v/>
      </c>
      <c r="AD15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20" s="7">
        <f>IF(ISBLANK(patch[[#This Row],[number]]),AE1519,patch[[#This Row],[ifCommon]])</f>
        <v>0</v>
      </c>
    </row>
    <row r="1521" spans="1:31">
      <c r="A1521" s="151">
        <v>146148</v>
      </c>
      <c r="B1521" s="151"/>
      <c r="C1521" s="151"/>
      <c r="D1521" s="151"/>
      <c r="E1521" s="151"/>
      <c r="F1521" s="151"/>
      <c r="G1521" s="151"/>
      <c r="H1521" s="151"/>
      <c r="I1521" s="151"/>
      <c r="J1521" s="152">
        <v>42632.753923611112</v>
      </c>
      <c r="K1521" s="151"/>
      <c r="L1521" s="151" t="s">
        <v>115</v>
      </c>
      <c r="M1521" s="152">
        <v>42632.609143518523</v>
      </c>
      <c r="N1521" s="151" t="s">
        <v>2494</v>
      </c>
      <c r="O1521" s="151"/>
      <c r="P1521" s="151"/>
      <c r="Q1521" s="7" t="str">
        <f>IF(ISBLANK(patch[[#This Row],[OwnerEmail]]),Q1520,patch[[#This Row],[OwnerEmail]])</f>
        <v>lipingx.xu@intel.com</v>
      </c>
      <c r="R1521" s="7" t="str">
        <f>_xlfn.IFNA(VLOOKUP(patch[[#This Row],[tmp-owner.email]],OrgTree!$A:$K, 11, 0), "not ICG SWFW")</f>
        <v>BJ And dev</v>
      </c>
      <c r="S1521" s="7" t="str">
        <f>IF(patch[[#This Row],[reviewer]]=patch[[#This Row],[tmp-owner.email]], "author", _xlfn.IFNA(VLOOKUP(patch[[#This Row],[reviewer]],OrgTree!$A:$K, 11, 0), "not ICG SWFW"))</f>
        <v>Val</v>
      </c>
      <c r="T1521" s="7" t="str">
        <f>IF(ISBLANK(patch[[#This Row],[mergeDate]]), "", MID(YEAR(patch[[#This Row],[mergeDate]]), 3,2)&amp;"'ww"&amp;WEEKNUM(patch[[#This Row],[mergeDate]]))</f>
        <v>16'ww39</v>
      </c>
      <c r="U1521" s="7" t="str">
        <f>IF(ISBLANK(patch[[#This Row],[mergeDate]]), U1520, MID(YEAR(patch[[#This Row],[mergeDate]]), 3,2)&amp;"'m"&amp;MONTH(patch[[#This Row],[mergeDate]]))</f>
        <v>16'm9</v>
      </c>
      <c r="V1521" s="7" t="str">
        <f>IF(ISBLANK(patch[[#This Row],[project]]), "",SUM(patch[[#This Row],[BJ -1 num]:[SH -1 num]]))</f>
        <v/>
      </c>
      <c r="W1521" s="7" t="str">
        <f>IF(ISBLANK(patch[[#This Row],[project]]), "",COUNTIFS($A:$A,patch[[#This Row],[number]],$S:$S, "BJ And dev",$AC:$AC, "Review-1"))</f>
        <v/>
      </c>
      <c r="X1521" s="7" t="str">
        <f>IF(ISBLANK(patch[[#This Row],[project]]), "",COUNTIFS($A:$A,patch[[#This Row],[number]],$S:$S, "FL And dev",$AC:$AC, "Review-1"))</f>
        <v/>
      </c>
      <c r="Y1521" s="7" t="str">
        <f>IF(ISBLANK(patch[[#This Row],[project]]), "",COUNTIFS($A:$A,patch[[#This Row],[number]],$S:$S, "SH And dev",$AC:$AC, "Review-1"))</f>
        <v/>
      </c>
      <c r="Z1521" s="7" t="str">
        <f>IF(ISBLANK(patch[[#This Row],[project]]), "",COUNTIFS($A:$A,patch[[#This Row],[number]],$S:$S, "BJ And dev",$AD:$AD, "&lt;&gt;IntegratorValidationComment"))</f>
        <v/>
      </c>
      <c r="AA1521" s="7" t="str">
        <f>IF(ISBLANK(patch[[#This Row],[project]]), "",COUNTIFS($A:$A,patch[[#This Row],[number]],$S:$S, "FL And dev",$AD:$AD, "&lt;&gt;IntegratorValidationComment"))</f>
        <v/>
      </c>
      <c r="AB1521" s="7" t="str">
        <f>IF(ISBLANK(patch[[#This Row],[project]]), "",COUNTIFS($A:$A,patch[[#This Row],[number]],$S:$S, "SH And dev",$AD:$AD, "&lt;&gt;IntegratorValidationComment"))</f>
        <v/>
      </c>
      <c r="AC1521" s="7" t="str">
        <f>IF(OR(ISNUMBER(FIND("Review-1", patch[[#This Row],[comments]])), ISNUMBER(FIND("Approver-1", patch[[#This Row],[comments]]))), "Review-1", "")</f>
        <v/>
      </c>
      <c r="AD15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521" s="7">
        <f>IF(ISBLANK(patch[[#This Row],[number]]),AE1520,patch[[#This Row],[ifCommon]])</f>
        <v>0</v>
      </c>
    </row>
    <row r="1522" spans="1:31">
      <c r="A1522" s="151">
        <v>146147</v>
      </c>
      <c r="B1522" s="151" t="s">
        <v>2490</v>
      </c>
      <c r="C1522" s="151" t="s">
        <v>2795</v>
      </c>
      <c r="D1522" s="151" t="s">
        <v>3345</v>
      </c>
      <c r="E1522" s="151" t="s">
        <v>677</v>
      </c>
      <c r="F1522" s="151" t="s">
        <v>23</v>
      </c>
      <c r="G1522" s="151" t="s">
        <v>3346</v>
      </c>
      <c r="H1522" s="151" t="s">
        <v>3347</v>
      </c>
      <c r="I1522" s="152">
        <v>42631.742442129631</v>
      </c>
      <c r="J1522" s="152">
        <v>42632.753796296303</v>
      </c>
      <c r="K1522" s="151" t="s">
        <v>2445</v>
      </c>
      <c r="L1522" s="151" t="s">
        <v>677</v>
      </c>
      <c r="M1522" s="152">
        <v>42631.742442129631</v>
      </c>
      <c r="N1522" s="151" t="s">
        <v>25</v>
      </c>
      <c r="O1522" s="151"/>
      <c r="P1522" s="151" t="s">
        <v>3312</v>
      </c>
      <c r="Q1522" s="7" t="str">
        <f>IF(ISBLANK(patch[[#This Row],[OwnerEmail]]),Q1521,patch[[#This Row],[OwnerEmail]])</f>
        <v>lipingx.xu@intel.com</v>
      </c>
      <c r="R1522" s="7" t="str">
        <f>_xlfn.IFNA(VLOOKUP(patch[[#This Row],[tmp-owner.email]],OrgTree!$A:$K, 11, 0), "not ICG SWFW")</f>
        <v>BJ And dev</v>
      </c>
      <c r="S1522" s="7" t="str">
        <f>IF(patch[[#This Row],[reviewer]]=patch[[#This Row],[tmp-owner.email]], "author", _xlfn.IFNA(VLOOKUP(patch[[#This Row],[reviewer]],OrgTree!$A:$K, 11, 0), "not ICG SWFW"))</f>
        <v>author</v>
      </c>
      <c r="T1522" s="7" t="str">
        <f>IF(ISBLANK(patch[[#This Row],[mergeDate]]), "", MID(YEAR(patch[[#This Row],[mergeDate]]), 3,2)&amp;"'ww"&amp;WEEKNUM(patch[[#This Row],[mergeDate]]))</f>
        <v>16'ww39</v>
      </c>
      <c r="U1522" s="7" t="str">
        <f>IF(ISBLANK(patch[[#This Row],[mergeDate]]), U1521, MID(YEAR(patch[[#This Row],[mergeDate]]), 3,2)&amp;"'m"&amp;MONTH(patch[[#This Row],[mergeDate]]))</f>
        <v>16'm9</v>
      </c>
      <c r="V1522" s="7">
        <f>IF(ISBLANK(patch[[#This Row],[project]]), "",SUM(patch[[#This Row],[BJ -1 num]:[SH -1 num]]))</f>
        <v>0</v>
      </c>
      <c r="W1522" s="7">
        <f>IF(ISBLANK(patch[[#This Row],[project]]), "",COUNTIFS($A:$A,patch[[#This Row],[number]],$S:$S, "BJ And dev",$AC:$AC, "Review-1"))</f>
        <v>0</v>
      </c>
      <c r="X1522" s="7">
        <f>IF(ISBLANK(patch[[#This Row],[project]]), "",COUNTIFS($A:$A,patch[[#This Row],[number]],$S:$S, "FL And dev",$AC:$AC, "Review-1"))</f>
        <v>0</v>
      </c>
      <c r="Y1522" s="7">
        <f>IF(ISBLANK(patch[[#This Row],[project]]), "",COUNTIFS($A:$A,patch[[#This Row],[number]],$S:$S, "SH And dev",$AC:$AC, "Review-1"))</f>
        <v>0</v>
      </c>
      <c r="Z1522" s="7">
        <f>IF(ISBLANK(patch[[#This Row],[project]]), "",COUNTIFS($A:$A,patch[[#This Row],[number]],$S:$S, "BJ And dev",$AD:$AD, "&lt;&gt;IntegratorValidationComment"))</f>
        <v>3</v>
      </c>
      <c r="AA1522" s="7">
        <f>IF(ISBLANK(patch[[#This Row],[project]]), "",COUNTIFS($A:$A,patch[[#This Row],[number]],$S:$S, "FL And dev",$AD:$AD, "&lt;&gt;IntegratorValidationComment"))</f>
        <v>0</v>
      </c>
      <c r="AB1522" s="7">
        <f>IF(ISBLANK(patch[[#This Row],[project]]), "",COUNTIFS($A:$A,patch[[#This Row],[number]],$S:$S, "SH And dev",$AD:$AD, "&lt;&gt;IntegratorValidationComment"))</f>
        <v>0</v>
      </c>
      <c r="AC1522" s="7" t="str">
        <f>IF(OR(ISNUMBER(FIND("Review-1", patch[[#This Row],[comments]])), ISNUMBER(FIND("Approver-1", patch[[#This Row],[comments]]))), "Review-1", "")</f>
        <v/>
      </c>
      <c r="AD15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22" s="7" t="str">
        <f>IF(ISBLANK(patch[[#This Row],[number]]),AE1521,patch[[#This Row],[ifCommon]])</f>
        <v>not AndrHAL</v>
      </c>
    </row>
    <row r="1523" spans="1:31">
      <c r="A1523" s="151">
        <v>146147</v>
      </c>
      <c r="B1523" s="151"/>
      <c r="C1523" s="151"/>
      <c r="D1523" s="151"/>
      <c r="E1523" s="151"/>
      <c r="F1523" s="151"/>
      <c r="G1523" s="151"/>
      <c r="H1523" s="151"/>
      <c r="I1523" s="151"/>
      <c r="J1523" s="152">
        <v>42632.753796296303</v>
      </c>
      <c r="K1523" s="151"/>
      <c r="L1523" s="151" t="s">
        <v>677</v>
      </c>
      <c r="M1523" s="152">
        <v>42631.7424537037</v>
      </c>
      <c r="N1523" s="151" t="s">
        <v>2428</v>
      </c>
      <c r="O1523" s="151"/>
      <c r="P1523" s="151"/>
      <c r="Q1523" s="7" t="str">
        <f>IF(ISBLANK(patch[[#This Row],[OwnerEmail]]),Q1522,patch[[#This Row],[OwnerEmail]])</f>
        <v>lipingx.xu@intel.com</v>
      </c>
      <c r="R1523" s="7" t="str">
        <f>_xlfn.IFNA(VLOOKUP(patch[[#This Row],[tmp-owner.email]],OrgTree!$A:$K, 11, 0), "not ICG SWFW")</f>
        <v>BJ And dev</v>
      </c>
      <c r="S1523" s="7" t="str">
        <f>IF(patch[[#This Row],[reviewer]]=patch[[#This Row],[tmp-owner.email]], "author", _xlfn.IFNA(VLOOKUP(patch[[#This Row],[reviewer]],OrgTree!$A:$K, 11, 0), "not ICG SWFW"))</f>
        <v>author</v>
      </c>
      <c r="T1523" s="7" t="str">
        <f>IF(ISBLANK(patch[[#This Row],[mergeDate]]), "", MID(YEAR(patch[[#This Row],[mergeDate]]), 3,2)&amp;"'ww"&amp;WEEKNUM(patch[[#This Row],[mergeDate]]))</f>
        <v>16'ww39</v>
      </c>
      <c r="U1523" s="7" t="str">
        <f>IF(ISBLANK(patch[[#This Row],[mergeDate]]), U1522, MID(YEAR(patch[[#This Row],[mergeDate]]), 3,2)&amp;"'m"&amp;MONTH(patch[[#This Row],[mergeDate]]))</f>
        <v>16'm9</v>
      </c>
      <c r="V1523" s="7" t="str">
        <f>IF(ISBLANK(patch[[#This Row],[project]]), "",SUM(patch[[#This Row],[BJ -1 num]:[SH -1 num]]))</f>
        <v/>
      </c>
      <c r="W1523" s="7" t="str">
        <f>IF(ISBLANK(patch[[#This Row],[project]]), "",COUNTIFS($A:$A,patch[[#This Row],[number]],$S:$S, "BJ And dev",$AC:$AC, "Review-1"))</f>
        <v/>
      </c>
      <c r="X1523" s="7" t="str">
        <f>IF(ISBLANK(patch[[#This Row],[project]]), "",COUNTIFS($A:$A,patch[[#This Row],[number]],$S:$S, "FL And dev",$AC:$AC, "Review-1"))</f>
        <v/>
      </c>
      <c r="Y1523" s="7" t="str">
        <f>IF(ISBLANK(patch[[#This Row],[project]]), "",COUNTIFS($A:$A,patch[[#This Row],[number]],$S:$S, "SH And dev",$AC:$AC, "Review-1"))</f>
        <v/>
      </c>
      <c r="Z1523" s="7" t="str">
        <f>IF(ISBLANK(patch[[#This Row],[project]]), "",COUNTIFS($A:$A,patch[[#This Row],[number]],$S:$S, "BJ And dev",$AD:$AD, "&lt;&gt;IntegratorValidationComment"))</f>
        <v/>
      </c>
      <c r="AA1523" s="7" t="str">
        <f>IF(ISBLANK(patch[[#This Row],[project]]), "",COUNTIFS($A:$A,patch[[#This Row],[number]],$S:$S, "FL And dev",$AD:$AD, "&lt;&gt;IntegratorValidationComment"))</f>
        <v/>
      </c>
      <c r="AB1523" s="7" t="str">
        <f>IF(ISBLANK(patch[[#This Row],[project]]), "",COUNTIFS($A:$A,patch[[#This Row],[number]],$S:$S, "SH And dev",$AD:$AD, "&lt;&gt;IntegratorValidationComment"))</f>
        <v/>
      </c>
      <c r="AC1523" s="7" t="str">
        <f>IF(OR(ISNUMBER(FIND("Review-1", patch[[#This Row],[comments]])), ISNUMBER(FIND("Approver-1", patch[[#This Row],[comments]]))), "Review-1", "")</f>
        <v/>
      </c>
      <c r="AD15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23" s="7">
        <f>IF(ISBLANK(patch[[#This Row],[number]]),AE1522,patch[[#This Row],[ifCommon]])</f>
        <v>0</v>
      </c>
    </row>
    <row r="1524" spans="1:31">
      <c r="A1524" s="151">
        <v>146147</v>
      </c>
      <c r="B1524" s="151"/>
      <c r="C1524" s="151"/>
      <c r="D1524" s="151"/>
      <c r="E1524" s="151"/>
      <c r="F1524" s="151"/>
      <c r="G1524" s="151"/>
      <c r="H1524" s="151"/>
      <c r="I1524" s="151"/>
      <c r="J1524" s="152">
        <v>42632.753796296303</v>
      </c>
      <c r="K1524" s="151"/>
      <c r="L1524" s="151" t="s">
        <v>24</v>
      </c>
      <c r="M1524" s="152">
        <v>42631.756701388891</v>
      </c>
      <c r="N1524" s="151" t="s">
        <v>1880</v>
      </c>
      <c r="O1524" s="151"/>
      <c r="P1524" s="151"/>
      <c r="Q1524" s="7" t="str">
        <f>IF(ISBLANK(patch[[#This Row],[OwnerEmail]]),Q1523,patch[[#This Row],[OwnerEmail]])</f>
        <v>lipingx.xu@intel.com</v>
      </c>
      <c r="R1524" s="7" t="str">
        <f>_xlfn.IFNA(VLOOKUP(patch[[#This Row],[tmp-owner.email]],OrgTree!$A:$K, 11, 0), "not ICG SWFW")</f>
        <v>BJ And dev</v>
      </c>
      <c r="S1524" s="7" t="str">
        <f>IF(patch[[#This Row],[reviewer]]=patch[[#This Row],[tmp-owner.email]], "author", _xlfn.IFNA(VLOOKUP(patch[[#This Row],[reviewer]],OrgTree!$A:$K, 11, 0), "not ICG SWFW"))</f>
        <v>BJ And dev</v>
      </c>
      <c r="T1524" s="7" t="str">
        <f>IF(ISBLANK(patch[[#This Row],[mergeDate]]), "", MID(YEAR(patch[[#This Row],[mergeDate]]), 3,2)&amp;"'ww"&amp;WEEKNUM(patch[[#This Row],[mergeDate]]))</f>
        <v>16'ww39</v>
      </c>
      <c r="U1524" s="7" t="str">
        <f>IF(ISBLANK(patch[[#This Row],[mergeDate]]), U1523, MID(YEAR(patch[[#This Row],[mergeDate]]), 3,2)&amp;"'m"&amp;MONTH(patch[[#This Row],[mergeDate]]))</f>
        <v>16'm9</v>
      </c>
      <c r="V1524" s="7" t="str">
        <f>IF(ISBLANK(patch[[#This Row],[project]]), "",SUM(patch[[#This Row],[BJ -1 num]:[SH -1 num]]))</f>
        <v/>
      </c>
      <c r="W1524" s="7" t="str">
        <f>IF(ISBLANK(patch[[#This Row],[project]]), "",COUNTIFS($A:$A,patch[[#This Row],[number]],$S:$S, "BJ And dev",$AC:$AC, "Review-1"))</f>
        <v/>
      </c>
      <c r="X1524" s="7" t="str">
        <f>IF(ISBLANK(patch[[#This Row],[project]]), "",COUNTIFS($A:$A,patch[[#This Row],[number]],$S:$S, "FL And dev",$AC:$AC, "Review-1"))</f>
        <v/>
      </c>
      <c r="Y1524" s="7" t="str">
        <f>IF(ISBLANK(patch[[#This Row],[project]]), "",COUNTIFS($A:$A,patch[[#This Row],[number]],$S:$S, "SH And dev",$AC:$AC, "Review-1"))</f>
        <v/>
      </c>
      <c r="Z1524" s="7" t="str">
        <f>IF(ISBLANK(patch[[#This Row],[project]]), "",COUNTIFS($A:$A,patch[[#This Row],[number]],$S:$S, "BJ And dev",$AD:$AD, "&lt;&gt;IntegratorValidationComment"))</f>
        <v/>
      </c>
      <c r="AA1524" s="7" t="str">
        <f>IF(ISBLANK(patch[[#This Row],[project]]), "",COUNTIFS($A:$A,patch[[#This Row],[number]],$S:$S, "FL And dev",$AD:$AD, "&lt;&gt;IntegratorValidationComment"))</f>
        <v/>
      </c>
      <c r="AB1524" s="7" t="str">
        <f>IF(ISBLANK(patch[[#This Row],[project]]), "",COUNTIFS($A:$A,patch[[#This Row],[number]],$S:$S, "SH And dev",$AD:$AD, "&lt;&gt;IntegratorValidationComment"))</f>
        <v/>
      </c>
      <c r="AC1524" s="7" t="str">
        <f>IF(OR(ISNUMBER(FIND("Review-1", patch[[#This Row],[comments]])), ISNUMBER(FIND("Approver-1", patch[[#This Row],[comments]]))), "Review-1", "")</f>
        <v/>
      </c>
      <c r="AD15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24" s="7">
        <f>IF(ISBLANK(patch[[#This Row],[number]]),AE1523,patch[[#This Row],[ifCommon]])</f>
        <v>0</v>
      </c>
    </row>
    <row r="1525" spans="1:31">
      <c r="A1525" s="151">
        <v>146147</v>
      </c>
      <c r="B1525" s="151"/>
      <c r="C1525" s="151"/>
      <c r="D1525" s="151"/>
      <c r="E1525" s="151"/>
      <c r="F1525" s="151"/>
      <c r="G1525" s="151"/>
      <c r="H1525" s="151"/>
      <c r="I1525" s="151"/>
      <c r="J1525" s="152">
        <v>42632.753796296303</v>
      </c>
      <c r="K1525" s="151"/>
      <c r="L1525" s="151" t="s">
        <v>59</v>
      </c>
      <c r="M1525" s="152">
        <v>42631.788738425923</v>
      </c>
      <c r="N1525" s="151" t="s">
        <v>3348</v>
      </c>
      <c r="O1525" s="151"/>
      <c r="P1525" s="151"/>
      <c r="Q1525" s="7" t="str">
        <f>IF(ISBLANK(patch[[#This Row],[OwnerEmail]]),Q1524,patch[[#This Row],[OwnerEmail]])</f>
        <v>lipingx.xu@intel.com</v>
      </c>
      <c r="R1525" s="7" t="str">
        <f>_xlfn.IFNA(VLOOKUP(patch[[#This Row],[tmp-owner.email]],OrgTree!$A:$K, 11, 0), "not ICG SWFW")</f>
        <v>BJ And dev</v>
      </c>
      <c r="S1525" s="7" t="str">
        <f>IF(patch[[#This Row],[reviewer]]=patch[[#This Row],[tmp-owner.email]], "author", _xlfn.IFNA(VLOOKUP(patch[[#This Row],[reviewer]],OrgTree!$A:$K, 11, 0), "not ICG SWFW"))</f>
        <v>BJ And dev</v>
      </c>
      <c r="T1525" s="7" t="str">
        <f>IF(ISBLANK(patch[[#This Row],[mergeDate]]), "", MID(YEAR(patch[[#This Row],[mergeDate]]), 3,2)&amp;"'ww"&amp;WEEKNUM(patch[[#This Row],[mergeDate]]))</f>
        <v>16'ww39</v>
      </c>
      <c r="U1525" s="7" t="str">
        <f>IF(ISBLANK(patch[[#This Row],[mergeDate]]), U1524, MID(YEAR(patch[[#This Row],[mergeDate]]), 3,2)&amp;"'m"&amp;MONTH(patch[[#This Row],[mergeDate]]))</f>
        <v>16'm9</v>
      </c>
      <c r="V1525" s="7" t="str">
        <f>IF(ISBLANK(patch[[#This Row],[project]]), "",SUM(patch[[#This Row],[BJ -1 num]:[SH -1 num]]))</f>
        <v/>
      </c>
      <c r="W1525" s="7" t="str">
        <f>IF(ISBLANK(patch[[#This Row],[project]]), "",COUNTIFS($A:$A,patch[[#This Row],[number]],$S:$S, "BJ And dev",$AC:$AC, "Review-1"))</f>
        <v/>
      </c>
      <c r="X1525" s="7" t="str">
        <f>IF(ISBLANK(patch[[#This Row],[project]]), "",COUNTIFS($A:$A,patch[[#This Row],[number]],$S:$S, "FL And dev",$AC:$AC, "Review-1"))</f>
        <v/>
      </c>
      <c r="Y1525" s="7" t="str">
        <f>IF(ISBLANK(patch[[#This Row],[project]]), "",COUNTIFS($A:$A,patch[[#This Row],[number]],$S:$S, "SH And dev",$AC:$AC, "Review-1"))</f>
        <v/>
      </c>
      <c r="Z1525" s="7" t="str">
        <f>IF(ISBLANK(patch[[#This Row],[project]]), "",COUNTIFS($A:$A,patch[[#This Row],[number]],$S:$S, "BJ And dev",$AD:$AD, "&lt;&gt;IntegratorValidationComment"))</f>
        <v/>
      </c>
      <c r="AA1525" s="7" t="str">
        <f>IF(ISBLANK(patch[[#This Row],[project]]), "",COUNTIFS($A:$A,patch[[#This Row],[number]],$S:$S, "FL And dev",$AD:$AD, "&lt;&gt;IntegratorValidationComment"))</f>
        <v/>
      </c>
      <c r="AB1525" s="7" t="str">
        <f>IF(ISBLANK(patch[[#This Row],[project]]), "",COUNTIFS($A:$A,patch[[#This Row],[number]],$S:$S, "SH And dev",$AD:$AD, "&lt;&gt;IntegratorValidationComment"))</f>
        <v/>
      </c>
      <c r="AC1525" s="7" t="str">
        <f>IF(OR(ISNUMBER(FIND("Review-1", patch[[#This Row],[comments]])), ISNUMBER(FIND("Approver-1", patch[[#This Row],[comments]]))), "Review-1", "")</f>
        <v/>
      </c>
      <c r="AD15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25" s="7">
        <f>IF(ISBLANK(patch[[#This Row],[number]]),AE1524,patch[[#This Row],[ifCommon]])</f>
        <v>0</v>
      </c>
    </row>
    <row r="1526" spans="1:31">
      <c r="A1526" s="151">
        <v>146147</v>
      </c>
      <c r="B1526" s="151"/>
      <c r="C1526" s="151"/>
      <c r="D1526" s="151"/>
      <c r="E1526" s="151"/>
      <c r="F1526" s="151"/>
      <c r="G1526" s="151"/>
      <c r="H1526" s="151"/>
      <c r="I1526" s="151"/>
      <c r="J1526" s="152">
        <v>42632.753796296303</v>
      </c>
      <c r="K1526" s="151"/>
      <c r="L1526" s="151" t="s">
        <v>59</v>
      </c>
      <c r="M1526" s="152">
        <v>42631.827002314807</v>
      </c>
      <c r="N1526" s="151" t="s">
        <v>3349</v>
      </c>
      <c r="O1526" s="151"/>
      <c r="P1526" s="151"/>
      <c r="Q1526" s="7" t="str">
        <f>IF(ISBLANK(patch[[#This Row],[OwnerEmail]]),Q1525,patch[[#This Row],[OwnerEmail]])</f>
        <v>lipingx.xu@intel.com</v>
      </c>
      <c r="R1526" s="7" t="str">
        <f>_xlfn.IFNA(VLOOKUP(patch[[#This Row],[tmp-owner.email]],OrgTree!$A:$K, 11, 0), "not ICG SWFW")</f>
        <v>BJ And dev</v>
      </c>
      <c r="S1526" s="7" t="str">
        <f>IF(patch[[#This Row],[reviewer]]=patch[[#This Row],[tmp-owner.email]], "author", _xlfn.IFNA(VLOOKUP(patch[[#This Row],[reviewer]],OrgTree!$A:$K, 11, 0), "not ICG SWFW"))</f>
        <v>BJ And dev</v>
      </c>
      <c r="T1526" s="7" t="str">
        <f>IF(ISBLANK(patch[[#This Row],[mergeDate]]), "", MID(YEAR(patch[[#This Row],[mergeDate]]), 3,2)&amp;"'ww"&amp;WEEKNUM(patch[[#This Row],[mergeDate]]))</f>
        <v>16'ww39</v>
      </c>
      <c r="U1526" s="7" t="str">
        <f>IF(ISBLANK(patch[[#This Row],[mergeDate]]), U1525, MID(YEAR(patch[[#This Row],[mergeDate]]), 3,2)&amp;"'m"&amp;MONTH(patch[[#This Row],[mergeDate]]))</f>
        <v>16'm9</v>
      </c>
      <c r="V1526" s="7" t="str">
        <f>IF(ISBLANK(patch[[#This Row],[project]]), "",SUM(patch[[#This Row],[BJ -1 num]:[SH -1 num]]))</f>
        <v/>
      </c>
      <c r="W1526" s="7" t="str">
        <f>IF(ISBLANK(patch[[#This Row],[project]]), "",COUNTIFS($A:$A,patch[[#This Row],[number]],$S:$S, "BJ And dev",$AC:$AC, "Review-1"))</f>
        <v/>
      </c>
      <c r="X1526" s="7" t="str">
        <f>IF(ISBLANK(patch[[#This Row],[project]]), "",COUNTIFS($A:$A,patch[[#This Row],[number]],$S:$S, "FL And dev",$AC:$AC, "Review-1"))</f>
        <v/>
      </c>
      <c r="Y1526" s="7" t="str">
        <f>IF(ISBLANK(patch[[#This Row],[project]]), "",COUNTIFS($A:$A,patch[[#This Row],[number]],$S:$S, "SH And dev",$AC:$AC, "Review-1"))</f>
        <v/>
      </c>
      <c r="Z1526" s="7" t="str">
        <f>IF(ISBLANK(patch[[#This Row],[project]]), "",COUNTIFS($A:$A,patch[[#This Row],[number]],$S:$S, "BJ And dev",$AD:$AD, "&lt;&gt;IntegratorValidationComment"))</f>
        <v/>
      </c>
      <c r="AA1526" s="7" t="str">
        <f>IF(ISBLANK(patch[[#This Row],[project]]), "",COUNTIFS($A:$A,patch[[#This Row],[number]],$S:$S, "FL And dev",$AD:$AD, "&lt;&gt;IntegratorValidationComment"))</f>
        <v/>
      </c>
      <c r="AB1526" s="7" t="str">
        <f>IF(ISBLANK(patch[[#This Row],[project]]), "",COUNTIFS($A:$A,patch[[#This Row],[number]],$S:$S, "SH And dev",$AD:$AD, "&lt;&gt;IntegratorValidationComment"))</f>
        <v/>
      </c>
      <c r="AC1526" s="7" t="str">
        <f>IF(OR(ISNUMBER(FIND("Review-1", patch[[#This Row],[comments]])), ISNUMBER(FIND("Approver-1", patch[[#This Row],[comments]]))), "Review-1", "")</f>
        <v/>
      </c>
      <c r="AD15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26" s="7">
        <f>IF(ISBLANK(patch[[#This Row],[number]]),AE1525,patch[[#This Row],[ifCommon]])</f>
        <v>0</v>
      </c>
    </row>
    <row r="1527" spans="1:31">
      <c r="A1527" s="151">
        <v>146147</v>
      </c>
      <c r="B1527" s="151"/>
      <c r="C1527" s="151"/>
      <c r="D1527" s="151"/>
      <c r="E1527" s="151"/>
      <c r="F1527" s="151"/>
      <c r="G1527" s="151"/>
      <c r="H1527" s="151"/>
      <c r="I1527" s="151"/>
      <c r="J1527" s="152">
        <v>42632.753796296303</v>
      </c>
      <c r="K1527" s="151"/>
      <c r="L1527" s="151" t="s">
        <v>677</v>
      </c>
      <c r="M1527" s="152">
        <v>42632.458599537043</v>
      </c>
      <c r="N1527" s="151" t="s">
        <v>40</v>
      </c>
      <c r="O1527" s="151"/>
      <c r="P1527" s="151"/>
      <c r="Q1527" s="7" t="str">
        <f>IF(ISBLANK(patch[[#This Row],[OwnerEmail]]),Q1526,patch[[#This Row],[OwnerEmail]])</f>
        <v>lipingx.xu@intel.com</v>
      </c>
      <c r="R1527" s="7" t="str">
        <f>_xlfn.IFNA(VLOOKUP(patch[[#This Row],[tmp-owner.email]],OrgTree!$A:$K, 11, 0), "not ICG SWFW")</f>
        <v>BJ And dev</v>
      </c>
      <c r="S1527" s="7" t="str">
        <f>IF(patch[[#This Row],[reviewer]]=patch[[#This Row],[tmp-owner.email]], "author", _xlfn.IFNA(VLOOKUP(patch[[#This Row],[reviewer]],OrgTree!$A:$K, 11, 0), "not ICG SWFW"))</f>
        <v>author</v>
      </c>
      <c r="T1527" s="7" t="str">
        <f>IF(ISBLANK(patch[[#This Row],[mergeDate]]), "", MID(YEAR(patch[[#This Row],[mergeDate]]), 3,2)&amp;"'ww"&amp;WEEKNUM(patch[[#This Row],[mergeDate]]))</f>
        <v>16'ww39</v>
      </c>
      <c r="U1527" s="7" t="str">
        <f>IF(ISBLANK(patch[[#This Row],[mergeDate]]), U1526, MID(YEAR(patch[[#This Row],[mergeDate]]), 3,2)&amp;"'m"&amp;MONTH(patch[[#This Row],[mergeDate]]))</f>
        <v>16'm9</v>
      </c>
      <c r="V1527" s="7" t="str">
        <f>IF(ISBLANK(patch[[#This Row],[project]]), "",SUM(patch[[#This Row],[BJ -1 num]:[SH -1 num]]))</f>
        <v/>
      </c>
      <c r="W1527" s="7" t="str">
        <f>IF(ISBLANK(patch[[#This Row],[project]]), "",COUNTIFS($A:$A,patch[[#This Row],[number]],$S:$S, "BJ And dev",$AC:$AC, "Review-1"))</f>
        <v/>
      </c>
      <c r="X1527" s="7" t="str">
        <f>IF(ISBLANK(patch[[#This Row],[project]]), "",COUNTIFS($A:$A,patch[[#This Row],[number]],$S:$S, "FL And dev",$AC:$AC, "Review-1"))</f>
        <v/>
      </c>
      <c r="Y1527" s="7" t="str">
        <f>IF(ISBLANK(patch[[#This Row],[project]]), "",COUNTIFS($A:$A,patch[[#This Row],[number]],$S:$S, "SH And dev",$AC:$AC, "Review-1"))</f>
        <v/>
      </c>
      <c r="Z1527" s="7" t="str">
        <f>IF(ISBLANK(patch[[#This Row],[project]]), "",COUNTIFS($A:$A,patch[[#This Row],[number]],$S:$S, "BJ And dev",$AD:$AD, "&lt;&gt;IntegratorValidationComment"))</f>
        <v/>
      </c>
      <c r="AA1527" s="7" t="str">
        <f>IF(ISBLANK(patch[[#This Row],[project]]), "",COUNTIFS($A:$A,patch[[#This Row],[number]],$S:$S, "FL And dev",$AD:$AD, "&lt;&gt;IntegratorValidationComment"))</f>
        <v/>
      </c>
      <c r="AB1527" s="7" t="str">
        <f>IF(ISBLANK(patch[[#This Row],[project]]), "",COUNTIFS($A:$A,patch[[#This Row],[number]],$S:$S, "SH And dev",$AD:$AD, "&lt;&gt;IntegratorValidationComment"))</f>
        <v/>
      </c>
      <c r="AC1527" s="7" t="str">
        <f>IF(OR(ISNUMBER(FIND("Review-1", patch[[#This Row],[comments]])), ISNUMBER(FIND("Approver-1", patch[[#This Row],[comments]]))), "Review-1", "")</f>
        <v/>
      </c>
      <c r="AD15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27" s="7">
        <f>IF(ISBLANK(patch[[#This Row],[number]]),AE1526,patch[[#This Row],[ifCommon]])</f>
        <v>0</v>
      </c>
    </row>
    <row r="1528" spans="1:31">
      <c r="A1528" s="151">
        <v>146147</v>
      </c>
      <c r="B1528" s="151"/>
      <c r="C1528" s="151"/>
      <c r="D1528" s="151"/>
      <c r="E1528" s="151"/>
      <c r="F1528" s="151"/>
      <c r="G1528" s="151"/>
      <c r="H1528" s="151"/>
      <c r="I1528" s="151"/>
      <c r="J1528" s="152">
        <v>42632.753796296303</v>
      </c>
      <c r="K1528" s="151"/>
      <c r="L1528" s="151" t="s">
        <v>115</v>
      </c>
      <c r="M1528" s="152">
        <v>42632.61037037037</v>
      </c>
      <c r="N1528" s="151" t="s">
        <v>2494</v>
      </c>
      <c r="O1528" s="151"/>
      <c r="P1528" s="151"/>
      <c r="Q1528" s="7" t="str">
        <f>IF(ISBLANK(patch[[#This Row],[OwnerEmail]]),Q1527,patch[[#This Row],[OwnerEmail]])</f>
        <v>lipingx.xu@intel.com</v>
      </c>
      <c r="R1528" s="7" t="str">
        <f>_xlfn.IFNA(VLOOKUP(patch[[#This Row],[tmp-owner.email]],OrgTree!$A:$K, 11, 0), "not ICG SWFW")</f>
        <v>BJ And dev</v>
      </c>
      <c r="S1528" s="7" t="str">
        <f>IF(patch[[#This Row],[reviewer]]=patch[[#This Row],[tmp-owner.email]], "author", _xlfn.IFNA(VLOOKUP(patch[[#This Row],[reviewer]],OrgTree!$A:$K, 11, 0), "not ICG SWFW"))</f>
        <v>Val</v>
      </c>
      <c r="T1528" s="7" t="str">
        <f>IF(ISBLANK(patch[[#This Row],[mergeDate]]), "", MID(YEAR(patch[[#This Row],[mergeDate]]), 3,2)&amp;"'ww"&amp;WEEKNUM(patch[[#This Row],[mergeDate]]))</f>
        <v>16'ww39</v>
      </c>
      <c r="U1528" s="7" t="str">
        <f>IF(ISBLANK(patch[[#This Row],[mergeDate]]), U1527, MID(YEAR(patch[[#This Row],[mergeDate]]), 3,2)&amp;"'m"&amp;MONTH(patch[[#This Row],[mergeDate]]))</f>
        <v>16'm9</v>
      </c>
      <c r="V1528" s="7" t="str">
        <f>IF(ISBLANK(patch[[#This Row],[project]]), "",SUM(patch[[#This Row],[BJ -1 num]:[SH -1 num]]))</f>
        <v/>
      </c>
      <c r="W1528" s="7" t="str">
        <f>IF(ISBLANK(patch[[#This Row],[project]]), "",COUNTIFS($A:$A,patch[[#This Row],[number]],$S:$S, "BJ And dev",$AC:$AC, "Review-1"))</f>
        <v/>
      </c>
      <c r="X1528" s="7" t="str">
        <f>IF(ISBLANK(patch[[#This Row],[project]]), "",COUNTIFS($A:$A,patch[[#This Row],[number]],$S:$S, "FL And dev",$AC:$AC, "Review-1"))</f>
        <v/>
      </c>
      <c r="Y1528" s="7" t="str">
        <f>IF(ISBLANK(patch[[#This Row],[project]]), "",COUNTIFS($A:$A,patch[[#This Row],[number]],$S:$S, "SH And dev",$AC:$AC, "Review-1"))</f>
        <v/>
      </c>
      <c r="Z1528" s="7" t="str">
        <f>IF(ISBLANK(patch[[#This Row],[project]]), "",COUNTIFS($A:$A,patch[[#This Row],[number]],$S:$S, "BJ And dev",$AD:$AD, "&lt;&gt;IntegratorValidationComment"))</f>
        <v/>
      </c>
      <c r="AA1528" s="7" t="str">
        <f>IF(ISBLANK(patch[[#This Row],[project]]), "",COUNTIFS($A:$A,patch[[#This Row],[number]],$S:$S, "FL And dev",$AD:$AD, "&lt;&gt;IntegratorValidationComment"))</f>
        <v/>
      </c>
      <c r="AB1528" s="7" t="str">
        <f>IF(ISBLANK(patch[[#This Row],[project]]), "",COUNTIFS($A:$A,patch[[#This Row],[number]],$S:$S, "SH And dev",$AD:$AD, "&lt;&gt;IntegratorValidationComment"))</f>
        <v/>
      </c>
      <c r="AC1528" s="7" t="str">
        <f>IF(OR(ISNUMBER(FIND("Review-1", patch[[#This Row],[comments]])), ISNUMBER(FIND("Approver-1", patch[[#This Row],[comments]]))), "Review-1", "")</f>
        <v/>
      </c>
      <c r="AD15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528" s="7">
        <f>IF(ISBLANK(patch[[#This Row],[number]]),AE1527,patch[[#This Row],[ifCommon]])</f>
        <v>0</v>
      </c>
    </row>
    <row r="1529" spans="1:31">
      <c r="A1529" s="151">
        <v>146146</v>
      </c>
      <c r="B1529" s="151" t="s">
        <v>2490</v>
      </c>
      <c r="C1529" s="151" t="s">
        <v>2795</v>
      </c>
      <c r="D1529" s="151" t="s">
        <v>3350</v>
      </c>
      <c r="E1529" s="151" t="s">
        <v>677</v>
      </c>
      <c r="F1529" s="151" t="s">
        <v>23</v>
      </c>
      <c r="G1529" s="151" t="s">
        <v>3351</v>
      </c>
      <c r="H1529" s="151" t="s">
        <v>3352</v>
      </c>
      <c r="I1529" s="152">
        <v>42631.742442129631</v>
      </c>
      <c r="J1529" s="152">
        <v>42632.753750000003</v>
      </c>
      <c r="K1529" s="151" t="s">
        <v>2445</v>
      </c>
      <c r="L1529" s="151" t="s">
        <v>677</v>
      </c>
      <c r="M1529" s="152">
        <v>42631.742442129631</v>
      </c>
      <c r="N1529" s="151" t="s">
        <v>25</v>
      </c>
      <c r="O1529" s="151"/>
      <c r="P1529" s="151" t="s">
        <v>3312</v>
      </c>
      <c r="Q1529" s="7" t="str">
        <f>IF(ISBLANK(patch[[#This Row],[OwnerEmail]]),Q1528,patch[[#This Row],[OwnerEmail]])</f>
        <v>lipingx.xu@intel.com</v>
      </c>
      <c r="R1529" s="7" t="str">
        <f>_xlfn.IFNA(VLOOKUP(patch[[#This Row],[tmp-owner.email]],OrgTree!$A:$K, 11, 0), "not ICG SWFW")</f>
        <v>BJ And dev</v>
      </c>
      <c r="S1529" s="7" t="str">
        <f>IF(patch[[#This Row],[reviewer]]=patch[[#This Row],[tmp-owner.email]], "author", _xlfn.IFNA(VLOOKUP(patch[[#This Row],[reviewer]],OrgTree!$A:$K, 11, 0), "not ICG SWFW"))</f>
        <v>author</v>
      </c>
      <c r="T1529" s="7" t="str">
        <f>IF(ISBLANK(patch[[#This Row],[mergeDate]]), "", MID(YEAR(patch[[#This Row],[mergeDate]]), 3,2)&amp;"'ww"&amp;WEEKNUM(patch[[#This Row],[mergeDate]]))</f>
        <v>16'ww39</v>
      </c>
      <c r="U1529" s="7" t="str">
        <f>IF(ISBLANK(patch[[#This Row],[mergeDate]]), U1528, MID(YEAR(patch[[#This Row],[mergeDate]]), 3,2)&amp;"'m"&amp;MONTH(patch[[#This Row],[mergeDate]]))</f>
        <v>16'm9</v>
      </c>
      <c r="V1529" s="7">
        <f>IF(ISBLANK(patch[[#This Row],[project]]), "",SUM(patch[[#This Row],[BJ -1 num]:[SH -1 num]]))</f>
        <v>0</v>
      </c>
      <c r="W1529" s="7">
        <f>IF(ISBLANK(patch[[#This Row],[project]]), "",COUNTIFS($A:$A,patch[[#This Row],[number]],$S:$S, "BJ And dev",$AC:$AC, "Review-1"))</f>
        <v>0</v>
      </c>
      <c r="X1529" s="7">
        <f>IF(ISBLANK(patch[[#This Row],[project]]), "",COUNTIFS($A:$A,patch[[#This Row],[number]],$S:$S, "FL And dev",$AC:$AC, "Review-1"))</f>
        <v>0</v>
      </c>
      <c r="Y1529" s="7">
        <f>IF(ISBLANK(patch[[#This Row],[project]]), "",COUNTIFS($A:$A,patch[[#This Row],[number]],$S:$S, "SH And dev",$AC:$AC, "Review-1"))</f>
        <v>0</v>
      </c>
      <c r="Z1529" s="7">
        <f>IF(ISBLANK(patch[[#This Row],[project]]), "",COUNTIFS($A:$A,patch[[#This Row],[number]],$S:$S, "BJ And dev",$AD:$AD, "&lt;&gt;IntegratorValidationComment"))</f>
        <v>3</v>
      </c>
      <c r="AA1529" s="7">
        <f>IF(ISBLANK(patch[[#This Row],[project]]), "",COUNTIFS($A:$A,patch[[#This Row],[number]],$S:$S, "FL And dev",$AD:$AD, "&lt;&gt;IntegratorValidationComment"))</f>
        <v>0</v>
      </c>
      <c r="AB1529" s="7">
        <f>IF(ISBLANK(patch[[#This Row],[project]]), "",COUNTIFS($A:$A,patch[[#This Row],[number]],$S:$S, "SH And dev",$AD:$AD, "&lt;&gt;IntegratorValidationComment"))</f>
        <v>0</v>
      </c>
      <c r="AC1529" s="7" t="str">
        <f>IF(OR(ISNUMBER(FIND("Review-1", patch[[#This Row],[comments]])), ISNUMBER(FIND("Approver-1", patch[[#This Row],[comments]]))), "Review-1", "")</f>
        <v/>
      </c>
      <c r="AD15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29" s="7" t="str">
        <f>IF(ISBLANK(patch[[#This Row],[number]]),AE1528,patch[[#This Row],[ifCommon]])</f>
        <v>not AndrHAL</v>
      </c>
    </row>
    <row r="1530" spans="1:31">
      <c r="A1530" s="151">
        <v>146146</v>
      </c>
      <c r="B1530" s="151"/>
      <c r="C1530" s="151"/>
      <c r="D1530" s="151"/>
      <c r="E1530" s="151"/>
      <c r="F1530" s="151"/>
      <c r="G1530" s="151"/>
      <c r="H1530" s="151"/>
      <c r="I1530" s="151"/>
      <c r="J1530" s="152">
        <v>42632.753750000003</v>
      </c>
      <c r="K1530" s="151"/>
      <c r="L1530" s="151" t="s">
        <v>677</v>
      </c>
      <c r="M1530" s="152">
        <v>42631.7424537037</v>
      </c>
      <c r="N1530" s="151" t="s">
        <v>2428</v>
      </c>
      <c r="O1530" s="151"/>
      <c r="P1530" s="151"/>
      <c r="Q1530" s="7" t="str">
        <f>IF(ISBLANK(patch[[#This Row],[OwnerEmail]]),Q1529,patch[[#This Row],[OwnerEmail]])</f>
        <v>lipingx.xu@intel.com</v>
      </c>
      <c r="R1530" s="7" t="str">
        <f>_xlfn.IFNA(VLOOKUP(patch[[#This Row],[tmp-owner.email]],OrgTree!$A:$K, 11, 0), "not ICG SWFW")</f>
        <v>BJ And dev</v>
      </c>
      <c r="S1530" s="7" t="str">
        <f>IF(patch[[#This Row],[reviewer]]=patch[[#This Row],[tmp-owner.email]], "author", _xlfn.IFNA(VLOOKUP(patch[[#This Row],[reviewer]],OrgTree!$A:$K, 11, 0), "not ICG SWFW"))</f>
        <v>author</v>
      </c>
      <c r="T1530" s="7" t="str">
        <f>IF(ISBLANK(patch[[#This Row],[mergeDate]]), "", MID(YEAR(patch[[#This Row],[mergeDate]]), 3,2)&amp;"'ww"&amp;WEEKNUM(patch[[#This Row],[mergeDate]]))</f>
        <v>16'ww39</v>
      </c>
      <c r="U1530" s="7" t="str">
        <f>IF(ISBLANK(patch[[#This Row],[mergeDate]]), U1529, MID(YEAR(patch[[#This Row],[mergeDate]]), 3,2)&amp;"'m"&amp;MONTH(patch[[#This Row],[mergeDate]]))</f>
        <v>16'm9</v>
      </c>
      <c r="V1530" s="7" t="str">
        <f>IF(ISBLANK(patch[[#This Row],[project]]), "",SUM(patch[[#This Row],[BJ -1 num]:[SH -1 num]]))</f>
        <v/>
      </c>
      <c r="W1530" s="7" t="str">
        <f>IF(ISBLANK(patch[[#This Row],[project]]), "",COUNTIFS($A:$A,patch[[#This Row],[number]],$S:$S, "BJ And dev",$AC:$AC, "Review-1"))</f>
        <v/>
      </c>
      <c r="X1530" s="7" t="str">
        <f>IF(ISBLANK(patch[[#This Row],[project]]), "",COUNTIFS($A:$A,patch[[#This Row],[number]],$S:$S, "FL And dev",$AC:$AC, "Review-1"))</f>
        <v/>
      </c>
      <c r="Y1530" s="7" t="str">
        <f>IF(ISBLANK(patch[[#This Row],[project]]), "",COUNTIFS($A:$A,patch[[#This Row],[number]],$S:$S, "SH And dev",$AC:$AC, "Review-1"))</f>
        <v/>
      </c>
      <c r="Z1530" s="7" t="str">
        <f>IF(ISBLANK(patch[[#This Row],[project]]), "",COUNTIFS($A:$A,patch[[#This Row],[number]],$S:$S, "BJ And dev",$AD:$AD, "&lt;&gt;IntegratorValidationComment"))</f>
        <v/>
      </c>
      <c r="AA1530" s="7" t="str">
        <f>IF(ISBLANK(patch[[#This Row],[project]]), "",COUNTIFS($A:$A,patch[[#This Row],[number]],$S:$S, "FL And dev",$AD:$AD, "&lt;&gt;IntegratorValidationComment"))</f>
        <v/>
      </c>
      <c r="AB1530" s="7" t="str">
        <f>IF(ISBLANK(patch[[#This Row],[project]]), "",COUNTIFS($A:$A,patch[[#This Row],[number]],$S:$S, "SH And dev",$AD:$AD, "&lt;&gt;IntegratorValidationComment"))</f>
        <v/>
      </c>
      <c r="AC1530" s="7" t="str">
        <f>IF(OR(ISNUMBER(FIND("Review-1", patch[[#This Row],[comments]])), ISNUMBER(FIND("Approver-1", patch[[#This Row],[comments]]))), "Review-1", "")</f>
        <v/>
      </c>
      <c r="AD15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30" s="7">
        <f>IF(ISBLANK(patch[[#This Row],[number]]),AE1529,patch[[#This Row],[ifCommon]])</f>
        <v>0</v>
      </c>
    </row>
    <row r="1531" spans="1:31">
      <c r="A1531" s="151">
        <v>146146</v>
      </c>
      <c r="B1531" s="151"/>
      <c r="C1531" s="151"/>
      <c r="D1531" s="151"/>
      <c r="E1531" s="151"/>
      <c r="F1531" s="151"/>
      <c r="G1531" s="151"/>
      <c r="H1531" s="151"/>
      <c r="I1531" s="151"/>
      <c r="J1531" s="152">
        <v>42632.753750000003</v>
      </c>
      <c r="K1531" s="151"/>
      <c r="L1531" s="151" t="s">
        <v>24</v>
      </c>
      <c r="M1531" s="152">
        <v>42631.756608796299</v>
      </c>
      <c r="N1531" s="151" t="s">
        <v>1880</v>
      </c>
      <c r="O1531" s="151"/>
      <c r="P1531" s="151"/>
      <c r="Q1531" s="7" t="str">
        <f>IF(ISBLANK(patch[[#This Row],[OwnerEmail]]),Q1530,patch[[#This Row],[OwnerEmail]])</f>
        <v>lipingx.xu@intel.com</v>
      </c>
      <c r="R1531" s="7" t="str">
        <f>_xlfn.IFNA(VLOOKUP(patch[[#This Row],[tmp-owner.email]],OrgTree!$A:$K, 11, 0), "not ICG SWFW")</f>
        <v>BJ And dev</v>
      </c>
      <c r="S1531" s="7" t="str">
        <f>IF(patch[[#This Row],[reviewer]]=patch[[#This Row],[tmp-owner.email]], "author", _xlfn.IFNA(VLOOKUP(patch[[#This Row],[reviewer]],OrgTree!$A:$K, 11, 0), "not ICG SWFW"))</f>
        <v>BJ And dev</v>
      </c>
      <c r="T1531" s="7" t="str">
        <f>IF(ISBLANK(patch[[#This Row],[mergeDate]]), "", MID(YEAR(patch[[#This Row],[mergeDate]]), 3,2)&amp;"'ww"&amp;WEEKNUM(patch[[#This Row],[mergeDate]]))</f>
        <v>16'ww39</v>
      </c>
      <c r="U1531" s="7" t="str">
        <f>IF(ISBLANK(patch[[#This Row],[mergeDate]]), U1530, MID(YEAR(patch[[#This Row],[mergeDate]]), 3,2)&amp;"'m"&amp;MONTH(patch[[#This Row],[mergeDate]]))</f>
        <v>16'm9</v>
      </c>
      <c r="V1531" s="7" t="str">
        <f>IF(ISBLANK(patch[[#This Row],[project]]), "",SUM(patch[[#This Row],[BJ -1 num]:[SH -1 num]]))</f>
        <v/>
      </c>
      <c r="W1531" s="7" t="str">
        <f>IF(ISBLANK(patch[[#This Row],[project]]), "",COUNTIFS($A:$A,patch[[#This Row],[number]],$S:$S, "BJ And dev",$AC:$AC, "Review-1"))</f>
        <v/>
      </c>
      <c r="X1531" s="7" t="str">
        <f>IF(ISBLANK(patch[[#This Row],[project]]), "",COUNTIFS($A:$A,patch[[#This Row],[number]],$S:$S, "FL And dev",$AC:$AC, "Review-1"))</f>
        <v/>
      </c>
      <c r="Y1531" s="7" t="str">
        <f>IF(ISBLANK(patch[[#This Row],[project]]), "",COUNTIFS($A:$A,patch[[#This Row],[number]],$S:$S, "SH And dev",$AC:$AC, "Review-1"))</f>
        <v/>
      </c>
      <c r="Z1531" s="7" t="str">
        <f>IF(ISBLANK(patch[[#This Row],[project]]), "",COUNTIFS($A:$A,patch[[#This Row],[number]],$S:$S, "BJ And dev",$AD:$AD, "&lt;&gt;IntegratorValidationComment"))</f>
        <v/>
      </c>
      <c r="AA1531" s="7" t="str">
        <f>IF(ISBLANK(patch[[#This Row],[project]]), "",COUNTIFS($A:$A,patch[[#This Row],[number]],$S:$S, "FL And dev",$AD:$AD, "&lt;&gt;IntegratorValidationComment"))</f>
        <v/>
      </c>
      <c r="AB1531" s="7" t="str">
        <f>IF(ISBLANK(patch[[#This Row],[project]]), "",COUNTIFS($A:$A,patch[[#This Row],[number]],$S:$S, "SH And dev",$AD:$AD, "&lt;&gt;IntegratorValidationComment"))</f>
        <v/>
      </c>
      <c r="AC1531" s="7" t="str">
        <f>IF(OR(ISNUMBER(FIND("Review-1", patch[[#This Row],[comments]])), ISNUMBER(FIND("Approver-1", patch[[#This Row],[comments]]))), "Review-1", "")</f>
        <v/>
      </c>
      <c r="AD15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31" s="7">
        <f>IF(ISBLANK(patch[[#This Row],[number]]),AE1530,patch[[#This Row],[ifCommon]])</f>
        <v>0</v>
      </c>
    </row>
    <row r="1532" spans="1:31">
      <c r="A1532" s="151">
        <v>146146</v>
      </c>
      <c r="B1532" s="151"/>
      <c r="C1532" s="151"/>
      <c r="D1532" s="151"/>
      <c r="E1532" s="151"/>
      <c r="F1532" s="151"/>
      <c r="G1532" s="151"/>
      <c r="H1532" s="151"/>
      <c r="I1532" s="151"/>
      <c r="J1532" s="152">
        <v>42632.753750000003</v>
      </c>
      <c r="K1532" s="151"/>
      <c r="L1532" s="151" t="s">
        <v>59</v>
      </c>
      <c r="M1532" s="152">
        <v>42631.788738425923</v>
      </c>
      <c r="N1532" s="151" t="s">
        <v>3353</v>
      </c>
      <c r="O1532" s="151"/>
      <c r="P1532" s="151"/>
      <c r="Q1532" s="7" t="str">
        <f>IF(ISBLANK(patch[[#This Row],[OwnerEmail]]),Q1531,patch[[#This Row],[OwnerEmail]])</f>
        <v>lipingx.xu@intel.com</v>
      </c>
      <c r="R1532" s="7" t="str">
        <f>_xlfn.IFNA(VLOOKUP(patch[[#This Row],[tmp-owner.email]],OrgTree!$A:$K, 11, 0), "not ICG SWFW")</f>
        <v>BJ And dev</v>
      </c>
      <c r="S1532" s="7" t="str">
        <f>IF(patch[[#This Row],[reviewer]]=patch[[#This Row],[tmp-owner.email]], "author", _xlfn.IFNA(VLOOKUP(patch[[#This Row],[reviewer]],OrgTree!$A:$K, 11, 0), "not ICG SWFW"))</f>
        <v>BJ And dev</v>
      </c>
      <c r="T1532" s="7" t="str">
        <f>IF(ISBLANK(patch[[#This Row],[mergeDate]]), "", MID(YEAR(patch[[#This Row],[mergeDate]]), 3,2)&amp;"'ww"&amp;WEEKNUM(patch[[#This Row],[mergeDate]]))</f>
        <v>16'ww39</v>
      </c>
      <c r="U1532" s="7" t="str">
        <f>IF(ISBLANK(patch[[#This Row],[mergeDate]]), U1531, MID(YEAR(patch[[#This Row],[mergeDate]]), 3,2)&amp;"'m"&amp;MONTH(patch[[#This Row],[mergeDate]]))</f>
        <v>16'm9</v>
      </c>
      <c r="V1532" s="7" t="str">
        <f>IF(ISBLANK(patch[[#This Row],[project]]), "",SUM(patch[[#This Row],[BJ -1 num]:[SH -1 num]]))</f>
        <v/>
      </c>
      <c r="W1532" s="7" t="str">
        <f>IF(ISBLANK(patch[[#This Row],[project]]), "",COUNTIFS($A:$A,patch[[#This Row],[number]],$S:$S, "BJ And dev",$AC:$AC, "Review-1"))</f>
        <v/>
      </c>
      <c r="X1532" s="7" t="str">
        <f>IF(ISBLANK(patch[[#This Row],[project]]), "",COUNTIFS($A:$A,patch[[#This Row],[number]],$S:$S, "FL And dev",$AC:$AC, "Review-1"))</f>
        <v/>
      </c>
      <c r="Y1532" s="7" t="str">
        <f>IF(ISBLANK(patch[[#This Row],[project]]), "",COUNTIFS($A:$A,patch[[#This Row],[number]],$S:$S, "SH And dev",$AC:$AC, "Review-1"))</f>
        <v/>
      </c>
      <c r="Z1532" s="7" t="str">
        <f>IF(ISBLANK(patch[[#This Row],[project]]), "",COUNTIFS($A:$A,patch[[#This Row],[number]],$S:$S, "BJ And dev",$AD:$AD, "&lt;&gt;IntegratorValidationComment"))</f>
        <v/>
      </c>
      <c r="AA1532" s="7" t="str">
        <f>IF(ISBLANK(patch[[#This Row],[project]]), "",COUNTIFS($A:$A,patch[[#This Row],[number]],$S:$S, "FL And dev",$AD:$AD, "&lt;&gt;IntegratorValidationComment"))</f>
        <v/>
      </c>
      <c r="AB1532" s="7" t="str">
        <f>IF(ISBLANK(patch[[#This Row],[project]]), "",COUNTIFS($A:$A,patch[[#This Row],[number]],$S:$S, "SH And dev",$AD:$AD, "&lt;&gt;IntegratorValidationComment"))</f>
        <v/>
      </c>
      <c r="AC1532" s="7" t="str">
        <f>IF(OR(ISNUMBER(FIND("Review-1", patch[[#This Row],[comments]])), ISNUMBER(FIND("Approver-1", patch[[#This Row],[comments]]))), "Review-1", "")</f>
        <v/>
      </c>
      <c r="AD15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32" s="7">
        <f>IF(ISBLANK(patch[[#This Row],[number]]),AE1531,patch[[#This Row],[ifCommon]])</f>
        <v>0</v>
      </c>
    </row>
    <row r="1533" spans="1:31">
      <c r="A1533" s="151">
        <v>146146</v>
      </c>
      <c r="B1533" s="151"/>
      <c r="C1533" s="151"/>
      <c r="D1533" s="151"/>
      <c r="E1533" s="151"/>
      <c r="F1533" s="151"/>
      <c r="G1533" s="151"/>
      <c r="H1533" s="151"/>
      <c r="I1533" s="151"/>
      <c r="J1533" s="152">
        <v>42632.753750000003</v>
      </c>
      <c r="K1533" s="151"/>
      <c r="L1533" s="151" t="s">
        <v>59</v>
      </c>
      <c r="M1533" s="152">
        <v>42631.824849537043</v>
      </c>
      <c r="N1533" s="151" t="s">
        <v>3354</v>
      </c>
      <c r="O1533" s="151"/>
      <c r="P1533" s="151"/>
      <c r="Q1533" s="7" t="str">
        <f>IF(ISBLANK(patch[[#This Row],[OwnerEmail]]),Q1532,patch[[#This Row],[OwnerEmail]])</f>
        <v>lipingx.xu@intel.com</v>
      </c>
      <c r="R1533" s="7" t="str">
        <f>_xlfn.IFNA(VLOOKUP(patch[[#This Row],[tmp-owner.email]],OrgTree!$A:$K, 11, 0), "not ICG SWFW")</f>
        <v>BJ And dev</v>
      </c>
      <c r="S1533" s="7" t="str">
        <f>IF(patch[[#This Row],[reviewer]]=patch[[#This Row],[tmp-owner.email]], "author", _xlfn.IFNA(VLOOKUP(patch[[#This Row],[reviewer]],OrgTree!$A:$K, 11, 0), "not ICG SWFW"))</f>
        <v>BJ And dev</v>
      </c>
      <c r="T1533" s="7" t="str">
        <f>IF(ISBLANK(patch[[#This Row],[mergeDate]]), "", MID(YEAR(patch[[#This Row],[mergeDate]]), 3,2)&amp;"'ww"&amp;WEEKNUM(patch[[#This Row],[mergeDate]]))</f>
        <v>16'ww39</v>
      </c>
      <c r="U1533" s="7" t="str">
        <f>IF(ISBLANK(patch[[#This Row],[mergeDate]]), U1532, MID(YEAR(patch[[#This Row],[mergeDate]]), 3,2)&amp;"'m"&amp;MONTH(patch[[#This Row],[mergeDate]]))</f>
        <v>16'm9</v>
      </c>
      <c r="V1533" s="7" t="str">
        <f>IF(ISBLANK(patch[[#This Row],[project]]), "",SUM(patch[[#This Row],[BJ -1 num]:[SH -1 num]]))</f>
        <v/>
      </c>
      <c r="W1533" s="7" t="str">
        <f>IF(ISBLANK(patch[[#This Row],[project]]), "",COUNTIFS($A:$A,patch[[#This Row],[number]],$S:$S, "BJ And dev",$AC:$AC, "Review-1"))</f>
        <v/>
      </c>
      <c r="X1533" s="7" t="str">
        <f>IF(ISBLANK(patch[[#This Row],[project]]), "",COUNTIFS($A:$A,patch[[#This Row],[number]],$S:$S, "FL And dev",$AC:$AC, "Review-1"))</f>
        <v/>
      </c>
      <c r="Y1533" s="7" t="str">
        <f>IF(ISBLANK(patch[[#This Row],[project]]), "",COUNTIFS($A:$A,patch[[#This Row],[number]],$S:$S, "SH And dev",$AC:$AC, "Review-1"))</f>
        <v/>
      </c>
      <c r="Z1533" s="7" t="str">
        <f>IF(ISBLANK(patch[[#This Row],[project]]), "",COUNTIFS($A:$A,patch[[#This Row],[number]],$S:$S, "BJ And dev",$AD:$AD, "&lt;&gt;IntegratorValidationComment"))</f>
        <v/>
      </c>
      <c r="AA1533" s="7" t="str">
        <f>IF(ISBLANK(patch[[#This Row],[project]]), "",COUNTIFS($A:$A,patch[[#This Row],[number]],$S:$S, "FL And dev",$AD:$AD, "&lt;&gt;IntegratorValidationComment"))</f>
        <v/>
      </c>
      <c r="AB1533" s="7" t="str">
        <f>IF(ISBLANK(patch[[#This Row],[project]]), "",COUNTIFS($A:$A,patch[[#This Row],[number]],$S:$S, "SH And dev",$AD:$AD, "&lt;&gt;IntegratorValidationComment"))</f>
        <v/>
      </c>
      <c r="AC1533" s="7" t="str">
        <f>IF(OR(ISNUMBER(FIND("Review-1", patch[[#This Row],[comments]])), ISNUMBER(FIND("Approver-1", patch[[#This Row],[comments]]))), "Review-1", "")</f>
        <v/>
      </c>
      <c r="AD15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33" s="7">
        <f>IF(ISBLANK(patch[[#This Row],[number]]),AE1532,patch[[#This Row],[ifCommon]])</f>
        <v>0</v>
      </c>
    </row>
    <row r="1534" spans="1:31">
      <c r="A1534" s="151">
        <v>146146</v>
      </c>
      <c r="B1534" s="151"/>
      <c r="C1534" s="151"/>
      <c r="D1534" s="151"/>
      <c r="E1534" s="151"/>
      <c r="F1534" s="151"/>
      <c r="G1534" s="151"/>
      <c r="H1534" s="151"/>
      <c r="I1534" s="151"/>
      <c r="J1534" s="152">
        <v>42632.753750000003</v>
      </c>
      <c r="K1534" s="151"/>
      <c r="L1534" s="151" t="s">
        <v>677</v>
      </c>
      <c r="M1534" s="152">
        <v>42632.458518518521</v>
      </c>
      <c r="N1534" s="151" t="s">
        <v>40</v>
      </c>
      <c r="O1534" s="151"/>
      <c r="P1534" s="151"/>
      <c r="Q1534" s="7" t="str">
        <f>IF(ISBLANK(patch[[#This Row],[OwnerEmail]]),Q1533,patch[[#This Row],[OwnerEmail]])</f>
        <v>lipingx.xu@intel.com</v>
      </c>
      <c r="R1534" s="7" t="str">
        <f>_xlfn.IFNA(VLOOKUP(patch[[#This Row],[tmp-owner.email]],OrgTree!$A:$K, 11, 0), "not ICG SWFW")</f>
        <v>BJ And dev</v>
      </c>
      <c r="S1534" s="7" t="str">
        <f>IF(patch[[#This Row],[reviewer]]=patch[[#This Row],[tmp-owner.email]], "author", _xlfn.IFNA(VLOOKUP(patch[[#This Row],[reviewer]],OrgTree!$A:$K, 11, 0), "not ICG SWFW"))</f>
        <v>author</v>
      </c>
      <c r="T1534" s="7" t="str">
        <f>IF(ISBLANK(patch[[#This Row],[mergeDate]]), "", MID(YEAR(patch[[#This Row],[mergeDate]]), 3,2)&amp;"'ww"&amp;WEEKNUM(patch[[#This Row],[mergeDate]]))</f>
        <v>16'ww39</v>
      </c>
      <c r="U1534" s="7" t="str">
        <f>IF(ISBLANK(patch[[#This Row],[mergeDate]]), U1533, MID(YEAR(patch[[#This Row],[mergeDate]]), 3,2)&amp;"'m"&amp;MONTH(patch[[#This Row],[mergeDate]]))</f>
        <v>16'm9</v>
      </c>
      <c r="V1534" s="7" t="str">
        <f>IF(ISBLANK(patch[[#This Row],[project]]), "",SUM(patch[[#This Row],[BJ -1 num]:[SH -1 num]]))</f>
        <v/>
      </c>
      <c r="W1534" s="7" t="str">
        <f>IF(ISBLANK(patch[[#This Row],[project]]), "",COUNTIFS($A:$A,patch[[#This Row],[number]],$S:$S, "BJ And dev",$AC:$AC, "Review-1"))</f>
        <v/>
      </c>
      <c r="X1534" s="7" t="str">
        <f>IF(ISBLANK(patch[[#This Row],[project]]), "",COUNTIFS($A:$A,patch[[#This Row],[number]],$S:$S, "FL And dev",$AC:$AC, "Review-1"))</f>
        <v/>
      </c>
      <c r="Y1534" s="7" t="str">
        <f>IF(ISBLANK(patch[[#This Row],[project]]), "",COUNTIFS($A:$A,patch[[#This Row],[number]],$S:$S, "SH And dev",$AC:$AC, "Review-1"))</f>
        <v/>
      </c>
      <c r="Z1534" s="7" t="str">
        <f>IF(ISBLANK(patch[[#This Row],[project]]), "",COUNTIFS($A:$A,patch[[#This Row],[number]],$S:$S, "BJ And dev",$AD:$AD, "&lt;&gt;IntegratorValidationComment"))</f>
        <v/>
      </c>
      <c r="AA1534" s="7" t="str">
        <f>IF(ISBLANK(patch[[#This Row],[project]]), "",COUNTIFS($A:$A,patch[[#This Row],[number]],$S:$S, "FL And dev",$AD:$AD, "&lt;&gt;IntegratorValidationComment"))</f>
        <v/>
      </c>
      <c r="AB1534" s="7" t="str">
        <f>IF(ISBLANK(patch[[#This Row],[project]]), "",COUNTIFS($A:$A,patch[[#This Row],[number]],$S:$S, "SH And dev",$AD:$AD, "&lt;&gt;IntegratorValidationComment"))</f>
        <v/>
      </c>
      <c r="AC1534" s="7" t="str">
        <f>IF(OR(ISNUMBER(FIND("Review-1", patch[[#This Row],[comments]])), ISNUMBER(FIND("Approver-1", patch[[#This Row],[comments]]))), "Review-1", "")</f>
        <v/>
      </c>
      <c r="AD15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34" s="7">
        <f>IF(ISBLANK(patch[[#This Row],[number]]),AE1533,patch[[#This Row],[ifCommon]])</f>
        <v>0</v>
      </c>
    </row>
    <row r="1535" spans="1:31">
      <c r="A1535" s="151">
        <v>146146</v>
      </c>
      <c r="B1535" s="151"/>
      <c r="C1535" s="151"/>
      <c r="D1535" s="151"/>
      <c r="E1535" s="151"/>
      <c r="F1535" s="151"/>
      <c r="G1535" s="151"/>
      <c r="H1535" s="151"/>
      <c r="I1535" s="151"/>
      <c r="J1535" s="152">
        <v>42632.753750000003</v>
      </c>
      <c r="K1535" s="151"/>
      <c r="L1535" s="151" t="s">
        <v>115</v>
      </c>
      <c r="M1535" s="152">
        <v>42632.611585648148</v>
      </c>
      <c r="N1535" s="151" t="s">
        <v>2494</v>
      </c>
      <c r="O1535" s="151"/>
      <c r="P1535" s="151"/>
      <c r="Q1535" s="7" t="str">
        <f>IF(ISBLANK(patch[[#This Row],[OwnerEmail]]),Q1534,patch[[#This Row],[OwnerEmail]])</f>
        <v>lipingx.xu@intel.com</v>
      </c>
      <c r="R1535" s="7" t="str">
        <f>_xlfn.IFNA(VLOOKUP(patch[[#This Row],[tmp-owner.email]],OrgTree!$A:$K, 11, 0), "not ICG SWFW")</f>
        <v>BJ And dev</v>
      </c>
      <c r="S1535" s="7" t="str">
        <f>IF(patch[[#This Row],[reviewer]]=patch[[#This Row],[tmp-owner.email]], "author", _xlfn.IFNA(VLOOKUP(patch[[#This Row],[reviewer]],OrgTree!$A:$K, 11, 0), "not ICG SWFW"))</f>
        <v>Val</v>
      </c>
      <c r="T1535" s="7" t="str">
        <f>IF(ISBLANK(patch[[#This Row],[mergeDate]]), "", MID(YEAR(patch[[#This Row],[mergeDate]]), 3,2)&amp;"'ww"&amp;WEEKNUM(patch[[#This Row],[mergeDate]]))</f>
        <v>16'ww39</v>
      </c>
      <c r="U1535" s="7" t="str">
        <f>IF(ISBLANK(patch[[#This Row],[mergeDate]]), U1534, MID(YEAR(patch[[#This Row],[mergeDate]]), 3,2)&amp;"'m"&amp;MONTH(patch[[#This Row],[mergeDate]]))</f>
        <v>16'm9</v>
      </c>
      <c r="V1535" s="7" t="str">
        <f>IF(ISBLANK(patch[[#This Row],[project]]), "",SUM(patch[[#This Row],[BJ -1 num]:[SH -1 num]]))</f>
        <v/>
      </c>
      <c r="W1535" s="7" t="str">
        <f>IF(ISBLANK(patch[[#This Row],[project]]), "",COUNTIFS($A:$A,patch[[#This Row],[number]],$S:$S, "BJ And dev",$AC:$AC, "Review-1"))</f>
        <v/>
      </c>
      <c r="X1535" s="7" t="str">
        <f>IF(ISBLANK(patch[[#This Row],[project]]), "",COUNTIFS($A:$A,patch[[#This Row],[number]],$S:$S, "FL And dev",$AC:$AC, "Review-1"))</f>
        <v/>
      </c>
      <c r="Y1535" s="7" t="str">
        <f>IF(ISBLANK(patch[[#This Row],[project]]), "",COUNTIFS($A:$A,patch[[#This Row],[number]],$S:$S, "SH And dev",$AC:$AC, "Review-1"))</f>
        <v/>
      </c>
      <c r="Z1535" s="7" t="str">
        <f>IF(ISBLANK(patch[[#This Row],[project]]), "",COUNTIFS($A:$A,patch[[#This Row],[number]],$S:$S, "BJ And dev",$AD:$AD, "&lt;&gt;IntegratorValidationComment"))</f>
        <v/>
      </c>
      <c r="AA1535" s="7" t="str">
        <f>IF(ISBLANK(patch[[#This Row],[project]]), "",COUNTIFS($A:$A,patch[[#This Row],[number]],$S:$S, "FL And dev",$AD:$AD, "&lt;&gt;IntegratorValidationComment"))</f>
        <v/>
      </c>
      <c r="AB1535" s="7" t="str">
        <f>IF(ISBLANK(patch[[#This Row],[project]]), "",COUNTIFS($A:$A,patch[[#This Row],[number]],$S:$S, "SH And dev",$AD:$AD, "&lt;&gt;IntegratorValidationComment"))</f>
        <v/>
      </c>
      <c r="AC1535" s="7" t="str">
        <f>IF(OR(ISNUMBER(FIND("Review-1", patch[[#This Row],[comments]])), ISNUMBER(FIND("Approver-1", patch[[#This Row],[comments]]))), "Review-1", "")</f>
        <v/>
      </c>
      <c r="AD15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535" s="7">
        <f>IF(ISBLANK(patch[[#This Row],[number]]),AE1534,patch[[#This Row],[ifCommon]])</f>
        <v>0</v>
      </c>
    </row>
    <row r="1536" spans="1:31">
      <c r="A1536" s="151">
        <v>146145</v>
      </c>
      <c r="B1536" s="151" t="s">
        <v>2490</v>
      </c>
      <c r="C1536" s="151" t="s">
        <v>2795</v>
      </c>
      <c r="D1536" s="151" t="s">
        <v>3355</v>
      </c>
      <c r="E1536" s="151" t="s">
        <v>677</v>
      </c>
      <c r="F1536" s="151" t="s">
        <v>23</v>
      </c>
      <c r="G1536" s="151" t="s">
        <v>3356</v>
      </c>
      <c r="H1536" s="151" t="s">
        <v>3357</v>
      </c>
      <c r="I1536" s="152">
        <v>42631.742442129631</v>
      </c>
      <c r="J1536" s="152">
        <v>42632.75371527778</v>
      </c>
      <c r="K1536" s="151" t="s">
        <v>2445</v>
      </c>
      <c r="L1536" s="151" t="s">
        <v>677</v>
      </c>
      <c r="M1536" s="152">
        <v>42631.742442129631</v>
      </c>
      <c r="N1536" s="151" t="s">
        <v>25</v>
      </c>
      <c r="O1536" s="151"/>
      <c r="P1536" s="151" t="s">
        <v>3312</v>
      </c>
      <c r="Q1536" s="7" t="str">
        <f>IF(ISBLANK(patch[[#This Row],[OwnerEmail]]),Q1535,patch[[#This Row],[OwnerEmail]])</f>
        <v>lipingx.xu@intel.com</v>
      </c>
      <c r="R1536" s="7" t="str">
        <f>_xlfn.IFNA(VLOOKUP(patch[[#This Row],[tmp-owner.email]],OrgTree!$A:$K, 11, 0), "not ICG SWFW")</f>
        <v>BJ And dev</v>
      </c>
      <c r="S1536" s="7" t="str">
        <f>IF(patch[[#This Row],[reviewer]]=patch[[#This Row],[tmp-owner.email]], "author", _xlfn.IFNA(VLOOKUP(patch[[#This Row],[reviewer]],OrgTree!$A:$K, 11, 0), "not ICG SWFW"))</f>
        <v>author</v>
      </c>
      <c r="T1536" s="7" t="str">
        <f>IF(ISBLANK(patch[[#This Row],[mergeDate]]), "", MID(YEAR(patch[[#This Row],[mergeDate]]), 3,2)&amp;"'ww"&amp;WEEKNUM(patch[[#This Row],[mergeDate]]))</f>
        <v>16'ww39</v>
      </c>
      <c r="U1536" s="7" t="str">
        <f>IF(ISBLANK(patch[[#This Row],[mergeDate]]), U1535, MID(YEAR(patch[[#This Row],[mergeDate]]), 3,2)&amp;"'m"&amp;MONTH(patch[[#This Row],[mergeDate]]))</f>
        <v>16'm9</v>
      </c>
      <c r="V1536" s="7">
        <f>IF(ISBLANK(patch[[#This Row],[project]]), "",SUM(patch[[#This Row],[BJ -1 num]:[SH -1 num]]))</f>
        <v>0</v>
      </c>
      <c r="W1536" s="7">
        <f>IF(ISBLANK(patch[[#This Row],[project]]), "",COUNTIFS($A:$A,patch[[#This Row],[number]],$S:$S, "BJ And dev",$AC:$AC, "Review-1"))</f>
        <v>0</v>
      </c>
      <c r="X1536" s="7">
        <f>IF(ISBLANK(patch[[#This Row],[project]]), "",COUNTIFS($A:$A,patch[[#This Row],[number]],$S:$S, "FL And dev",$AC:$AC, "Review-1"))</f>
        <v>0</v>
      </c>
      <c r="Y1536" s="7">
        <f>IF(ISBLANK(patch[[#This Row],[project]]), "",COUNTIFS($A:$A,patch[[#This Row],[number]],$S:$S, "SH And dev",$AC:$AC, "Review-1"))</f>
        <v>0</v>
      </c>
      <c r="Z1536" s="7">
        <f>IF(ISBLANK(patch[[#This Row],[project]]), "",COUNTIFS($A:$A,patch[[#This Row],[number]],$S:$S, "BJ And dev",$AD:$AD, "&lt;&gt;IntegratorValidationComment"))</f>
        <v>3</v>
      </c>
      <c r="AA1536" s="7">
        <f>IF(ISBLANK(patch[[#This Row],[project]]), "",COUNTIFS($A:$A,patch[[#This Row],[number]],$S:$S, "FL And dev",$AD:$AD, "&lt;&gt;IntegratorValidationComment"))</f>
        <v>0</v>
      </c>
      <c r="AB1536" s="7">
        <f>IF(ISBLANK(patch[[#This Row],[project]]), "",COUNTIFS($A:$A,patch[[#This Row],[number]],$S:$S, "SH And dev",$AD:$AD, "&lt;&gt;IntegratorValidationComment"))</f>
        <v>0</v>
      </c>
      <c r="AC1536" s="7" t="str">
        <f>IF(OR(ISNUMBER(FIND("Review-1", patch[[#This Row],[comments]])), ISNUMBER(FIND("Approver-1", patch[[#This Row],[comments]]))), "Review-1", "")</f>
        <v/>
      </c>
      <c r="AD15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36" s="7" t="str">
        <f>IF(ISBLANK(patch[[#This Row],[number]]),AE1535,patch[[#This Row],[ifCommon]])</f>
        <v>not AndrHAL</v>
      </c>
    </row>
    <row r="1537" spans="1:31">
      <c r="A1537" s="151">
        <v>146145</v>
      </c>
      <c r="B1537" s="151"/>
      <c r="C1537" s="151"/>
      <c r="D1537" s="151"/>
      <c r="E1537" s="151"/>
      <c r="F1537" s="151"/>
      <c r="G1537" s="151"/>
      <c r="H1537" s="151"/>
      <c r="I1537" s="151"/>
      <c r="J1537" s="152">
        <v>42632.75371527778</v>
      </c>
      <c r="K1537" s="151"/>
      <c r="L1537" s="151" t="s">
        <v>677</v>
      </c>
      <c r="M1537" s="152">
        <v>42631.7424537037</v>
      </c>
      <c r="N1537" s="151" t="s">
        <v>2428</v>
      </c>
      <c r="O1537" s="151"/>
      <c r="P1537" s="151"/>
      <c r="Q1537" s="7" t="str">
        <f>IF(ISBLANK(patch[[#This Row],[OwnerEmail]]),Q1536,patch[[#This Row],[OwnerEmail]])</f>
        <v>lipingx.xu@intel.com</v>
      </c>
      <c r="R1537" s="7" t="str">
        <f>_xlfn.IFNA(VLOOKUP(patch[[#This Row],[tmp-owner.email]],OrgTree!$A:$K, 11, 0), "not ICG SWFW")</f>
        <v>BJ And dev</v>
      </c>
      <c r="S1537" s="7" t="str">
        <f>IF(patch[[#This Row],[reviewer]]=patch[[#This Row],[tmp-owner.email]], "author", _xlfn.IFNA(VLOOKUP(patch[[#This Row],[reviewer]],OrgTree!$A:$K, 11, 0), "not ICG SWFW"))</f>
        <v>author</v>
      </c>
      <c r="T1537" s="7" t="str">
        <f>IF(ISBLANK(patch[[#This Row],[mergeDate]]), "", MID(YEAR(patch[[#This Row],[mergeDate]]), 3,2)&amp;"'ww"&amp;WEEKNUM(patch[[#This Row],[mergeDate]]))</f>
        <v>16'ww39</v>
      </c>
      <c r="U1537" s="7" t="str">
        <f>IF(ISBLANK(patch[[#This Row],[mergeDate]]), U1536, MID(YEAR(patch[[#This Row],[mergeDate]]), 3,2)&amp;"'m"&amp;MONTH(patch[[#This Row],[mergeDate]]))</f>
        <v>16'm9</v>
      </c>
      <c r="V1537" s="7" t="str">
        <f>IF(ISBLANK(patch[[#This Row],[project]]), "",SUM(patch[[#This Row],[BJ -1 num]:[SH -1 num]]))</f>
        <v/>
      </c>
      <c r="W1537" s="7" t="str">
        <f>IF(ISBLANK(patch[[#This Row],[project]]), "",COUNTIFS($A:$A,patch[[#This Row],[number]],$S:$S, "BJ And dev",$AC:$AC, "Review-1"))</f>
        <v/>
      </c>
      <c r="X1537" s="7" t="str">
        <f>IF(ISBLANK(patch[[#This Row],[project]]), "",COUNTIFS($A:$A,patch[[#This Row],[number]],$S:$S, "FL And dev",$AC:$AC, "Review-1"))</f>
        <v/>
      </c>
      <c r="Y1537" s="7" t="str">
        <f>IF(ISBLANK(patch[[#This Row],[project]]), "",COUNTIFS($A:$A,patch[[#This Row],[number]],$S:$S, "SH And dev",$AC:$AC, "Review-1"))</f>
        <v/>
      </c>
      <c r="Z1537" s="7" t="str">
        <f>IF(ISBLANK(patch[[#This Row],[project]]), "",COUNTIFS($A:$A,patch[[#This Row],[number]],$S:$S, "BJ And dev",$AD:$AD, "&lt;&gt;IntegratorValidationComment"))</f>
        <v/>
      </c>
      <c r="AA1537" s="7" t="str">
        <f>IF(ISBLANK(patch[[#This Row],[project]]), "",COUNTIFS($A:$A,patch[[#This Row],[number]],$S:$S, "FL And dev",$AD:$AD, "&lt;&gt;IntegratorValidationComment"))</f>
        <v/>
      </c>
      <c r="AB1537" s="7" t="str">
        <f>IF(ISBLANK(patch[[#This Row],[project]]), "",COUNTIFS($A:$A,patch[[#This Row],[number]],$S:$S, "SH And dev",$AD:$AD, "&lt;&gt;IntegratorValidationComment"))</f>
        <v/>
      </c>
      <c r="AC1537" s="7" t="str">
        <f>IF(OR(ISNUMBER(FIND("Review-1", patch[[#This Row],[comments]])), ISNUMBER(FIND("Approver-1", patch[[#This Row],[comments]]))), "Review-1", "")</f>
        <v/>
      </c>
      <c r="AD15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37" s="7">
        <f>IF(ISBLANK(patch[[#This Row],[number]]),AE1536,patch[[#This Row],[ifCommon]])</f>
        <v>0</v>
      </c>
    </row>
    <row r="1538" spans="1:31">
      <c r="A1538" s="151">
        <v>146145</v>
      </c>
      <c r="B1538" s="151"/>
      <c r="C1538" s="151"/>
      <c r="D1538" s="151"/>
      <c r="E1538" s="151"/>
      <c r="F1538" s="151"/>
      <c r="G1538" s="151"/>
      <c r="H1538" s="151"/>
      <c r="I1538" s="151"/>
      <c r="J1538" s="152">
        <v>42632.75371527778</v>
      </c>
      <c r="K1538" s="151"/>
      <c r="L1538" s="151" t="s">
        <v>24</v>
      </c>
      <c r="M1538" s="152">
        <v>42631.756504629629</v>
      </c>
      <c r="N1538" s="151" t="s">
        <v>1880</v>
      </c>
      <c r="O1538" s="151"/>
      <c r="P1538" s="151"/>
      <c r="Q1538" s="7" t="str">
        <f>IF(ISBLANK(patch[[#This Row],[OwnerEmail]]),Q1537,patch[[#This Row],[OwnerEmail]])</f>
        <v>lipingx.xu@intel.com</v>
      </c>
      <c r="R1538" s="7" t="str">
        <f>_xlfn.IFNA(VLOOKUP(patch[[#This Row],[tmp-owner.email]],OrgTree!$A:$K, 11, 0), "not ICG SWFW")</f>
        <v>BJ And dev</v>
      </c>
      <c r="S1538" s="7" t="str">
        <f>IF(patch[[#This Row],[reviewer]]=patch[[#This Row],[tmp-owner.email]], "author", _xlfn.IFNA(VLOOKUP(patch[[#This Row],[reviewer]],OrgTree!$A:$K, 11, 0), "not ICG SWFW"))</f>
        <v>BJ And dev</v>
      </c>
      <c r="T1538" s="7" t="str">
        <f>IF(ISBLANK(patch[[#This Row],[mergeDate]]), "", MID(YEAR(patch[[#This Row],[mergeDate]]), 3,2)&amp;"'ww"&amp;WEEKNUM(patch[[#This Row],[mergeDate]]))</f>
        <v>16'ww39</v>
      </c>
      <c r="U1538" s="7" t="str">
        <f>IF(ISBLANK(patch[[#This Row],[mergeDate]]), U1537, MID(YEAR(patch[[#This Row],[mergeDate]]), 3,2)&amp;"'m"&amp;MONTH(patch[[#This Row],[mergeDate]]))</f>
        <v>16'm9</v>
      </c>
      <c r="V1538" s="7" t="str">
        <f>IF(ISBLANK(patch[[#This Row],[project]]), "",SUM(patch[[#This Row],[BJ -1 num]:[SH -1 num]]))</f>
        <v/>
      </c>
      <c r="W1538" s="7" t="str">
        <f>IF(ISBLANK(patch[[#This Row],[project]]), "",COUNTIFS($A:$A,patch[[#This Row],[number]],$S:$S, "BJ And dev",$AC:$AC, "Review-1"))</f>
        <v/>
      </c>
      <c r="X1538" s="7" t="str">
        <f>IF(ISBLANK(patch[[#This Row],[project]]), "",COUNTIFS($A:$A,patch[[#This Row],[number]],$S:$S, "FL And dev",$AC:$AC, "Review-1"))</f>
        <v/>
      </c>
      <c r="Y1538" s="7" t="str">
        <f>IF(ISBLANK(patch[[#This Row],[project]]), "",COUNTIFS($A:$A,patch[[#This Row],[number]],$S:$S, "SH And dev",$AC:$AC, "Review-1"))</f>
        <v/>
      </c>
      <c r="Z1538" s="7" t="str">
        <f>IF(ISBLANK(patch[[#This Row],[project]]), "",COUNTIFS($A:$A,patch[[#This Row],[number]],$S:$S, "BJ And dev",$AD:$AD, "&lt;&gt;IntegratorValidationComment"))</f>
        <v/>
      </c>
      <c r="AA1538" s="7" t="str">
        <f>IF(ISBLANK(patch[[#This Row],[project]]), "",COUNTIFS($A:$A,patch[[#This Row],[number]],$S:$S, "FL And dev",$AD:$AD, "&lt;&gt;IntegratorValidationComment"))</f>
        <v/>
      </c>
      <c r="AB1538" s="7" t="str">
        <f>IF(ISBLANK(patch[[#This Row],[project]]), "",COUNTIFS($A:$A,patch[[#This Row],[number]],$S:$S, "SH And dev",$AD:$AD, "&lt;&gt;IntegratorValidationComment"))</f>
        <v/>
      </c>
      <c r="AC1538" s="7" t="str">
        <f>IF(OR(ISNUMBER(FIND("Review-1", patch[[#This Row],[comments]])), ISNUMBER(FIND("Approver-1", patch[[#This Row],[comments]]))), "Review-1", "")</f>
        <v/>
      </c>
      <c r="AD15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38" s="7">
        <f>IF(ISBLANK(patch[[#This Row],[number]]),AE1537,patch[[#This Row],[ifCommon]])</f>
        <v>0</v>
      </c>
    </row>
    <row r="1539" spans="1:31">
      <c r="A1539" s="151">
        <v>146145</v>
      </c>
      <c r="B1539" s="151"/>
      <c r="C1539" s="151"/>
      <c r="D1539" s="151"/>
      <c r="E1539" s="151"/>
      <c r="F1539" s="151"/>
      <c r="G1539" s="151"/>
      <c r="H1539" s="151"/>
      <c r="I1539" s="151"/>
      <c r="J1539" s="152">
        <v>42632.75371527778</v>
      </c>
      <c r="K1539" s="151"/>
      <c r="L1539" s="151" t="s">
        <v>59</v>
      </c>
      <c r="M1539" s="152">
        <v>42631.793020833327</v>
      </c>
      <c r="N1539" s="151" t="s">
        <v>3358</v>
      </c>
      <c r="O1539" s="151"/>
      <c r="P1539" s="151"/>
      <c r="Q1539" s="7" t="str">
        <f>IF(ISBLANK(patch[[#This Row],[OwnerEmail]]),Q1538,patch[[#This Row],[OwnerEmail]])</f>
        <v>lipingx.xu@intel.com</v>
      </c>
      <c r="R1539" s="7" t="str">
        <f>_xlfn.IFNA(VLOOKUP(patch[[#This Row],[tmp-owner.email]],OrgTree!$A:$K, 11, 0), "not ICG SWFW")</f>
        <v>BJ And dev</v>
      </c>
      <c r="S1539" s="7" t="str">
        <f>IF(patch[[#This Row],[reviewer]]=patch[[#This Row],[tmp-owner.email]], "author", _xlfn.IFNA(VLOOKUP(patch[[#This Row],[reviewer]],OrgTree!$A:$K, 11, 0), "not ICG SWFW"))</f>
        <v>BJ And dev</v>
      </c>
      <c r="T1539" s="7" t="str">
        <f>IF(ISBLANK(patch[[#This Row],[mergeDate]]), "", MID(YEAR(patch[[#This Row],[mergeDate]]), 3,2)&amp;"'ww"&amp;WEEKNUM(patch[[#This Row],[mergeDate]]))</f>
        <v>16'ww39</v>
      </c>
      <c r="U1539" s="7" t="str">
        <f>IF(ISBLANK(patch[[#This Row],[mergeDate]]), U1538, MID(YEAR(patch[[#This Row],[mergeDate]]), 3,2)&amp;"'m"&amp;MONTH(patch[[#This Row],[mergeDate]]))</f>
        <v>16'm9</v>
      </c>
      <c r="V1539" s="7" t="str">
        <f>IF(ISBLANK(patch[[#This Row],[project]]), "",SUM(patch[[#This Row],[BJ -1 num]:[SH -1 num]]))</f>
        <v/>
      </c>
      <c r="W1539" s="7" t="str">
        <f>IF(ISBLANK(patch[[#This Row],[project]]), "",COUNTIFS($A:$A,patch[[#This Row],[number]],$S:$S, "BJ And dev",$AC:$AC, "Review-1"))</f>
        <v/>
      </c>
      <c r="X1539" s="7" t="str">
        <f>IF(ISBLANK(patch[[#This Row],[project]]), "",COUNTIFS($A:$A,patch[[#This Row],[number]],$S:$S, "FL And dev",$AC:$AC, "Review-1"))</f>
        <v/>
      </c>
      <c r="Y1539" s="7" t="str">
        <f>IF(ISBLANK(patch[[#This Row],[project]]), "",COUNTIFS($A:$A,patch[[#This Row],[number]],$S:$S, "SH And dev",$AC:$AC, "Review-1"))</f>
        <v/>
      </c>
      <c r="Z1539" s="7" t="str">
        <f>IF(ISBLANK(patch[[#This Row],[project]]), "",COUNTIFS($A:$A,patch[[#This Row],[number]],$S:$S, "BJ And dev",$AD:$AD, "&lt;&gt;IntegratorValidationComment"))</f>
        <v/>
      </c>
      <c r="AA1539" s="7" t="str">
        <f>IF(ISBLANK(patch[[#This Row],[project]]), "",COUNTIFS($A:$A,patch[[#This Row],[number]],$S:$S, "FL And dev",$AD:$AD, "&lt;&gt;IntegratorValidationComment"))</f>
        <v/>
      </c>
      <c r="AB1539" s="7" t="str">
        <f>IF(ISBLANK(patch[[#This Row],[project]]), "",COUNTIFS($A:$A,patch[[#This Row],[number]],$S:$S, "SH And dev",$AD:$AD, "&lt;&gt;IntegratorValidationComment"))</f>
        <v/>
      </c>
      <c r="AC1539" s="7" t="str">
        <f>IF(OR(ISNUMBER(FIND("Review-1", patch[[#This Row],[comments]])), ISNUMBER(FIND("Approver-1", patch[[#This Row],[comments]]))), "Review-1", "")</f>
        <v/>
      </c>
      <c r="AD15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39" s="7">
        <f>IF(ISBLANK(patch[[#This Row],[number]]),AE1538,patch[[#This Row],[ifCommon]])</f>
        <v>0</v>
      </c>
    </row>
    <row r="1540" spans="1:31">
      <c r="A1540" s="151">
        <v>146145</v>
      </c>
      <c r="B1540" s="151"/>
      <c r="C1540" s="151"/>
      <c r="D1540" s="151"/>
      <c r="E1540" s="151"/>
      <c r="F1540" s="151"/>
      <c r="G1540" s="151"/>
      <c r="H1540" s="151"/>
      <c r="I1540" s="151"/>
      <c r="J1540" s="152">
        <v>42632.75371527778</v>
      </c>
      <c r="K1540" s="151"/>
      <c r="L1540" s="151" t="s">
        <v>59</v>
      </c>
      <c r="M1540" s="152">
        <v>42631.831354166658</v>
      </c>
      <c r="N1540" s="151" t="s">
        <v>3359</v>
      </c>
      <c r="O1540" s="151"/>
      <c r="P1540" s="151"/>
      <c r="Q1540" s="7" t="str">
        <f>IF(ISBLANK(patch[[#This Row],[OwnerEmail]]),Q1539,patch[[#This Row],[OwnerEmail]])</f>
        <v>lipingx.xu@intel.com</v>
      </c>
      <c r="R1540" s="7" t="str">
        <f>_xlfn.IFNA(VLOOKUP(patch[[#This Row],[tmp-owner.email]],OrgTree!$A:$K, 11, 0), "not ICG SWFW")</f>
        <v>BJ And dev</v>
      </c>
      <c r="S1540" s="7" t="str">
        <f>IF(patch[[#This Row],[reviewer]]=patch[[#This Row],[tmp-owner.email]], "author", _xlfn.IFNA(VLOOKUP(patch[[#This Row],[reviewer]],OrgTree!$A:$K, 11, 0), "not ICG SWFW"))</f>
        <v>BJ And dev</v>
      </c>
      <c r="T1540" s="7" t="str">
        <f>IF(ISBLANK(patch[[#This Row],[mergeDate]]), "", MID(YEAR(patch[[#This Row],[mergeDate]]), 3,2)&amp;"'ww"&amp;WEEKNUM(patch[[#This Row],[mergeDate]]))</f>
        <v>16'ww39</v>
      </c>
      <c r="U1540" s="7" t="str">
        <f>IF(ISBLANK(patch[[#This Row],[mergeDate]]), U1539, MID(YEAR(patch[[#This Row],[mergeDate]]), 3,2)&amp;"'m"&amp;MONTH(patch[[#This Row],[mergeDate]]))</f>
        <v>16'm9</v>
      </c>
      <c r="V1540" s="7" t="str">
        <f>IF(ISBLANK(patch[[#This Row],[project]]), "",SUM(patch[[#This Row],[BJ -1 num]:[SH -1 num]]))</f>
        <v/>
      </c>
      <c r="W1540" s="7" t="str">
        <f>IF(ISBLANK(patch[[#This Row],[project]]), "",COUNTIFS($A:$A,patch[[#This Row],[number]],$S:$S, "BJ And dev",$AC:$AC, "Review-1"))</f>
        <v/>
      </c>
      <c r="X1540" s="7" t="str">
        <f>IF(ISBLANK(patch[[#This Row],[project]]), "",COUNTIFS($A:$A,patch[[#This Row],[number]],$S:$S, "FL And dev",$AC:$AC, "Review-1"))</f>
        <v/>
      </c>
      <c r="Y1540" s="7" t="str">
        <f>IF(ISBLANK(patch[[#This Row],[project]]), "",COUNTIFS($A:$A,patch[[#This Row],[number]],$S:$S, "SH And dev",$AC:$AC, "Review-1"))</f>
        <v/>
      </c>
      <c r="Z1540" s="7" t="str">
        <f>IF(ISBLANK(patch[[#This Row],[project]]), "",COUNTIFS($A:$A,patch[[#This Row],[number]],$S:$S, "BJ And dev",$AD:$AD, "&lt;&gt;IntegratorValidationComment"))</f>
        <v/>
      </c>
      <c r="AA1540" s="7" t="str">
        <f>IF(ISBLANK(patch[[#This Row],[project]]), "",COUNTIFS($A:$A,patch[[#This Row],[number]],$S:$S, "FL And dev",$AD:$AD, "&lt;&gt;IntegratorValidationComment"))</f>
        <v/>
      </c>
      <c r="AB1540" s="7" t="str">
        <f>IF(ISBLANK(patch[[#This Row],[project]]), "",COUNTIFS($A:$A,patch[[#This Row],[number]],$S:$S, "SH And dev",$AD:$AD, "&lt;&gt;IntegratorValidationComment"))</f>
        <v/>
      </c>
      <c r="AC1540" s="7" t="str">
        <f>IF(OR(ISNUMBER(FIND("Review-1", patch[[#This Row],[comments]])), ISNUMBER(FIND("Approver-1", patch[[#This Row],[comments]]))), "Review-1", "")</f>
        <v/>
      </c>
      <c r="AD15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40" s="7">
        <f>IF(ISBLANK(patch[[#This Row],[number]]),AE1539,patch[[#This Row],[ifCommon]])</f>
        <v>0</v>
      </c>
    </row>
    <row r="1541" spans="1:31">
      <c r="A1541" s="151">
        <v>146145</v>
      </c>
      <c r="B1541" s="151"/>
      <c r="C1541" s="151"/>
      <c r="D1541" s="151"/>
      <c r="E1541" s="151"/>
      <c r="F1541" s="151"/>
      <c r="G1541" s="151"/>
      <c r="H1541" s="151"/>
      <c r="I1541" s="151"/>
      <c r="J1541" s="152">
        <v>42632.75371527778</v>
      </c>
      <c r="K1541" s="151"/>
      <c r="L1541" s="151" t="s">
        <v>677</v>
      </c>
      <c r="M1541" s="152">
        <v>42632.458437499998</v>
      </c>
      <c r="N1541" s="151" t="s">
        <v>40</v>
      </c>
      <c r="O1541" s="151"/>
      <c r="P1541" s="151"/>
      <c r="Q1541" s="7" t="str">
        <f>IF(ISBLANK(patch[[#This Row],[OwnerEmail]]),Q1540,patch[[#This Row],[OwnerEmail]])</f>
        <v>lipingx.xu@intel.com</v>
      </c>
      <c r="R1541" s="7" t="str">
        <f>_xlfn.IFNA(VLOOKUP(patch[[#This Row],[tmp-owner.email]],OrgTree!$A:$K, 11, 0), "not ICG SWFW")</f>
        <v>BJ And dev</v>
      </c>
      <c r="S1541" s="7" t="str">
        <f>IF(patch[[#This Row],[reviewer]]=patch[[#This Row],[tmp-owner.email]], "author", _xlfn.IFNA(VLOOKUP(patch[[#This Row],[reviewer]],OrgTree!$A:$K, 11, 0), "not ICG SWFW"))</f>
        <v>author</v>
      </c>
      <c r="T1541" s="7" t="str">
        <f>IF(ISBLANK(patch[[#This Row],[mergeDate]]), "", MID(YEAR(patch[[#This Row],[mergeDate]]), 3,2)&amp;"'ww"&amp;WEEKNUM(patch[[#This Row],[mergeDate]]))</f>
        <v>16'ww39</v>
      </c>
      <c r="U1541" s="7" t="str">
        <f>IF(ISBLANK(patch[[#This Row],[mergeDate]]), U1540, MID(YEAR(patch[[#This Row],[mergeDate]]), 3,2)&amp;"'m"&amp;MONTH(patch[[#This Row],[mergeDate]]))</f>
        <v>16'm9</v>
      </c>
      <c r="V1541" s="7" t="str">
        <f>IF(ISBLANK(patch[[#This Row],[project]]), "",SUM(patch[[#This Row],[BJ -1 num]:[SH -1 num]]))</f>
        <v/>
      </c>
      <c r="W1541" s="7" t="str">
        <f>IF(ISBLANK(patch[[#This Row],[project]]), "",COUNTIFS($A:$A,patch[[#This Row],[number]],$S:$S, "BJ And dev",$AC:$AC, "Review-1"))</f>
        <v/>
      </c>
      <c r="X1541" s="7" t="str">
        <f>IF(ISBLANK(patch[[#This Row],[project]]), "",COUNTIFS($A:$A,patch[[#This Row],[number]],$S:$S, "FL And dev",$AC:$AC, "Review-1"))</f>
        <v/>
      </c>
      <c r="Y1541" s="7" t="str">
        <f>IF(ISBLANK(patch[[#This Row],[project]]), "",COUNTIFS($A:$A,patch[[#This Row],[number]],$S:$S, "SH And dev",$AC:$AC, "Review-1"))</f>
        <v/>
      </c>
      <c r="Z1541" s="7" t="str">
        <f>IF(ISBLANK(patch[[#This Row],[project]]), "",COUNTIFS($A:$A,patch[[#This Row],[number]],$S:$S, "BJ And dev",$AD:$AD, "&lt;&gt;IntegratorValidationComment"))</f>
        <v/>
      </c>
      <c r="AA1541" s="7" t="str">
        <f>IF(ISBLANK(patch[[#This Row],[project]]), "",COUNTIFS($A:$A,patch[[#This Row],[number]],$S:$S, "FL And dev",$AD:$AD, "&lt;&gt;IntegratorValidationComment"))</f>
        <v/>
      </c>
      <c r="AB1541" s="7" t="str">
        <f>IF(ISBLANK(patch[[#This Row],[project]]), "",COUNTIFS($A:$A,patch[[#This Row],[number]],$S:$S, "SH And dev",$AD:$AD, "&lt;&gt;IntegratorValidationComment"))</f>
        <v/>
      </c>
      <c r="AC1541" s="7" t="str">
        <f>IF(OR(ISNUMBER(FIND("Review-1", patch[[#This Row],[comments]])), ISNUMBER(FIND("Approver-1", patch[[#This Row],[comments]]))), "Review-1", "")</f>
        <v/>
      </c>
      <c r="AD15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41" s="7">
        <f>IF(ISBLANK(patch[[#This Row],[number]]),AE1540,patch[[#This Row],[ifCommon]])</f>
        <v>0</v>
      </c>
    </row>
    <row r="1542" spans="1:31">
      <c r="A1542" s="151">
        <v>146145</v>
      </c>
      <c r="B1542" s="151"/>
      <c r="C1542" s="151"/>
      <c r="D1542" s="151"/>
      <c r="E1542" s="151"/>
      <c r="F1542" s="151"/>
      <c r="G1542" s="151"/>
      <c r="H1542" s="151"/>
      <c r="I1542" s="151"/>
      <c r="J1542" s="152">
        <v>42632.75371527778</v>
      </c>
      <c r="K1542" s="151"/>
      <c r="L1542" s="151" t="s">
        <v>115</v>
      </c>
      <c r="M1542" s="152">
        <v>42632.612812500003</v>
      </c>
      <c r="N1542" s="151" t="s">
        <v>2494</v>
      </c>
      <c r="O1542" s="151"/>
      <c r="P1542" s="151"/>
      <c r="Q1542" s="7" t="str">
        <f>IF(ISBLANK(patch[[#This Row],[OwnerEmail]]),Q1541,patch[[#This Row],[OwnerEmail]])</f>
        <v>lipingx.xu@intel.com</v>
      </c>
      <c r="R1542" s="7" t="str">
        <f>_xlfn.IFNA(VLOOKUP(patch[[#This Row],[tmp-owner.email]],OrgTree!$A:$K, 11, 0), "not ICG SWFW")</f>
        <v>BJ And dev</v>
      </c>
      <c r="S1542" s="7" t="str">
        <f>IF(patch[[#This Row],[reviewer]]=patch[[#This Row],[tmp-owner.email]], "author", _xlfn.IFNA(VLOOKUP(patch[[#This Row],[reviewer]],OrgTree!$A:$K, 11, 0), "not ICG SWFW"))</f>
        <v>Val</v>
      </c>
      <c r="T1542" s="7" t="str">
        <f>IF(ISBLANK(patch[[#This Row],[mergeDate]]), "", MID(YEAR(patch[[#This Row],[mergeDate]]), 3,2)&amp;"'ww"&amp;WEEKNUM(patch[[#This Row],[mergeDate]]))</f>
        <v>16'ww39</v>
      </c>
      <c r="U1542" s="7" t="str">
        <f>IF(ISBLANK(patch[[#This Row],[mergeDate]]), U1541, MID(YEAR(patch[[#This Row],[mergeDate]]), 3,2)&amp;"'m"&amp;MONTH(patch[[#This Row],[mergeDate]]))</f>
        <v>16'm9</v>
      </c>
      <c r="V1542" s="7" t="str">
        <f>IF(ISBLANK(patch[[#This Row],[project]]), "",SUM(patch[[#This Row],[BJ -1 num]:[SH -1 num]]))</f>
        <v/>
      </c>
      <c r="W1542" s="7" t="str">
        <f>IF(ISBLANK(patch[[#This Row],[project]]), "",COUNTIFS($A:$A,patch[[#This Row],[number]],$S:$S, "BJ And dev",$AC:$AC, "Review-1"))</f>
        <v/>
      </c>
      <c r="X1542" s="7" t="str">
        <f>IF(ISBLANK(patch[[#This Row],[project]]), "",COUNTIFS($A:$A,patch[[#This Row],[number]],$S:$S, "FL And dev",$AC:$AC, "Review-1"))</f>
        <v/>
      </c>
      <c r="Y1542" s="7" t="str">
        <f>IF(ISBLANK(patch[[#This Row],[project]]), "",COUNTIFS($A:$A,patch[[#This Row],[number]],$S:$S, "SH And dev",$AC:$AC, "Review-1"))</f>
        <v/>
      </c>
      <c r="Z1542" s="7" t="str">
        <f>IF(ISBLANK(patch[[#This Row],[project]]), "",COUNTIFS($A:$A,patch[[#This Row],[number]],$S:$S, "BJ And dev",$AD:$AD, "&lt;&gt;IntegratorValidationComment"))</f>
        <v/>
      </c>
      <c r="AA1542" s="7" t="str">
        <f>IF(ISBLANK(patch[[#This Row],[project]]), "",COUNTIFS($A:$A,patch[[#This Row],[number]],$S:$S, "FL And dev",$AD:$AD, "&lt;&gt;IntegratorValidationComment"))</f>
        <v/>
      </c>
      <c r="AB1542" s="7" t="str">
        <f>IF(ISBLANK(patch[[#This Row],[project]]), "",COUNTIFS($A:$A,patch[[#This Row],[number]],$S:$S, "SH And dev",$AD:$AD, "&lt;&gt;IntegratorValidationComment"))</f>
        <v/>
      </c>
      <c r="AC1542" s="7" t="str">
        <f>IF(OR(ISNUMBER(FIND("Review-1", patch[[#This Row],[comments]])), ISNUMBER(FIND("Approver-1", patch[[#This Row],[comments]]))), "Review-1", "")</f>
        <v/>
      </c>
      <c r="AD15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542" s="7">
        <f>IF(ISBLANK(patch[[#This Row],[number]]),AE1541,patch[[#This Row],[ifCommon]])</f>
        <v>0</v>
      </c>
    </row>
    <row r="1543" spans="1:31">
      <c r="A1543" s="151">
        <v>146144</v>
      </c>
      <c r="B1543" s="151" t="s">
        <v>2490</v>
      </c>
      <c r="C1543" s="151" t="s">
        <v>2795</v>
      </c>
      <c r="D1543" s="151" t="s">
        <v>3360</v>
      </c>
      <c r="E1543" s="151" t="s">
        <v>677</v>
      </c>
      <c r="F1543" s="151" t="s">
        <v>23</v>
      </c>
      <c r="G1543" s="151" t="s">
        <v>3361</v>
      </c>
      <c r="H1543" s="151" t="s">
        <v>3362</v>
      </c>
      <c r="I1543" s="152">
        <v>42631.742442129631</v>
      </c>
      <c r="J1543" s="152">
        <v>42632.753668981481</v>
      </c>
      <c r="K1543" s="151" t="s">
        <v>2445</v>
      </c>
      <c r="L1543" s="151" t="s">
        <v>677</v>
      </c>
      <c r="M1543" s="152">
        <v>42631.742442129631</v>
      </c>
      <c r="N1543" s="151" t="s">
        <v>25</v>
      </c>
      <c r="O1543" s="151"/>
      <c r="P1543" s="151" t="s">
        <v>3312</v>
      </c>
      <c r="Q1543" s="7" t="str">
        <f>IF(ISBLANK(patch[[#This Row],[OwnerEmail]]),Q1542,patch[[#This Row],[OwnerEmail]])</f>
        <v>lipingx.xu@intel.com</v>
      </c>
      <c r="R1543" s="7" t="str">
        <f>_xlfn.IFNA(VLOOKUP(patch[[#This Row],[tmp-owner.email]],OrgTree!$A:$K, 11, 0), "not ICG SWFW")</f>
        <v>BJ And dev</v>
      </c>
      <c r="S1543" s="7" t="str">
        <f>IF(patch[[#This Row],[reviewer]]=patch[[#This Row],[tmp-owner.email]], "author", _xlfn.IFNA(VLOOKUP(patch[[#This Row],[reviewer]],OrgTree!$A:$K, 11, 0), "not ICG SWFW"))</f>
        <v>author</v>
      </c>
      <c r="T1543" s="7" t="str">
        <f>IF(ISBLANK(patch[[#This Row],[mergeDate]]), "", MID(YEAR(patch[[#This Row],[mergeDate]]), 3,2)&amp;"'ww"&amp;WEEKNUM(patch[[#This Row],[mergeDate]]))</f>
        <v>16'ww39</v>
      </c>
      <c r="U1543" s="7" t="str">
        <f>IF(ISBLANK(patch[[#This Row],[mergeDate]]), U1542, MID(YEAR(patch[[#This Row],[mergeDate]]), 3,2)&amp;"'m"&amp;MONTH(patch[[#This Row],[mergeDate]]))</f>
        <v>16'm9</v>
      </c>
      <c r="V1543" s="7">
        <f>IF(ISBLANK(patch[[#This Row],[project]]), "",SUM(patch[[#This Row],[BJ -1 num]:[SH -1 num]]))</f>
        <v>0</v>
      </c>
      <c r="W1543" s="7">
        <f>IF(ISBLANK(patch[[#This Row],[project]]), "",COUNTIFS($A:$A,patch[[#This Row],[number]],$S:$S, "BJ And dev",$AC:$AC, "Review-1"))</f>
        <v>0</v>
      </c>
      <c r="X1543" s="7">
        <f>IF(ISBLANK(patch[[#This Row],[project]]), "",COUNTIFS($A:$A,patch[[#This Row],[number]],$S:$S, "FL And dev",$AC:$AC, "Review-1"))</f>
        <v>0</v>
      </c>
      <c r="Y1543" s="7">
        <f>IF(ISBLANK(patch[[#This Row],[project]]), "",COUNTIFS($A:$A,patch[[#This Row],[number]],$S:$S, "SH And dev",$AC:$AC, "Review-1"))</f>
        <v>0</v>
      </c>
      <c r="Z1543" s="7">
        <f>IF(ISBLANK(patch[[#This Row],[project]]), "",COUNTIFS($A:$A,patch[[#This Row],[number]],$S:$S, "BJ And dev",$AD:$AD, "&lt;&gt;IntegratorValidationComment"))</f>
        <v>3</v>
      </c>
      <c r="AA1543" s="7">
        <f>IF(ISBLANK(patch[[#This Row],[project]]), "",COUNTIFS($A:$A,patch[[#This Row],[number]],$S:$S, "FL And dev",$AD:$AD, "&lt;&gt;IntegratorValidationComment"))</f>
        <v>0</v>
      </c>
      <c r="AB1543" s="7">
        <f>IF(ISBLANK(patch[[#This Row],[project]]), "",COUNTIFS($A:$A,patch[[#This Row],[number]],$S:$S, "SH And dev",$AD:$AD, "&lt;&gt;IntegratorValidationComment"))</f>
        <v>0</v>
      </c>
      <c r="AC1543" s="7" t="str">
        <f>IF(OR(ISNUMBER(FIND("Review-1", patch[[#This Row],[comments]])), ISNUMBER(FIND("Approver-1", patch[[#This Row],[comments]]))), "Review-1", "")</f>
        <v/>
      </c>
      <c r="AD15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43" s="7" t="str">
        <f>IF(ISBLANK(patch[[#This Row],[number]]),AE1542,patch[[#This Row],[ifCommon]])</f>
        <v>not AndrHAL</v>
      </c>
    </row>
    <row r="1544" spans="1:31">
      <c r="A1544" s="151">
        <v>146144</v>
      </c>
      <c r="B1544" s="151"/>
      <c r="C1544" s="151"/>
      <c r="D1544" s="151"/>
      <c r="E1544" s="151"/>
      <c r="F1544" s="151"/>
      <c r="G1544" s="151"/>
      <c r="H1544" s="151"/>
      <c r="I1544" s="151"/>
      <c r="J1544" s="152">
        <v>42632.753668981481</v>
      </c>
      <c r="K1544" s="151"/>
      <c r="L1544" s="151" t="s">
        <v>677</v>
      </c>
      <c r="M1544" s="152">
        <v>42631.7424537037</v>
      </c>
      <c r="N1544" s="151" t="s">
        <v>2428</v>
      </c>
      <c r="O1544" s="151"/>
      <c r="P1544" s="151"/>
      <c r="Q1544" s="7" t="str">
        <f>IF(ISBLANK(patch[[#This Row],[OwnerEmail]]),Q1543,patch[[#This Row],[OwnerEmail]])</f>
        <v>lipingx.xu@intel.com</v>
      </c>
      <c r="R1544" s="7" t="str">
        <f>_xlfn.IFNA(VLOOKUP(patch[[#This Row],[tmp-owner.email]],OrgTree!$A:$K, 11, 0), "not ICG SWFW")</f>
        <v>BJ And dev</v>
      </c>
      <c r="S1544" s="7" t="str">
        <f>IF(patch[[#This Row],[reviewer]]=patch[[#This Row],[tmp-owner.email]], "author", _xlfn.IFNA(VLOOKUP(patch[[#This Row],[reviewer]],OrgTree!$A:$K, 11, 0), "not ICG SWFW"))</f>
        <v>author</v>
      </c>
      <c r="T1544" s="7" t="str">
        <f>IF(ISBLANK(patch[[#This Row],[mergeDate]]), "", MID(YEAR(patch[[#This Row],[mergeDate]]), 3,2)&amp;"'ww"&amp;WEEKNUM(patch[[#This Row],[mergeDate]]))</f>
        <v>16'ww39</v>
      </c>
      <c r="U1544" s="7" t="str">
        <f>IF(ISBLANK(patch[[#This Row],[mergeDate]]), U1543, MID(YEAR(patch[[#This Row],[mergeDate]]), 3,2)&amp;"'m"&amp;MONTH(patch[[#This Row],[mergeDate]]))</f>
        <v>16'm9</v>
      </c>
      <c r="V1544" s="7" t="str">
        <f>IF(ISBLANK(patch[[#This Row],[project]]), "",SUM(patch[[#This Row],[BJ -1 num]:[SH -1 num]]))</f>
        <v/>
      </c>
      <c r="W1544" s="7" t="str">
        <f>IF(ISBLANK(patch[[#This Row],[project]]), "",COUNTIFS($A:$A,patch[[#This Row],[number]],$S:$S, "BJ And dev",$AC:$AC, "Review-1"))</f>
        <v/>
      </c>
      <c r="X1544" s="7" t="str">
        <f>IF(ISBLANK(patch[[#This Row],[project]]), "",COUNTIFS($A:$A,patch[[#This Row],[number]],$S:$S, "FL And dev",$AC:$AC, "Review-1"))</f>
        <v/>
      </c>
      <c r="Y1544" s="7" t="str">
        <f>IF(ISBLANK(patch[[#This Row],[project]]), "",COUNTIFS($A:$A,patch[[#This Row],[number]],$S:$S, "SH And dev",$AC:$AC, "Review-1"))</f>
        <v/>
      </c>
      <c r="Z1544" s="7" t="str">
        <f>IF(ISBLANK(patch[[#This Row],[project]]), "",COUNTIFS($A:$A,patch[[#This Row],[number]],$S:$S, "BJ And dev",$AD:$AD, "&lt;&gt;IntegratorValidationComment"))</f>
        <v/>
      </c>
      <c r="AA1544" s="7" t="str">
        <f>IF(ISBLANK(patch[[#This Row],[project]]), "",COUNTIFS($A:$A,patch[[#This Row],[number]],$S:$S, "FL And dev",$AD:$AD, "&lt;&gt;IntegratorValidationComment"))</f>
        <v/>
      </c>
      <c r="AB1544" s="7" t="str">
        <f>IF(ISBLANK(patch[[#This Row],[project]]), "",COUNTIFS($A:$A,patch[[#This Row],[number]],$S:$S, "SH And dev",$AD:$AD, "&lt;&gt;IntegratorValidationComment"))</f>
        <v/>
      </c>
      <c r="AC1544" s="7" t="str">
        <f>IF(OR(ISNUMBER(FIND("Review-1", patch[[#This Row],[comments]])), ISNUMBER(FIND("Approver-1", patch[[#This Row],[comments]]))), "Review-1", "")</f>
        <v/>
      </c>
      <c r="AD15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44" s="7">
        <f>IF(ISBLANK(patch[[#This Row],[number]]),AE1543,patch[[#This Row],[ifCommon]])</f>
        <v>0</v>
      </c>
    </row>
    <row r="1545" spans="1:31">
      <c r="A1545" s="151">
        <v>146144</v>
      </c>
      <c r="B1545" s="151"/>
      <c r="C1545" s="151"/>
      <c r="D1545" s="151"/>
      <c r="E1545" s="151"/>
      <c r="F1545" s="151"/>
      <c r="G1545" s="151"/>
      <c r="H1545" s="151"/>
      <c r="I1545" s="151"/>
      <c r="J1545" s="152">
        <v>42632.753668981481</v>
      </c>
      <c r="K1545" s="151"/>
      <c r="L1545" s="151" t="s">
        <v>24</v>
      </c>
      <c r="M1545" s="152">
        <v>42631.756249999999</v>
      </c>
      <c r="N1545" s="151" t="s">
        <v>1880</v>
      </c>
      <c r="O1545" s="151"/>
      <c r="P1545" s="151"/>
      <c r="Q1545" s="7" t="str">
        <f>IF(ISBLANK(patch[[#This Row],[OwnerEmail]]),Q1544,patch[[#This Row],[OwnerEmail]])</f>
        <v>lipingx.xu@intel.com</v>
      </c>
      <c r="R1545" s="7" t="str">
        <f>_xlfn.IFNA(VLOOKUP(patch[[#This Row],[tmp-owner.email]],OrgTree!$A:$K, 11, 0), "not ICG SWFW")</f>
        <v>BJ And dev</v>
      </c>
      <c r="S1545" s="7" t="str">
        <f>IF(patch[[#This Row],[reviewer]]=patch[[#This Row],[tmp-owner.email]], "author", _xlfn.IFNA(VLOOKUP(patch[[#This Row],[reviewer]],OrgTree!$A:$K, 11, 0), "not ICG SWFW"))</f>
        <v>BJ And dev</v>
      </c>
      <c r="T1545" s="7" t="str">
        <f>IF(ISBLANK(patch[[#This Row],[mergeDate]]), "", MID(YEAR(patch[[#This Row],[mergeDate]]), 3,2)&amp;"'ww"&amp;WEEKNUM(patch[[#This Row],[mergeDate]]))</f>
        <v>16'ww39</v>
      </c>
      <c r="U1545" s="7" t="str">
        <f>IF(ISBLANK(patch[[#This Row],[mergeDate]]), U1544, MID(YEAR(patch[[#This Row],[mergeDate]]), 3,2)&amp;"'m"&amp;MONTH(patch[[#This Row],[mergeDate]]))</f>
        <v>16'm9</v>
      </c>
      <c r="V1545" s="7" t="str">
        <f>IF(ISBLANK(patch[[#This Row],[project]]), "",SUM(patch[[#This Row],[BJ -1 num]:[SH -1 num]]))</f>
        <v/>
      </c>
      <c r="W1545" s="7" t="str">
        <f>IF(ISBLANK(patch[[#This Row],[project]]), "",COUNTIFS($A:$A,patch[[#This Row],[number]],$S:$S, "BJ And dev",$AC:$AC, "Review-1"))</f>
        <v/>
      </c>
      <c r="X1545" s="7" t="str">
        <f>IF(ISBLANK(patch[[#This Row],[project]]), "",COUNTIFS($A:$A,patch[[#This Row],[number]],$S:$S, "FL And dev",$AC:$AC, "Review-1"))</f>
        <v/>
      </c>
      <c r="Y1545" s="7" t="str">
        <f>IF(ISBLANK(patch[[#This Row],[project]]), "",COUNTIFS($A:$A,patch[[#This Row],[number]],$S:$S, "SH And dev",$AC:$AC, "Review-1"))</f>
        <v/>
      </c>
      <c r="Z1545" s="7" t="str">
        <f>IF(ISBLANK(patch[[#This Row],[project]]), "",COUNTIFS($A:$A,patch[[#This Row],[number]],$S:$S, "BJ And dev",$AD:$AD, "&lt;&gt;IntegratorValidationComment"))</f>
        <v/>
      </c>
      <c r="AA1545" s="7" t="str">
        <f>IF(ISBLANK(patch[[#This Row],[project]]), "",COUNTIFS($A:$A,patch[[#This Row],[number]],$S:$S, "FL And dev",$AD:$AD, "&lt;&gt;IntegratorValidationComment"))</f>
        <v/>
      </c>
      <c r="AB1545" s="7" t="str">
        <f>IF(ISBLANK(patch[[#This Row],[project]]), "",COUNTIFS($A:$A,patch[[#This Row],[number]],$S:$S, "SH And dev",$AD:$AD, "&lt;&gt;IntegratorValidationComment"))</f>
        <v/>
      </c>
      <c r="AC1545" s="7" t="str">
        <f>IF(OR(ISNUMBER(FIND("Review-1", patch[[#This Row],[comments]])), ISNUMBER(FIND("Approver-1", patch[[#This Row],[comments]]))), "Review-1", "")</f>
        <v/>
      </c>
      <c r="AD15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45" s="7">
        <f>IF(ISBLANK(patch[[#This Row],[number]]),AE1544,patch[[#This Row],[ifCommon]])</f>
        <v>0</v>
      </c>
    </row>
    <row r="1546" spans="1:31">
      <c r="A1546" s="151">
        <v>146144</v>
      </c>
      <c r="B1546" s="151"/>
      <c r="C1546" s="151"/>
      <c r="D1546" s="151"/>
      <c r="E1546" s="151"/>
      <c r="F1546" s="151"/>
      <c r="G1546" s="151"/>
      <c r="H1546" s="151"/>
      <c r="I1546" s="151"/>
      <c r="J1546" s="152">
        <v>42632.753668981481</v>
      </c>
      <c r="K1546" s="151"/>
      <c r="L1546" s="151" t="s">
        <v>59</v>
      </c>
      <c r="M1546" s="152">
        <v>42631.789918981478</v>
      </c>
      <c r="N1546" s="151" t="s">
        <v>3363</v>
      </c>
      <c r="O1546" s="151"/>
      <c r="P1546" s="151"/>
      <c r="Q1546" s="7" t="str">
        <f>IF(ISBLANK(patch[[#This Row],[OwnerEmail]]),Q1545,patch[[#This Row],[OwnerEmail]])</f>
        <v>lipingx.xu@intel.com</v>
      </c>
      <c r="R1546" s="7" t="str">
        <f>_xlfn.IFNA(VLOOKUP(patch[[#This Row],[tmp-owner.email]],OrgTree!$A:$K, 11, 0), "not ICG SWFW")</f>
        <v>BJ And dev</v>
      </c>
      <c r="S1546" s="7" t="str">
        <f>IF(patch[[#This Row],[reviewer]]=patch[[#This Row],[tmp-owner.email]], "author", _xlfn.IFNA(VLOOKUP(patch[[#This Row],[reviewer]],OrgTree!$A:$K, 11, 0), "not ICG SWFW"))</f>
        <v>BJ And dev</v>
      </c>
      <c r="T1546" s="7" t="str">
        <f>IF(ISBLANK(patch[[#This Row],[mergeDate]]), "", MID(YEAR(patch[[#This Row],[mergeDate]]), 3,2)&amp;"'ww"&amp;WEEKNUM(patch[[#This Row],[mergeDate]]))</f>
        <v>16'ww39</v>
      </c>
      <c r="U1546" s="7" t="str">
        <f>IF(ISBLANK(patch[[#This Row],[mergeDate]]), U1545, MID(YEAR(patch[[#This Row],[mergeDate]]), 3,2)&amp;"'m"&amp;MONTH(patch[[#This Row],[mergeDate]]))</f>
        <v>16'm9</v>
      </c>
      <c r="V1546" s="7" t="str">
        <f>IF(ISBLANK(patch[[#This Row],[project]]), "",SUM(patch[[#This Row],[BJ -1 num]:[SH -1 num]]))</f>
        <v/>
      </c>
      <c r="W1546" s="7" t="str">
        <f>IF(ISBLANK(patch[[#This Row],[project]]), "",COUNTIFS($A:$A,patch[[#This Row],[number]],$S:$S, "BJ And dev",$AC:$AC, "Review-1"))</f>
        <v/>
      </c>
      <c r="X1546" s="7" t="str">
        <f>IF(ISBLANK(patch[[#This Row],[project]]), "",COUNTIFS($A:$A,patch[[#This Row],[number]],$S:$S, "FL And dev",$AC:$AC, "Review-1"))</f>
        <v/>
      </c>
      <c r="Y1546" s="7" t="str">
        <f>IF(ISBLANK(patch[[#This Row],[project]]), "",COUNTIFS($A:$A,patch[[#This Row],[number]],$S:$S, "SH And dev",$AC:$AC, "Review-1"))</f>
        <v/>
      </c>
      <c r="Z1546" s="7" t="str">
        <f>IF(ISBLANK(patch[[#This Row],[project]]), "",COUNTIFS($A:$A,patch[[#This Row],[number]],$S:$S, "BJ And dev",$AD:$AD, "&lt;&gt;IntegratorValidationComment"))</f>
        <v/>
      </c>
      <c r="AA1546" s="7" t="str">
        <f>IF(ISBLANK(patch[[#This Row],[project]]), "",COUNTIFS($A:$A,patch[[#This Row],[number]],$S:$S, "FL And dev",$AD:$AD, "&lt;&gt;IntegratorValidationComment"))</f>
        <v/>
      </c>
      <c r="AB1546" s="7" t="str">
        <f>IF(ISBLANK(patch[[#This Row],[project]]), "",COUNTIFS($A:$A,patch[[#This Row],[number]],$S:$S, "SH And dev",$AD:$AD, "&lt;&gt;IntegratorValidationComment"))</f>
        <v/>
      </c>
      <c r="AC1546" s="7" t="str">
        <f>IF(OR(ISNUMBER(FIND("Review-1", patch[[#This Row],[comments]])), ISNUMBER(FIND("Approver-1", patch[[#This Row],[comments]]))), "Review-1", "")</f>
        <v/>
      </c>
      <c r="AD15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46" s="7">
        <f>IF(ISBLANK(patch[[#This Row],[number]]),AE1545,patch[[#This Row],[ifCommon]])</f>
        <v>0</v>
      </c>
    </row>
    <row r="1547" spans="1:31">
      <c r="A1547" s="151">
        <v>146144</v>
      </c>
      <c r="B1547" s="151"/>
      <c r="C1547" s="151"/>
      <c r="D1547" s="151"/>
      <c r="E1547" s="151"/>
      <c r="F1547" s="151"/>
      <c r="G1547" s="151"/>
      <c r="H1547" s="151"/>
      <c r="I1547" s="151"/>
      <c r="J1547" s="152">
        <v>42632.753668981481</v>
      </c>
      <c r="K1547" s="151"/>
      <c r="L1547" s="151" t="s">
        <v>59</v>
      </c>
      <c r="M1547" s="152">
        <v>42631.829155092593</v>
      </c>
      <c r="N1547" s="151" t="s">
        <v>3364</v>
      </c>
      <c r="O1547" s="151"/>
      <c r="P1547" s="151"/>
      <c r="Q1547" s="7" t="str">
        <f>IF(ISBLANK(patch[[#This Row],[OwnerEmail]]),Q1546,patch[[#This Row],[OwnerEmail]])</f>
        <v>lipingx.xu@intel.com</v>
      </c>
      <c r="R1547" s="7" t="str">
        <f>_xlfn.IFNA(VLOOKUP(patch[[#This Row],[tmp-owner.email]],OrgTree!$A:$K, 11, 0), "not ICG SWFW")</f>
        <v>BJ And dev</v>
      </c>
      <c r="S1547" s="7" t="str">
        <f>IF(patch[[#This Row],[reviewer]]=patch[[#This Row],[tmp-owner.email]], "author", _xlfn.IFNA(VLOOKUP(patch[[#This Row],[reviewer]],OrgTree!$A:$K, 11, 0), "not ICG SWFW"))</f>
        <v>BJ And dev</v>
      </c>
      <c r="T1547" s="7" t="str">
        <f>IF(ISBLANK(patch[[#This Row],[mergeDate]]), "", MID(YEAR(patch[[#This Row],[mergeDate]]), 3,2)&amp;"'ww"&amp;WEEKNUM(patch[[#This Row],[mergeDate]]))</f>
        <v>16'ww39</v>
      </c>
      <c r="U1547" s="7" t="str">
        <f>IF(ISBLANK(patch[[#This Row],[mergeDate]]), U1546, MID(YEAR(patch[[#This Row],[mergeDate]]), 3,2)&amp;"'m"&amp;MONTH(patch[[#This Row],[mergeDate]]))</f>
        <v>16'm9</v>
      </c>
      <c r="V1547" s="7" t="str">
        <f>IF(ISBLANK(patch[[#This Row],[project]]), "",SUM(patch[[#This Row],[BJ -1 num]:[SH -1 num]]))</f>
        <v/>
      </c>
      <c r="W1547" s="7" t="str">
        <f>IF(ISBLANK(patch[[#This Row],[project]]), "",COUNTIFS($A:$A,patch[[#This Row],[number]],$S:$S, "BJ And dev",$AC:$AC, "Review-1"))</f>
        <v/>
      </c>
      <c r="X1547" s="7" t="str">
        <f>IF(ISBLANK(patch[[#This Row],[project]]), "",COUNTIFS($A:$A,patch[[#This Row],[number]],$S:$S, "FL And dev",$AC:$AC, "Review-1"))</f>
        <v/>
      </c>
      <c r="Y1547" s="7" t="str">
        <f>IF(ISBLANK(patch[[#This Row],[project]]), "",COUNTIFS($A:$A,patch[[#This Row],[number]],$S:$S, "SH And dev",$AC:$AC, "Review-1"))</f>
        <v/>
      </c>
      <c r="Z1547" s="7" t="str">
        <f>IF(ISBLANK(patch[[#This Row],[project]]), "",COUNTIFS($A:$A,patch[[#This Row],[number]],$S:$S, "BJ And dev",$AD:$AD, "&lt;&gt;IntegratorValidationComment"))</f>
        <v/>
      </c>
      <c r="AA1547" s="7" t="str">
        <f>IF(ISBLANK(patch[[#This Row],[project]]), "",COUNTIFS($A:$A,patch[[#This Row],[number]],$S:$S, "FL And dev",$AD:$AD, "&lt;&gt;IntegratorValidationComment"))</f>
        <v/>
      </c>
      <c r="AB1547" s="7" t="str">
        <f>IF(ISBLANK(patch[[#This Row],[project]]), "",COUNTIFS($A:$A,patch[[#This Row],[number]],$S:$S, "SH And dev",$AD:$AD, "&lt;&gt;IntegratorValidationComment"))</f>
        <v/>
      </c>
      <c r="AC1547" s="7" t="str">
        <f>IF(OR(ISNUMBER(FIND("Review-1", patch[[#This Row],[comments]])), ISNUMBER(FIND("Approver-1", patch[[#This Row],[comments]]))), "Review-1", "")</f>
        <v/>
      </c>
      <c r="AD15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47" s="7">
        <f>IF(ISBLANK(patch[[#This Row],[number]]),AE1546,patch[[#This Row],[ifCommon]])</f>
        <v>0</v>
      </c>
    </row>
    <row r="1548" spans="1:31">
      <c r="A1548" s="151">
        <v>146144</v>
      </c>
      <c r="B1548" s="151"/>
      <c r="C1548" s="151"/>
      <c r="D1548" s="151"/>
      <c r="E1548" s="151"/>
      <c r="F1548" s="151"/>
      <c r="G1548" s="151"/>
      <c r="H1548" s="151"/>
      <c r="I1548" s="151"/>
      <c r="J1548" s="152">
        <v>42632.753668981481</v>
      </c>
      <c r="K1548" s="151"/>
      <c r="L1548" s="151" t="s">
        <v>677</v>
      </c>
      <c r="M1548" s="152">
        <v>42632.458310185182</v>
      </c>
      <c r="N1548" s="151" t="s">
        <v>40</v>
      </c>
      <c r="O1548" s="151"/>
      <c r="P1548" s="151"/>
      <c r="Q1548" s="7" t="str">
        <f>IF(ISBLANK(patch[[#This Row],[OwnerEmail]]),Q1547,patch[[#This Row],[OwnerEmail]])</f>
        <v>lipingx.xu@intel.com</v>
      </c>
      <c r="R1548" s="7" t="str">
        <f>_xlfn.IFNA(VLOOKUP(patch[[#This Row],[tmp-owner.email]],OrgTree!$A:$K, 11, 0), "not ICG SWFW")</f>
        <v>BJ And dev</v>
      </c>
      <c r="S1548" s="7" t="str">
        <f>IF(patch[[#This Row],[reviewer]]=patch[[#This Row],[tmp-owner.email]], "author", _xlfn.IFNA(VLOOKUP(patch[[#This Row],[reviewer]],OrgTree!$A:$K, 11, 0), "not ICG SWFW"))</f>
        <v>author</v>
      </c>
      <c r="T1548" s="7" t="str">
        <f>IF(ISBLANK(patch[[#This Row],[mergeDate]]), "", MID(YEAR(patch[[#This Row],[mergeDate]]), 3,2)&amp;"'ww"&amp;WEEKNUM(patch[[#This Row],[mergeDate]]))</f>
        <v>16'ww39</v>
      </c>
      <c r="U1548" s="7" t="str">
        <f>IF(ISBLANK(patch[[#This Row],[mergeDate]]), U1547, MID(YEAR(patch[[#This Row],[mergeDate]]), 3,2)&amp;"'m"&amp;MONTH(patch[[#This Row],[mergeDate]]))</f>
        <v>16'm9</v>
      </c>
      <c r="V1548" s="7" t="str">
        <f>IF(ISBLANK(patch[[#This Row],[project]]), "",SUM(patch[[#This Row],[BJ -1 num]:[SH -1 num]]))</f>
        <v/>
      </c>
      <c r="W1548" s="7" t="str">
        <f>IF(ISBLANK(patch[[#This Row],[project]]), "",COUNTIFS($A:$A,patch[[#This Row],[number]],$S:$S, "BJ And dev",$AC:$AC, "Review-1"))</f>
        <v/>
      </c>
      <c r="X1548" s="7" t="str">
        <f>IF(ISBLANK(patch[[#This Row],[project]]), "",COUNTIFS($A:$A,patch[[#This Row],[number]],$S:$S, "FL And dev",$AC:$AC, "Review-1"))</f>
        <v/>
      </c>
      <c r="Y1548" s="7" t="str">
        <f>IF(ISBLANK(patch[[#This Row],[project]]), "",COUNTIFS($A:$A,patch[[#This Row],[number]],$S:$S, "SH And dev",$AC:$AC, "Review-1"))</f>
        <v/>
      </c>
      <c r="Z1548" s="7" t="str">
        <f>IF(ISBLANK(patch[[#This Row],[project]]), "",COUNTIFS($A:$A,patch[[#This Row],[number]],$S:$S, "BJ And dev",$AD:$AD, "&lt;&gt;IntegratorValidationComment"))</f>
        <v/>
      </c>
      <c r="AA1548" s="7" t="str">
        <f>IF(ISBLANK(patch[[#This Row],[project]]), "",COUNTIFS($A:$A,patch[[#This Row],[number]],$S:$S, "FL And dev",$AD:$AD, "&lt;&gt;IntegratorValidationComment"))</f>
        <v/>
      </c>
      <c r="AB1548" s="7" t="str">
        <f>IF(ISBLANK(patch[[#This Row],[project]]), "",COUNTIFS($A:$A,patch[[#This Row],[number]],$S:$S, "SH And dev",$AD:$AD, "&lt;&gt;IntegratorValidationComment"))</f>
        <v/>
      </c>
      <c r="AC1548" s="7" t="str">
        <f>IF(OR(ISNUMBER(FIND("Review-1", patch[[#This Row],[comments]])), ISNUMBER(FIND("Approver-1", patch[[#This Row],[comments]]))), "Review-1", "")</f>
        <v/>
      </c>
      <c r="AD15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48" s="7">
        <f>IF(ISBLANK(patch[[#This Row],[number]]),AE1547,patch[[#This Row],[ifCommon]])</f>
        <v>0</v>
      </c>
    </row>
    <row r="1549" spans="1:31">
      <c r="A1549" s="151">
        <v>146144</v>
      </c>
      <c r="B1549" s="151"/>
      <c r="C1549" s="151"/>
      <c r="D1549" s="151"/>
      <c r="E1549" s="151"/>
      <c r="F1549" s="151"/>
      <c r="G1549" s="151"/>
      <c r="H1549" s="151"/>
      <c r="I1549" s="151"/>
      <c r="J1549" s="152">
        <v>42632.753668981481</v>
      </c>
      <c r="K1549" s="151"/>
      <c r="L1549" s="151" t="s">
        <v>115</v>
      </c>
      <c r="M1549" s="152">
        <v>42632.614039351851</v>
      </c>
      <c r="N1549" s="151" t="s">
        <v>2494</v>
      </c>
      <c r="O1549" s="151"/>
      <c r="P1549" s="151"/>
      <c r="Q1549" s="7" t="str">
        <f>IF(ISBLANK(patch[[#This Row],[OwnerEmail]]),Q1548,patch[[#This Row],[OwnerEmail]])</f>
        <v>lipingx.xu@intel.com</v>
      </c>
      <c r="R1549" s="7" t="str">
        <f>_xlfn.IFNA(VLOOKUP(patch[[#This Row],[tmp-owner.email]],OrgTree!$A:$K, 11, 0), "not ICG SWFW")</f>
        <v>BJ And dev</v>
      </c>
      <c r="S1549" s="7" t="str">
        <f>IF(patch[[#This Row],[reviewer]]=patch[[#This Row],[tmp-owner.email]], "author", _xlfn.IFNA(VLOOKUP(patch[[#This Row],[reviewer]],OrgTree!$A:$K, 11, 0), "not ICG SWFW"))</f>
        <v>Val</v>
      </c>
      <c r="T1549" s="7" t="str">
        <f>IF(ISBLANK(patch[[#This Row],[mergeDate]]), "", MID(YEAR(patch[[#This Row],[mergeDate]]), 3,2)&amp;"'ww"&amp;WEEKNUM(patch[[#This Row],[mergeDate]]))</f>
        <v>16'ww39</v>
      </c>
      <c r="U1549" s="7" t="str">
        <f>IF(ISBLANK(patch[[#This Row],[mergeDate]]), U1548, MID(YEAR(patch[[#This Row],[mergeDate]]), 3,2)&amp;"'m"&amp;MONTH(patch[[#This Row],[mergeDate]]))</f>
        <v>16'm9</v>
      </c>
      <c r="V1549" s="7" t="str">
        <f>IF(ISBLANK(patch[[#This Row],[project]]), "",SUM(patch[[#This Row],[BJ -1 num]:[SH -1 num]]))</f>
        <v/>
      </c>
      <c r="W1549" s="7" t="str">
        <f>IF(ISBLANK(patch[[#This Row],[project]]), "",COUNTIFS($A:$A,patch[[#This Row],[number]],$S:$S, "BJ And dev",$AC:$AC, "Review-1"))</f>
        <v/>
      </c>
      <c r="X1549" s="7" t="str">
        <f>IF(ISBLANK(patch[[#This Row],[project]]), "",COUNTIFS($A:$A,patch[[#This Row],[number]],$S:$S, "FL And dev",$AC:$AC, "Review-1"))</f>
        <v/>
      </c>
      <c r="Y1549" s="7" t="str">
        <f>IF(ISBLANK(patch[[#This Row],[project]]), "",COUNTIFS($A:$A,patch[[#This Row],[number]],$S:$S, "SH And dev",$AC:$AC, "Review-1"))</f>
        <v/>
      </c>
      <c r="Z1549" s="7" t="str">
        <f>IF(ISBLANK(patch[[#This Row],[project]]), "",COUNTIFS($A:$A,patch[[#This Row],[number]],$S:$S, "BJ And dev",$AD:$AD, "&lt;&gt;IntegratorValidationComment"))</f>
        <v/>
      </c>
      <c r="AA1549" s="7" t="str">
        <f>IF(ISBLANK(patch[[#This Row],[project]]), "",COUNTIFS($A:$A,patch[[#This Row],[number]],$S:$S, "FL And dev",$AD:$AD, "&lt;&gt;IntegratorValidationComment"))</f>
        <v/>
      </c>
      <c r="AB1549" s="7" t="str">
        <f>IF(ISBLANK(patch[[#This Row],[project]]), "",COUNTIFS($A:$A,patch[[#This Row],[number]],$S:$S, "SH And dev",$AD:$AD, "&lt;&gt;IntegratorValidationComment"))</f>
        <v/>
      </c>
      <c r="AC1549" s="7" t="str">
        <f>IF(OR(ISNUMBER(FIND("Review-1", patch[[#This Row],[comments]])), ISNUMBER(FIND("Approver-1", patch[[#This Row],[comments]]))), "Review-1", "")</f>
        <v/>
      </c>
      <c r="AD15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549" s="7">
        <f>IF(ISBLANK(patch[[#This Row],[number]]),AE1548,patch[[#This Row],[ifCommon]])</f>
        <v>0</v>
      </c>
    </row>
    <row r="1550" spans="1:31">
      <c r="A1550" s="151">
        <v>146143</v>
      </c>
      <c r="B1550" s="151" t="s">
        <v>2490</v>
      </c>
      <c r="C1550" s="151" t="s">
        <v>2795</v>
      </c>
      <c r="D1550" s="151" t="s">
        <v>3365</v>
      </c>
      <c r="E1550" s="151" t="s">
        <v>677</v>
      </c>
      <c r="F1550" s="151" t="s">
        <v>23</v>
      </c>
      <c r="G1550" s="151" t="s">
        <v>3366</v>
      </c>
      <c r="H1550" s="151" t="s">
        <v>3367</v>
      </c>
      <c r="I1550" s="152">
        <v>42631.742442129631</v>
      </c>
      <c r="J1550" s="152">
        <v>42632.753634259258</v>
      </c>
      <c r="K1550" s="151" t="s">
        <v>2445</v>
      </c>
      <c r="L1550" s="151" t="s">
        <v>677</v>
      </c>
      <c r="M1550" s="152">
        <v>42631.742442129631</v>
      </c>
      <c r="N1550" s="151" t="s">
        <v>25</v>
      </c>
      <c r="O1550" s="151"/>
      <c r="P1550" s="151" t="s">
        <v>3312</v>
      </c>
      <c r="Q1550" s="7" t="str">
        <f>IF(ISBLANK(patch[[#This Row],[OwnerEmail]]),Q1549,patch[[#This Row],[OwnerEmail]])</f>
        <v>lipingx.xu@intel.com</v>
      </c>
      <c r="R1550" s="7" t="str">
        <f>_xlfn.IFNA(VLOOKUP(patch[[#This Row],[tmp-owner.email]],OrgTree!$A:$K, 11, 0), "not ICG SWFW")</f>
        <v>BJ And dev</v>
      </c>
      <c r="S1550" s="7" t="str">
        <f>IF(patch[[#This Row],[reviewer]]=patch[[#This Row],[tmp-owner.email]], "author", _xlfn.IFNA(VLOOKUP(patch[[#This Row],[reviewer]],OrgTree!$A:$K, 11, 0), "not ICG SWFW"))</f>
        <v>author</v>
      </c>
      <c r="T1550" s="7" t="str">
        <f>IF(ISBLANK(patch[[#This Row],[mergeDate]]), "", MID(YEAR(patch[[#This Row],[mergeDate]]), 3,2)&amp;"'ww"&amp;WEEKNUM(patch[[#This Row],[mergeDate]]))</f>
        <v>16'ww39</v>
      </c>
      <c r="U1550" s="7" t="str">
        <f>IF(ISBLANK(patch[[#This Row],[mergeDate]]), U1549, MID(YEAR(patch[[#This Row],[mergeDate]]), 3,2)&amp;"'m"&amp;MONTH(patch[[#This Row],[mergeDate]]))</f>
        <v>16'm9</v>
      </c>
      <c r="V1550" s="7">
        <f>IF(ISBLANK(patch[[#This Row],[project]]), "",SUM(patch[[#This Row],[BJ -1 num]:[SH -1 num]]))</f>
        <v>0</v>
      </c>
      <c r="W1550" s="7">
        <f>IF(ISBLANK(patch[[#This Row],[project]]), "",COUNTIFS($A:$A,patch[[#This Row],[number]],$S:$S, "BJ And dev",$AC:$AC, "Review-1"))</f>
        <v>0</v>
      </c>
      <c r="X1550" s="7">
        <f>IF(ISBLANK(patch[[#This Row],[project]]), "",COUNTIFS($A:$A,patch[[#This Row],[number]],$S:$S, "FL And dev",$AC:$AC, "Review-1"))</f>
        <v>0</v>
      </c>
      <c r="Y1550" s="7">
        <f>IF(ISBLANK(patch[[#This Row],[project]]), "",COUNTIFS($A:$A,patch[[#This Row],[number]],$S:$S, "SH And dev",$AC:$AC, "Review-1"))</f>
        <v>0</v>
      </c>
      <c r="Z1550" s="7">
        <f>IF(ISBLANK(patch[[#This Row],[project]]), "",COUNTIFS($A:$A,patch[[#This Row],[number]],$S:$S, "BJ And dev",$AD:$AD, "&lt;&gt;IntegratorValidationComment"))</f>
        <v>4</v>
      </c>
      <c r="AA1550" s="7">
        <f>IF(ISBLANK(patch[[#This Row],[project]]), "",COUNTIFS($A:$A,patch[[#This Row],[number]],$S:$S, "FL And dev",$AD:$AD, "&lt;&gt;IntegratorValidationComment"))</f>
        <v>0</v>
      </c>
      <c r="AB1550" s="7">
        <f>IF(ISBLANK(patch[[#This Row],[project]]), "",COUNTIFS($A:$A,patch[[#This Row],[number]],$S:$S, "SH And dev",$AD:$AD, "&lt;&gt;IntegratorValidationComment"))</f>
        <v>0</v>
      </c>
      <c r="AC1550" s="7" t="str">
        <f>IF(OR(ISNUMBER(FIND("Review-1", patch[[#This Row],[comments]])), ISNUMBER(FIND("Approver-1", patch[[#This Row],[comments]]))), "Review-1", "")</f>
        <v/>
      </c>
      <c r="AD15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50" s="7" t="str">
        <f>IF(ISBLANK(patch[[#This Row],[number]]),AE1549,patch[[#This Row],[ifCommon]])</f>
        <v>not AndrHAL</v>
      </c>
    </row>
    <row r="1551" spans="1:31">
      <c r="A1551" s="151">
        <v>146143</v>
      </c>
      <c r="B1551" s="151"/>
      <c r="C1551" s="151"/>
      <c r="D1551" s="151"/>
      <c r="E1551" s="151"/>
      <c r="F1551" s="151"/>
      <c r="G1551" s="151"/>
      <c r="H1551" s="151"/>
      <c r="I1551" s="151"/>
      <c r="J1551" s="152">
        <v>42632.753634259258</v>
      </c>
      <c r="K1551" s="151"/>
      <c r="L1551" s="151" t="s">
        <v>677</v>
      </c>
      <c r="M1551" s="152">
        <v>42631.742442129631</v>
      </c>
      <c r="N1551" s="151" t="s">
        <v>2428</v>
      </c>
      <c r="O1551" s="151"/>
      <c r="P1551" s="151"/>
      <c r="Q1551" s="7" t="str">
        <f>IF(ISBLANK(patch[[#This Row],[OwnerEmail]]),Q1550,patch[[#This Row],[OwnerEmail]])</f>
        <v>lipingx.xu@intel.com</v>
      </c>
      <c r="R1551" s="7" t="str">
        <f>_xlfn.IFNA(VLOOKUP(patch[[#This Row],[tmp-owner.email]],OrgTree!$A:$K, 11, 0), "not ICG SWFW")</f>
        <v>BJ And dev</v>
      </c>
      <c r="S1551" s="7" t="str">
        <f>IF(patch[[#This Row],[reviewer]]=patch[[#This Row],[tmp-owner.email]], "author", _xlfn.IFNA(VLOOKUP(patch[[#This Row],[reviewer]],OrgTree!$A:$K, 11, 0), "not ICG SWFW"))</f>
        <v>author</v>
      </c>
      <c r="T1551" s="7" t="str">
        <f>IF(ISBLANK(patch[[#This Row],[mergeDate]]), "", MID(YEAR(patch[[#This Row],[mergeDate]]), 3,2)&amp;"'ww"&amp;WEEKNUM(patch[[#This Row],[mergeDate]]))</f>
        <v>16'ww39</v>
      </c>
      <c r="U1551" s="7" t="str">
        <f>IF(ISBLANK(patch[[#This Row],[mergeDate]]), U1550, MID(YEAR(patch[[#This Row],[mergeDate]]), 3,2)&amp;"'m"&amp;MONTH(patch[[#This Row],[mergeDate]]))</f>
        <v>16'm9</v>
      </c>
      <c r="V1551" s="7" t="str">
        <f>IF(ISBLANK(patch[[#This Row],[project]]), "",SUM(patch[[#This Row],[BJ -1 num]:[SH -1 num]]))</f>
        <v/>
      </c>
      <c r="W1551" s="7" t="str">
        <f>IF(ISBLANK(patch[[#This Row],[project]]), "",COUNTIFS($A:$A,patch[[#This Row],[number]],$S:$S, "BJ And dev",$AC:$AC, "Review-1"))</f>
        <v/>
      </c>
      <c r="X1551" s="7" t="str">
        <f>IF(ISBLANK(patch[[#This Row],[project]]), "",COUNTIFS($A:$A,patch[[#This Row],[number]],$S:$S, "FL And dev",$AC:$AC, "Review-1"))</f>
        <v/>
      </c>
      <c r="Y1551" s="7" t="str">
        <f>IF(ISBLANK(patch[[#This Row],[project]]), "",COUNTIFS($A:$A,patch[[#This Row],[number]],$S:$S, "SH And dev",$AC:$AC, "Review-1"))</f>
        <v/>
      </c>
      <c r="Z1551" s="7" t="str">
        <f>IF(ISBLANK(patch[[#This Row],[project]]), "",COUNTIFS($A:$A,patch[[#This Row],[number]],$S:$S, "BJ And dev",$AD:$AD, "&lt;&gt;IntegratorValidationComment"))</f>
        <v/>
      </c>
      <c r="AA1551" s="7" t="str">
        <f>IF(ISBLANK(patch[[#This Row],[project]]), "",COUNTIFS($A:$A,patch[[#This Row],[number]],$S:$S, "FL And dev",$AD:$AD, "&lt;&gt;IntegratorValidationComment"))</f>
        <v/>
      </c>
      <c r="AB1551" s="7" t="str">
        <f>IF(ISBLANK(patch[[#This Row],[project]]), "",COUNTIFS($A:$A,patch[[#This Row],[number]],$S:$S, "SH And dev",$AD:$AD, "&lt;&gt;IntegratorValidationComment"))</f>
        <v/>
      </c>
      <c r="AC1551" s="7" t="str">
        <f>IF(OR(ISNUMBER(FIND("Review-1", patch[[#This Row],[comments]])), ISNUMBER(FIND("Approver-1", patch[[#This Row],[comments]]))), "Review-1", "")</f>
        <v/>
      </c>
      <c r="AD15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51" s="7">
        <f>IF(ISBLANK(patch[[#This Row],[number]]),AE1550,patch[[#This Row],[ifCommon]])</f>
        <v>0</v>
      </c>
    </row>
    <row r="1552" spans="1:31">
      <c r="A1552" s="151">
        <v>146143</v>
      </c>
      <c r="B1552" s="151"/>
      <c r="C1552" s="151"/>
      <c r="D1552" s="151"/>
      <c r="E1552" s="151"/>
      <c r="F1552" s="151"/>
      <c r="G1552" s="151"/>
      <c r="H1552" s="151"/>
      <c r="I1552" s="151"/>
      <c r="J1552" s="152">
        <v>42632.753634259258</v>
      </c>
      <c r="K1552" s="151"/>
      <c r="L1552" s="151" t="s">
        <v>24</v>
      </c>
      <c r="M1552" s="152">
        <v>42631.756076388891</v>
      </c>
      <c r="N1552" s="151" t="s">
        <v>40</v>
      </c>
      <c r="O1552" s="151"/>
      <c r="P1552" s="151"/>
      <c r="Q1552" s="7" t="str">
        <f>IF(ISBLANK(patch[[#This Row],[OwnerEmail]]),Q1551,patch[[#This Row],[OwnerEmail]])</f>
        <v>lipingx.xu@intel.com</v>
      </c>
      <c r="R1552" s="7" t="str">
        <f>_xlfn.IFNA(VLOOKUP(patch[[#This Row],[tmp-owner.email]],OrgTree!$A:$K, 11, 0), "not ICG SWFW")</f>
        <v>BJ And dev</v>
      </c>
      <c r="S1552" s="7" t="str">
        <f>IF(patch[[#This Row],[reviewer]]=patch[[#This Row],[tmp-owner.email]], "author", _xlfn.IFNA(VLOOKUP(patch[[#This Row],[reviewer]],OrgTree!$A:$K, 11, 0), "not ICG SWFW"))</f>
        <v>BJ And dev</v>
      </c>
      <c r="T1552" s="7" t="str">
        <f>IF(ISBLANK(patch[[#This Row],[mergeDate]]), "", MID(YEAR(patch[[#This Row],[mergeDate]]), 3,2)&amp;"'ww"&amp;WEEKNUM(patch[[#This Row],[mergeDate]]))</f>
        <v>16'ww39</v>
      </c>
      <c r="U1552" s="7" t="str">
        <f>IF(ISBLANK(patch[[#This Row],[mergeDate]]), U1551, MID(YEAR(patch[[#This Row],[mergeDate]]), 3,2)&amp;"'m"&amp;MONTH(patch[[#This Row],[mergeDate]]))</f>
        <v>16'm9</v>
      </c>
      <c r="V1552" s="7" t="str">
        <f>IF(ISBLANK(patch[[#This Row],[project]]), "",SUM(patch[[#This Row],[BJ -1 num]:[SH -1 num]]))</f>
        <v/>
      </c>
      <c r="W1552" s="7" t="str">
        <f>IF(ISBLANK(patch[[#This Row],[project]]), "",COUNTIFS($A:$A,patch[[#This Row],[number]],$S:$S, "BJ And dev",$AC:$AC, "Review-1"))</f>
        <v/>
      </c>
      <c r="X1552" s="7" t="str">
        <f>IF(ISBLANK(patch[[#This Row],[project]]), "",COUNTIFS($A:$A,patch[[#This Row],[number]],$S:$S, "FL And dev",$AC:$AC, "Review-1"))</f>
        <v/>
      </c>
      <c r="Y1552" s="7" t="str">
        <f>IF(ISBLANK(patch[[#This Row],[project]]), "",COUNTIFS($A:$A,patch[[#This Row],[number]],$S:$S, "SH And dev",$AC:$AC, "Review-1"))</f>
        <v/>
      </c>
      <c r="Z1552" s="7" t="str">
        <f>IF(ISBLANK(patch[[#This Row],[project]]), "",COUNTIFS($A:$A,patch[[#This Row],[number]],$S:$S, "BJ And dev",$AD:$AD, "&lt;&gt;IntegratorValidationComment"))</f>
        <v/>
      </c>
      <c r="AA1552" s="7" t="str">
        <f>IF(ISBLANK(patch[[#This Row],[project]]), "",COUNTIFS($A:$A,patch[[#This Row],[number]],$S:$S, "FL And dev",$AD:$AD, "&lt;&gt;IntegratorValidationComment"))</f>
        <v/>
      </c>
      <c r="AB1552" s="7" t="str">
        <f>IF(ISBLANK(patch[[#This Row],[project]]), "",COUNTIFS($A:$A,patch[[#This Row],[number]],$S:$S, "SH And dev",$AD:$AD, "&lt;&gt;IntegratorValidationComment"))</f>
        <v/>
      </c>
      <c r="AC1552" s="7" t="str">
        <f>IF(OR(ISNUMBER(FIND("Review-1", patch[[#This Row],[comments]])), ISNUMBER(FIND("Approver-1", patch[[#This Row],[comments]]))), "Review-1", "")</f>
        <v/>
      </c>
      <c r="AD15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52" s="7">
        <f>IF(ISBLANK(patch[[#This Row],[number]]),AE1551,patch[[#This Row],[ifCommon]])</f>
        <v>0</v>
      </c>
    </row>
    <row r="1553" spans="1:31">
      <c r="A1553" s="151">
        <v>146143</v>
      </c>
      <c r="B1553" s="151"/>
      <c r="C1553" s="151"/>
      <c r="D1553" s="151"/>
      <c r="E1553" s="151"/>
      <c r="F1553" s="151"/>
      <c r="G1553" s="151"/>
      <c r="H1553" s="151"/>
      <c r="I1553" s="152"/>
      <c r="J1553" s="152">
        <v>42632.753634259258</v>
      </c>
      <c r="K1553" s="151"/>
      <c r="L1553" s="151" t="s">
        <v>24</v>
      </c>
      <c r="M1553" s="152">
        <v>42631.756145833337</v>
      </c>
      <c r="N1553" s="151" t="s">
        <v>58</v>
      </c>
      <c r="O1553" s="151"/>
      <c r="P1553" s="151"/>
      <c r="Q1553" s="7" t="str">
        <f>IF(ISBLANK(patch[[#This Row],[OwnerEmail]]),Q1552,patch[[#This Row],[OwnerEmail]])</f>
        <v>lipingx.xu@intel.com</v>
      </c>
      <c r="R1553" s="7" t="str">
        <f>_xlfn.IFNA(VLOOKUP(patch[[#This Row],[tmp-owner.email]],OrgTree!$A:$K, 11, 0), "not ICG SWFW")</f>
        <v>BJ And dev</v>
      </c>
      <c r="S1553" s="7" t="str">
        <f>IF(patch[[#This Row],[reviewer]]=patch[[#This Row],[tmp-owner.email]], "author", _xlfn.IFNA(VLOOKUP(patch[[#This Row],[reviewer]],OrgTree!$A:$K, 11, 0), "not ICG SWFW"))</f>
        <v>BJ And dev</v>
      </c>
      <c r="T1553" s="7" t="str">
        <f>IF(ISBLANK(patch[[#This Row],[mergeDate]]), "", MID(YEAR(patch[[#This Row],[mergeDate]]), 3,2)&amp;"'ww"&amp;WEEKNUM(patch[[#This Row],[mergeDate]]))</f>
        <v>16'ww39</v>
      </c>
      <c r="U1553" s="7" t="str">
        <f>IF(ISBLANK(patch[[#This Row],[mergeDate]]), U1552, MID(YEAR(patch[[#This Row],[mergeDate]]), 3,2)&amp;"'m"&amp;MONTH(patch[[#This Row],[mergeDate]]))</f>
        <v>16'm9</v>
      </c>
      <c r="V1553" s="7" t="str">
        <f>IF(ISBLANK(patch[[#This Row],[project]]), "",SUM(patch[[#This Row],[BJ -1 num]:[SH -1 num]]))</f>
        <v/>
      </c>
      <c r="W1553" s="7" t="str">
        <f>IF(ISBLANK(patch[[#This Row],[project]]), "",COUNTIFS($A:$A,patch[[#This Row],[number]],$S:$S, "BJ And dev",$AC:$AC, "Review-1"))</f>
        <v/>
      </c>
      <c r="X1553" s="7" t="str">
        <f>IF(ISBLANK(patch[[#This Row],[project]]), "",COUNTIFS($A:$A,patch[[#This Row],[number]],$S:$S, "FL And dev",$AC:$AC, "Review-1"))</f>
        <v/>
      </c>
      <c r="Y1553" s="7" t="str">
        <f>IF(ISBLANK(patch[[#This Row],[project]]), "",COUNTIFS($A:$A,patch[[#This Row],[number]],$S:$S, "SH And dev",$AC:$AC, "Review-1"))</f>
        <v/>
      </c>
      <c r="Z1553" s="7" t="str">
        <f>IF(ISBLANK(patch[[#This Row],[project]]), "",COUNTIFS($A:$A,patch[[#This Row],[number]],$S:$S, "BJ And dev",$AD:$AD, "&lt;&gt;IntegratorValidationComment"))</f>
        <v/>
      </c>
      <c r="AA1553" s="7" t="str">
        <f>IF(ISBLANK(patch[[#This Row],[project]]), "",COUNTIFS($A:$A,patch[[#This Row],[number]],$S:$S, "FL And dev",$AD:$AD, "&lt;&gt;IntegratorValidationComment"))</f>
        <v/>
      </c>
      <c r="AB1553" s="7" t="str">
        <f>IF(ISBLANK(patch[[#This Row],[project]]), "",COUNTIFS($A:$A,patch[[#This Row],[number]],$S:$S, "SH And dev",$AD:$AD, "&lt;&gt;IntegratorValidationComment"))</f>
        <v/>
      </c>
      <c r="AC1553" s="7" t="str">
        <f>IF(OR(ISNUMBER(FIND("Review-1", patch[[#This Row],[comments]])), ISNUMBER(FIND("Approver-1", patch[[#This Row],[comments]]))), "Review-1", "")</f>
        <v/>
      </c>
      <c r="AD15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53" s="7">
        <f>IF(ISBLANK(patch[[#This Row],[number]]),AE1552,patch[[#This Row],[ifCommon]])</f>
        <v>0</v>
      </c>
    </row>
    <row r="1554" spans="1:31">
      <c r="A1554" s="151">
        <v>146143</v>
      </c>
      <c r="B1554" s="151"/>
      <c r="C1554" s="151"/>
      <c r="D1554" s="151"/>
      <c r="E1554" s="151"/>
      <c r="F1554" s="151"/>
      <c r="G1554" s="151"/>
      <c r="H1554" s="151"/>
      <c r="I1554" s="151"/>
      <c r="J1554" s="152">
        <v>42632.753634259258</v>
      </c>
      <c r="K1554" s="151"/>
      <c r="L1554" s="151" t="s">
        <v>59</v>
      </c>
      <c r="M1554" s="152">
        <v>42631.788738425923</v>
      </c>
      <c r="N1554" s="151" t="s">
        <v>3368</v>
      </c>
      <c r="O1554" s="151"/>
      <c r="P1554" s="151"/>
      <c r="Q1554" s="7" t="str">
        <f>IF(ISBLANK(patch[[#This Row],[OwnerEmail]]),Q1553,patch[[#This Row],[OwnerEmail]])</f>
        <v>lipingx.xu@intel.com</v>
      </c>
      <c r="R1554" s="7" t="str">
        <f>_xlfn.IFNA(VLOOKUP(patch[[#This Row],[tmp-owner.email]],OrgTree!$A:$K, 11, 0), "not ICG SWFW")</f>
        <v>BJ And dev</v>
      </c>
      <c r="S1554" s="7" t="str">
        <f>IF(patch[[#This Row],[reviewer]]=patch[[#This Row],[tmp-owner.email]], "author", _xlfn.IFNA(VLOOKUP(patch[[#This Row],[reviewer]],OrgTree!$A:$K, 11, 0), "not ICG SWFW"))</f>
        <v>BJ And dev</v>
      </c>
      <c r="T1554" s="7" t="str">
        <f>IF(ISBLANK(patch[[#This Row],[mergeDate]]), "", MID(YEAR(patch[[#This Row],[mergeDate]]), 3,2)&amp;"'ww"&amp;WEEKNUM(patch[[#This Row],[mergeDate]]))</f>
        <v>16'ww39</v>
      </c>
      <c r="U1554" s="7" t="str">
        <f>IF(ISBLANK(patch[[#This Row],[mergeDate]]), U1553, MID(YEAR(patch[[#This Row],[mergeDate]]), 3,2)&amp;"'m"&amp;MONTH(patch[[#This Row],[mergeDate]]))</f>
        <v>16'm9</v>
      </c>
      <c r="V1554" s="7" t="str">
        <f>IF(ISBLANK(patch[[#This Row],[project]]), "",SUM(patch[[#This Row],[BJ -1 num]:[SH -1 num]]))</f>
        <v/>
      </c>
      <c r="W1554" s="7" t="str">
        <f>IF(ISBLANK(patch[[#This Row],[project]]), "",COUNTIFS($A:$A,patch[[#This Row],[number]],$S:$S, "BJ And dev",$AC:$AC, "Review-1"))</f>
        <v/>
      </c>
      <c r="X1554" s="7" t="str">
        <f>IF(ISBLANK(patch[[#This Row],[project]]), "",COUNTIFS($A:$A,patch[[#This Row],[number]],$S:$S, "FL And dev",$AC:$AC, "Review-1"))</f>
        <v/>
      </c>
      <c r="Y1554" s="7" t="str">
        <f>IF(ISBLANK(patch[[#This Row],[project]]), "",COUNTIFS($A:$A,patch[[#This Row],[number]],$S:$S, "SH And dev",$AC:$AC, "Review-1"))</f>
        <v/>
      </c>
      <c r="Z1554" s="7" t="str">
        <f>IF(ISBLANK(patch[[#This Row],[project]]), "",COUNTIFS($A:$A,patch[[#This Row],[number]],$S:$S, "BJ And dev",$AD:$AD, "&lt;&gt;IntegratorValidationComment"))</f>
        <v/>
      </c>
      <c r="AA1554" s="7" t="str">
        <f>IF(ISBLANK(patch[[#This Row],[project]]), "",COUNTIFS($A:$A,patch[[#This Row],[number]],$S:$S, "FL And dev",$AD:$AD, "&lt;&gt;IntegratorValidationComment"))</f>
        <v/>
      </c>
      <c r="AB1554" s="7" t="str">
        <f>IF(ISBLANK(patch[[#This Row],[project]]), "",COUNTIFS($A:$A,patch[[#This Row],[number]],$S:$S, "SH And dev",$AD:$AD, "&lt;&gt;IntegratorValidationComment"))</f>
        <v/>
      </c>
      <c r="AC1554" s="7" t="str">
        <f>IF(OR(ISNUMBER(FIND("Review-1", patch[[#This Row],[comments]])), ISNUMBER(FIND("Approver-1", patch[[#This Row],[comments]]))), "Review-1", "")</f>
        <v/>
      </c>
      <c r="AD15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54" s="7">
        <f>IF(ISBLANK(patch[[#This Row],[number]]),AE1553,patch[[#This Row],[ifCommon]])</f>
        <v>0</v>
      </c>
    </row>
    <row r="1555" spans="1:31">
      <c r="A1555" s="151">
        <v>146143</v>
      </c>
      <c r="B1555" s="151"/>
      <c r="C1555" s="151"/>
      <c r="D1555" s="151"/>
      <c r="E1555" s="151"/>
      <c r="F1555" s="151"/>
      <c r="G1555" s="151"/>
      <c r="H1555" s="151"/>
      <c r="I1555" s="151"/>
      <c r="J1555" s="152">
        <v>42632.753634259258</v>
      </c>
      <c r="K1555" s="151"/>
      <c r="L1555" s="151" t="s">
        <v>59</v>
      </c>
      <c r="M1555" s="152">
        <v>42631.822662037041</v>
      </c>
      <c r="N1555" s="151" t="s">
        <v>3369</v>
      </c>
      <c r="O1555" s="151"/>
      <c r="P1555" s="151"/>
      <c r="Q1555" s="7" t="str">
        <f>IF(ISBLANK(patch[[#This Row],[OwnerEmail]]),Q1554,patch[[#This Row],[OwnerEmail]])</f>
        <v>lipingx.xu@intel.com</v>
      </c>
      <c r="R1555" s="7" t="str">
        <f>_xlfn.IFNA(VLOOKUP(patch[[#This Row],[tmp-owner.email]],OrgTree!$A:$K, 11, 0), "not ICG SWFW")</f>
        <v>BJ And dev</v>
      </c>
      <c r="S1555" s="7" t="str">
        <f>IF(patch[[#This Row],[reviewer]]=patch[[#This Row],[tmp-owner.email]], "author", _xlfn.IFNA(VLOOKUP(patch[[#This Row],[reviewer]],OrgTree!$A:$K, 11, 0), "not ICG SWFW"))</f>
        <v>BJ And dev</v>
      </c>
      <c r="T1555" s="7" t="str">
        <f>IF(ISBLANK(patch[[#This Row],[mergeDate]]), "", MID(YEAR(patch[[#This Row],[mergeDate]]), 3,2)&amp;"'ww"&amp;WEEKNUM(patch[[#This Row],[mergeDate]]))</f>
        <v>16'ww39</v>
      </c>
      <c r="U1555" s="7" t="str">
        <f>IF(ISBLANK(patch[[#This Row],[mergeDate]]), U1554, MID(YEAR(patch[[#This Row],[mergeDate]]), 3,2)&amp;"'m"&amp;MONTH(patch[[#This Row],[mergeDate]]))</f>
        <v>16'm9</v>
      </c>
      <c r="V1555" s="7" t="str">
        <f>IF(ISBLANK(patch[[#This Row],[project]]), "",SUM(patch[[#This Row],[BJ -1 num]:[SH -1 num]]))</f>
        <v/>
      </c>
      <c r="W1555" s="7" t="str">
        <f>IF(ISBLANK(patch[[#This Row],[project]]), "",COUNTIFS($A:$A,patch[[#This Row],[number]],$S:$S, "BJ And dev",$AC:$AC, "Review-1"))</f>
        <v/>
      </c>
      <c r="X1555" s="7" t="str">
        <f>IF(ISBLANK(patch[[#This Row],[project]]), "",COUNTIFS($A:$A,patch[[#This Row],[number]],$S:$S, "FL And dev",$AC:$AC, "Review-1"))</f>
        <v/>
      </c>
      <c r="Y1555" s="7" t="str">
        <f>IF(ISBLANK(patch[[#This Row],[project]]), "",COUNTIFS($A:$A,patch[[#This Row],[number]],$S:$S, "SH And dev",$AC:$AC, "Review-1"))</f>
        <v/>
      </c>
      <c r="Z1555" s="7" t="str">
        <f>IF(ISBLANK(patch[[#This Row],[project]]), "",COUNTIFS($A:$A,patch[[#This Row],[number]],$S:$S, "BJ And dev",$AD:$AD, "&lt;&gt;IntegratorValidationComment"))</f>
        <v/>
      </c>
      <c r="AA1555" s="7" t="str">
        <f>IF(ISBLANK(patch[[#This Row],[project]]), "",COUNTIFS($A:$A,patch[[#This Row],[number]],$S:$S, "FL And dev",$AD:$AD, "&lt;&gt;IntegratorValidationComment"))</f>
        <v/>
      </c>
      <c r="AB1555" s="7" t="str">
        <f>IF(ISBLANK(patch[[#This Row],[project]]), "",COUNTIFS($A:$A,patch[[#This Row],[number]],$S:$S, "SH And dev",$AD:$AD, "&lt;&gt;IntegratorValidationComment"))</f>
        <v/>
      </c>
      <c r="AC1555" s="7" t="str">
        <f>IF(OR(ISNUMBER(FIND("Review-1", patch[[#This Row],[comments]])), ISNUMBER(FIND("Approver-1", patch[[#This Row],[comments]]))), "Review-1", "")</f>
        <v/>
      </c>
      <c r="AD15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55" s="7">
        <f>IF(ISBLANK(patch[[#This Row],[number]]),AE1554,patch[[#This Row],[ifCommon]])</f>
        <v>0</v>
      </c>
    </row>
    <row r="1556" spans="1:31">
      <c r="A1556" s="151">
        <v>146143</v>
      </c>
      <c r="B1556" s="151"/>
      <c r="C1556" s="151"/>
      <c r="D1556" s="151"/>
      <c r="E1556" s="151"/>
      <c r="F1556" s="151"/>
      <c r="G1556" s="151"/>
      <c r="H1556" s="151"/>
      <c r="I1556" s="151"/>
      <c r="J1556" s="152">
        <v>42632.753634259258</v>
      </c>
      <c r="K1556" s="151"/>
      <c r="L1556" s="151" t="s">
        <v>677</v>
      </c>
      <c r="M1556" s="152">
        <v>42632.457430555558</v>
      </c>
      <c r="N1556" s="151" t="s">
        <v>40</v>
      </c>
      <c r="O1556" s="151"/>
      <c r="P1556" s="151"/>
      <c r="Q1556" s="7" t="str">
        <f>IF(ISBLANK(patch[[#This Row],[OwnerEmail]]),Q1555,patch[[#This Row],[OwnerEmail]])</f>
        <v>lipingx.xu@intel.com</v>
      </c>
      <c r="R1556" s="7" t="str">
        <f>_xlfn.IFNA(VLOOKUP(patch[[#This Row],[tmp-owner.email]],OrgTree!$A:$K, 11, 0), "not ICG SWFW")</f>
        <v>BJ And dev</v>
      </c>
      <c r="S1556" s="7" t="str">
        <f>IF(patch[[#This Row],[reviewer]]=patch[[#This Row],[tmp-owner.email]], "author", _xlfn.IFNA(VLOOKUP(patch[[#This Row],[reviewer]],OrgTree!$A:$K, 11, 0), "not ICG SWFW"))</f>
        <v>author</v>
      </c>
      <c r="T1556" s="7" t="str">
        <f>IF(ISBLANK(patch[[#This Row],[mergeDate]]), "", MID(YEAR(patch[[#This Row],[mergeDate]]), 3,2)&amp;"'ww"&amp;WEEKNUM(patch[[#This Row],[mergeDate]]))</f>
        <v>16'ww39</v>
      </c>
      <c r="U1556" s="7" t="str">
        <f>IF(ISBLANK(patch[[#This Row],[mergeDate]]), U1555, MID(YEAR(patch[[#This Row],[mergeDate]]), 3,2)&amp;"'m"&amp;MONTH(patch[[#This Row],[mergeDate]]))</f>
        <v>16'm9</v>
      </c>
      <c r="V1556" s="7" t="str">
        <f>IF(ISBLANK(patch[[#This Row],[project]]), "",SUM(patch[[#This Row],[BJ -1 num]:[SH -1 num]]))</f>
        <v/>
      </c>
      <c r="W1556" s="7" t="str">
        <f>IF(ISBLANK(patch[[#This Row],[project]]), "",COUNTIFS($A:$A,patch[[#This Row],[number]],$S:$S, "BJ And dev",$AC:$AC, "Review-1"))</f>
        <v/>
      </c>
      <c r="X1556" s="7" t="str">
        <f>IF(ISBLANK(patch[[#This Row],[project]]), "",COUNTIFS($A:$A,patch[[#This Row],[number]],$S:$S, "FL And dev",$AC:$AC, "Review-1"))</f>
        <v/>
      </c>
      <c r="Y1556" s="7" t="str">
        <f>IF(ISBLANK(patch[[#This Row],[project]]), "",COUNTIFS($A:$A,patch[[#This Row],[number]],$S:$S, "SH And dev",$AC:$AC, "Review-1"))</f>
        <v/>
      </c>
      <c r="Z1556" s="7" t="str">
        <f>IF(ISBLANK(patch[[#This Row],[project]]), "",COUNTIFS($A:$A,patch[[#This Row],[number]],$S:$S, "BJ And dev",$AD:$AD, "&lt;&gt;IntegratorValidationComment"))</f>
        <v/>
      </c>
      <c r="AA1556" s="7" t="str">
        <f>IF(ISBLANK(patch[[#This Row],[project]]), "",COUNTIFS($A:$A,patch[[#This Row],[number]],$S:$S, "FL And dev",$AD:$AD, "&lt;&gt;IntegratorValidationComment"))</f>
        <v/>
      </c>
      <c r="AB1556" s="7" t="str">
        <f>IF(ISBLANK(patch[[#This Row],[project]]), "",COUNTIFS($A:$A,patch[[#This Row],[number]],$S:$S, "SH And dev",$AD:$AD, "&lt;&gt;IntegratorValidationComment"))</f>
        <v/>
      </c>
      <c r="AC1556" s="7" t="str">
        <f>IF(OR(ISNUMBER(FIND("Review-1", patch[[#This Row],[comments]])), ISNUMBER(FIND("Approver-1", patch[[#This Row],[comments]]))), "Review-1", "")</f>
        <v/>
      </c>
      <c r="AD15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56" s="7">
        <f>IF(ISBLANK(patch[[#This Row],[number]]),AE1555,patch[[#This Row],[ifCommon]])</f>
        <v>0</v>
      </c>
    </row>
    <row r="1557" spans="1:31">
      <c r="A1557" s="151">
        <v>146143</v>
      </c>
      <c r="B1557" s="151"/>
      <c r="C1557" s="151"/>
      <c r="D1557" s="151"/>
      <c r="E1557" s="151"/>
      <c r="F1557" s="151"/>
      <c r="G1557" s="151"/>
      <c r="H1557" s="151"/>
      <c r="I1557" s="151"/>
      <c r="J1557" s="152">
        <v>42632.753634259258</v>
      </c>
      <c r="K1557" s="151"/>
      <c r="L1557" s="151" t="s">
        <v>115</v>
      </c>
      <c r="M1557" s="152">
        <v>42632.615266203713</v>
      </c>
      <c r="N1557" s="151" t="s">
        <v>2494</v>
      </c>
      <c r="O1557" s="151"/>
      <c r="P1557" s="151"/>
      <c r="Q1557" s="7" t="str">
        <f>IF(ISBLANK(patch[[#This Row],[OwnerEmail]]),Q1556,patch[[#This Row],[OwnerEmail]])</f>
        <v>lipingx.xu@intel.com</v>
      </c>
      <c r="R1557" s="7" t="str">
        <f>_xlfn.IFNA(VLOOKUP(patch[[#This Row],[tmp-owner.email]],OrgTree!$A:$K, 11, 0), "not ICG SWFW")</f>
        <v>BJ And dev</v>
      </c>
      <c r="S1557" s="7" t="str">
        <f>IF(patch[[#This Row],[reviewer]]=patch[[#This Row],[tmp-owner.email]], "author", _xlfn.IFNA(VLOOKUP(patch[[#This Row],[reviewer]],OrgTree!$A:$K, 11, 0), "not ICG SWFW"))</f>
        <v>Val</v>
      </c>
      <c r="T1557" s="7" t="str">
        <f>IF(ISBLANK(patch[[#This Row],[mergeDate]]), "", MID(YEAR(patch[[#This Row],[mergeDate]]), 3,2)&amp;"'ww"&amp;WEEKNUM(patch[[#This Row],[mergeDate]]))</f>
        <v>16'ww39</v>
      </c>
      <c r="U1557" s="7" t="str">
        <f>IF(ISBLANK(patch[[#This Row],[mergeDate]]), U1556, MID(YEAR(patch[[#This Row],[mergeDate]]), 3,2)&amp;"'m"&amp;MONTH(patch[[#This Row],[mergeDate]]))</f>
        <v>16'm9</v>
      </c>
      <c r="V1557" s="7" t="str">
        <f>IF(ISBLANK(patch[[#This Row],[project]]), "",SUM(patch[[#This Row],[BJ -1 num]:[SH -1 num]]))</f>
        <v/>
      </c>
      <c r="W1557" s="7" t="str">
        <f>IF(ISBLANK(patch[[#This Row],[project]]), "",COUNTIFS($A:$A,patch[[#This Row],[number]],$S:$S, "BJ And dev",$AC:$AC, "Review-1"))</f>
        <v/>
      </c>
      <c r="X1557" s="7" t="str">
        <f>IF(ISBLANK(patch[[#This Row],[project]]), "",COUNTIFS($A:$A,patch[[#This Row],[number]],$S:$S, "FL And dev",$AC:$AC, "Review-1"))</f>
        <v/>
      </c>
      <c r="Y1557" s="7" t="str">
        <f>IF(ISBLANK(patch[[#This Row],[project]]), "",COUNTIFS($A:$A,patch[[#This Row],[number]],$S:$S, "SH And dev",$AC:$AC, "Review-1"))</f>
        <v/>
      </c>
      <c r="Z1557" s="7" t="str">
        <f>IF(ISBLANK(patch[[#This Row],[project]]), "",COUNTIFS($A:$A,patch[[#This Row],[number]],$S:$S, "BJ And dev",$AD:$AD, "&lt;&gt;IntegratorValidationComment"))</f>
        <v/>
      </c>
      <c r="AA1557" s="7" t="str">
        <f>IF(ISBLANK(patch[[#This Row],[project]]), "",COUNTIFS($A:$A,patch[[#This Row],[number]],$S:$S, "FL And dev",$AD:$AD, "&lt;&gt;IntegratorValidationComment"))</f>
        <v/>
      </c>
      <c r="AB1557" s="7" t="str">
        <f>IF(ISBLANK(patch[[#This Row],[project]]), "",COUNTIFS($A:$A,patch[[#This Row],[number]],$S:$S, "SH And dev",$AD:$AD, "&lt;&gt;IntegratorValidationComment"))</f>
        <v/>
      </c>
      <c r="AC1557" s="7" t="str">
        <f>IF(OR(ISNUMBER(FIND("Review-1", patch[[#This Row],[comments]])), ISNUMBER(FIND("Approver-1", patch[[#This Row],[comments]]))), "Review-1", "")</f>
        <v/>
      </c>
      <c r="AD15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557" s="7">
        <f>IF(ISBLANK(patch[[#This Row],[number]]),AE1556,patch[[#This Row],[ifCommon]])</f>
        <v>0</v>
      </c>
    </row>
    <row r="1558" spans="1:31">
      <c r="A1558" s="151">
        <v>144215</v>
      </c>
      <c r="B1558" s="151" t="s">
        <v>2490</v>
      </c>
      <c r="C1558" s="151" t="s">
        <v>2491</v>
      </c>
      <c r="D1558" s="151" t="s">
        <v>3304</v>
      </c>
      <c r="E1558" s="151" t="s">
        <v>72</v>
      </c>
      <c r="F1558" s="151" t="s">
        <v>23</v>
      </c>
      <c r="G1558" s="151" t="s">
        <v>3305</v>
      </c>
      <c r="H1558" s="151" t="s">
        <v>3306</v>
      </c>
      <c r="I1558" s="152">
        <v>42622.281898148147</v>
      </c>
      <c r="J1558" s="152">
        <v>42632.753553240742</v>
      </c>
      <c r="K1558" s="151" t="s">
        <v>2445</v>
      </c>
      <c r="L1558" s="151" t="s">
        <v>72</v>
      </c>
      <c r="M1558" s="152">
        <v>42622.281898148147</v>
      </c>
      <c r="N1558" s="151" t="s">
        <v>25</v>
      </c>
      <c r="O1558" s="151"/>
      <c r="P1558" s="151" t="s">
        <v>3370</v>
      </c>
      <c r="Q1558" s="7" t="str">
        <f>IF(ISBLANK(patch[[#This Row],[OwnerEmail]]),Q1557,patch[[#This Row],[OwnerEmail]])</f>
        <v>bin.b.yang@intel.com</v>
      </c>
      <c r="R1558" s="7" t="str">
        <f>_xlfn.IFNA(VLOOKUP(patch[[#This Row],[tmp-owner.email]],OrgTree!$A:$K, 11, 0), "not ICG SWFW")</f>
        <v>BJ And dev</v>
      </c>
      <c r="S1558" s="7" t="str">
        <f>IF(patch[[#This Row],[reviewer]]=patch[[#This Row],[tmp-owner.email]], "author", _xlfn.IFNA(VLOOKUP(patch[[#This Row],[reviewer]],OrgTree!$A:$K, 11, 0), "not ICG SWFW"))</f>
        <v>author</v>
      </c>
      <c r="T1558" s="7" t="str">
        <f>IF(ISBLANK(patch[[#This Row],[mergeDate]]), "", MID(YEAR(patch[[#This Row],[mergeDate]]), 3,2)&amp;"'ww"&amp;WEEKNUM(patch[[#This Row],[mergeDate]]))</f>
        <v>16'ww39</v>
      </c>
      <c r="U1558" s="7" t="str">
        <f>IF(ISBLANK(patch[[#This Row],[mergeDate]]), U1557, MID(YEAR(patch[[#This Row],[mergeDate]]), 3,2)&amp;"'m"&amp;MONTH(patch[[#This Row],[mergeDate]]))</f>
        <v>16'm9</v>
      </c>
      <c r="V1558" s="7">
        <f>IF(ISBLANK(patch[[#This Row],[project]]), "",SUM(patch[[#This Row],[BJ -1 num]:[SH -1 num]]))</f>
        <v>0</v>
      </c>
      <c r="W1558" s="7">
        <f>IF(ISBLANK(patch[[#This Row],[project]]), "",COUNTIFS($A:$A,patch[[#This Row],[number]],$S:$S, "BJ And dev",$AC:$AC, "Review-1"))</f>
        <v>0</v>
      </c>
      <c r="X1558" s="7">
        <f>IF(ISBLANK(patch[[#This Row],[project]]), "",COUNTIFS($A:$A,patch[[#This Row],[number]],$S:$S, "FL And dev",$AC:$AC, "Review-1"))</f>
        <v>0</v>
      </c>
      <c r="Y1558" s="7">
        <f>IF(ISBLANK(patch[[#This Row],[project]]), "",COUNTIFS($A:$A,patch[[#This Row],[number]],$S:$S, "SH And dev",$AC:$AC, "Review-1"))</f>
        <v>0</v>
      </c>
      <c r="Z1558" s="7">
        <f>IF(ISBLANK(patch[[#This Row],[project]]), "",COUNTIFS($A:$A,patch[[#This Row],[number]],$S:$S, "BJ And dev",$AD:$AD, "&lt;&gt;IntegratorValidationComment"))</f>
        <v>8</v>
      </c>
      <c r="AA1558" s="7">
        <f>IF(ISBLANK(patch[[#This Row],[project]]), "",COUNTIFS($A:$A,patch[[#This Row],[number]],$S:$S, "FL And dev",$AD:$AD, "&lt;&gt;IntegratorValidationComment"))</f>
        <v>0</v>
      </c>
      <c r="AB1558" s="7">
        <f>IF(ISBLANK(patch[[#This Row],[project]]), "",COUNTIFS($A:$A,patch[[#This Row],[number]],$S:$S, "SH And dev",$AD:$AD, "&lt;&gt;IntegratorValidationComment"))</f>
        <v>0</v>
      </c>
      <c r="AC1558" s="7" t="str">
        <f>IF(OR(ISNUMBER(FIND("Review-1", patch[[#This Row],[comments]])), ISNUMBER(FIND("Approver-1", patch[[#This Row],[comments]]))), "Review-1", "")</f>
        <v/>
      </c>
      <c r="AD15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58" s="7" t="str">
        <f>IF(ISBLANK(patch[[#This Row],[number]]),AE1557,patch[[#This Row],[ifCommon]])</f>
        <v>not AndrHAL</v>
      </c>
    </row>
    <row r="1559" spans="1:31">
      <c r="A1559" s="151">
        <v>144215</v>
      </c>
      <c r="B1559" s="151"/>
      <c r="C1559" s="151"/>
      <c r="D1559" s="151"/>
      <c r="E1559" s="151"/>
      <c r="F1559" s="151"/>
      <c r="G1559" s="151"/>
      <c r="H1559" s="151"/>
      <c r="I1559" s="151"/>
      <c r="J1559" s="152">
        <v>42632.753553240742</v>
      </c>
      <c r="K1559" s="151"/>
      <c r="L1559" s="151" t="s">
        <v>72</v>
      </c>
      <c r="M1559" s="152">
        <v>42622.281909722216</v>
      </c>
      <c r="N1559" s="151" t="s">
        <v>2428</v>
      </c>
      <c r="O1559" s="151"/>
      <c r="P1559" s="151"/>
      <c r="Q1559" s="7" t="str">
        <f>IF(ISBLANK(patch[[#This Row],[OwnerEmail]]),Q1558,patch[[#This Row],[OwnerEmail]])</f>
        <v>bin.b.yang@intel.com</v>
      </c>
      <c r="R1559" s="7" t="str">
        <f>_xlfn.IFNA(VLOOKUP(patch[[#This Row],[tmp-owner.email]],OrgTree!$A:$K, 11, 0), "not ICG SWFW")</f>
        <v>BJ And dev</v>
      </c>
      <c r="S1559" s="7" t="str">
        <f>IF(patch[[#This Row],[reviewer]]=patch[[#This Row],[tmp-owner.email]], "author", _xlfn.IFNA(VLOOKUP(patch[[#This Row],[reviewer]],OrgTree!$A:$K, 11, 0), "not ICG SWFW"))</f>
        <v>author</v>
      </c>
      <c r="T1559" s="7" t="str">
        <f>IF(ISBLANK(patch[[#This Row],[mergeDate]]), "", MID(YEAR(patch[[#This Row],[mergeDate]]), 3,2)&amp;"'ww"&amp;WEEKNUM(patch[[#This Row],[mergeDate]]))</f>
        <v>16'ww39</v>
      </c>
      <c r="U1559" s="7" t="str">
        <f>IF(ISBLANK(patch[[#This Row],[mergeDate]]), U1558, MID(YEAR(patch[[#This Row],[mergeDate]]), 3,2)&amp;"'m"&amp;MONTH(patch[[#This Row],[mergeDate]]))</f>
        <v>16'm9</v>
      </c>
      <c r="V1559" s="7" t="str">
        <f>IF(ISBLANK(patch[[#This Row],[project]]), "",SUM(patch[[#This Row],[BJ -1 num]:[SH -1 num]]))</f>
        <v/>
      </c>
      <c r="W1559" s="7" t="str">
        <f>IF(ISBLANK(patch[[#This Row],[project]]), "",COUNTIFS($A:$A,patch[[#This Row],[number]],$S:$S, "BJ And dev",$AC:$AC, "Review-1"))</f>
        <v/>
      </c>
      <c r="X1559" s="7" t="str">
        <f>IF(ISBLANK(patch[[#This Row],[project]]), "",COUNTIFS($A:$A,patch[[#This Row],[number]],$S:$S, "FL And dev",$AC:$AC, "Review-1"))</f>
        <v/>
      </c>
      <c r="Y1559" s="7" t="str">
        <f>IF(ISBLANK(patch[[#This Row],[project]]), "",COUNTIFS($A:$A,patch[[#This Row],[number]],$S:$S, "SH And dev",$AC:$AC, "Review-1"))</f>
        <v/>
      </c>
      <c r="Z1559" s="7" t="str">
        <f>IF(ISBLANK(patch[[#This Row],[project]]), "",COUNTIFS($A:$A,patch[[#This Row],[number]],$S:$S, "BJ And dev",$AD:$AD, "&lt;&gt;IntegratorValidationComment"))</f>
        <v/>
      </c>
      <c r="AA1559" s="7" t="str">
        <f>IF(ISBLANK(patch[[#This Row],[project]]), "",COUNTIFS($A:$A,patch[[#This Row],[number]],$S:$S, "FL And dev",$AD:$AD, "&lt;&gt;IntegratorValidationComment"))</f>
        <v/>
      </c>
      <c r="AB1559" s="7" t="str">
        <f>IF(ISBLANK(patch[[#This Row],[project]]), "",COUNTIFS($A:$A,patch[[#This Row],[number]],$S:$S, "SH And dev",$AD:$AD, "&lt;&gt;IntegratorValidationComment"))</f>
        <v/>
      </c>
      <c r="AC1559" s="7" t="str">
        <f>IF(OR(ISNUMBER(FIND("Review-1", patch[[#This Row],[comments]])), ISNUMBER(FIND("Approver-1", patch[[#This Row],[comments]]))), "Review-1", "")</f>
        <v/>
      </c>
      <c r="AD15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59" s="7">
        <f>IF(ISBLANK(patch[[#This Row],[number]]),AE1558,patch[[#This Row],[ifCommon]])</f>
        <v>0</v>
      </c>
    </row>
    <row r="1560" spans="1:31">
      <c r="A1560" s="151">
        <v>144215</v>
      </c>
      <c r="B1560" s="151"/>
      <c r="C1560" s="151"/>
      <c r="D1560" s="151"/>
      <c r="E1560" s="151"/>
      <c r="F1560" s="151"/>
      <c r="G1560" s="151"/>
      <c r="H1560" s="151"/>
      <c r="I1560" s="151"/>
      <c r="J1560" s="152">
        <v>42632.753553240742</v>
      </c>
      <c r="K1560" s="151"/>
      <c r="L1560" s="151" t="s">
        <v>3371</v>
      </c>
      <c r="M1560" s="152">
        <v>42622.286446759259</v>
      </c>
      <c r="N1560" s="151" t="s">
        <v>3372</v>
      </c>
      <c r="O1560" s="151"/>
      <c r="P1560" s="151"/>
      <c r="Q1560" s="7" t="str">
        <f>IF(ISBLANK(patch[[#This Row],[OwnerEmail]]),Q1559,patch[[#This Row],[OwnerEmail]])</f>
        <v>bin.b.yang@intel.com</v>
      </c>
      <c r="R1560" s="7" t="str">
        <f>_xlfn.IFNA(VLOOKUP(patch[[#This Row],[tmp-owner.email]],OrgTree!$A:$K, 11, 0), "not ICG SWFW")</f>
        <v>BJ And dev</v>
      </c>
      <c r="S1560" s="7" t="str">
        <f>IF(patch[[#This Row],[reviewer]]=patch[[#This Row],[tmp-owner.email]], "author", _xlfn.IFNA(VLOOKUP(patch[[#This Row],[reviewer]],OrgTree!$A:$K, 11, 0), "not ICG SWFW"))</f>
        <v>not ICG SWFW</v>
      </c>
      <c r="T1560" s="7" t="str">
        <f>IF(ISBLANK(patch[[#This Row],[mergeDate]]), "", MID(YEAR(patch[[#This Row],[mergeDate]]), 3,2)&amp;"'ww"&amp;WEEKNUM(patch[[#This Row],[mergeDate]]))</f>
        <v>16'ww39</v>
      </c>
      <c r="U1560" s="7" t="str">
        <f>IF(ISBLANK(patch[[#This Row],[mergeDate]]), U1559, MID(YEAR(patch[[#This Row],[mergeDate]]), 3,2)&amp;"'m"&amp;MONTH(patch[[#This Row],[mergeDate]]))</f>
        <v>16'm9</v>
      </c>
      <c r="V1560" s="7" t="str">
        <f>IF(ISBLANK(patch[[#This Row],[project]]), "",SUM(patch[[#This Row],[BJ -1 num]:[SH -1 num]]))</f>
        <v/>
      </c>
      <c r="W1560" s="7" t="str">
        <f>IF(ISBLANK(patch[[#This Row],[project]]), "",COUNTIFS($A:$A,patch[[#This Row],[number]],$S:$S, "BJ And dev",$AC:$AC, "Review-1"))</f>
        <v/>
      </c>
      <c r="X1560" s="7" t="str">
        <f>IF(ISBLANK(patch[[#This Row],[project]]), "",COUNTIFS($A:$A,patch[[#This Row],[number]],$S:$S, "FL And dev",$AC:$AC, "Review-1"))</f>
        <v/>
      </c>
      <c r="Y1560" s="7" t="str">
        <f>IF(ISBLANK(patch[[#This Row],[project]]), "",COUNTIFS($A:$A,patch[[#This Row],[number]],$S:$S, "SH And dev",$AC:$AC, "Review-1"))</f>
        <v/>
      </c>
      <c r="Z1560" s="7" t="str">
        <f>IF(ISBLANK(patch[[#This Row],[project]]), "",COUNTIFS($A:$A,patch[[#This Row],[number]],$S:$S, "BJ And dev",$AD:$AD, "&lt;&gt;IntegratorValidationComment"))</f>
        <v/>
      </c>
      <c r="AA1560" s="7" t="str">
        <f>IF(ISBLANK(patch[[#This Row],[project]]), "",COUNTIFS($A:$A,patch[[#This Row],[number]],$S:$S, "FL And dev",$AD:$AD, "&lt;&gt;IntegratorValidationComment"))</f>
        <v/>
      </c>
      <c r="AB1560" s="7" t="str">
        <f>IF(ISBLANK(patch[[#This Row],[project]]), "",COUNTIFS($A:$A,patch[[#This Row],[number]],$S:$S, "SH And dev",$AD:$AD, "&lt;&gt;IntegratorValidationComment"))</f>
        <v/>
      </c>
      <c r="AC1560" s="7" t="str">
        <f>IF(OR(ISNUMBER(FIND("Review-1", patch[[#This Row],[comments]])), ISNUMBER(FIND("Approver-1", patch[[#This Row],[comments]]))), "Review-1", "")</f>
        <v/>
      </c>
      <c r="AD15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60" s="7">
        <f>IF(ISBLANK(patch[[#This Row],[number]]),AE1559,patch[[#This Row],[ifCommon]])</f>
        <v>0</v>
      </c>
    </row>
    <row r="1561" spans="1:31">
      <c r="A1561" s="151">
        <v>144215</v>
      </c>
      <c r="B1561" s="151"/>
      <c r="C1561" s="151"/>
      <c r="D1561" s="151"/>
      <c r="E1561" s="151"/>
      <c r="F1561" s="151"/>
      <c r="G1561" s="151"/>
      <c r="H1561" s="151"/>
      <c r="I1561" s="151"/>
      <c r="J1561" s="152">
        <v>42632.753553240742</v>
      </c>
      <c r="K1561" s="151"/>
      <c r="L1561" s="151" t="s">
        <v>59</v>
      </c>
      <c r="M1561" s="152">
        <v>42622.37740740741</v>
      </c>
      <c r="N1561" s="151" t="s">
        <v>3373</v>
      </c>
      <c r="O1561" s="151"/>
      <c r="P1561" s="151"/>
      <c r="Q1561" s="7" t="str">
        <f>IF(ISBLANK(patch[[#This Row],[OwnerEmail]]),Q1560,patch[[#This Row],[OwnerEmail]])</f>
        <v>bin.b.yang@intel.com</v>
      </c>
      <c r="R1561" s="7" t="str">
        <f>_xlfn.IFNA(VLOOKUP(patch[[#This Row],[tmp-owner.email]],OrgTree!$A:$K, 11, 0), "not ICG SWFW")</f>
        <v>BJ And dev</v>
      </c>
      <c r="S1561" s="7" t="str">
        <f>IF(patch[[#This Row],[reviewer]]=patch[[#This Row],[tmp-owner.email]], "author", _xlfn.IFNA(VLOOKUP(patch[[#This Row],[reviewer]],OrgTree!$A:$K, 11, 0), "not ICG SWFW"))</f>
        <v>BJ And dev</v>
      </c>
      <c r="T1561" s="7" t="str">
        <f>IF(ISBLANK(patch[[#This Row],[mergeDate]]), "", MID(YEAR(patch[[#This Row],[mergeDate]]), 3,2)&amp;"'ww"&amp;WEEKNUM(patch[[#This Row],[mergeDate]]))</f>
        <v>16'ww39</v>
      </c>
      <c r="U1561" s="7" t="str">
        <f>IF(ISBLANK(patch[[#This Row],[mergeDate]]), U1560, MID(YEAR(patch[[#This Row],[mergeDate]]), 3,2)&amp;"'m"&amp;MONTH(patch[[#This Row],[mergeDate]]))</f>
        <v>16'm9</v>
      </c>
      <c r="V1561" s="7" t="str">
        <f>IF(ISBLANK(patch[[#This Row],[project]]), "",SUM(patch[[#This Row],[BJ -1 num]:[SH -1 num]]))</f>
        <v/>
      </c>
      <c r="W1561" s="7" t="str">
        <f>IF(ISBLANK(patch[[#This Row],[project]]), "",COUNTIFS($A:$A,patch[[#This Row],[number]],$S:$S, "BJ And dev",$AC:$AC, "Review-1"))</f>
        <v/>
      </c>
      <c r="X1561" s="7" t="str">
        <f>IF(ISBLANK(patch[[#This Row],[project]]), "",COUNTIFS($A:$A,patch[[#This Row],[number]],$S:$S, "FL And dev",$AC:$AC, "Review-1"))</f>
        <v/>
      </c>
      <c r="Y1561" s="7" t="str">
        <f>IF(ISBLANK(patch[[#This Row],[project]]), "",COUNTIFS($A:$A,patch[[#This Row],[number]],$S:$S, "SH And dev",$AC:$AC, "Review-1"))</f>
        <v/>
      </c>
      <c r="Z1561" s="7" t="str">
        <f>IF(ISBLANK(patch[[#This Row],[project]]), "",COUNTIFS($A:$A,patch[[#This Row],[number]],$S:$S, "BJ And dev",$AD:$AD, "&lt;&gt;IntegratorValidationComment"))</f>
        <v/>
      </c>
      <c r="AA1561" s="7" t="str">
        <f>IF(ISBLANK(patch[[#This Row],[project]]), "",COUNTIFS($A:$A,patch[[#This Row],[number]],$S:$S, "FL And dev",$AD:$AD, "&lt;&gt;IntegratorValidationComment"))</f>
        <v/>
      </c>
      <c r="AB1561" s="7" t="str">
        <f>IF(ISBLANK(patch[[#This Row],[project]]), "",COUNTIFS($A:$A,patch[[#This Row],[number]],$S:$S, "SH And dev",$AD:$AD, "&lt;&gt;IntegratorValidationComment"))</f>
        <v/>
      </c>
      <c r="AC1561" s="7" t="str">
        <f>IF(OR(ISNUMBER(FIND("Review-1", patch[[#This Row],[comments]])), ISNUMBER(FIND("Approver-1", patch[[#This Row],[comments]]))), "Review-1", "")</f>
        <v/>
      </c>
      <c r="AD15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61" s="7">
        <f>IF(ISBLANK(patch[[#This Row],[number]]),AE1560,patch[[#This Row],[ifCommon]])</f>
        <v>0</v>
      </c>
    </row>
    <row r="1562" spans="1:31">
      <c r="A1562" s="151">
        <v>144215</v>
      </c>
      <c r="B1562" s="151"/>
      <c r="C1562" s="151"/>
      <c r="D1562" s="151"/>
      <c r="E1562" s="151"/>
      <c r="F1562" s="151"/>
      <c r="G1562" s="151"/>
      <c r="H1562" s="151"/>
      <c r="I1562" s="151"/>
      <c r="J1562" s="152">
        <v>42632.753553240742</v>
      </c>
      <c r="K1562" s="151"/>
      <c r="L1562" s="151" t="s">
        <v>59</v>
      </c>
      <c r="M1562" s="152">
        <v>42622.383888888893</v>
      </c>
      <c r="N1562" s="151" t="s">
        <v>3374</v>
      </c>
      <c r="O1562" s="151"/>
      <c r="P1562" s="151"/>
      <c r="Q1562" s="7" t="str">
        <f>IF(ISBLANK(patch[[#This Row],[OwnerEmail]]),Q1561,patch[[#This Row],[OwnerEmail]])</f>
        <v>bin.b.yang@intel.com</v>
      </c>
      <c r="R1562" s="7" t="str">
        <f>_xlfn.IFNA(VLOOKUP(patch[[#This Row],[tmp-owner.email]],OrgTree!$A:$K, 11, 0), "not ICG SWFW")</f>
        <v>BJ And dev</v>
      </c>
      <c r="S1562" s="7" t="str">
        <f>IF(patch[[#This Row],[reviewer]]=patch[[#This Row],[tmp-owner.email]], "author", _xlfn.IFNA(VLOOKUP(patch[[#This Row],[reviewer]],OrgTree!$A:$K, 11, 0), "not ICG SWFW"))</f>
        <v>BJ And dev</v>
      </c>
      <c r="T1562" s="7" t="str">
        <f>IF(ISBLANK(patch[[#This Row],[mergeDate]]), "", MID(YEAR(patch[[#This Row],[mergeDate]]), 3,2)&amp;"'ww"&amp;WEEKNUM(patch[[#This Row],[mergeDate]]))</f>
        <v>16'ww39</v>
      </c>
      <c r="U1562" s="7" t="str">
        <f>IF(ISBLANK(patch[[#This Row],[mergeDate]]), U1561, MID(YEAR(patch[[#This Row],[mergeDate]]), 3,2)&amp;"'m"&amp;MONTH(patch[[#This Row],[mergeDate]]))</f>
        <v>16'm9</v>
      </c>
      <c r="V1562" s="7" t="str">
        <f>IF(ISBLANK(patch[[#This Row],[project]]), "",SUM(patch[[#This Row],[BJ -1 num]:[SH -1 num]]))</f>
        <v/>
      </c>
      <c r="W1562" s="7" t="str">
        <f>IF(ISBLANK(patch[[#This Row],[project]]), "",COUNTIFS($A:$A,patch[[#This Row],[number]],$S:$S, "BJ And dev",$AC:$AC, "Review-1"))</f>
        <v/>
      </c>
      <c r="X1562" s="7" t="str">
        <f>IF(ISBLANK(patch[[#This Row],[project]]), "",COUNTIFS($A:$A,patch[[#This Row],[number]],$S:$S, "FL And dev",$AC:$AC, "Review-1"))</f>
        <v/>
      </c>
      <c r="Y1562" s="7" t="str">
        <f>IF(ISBLANK(patch[[#This Row],[project]]), "",COUNTIFS($A:$A,patch[[#This Row],[number]],$S:$S, "SH And dev",$AC:$AC, "Review-1"))</f>
        <v/>
      </c>
      <c r="Z1562" s="7" t="str">
        <f>IF(ISBLANK(patch[[#This Row],[project]]), "",COUNTIFS($A:$A,patch[[#This Row],[number]],$S:$S, "BJ And dev",$AD:$AD, "&lt;&gt;IntegratorValidationComment"))</f>
        <v/>
      </c>
      <c r="AA1562" s="7" t="str">
        <f>IF(ISBLANK(patch[[#This Row],[project]]), "",COUNTIFS($A:$A,patch[[#This Row],[number]],$S:$S, "FL And dev",$AD:$AD, "&lt;&gt;IntegratorValidationComment"))</f>
        <v/>
      </c>
      <c r="AB1562" s="7" t="str">
        <f>IF(ISBLANK(patch[[#This Row],[project]]), "",COUNTIFS($A:$A,patch[[#This Row],[number]],$S:$S, "SH And dev",$AD:$AD, "&lt;&gt;IntegratorValidationComment"))</f>
        <v/>
      </c>
      <c r="AC1562" s="7" t="str">
        <f>IF(OR(ISNUMBER(FIND("Review-1", patch[[#This Row],[comments]])), ISNUMBER(FIND("Approver-1", patch[[#This Row],[comments]]))), "Review-1", "")</f>
        <v/>
      </c>
      <c r="AD15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62" s="7">
        <f>IF(ISBLANK(patch[[#This Row],[number]]),AE1561,patch[[#This Row],[ifCommon]])</f>
        <v>0</v>
      </c>
    </row>
    <row r="1563" spans="1:31">
      <c r="A1563" s="151">
        <v>144215</v>
      </c>
      <c r="B1563" s="151"/>
      <c r="C1563" s="151"/>
      <c r="D1563" s="151"/>
      <c r="E1563" s="151"/>
      <c r="F1563" s="151"/>
      <c r="G1563" s="151"/>
      <c r="H1563" s="151"/>
      <c r="I1563" s="151"/>
      <c r="J1563" s="152">
        <v>42632.753553240742</v>
      </c>
      <c r="K1563" s="151"/>
      <c r="L1563" s="151" t="s">
        <v>32</v>
      </c>
      <c r="M1563" s="152">
        <v>42622.465115740742</v>
      </c>
      <c r="N1563" s="151" t="s">
        <v>40</v>
      </c>
      <c r="O1563" s="151"/>
      <c r="P1563" s="151"/>
      <c r="Q1563" s="7" t="str">
        <f>IF(ISBLANK(patch[[#This Row],[OwnerEmail]]),Q1562,patch[[#This Row],[OwnerEmail]])</f>
        <v>bin.b.yang@intel.com</v>
      </c>
      <c r="R1563" s="7" t="str">
        <f>_xlfn.IFNA(VLOOKUP(patch[[#This Row],[tmp-owner.email]],OrgTree!$A:$K, 11, 0), "not ICG SWFW")</f>
        <v>BJ And dev</v>
      </c>
      <c r="S1563" s="7" t="str">
        <f>IF(patch[[#This Row],[reviewer]]=patch[[#This Row],[tmp-owner.email]], "author", _xlfn.IFNA(VLOOKUP(patch[[#This Row],[reviewer]],OrgTree!$A:$K, 11, 0), "not ICG SWFW"))</f>
        <v>BJ And dev</v>
      </c>
      <c r="T1563" s="7" t="str">
        <f>IF(ISBLANK(patch[[#This Row],[mergeDate]]), "", MID(YEAR(patch[[#This Row],[mergeDate]]), 3,2)&amp;"'ww"&amp;WEEKNUM(patch[[#This Row],[mergeDate]]))</f>
        <v>16'ww39</v>
      </c>
      <c r="U1563" s="7" t="str">
        <f>IF(ISBLANK(patch[[#This Row],[mergeDate]]), U1562, MID(YEAR(patch[[#This Row],[mergeDate]]), 3,2)&amp;"'m"&amp;MONTH(patch[[#This Row],[mergeDate]]))</f>
        <v>16'm9</v>
      </c>
      <c r="V1563" s="7" t="str">
        <f>IF(ISBLANK(patch[[#This Row],[project]]), "",SUM(patch[[#This Row],[BJ -1 num]:[SH -1 num]]))</f>
        <v/>
      </c>
      <c r="W1563" s="7" t="str">
        <f>IF(ISBLANK(patch[[#This Row],[project]]), "",COUNTIFS($A:$A,patch[[#This Row],[number]],$S:$S, "BJ And dev",$AC:$AC, "Review-1"))</f>
        <v/>
      </c>
      <c r="X1563" s="7" t="str">
        <f>IF(ISBLANK(patch[[#This Row],[project]]), "",COUNTIFS($A:$A,patch[[#This Row],[number]],$S:$S, "FL And dev",$AC:$AC, "Review-1"))</f>
        <v/>
      </c>
      <c r="Y1563" s="7" t="str">
        <f>IF(ISBLANK(patch[[#This Row],[project]]), "",COUNTIFS($A:$A,patch[[#This Row],[number]],$S:$S, "SH And dev",$AC:$AC, "Review-1"))</f>
        <v/>
      </c>
      <c r="Z1563" s="7" t="str">
        <f>IF(ISBLANK(patch[[#This Row],[project]]), "",COUNTIFS($A:$A,patch[[#This Row],[number]],$S:$S, "BJ And dev",$AD:$AD, "&lt;&gt;IntegratorValidationComment"))</f>
        <v/>
      </c>
      <c r="AA1563" s="7" t="str">
        <f>IF(ISBLANK(patch[[#This Row],[project]]), "",COUNTIFS($A:$A,patch[[#This Row],[number]],$S:$S, "FL And dev",$AD:$AD, "&lt;&gt;IntegratorValidationComment"))</f>
        <v/>
      </c>
      <c r="AB1563" s="7" t="str">
        <f>IF(ISBLANK(patch[[#This Row],[project]]), "",COUNTIFS($A:$A,patch[[#This Row],[number]],$S:$S, "SH And dev",$AD:$AD, "&lt;&gt;IntegratorValidationComment"))</f>
        <v/>
      </c>
      <c r="AC1563" s="7" t="str">
        <f>IF(OR(ISNUMBER(FIND("Review-1", patch[[#This Row],[comments]])), ISNUMBER(FIND("Approver-1", patch[[#This Row],[comments]]))), "Review-1", "")</f>
        <v/>
      </c>
      <c r="AD15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63" s="7">
        <f>IF(ISBLANK(patch[[#This Row],[number]]),AE1562,patch[[#This Row],[ifCommon]])</f>
        <v>0</v>
      </c>
    </row>
    <row r="1564" spans="1:31">
      <c r="A1564" s="151">
        <v>144215</v>
      </c>
      <c r="B1564" s="151"/>
      <c r="C1564" s="151"/>
      <c r="D1564" s="151"/>
      <c r="E1564" s="151"/>
      <c r="F1564" s="151"/>
      <c r="G1564" s="151"/>
      <c r="H1564" s="151"/>
      <c r="I1564" s="151"/>
      <c r="J1564" s="152">
        <v>42632.753553240742</v>
      </c>
      <c r="K1564" s="151"/>
      <c r="L1564" s="151" t="s">
        <v>1237</v>
      </c>
      <c r="M1564" s="152">
        <v>42622.572777777779</v>
      </c>
      <c r="N1564" s="151" t="s">
        <v>40</v>
      </c>
      <c r="O1564" s="151"/>
      <c r="P1564" s="151"/>
      <c r="Q1564" s="7" t="str">
        <f>IF(ISBLANK(patch[[#This Row],[OwnerEmail]]),Q1563,patch[[#This Row],[OwnerEmail]])</f>
        <v>bin.b.yang@intel.com</v>
      </c>
      <c r="R1564" s="7" t="str">
        <f>_xlfn.IFNA(VLOOKUP(patch[[#This Row],[tmp-owner.email]],OrgTree!$A:$K, 11, 0), "not ICG SWFW")</f>
        <v>BJ And dev</v>
      </c>
      <c r="S1564" s="7" t="str">
        <f>IF(patch[[#This Row],[reviewer]]=patch[[#This Row],[tmp-owner.email]], "author", _xlfn.IFNA(VLOOKUP(patch[[#This Row],[reviewer]],OrgTree!$A:$K, 11, 0), "not ICG SWFW"))</f>
        <v>BJ And dev</v>
      </c>
      <c r="T1564" s="7" t="str">
        <f>IF(ISBLANK(patch[[#This Row],[mergeDate]]), "", MID(YEAR(patch[[#This Row],[mergeDate]]), 3,2)&amp;"'ww"&amp;WEEKNUM(patch[[#This Row],[mergeDate]]))</f>
        <v>16'ww39</v>
      </c>
      <c r="U1564" s="7" t="str">
        <f>IF(ISBLANK(patch[[#This Row],[mergeDate]]), U1563, MID(YEAR(patch[[#This Row],[mergeDate]]), 3,2)&amp;"'m"&amp;MONTH(patch[[#This Row],[mergeDate]]))</f>
        <v>16'm9</v>
      </c>
      <c r="V1564" s="7" t="str">
        <f>IF(ISBLANK(patch[[#This Row],[project]]), "",SUM(patch[[#This Row],[BJ -1 num]:[SH -1 num]]))</f>
        <v/>
      </c>
      <c r="W1564" s="7" t="str">
        <f>IF(ISBLANK(patch[[#This Row],[project]]), "",COUNTIFS($A:$A,patch[[#This Row],[number]],$S:$S, "BJ And dev",$AC:$AC, "Review-1"))</f>
        <v/>
      </c>
      <c r="X1564" s="7" t="str">
        <f>IF(ISBLANK(patch[[#This Row],[project]]), "",COUNTIFS($A:$A,patch[[#This Row],[number]],$S:$S, "FL And dev",$AC:$AC, "Review-1"))</f>
        <v/>
      </c>
      <c r="Y1564" s="7" t="str">
        <f>IF(ISBLANK(patch[[#This Row],[project]]), "",COUNTIFS($A:$A,patch[[#This Row],[number]],$S:$S, "SH And dev",$AC:$AC, "Review-1"))</f>
        <v/>
      </c>
      <c r="Z1564" s="7" t="str">
        <f>IF(ISBLANK(patch[[#This Row],[project]]), "",COUNTIFS($A:$A,patch[[#This Row],[number]],$S:$S, "BJ And dev",$AD:$AD, "&lt;&gt;IntegratorValidationComment"))</f>
        <v/>
      </c>
      <c r="AA1564" s="7" t="str">
        <f>IF(ISBLANK(patch[[#This Row],[project]]), "",COUNTIFS($A:$A,patch[[#This Row],[number]],$S:$S, "FL And dev",$AD:$AD, "&lt;&gt;IntegratorValidationComment"))</f>
        <v/>
      </c>
      <c r="AB1564" s="7" t="str">
        <f>IF(ISBLANK(patch[[#This Row],[project]]), "",COUNTIFS($A:$A,patch[[#This Row],[number]],$S:$S, "SH And dev",$AD:$AD, "&lt;&gt;IntegratorValidationComment"))</f>
        <v/>
      </c>
      <c r="AC1564" s="7" t="str">
        <f>IF(OR(ISNUMBER(FIND("Review-1", patch[[#This Row],[comments]])), ISNUMBER(FIND("Approver-1", patch[[#This Row],[comments]]))), "Review-1", "")</f>
        <v/>
      </c>
      <c r="AD15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64" s="7">
        <f>IF(ISBLANK(patch[[#This Row],[number]]),AE1563,patch[[#This Row],[ifCommon]])</f>
        <v>0</v>
      </c>
    </row>
    <row r="1565" spans="1:31">
      <c r="A1565" s="151">
        <v>144215</v>
      </c>
      <c r="B1565" s="151"/>
      <c r="C1565" s="151"/>
      <c r="D1565" s="151"/>
      <c r="E1565" s="151"/>
      <c r="F1565" s="151"/>
      <c r="G1565" s="151"/>
      <c r="H1565" s="151"/>
      <c r="I1565" s="151"/>
      <c r="J1565" s="152">
        <v>42632.753553240742</v>
      </c>
      <c r="K1565" s="151"/>
      <c r="L1565" s="151" t="s">
        <v>59</v>
      </c>
      <c r="M1565" s="152">
        <v>42625.749814814822</v>
      </c>
      <c r="N1565" s="151" t="s">
        <v>1880</v>
      </c>
      <c r="O1565" s="151"/>
      <c r="P1565" s="151"/>
      <c r="Q1565" s="7" t="str">
        <f>IF(ISBLANK(patch[[#This Row],[OwnerEmail]]),Q1564,patch[[#This Row],[OwnerEmail]])</f>
        <v>bin.b.yang@intel.com</v>
      </c>
      <c r="R1565" s="7" t="str">
        <f>_xlfn.IFNA(VLOOKUP(patch[[#This Row],[tmp-owner.email]],OrgTree!$A:$K, 11, 0), "not ICG SWFW")</f>
        <v>BJ And dev</v>
      </c>
      <c r="S1565" s="7" t="str">
        <f>IF(patch[[#This Row],[reviewer]]=patch[[#This Row],[tmp-owner.email]], "author", _xlfn.IFNA(VLOOKUP(patch[[#This Row],[reviewer]],OrgTree!$A:$K, 11, 0), "not ICG SWFW"))</f>
        <v>BJ And dev</v>
      </c>
      <c r="T1565" s="7" t="str">
        <f>IF(ISBLANK(patch[[#This Row],[mergeDate]]), "", MID(YEAR(patch[[#This Row],[mergeDate]]), 3,2)&amp;"'ww"&amp;WEEKNUM(patch[[#This Row],[mergeDate]]))</f>
        <v>16'ww39</v>
      </c>
      <c r="U1565" s="7" t="str">
        <f>IF(ISBLANK(patch[[#This Row],[mergeDate]]), U1564, MID(YEAR(patch[[#This Row],[mergeDate]]), 3,2)&amp;"'m"&amp;MONTH(patch[[#This Row],[mergeDate]]))</f>
        <v>16'm9</v>
      </c>
      <c r="V1565" s="7" t="str">
        <f>IF(ISBLANK(patch[[#This Row],[project]]), "",SUM(patch[[#This Row],[BJ -1 num]:[SH -1 num]]))</f>
        <v/>
      </c>
      <c r="W1565" s="7" t="str">
        <f>IF(ISBLANK(patch[[#This Row],[project]]), "",COUNTIFS($A:$A,patch[[#This Row],[number]],$S:$S, "BJ And dev",$AC:$AC, "Review-1"))</f>
        <v/>
      </c>
      <c r="X1565" s="7" t="str">
        <f>IF(ISBLANK(patch[[#This Row],[project]]), "",COUNTIFS($A:$A,patch[[#This Row],[number]],$S:$S, "FL And dev",$AC:$AC, "Review-1"))</f>
        <v/>
      </c>
      <c r="Y1565" s="7" t="str">
        <f>IF(ISBLANK(patch[[#This Row],[project]]), "",COUNTIFS($A:$A,patch[[#This Row],[number]],$S:$S, "SH And dev",$AC:$AC, "Review-1"))</f>
        <v/>
      </c>
      <c r="Z1565" s="7" t="str">
        <f>IF(ISBLANK(patch[[#This Row],[project]]), "",COUNTIFS($A:$A,patch[[#This Row],[number]],$S:$S, "BJ And dev",$AD:$AD, "&lt;&gt;IntegratorValidationComment"))</f>
        <v/>
      </c>
      <c r="AA1565" s="7" t="str">
        <f>IF(ISBLANK(patch[[#This Row],[project]]), "",COUNTIFS($A:$A,patch[[#This Row],[number]],$S:$S, "FL And dev",$AD:$AD, "&lt;&gt;IntegratorValidationComment"))</f>
        <v/>
      </c>
      <c r="AB1565" s="7" t="str">
        <f>IF(ISBLANK(patch[[#This Row],[project]]), "",COUNTIFS($A:$A,patch[[#This Row],[number]],$S:$S, "SH And dev",$AD:$AD, "&lt;&gt;IntegratorValidationComment"))</f>
        <v/>
      </c>
      <c r="AC1565" s="7" t="str">
        <f>IF(OR(ISNUMBER(FIND("Review-1", patch[[#This Row],[comments]])), ISNUMBER(FIND("Approver-1", patch[[#This Row],[comments]]))), "Review-1", "")</f>
        <v/>
      </c>
      <c r="AD15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65" s="7">
        <f>IF(ISBLANK(patch[[#This Row],[number]]),AE1564,patch[[#This Row],[ifCommon]])</f>
        <v>0</v>
      </c>
    </row>
    <row r="1566" spans="1:31">
      <c r="A1566" s="151">
        <v>144215</v>
      </c>
      <c r="B1566" s="151"/>
      <c r="C1566" s="151"/>
      <c r="D1566" s="151"/>
      <c r="E1566" s="151"/>
      <c r="F1566" s="151"/>
      <c r="G1566" s="151"/>
      <c r="H1566" s="151"/>
      <c r="I1566" s="151"/>
      <c r="J1566" s="152">
        <v>42632.753553240742</v>
      </c>
      <c r="K1566" s="151"/>
      <c r="L1566" s="151" t="s">
        <v>115</v>
      </c>
      <c r="M1566" s="152">
        <v>42626.430381944447</v>
      </c>
      <c r="N1566" s="151" t="s">
        <v>2494</v>
      </c>
      <c r="O1566" s="151"/>
      <c r="P1566" s="151"/>
      <c r="Q1566" s="7" t="str">
        <f>IF(ISBLANK(patch[[#This Row],[OwnerEmail]]),Q1565,patch[[#This Row],[OwnerEmail]])</f>
        <v>bin.b.yang@intel.com</v>
      </c>
      <c r="R1566" s="7" t="str">
        <f>_xlfn.IFNA(VLOOKUP(patch[[#This Row],[tmp-owner.email]],OrgTree!$A:$K, 11, 0), "not ICG SWFW")</f>
        <v>BJ And dev</v>
      </c>
      <c r="S1566" s="7" t="str">
        <f>IF(patch[[#This Row],[reviewer]]=patch[[#This Row],[tmp-owner.email]], "author", _xlfn.IFNA(VLOOKUP(patch[[#This Row],[reviewer]],OrgTree!$A:$K, 11, 0), "not ICG SWFW"))</f>
        <v>Val</v>
      </c>
      <c r="T1566" s="7" t="str">
        <f>IF(ISBLANK(patch[[#This Row],[mergeDate]]), "", MID(YEAR(patch[[#This Row],[mergeDate]]), 3,2)&amp;"'ww"&amp;WEEKNUM(patch[[#This Row],[mergeDate]]))</f>
        <v>16'ww39</v>
      </c>
      <c r="U1566" s="7" t="str">
        <f>IF(ISBLANK(patch[[#This Row],[mergeDate]]), U1565, MID(YEAR(patch[[#This Row],[mergeDate]]), 3,2)&amp;"'m"&amp;MONTH(patch[[#This Row],[mergeDate]]))</f>
        <v>16'm9</v>
      </c>
      <c r="V1566" s="7" t="str">
        <f>IF(ISBLANK(patch[[#This Row],[project]]), "",SUM(patch[[#This Row],[BJ -1 num]:[SH -1 num]]))</f>
        <v/>
      </c>
      <c r="W1566" s="7" t="str">
        <f>IF(ISBLANK(patch[[#This Row],[project]]), "",COUNTIFS($A:$A,patch[[#This Row],[number]],$S:$S, "BJ And dev",$AC:$AC, "Review-1"))</f>
        <v/>
      </c>
      <c r="X1566" s="7" t="str">
        <f>IF(ISBLANK(patch[[#This Row],[project]]), "",COUNTIFS($A:$A,patch[[#This Row],[number]],$S:$S, "FL And dev",$AC:$AC, "Review-1"))</f>
        <v/>
      </c>
      <c r="Y1566" s="7" t="str">
        <f>IF(ISBLANK(patch[[#This Row],[project]]), "",COUNTIFS($A:$A,patch[[#This Row],[number]],$S:$S, "SH And dev",$AC:$AC, "Review-1"))</f>
        <v/>
      </c>
      <c r="Z1566" s="7" t="str">
        <f>IF(ISBLANK(patch[[#This Row],[project]]), "",COUNTIFS($A:$A,patch[[#This Row],[number]],$S:$S, "BJ And dev",$AD:$AD, "&lt;&gt;IntegratorValidationComment"))</f>
        <v/>
      </c>
      <c r="AA1566" s="7" t="str">
        <f>IF(ISBLANK(patch[[#This Row],[project]]), "",COUNTIFS($A:$A,patch[[#This Row],[number]],$S:$S, "FL And dev",$AD:$AD, "&lt;&gt;IntegratorValidationComment"))</f>
        <v/>
      </c>
      <c r="AB1566" s="7" t="str">
        <f>IF(ISBLANK(patch[[#This Row],[project]]), "",COUNTIFS($A:$A,patch[[#This Row],[number]],$S:$S, "SH And dev",$AD:$AD, "&lt;&gt;IntegratorValidationComment"))</f>
        <v/>
      </c>
      <c r="AC1566" s="7" t="str">
        <f>IF(OR(ISNUMBER(FIND("Review-1", patch[[#This Row],[comments]])), ISNUMBER(FIND("Approver-1", patch[[#This Row],[comments]]))), "Review-1", "")</f>
        <v/>
      </c>
      <c r="AD15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566" s="7">
        <f>IF(ISBLANK(patch[[#This Row],[number]]),AE1565,patch[[#This Row],[ifCommon]])</f>
        <v>0</v>
      </c>
    </row>
    <row r="1567" spans="1:31">
      <c r="A1567" s="151">
        <v>144215</v>
      </c>
      <c r="B1567" s="151"/>
      <c r="C1567" s="151"/>
      <c r="D1567" s="151"/>
      <c r="E1567" s="151"/>
      <c r="F1567" s="151"/>
      <c r="G1567" s="151"/>
      <c r="H1567" s="151"/>
      <c r="I1567" s="151"/>
      <c r="J1567" s="152">
        <v>42632.753553240742</v>
      </c>
      <c r="K1567" s="151"/>
      <c r="L1567" s="151" t="s">
        <v>72</v>
      </c>
      <c r="M1567" s="152">
        <v>42626.433391203696</v>
      </c>
      <c r="N1567" s="151" t="s">
        <v>3375</v>
      </c>
      <c r="O1567" s="151"/>
      <c r="P1567" s="151"/>
      <c r="Q1567" s="7" t="str">
        <f>IF(ISBLANK(patch[[#This Row],[OwnerEmail]]),Q1566,patch[[#This Row],[OwnerEmail]])</f>
        <v>bin.b.yang@intel.com</v>
      </c>
      <c r="R1567" s="7" t="str">
        <f>_xlfn.IFNA(VLOOKUP(patch[[#This Row],[tmp-owner.email]],OrgTree!$A:$K, 11, 0), "not ICG SWFW")</f>
        <v>BJ And dev</v>
      </c>
      <c r="S1567" s="7" t="str">
        <f>IF(patch[[#This Row],[reviewer]]=patch[[#This Row],[tmp-owner.email]], "author", _xlfn.IFNA(VLOOKUP(patch[[#This Row],[reviewer]],OrgTree!$A:$K, 11, 0), "not ICG SWFW"))</f>
        <v>author</v>
      </c>
      <c r="T1567" s="7" t="str">
        <f>IF(ISBLANK(patch[[#This Row],[mergeDate]]), "", MID(YEAR(patch[[#This Row],[mergeDate]]), 3,2)&amp;"'ww"&amp;WEEKNUM(patch[[#This Row],[mergeDate]]))</f>
        <v>16'ww39</v>
      </c>
      <c r="U1567" s="7" t="str">
        <f>IF(ISBLANK(patch[[#This Row],[mergeDate]]), U1566, MID(YEAR(patch[[#This Row],[mergeDate]]), 3,2)&amp;"'m"&amp;MONTH(patch[[#This Row],[mergeDate]]))</f>
        <v>16'm9</v>
      </c>
      <c r="V1567" s="7" t="str">
        <f>IF(ISBLANK(patch[[#This Row],[project]]), "",SUM(patch[[#This Row],[BJ -1 num]:[SH -1 num]]))</f>
        <v/>
      </c>
      <c r="W1567" s="7" t="str">
        <f>IF(ISBLANK(patch[[#This Row],[project]]), "",COUNTIFS($A:$A,patch[[#This Row],[number]],$S:$S, "BJ And dev",$AC:$AC, "Review-1"))</f>
        <v/>
      </c>
      <c r="X1567" s="7" t="str">
        <f>IF(ISBLANK(patch[[#This Row],[project]]), "",COUNTIFS($A:$A,patch[[#This Row],[number]],$S:$S, "FL And dev",$AC:$AC, "Review-1"))</f>
        <v/>
      </c>
      <c r="Y1567" s="7" t="str">
        <f>IF(ISBLANK(patch[[#This Row],[project]]), "",COUNTIFS($A:$A,patch[[#This Row],[number]],$S:$S, "SH And dev",$AC:$AC, "Review-1"))</f>
        <v/>
      </c>
      <c r="Z1567" s="7" t="str">
        <f>IF(ISBLANK(patch[[#This Row],[project]]), "",COUNTIFS($A:$A,patch[[#This Row],[number]],$S:$S, "BJ And dev",$AD:$AD, "&lt;&gt;IntegratorValidationComment"))</f>
        <v/>
      </c>
      <c r="AA1567" s="7" t="str">
        <f>IF(ISBLANK(patch[[#This Row],[project]]), "",COUNTIFS($A:$A,patch[[#This Row],[number]],$S:$S, "FL And dev",$AD:$AD, "&lt;&gt;IntegratorValidationComment"))</f>
        <v/>
      </c>
      <c r="AB1567" s="7" t="str">
        <f>IF(ISBLANK(patch[[#This Row],[project]]), "",COUNTIFS($A:$A,patch[[#This Row],[number]],$S:$S, "SH And dev",$AD:$AD, "&lt;&gt;IntegratorValidationComment"))</f>
        <v/>
      </c>
      <c r="AC1567" s="7" t="str">
        <f>IF(OR(ISNUMBER(FIND("Review-1", patch[[#This Row],[comments]])), ISNUMBER(FIND("Approver-1", patch[[#This Row],[comments]]))), "Review-1", "")</f>
        <v>Review-1</v>
      </c>
      <c r="AD15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67" s="7">
        <f>IF(ISBLANK(patch[[#This Row],[number]]),AE1566,patch[[#This Row],[ifCommon]])</f>
        <v>0</v>
      </c>
    </row>
    <row r="1568" spans="1:31">
      <c r="A1568" s="151">
        <v>144215</v>
      </c>
      <c r="B1568" s="151"/>
      <c r="C1568" s="151"/>
      <c r="D1568" s="151"/>
      <c r="E1568" s="151"/>
      <c r="F1568" s="151"/>
      <c r="G1568" s="151"/>
      <c r="H1568" s="151"/>
      <c r="I1568" s="151"/>
      <c r="J1568" s="152">
        <v>42632.753553240742</v>
      </c>
      <c r="K1568" s="151"/>
      <c r="L1568" s="151" t="s">
        <v>115</v>
      </c>
      <c r="M1568" s="152">
        <v>42626.435578703713</v>
      </c>
      <c r="N1568" s="151" t="s">
        <v>2571</v>
      </c>
      <c r="O1568" s="151"/>
      <c r="P1568" s="151"/>
      <c r="Q1568" s="7" t="str">
        <f>IF(ISBLANK(patch[[#This Row],[OwnerEmail]]),Q1567,patch[[#This Row],[OwnerEmail]])</f>
        <v>bin.b.yang@intel.com</v>
      </c>
      <c r="R1568" s="7" t="str">
        <f>_xlfn.IFNA(VLOOKUP(patch[[#This Row],[tmp-owner.email]],OrgTree!$A:$K, 11, 0), "not ICG SWFW")</f>
        <v>BJ And dev</v>
      </c>
      <c r="S1568" s="7" t="str">
        <f>IF(patch[[#This Row],[reviewer]]=patch[[#This Row],[tmp-owner.email]], "author", _xlfn.IFNA(VLOOKUP(patch[[#This Row],[reviewer]],OrgTree!$A:$K, 11, 0), "not ICG SWFW"))</f>
        <v>Val</v>
      </c>
      <c r="T1568" s="7" t="str">
        <f>IF(ISBLANK(patch[[#This Row],[mergeDate]]), "", MID(YEAR(patch[[#This Row],[mergeDate]]), 3,2)&amp;"'ww"&amp;WEEKNUM(patch[[#This Row],[mergeDate]]))</f>
        <v>16'ww39</v>
      </c>
      <c r="U1568" s="7" t="str">
        <f>IF(ISBLANK(patch[[#This Row],[mergeDate]]), U1567, MID(YEAR(patch[[#This Row],[mergeDate]]), 3,2)&amp;"'m"&amp;MONTH(patch[[#This Row],[mergeDate]]))</f>
        <v>16'm9</v>
      </c>
      <c r="V1568" s="7" t="str">
        <f>IF(ISBLANK(patch[[#This Row],[project]]), "",SUM(patch[[#This Row],[BJ -1 num]:[SH -1 num]]))</f>
        <v/>
      </c>
      <c r="W1568" s="7" t="str">
        <f>IF(ISBLANK(patch[[#This Row],[project]]), "",COUNTIFS($A:$A,patch[[#This Row],[number]],$S:$S, "BJ And dev",$AC:$AC, "Review-1"))</f>
        <v/>
      </c>
      <c r="X1568" s="7" t="str">
        <f>IF(ISBLANK(patch[[#This Row],[project]]), "",COUNTIFS($A:$A,patch[[#This Row],[number]],$S:$S, "FL And dev",$AC:$AC, "Review-1"))</f>
        <v/>
      </c>
      <c r="Y1568" s="7" t="str">
        <f>IF(ISBLANK(patch[[#This Row],[project]]), "",COUNTIFS($A:$A,patch[[#This Row],[number]],$S:$S, "SH And dev",$AC:$AC, "Review-1"))</f>
        <v/>
      </c>
      <c r="Z1568" s="7" t="str">
        <f>IF(ISBLANK(patch[[#This Row],[project]]), "",COUNTIFS($A:$A,patch[[#This Row],[number]],$S:$S, "BJ And dev",$AD:$AD, "&lt;&gt;IntegratorValidationComment"))</f>
        <v/>
      </c>
      <c r="AA1568" s="7" t="str">
        <f>IF(ISBLANK(patch[[#This Row],[project]]), "",COUNTIFS($A:$A,patch[[#This Row],[number]],$S:$S, "FL And dev",$AD:$AD, "&lt;&gt;IntegratorValidationComment"))</f>
        <v/>
      </c>
      <c r="AB1568" s="7" t="str">
        <f>IF(ISBLANK(patch[[#This Row],[project]]), "",COUNTIFS($A:$A,patch[[#This Row],[number]],$S:$S, "SH And dev",$AD:$AD, "&lt;&gt;IntegratorValidationComment"))</f>
        <v/>
      </c>
      <c r="AC1568" s="7" t="str">
        <f>IF(OR(ISNUMBER(FIND("Review-1", patch[[#This Row],[comments]])), ISNUMBER(FIND("Approver-1", patch[[#This Row],[comments]]))), "Review-1", "")</f>
        <v/>
      </c>
      <c r="AD15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568" s="7">
        <f>IF(ISBLANK(patch[[#This Row],[number]]),AE1567,patch[[#This Row],[ifCommon]])</f>
        <v>0</v>
      </c>
    </row>
    <row r="1569" spans="1:31">
      <c r="A1569" s="151">
        <v>144215</v>
      </c>
      <c r="B1569" s="151"/>
      <c r="C1569" s="151"/>
      <c r="D1569" s="151"/>
      <c r="E1569" s="151"/>
      <c r="F1569" s="151"/>
      <c r="G1569" s="151"/>
      <c r="H1569" s="151"/>
      <c r="I1569" s="151"/>
      <c r="J1569" s="152">
        <v>42632.753553240742</v>
      </c>
      <c r="K1569" s="151"/>
      <c r="L1569" s="151" t="s">
        <v>59</v>
      </c>
      <c r="M1569" s="152">
        <v>42626.456284722219</v>
      </c>
      <c r="N1569" s="151" t="s">
        <v>2446</v>
      </c>
      <c r="O1569" s="151"/>
      <c r="P1569" s="151"/>
      <c r="Q1569" s="7" t="str">
        <f>IF(ISBLANK(patch[[#This Row],[OwnerEmail]]),Q1568,patch[[#This Row],[OwnerEmail]])</f>
        <v>bin.b.yang@intel.com</v>
      </c>
      <c r="R1569" s="7" t="str">
        <f>_xlfn.IFNA(VLOOKUP(patch[[#This Row],[tmp-owner.email]],OrgTree!$A:$K, 11, 0), "not ICG SWFW")</f>
        <v>BJ And dev</v>
      </c>
      <c r="S1569" s="7" t="str">
        <f>IF(patch[[#This Row],[reviewer]]=patch[[#This Row],[tmp-owner.email]], "author", _xlfn.IFNA(VLOOKUP(patch[[#This Row],[reviewer]],OrgTree!$A:$K, 11, 0), "not ICG SWFW"))</f>
        <v>BJ And dev</v>
      </c>
      <c r="T1569" s="7" t="str">
        <f>IF(ISBLANK(patch[[#This Row],[mergeDate]]), "", MID(YEAR(patch[[#This Row],[mergeDate]]), 3,2)&amp;"'ww"&amp;WEEKNUM(patch[[#This Row],[mergeDate]]))</f>
        <v>16'ww39</v>
      </c>
      <c r="U1569" s="7" t="str">
        <f>IF(ISBLANK(patch[[#This Row],[mergeDate]]), U1568, MID(YEAR(patch[[#This Row],[mergeDate]]), 3,2)&amp;"'m"&amp;MONTH(patch[[#This Row],[mergeDate]]))</f>
        <v>16'm9</v>
      </c>
      <c r="V1569" s="7" t="str">
        <f>IF(ISBLANK(patch[[#This Row],[project]]), "",SUM(patch[[#This Row],[BJ -1 num]:[SH -1 num]]))</f>
        <v/>
      </c>
      <c r="W1569" s="7" t="str">
        <f>IF(ISBLANK(patch[[#This Row],[project]]), "",COUNTIFS($A:$A,patch[[#This Row],[number]],$S:$S, "BJ And dev",$AC:$AC, "Review-1"))</f>
        <v/>
      </c>
      <c r="X1569" s="7" t="str">
        <f>IF(ISBLANK(patch[[#This Row],[project]]), "",COUNTIFS($A:$A,patch[[#This Row],[number]],$S:$S, "FL And dev",$AC:$AC, "Review-1"))</f>
        <v/>
      </c>
      <c r="Y1569" s="7" t="str">
        <f>IF(ISBLANK(patch[[#This Row],[project]]), "",COUNTIFS($A:$A,patch[[#This Row],[number]],$S:$S, "SH And dev",$AC:$AC, "Review-1"))</f>
        <v/>
      </c>
      <c r="Z1569" s="7" t="str">
        <f>IF(ISBLANK(patch[[#This Row],[project]]), "",COUNTIFS($A:$A,patch[[#This Row],[number]],$S:$S, "BJ And dev",$AD:$AD, "&lt;&gt;IntegratorValidationComment"))</f>
        <v/>
      </c>
      <c r="AA1569" s="7" t="str">
        <f>IF(ISBLANK(patch[[#This Row],[project]]), "",COUNTIFS($A:$A,patch[[#This Row],[number]],$S:$S, "FL And dev",$AD:$AD, "&lt;&gt;IntegratorValidationComment"))</f>
        <v/>
      </c>
      <c r="AB1569" s="7" t="str">
        <f>IF(ISBLANK(patch[[#This Row],[project]]), "",COUNTIFS($A:$A,patch[[#This Row],[number]],$S:$S, "SH And dev",$AD:$AD, "&lt;&gt;IntegratorValidationComment"))</f>
        <v/>
      </c>
      <c r="AC1569" s="7" t="str">
        <f>IF(OR(ISNUMBER(FIND("Review-1", patch[[#This Row],[comments]])), ISNUMBER(FIND("Approver-1", patch[[#This Row],[comments]]))), "Review-1", "")</f>
        <v/>
      </c>
      <c r="AD15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69" s="7">
        <f>IF(ISBLANK(patch[[#This Row],[number]]),AE1568,patch[[#This Row],[ifCommon]])</f>
        <v>0</v>
      </c>
    </row>
    <row r="1570" spans="1:31">
      <c r="A1570" s="151">
        <v>144215</v>
      </c>
      <c r="B1570" s="151"/>
      <c r="C1570" s="151"/>
      <c r="D1570" s="151"/>
      <c r="E1570" s="151"/>
      <c r="F1570" s="151"/>
      <c r="G1570" s="151"/>
      <c r="H1570" s="151"/>
      <c r="I1570" s="151"/>
      <c r="J1570" s="152">
        <v>42632.753553240742</v>
      </c>
      <c r="K1570" s="151"/>
      <c r="L1570" s="151" t="s">
        <v>72</v>
      </c>
      <c r="M1570" s="152">
        <v>42630.398715277777</v>
      </c>
      <c r="N1570" s="151" t="s">
        <v>58</v>
      </c>
      <c r="O1570" s="151"/>
      <c r="P1570" s="151"/>
      <c r="Q1570" s="7" t="str">
        <f>IF(ISBLANK(patch[[#This Row],[OwnerEmail]]),Q1569,patch[[#This Row],[OwnerEmail]])</f>
        <v>bin.b.yang@intel.com</v>
      </c>
      <c r="R1570" s="7" t="str">
        <f>_xlfn.IFNA(VLOOKUP(patch[[#This Row],[tmp-owner.email]],OrgTree!$A:$K, 11, 0), "not ICG SWFW")</f>
        <v>BJ And dev</v>
      </c>
      <c r="S1570" s="7" t="str">
        <f>IF(patch[[#This Row],[reviewer]]=patch[[#This Row],[tmp-owner.email]], "author", _xlfn.IFNA(VLOOKUP(patch[[#This Row],[reviewer]],OrgTree!$A:$K, 11, 0), "not ICG SWFW"))</f>
        <v>author</v>
      </c>
      <c r="T1570" s="7" t="str">
        <f>IF(ISBLANK(patch[[#This Row],[mergeDate]]), "", MID(YEAR(patch[[#This Row],[mergeDate]]), 3,2)&amp;"'ww"&amp;WEEKNUM(patch[[#This Row],[mergeDate]]))</f>
        <v>16'ww39</v>
      </c>
      <c r="U1570" s="7" t="str">
        <f>IF(ISBLANK(patch[[#This Row],[mergeDate]]), U1569, MID(YEAR(patch[[#This Row],[mergeDate]]), 3,2)&amp;"'m"&amp;MONTH(patch[[#This Row],[mergeDate]]))</f>
        <v>16'm9</v>
      </c>
      <c r="V1570" s="7" t="str">
        <f>IF(ISBLANK(patch[[#This Row],[project]]), "",SUM(patch[[#This Row],[BJ -1 num]:[SH -1 num]]))</f>
        <v/>
      </c>
      <c r="W1570" s="7" t="str">
        <f>IF(ISBLANK(patch[[#This Row],[project]]), "",COUNTIFS($A:$A,patch[[#This Row],[number]],$S:$S, "BJ And dev",$AC:$AC, "Review-1"))</f>
        <v/>
      </c>
      <c r="X1570" s="7" t="str">
        <f>IF(ISBLANK(patch[[#This Row],[project]]), "",COUNTIFS($A:$A,patch[[#This Row],[number]],$S:$S, "FL And dev",$AC:$AC, "Review-1"))</f>
        <v/>
      </c>
      <c r="Y1570" s="7" t="str">
        <f>IF(ISBLANK(patch[[#This Row],[project]]), "",COUNTIFS($A:$A,patch[[#This Row],[number]],$S:$S, "SH And dev",$AC:$AC, "Review-1"))</f>
        <v/>
      </c>
      <c r="Z1570" s="7" t="str">
        <f>IF(ISBLANK(patch[[#This Row],[project]]), "",COUNTIFS($A:$A,patch[[#This Row],[number]],$S:$S, "BJ And dev",$AD:$AD, "&lt;&gt;IntegratorValidationComment"))</f>
        <v/>
      </c>
      <c r="AA1570" s="7" t="str">
        <f>IF(ISBLANK(patch[[#This Row],[project]]), "",COUNTIFS($A:$A,patch[[#This Row],[number]],$S:$S, "FL And dev",$AD:$AD, "&lt;&gt;IntegratorValidationComment"))</f>
        <v/>
      </c>
      <c r="AB1570" s="7" t="str">
        <f>IF(ISBLANK(patch[[#This Row],[project]]), "",COUNTIFS($A:$A,patch[[#This Row],[number]],$S:$S, "SH And dev",$AD:$AD, "&lt;&gt;IntegratorValidationComment"))</f>
        <v/>
      </c>
      <c r="AC1570" s="7" t="str">
        <f>IF(OR(ISNUMBER(FIND("Review-1", patch[[#This Row],[comments]])), ISNUMBER(FIND("Approver-1", patch[[#This Row],[comments]]))), "Review-1", "")</f>
        <v/>
      </c>
      <c r="AD15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70" s="7">
        <f>IF(ISBLANK(patch[[#This Row],[number]]),AE1569,patch[[#This Row],[ifCommon]])</f>
        <v>0</v>
      </c>
    </row>
    <row r="1571" spans="1:31">
      <c r="A1571" s="151">
        <v>144215</v>
      </c>
      <c r="B1571" s="151"/>
      <c r="C1571" s="151"/>
      <c r="D1571" s="151"/>
      <c r="E1571" s="151"/>
      <c r="F1571" s="151"/>
      <c r="G1571" s="151"/>
      <c r="H1571" s="151"/>
      <c r="I1571" s="151"/>
      <c r="J1571" s="152">
        <v>42632.753553240742</v>
      </c>
      <c r="K1571" s="151"/>
      <c r="L1571" s="151" t="s">
        <v>72</v>
      </c>
      <c r="M1571" s="152">
        <v>42630.406527777777</v>
      </c>
      <c r="N1571" s="151" t="s">
        <v>2446</v>
      </c>
      <c r="O1571" s="151"/>
      <c r="P1571" s="151"/>
      <c r="Q1571" s="7" t="str">
        <f>IF(ISBLANK(patch[[#This Row],[OwnerEmail]]),Q1570,patch[[#This Row],[OwnerEmail]])</f>
        <v>bin.b.yang@intel.com</v>
      </c>
      <c r="R1571" s="7" t="str">
        <f>_xlfn.IFNA(VLOOKUP(patch[[#This Row],[tmp-owner.email]],OrgTree!$A:$K, 11, 0), "not ICG SWFW")</f>
        <v>BJ And dev</v>
      </c>
      <c r="S1571" s="7" t="str">
        <f>IF(patch[[#This Row],[reviewer]]=patch[[#This Row],[tmp-owner.email]], "author", _xlfn.IFNA(VLOOKUP(patch[[#This Row],[reviewer]],OrgTree!$A:$K, 11, 0), "not ICG SWFW"))</f>
        <v>author</v>
      </c>
      <c r="T1571" s="7" t="str">
        <f>IF(ISBLANK(patch[[#This Row],[mergeDate]]), "", MID(YEAR(patch[[#This Row],[mergeDate]]), 3,2)&amp;"'ww"&amp;WEEKNUM(patch[[#This Row],[mergeDate]]))</f>
        <v>16'ww39</v>
      </c>
      <c r="U1571" s="7" t="str">
        <f>IF(ISBLANK(patch[[#This Row],[mergeDate]]), U1570, MID(YEAR(patch[[#This Row],[mergeDate]]), 3,2)&amp;"'m"&amp;MONTH(patch[[#This Row],[mergeDate]]))</f>
        <v>16'm9</v>
      </c>
      <c r="V1571" s="7" t="str">
        <f>IF(ISBLANK(patch[[#This Row],[project]]), "",SUM(patch[[#This Row],[BJ -1 num]:[SH -1 num]]))</f>
        <v/>
      </c>
      <c r="W1571" s="7" t="str">
        <f>IF(ISBLANK(patch[[#This Row],[project]]), "",COUNTIFS($A:$A,patch[[#This Row],[number]],$S:$S, "BJ And dev",$AC:$AC, "Review-1"))</f>
        <v/>
      </c>
      <c r="X1571" s="7" t="str">
        <f>IF(ISBLANK(patch[[#This Row],[project]]), "",COUNTIFS($A:$A,patch[[#This Row],[number]],$S:$S, "FL And dev",$AC:$AC, "Review-1"))</f>
        <v/>
      </c>
      <c r="Y1571" s="7" t="str">
        <f>IF(ISBLANK(patch[[#This Row],[project]]), "",COUNTIFS($A:$A,patch[[#This Row],[number]],$S:$S, "SH And dev",$AC:$AC, "Review-1"))</f>
        <v/>
      </c>
      <c r="Z1571" s="7" t="str">
        <f>IF(ISBLANK(patch[[#This Row],[project]]), "",COUNTIFS($A:$A,patch[[#This Row],[number]],$S:$S, "BJ And dev",$AD:$AD, "&lt;&gt;IntegratorValidationComment"))</f>
        <v/>
      </c>
      <c r="AA1571" s="7" t="str">
        <f>IF(ISBLANK(patch[[#This Row],[project]]), "",COUNTIFS($A:$A,patch[[#This Row],[number]],$S:$S, "FL And dev",$AD:$AD, "&lt;&gt;IntegratorValidationComment"))</f>
        <v/>
      </c>
      <c r="AB1571" s="7" t="str">
        <f>IF(ISBLANK(patch[[#This Row],[project]]), "",COUNTIFS($A:$A,patch[[#This Row],[number]],$S:$S, "SH And dev",$AD:$AD, "&lt;&gt;IntegratorValidationComment"))</f>
        <v/>
      </c>
      <c r="AC1571" s="7" t="str">
        <f>IF(OR(ISNUMBER(FIND("Review-1", patch[[#This Row],[comments]])), ISNUMBER(FIND("Approver-1", patch[[#This Row],[comments]]))), "Review-1", "")</f>
        <v/>
      </c>
      <c r="AD15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71" s="7">
        <f>IF(ISBLANK(patch[[#This Row],[number]]),AE1570,patch[[#This Row],[ifCommon]])</f>
        <v>0</v>
      </c>
    </row>
    <row r="1572" spans="1:31">
      <c r="A1572" s="151">
        <v>144215</v>
      </c>
      <c r="B1572" s="151"/>
      <c r="C1572" s="151"/>
      <c r="D1572" s="151"/>
      <c r="E1572" s="151"/>
      <c r="F1572" s="151"/>
      <c r="G1572" s="151"/>
      <c r="H1572" s="151"/>
      <c r="I1572" s="151"/>
      <c r="J1572" s="152">
        <v>42632.753553240742</v>
      </c>
      <c r="K1572" s="151"/>
      <c r="L1572" s="151" t="s">
        <v>3371</v>
      </c>
      <c r="M1572" s="152">
        <v>42630.523263888892</v>
      </c>
      <c r="N1572" s="151" t="s">
        <v>40</v>
      </c>
      <c r="O1572" s="151"/>
      <c r="P1572" s="151"/>
      <c r="Q1572" s="7" t="str">
        <f>IF(ISBLANK(patch[[#This Row],[OwnerEmail]]),Q1571,patch[[#This Row],[OwnerEmail]])</f>
        <v>bin.b.yang@intel.com</v>
      </c>
      <c r="R1572" s="7" t="str">
        <f>_xlfn.IFNA(VLOOKUP(patch[[#This Row],[tmp-owner.email]],OrgTree!$A:$K, 11, 0), "not ICG SWFW")</f>
        <v>BJ And dev</v>
      </c>
      <c r="S1572" s="7" t="str">
        <f>IF(patch[[#This Row],[reviewer]]=patch[[#This Row],[tmp-owner.email]], "author", _xlfn.IFNA(VLOOKUP(patch[[#This Row],[reviewer]],OrgTree!$A:$K, 11, 0), "not ICG SWFW"))</f>
        <v>not ICG SWFW</v>
      </c>
      <c r="T1572" s="7" t="str">
        <f>IF(ISBLANK(patch[[#This Row],[mergeDate]]), "", MID(YEAR(patch[[#This Row],[mergeDate]]), 3,2)&amp;"'ww"&amp;WEEKNUM(patch[[#This Row],[mergeDate]]))</f>
        <v>16'ww39</v>
      </c>
      <c r="U1572" s="7" t="str">
        <f>IF(ISBLANK(patch[[#This Row],[mergeDate]]), U1571, MID(YEAR(patch[[#This Row],[mergeDate]]), 3,2)&amp;"'m"&amp;MONTH(patch[[#This Row],[mergeDate]]))</f>
        <v>16'm9</v>
      </c>
      <c r="V1572" s="7" t="str">
        <f>IF(ISBLANK(patch[[#This Row],[project]]), "",SUM(patch[[#This Row],[BJ -1 num]:[SH -1 num]]))</f>
        <v/>
      </c>
      <c r="W1572" s="7" t="str">
        <f>IF(ISBLANK(patch[[#This Row],[project]]), "",COUNTIFS($A:$A,patch[[#This Row],[number]],$S:$S, "BJ And dev",$AC:$AC, "Review-1"))</f>
        <v/>
      </c>
      <c r="X1572" s="7" t="str">
        <f>IF(ISBLANK(patch[[#This Row],[project]]), "",COUNTIFS($A:$A,patch[[#This Row],[number]],$S:$S, "FL And dev",$AC:$AC, "Review-1"))</f>
        <v/>
      </c>
      <c r="Y1572" s="7" t="str">
        <f>IF(ISBLANK(patch[[#This Row],[project]]), "",COUNTIFS($A:$A,patch[[#This Row],[number]],$S:$S, "SH And dev",$AC:$AC, "Review-1"))</f>
        <v/>
      </c>
      <c r="Z1572" s="7" t="str">
        <f>IF(ISBLANK(patch[[#This Row],[project]]), "",COUNTIFS($A:$A,patch[[#This Row],[number]],$S:$S, "BJ And dev",$AD:$AD, "&lt;&gt;IntegratorValidationComment"))</f>
        <v/>
      </c>
      <c r="AA1572" s="7" t="str">
        <f>IF(ISBLANK(patch[[#This Row],[project]]), "",COUNTIFS($A:$A,patch[[#This Row],[number]],$S:$S, "FL And dev",$AD:$AD, "&lt;&gt;IntegratorValidationComment"))</f>
        <v/>
      </c>
      <c r="AB1572" s="7" t="str">
        <f>IF(ISBLANK(patch[[#This Row],[project]]), "",COUNTIFS($A:$A,patch[[#This Row],[number]],$S:$S, "SH And dev",$AD:$AD, "&lt;&gt;IntegratorValidationComment"))</f>
        <v/>
      </c>
      <c r="AC1572" s="7" t="str">
        <f>IF(OR(ISNUMBER(FIND("Review-1", patch[[#This Row],[comments]])), ISNUMBER(FIND("Approver-1", patch[[#This Row],[comments]]))), "Review-1", "")</f>
        <v/>
      </c>
      <c r="AD15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72" s="7">
        <f>IF(ISBLANK(patch[[#This Row],[number]]),AE1571,patch[[#This Row],[ifCommon]])</f>
        <v>0</v>
      </c>
    </row>
    <row r="1573" spans="1:31">
      <c r="A1573" s="151">
        <v>144215</v>
      </c>
      <c r="B1573" s="151"/>
      <c r="C1573" s="151"/>
      <c r="D1573" s="151"/>
      <c r="E1573" s="151"/>
      <c r="F1573" s="151"/>
      <c r="G1573" s="151"/>
      <c r="H1573" s="151"/>
      <c r="I1573" s="151"/>
      <c r="J1573" s="152">
        <v>42632.753553240742</v>
      </c>
      <c r="K1573" s="151"/>
      <c r="L1573" s="151" t="s">
        <v>24</v>
      </c>
      <c r="M1573" s="152">
        <v>42630.564293981479</v>
      </c>
      <c r="N1573" s="151" t="s">
        <v>1880</v>
      </c>
      <c r="O1573" s="151"/>
      <c r="P1573" s="151"/>
      <c r="Q1573" s="7" t="str">
        <f>IF(ISBLANK(patch[[#This Row],[OwnerEmail]]),Q1572,patch[[#This Row],[OwnerEmail]])</f>
        <v>bin.b.yang@intel.com</v>
      </c>
      <c r="R1573" s="7" t="str">
        <f>_xlfn.IFNA(VLOOKUP(patch[[#This Row],[tmp-owner.email]],OrgTree!$A:$K, 11, 0), "not ICG SWFW")</f>
        <v>BJ And dev</v>
      </c>
      <c r="S1573" s="7" t="str">
        <f>IF(patch[[#This Row],[reviewer]]=patch[[#This Row],[tmp-owner.email]], "author", _xlfn.IFNA(VLOOKUP(patch[[#This Row],[reviewer]],OrgTree!$A:$K, 11, 0), "not ICG SWFW"))</f>
        <v>BJ And dev</v>
      </c>
      <c r="T1573" s="7" t="str">
        <f>IF(ISBLANK(patch[[#This Row],[mergeDate]]), "", MID(YEAR(patch[[#This Row],[mergeDate]]), 3,2)&amp;"'ww"&amp;WEEKNUM(patch[[#This Row],[mergeDate]]))</f>
        <v>16'ww39</v>
      </c>
      <c r="U1573" s="7" t="str">
        <f>IF(ISBLANK(patch[[#This Row],[mergeDate]]), U1572, MID(YEAR(patch[[#This Row],[mergeDate]]), 3,2)&amp;"'m"&amp;MONTH(patch[[#This Row],[mergeDate]]))</f>
        <v>16'm9</v>
      </c>
      <c r="V1573" s="7" t="str">
        <f>IF(ISBLANK(patch[[#This Row],[project]]), "",SUM(patch[[#This Row],[BJ -1 num]:[SH -1 num]]))</f>
        <v/>
      </c>
      <c r="W1573" s="7" t="str">
        <f>IF(ISBLANK(patch[[#This Row],[project]]), "",COUNTIFS($A:$A,patch[[#This Row],[number]],$S:$S, "BJ And dev",$AC:$AC, "Review-1"))</f>
        <v/>
      </c>
      <c r="X1573" s="7" t="str">
        <f>IF(ISBLANK(patch[[#This Row],[project]]), "",COUNTIFS($A:$A,patch[[#This Row],[number]],$S:$S, "FL And dev",$AC:$AC, "Review-1"))</f>
        <v/>
      </c>
      <c r="Y1573" s="7" t="str">
        <f>IF(ISBLANK(patch[[#This Row],[project]]), "",COUNTIFS($A:$A,patch[[#This Row],[number]],$S:$S, "SH And dev",$AC:$AC, "Review-1"))</f>
        <v/>
      </c>
      <c r="Z1573" s="7" t="str">
        <f>IF(ISBLANK(patch[[#This Row],[project]]), "",COUNTIFS($A:$A,patch[[#This Row],[number]],$S:$S, "BJ And dev",$AD:$AD, "&lt;&gt;IntegratorValidationComment"))</f>
        <v/>
      </c>
      <c r="AA1573" s="7" t="str">
        <f>IF(ISBLANK(patch[[#This Row],[project]]), "",COUNTIFS($A:$A,patch[[#This Row],[number]],$S:$S, "FL And dev",$AD:$AD, "&lt;&gt;IntegratorValidationComment"))</f>
        <v/>
      </c>
      <c r="AB1573" s="7" t="str">
        <f>IF(ISBLANK(patch[[#This Row],[project]]), "",COUNTIFS($A:$A,patch[[#This Row],[number]],$S:$S, "SH And dev",$AD:$AD, "&lt;&gt;IntegratorValidationComment"))</f>
        <v/>
      </c>
      <c r="AC1573" s="7" t="str">
        <f>IF(OR(ISNUMBER(FIND("Review-1", patch[[#This Row],[comments]])), ISNUMBER(FIND("Approver-1", patch[[#This Row],[comments]]))), "Review-1", "")</f>
        <v/>
      </c>
      <c r="AD15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73" s="7">
        <f>IF(ISBLANK(patch[[#This Row],[number]]),AE1572,patch[[#This Row],[ifCommon]])</f>
        <v>0</v>
      </c>
    </row>
    <row r="1574" spans="1:31">
      <c r="A1574" s="151">
        <v>144215</v>
      </c>
      <c r="B1574" s="151"/>
      <c r="C1574" s="151"/>
      <c r="D1574" s="151"/>
      <c r="E1574" s="151"/>
      <c r="F1574" s="151"/>
      <c r="G1574" s="151"/>
      <c r="H1574" s="151"/>
      <c r="I1574" s="151"/>
      <c r="J1574" s="152">
        <v>42632.753553240742</v>
      </c>
      <c r="K1574" s="151"/>
      <c r="L1574" s="151" t="s">
        <v>24</v>
      </c>
      <c r="M1574" s="152">
        <v>42631.750879629632</v>
      </c>
      <c r="N1574" s="151" t="s">
        <v>3376</v>
      </c>
      <c r="O1574" s="151"/>
      <c r="P1574" s="151"/>
      <c r="Q1574" s="7" t="str">
        <f>IF(ISBLANK(patch[[#This Row],[OwnerEmail]]),Q1573,patch[[#This Row],[OwnerEmail]])</f>
        <v>bin.b.yang@intel.com</v>
      </c>
      <c r="R1574" s="7" t="str">
        <f>_xlfn.IFNA(VLOOKUP(patch[[#This Row],[tmp-owner.email]],OrgTree!$A:$K, 11, 0), "not ICG SWFW")</f>
        <v>BJ And dev</v>
      </c>
      <c r="S1574" s="7" t="str">
        <f>IF(patch[[#This Row],[reviewer]]=patch[[#This Row],[tmp-owner.email]], "author", _xlfn.IFNA(VLOOKUP(patch[[#This Row],[reviewer]],OrgTree!$A:$K, 11, 0), "not ICG SWFW"))</f>
        <v>BJ And dev</v>
      </c>
      <c r="T1574" s="7" t="str">
        <f>IF(ISBLANK(patch[[#This Row],[mergeDate]]), "", MID(YEAR(patch[[#This Row],[mergeDate]]), 3,2)&amp;"'ww"&amp;WEEKNUM(patch[[#This Row],[mergeDate]]))</f>
        <v>16'ww39</v>
      </c>
      <c r="U1574" s="7" t="str">
        <f>IF(ISBLANK(patch[[#This Row],[mergeDate]]), U1573, MID(YEAR(patch[[#This Row],[mergeDate]]), 3,2)&amp;"'m"&amp;MONTH(patch[[#This Row],[mergeDate]]))</f>
        <v>16'm9</v>
      </c>
      <c r="V1574" s="7" t="str">
        <f>IF(ISBLANK(patch[[#This Row],[project]]), "",SUM(patch[[#This Row],[BJ -1 num]:[SH -1 num]]))</f>
        <v/>
      </c>
      <c r="W1574" s="7" t="str">
        <f>IF(ISBLANK(patch[[#This Row],[project]]), "",COUNTIFS($A:$A,patch[[#This Row],[number]],$S:$S, "BJ And dev",$AC:$AC, "Review-1"))</f>
        <v/>
      </c>
      <c r="X1574" s="7" t="str">
        <f>IF(ISBLANK(patch[[#This Row],[project]]), "",COUNTIFS($A:$A,patch[[#This Row],[number]],$S:$S, "FL And dev",$AC:$AC, "Review-1"))</f>
        <v/>
      </c>
      <c r="Y1574" s="7" t="str">
        <f>IF(ISBLANK(patch[[#This Row],[project]]), "",COUNTIFS($A:$A,patch[[#This Row],[number]],$S:$S, "SH And dev",$AC:$AC, "Review-1"))</f>
        <v/>
      </c>
      <c r="Z1574" s="7" t="str">
        <f>IF(ISBLANK(patch[[#This Row],[project]]), "",COUNTIFS($A:$A,patch[[#This Row],[number]],$S:$S, "BJ And dev",$AD:$AD, "&lt;&gt;IntegratorValidationComment"))</f>
        <v/>
      </c>
      <c r="AA1574" s="7" t="str">
        <f>IF(ISBLANK(patch[[#This Row],[project]]), "",COUNTIFS($A:$A,patch[[#This Row],[number]],$S:$S, "FL And dev",$AD:$AD, "&lt;&gt;IntegratorValidationComment"))</f>
        <v/>
      </c>
      <c r="AB1574" s="7" t="str">
        <f>IF(ISBLANK(patch[[#This Row],[project]]), "",COUNTIFS($A:$A,patch[[#This Row],[number]],$S:$S, "SH And dev",$AD:$AD, "&lt;&gt;IntegratorValidationComment"))</f>
        <v/>
      </c>
      <c r="AC1574" s="7" t="str">
        <f>IF(OR(ISNUMBER(FIND("Review-1", patch[[#This Row],[comments]])), ISNUMBER(FIND("Approver-1", patch[[#This Row],[comments]]))), "Review-1", "")</f>
        <v/>
      </c>
      <c r="AD15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74" s="7">
        <f>IF(ISBLANK(patch[[#This Row],[number]]),AE1573,patch[[#This Row],[ifCommon]])</f>
        <v>0</v>
      </c>
    </row>
    <row r="1575" spans="1:31">
      <c r="A1575" s="151">
        <v>144215</v>
      </c>
      <c r="B1575" s="151"/>
      <c r="C1575" s="151"/>
      <c r="D1575" s="151"/>
      <c r="E1575" s="151"/>
      <c r="F1575" s="151"/>
      <c r="G1575" s="151"/>
      <c r="H1575" s="151"/>
      <c r="I1575" s="151"/>
      <c r="J1575" s="152">
        <v>42632.753553240742</v>
      </c>
      <c r="K1575" s="151"/>
      <c r="L1575" s="151" t="s">
        <v>115</v>
      </c>
      <c r="M1575" s="152">
        <v>42632.425312500003</v>
      </c>
      <c r="N1575" s="151" t="s">
        <v>2494</v>
      </c>
      <c r="O1575" s="151"/>
      <c r="P1575" s="151"/>
      <c r="Q1575" s="7" t="str">
        <f>IF(ISBLANK(patch[[#This Row],[OwnerEmail]]),Q1574,patch[[#This Row],[OwnerEmail]])</f>
        <v>bin.b.yang@intel.com</v>
      </c>
      <c r="R1575" s="7" t="str">
        <f>_xlfn.IFNA(VLOOKUP(patch[[#This Row],[tmp-owner.email]],OrgTree!$A:$K, 11, 0), "not ICG SWFW")</f>
        <v>BJ And dev</v>
      </c>
      <c r="S1575" s="7" t="str">
        <f>IF(patch[[#This Row],[reviewer]]=patch[[#This Row],[tmp-owner.email]], "author", _xlfn.IFNA(VLOOKUP(patch[[#This Row],[reviewer]],OrgTree!$A:$K, 11, 0), "not ICG SWFW"))</f>
        <v>Val</v>
      </c>
      <c r="T1575" s="7" t="str">
        <f>IF(ISBLANK(patch[[#This Row],[mergeDate]]), "", MID(YEAR(patch[[#This Row],[mergeDate]]), 3,2)&amp;"'ww"&amp;WEEKNUM(patch[[#This Row],[mergeDate]]))</f>
        <v>16'ww39</v>
      </c>
      <c r="U1575" s="7" t="str">
        <f>IF(ISBLANK(patch[[#This Row],[mergeDate]]), U1574, MID(YEAR(patch[[#This Row],[mergeDate]]), 3,2)&amp;"'m"&amp;MONTH(patch[[#This Row],[mergeDate]]))</f>
        <v>16'm9</v>
      </c>
      <c r="V1575" s="7" t="str">
        <f>IF(ISBLANK(patch[[#This Row],[project]]), "",SUM(patch[[#This Row],[BJ -1 num]:[SH -1 num]]))</f>
        <v/>
      </c>
      <c r="W1575" s="7" t="str">
        <f>IF(ISBLANK(patch[[#This Row],[project]]), "",COUNTIFS($A:$A,patch[[#This Row],[number]],$S:$S, "BJ And dev",$AC:$AC, "Review-1"))</f>
        <v/>
      </c>
      <c r="X1575" s="7" t="str">
        <f>IF(ISBLANK(patch[[#This Row],[project]]), "",COUNTIFS($A:$A,patch[[#This Row],[number]],$S:$S, "FL And dev",$AC:$AC, "Review-1"))</f>
        <v/>
      </c>
      <c r="Y1575" s="7" t="str">
        <f>IF(ISBLANK(patch[[#This Row],[project]]), "",COUNTIFS($A:$A,patch[[#This Row],[number]],$S:$S, "SH And dev",$AC:$AC, "Review-1"))</f>
        <v/>
      </c>
      <c r="Z1575" s="7" t="str">
        <f>IF(ISBLANK(patch[[#This Row],[project]]), "",COUNTIFS($A:$A,patch[[#This Row],[number]],$S:$S, "BJ And dev",$AD:$AD, "&lt;&gt;IntegratorValidationComment"))</f>
        <v/>
      </c>
      <c r="AA1575" s="7" t="str">
        <f>IF(ISBLANK(patch[[#This Row],[project]]), "",COUNTIFS($A:$A,patch[[#This Row],[number]],$S:$S, "FL And dev",$AD:$AD, "&lt;&gt;IntegratorValidationComment"))</f>
        <v/>
      </c>
      <c r="AB1575" s="7" t="str">
        <f>IF(ISBLANK(patch[[#This Row],[project]]), "",COUNTIFS($A:$A,patch[[#This Row],[number]],$S:$S, "SH And dev",$AD:$AD, "&lt;&gt;IntegratorValidationComment"))</f>
        <v/>
      </c>
      <c r="AC1575" s="7" t="str">
        <f>IF(OR(ISNUMBER(FIND("Review-1", patch[[#This Row],[comments]])), ISNUMBER(FIND("Approver-1", patch[[#This Row],[comments]]))), "Review-1", "")</f>
        <v/>
      </c>
      <c r="AD15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575" s="7">
        <f>IF(ISBLANK(patch[[#This Row],[number]]),AE1574,patch[[#This Row],[ifCommon]])</f>
        <v>0</v>
      </c>
    </row>
    <row r="1576" spans="1:31">
      <c r="A1576" s="151">
        <v>144215</v>
      </c>
      <c r="B1576" s="151"/>
      <c r="C1576" s="151"/>
      <c r="D1576" s="151"/>
      <c r="E1576" s="151"/>
      <c r="F1576" s="151"/>
      <c r="G1576" s="151"/>
      <c r="H1576" s="151"/>
      <c r="I1576" s="152"/>
      <c r="J1576" s="152">
        <v>42632.753553240742</v>
      </c>
      <c r="K1576" s="151"/>
      <c r="L1576" s="151" t="s">
        <v>72</v>
      </c>
      <c r="M1576" s="152">
        <v>42635.248865740738</v>
      </c>
      <c r="N1576" s="151" t="s">
        <v>3377</v>
      </c>
      <c r="O1576" s="151"/>
      <c r="P1576" s="151"/>
      <c r="Q1576" s="7" t="str">
        <f>IF(ISBLANK(patch[[#This Row],[OwnerEmail]]),Q1575,patch[[#This Row],[OwnerEmail]])</f>
        <v>bin.b.yang@intel.com</v>
      </c>
      <c r="R1576" s="7" t="str">
        <f>_xlfn.IFNA(VLOOKUP(patch[[#This Row],[tmp-owner.email]],OrgTree!$A:$K, 11, 0), "not ICG SWFW")</f>
        <v>BJ And dev</v>
      </c>
      <c r="S1576" s="7" t="str">
        <f>IF(patch[[#This Row],[reviewer]]=patch[[#This Row],[tmp-owner.email]], "author", _xlfn.IFNA(VLOOKUP(patch[[#This Row],[reviewer]],OrgTree!$A:$K, 11, 0), "not ICG SWFW"))</f>
        <v>author</v>
      </c>
      <c r="T1576" s="7" t="str">
        <f>IF(ISBLANK(patch[[#This Row],[mergeDate]]), "", MID(YEAR(patch[[#This Row],[mergeDate]]), 3,2)&amp;"'ww"&amp;WEEKNUM(patch[[#This Row],[mergeDate]]))</f>
        <v>16'ww39</v>
      </c>
      <c r="U1576" s="7" t="str">
        <f>IF(ISBLANK(patch[[#This Row],[mergeDate]]), U1575, MID(YEAR(patch[[#This Row],[mergeDate]]), 3,2)&amp;"'m"&amp;MONTH(patch[[#This Row],[mergeDate]]))</f>
        <v>16'm9</v>
      </c>
      <c r="V1576" s="7" t="str">
        <f>IF(ISBLANK(patch[[#This Row],[project]]), "",SUM(patch[[#This Row],[BJ -1 num]:[SH -1 num]]))</f>
        <v/>
      </c>
      <c r="W1576" s="7" t="str">
        <f>IF(ISBLANK(patch[[#This Row],[project]]), "",COUNTIFS($A:$A,patch[[#This Row],[number]],$S:$S, "BJ And dev",$AC:$AC, "Review-1"))</f>
        <v/>
      </c>
      <c r="X1576" s="7" t="str">
        <f>IF(ISBLANK(patch[[#This Row],[project]]), "",COUNTIFS($A:$A,patch[[#This Row],[number]],$S:$S, "FL And dev",$AC:$AC, "Review-1"))</f>
        <v/>
      </c>
      <c r="Y1576" s="7" t="str">
        <f>IF(ISBLANK(patch[[#This Row],[project]]), "",COUNTIFS($A:$A,patch[[#This Row],[number]],$S:$S, "SH And dev",$AC:$AC, "Review-1"))</f>
        <v/>
      </c>
      <c r="Z1576" s="7" t="str">
        <f>IF(ISBLANK(patch[[#This Row],[project]]), "",COUNTIFS($A:$A,patch[[#This Row],[number]],$S:$S, "BJ And dev",$AD:$AD, "&lt;&gt;IntegratorValidationComment"))</f>
        <v/>
      </c>
      <c r="AA1576" s="7" t="str">
        <f>IF(ISBLANK(patch[[#This Row],[project]]), "",COUNTIFS($A:$A,patch[[#This Row],[number]],$S:$S, "FL And dev",$AD:$AD, "&lt;&gt;IntegratorValidationComment"))</f>
        <v/>
      </c>
      <c r="AB1576" s="7" t="str">
        <f>IF(ISBLANK(patch[[#This Row],[project]]), "",COUNTIFS($A:$A,patch[[#This Row],[number]],$S:$S, "SH And dev",$AD:$AD, "&lt;&gt;IntegratorValidationComment"))</f>
        <v/>
      </c>
      <c r="AC1576" s="7" t="str">
        <f>IF(OR(ISNUMBER(FIND("Review-1", patch[[#This Row],[comments]])), ISNUMBER(FIND("Approver-1", patch[[#This Row],[comments]]))), "Review-1", "")</f>
        <v/>
      </c>
      <c r="AD15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76" s="7">
        <f>IF(ISBLANK(patch[[#This Row],[number]]),AE1575,patch[[#This Row],[ifCommon]])</f>
        <v>0</v>
      </c>
    </row>
    <row r="1577" spans="1:31">
      <c r="A1577" s="151">
        <v>146118</v>
      </c>
      <c r="B1577" s="151" t="s">
        <v>2490</v>
      </c>
      <c r="C1577" s="151" t="s">
        <v>2795</v>
      </c>
      <c r="D1577" s="151" t="s">
        <v>3378</v>
      </c>
      <c r="E1577" s="151" t="s">
        <v>24</v>
      </c>
      <c r="F1577" s="151" t="s">
        <v>23</v>
      </c>
      <c r="G1577" s="151" t="s">
        <v>3379</v>
      </c>
      <c r="H1577" s="151" t="s">
        <v>3380</v>
      </c>
      <c r="I1577" s="152">
        <v>42631.510833333326</v>
      </c>
      <c r="J1577" s="152">
        <v>42632.753518518519</v>
      </c>
      <c r="K1577" s="151" t="s">
        <v>2445</v>
      </c>
      <c r="L1577" s="151" t="s">
        <v>24</v>
      </c>
      <c r="M1577" s="152">
        <v>42631.510833333326</v>
      </c>
      <c r="N1577" s="151" t="s">
        <v>2428</v>
      </c>
      <c r="O1577" s="151"/>
      <c r="P1577" s="151" t="s">
        <v>2504</v>
      </c>
      <c r="Q1577" s="7" t="str">
        <f>IF(ISBLANK(patch[[#This Row],[OwnerEmail]]),Q1576,patch[[#This Row],[OwnerEmail]])</f>
        <v>qingwu.zhang@intel.com</v>
      </c>
      <c r="R1577" s="7" t="str">
        <f>_xlfn.IFNA(VLOOKUP(patch[[#This Row],[tmp-owner.email]],OrgTree!$A:$K, 11, 0), "not ICG SWFW")</f>
        <v>BJ And dev</v>
      </c>
      <c r="S1577" s="7" t="str">
        <f>IF(patch[[#This Row],[reviewer]]=patch[[#This Row],[tmp-owner.email]], "author", _xlfn.IFNA(VLOOKUP(patch[[#This Row],[reviewer]],OrgTree!$A:$K, 11, 0), "not ICG SWFW"))</f>
        <v>author</v>
      </c>
      <c r="T1577" s="7" t="str">
        <f>IF(ISBLANK(patch[[#This Row],[mergeDate]]), "", MID(YEAR(patch[[#This Row],[mergeDate]]), 3,2)&amp;"'ww"&amp;WEEKNUM(patch[[#This Row],[mergeDate]]))</f>
        <v>16'ww39</v>
      </c>
      <c r="U1577" s="7" t="str">
        <f>IF(ISBLANK(patch[[#This Row],[mergeDate]]), U1576, MID(YEAR(patch[[#This Row],[mergeDate]]), 3,2)&amp;"'m"&amp;MONTH(patch[[#This Row],[mergeDate]]))</f>
        <v>16'm9</v>
      </c>
      <c r="V1577" s="7">
        <f>IF(ISBLANK(patch[[#This Row],[project]]), "",SUM(patch[[#This Row],[BJ -1 num]:[SH -1 num]]))</f>
        <v>0</v>
      </c>
      <c r="W1577" s="7">
        <f>IF(ISBLANK(patch[[#This Row],[project]]), "",COUNTIFS($A:$A,patch[[#This Row],[number]],$S:$S, "BJ And dev",$AC:$AC, "Review-1"))</f>
        <v>0</v>
      </c>
      <c r="X1577" s="7">
        <f>IF(ISBLANK(patch[[#This Row],[project]]), "",COUNTIFS($A:$A,patch[[#This Row],[number]],$S:$S, "FL And dev",$AC:$AC, "Review-1"))</f>
        <v>0</v>
      </c>
      <c r="Y1577" s="7">
        <f>IF(ISBLANK(patch[[#This Row],[project]]), "",COUNTIFS($A:$A,patch[[#This Row],[number]],$S:$S, "SH And dev",$AC:$AC, "Review-1"))</f>
        <v>0</v>
      </c>
      <c r="Z1577" s="7">
        <f>IF(ISBLANK(patch[[#This Row],[project]]), "",COUNTIFS($A:$A,patch[[#This Row],[number]],$S:$S, "BJ And dev",$AD:$AD, "&lt;&gt;IntegratorValidationComment"))</f>
        <v>4</v>
      </c>
      <c r="AA1577" s="7">
        <f>IF(ISBLANK(patch[[#This Row],[project]]), "",COUNTIFS($A:$A,patch[[#This Row],[number]],$S:$S, "FL And dev",$AD:$AD, "&lt;&gt;IntegratorValidationComment"))</f>
        <v>0</v>
      </c>
      <c r="AB1577" s="7">
        <f>IF(ISBLANK(patch[[#This Row],[project]]), "",COUNTIFS($A:$A,patch[[#This Row],[number]],$S:$S, "SH And dev",$AD:$AD, "&lt;&gt;IntegratorValidationComment"))</f>
        <v>0</v>
      </c>
      <c r="AC1577" s="7" t="str">
        <f>IF(OR(ISNUMBER(FIND("Review-1", patch[[#This Row],[comments]])), ISNUMBER(FIND("Approver-1", patch[[#This Row],[comments]]))), "Review-1", "")</f>
        <v/>
      </c>
      <c r="AD15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77" s="7" t="str">
        <f>IF(ISBLANK(patch[[#This Row],[number]]),AE1576,patch[[#This Row],[ifCommon]])</f>
        <v>not AndrHAL</v>
      </c>
    </row>
    <row r="1578" spans="1:31">
      <c r="A1578" s="151">
        <v>146118</v>
      </c>
      <c r="B1578" s="151"/>
      <c r="C1578" s="151"/>
      <c r="D1578" s="151"/>
      <c r="E1578" s="151"/>
      <c r="F1578" s="151"/>
      <c r="G1578" s="151"/>
      <c r="H1578" s="151"/>
      <c r="I1578" s="151"/>
      <c r="J1578" s="152">
        <v>42632.753518518519</v>
      </c>
      <c r="K1578" s="151"/>
      <c r="L1578" s="151" t="s">
        <v>24</v>
      </c>
      <c r="M1578" s="152">
        <v>42631.510833333326</v>
      </c>
      <c r="N1578" s="151" t="s">
        <v>25</v>
      </c>
      <c r="O1578" s="151"/>
      <c r="P1578" s="151"/>
      <c r="Q1578" s="7" t="str">
        <f>IF(ISBLANK(patch[[#This Row],[OwnerEmail]]),Q1577,patch[[#This Row],[OwnerEmail]])</f>
        <v>qingwu.zhang@intel.com</v>
      </c>
      <c r="R1578" s="7" t="str">
        <f>_xlfn.IFNA(VLOOKUP(patch[[#This Row],[tmp-owner.email]],OrgTree!$A:$K, 11, 0), "not ICG SWFW")</f>
        <v>BJ And dev</v>
      </c>
      <c r="S1578" s="7" t="str">
        <f>IF(patch[[#This Row],[reviewer]]=patch[[#This Row],[tmp-owner.email]], "author", _xlfn.IFNA(VLOOKUP(patch[[#This Row],[reviewer]],OrgTree!$A:$K, 11, 0), "not ICG SWFW"))</f>
        <v>author</v>
      </c>
      <c r="T1578" s="7" t="str">
        <f>IF(ISBLANK(patch[[#This Row],[mergeDate]]), "", MID(YEAR(patch[[#This Row],[mergeDate]]), 3,2)&amp;"'ww"&amp;WEEKNUM(patch[[#This Row],[mergeDate]]))</f>
        <v>16'ww39</v>
      </c>
      <c r="U1578" s="7" t="str">
        <f>IF(ISBLANK(patch[[#This Row],[mergeDate]]), U1577, MID(YEAR(patch[[#This Row],[mergeDate]]), 3,2)&amp;"'m"&amp;MONTH(patch[[#This Row],[mergeDate]]))</f>
        <v>16'm9</v>
      </c>
      <c r="V1578" s="7" t="str">
        <f>IF(ISBLANK(patch[[#This Row],[project]]), "",SUM(patch[[#This Row],[BJ -1 num]:[SH -1 num]]))</f>
        <v/>
      </c>
      <c r="W1578" s="7" t="str">
        <f>IF(ISBLANK(patch[[#This Row],[project]]), "",COUNTIFS($A:$A,patch[[#This Row],[number]],$S:$S, "BJ And dev",$AC:$AC, "Review-1"))</f>
        <v/>
      </c>
      <c r="X1578" s="7" t="str">
        <f>IF(ISBLANK(patch[[#This Row],[project]]), "",COUNTIFS($A:$A,patch[[#This Row],[number]],$S:$S, "FL And dev",$AC:$AC, "Review-1"))</f>
        <v/>
      </c>
      <c r="Y1578" s="7" t="str">
        <f>IF(ISBLANK(patch[[#This Row],[project]]), "",COUNTIFS($A:$A,patch[[#This Row],[number]],$S:$S, "SH And dev",$AC:$AC, "Review-1"))</f>
        <v/>
      </c>
      <c r="Z1578" s="7" t="str">
        <f>IF(ISBLANK(patch[[#This Row],[project]]), "",COUNTIFS($A:$A,patch[[#This Row],[number]],$S:$S, "BJ And dev",$AD:$AD, "&lt;&gt;IntegratorValidationComment"))</f>
        <v/>
      </c>
      <c r="AA1578" s="7" t="str">
        <f>IF(ISBLANK(patch[[#This Row],[project]]), "",COUNTIFS($A:$A,patch[[#This Row],[number]],$S:$S, "FL And dev",$AD:$AD, "&lt;&gt;IntegratorValidationComment"))</f>
        <v/>
      </c>
      <c r="AB1578" s="7" t="str">
        <f>IF(ISBLANK(patch[[#This Row],[project]]), "",COUNTIFS($A:$A,patch[[#This Row],[number]],$S:$S, "SH And dev",$AD:$AD, "&lt;&gt;IntegratorValidationComment"))</f>
        <v/>
      </c>
      <c r="AC1578" s="7" t="str">
        <f>IF(OR(ISNUMBER(FIND("Review-1", patch[[#This Row],[comments]])), ISNUMBER(FIND("Approver-1", patch[[#This Row],[comments]]))), "Review-1", "")</f>
        <v/>
      </c>
      <c r="AD15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78" s="7">
        <f>IF(ISBLANK(patch[[#This Row],[number]]),AE1577,patch[[#This Row],[ifCommon]])</f>
        <v>0</v>
      </c>
    </row>
    <row r="1579" spans="1:31">
      <c r="A1579" s="151">
        <v>146118</v>
      </c>
      <c r="B1579" s="151"/>
      <c r="C1579" s="151"/>
      <c r="D1579" s="151"/>
      <c r="E1579" s="151"/>
      <c r="F1579" s="151"/>
      <c r="G1579" s="151"/>
      <c r="H1579" s="151"/>
      <c r="I1579" s="151"/>
      <c r="J1579" s="152">
        <v>42632.753518518519</v>
      </c>
      <c r="K1579" s="151"/>
      <c r="L1579" s="151" t="s">
        <v>24</v>
      </c>
      <c r="M1579" s="152">
        <v>42631.511041666658</v>
      </c>
      <c r="N1579" s="151" t="s">
        <v>40</v>
      </c>
      <c r="O1579" s="151"/>
      <c r="P1579" s="151"/>
      <c r="Q1579" s="7" t="str">
        <f>IF(ISBLANK(patch[[#This Row],[OwnerEmail]]),Q1578,patch[[#This Row],[OwnerEmail]])</f>
        <v>qingwu.zhang@intel.com</v>
      </c>
      <c r="R1579" s="7" t="str">
        <f>_xlfn.IFNA(VLOOKUP(patch[[#This Row],[tmp-owner.email]],OrgTree!$A:$K, 11, 0), "not ICG SWFW")</f>
        <v>BJ And dev</v>
      </c>
      <c r="S1579" s="7" t="str">
        <f>IF(patch[[#This Row],[reviewer]]=patch[[#This Row],[tmp-owner.email]], "author", _xlfn.IFNA(VLOOKUP(patch[[#This Row],[reviewer]],OrgTree!$A:$K, 11, 0), "not ICG SWFW"))</f>
        <v>author</v>
      </c>
      <c r="T1579" s="7" t="str">
        <f>IF(ISBLANK(patch[[#This Row],[mergeDate]]), "", MID(YEAR(patch[[#This Row],[mergeDate]]), 3,2)&amp;"'ww"&amp;WEEKNUM(patch[[#This Row],[mergeDate]]))</f>
        <v>16'ww39</v>
      </c>
      <c r="U1579" s="7" t="str">
        <f>IF(ISBLANK(patch[[#This Row],[mergeDate]]), U1578, MID(YEAR(patch[[#This Row],[mergeDate]]), 3,2)&amp;"'m"&amp;MONTH(patch[[#This Row],[mergeDate]]))</f>
        <v>16'm9</v>
      </c>
      <c r="V1579" s="7" t="str">
        <f>IF(ISBLANK(patch[[#This Row],[project]]), "",SUM(patch[[#This Row],[BJ -1 num]:[SH -1 num]]))</f>
        <v/>
      </c>
      <c r="W1579" s="7" t="str">
        <f>IF(ISBLANK(patch[[#This Row],[project]]), "",COUNTIFS($A:$A,patch[[#This Row],[number]],$S:$S, "BJ And dev",$AC:$AC, "Review-1"))</f>
        <v/>
      </c>
      <c r="X1579" s="7" t="str">
        <f>IF(ISBLANK(patch[[#This Row],[project]]), "",COUNTIFS($A:$A,patch[[#This Row],[number]],$S:$S, "FL And dev",$AC:$AC, "Review-1"))</f>
        <v/>
      </c>
      <c r="Y1579" s="7" t="str">
        <f>IF(ISBLANK(patch[[#This Row],[project]]), "",COUNTIFS($A:$A,patch[[#This Row],[number]],$S:$S, "SH And dev",$AC:$AC, "Review-1"))</f>
        <v/>
      </c>
      <c r="Z1579" s="7" t="str">
        <f>IF(ISBLANK(patch[[#This Row],[project]]), "",COUNTIFS($A:$A,patch[[#This Row],[number]],$S:$S, "BJ And dev",$AD:$AD, "&lt;&gt;IntegratorValidationComment"))</f>
        <v/>
      </c>
      <c r="AA1579" s="7" t="str">
        <f>IF(ISBLANK(patch[[#This Row],[project]]), "",COUNTIFS($A:$A,patch[[#This Row],[number]],$S:$S, "FL And dev",$AD:$AD, "&lt;&gt;IntegratorValidationComment"))</f>
        <v/>
      </c>
      <c r="AB1579" s="7" t="str">
        <f>IF(ISBLANK(patch[[#This Row],[project]]), "",COUNTIFS($A:$A,patch[[#This Row],[number]],$S:$S, "SH And dev",$AD:$AD, "&lt;&gt;IntegratorValidationComment"))</f>
        <v/>
      </c>
      <c r="AC1579" s="7" t="str">
        <f>IF(OR(ISNUMBER(FIND("Review-1", patch[[#This Row],[comments]])), ISNUMBER(FIND("Approver-1", patch[[#This Row],[comments]]))), "Review-1", "")</f>
        <v/>
      </c>
      <c r="AD15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79" s="7">
        <f>IF(ISBLANK(patch[[#This Row],[number]]),AE1578,patch[[#This Row],[ifCommon]])</f>
        <v>0</v>
      </c>
    </row>
    <row r="1580" spans="1:31">
      <c r="A1580" s="151">
        <v>146118</v>
      </c>
      <c r="B1580" s="151"/>
      <c r="C1580" s="151"/>
      <c r="D1580" s="151"/>
      <c r="E1580" s="151"/>
      <c r="F1580" s="151"/>
      <c r="G1580" s="151"/>
      <c r="H1580" s="151"/>
      <c r="I1580" s="151"/>
      <c r="J1580" s="152">
        <v>42632.753518518519</v>
      </c>
      <c r="K1580" s="151"/>
      <c r="L1580" s="151" t="s">
        <v>59</v>
      </c>
      <c r="M1580" s="152">
        <v>42631.647187499999</v>
      </c>
      <c r="N1580" s="151" t="s">
        <v>1880</v>
      </c>
      <c r="O1580" s="151"/>
      <c r="P1580" s="151"/>
      <c r="Q1580" s="7" t="str">
        <f>IF(ISBLANK(patch[[#This Row],[OwnerEmail]]),Q1579,patch[[#This Row],[OwnerEmail]])</f>
        <v>qingwu.zhang@intel.com</v>
      </c>
      <c r="R1580" s="7" t="str">
        <f>_xlfn.IFNA(VLOOKUP(patch[[#This Row],[tmp-owner.email]],OrgTree!$A:$K, 11, 0), "not ICG SWFW")</f>
        <v>BJ And dev</v>
      </c>
      <c r="S1580" s="7" t="str">
        <f>IF(patch[[#This Row],[reviewer]]=patch[[#This Row],[tmp-owner.email]], "author", _xlfn.IFNA(VLOOKUP(patch[[#This Row],[reviewer]],OrgTree!$A:$K, 11, 0), "not ICG SWFW"))</f>
        <v>BJ And dev</v>
      </c>
      <c r="T1580" s="7" t="str">
        <f>IF(ISBLANK(patch[[#This Row],[mergeDate]]), "", MID(YEAR(patch[[#This Row],[mergeDate]]), 3,2)&amp;"'ww"&amp;WEEKNUM(patch[[#This Row],[mergeDate]]))</f>
        <v>16'ww39</v>
      </c>
      <c r="U1580" s="7" t="str">
        <f>IF(ISBLANK(patch[[#This Row],[mergeDate]]), U1579, MID(YEAR(patch[[#This Row],[mergeDate]]), 3,2)&amp;"'m"&amp;MONTH(patch[[#This Row],[mergeDate]]))</f>
        <v>16'm9</v>
      </c>
      <c r="V1580" s="7" t="str">
        <f>IF(ISBLANK(patch[[#This Row],[project]]), "",SUM(patch[[#This Row],[BJ -1 num]:[SH -1 num]]))</f>
        <v/>
      </c>
      <c r="W1580" s="7" t="str">
        <f>IF(ISBLANK(patch[[#This Row],[project]]), "",COUNTIFS($A:$A,patch[[#This Row],[number]],$S:$S, "BJ And dev",$AC:$AC, "Review-1"))</f>
        <v/>
      </c>
      <c r="X1580" s="7" t="str">
        <f>IF(ISBLANK(patch[[#This Row],[project]]), "",COUNTIFS($A:$A,patch[[#This Row],[number]],$S:$S, "FL And dev",$AC:$AC, "Review-1"))</f>
        <v/>
      </c>
      <c r="Y1580" s="7" t="str">
        <f>IF(ISBLANK(patch[[#This Row],[project]]), "",COUNTIFS($A:$A,patch[[#This Row],[number]],$S:$S, "SH And dev",$AC:$AC, "Review-1"))</f>
        <v/>
      </c>
      <c r="Z1580" s="7" t="str">
        <f>IF(ISBLANK(patch[[#This Row],[project]]), "",COUNTIFS($A:$A,patch[[#This Row],[number]],$S:$S, "BJ And dev",$AD:$AD, "&lt;&gt;IntegratorValidationComment"))</f>
        <v/>
      </c>
      <c r="AA1580" s="7" t="str">
        <f>IF(ISBLANK(patch[[#This Row],[project]]), "",COUNTIFS($A:$A,patch[[#This Row],[number]],$S:$S, "FL And dev",$AD:$AD, "&lt;&gt;IntegratorValidationComment"))</f>
        <v/>
      </c>
      <c r="AB1580" s="7" t="str">
        <f>IF(ISBLANK(patch[[#This Row],[project]]), "",COUNTIFS($A:$A,patch[[#This Row],[number]],$S:$S, "SH And dev",$AD:$AD, "&lt;&gt;IntegratorValidationComment"))</f>
        <v/>
      </c>
      <c r="AC1580" s="7" t="str">
        <f>IF(OR(ISNUMBER(FIND("Review-1", patch[[#This Row],[comments]])), ISNUMBER(FIND("Approver-1", patch[[#This Row],[comments]]))), "Review-1", "")</f>
        <v/>
      </c>
      <c r="AD15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80" s="7">
        <f>IF(ISBLANK(patch[[#This Row],[number]]),AE1579,patch[[#This Row],[ifCommon]])</f>
        <v>0</v>
      </c>
    </row>
    <row r="1581" spans="1:31">
      <c r="A1581" s="151">
        <v>146118</v>
      </c>
      <c r="B1581" s="151"/>
      <c r="C1581" s="151"/>
      <c r="D1581" s="151"/>
      <c r="E1581" s="151"/>
      <c r="F1581" s="151"/>
      <c r="G1581" s="151"/>
      <c r="H1581" s="151"/>
      <c r="I1581" s="151"/>
      <c r="J1581" s="152">
        <v>42632.753518518519</v>
      </c>
      <c r="K1581" s="151"/>
      <c r="L1581" s="151" t="s">
        <v>1203</v>
      </c>
      <c r="M1581" s="152">
        <v>42631.647499999999</v>
      </c>
      <c r="N1581" s="151" t="s">
        <v>40</v>
      </c>
      <c r="O1581" s="151"/>
      <c r="P1581" s="151"/>
      <c r="Q1581" s="7" t="str">
        <f>IF(ISBLANK(patch[[#This Row],[OwnerEmail]]),Q1580,patch[[#This Row],[OwnerEmail]])</f>
        <v>qingwu.zhang@intel.com</v>
      </c>
      <c r="R1581" s="7" t="str">
        <f>_xlfn.IFNA(VLOOKUP(patch[[#This Row],[tmp-owner.email]],OrgTree!$A:$K, 11, 0), "not ICG SWFW")</f>
        <v>BJ And dev</v>
      </c>
      <c r="S1581" s="7" t="str">
        <f>IF(patch[[#This Row],[reviewer]]=patch[[#This Row],[tmp-owner.email]], "author", _xlfn.IFNA(VLOOKUP(patch[[#This Row],[reviewer]],OrgTree!$A:$K, 11, 0), "not ICG SWFW"))</f>
        <v>BJ And dev</v>
      </c>
      <c r="T1581" s="7" t="str">
        <f>IF(ISBLANK(patch[[#This Row],[mergeDate]]), "", MID(YEAR(patch[[#This Row],[mergeDate]]), 3,2)&amp;"'ww"&amp;WEEKNUM(patch[[#This Row],[mergeDate]]))</f>
        <v>16'ww39</v>
      </c>
      <c r="U1581" s="7" t="str">
        <f>IF(ISBLANK(patch[[#This Row],[mergeDate]]), U1580, MID(YEAR(patch[[#This Row],[mergeDate]]), 3,2)&amp;"'m"&amp;MONTH(patch[[#This Row],[mergeDate]]))</f>
        <v>16'm9</v>
      </c>
      <c r="V1581" s="7" t="str">
        <f>IF(ISBLANK(patch[[#This Row],[project]]), "",SUM(patch[[#This Row],[BJ -1 num]:[SH -1 num]]))</f>
        <v/>
      </c>
      <c r="W1581" s="7" t="str">
        <f>IF(ISBLANK(patch[[#This Row],[project]]), "",COUNTIFS($A:$A,patch[[#This Row],[number]],$S:$S, "BJ And dev",$AC:$AC, "Review-1"))</f>
        <v/>
      </c>
      <c r="X1581" s="7" t="str">
        <f>IF(ISBLANK(patch[[#This Row],[project]]), "",COUNTIFS($A:$A,patch[[#This Row],[number]],$S:$S, "FL And dev",$AC:$AC, "Review-1"))</f>
        <v/>
      </c>
      <c r="Y1581" s="7" t="str">
        <f>IF(ISBLANK(patch[[#This Row],[project]]), "",COUNTIFS($A:$A,patch[[#This Row],[number]],$S:$S, "SH And dev",$AC:$AC, "Review-1"))</f>
        <v/>
      </c>
      <c r="Z1581" s="7" t="str">
        <f>IF(ISBLANK(patch[[#This Row],[project]]), "",COUNTIFS($A:$A,patch[[#This Row],[number]],$S:$S, "BJ And dev",$AD:$AD, "&lt;&gt;IntegratorValidationComment"))</f>
        <v/>
      </c>
      <c r="AA1581" s="7" t="str">
        <f>IF(ISBLANK(patch[[#This Row],[project]]), "",COUNTIFS($A:$A,patch[[#This Row],[number]],$S:$S, "FL And dev",$AD:$AD, "&lt;&gt;IntegratorValidationComment"))</f>
        <v/>
      </c>
      <c r="AB1581" s="7" t="str">
        <f>IF(ISBLANK(patch[[#This Row],[project]]), "",COUNTIFS($A:$A,patch[[#This Row],[number]],$S:$S, "SH And dev",$AD:$AD, "&lt;&gt;IntegratorValidationComment"))</f>
        <v/>
      </c>
      <c r="AC1581" s="7" t="str">
        <f>IF(OR(ISNUMBER(FIND("Review-1", patch[[#This Row],[comments]])), ISNUMBER(FIND("Approver-1", patch[[#This Row],[comments]]))), "Review-1", "")</f>
        <v/>
      </c>
      <c r="AD15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81" s="7">
        <f>IF(ISBLANK(patch[[#This Row],[number]]),AE1580,patch[[#This Row],[ifCommon]])</f>
        <v>0</v>
      </c>
    </row>
    <row r="1582" spans="1:31">
      <c r="A1582" s="151">
        <v>146118</v>
      </c>
      <c r="B1582" s="151"/>
      <c r="C1582" s="151"/>
      <c r="D1582" s="151"/>
      <c r="E1582" s="151"/>
      <c r="F1582" s="151"/>
      <c r="G1582" s="151"/>
      <c r="H1582" s="151"/>
      <c r="I1582" s="151"/>
      <c r="J1582" s="152">
        <v>42632.753518518519</v>
      </c>
      <c r="K1582" s="151"/>
      <c r="L1582" s="151" t="s">
        <v>59</v>
      </c>
      <c r="M1582" s="152">
        <v>42631.783206018517</v>
      </c>
      <c r="N1582" s="151" t="s">
        <v>3381</v>
      </c>
      <c r="O1582" s="151"/>
      <c r="P1582" s="151"/>
      <c r="Q1582" s="7" t="str">
        <f>IF(ISBLANK(patch[[#This Row],[OwnerEmail]]),Q1581,patch[[#This Row],[OwnerEmail]])</f>
        <v>qingwu.zhang@intel.com</v>
      </c>
      <c r="R1582" s="7" t="str">
        <f>_xlfn.IFNA(VLOOKUP(patch[[#This Row],[tmp-owner.email]],OrgTree!$A:$K, 11, 0), "not ICG SWFW")</f>
        <v>BJ And dev</v>
      </c>
      <c r="S1582" s="7" t="str">
        <f>IF(patch[[#This Row],[reviewer]]=patch[[#This Row],[tmp-owner.email]], "author", _xlfn.IFNA(VLOOKUP(patch[[#This Row],[reviewer]],OrgTree!$A:$K, 11, 0), "not ICG SWFW"))</f>
        <v>BJ And dev</v>
      </c>
      <c r="T1582" s="7" t="str">
        <f>IF(ISBLANK(patch[[#This Row],[mergeDate]]), "", MID(YEAR(patch[[#This Row],[mergeDate]]), 3,2)&amp;"'ww"&amp;WEEKNUM(patch[[#This Row],[mergeDate]]))</f>
        <v>16'ww39</v>
      </c>
      <c r="U1582" s="7" t="str">
        <f>IF(ISBLANK(patch[[#This Row],[mergeDate]]), U1581, MID(YEAR(patch[[#This Row],[mergeDate]]), 3,2)&amp;"'m"&amp;MONTH(patch[[#This Row],[mergeDate]]))</f>
        <v>16'm9</v>
      </c>
      <c r="V1582" s="7" t="str">
        <f>IF(ISBLANK(patch[[#This Row],[project]]), "",SUM(patch[[#This Row],[BJ -1 num]:[SH -1 num]]))</f>
        <v/>
      </c>
      <c r="W1582" s="7" t="str">
        <f>IF(ISBLANK(patch[[#This Row],[project]]), "",COUNTIFS($A:$A,patch[[#This Row],[number]],$S:$S, "BJ And dev",$AC:$AC, "Review-1"))</f>
        <v/>
      </c>
      <c r="X1582" s="7" t="str">
        <f>IF(ISBLANK(patch[[#This Row],[project]]), "",COUNTIFS($A:$A,patch[[#This Row],[number]],$S:$S, "FL And dev",$AC:$AC, "Review-1"))</f>
        <v/>
      </c>
      <c r="Y1582" s="7" t="str">
        <f>IF(ISBLANK(patch[[#This Row],[project]]), "",COUNTIFS($A:$A,patch[[#This Row],[number]],$S:$S, "SH And dev",$AC:$AC, "Review-1"))</f>
        <v/>
      </c>
      <c r="Z1582" s="7" t="str">
        <f>IF(ISBLANK(patch[[#This Row],[project]]), "",COUNTIFS($A:$A,patch[[#This Row],[number]],$S:$S, "BJ And dev",$AD:$AD, "&lt;&gt;IntegratorValidationComment"))</f>
        <v/>
      </c>
      <c r="AA1582" s="7" t="str">
        <f>IF(ISBLANK(patch[[#This Row],[project]]), "",COUNTIFS($A:$A,patch[[#This Row],[number]],$S:$S, "FL And dev",$AD:$AD, "&lt;&gt;IntegratorValidationComment"))</f>
        <v/>
      </c>
      <c r="AB1582" s="7" t="str">
        <f>IF(ISBLANK(patch[[#This Row],[project]]), "",COUNTIFS($A:$A,patch[[#This Row],[number]],$S:$S, "SH And dev",$AD:$AD, "&lt;&gt;IntegratorValidationComment"))</f>
        <v/>
      </c>
      <c r="AC1582" s="7" t="str">
        <f>IF(OR(ISNUMBER(FIND("Review-1", patch[[#This Row],[comments]])), ISNUMBER(FIND("Approver-1", patch[[#This Row],[comments]]))), "Review-1", "")</f>
        <v/>
      </c>
      <c r="AD15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82" s="7">
        <f>IF(ISBLANK(patch[[#This Row],[number]]),AE1581,patch[[#This Row],[ifCommon]])</f>
        <v>0</v>
      </c>
    </row>
    <row r="1583" spans="1:31">
      <c r="A1583" s="151">
        <v>146118</v>
      </c>
      <c r="B1583" s="151"/>
      <c r="C1583" s="151"/>
      <c r="D1583" s="151"/>
      <c r="E1583" s="151"/>
      <c r="F1583" s="151"/>
      <c r="G1583" s="151"/>
      <c r="H1583" s="151"/>
      <c r="I1583" s="152"/>
      <c r="J1583" s="152">
        <v>42632.753518518519</v>
      </c>
      <c r="K1583" s="151"/>
      <c r="L1583" s="151" t="s">
        <v>59</v>
      </c>
      <c r="M1583" s="152">
        <v>42631.811400462961</v>
      </c>
      <c r="N1583" s="151" t="s">
        <v>3382</v>
      </c>
      <c r="O1583" s="151"/>
      <c r="P1583" s="151"/>
      <c r="Q1583" s="7" t="str">
        <f>IF(ISBLANK(patch[[#This Row],[OwnerEmail]]),Q1582,patch[[#This Row],[OwnerEmail]])</f>
        <v>qingwu.zhang@intel.com</v>
      </c>
      <c r="R1583" s="7" t="str">
        <f>_xlfn.IFNA(VLOOKUP(patch[[#This Row],[tmp-owner.email]],OrgTree!$A:$K, 11, 0), "not ICG SWFW")</f>
        <v>BJ And dev</v>
      </c>
      <c r="S1583" s="7" t="str">
        <f>IF(patch[[#This Row],[reviewer]]=patch[[#This Row],[tmp-owner.email]], "author", _xlfn.IFNA(VLOOKUP(patch[[#This Row],[reviewer]],OrgTree!$A:$K, 11, 0), "not ICG SWFW"))</f>
        <v>BJ And dev</v>
      </c>
      <c r="T1583" s="7" t="str">
        <f>IF(ISBLANK(patch[[#This Row],[mergeDate]]), "", MID(YEAR(patch[[#This Row],[mergeDate]]), 3,2)&amp;"'ww"&amp;WEEKNUM(patch[[#This Row],[mergeDate]]))</f>
        <v>16'ww39</v>
      </c>
      <c r="U1583" s="7" t="str">
        <f>IF(ISBLANK(patch[[#This Row],[mergeDate]]), U1582, MID(YEAR(patch[[#This Row],[mergeDate]]), 3,2)&amp;"'m"&amp;MONTH(patch[[#This Row],[mergeDate]]))</f>
        <v>16'm9</v>
      </c>
      <c r="V1583" s="7" t="str">
        <f>IF(ISBLANK(patch[[#This Row],[project]]), "",SUM(patch[[#This Row],[BJ -1 num]:[SH -1 num]]))</f>
        <v/>
      </c>
      <c r="W1583" s="7" t="str">
        <f>IF(ISBLANK(patch[[#This Row],[project]]), "",COUNTIFS($A:$A,patch[[#This Row],[number]],$S:$S, "BJ And dev",$AC:$AC, "Review-1"))</f>
        <v/>
      </c>
      <c r="X1583" s="7" t="str">
        <f>IF(ISBLANK(patch[[#This Row],[project]]), "",COUNTIFS($A:$A,patch[[#This Row],[number]],$S:$S, "FL And dev",$AC:$AC, "Review-1"))</f>
        <v/>
      </c>
      <c r="Y1583" s="7" t="str">
        <f>IF(ISBLANK(patch[[#This Row],[project]]), "",COUNTIFS($A:$A,patch[[#This Row],[number]],$S:$S, "SH And dev",$AC:$AC, "Review-1"))</f>
        <v/>
      </c>
      <c r="Z1583" s="7" t="str">
        <f>IF(ISBLANK(patch[[#This Row],[project]]), "",COUNTIFS($A:$A,patch[[#This Row],[number]],$S:$S, "BJ And dev",$AD:$AD, "&lt;&gt;IntegratorValidationComment"))</f>
        <v/>
      </c>
      <c r="AA1583" s="7" t="str">
        <f>IF(ISBLANK(patch[[#This Row],[project]]), "",COUNTIFS($A:$A,patch[[#This Row],[number]],$S:$S, "FL And dev",$AD:$AD, "&lt;&gt;IntegratorValidationComment"))</f>
        <v/>
      </c>
      <c r="AB1583" s="7" t="str">
        <f>IF(ISBLANK(patch[[#This Row],[project]]), "",COUNTIFS($A:$A,patch[[#This Row],[number]],$S:$S, "SH And dev",$AD:$AD, "&lt;&gt;IntegratorValidationComment"))</f>
        <v/>
      </c>
      <c r="AC1583" s="7" t="str">
        <f>IF(OR(ISNUMBER(FIND("Review-1", patch[[#This Row],[comments]])), ISNUMBER(FIND("Approver-1", patch[[#This Row],[comments]]))), "Review-1", "")</f>
        <v/>
      </c>
      <c r="AD15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83" s="7">
        <f>IF(ISBLANK(patch[[#This Row],[number]]),AE1582,patch[[#This Row],[ifCommon]])</f>
        <v>0</v>
      </c>
    </row>
    <row r="1584" spans="1:31">
      <c r="A1584" s="151">
        <v>146118</v>
      </c>
      <c r="B1584" s="151"/>
      <c r="C1584" s="151"/>
      <c r="D1584" s="151"/>
      <c r="E1584" s="151"/>
      <c r="F1584" s="151"/>
      <c r="G1584" s="151"/>
      <c r="H1584" s="151"/>
      <c r="I1584" s="151"/>
      <c r="J1584" s="152">
        <v>42632.753518518519</v>
      </c>
      <c r="K1584" s="151"/>
      <c r="L1584" s="151" t="s">
        <v>115</v>
      </c>
      <c r="M1584" s="152">
        <v>42632.620162037027</v>
      </c>
      <c r="N1584" s="151" t="s">
        <v>2494</v>
      </c>
      <c r="O1584" s="151"/>
      <c r="P1584" s="151"/>
      <c r="Q1584" s="7" t="str">
        <f>IF(ISBLANK(patch[[#This Row],[OwnerEmail]]),Q1583,patch[[#This Row],[OwnerEmail]])</f>
        <v>qingwu.zhang@intel.com</v>
      </c>
      <c r="R1584" s="7" t="str">
        <f>_xlfn.IFNA(VLOOKUP(patch[[#This Row],[tmp-owner.email]],OrgTree!$A:$K, 11, 0), "not ICG SWFW")</f>
        <v>BJ And dev</v>
      </c>
      <c r="S1584" s="7" t="str">
        <f>IF(patch[[#This Row],[reviewer]]=patch[[#This Row],[tmp-owner.email]], "author", _xlfn.IFNA(VLOOKUP(patch[[#This Row],[reviewer]],OrgTree!$A:$K, 11, 0), "not ICG SWFW"))</f>
        <v>Val</v>
      </c>
      <c r="T1584" s="7" t="str">
        <f>IF(ISBLANK(patch[[#This Row],[mergeDate]]), "", MID(YEAR(patch[[#This Row],[mergeDate]]), 3,2)&amp;"'ww"&amp;WEEKNUM(patch[[#This Row],[mergeDate]]))</f>
        <v>16'ww39</v>
      </c>
      <c r="U1584" s="7" t="str">
        <f>IF(ISBLANK(patch[[#This Row],[mergeDate]]), U1583, MID(YEAR(patch[[#This Row],[mergeDate]]), 3,2)&amp;"'m"&amp;MONTH(patch[[#This Row],[mergeDate]]))</f>
        <v>16'm9</v>
      </c>
      <c r="V1584" s="7" t="str">
        <f>IF(ISBLANK(patch[[#This Row],[project]]), "",SUM(patch[[#This Row],[BJ -1 num]:[SH -1 num]]))</f>
        <v/>
      </c>
      <c r="W1584" s="7" t="str">
        <f>IF(ISBLANK(patch[[#This Row],[project]]), "",COUNTIFS($A:$A,patch[[#This Row],[number]],$S:$S, "BJ And dev",$AC:$AC, "Review-1"))</f>
        <v/>
      </c>
      <c r="X1584" s="7" t="str">
        <f>IF(ISBLANK(patch[[#This Row],[project]]), "",COUNTIFS($A:$A,patch[[#This Row],[number]],$S:$S, "FL And dev",$AC:$AC, "Review-1"))</f>
        <v/>
      </c>
      <c r="Y1584" s="7" t="str">
        <f>IF(ISBLANK(patch[[#This Row],[project]]), "",COUNTIFS($A:$A,patch[[#This Row],[number]],$S:$S, "SH And dev",$AC:$AC, "Review-1"))</f>
        <v/>
      </c>
      <c r="Z1584" s="7" t="str">
        <f>IF(ISBLANK(patch[[#This Row],[project]]), "",COUNTIFS($A:$A,patch[[#This Row],[number]],$S:$S, "BJ And dev",$AD:$AD, "&lt;&gt;IntegratorValidationComment"))</f>
        <v/>
      </c>
      <c r="AA1584" s="7" t="str">
        <f>IF(ISBLANK(patch[[#This Row],[project]]), "",COUNTIFS($A:$A,patch[[#This Row],[number]],$S:$S, "FL And dev",$AD:$AD, "&lt;&gt;IntegratorValidationComment"))</f>
        <v/>
      </c>
      <c r="AB1584" s="7" t="str">
        <f>IF(ISBLANK(patch[[#This Row],[project]]), "",COUNTIFS($A:$A,patch[[#This Row],[number]],$S:$S, "SH And dev",$AD:$AD, "&lt;&gt;IntegratorValidationComment"))</f>
        <v/>
      </c>
      <c r="AC1584" s="7" t="str">
        <f>IF(OR(ISNUMBER(FIND("Review-1", patch[[#This Row],[comments]])), ISNUMBER(FIND("Approver-1", patch[[#This Row],[comments]]))), "Review-1", "")</f>
        <v/>
      </c>
      <c r="AD15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584" s="7">
        <f>IF(ISBLANK(patch[[#This Row],[number]]),AE1583,patch[[#This Row],[ifCommon]])</f>
        <v>0</v>
      </c>
    </row>
    <row r="1585" spans="1:31">
      <c r="A1585" s="151">
        <v>146117</v>
      </c>
      <c r="B1585" s="151" t="s">
        <v>2490</v>
      </c>
      <c r="C1585" s="151" t="s">
        <v>2795</v>
      </c>
      <c r="D1585" s="151" t="s">
        <v>3383</v>
      </c>
      <c r="E1585" s="151" t="s">
        <v>24</v>
      </c>
      <c r="F1585" s="151" t="s">
        <v>23</v>
      </c>
      <c r="G1585" s="151" t="s">
        <v>3384</v>
      </c>
      <c r="H1585" s="151" t="s">
        <v>3385</v>
      </c>
      <c r="I1585" s="152">
        <v>42631.510335648149</v>
      </c>
      <c r="J1585" s="152">
        <v>42632.753483796303</v>
      </c>
      <c r="K1585" s="151" t="s">
        <v>2445</v>
      </c>
      <c r="L1585" s="151" t="s">
        <v>24</v>
      </c>
      <c r="M1585" s="152">
        <v>42631.510335648149</v>
      </c>
      <c r="N1585" s="151" t="s">
        <v>2428</v>
      </c>
      <c r="O1585" s="151"/>
      <c r="P1585" s="151" t="s">
        <v>59</v>
      </c>
      <c r="Q1585" s="7" t="str">
        <f>IF(ISBLANK(patch[[#This Row],[OwnerEmail]]),Q1584,patch[[#This Row],[OwnerEmail]])</f>
        <v>qingwu.zhang@intel.com</v>
      </c>
      <c r="R1585" s="7" t="str">
        <f>_xlfn.IFNA(VLOOKUP(patch[[#This Row],[tmp-owner.email]],OrgTree!$A:$K, 11, 0), "not ICG SWFW")</f>
        <v>BJ And dev</v>
      </c>
      <c r="S1585" s="7" t="str">
        <f>IF(patch[[#This Row],[reviewer]]=patch[[#This Row],[tmp-owner.email]], "author", _xlfn.IFNA(VLOOKUP(patch[[#This Row],[reviewer]],OrgTree!$A:$K, 11, 0), "not ICG SWFW"))</f>
        <v>author</v>
      </c>
      <c r="T1585" s="7" t="str">
        <f>IF(ISBLANK(patch[[#This Row],[mergeDate]]), "", MID(YEAR(patch[[#This Row],[mergeDate]]), 3,2)&amp;"'ww"&amp;WEEKNUM(patch[[#This Row],[mergeDate]]))</f>
        <v>16'ww39</v>
      </c>
      <c r="U1585" s="7" t="str">
        <f>IF(ISBLANK(patch[[#This Row],[mergeDate]]), U1584, MID(YEAR(patch[[#This Row],[mergeDate]]), 3,2)&amp;"'m"&amp;MONTH(patch[[#This Row],[mergeDate]]))</f>
        <v>16'm9</v>
      </c>
      <c r="V1585" s="7">
        <f>IF(ISBLANK(patch[[#This Row],[project]]), "",SUM(patch[[#This Row],[BJ -1 num]:[SH -1 num]]))</f>
        <v>0</v>
      </c>
      <c r="W1585" s="7">
        <f>IF(ISBLANK(patch[[#This Row],[project]]), "",COUNTIFS($A:$A,patch[[#This Row],[number]],$S:$S, "BJ And dev",$AC:$AC, "Review-1"))</f>
        <v>0</v>
      </c>
      <c r="X1585" s="7">
        <f>IF(ISBLANK(patch[[#This Row],[project]]), "",COUNTIFS($A:$A,patch[[#This Row],[number]],$S:$S, "FL And dev",$AC:$AC, "Review-1"))</f>
        <v>0</v>
      </c>
      <c r="Y1585" s="7">
        <f>IF(ISBLANK(patch[[#This Row],[project]]), "",COUNTIFS($A:$A,patch[[#This Row],[number]],$S:$S, "SH And dev",$AC:$AC, "Review-1"))</f>
        <v>0</v>
      </c>
      <c r="Z1585" s="7">
        <f>IF(ISBLANK(patch[[#This Row],[project]]), "",COUNTIFS($A:$A,patch[[#This Row],[number]],$S:$S, "BJ And dev",$AD:$AD, "&lt;&gt;IntegratorValidationComment"))</f>
        <v>3</v>
      </c>
      <c r="AA1585" s="7">
        <f>IF(ISBLANK(patch[[#This Row],[project]]), "",COUNTIFS($A:$A,patch[[#This Row],[number]],$S:$S, "FL And dev",$AD:$AD, "&lt;&gt;IntegratorValidationComment"))</f>
        <v>0</v>
      </c>
      <c r="AB1585" s="7">
        <f>IF(ISBLANK(patch[[#This Row],[project]]), "",COUNTIFS($A:$A,patch[[#This Row],[number]],$S:$S, "SH And dev",$AD:$AD, "&lt;&gt;IntegratorValidationComment"))</f>
        <v>0</v>
      </c>
      <c r="AC1585" s="7" t="str">
        <f>IF(OR(ISNUMBER(FIND("Review-1", patch[[#This Row],[comments]])), ISNUMBER(FIND("Approver-1", patch[[#This Row],[comments]]))), "Review-1", "")</f>
        <v/>
      </c>
      <c r="AD15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85" s="7" t="str">
        <f>IF(ISBLANK(patch[[#This Row],[number]]),AE1584,patch[[#This Row],[ifCommon]])</f>
        <v>not AndrHAL</v>
      </c>
    </row>
    <row r="1586" spans="1:31">
      <c r="A1586" s="151">
        <v>146117</v>
      </c>
      <c r="B1586" s="151"/>
      <c r="C1586" s="151"/>
      <c r="D1586" s="151"/>
      <c r="E1586" s="151"/>
      <c r="F1586" s="151"/>
      <c r="G1586" s="151"/>
      <c r="H1586" s="151"/>
      <c r="I1586" s="151"/>
      <c r="J1586" s="152">
        <v>42632.753483796303</v>
      </c>
      <c r="K1586" s="151"/>
      <c r="L1586" s="151" t="s">
        <v>24</v>
      </c>
      <c r="M1586" s="152">
        <v>42631.510335648149</v>
      </c>
      <c r="N1586" s="151" t="s">
        <v>25</v>
      </c>
      <c r="O1586" s="151"/>
      <c r="P1586" s="151"/>
      <c r="Q1586" s="7" t="str">
        <f>IF(ISBLANK(patch[[#This Row],[OwnerEmail]]),Q1585,patch[[#This Row],[OwnerEmail]])</f>
        <v>qingwu.zhang@intel.com</v>
      </c>
      <c r="R1586" s="7" t="str">
        <f>_xlfn.IFNA(VLOOKUP(patch[[#This Row],[tmp-owner.email]],OrgTree!$A:$K, 11, 0), "not ICG SWFW")</f>
        <v>BJ And dev</v>
      </c>
      <c r="S1586" s="7" t="str">
        <f>IF(patch[[#This Row],[reviewer]]=patch[[#This Row],[tmp-owner.email]], "author", _xlfn.IFNA(VLOOKUP(patch[[#This Row],[reviewer]],OrgTree!$A:$K, 11, 0), "not ICG SWFW"))</f>
        <v>author</v>
      </c>
      <c r="T1586" s="7" t="str">
        <f>IF(ISBLANK(patch[[#This Row],[mergeDate]]), "", MID(YEAR(patch[[#This Row],[mergeDate]]), 3,2)&amp;"'ww"&amp;WEEKNUM(patch[[#This Row],[mergeDate]]))</f>
        <v>16'ww39</v>
      </c>
      <c r="U1586" s="7" t="str">
        <f>IF(ISBLANK(patch[[#This Row],[mergeDate]]), U1585, MID(YEAR(patch[[#This Row],[mergeDate]]), 3,2)&amp;"'m"&amp;MONTH(patch[[#This Row],[mergeDate]]))</f>
        <v>16'm9</v>
      </c>
      <c r="V1586" s="7" t="str">
        <f>IF(ISBLANK(patch[[#This Row],[project]]), "",SUM(patch[[#This Row],[BJ -1 num]:[SH -1 num]]))</f>
        <v/>
      </c>
      <c r="W1586" s="7" t="str">
        <f>IF(ISBLANK(patch[[#This Row],[project]]), "",COUNTIFS($A:$A,patch[[#This Row],[number]],$S:$S, "BJ And dev",$AC:$AC, "Review-1"))</f>
        <v/>
      </c>
      <c r="X1586" s="7" t="str">
        <f>IF(ISBLANK(patch[[#This Row],[project]]), "",COUNTIFS($A:$A,patch[[#This Row],[number]],$S:$S, "FL And dev",$AC:$AC, "Review-1"))</f>
        <v/>
      </c>
      <c r="Y1586" s="7" t="str">
        <f>IF(ISBLANK(patch[[#This Row],[project]]), "",COUNTIFS($A:$A,patch[[#This Row],[number]],$S:$S, "SH And dev",$AC:$AC, "Review-1"))</f>
        <v/>
      </c>
      <c r="Z1586" s="7" t="str">
        <f>IF(ISBLANK(patch[[#This Row],[project]]), "",COUNTIFS($A:$A,patch[[#This Row],[number]],$S:$S, "BJ And dev",$AD:$AD, "&lt;&gt;IntegratorValidationComment"))</f>
        <v/>
      </c>
      <c r="AA1586" s="7" t="str">
        <f>IF(ISBLANK(patch[[#This Row],[project]]), "",COUNTIFS($A:$A,patch[[#This Row],[number]],$S:$S, "FL And dev",$AD:$AD, "&lt;&gt;IntegratorValidationComment"))</f>
        <v/>
      </c>
      <c r="AB1586" s="7" t="str">
        <f>IF(ISBLANK(patch[[#This Row],[project]]), "",COUNTIFS($A:$A,patch[[#This Row],[number]],$S:$S, "SH And dev",$AD:$AD, "&lt;&gt;IntegratorValidationComment"))</f>
        <v/>
      </c>
      <c r="AC1586" s="7" t="str">
        <f>IF(OR(ISNUMBER(FIND("Review-1", patch[[#This Row],[comments]])), ISNUMBER(FIND("Approver-1", patch[[#This Row],[comments]]))), "Review-1", "")</f>
        <v/>
      </c>
      <c r="AD15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86" s="7">
        <f>IF(ISBLANK(patch[[#This Row],[number]]),AE1585,patch[[#This Row],[ifCommon]])</f>
        <v>0</v>
      </c>
    </row>
    <row r="1587" spans="1:31">
      <c r="A1587" s="151">
        <v>146117</v>
      </c>
      <c r="B1587" s="151"/>
      <c r="C1587" s="151"/>
      <c r="D1587" s="151"/>
      <c r="E1587" s="151"/>
      <c r="F1587" s="151"/>
      <c r="G1587" s="151"/>
      <c r="H1587" s="151"/>
      <c r="I1587" s="151"/>
      <c r="J1587" s="152">
        <v>42632.753483796303</v>
      </c>
      <c r="K1587" s="151"/>
      <c r="L1587" s="151" t="s">
        <v>24</v>
      </c>
      <c r="M1587" s="152">
        <v>42631.510960648149</v>
      </c>
      <c r="N1587" s="151" t="s">
        <v>40</v>
      </c>
      <c r="O1587" s="151"/>
      <c r="P1587" s="151"/>
      <c r="Q1587" s="7" t="str">
        <f>IF(ISBLANK(patch[[#This Row],[OwnerEmail]]),Q1586,patch[[#This Row],[OwnerEmail]])</f>
        <v>qingwu.zhang@intel.com</v>
      </c>
      <c r="R1587" s="7" t="str">
        <f>_xlfn.IFNA(VLOOKUP(patch[[#This Row],[tmp-owner.email]],OrgTree!$A:$K, 11, 0), "not ICG SWFW")</f>
        <v>BJ And dev</v>
      </c>
      <c r="S1587" s="7" t="str">
        <f>IF(patch[[#This Row],[reviewer]]=patch[[#This Row],[tmp-owner.email]], "author", _xlfn.IFNA(VLOOKUP(patch[[#This Row],[reviewer]],OrgTree!$A:$K, 11, 0), "not ICG SWFW"))</f>
        <v>author</v>
      </c>
      <c r="T1587" s="7" t="str">
        <f>IF(ISBLANK(patch[[#This Row],[mergeDate]]), "", MID(YEAR(patch[[#This Row],[mergeDate]]), 3,2)&amp;"'ww"&amp;WEEKNUM(patch[[#This Row],[mergeDate]]))</f>
        <v>16'ww39</v>
      </c>
      <c r="U1587" s="7" t="str">
        <f>IF(ISBLANK(patch[[#This Row],[mergeDate]]), U1586, MID(YEAR(patch[[#This Row],[mergeDate]]), 3,2)&amp;"'m"&amp;MONTH(patch[[#This Row],[mergeDate]]))</f>
        <v>16'm9</v>
      </c>
      <c r="V1587" s="7" t="str">
        <f>IF(ISBLANK(patch[[#This Row],[project]]), "",SUM(patch[[#This Row],[BJ -1 num]:[SH -1 num]]))</f>
        <v/>
      </c>
      <c r="W1587" s="7" t="str">
        <f>IF(ISBLANK(patch[[#This Row],[project]]), "",COUNTIFS($A:$A,patch[[#This Row],[number]],$S:$S, "BJ And dev",$AC:$AC, "Review-1"))</f>
        <v/>
      </c>
      <c r="X1587" s="7" t="str">
        <f>IF(ISBLANK(patch[[#This Row],[project]]), "",COUNTIFS($A:$A,patch[[#This Row],[number]],$S:$S, "FL And dev",$AC:$AC, "Review-1"))</f>
        <v/>
      </c>
      <c r="Y1587" s="7" t="str">
        <f>IF(ISBLANK(patch[[#This Row],[project]]), "",COUNTIFS($A:$A,patch[[#This Row],[number]],$S:$S, "SH And dev",$AC:$AC, "Review-1"))</f>
        <v/>
      </c>
      <c r="Z1587" s="7" t="str">
        <f>IF(ISBLANK(patch[[#This Row],[project]]), "",COUNTIFS($A:$A,patch[[#This Row],[number]],$S:$S, "BJ And dev",$AD:$AD, "&lt;&gt;IntegratorValidationComment"))</f>
        <v/>
      </c>
      <c r="AA1587" s="7" t="str">
        <f>IF(ISBLANK(patch[[#This Row],[project]]), "",COUNTIFS($A:$A,patch[[#This Row],[number]],$S:$S, "FL And dev",$AD:$AD, "&lt;&gt;IntegratorValidationComment"))</f>
        <v/>
      </c>
      <c r="AB1587" s="7" t="str">
        <f>IF(ISBLANK(patch[[#This Row],[project]]), "",COUNTIFS($A:$A,patch[[#This Row],[number]],$S:$S, "SH And dev",$AD:$AD, "&lt;&gt;IntegratorValidationComment"))</f>
        <v/>
      </c>
      <c r="AC1587" s="7" t="str">
        <f>IF(OR(ISNUMBER(FIND("Review-1", patch[[#This Row],[comments]])), ISNUMBER(FIND("Approver-1", patch[[#This Row],[comments]]))), "Review-1", "")</f>
        <v/>
      </c>
      <c r="AD15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87" s="7">
        <f>IF(ISBLANK(patch[[#This Row],[number]]),AE1586,patch[[#This Row],[ifCommon]])</f>
        <v>0</v>
      </c>
    </row>
    <row r="1588" spans="1:31">
      <c r="A1588" s="151">
        <v>146117</v>
      </c>
      <c r="B1588" s="151"/>
      <c r="C1588" s="151"/>
      <c r="D1588" s="151"/>
      <c r="E1588" s="151"/>
      <c r="F1588" s="151"/>
      <c r="G1588" s="151"/>
      <c r="H1588" s="151"/>
      <c r="I1588" s="151"/>
      <c r="J1588" s="152">
        <v>42632.753483796303</v>
      </c>
      <c r="K1588" s="151"/>
      <c r="L1588" s="151" t="s">
        <v>59</v>
      </c>
      <c r="M1588" s="152">
        <v>42631.647268518522</v>
      </c>
      <c r="N1588" s="151" t="s">
        <v>1880</v>
      </c>
      <c r="O1588" s="151"/>
      <c r="P1588" s="151"/>
      <c r="Q1588" s="7" t="str">
        <f>IF(ISBLANK(patch[[#This Row],[OwnerEmail]]),Q1587,patch[[#This Row],[OwnerEmail]])</f>
        <v>qingwu.zhang@intel.com</v>
      </c>
      <c r="R1588" s="7" t="str">
        <f>_xlfn.IFNA(VLOOKUP(patch[[#This Row],[tmp-owner.email]],OrgTree!$A:$K, 11, 0), "not ICG SWFW")</f>
        <v>BJ And dev</v>
      </c>
      <c r="S1588" s="7" t="str">
        <f>IF(patch[[#This Row],[reviewer]]=patch[[#This Row],[tmp-owner.email]], "author", _xlfn.IFNA(VLOOKUP(patch[[#This Row],[reviewer]],OrgTree!$A:$K, 11, 0), "not ICG SWFW"))</f>
        <v>BJ And dev</v>
      </c>
      <c r="T1588" s="7" t="str">
        <f>IF(ISBLANK(patch[[#This Row],[mergeDate]]), "", MID(YEAR(patch[[#This Row],[mergeDate]]), 3,2)&amp;"'ww"&amp;WEEKNUM(patch[[#This Row],[mergeDate]]))</f>
        <v>16'ww39</v>
      </c>
      <c r="U1588" s="7" t="str">
        <f>IF(ISBLANK(patch[[#This Row],[mergeDate]]), U1587, MID(YEAR(patch[[#This Row],[mergeDate]]), 3,2)&amp;"'m"&amp;MONTH(patch[[#This Row],[mergeDate]]))</f>
        <v>16'm9</v>
      </c>
      <c r="V1588" s="7" t="str">
        <f>IF(ISBLANK(patch[[#This Row],[project]]), "",SUM(patch[[#This Row],[BJ -1 num]:[SH -1 num]]))</f>
        <v/>
      </c>
      <c r="W1588" s="7" t="str">
        <f>IF(ISBLANK(patch[[#This Row],[project]]), "",COUNTIFS($A:$A,patch[[#This Row],[number]],$S:$S, "BJ And dev",$AC:$AC, "Review-1"))</f>
        <v/>
      </c>
      <c r="X1588" s="7" t="str">
        <f>IF(ISBLANK(patch[[#This Row],[project]]), "",COUNTIFS($A:$A,patch[[#This Row],[number]],$S:$S, "FL And dev",$AC:$AC, "Review-1"))</f>
        <v/>
      </c>
      <c r="Y1588" s="7" t="str">
        <f>IF(ISBLANK(patch[[#This Row],[project]]), "",COUNTIFS($A:$A,patch[[#This Row],[number]],$S:$S, "SH And dev",$AC:$AC, "Review-1"))</f>
        <v/>
      </c>
      <c r="Z1588" s="7" t="str">
        <f>IF(ISBLANK(patch[[#This Row],[project]]), "",COUNTIFS($A:$A,patch[[#This Row],[number]],$S:$S, "BJ And dev",$AD:$AD, "&lt;&gt;IntegratorValidationComment"))</f>
        <v/>
      </c>
      <c r="AA1588" s="7" t="str">
        <f>IF(ISBLANK(patch[[#This Row],[project]]), "",COUNTIFS($A:$A,patch[[#This Row],[number]],$S:$S, "FL And dev",$AD:$AD, "&lt;&gt;IntegratorValidationComment"))</f>
        <v/>
      </c>
      <c r="AB1588" s="7" t="str">
        <f>IF(ISBLANK(patch[[#This Row],[project]]), "",COUNTIFS($A:$A,patch[[#This Row],[number]],$S:$S, "SH And dev",$AD:$AD, "&lt;&gt;IntegratorValidationComment"))</f>
        <v/>
      </c>
      <c r="AC1588" s="7" t="str">
        <f>IF(OR(ISNUMBER(FIND("Review-1", patch[[#This Row],[comments]])), ISNUMBER(FIND("Approver-1", patch[[#This Row],[comments]]))), "Review-1", "")</f>
        <v/>
      </c>
      <c r="AD15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88" s="7">
        <f>IF(ISBLANK(patch[[#This Row],[number]]),AE1587,patch[[#This Row],[ifCommon]])</f>
        <v>0</v>
      </c>
    </row>
    <row r="1589" spans="1:31">
      <c r="A1589" s="151">
        <v>146117</v>
      </c>
      <c r="B1589" s="151"/>
      <c r="C1589" s="151"/>
      <c r="D1589" s="151"/>
      <c r="E1589" s="151"/>
      <c r="F1589" s="151"/>
      <c r="G1589" s="151"/>
      <c r="H1589" s="151"/>
      <c r="I1589" s="151"/>
      <c r="J1589" s="152">
        <v>42632.753483796303</v>
      </c>
      <c r="K1589" s="151"/>
      <c r="L1589" s="151" t="s">
        <v>59</v>
      </c>
      <c r="M1589" s="152">
        <v>42631.783206018517</v>
      </c>
      <c r="N1589" s="151" t="s">
        <v>3386</v>
      </c>
      <c r="O1589" s="151"/>
      <c r="P1589" s="151"/>
      <c r="Q1589" s="7" t="str">
        <f>IF(ISBLANK(patch[[#This Row],[OwnerEmail]]),Q1588,patch[[#This Row],[OwnerEmail]])</f>
        <v>qingwu.zhang@intel.com</v>
      </c>
      <c r="R1589" s="7" t="str">
        <f>_xlfn.IFNA(VLOOKUP(patch[[#This Row],[tmp-owner.email]],OrgTree!$A:$K, 11, 0), "not ICG SWFW")</f>
        <v>BJ And dev</v>
      </c>
      <c r="S1589" s="7" t="str">
        <f>IF(patch[[#This Row],[reviewer]]=patch[[#This Row],[tmp-owner.email]], "author", _xlfn.IFNA(VLOOKUP(patch[[#This Row],[reviewer]],OrgTree!$A:$K, 11, 0), "not ICG SWFW"))</f>
        <v>BJ And dev</v>
      </c>
      <c r="T1589" s="7" t="str">
        <f>IF(ISBLANK(patch[[#This Row],[mergeDate]]), "", MID(YEAR(patch[[#This Row],[mergeDate]]), 3,2)&amp;"'ww"&amp;WEEKNUM(patch[[#This Row],[mergeDate]]))</f>
        <v>16'ww39</v>
      </c>
      <c r="U1589" s="7" t="str">
        <f>IF(ISBLANK(patch[[#This Row],[mergeDate]]), U1588, MID(YEAR(patch[[#This Row],[mergeDate]]), 3,2)&amp;"'m"&amp;MONTH(patch[[#This Row],[mergeDate]]))</f>
        <v>16'm9</v>
      </c>
      <c r="V1589" s="7" t="str">
        <f>IF(ISBLANK(patch[[#This Row],[project]]), "",SUM(patch[[#This Row],[BJ -1 num]:[SH -1 num]]))</f>
        <v/>
      </c>
      <c r="W1589" s="7" t="str">
        <f>IF(ISBLANK(patch[[#This Row],[project]]), "",COUNTIFS($A:$A,patch[[#This Row],[number]],$S:$S, "BJ And dev",$AC:$AC, "Review-1"))</f>
        <v/>
      </c>
      <c r="X1589" s="7" t="str">
        <f>IF(ISBLANK(patch[[#This Row],[project]]), "",COUNTIFS($A:$A,patch[[#This Row],[number]],$S:$S, "FL And dev",$AC:$AC, "Review-1"))</f>
        <v/>
      </c>
      <c r="Y1589" s="7" t="str">
        <f>IF(ISBLANK(patch[[#This Row],[project]]), "",COUNTIFS($A:$A,patch[[#This Row],[number]],$S:$S, "SH And dev",$AC:$AC, "Review-1"))</f>
        <v/>
      </c>
      <c r="Z1589" s="7" t="str">
        <f>IF(ISBLANK(patch[[#This Row],[project]]), "",COUNTIFS($A:$A,patch[[#This Row],[number]],$S:$S, "BJ And dev",$AD:$AD, "&lt;&gt;IntegratorValidationComment"))</f>
        <v/>
      </c>
      <c r="AA1589" s="7" t="str">
        <f>IF(ISBLANK(patch[[#This Row],[project]]), "",COUNTIFS($A:$A,patch[[#This Row],[number]],$S:$S, "FL And dev",$AD:$AD, "&lt;&gt;IntegratorValidationComment"))</f>
        <v/>
      </c>
      <c r="AB1589" s="7" t="str">
        <f>IF(ISBLANK(patch[[#This Row],[project]]), "",COUNTIFS($A:$A,patch[[#This Row],[number]],$S:$S, "SH And dev",$AD:$AD, "&lt;&gt;IntegratorValidationComment"))</f>
        <v/>
      </c>
      <c r="AC1589" s="7" t="str">
        <f>IF(OR(ISNUMBER(FIND("Review-1", patch[[#This Row],[comments]])), ISNUMBER(FIND("Approver-1", patch[[#This Row],[comments]]))), "Review-1", "")</f>
        <v/>
      </c>
      <c r="AD15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89" s="7">
        <f>IF(ISBLANK(patch[[#This Row],[number]]),AE1588,patch[[#This Row],[ifCommon]])</f>
        <v>0</v>
      </c>
    </row>
    <row r="1590" spans="1:31">
      <c r="A1590" s="151">
        <v>146117</v>
      </c>
      <c r="B1590" s="151"/>
      <c r="C1590" s="151"/>
      <c r="D1590" s="151"/>
      <c r="E1590" s="151"/>
      <c r="F1590" s="151"/>
      <c r="G1590" s="151"/>
      <c r="H1590" s="151"/>
      <c r="I1590" s="151"/>
      <c r="J1590" s="152">
        <v>42632.753483796303</v>
      </c>
      <c r="K1590" s="151"/>
      <c r="L1590" s="151" t="s">
        <v>59</v>
      </c>
      <c r="M1590" s="152">
        <v>42631.813761574071</v>
      </c>
      <c r="N1590" s="151" t="s">
        <v>3387</v>
      </c>
      <c r="O1590" s="151"/>
      <c r="P1590" s="151"/>
      <c r="Q1590" s="7" t="str">
        <f>IF(ISBLANK(patch[[#This Row],[OwnerEmail]]),Q1589,patch[[#This Row],[OwnerEmail]])</f>
        <v>qingwu.zhang@intel.com</v>
      </c>
      <c r="R1590" s="7" t="str">
        <f>_xlfn.IFNA(VLOOKUP(patch[[#This Row],[tmp-owner.email]],OrgTree!$A:$K, 11, 0), "not ICG SWFW")</f>
        <v>BJ And dev</v>
      </c>
      <c r="S1590" s="7" t="str">
        <f>IF(patch[[#This Row],[reviewer]]=patch[[#This Row],[tmp-owner.email]], "author", _xlfn.IFNA(VLOOKUP(patch[[#This Row],[reviewer]],OrgTree!$A:$K, 11, 0), "not ICG SWFW"))</f>
        <v>BJ And dev</v>
      </c>
      <c r="T1590" s="7" t="str">
        <f>IF(ISBLANK(patch[[#This Row],[mergeDate]]), "", MID(YEAR(patch[[#This Row],[mergeDate]]), 3,2)&amp;"'ww"&amp;WEEKNUM(patch[[#This Row],[mergeDate]]))</f>
        <v>16'ww39</v>
      </c>
      <c r="U1590" s="7" t="str">
        <f>IF(ISBLANK(patch[[#This Row],[mergeDate]]), U1589, MID(YEAR(patch[[#This Row],[mergeDate]]), 3,2)&amp;"'m"&amp;MONTH(patch[[#This Row],[mergeDate]]))</f>
        <v>16'm9</v>
      </c>
      <c r="V1590" s="7" t="str">
        <f>IF(ISBLANK(patch[[#This Row],[project]]), "",SUM(patch[[#This Row],[BJ -1 num]:[SH -1 num]]))</f>
        <v/>
      </c>
      <c r="W1590" s="7" t="str">
        <f>IF(ISBLANK(patch[[#This Row],[project]]), "",COUNTIFS($A:$A,patch[[#This Row],[number]],$S:$S, "BJ And dev",$AC:$AC, "Review-1"))</f>
        <v/>
      </c>
      <c r="X1590" s="7" t="str">
        <f>IF(ISBLANK(patch[[#This Row],[project]]), "",COUNTIFS($A:$A,patch[[#This Row],[number]],$S:$S, "FL And dev",$AC:$AC, "Review-1"))</f>
        <v/>
      </c>
      <c r="Y1590" s="7" t="str">
        <f>IF(ISBLANK(patch[[#This Row],[project]]), "",COUNTIFS($A:$A,patch[[#This Row],[number]],$S:$S, "SH And dev",$AC:$AC, "Review-1"))</f>
        <v/>
      </c>
      <c r="Z1590" s="7" t="str">
        <f>IF(ISBLANK(patch[[#This Row],[project]]), "",COUNTIFS($A:$A,patch[[#This Row],[number]],$S:$S, "BJ And dev",$AD:$AD, "&lt;&gt;IntegratorValidationComment"))</f>
        <v/>
      </c>
      <c r="AA1590" s="7" t="str">
        <f>IF(ISBLANK(patch[[#This Row],[project]]), "",COUNTIFS($A:$A,patch[[#This Row],[number]],$S:$S, "FL And dev",$AD:$AD, "&lt;&gt;IntegratorValidationComment"))</f>
        <v/>
      </c>
      <c r="AB1590" s="7" t="str">
        <f>IF(ISBLANK(patch[[#This Row],[project]]), "",COUNTIFS($A:$A,patch[[#This Row],[number]],$S:$S, "SH And dev",$AD:$AD, "&lt;&gt;IntegratorValidationComment"))</f>
        <v/>
      </c>
      <c r="AC1590" s="7" t="str">
        <f>IF(OR(ISNUMBER(FIND("Review-1", patch[[#This Row],[comments]])), ISNUMBER(FIND("Approver-1", patch[[#This Row],[comments]]))), "Review-1", "")</f>
        <v/>
      </c>
      <c r="AD15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90" s="7">
        <f>IF(ISBLANK(patch[[#This Row],[number]]),AE1589,patch[[#This Row],[ifCommon]])</f>
        <v>0</v>
      </c>
    </row>
    <row r="1591" spans="1:31">
      <c r="A1591" s="151">
        <v>146117</v>
      </c>
      <c r="B1591" s="151"/>
      <c r="C1591" s="151"/>
      <c r="D1591" s="151"/>
      <c r="E1591" s="151"/>
      <c r="F1591" s="151"/>
      <c r="G1591" s="151"/>
      <c r="H1591" s="151"/>
      <c r="I1591" s="151"/>
      <c r="J1591" s="152">
        <v>42632.753483796303</v>
      </c>
      <c r="K1591" s="151"/>
      <c r="L1591" s="151" t="s">
        <v>115</v>
      </c>
      <c r="M1591" s="152">
        <v>42632.618935185194</v>
      </c>
      <c r="N1591" s="151" t="s">
        <v>2494</v>
      </c>
      <c r="O1591" s="151"/>
      <c r="P1591" s="151"/>
      <c r="Q1591" s="7" t="str">
        <f>IF(ISBLANK(patch[[#This Row],[OwnerEmail]]),Q1590,patch[[#This Row],[OwnerEmail]])</f>
        <v>qingwu.zhang@intel.com</v>
      </c>
      <c r="R1591" s="7" t="str">
        <f>_xlfn.IFNA(VLOOKUP(patch[[#This Row],[tmp-owner.email]],OrgTree!$A:$K, 11, 0), "not ICG SWFW")</f>
        <v>BJ And dev</v>
      </c>
      <c r="S1591" s="7" t="str">
        <f>IF(patch[[#This Row],[reviewer]]=patch[[#This Row],[tmp-owner.email]], "author", _xlfn.IFNA(VLOOKUP(patch[[#This Row],[reviewer]],OrgTree!$A:$K, 11, 0), "not ICG SWFW"))</f>
        <v>Val</v>
      </c>
      <c r="T1591" s="7" t="str">
        <f>IF(ISBLANK(patch[[#This Row],[mergeDate]]), "", MID(YEAR(patch[[#This Row],[mergeDate]]), 3,2)&amp;"'ww"&amp;WEEKNUM(patch[[#This Row],[mergeDate]]))</f>
        <v>16'ww39</v>
      </c>
      <c r="U1591" s="7" t="str">
        <f>IF(ISBLANK(patch[[#This Row],[mergeDate]]), U1590, MID(YEAR(patch[[#This Row],[mergeDate]]), 3,2)&amp;"'m"&amp;MONTH(patch[[#This Row],[mergeDate]]))</f>
        <v>16'm9</v>
      </c>
      <c r="V1591" s="7" t="str">
        <f>IF(ISBLANK(patch[[#This Row],[project]]), "",SUM(patch[[#This Row],[BJ -1 num]:[SH -1 num]]))</f>
        <v/>
      </c>
      <c r="W1591" s="7" t="str">
        <f>IF(ISBLANK(patch[[#This Row],[project]]), "",COUNTIFS($A:$A,patch[[#This Row],[number]],$S:$S, "BJ And dev",$AC:$AC, "Review-1"))</f>
        <v/>
      </c>
      <c r="X1591" s="7" t="str">
        <f>IF(ISBLANK(patch[[#This Row],[project]]), "",COUNTIFS($A:$A,patch[[#This Row],[number]],$S:$S, "FL And dev",$AC:$AC, "Review-1"))</f>
        <v/>
      </c>
      <c r="Y1591" s="7" t="str">
        <f>IF(ISBLANK(patch[[#This Row],[project]]), "",COUNTIFS($A:$A,patch[[#This Row],[number]],$S:$S, "SH And dev",$AC:$AC, "Review-1"))</f>
        <v/>
      </c>
      <c r="Z1591" s="7" t="str">
        <f>IF(ISBLANK(patch[[#This Row],[project]]), "",COUNTIFS($A:$A,patch[[#This Row],[number]],$S:$S, "BJ And dev",$AD:$AD, "&lt;&gt;IntegratorValidationComment"))</f>
        <v/>
      </c>
      <c r="AA1591" s="7" t="str">
        <f>IF(ISBLANK(patch[[#This Row],[project]]), "",COUNTIFS($A:$A,patch[[#This Row],[number]],$S:$S, "FL And dev",$AD:$AD, "&lt;&gt;IntegratorValidationComment"))</f>
        <v/>
      </c>
      <c r="AB1591" s="7" t="str">
        <f>IF(ISBLANK(patch[[#This Row],[project]]), "",COUNTIFS($A:$A,patch[[#This Row],[number]],$S:$S, "SH And dev",$AD:$AD, "&lt;&gt;IntegratorValidationComment"))</f>
        <v/>
      </c>
      <c r="AC1591" s="7" t="str">
        <f>IF(OR(ISNUMBER(FIND("Review-1", patch[[#This Row],[comments]])), ISNUMBER(FIND("Approver-1", patch[[#This Row],[comments]]))), "Review-1", "")</f>
        <v/>
      </c>
      <c r="AD15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591" s="7">
        <f>IF(ISBLANK(patch[[#This Row],[number]]),AE1590,patch[[#This Row],[ifCommon]])</f>
        <v>0</v>
      </c>
    </row>
    <row r="1592" spans="1:31">
      <c r="A1592" s="151">
        <v>144856</v>
      </c>
      <c r="B1592" s="151" t="s">
        <v>2490</v>
      </c>
      <c r="C1592" s="151" t="s">
        <v>2491</v>
      </c>
      <c r="D1592" s="151" t="s">
        <v>3325</v>
      </c>
      <c r="E1592" s="151" t="s">
        <v>32</v>
      </c>
      <c r="F1592" s="151" t="s">
        <v>23</v>
      </c>
      <c r="G1592" s="151" t="s">
        <v>3326</v>
      </c>
      <c r="H1592" s="151" t="s">
        <v>3327</v>
      </c>
      <c r="I1592" s="152">
        <v>42626.712696759263</v>
      </c>
      <c r="J1592" s="152">
        <v>42627.659930555557</v>
      </c>
      <c r="K1592" s="151" t="s">
        <v>2445</v>
      </c>
      <c r="L1592" s="151" t="s">
        <v>32</v>
      </c>
      <c r="M1592" s="152">
        <v>42626.712696759263</v>
      </c>
      <c r="N1592" s="151" t="s">
        <v>2428</v>
      </c>
      <c r="O1592" s="151"/>
      <c r="P1592" s="151" t="s">
        <v>3388</v>
      </c>
      <c r="Q1592" s="7" t="str">
        <f>IF(ISBLANK(patch[[#This Row],[OwnerEmail]]),Q1591,patch[[#This Row],[OwnerEmail]])</f>
        <v>gang.a.hu@intel.com</v>
      </c>
      <c r="R1592" s="7" t="str">
        <f>_xlfn.IFNA(VLOOKUP(patch[[#This Row],[tmp-owner.email]],OrgTree!$A:$K, 11, 0), "not ICG SWFW")</f>
        <v>BJ And dev</v>
      </c>
      <c r="S1592" s="7" t="str">
        <f>IF(patch[[#This Row],[reviewer]]=patch[[#This Row],[tmp-owner.email]], "author", _xlfn.IFNA(VLOOKUP(patch[[#This Row],[reviewer]],OrgTree!$A:$K, 11, 0), "not ICG SWFW"))</f>
        <v>author</v>
      </c>
      <c r="T1592" s="7" t="str">
        <f>IF(ISBLANK(patch[[#This Row],[mergeDate]]), "", MID(YEAR(patch[[#This Row],[mergeDate]]), 3,2)&amp;"'ww"&amp;WEEKNUM(patch[[#This Row],[mergeDate]]))</f>
        <v>16'ww38</v>
      </c>
      <c r="U1592" s="7" t="str">
        <f>IF(ISBLANK(patch[[#This Row],[mergeDate]]), U1591, MID(YEAR(patch[[#This Row],[mergeDate]]), 3,2)&amp;"'m"&amp;MONTH(patch[[#This Row],[mergeDate]]))</f>
        <v>16'm9</v>
      </c>
      <c r="V1592" s="7">
        <f>IF(ISBLANK(patch[[#This Row],[project]]), "",SUM(patch[[#This Row],[BJ -1 num]:[SH -1 num]]))</f>
        <v>0</v>
      </c>
      <c r="W1592" s="7">
        <f>IF(ISBLANK(patch[[#This Row],[project]]), "",COUNTIFS($A:$A,patch[[#This Row],[number]],$S:$S, "BJ And dev",$AC:$AC, "Review-1"))</f>
        <v>0</v>
      </c>
      <c r="X1592" s="7">
        <f>IF(ISBLANK(patch[[#This Row],[project]]), "",COUNTIFS($A:$A,patch[[#This Row],[number]],$S:$S, "FL And dev",$AC:$AC, "Review-1"))</f>
        <v>0</v>
      </c>
      <c r="Y1592" s="7">
        <f>IF(ISBLANK(patch[[#This Row],[project]]), "",COUNTIFS($A:$A,patch[[#This Row],[number]],$S:$S, "SH And dev",$AC:$AC, "Review-1"))</f>
        <v>0</v>
      </c>
      <c r="Z1592" s="7">
        <f>IF(ISBLANK(patch[[#This Row],[project]]), "",COUNTIFS($A:$A,patch[[#This Row],[number]],$S:$S, "BJ And dev",$AD:$AD, "&lt;&gt;IntegratorValidationComment"))</f>
        <v>13</v>
      </c>
      <c r="AA1592" s="7">
        <f>IF(ISBLANK(patch[[#This Row],[project]]), "",COUNTIFS($A:$A,patch[[#This Row],[number]],$S:$S, "FL And dev",$AD:$AD, "&lt;&gt;IntegratorValidationComment"))</f>
        <v>0</v>
      </c>
      <c r="AB1592" s="7">
        <f>IF(ISBLANK(patch[[#This Row],[project]]), "",COUNTIFS($A:$A,patch[[#This Row],[number]],$S:$S, "SH And dev",$AD:$AD, "&lt;&gt;IntegratorValidationComment"))</f>
        <v>0</v>
      </c>
      <c r="AC1592" s="7" t="str">
        <f>IF(OR(ISNUMBER(FIND("Review-1", patch[[#This Row],[comments]])), ISNUMBER(FIND("Approver-1", patch[[#This Row],[comments]]))), "Review-1", "")</f>
        <v/>
      </c>
      <c r="AD15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92" s="7" t="str">
        <f>IF(ISBLANK(patch[[#This Row],[number]]),AE1591,patch[[#This Row],[ifCommon]])</f>
        <v>not AndrHAL</v>
      </c>
    </row>
    <row r="1593" spans="1:31">
      <c r="A1593" s="151">
        <v>144856</v>
      </c>
      <c r="B1593" s="151"/>
      <c r="C1593" s="151"/>
      <c r="D1593" s="151"/>
      <c r="E1593" s="151"/>
      <c r="F1593" s="151"/>
      <c r="G1593" s="151"/>
      <c r="H1593" s="151"/>
      <c r="I1593" s="151"/>
      <c r="J1593" s="152">
        <v>42627.659930555557</v>
      </c>
      <c r="K1593" s="151"/>
      <c r="L1593" s="151" t="s">
        <v>32</v>
      </c>
      <c r="M1593" s="152">
        <v>42626.712696759263</v>
      </c>
      <c r="N1593" s="151" t="s">
        <v>25</v>
      </c>
      <c r="O1593" s="151"/>
      <c r="P1593" s="151"/>
      <c r="Q1593" s="7" t="str">
        <f>IF(ISBLANK(patch[[#This Row],[OwnerEmail]]),Q1592,patch[[#This Row],[OwnerEmail]])</f>
        <v>gang.a.hu@intel.com</v>
      </c>
      <c r="R1593" s="7" t="str">
        <f>_xlfn.IFNA(VLOOKUP(patch[[#This Row],[tmp-owner.email]],OrgTree!$A:$K, 11, 0), "not ICG SWFW")</f>
        <v>BJ And dev</v>
      </c>
      <c r="S1593" s="7" t="str">
        <f>IF(patch[[#This Row],[reviewer]]=patch[[#This Row],[tmp-owner.email]], "author", _xlfn.IFNA(VLOOKUP(patch[[#This Row],[reviewer]],OrgTree!$A:$K, 11, 0), "not ICG SWFW"))</f>
        <v>author</v>
      </c>
      <c r="T1593" s="7" t="str">
        <f>IF(ISBLANK(patch[[#This Row],[mergeDate]]), "", MID(YEAR(patch[[#This Row],[mergeDate]]), 3,2)&amp;"'ww"&amp;WEEKNUM(patch[[#This Row],[mergeDate]]))</f>
        <v>16'ww38</v>
      </c>
      <c r="U1593" s="7" t="str">
        <f>IF(ISBLANK(patch[[#This Row],[mergeDate]]), U1592, MID(YEAR(patch[[#This Row],[mergeDate]]), 3,2)&amp;"'m"&amp;MONTH(patch[[#This Row],[mergeDate]]))</f>
        <v>16'm9</v>
      </c>
      <c r="V1593" s="7" t="str">
        <f>IF(ISBLANK(patch[[#This Row],[project]]), "",SUM(patch[[#This Row],[BJ -1 num]:[SH -1 num]]))</f>
        <v/>
      </c>
      <c r="W1593" s="7" t="str">
        <f>IF(ISBLANK(patch[[#This Row],[project]]), "",COUNTIFS($A:$A,patch[[#This Row],[number]],$S:$S, "BJ And dev",$AC:$AC, "Review-1"))</f>
        <v/>
      </c>
      <c r="X1593" s="7" t="str">
        <f>IF(ISBLANK(patch[[#This Row],[project]]), "",COUNTIFS($A:$A,patch[[#This Row],[number]],$S:$S, "FL And dev",$AC:$AC, "Review-1"))</f>
        <v/>
      </c>
      <c r="Y1593" s="7" t="str">
        <f>IF(ISBLANK(patch[[#This Row],[project]]), "",COUNTIFS($A:$A,patch[[#This Row],[number]],$S:$S, "SH And dev",$AC:$AC, "Review-1"))</f>
        <v/>
      </c>
      <c r="Z1593" s="7" t="str">
        <f>IF(ISBLANK(patch[[#This Row],[project]]), "",COUNTIFS($A:$A,patch[[#This Row],[number]],$S:$S, "BJ And dev",$AD:$AD, "&lt;&gt;IntegratorValidationComment"))</f>
        <v/>
      </c>
      <c r="AA1593" s="7" t="str">
        <f>IF(ISBLANK(patch[[#This Row],[project]]), "",COUNTIFS($A:$A,patch[[#This Row],[number]],$S:$S, "FL And dev",$AD:$AD, "&lt;&gt;IntegratorValidationComment"))</f>
        <v/>
      </c>
      <c r="AB1593" s="7" t="str">
        <f>IF(ISBLANK(patch[[#This Row],[project]]), "",COUNTIFS($A:$A,patch[[#This Row],[number]],$S:$S, "SH And dev",$AD:$AD, "&lt;&gt;IntegratorValidationComment"))</f>
        <v/>
      </c>
      <c r="AC1593" s="7" t="str">
        <f>IF(OR(ISNUMBER(FIND("Review-1", patch[[#This Row],[comments]])), ISNUMBER(FIND("Approver-1", patch[[#This Row],[comments]]))), "Review-1", "")</f>
        <v/>
      </c>
      <c r="AD15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93" s="7">
        <f>IF(ISBLANK(patch[[#This Row],[number]]),AE1592,patch[[#This Row],[ifCommon]])</f>
        <v>0</v>
      </c>
    </row>
    <row r="1594" spans="1:31">
      <c r="A1594" s="151">
        <v>144856</v>
      </c>
      <c r="B1594" s="151"/>
      <c r="C1594" s="151"/>
      <c r="D1594" s="151"/>
      <c r="E1594" s="151"/>
      <c r="F1594" s="151"/>
      <c r="G1594" s="151"/>
      <c r="H1594" s="151"/>
      <c r="I1594" s="151"/>
      <c r="J1594" s="152">
        <v>42627.659930555557</v>
      </c>
      <c r="K1594" s="151"/>
      <c r="L1594" s="151" t="s">
        <v>32</v>
      </c>
      <c r="M1594" s="152">
        <v>42626.71329861111</v>
      </c>
      <c r="N1594" s="151" t="s">
        <v>65</v>
      </c>
      <c r="O1594" s="151"/>
      <c r="P1594" s="151"/>
      <c r="Q1594" s="7" t="str">
        <f>IF(ISBLANK(patch[[#This Row],[OwnerEmail]]),Q1593,patch[[#This Row],[OwnerEmail]])</f>
        <v>gang.a.hu@intel.com</v>
      </c>
      <c r="R1594" s="7" t="str">
        <f>_xlfn.IFNA(VLOOKUP(patch[[#This Row],[tmp-owner.email]],OrgTree!$A:$K, 11, 0), "not ICG SWFW")</f>
        <v>BJ And dev</v>
      </c>
      <c r="S1594" s="7" t="str">
        <f>IF(patch[[#This Row],[reviewer]]=patch[[#This Row],[tmp-owner.email]], "author", _xlfn.IFNA(VLOOKUP(patch[[#This Row],[reviewer]],OrgTree!$A:$K, 11, 0), "not ICG SWFW"))</f>
        <v>author</v>
      </c>
      <c r="T1594" s="7" t="str">
        <f>IF(ISBLANK(patch[[#This Row],[mergeDate]]), "", MID(YEAR(patch[[#This Row],[mergeDate]]), 3,2)&amp;"'ww"&amp;WEEKNUM(patch[[#This Row],[mergeDate]]))</f>
        <v>16'ww38</v>
      </c>
      <c r="U1594" s="7" t="str">
        <f>IF(ISBLANK(patch[[#This Row],[mergeDate]]), U1593, MID(YEAR(patch[[#This Row],[mergeDate]]), 3,2)&amp;"'m"&amp;MONTH(patch[[#This Row],[mergeDate]]))</f>
        <v>16'm9</v>
      </c>
      <c r="V1594" s="7" t="str">
        <f>IF(ISBLANK(patch[[#This Row],[project]]), "",SUM(patch[[#This Row],[BJ -1 num]:[SH -1 num]]))</f>
        <v/>
      </c>
      <c r="W1594" s="7" t="str">
        <f>IF(ISBLANK(patch[[#This Row],[project]]), "",COUNTIFS($A:$A,patch[[#This Row],[number]],$S:$S, "BJ And dev",$AC:$AC, "Review-1"))</f>
        <v/>
      </c>
      <c r="X1594" s="7" t="str">
        <f>IF(ISBLANK(patch[[#This Row],[project]]), "",COUNTIFS($A:$A,patch[[#This Row],[number]],$S:$S, "FL And dev",$AC:$AC, "Review-1"))</f>
        <v/>
      </c>
      <c r="Y1594" s="7" t="str">
        <f>IF(ISBLANK(patch[[#This Row],[project]]), "",COUNTIFS($A:$A,patch[[#This Row],[number]],$S:$S, "SH And dev",$AC:$AC, "Review-1"))</f>
        <v/>
      </c>
      <c r="Z1594" s="7" t="str">
        <f>IF(ISBLANK(patch[[#This Row],[project]]), "",COUNTIFS($A:$A,patch[[#This Row],[number]],$S:$S, "BJ And dev",$AD:$AD, "&lt;&gt;IntegratorValidationComment"))</f>
        <v/>
      </c>
      <c r="AA1594" s="7" t="str">
        <f>IF(ISBLANK(patch[[#This Row],[project]]), "",COUNTIFS($A:$A,patch[[#This Row],[number]],$S:$S, "FL And dev",$AD:$AD, "&lt;&gt;IntegratorValidationComment"))</f>
        <v/>
      </c>
      <c r="AB1594" s="7" t="str">
        <f>IF(ISBLANK(patch[[#This Row],[project]]), "",COUNTIFS($A:$A,patch[[#This Row],[number]],$S:$S, "SH And dev",$AD:$AD, "&lt;&gt;IntegratorValidationComment"))</f>
        <v/>
      </c>
      <c r="AC1594" s="7" t="str">
        <f>IF(OR(ISNUMBER(FIND("Review-1", patch[[#This Row],[comments]])), ISNUMBER(FIND("Approver-1", patch[[#This Row],[comments]]))), "Review-1", "")</f>
        <v/>
      </c>
      <c r="AD15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94" s="7">
        <f>IF(ISBLANK(patch[[#This Row],[number]]),AE1593,patch[[#This Row],[ifCommon]])</f>
        <v>0</v>
      </c>
    </row>
    <row r="1595" spans="1:31">
      <c r="A1595" s="151">
        <v>144856</v>
      </c>
      <c r="B1595" s="151"/>
      <c r="C1595" s="151"/>
      <c r="D1595" s="151"/>
      <c r="E1595" s="151"/>
      <c r="F1595" s="151"/>
      <c r="G1595" s="151"/>
      <c r="H1595" s="151"/>
      <c r="I1595" s="151"/>
      <c r="J1595" s="152">
        <v>42627.659930555557</v>
      </c>
      <c r="K1595" s="151"/>
      <c r="L1595" s="151" t="s">
        <v>32</v>
      </c>
      <c r="M1595" s="152">
        <v>42626.71329861111</v>
      </c>
      <c r="N1595" s="151" t="s">
        <v>2429</v>
      </c>
      <c r="O1595" s="151"/>
      <c r="P1595" s="151"/>
      <c r="Q1595" s="7" t="str">
        <f>IF(ISBLANK(patch[[#This Row],[OwnerEmail]]),Q1594,patch[[#This Row],[OwnerEmail]])</f>
        <v>gang.a.hu@intel.com</v>
      </c>
      <c r="R1595" s="7" t="str">
        <f>_xlfn.IFNA(VLOOKUP(patch[[#This Row],[tmp-owner.email]],OrgTree!$A:$K, 11, 0), "not ICG SWFW")</f>
        <v>BJ And dev</v>
      </c>
      <c r="S1595" s="7" t="str">
        <f>IF(patch[[#This Row],[reviewer]]=patch[[#This Row],[tmp-owner.email]], "author", _xlfn.IFNA(VLOOKUP(patch[[#This Row],[reviewer]],OrgTree!$A:$K, 11, 0), "not ICG SWFW"))</f>
        <v>author</v>
      </c>
      <c r="T1595" s="7" t="str">
        <f>IF(ISBLANK(patch[[#This Row],[mergeDate]]), "", MID(YEAR(patch[[#This Row],[mergeDate]]), 3,2)&amp;"'ww"&amp;WEEKNUM(patch[[#This Row],[mergeDate]]))</f>
        <v>16'ww38</v>
      </c>
      <c r="U1595" s="7" t="str">
        <f>IF(ISBLANK(patch[[#This Row],[mergeDate]]), U1594, MID(YEAR(patch[[#This Row],[mergeDate]]), 3,2)&amp;"'m"&amp;MONTH(patch[[#This Row],[mergeDate]]))</f>
        <v>16'm9</v>
      </c>
      <c r="V1595" s="7" t="str">
        <f>IF(ISBLANK(patch[[#This Row],[project]]), "",SUM(patch[[#This Row],[BJ -1 num]:[SH -1 num]]))</f>
        <v/>
      </c>
      <c r="W1595" s="7" t="str">
        <f>IF(ISBLANK(patch[[#This Row],[project]]), "",COUNTIFS($A:$A,patch[[#This Row],[number]],$S:$S, "BJ And dev",$AC:$AC, "Review-1"))</f>
        <v/>
      </c>
      <c r="X1595" s="7" t="str">
        <f>IF(ISBLANK(patch[[#This Row],[project]]), "",COUNTIFS($A:$A,patch[[#This Row],[number]],$S:$S, "FL And dev",$AC:$AC, "Review-1"))</f>
        <v/>
      </c>
      <c r="Y1595" s="7" t="str">
        <f>IF(ISBLANK(patch[[#This Row],[project]]), "",COUNTIFS($A:$A,patch[[#This Row],[number]],$S:$S, "SH And dev",$AC:$AC, "Review-1"))</f>
        <v/>
      </c>
      <c r="Z1595" s="7" t="str">
        <f>IF(ISBLANK(patch[[#This Row],[project]]), "",COUNTIFS($A:$A,patch[[#This Row],[number]],$S:$S, "BJ And dev",$AD:$AD, "&lt;&gt;IntegratorValidationComment"))</f>
        <v/>
      </c>
      <c r="AA1595" s="7" t="str">
        <f>IF(ISBLANK(patch[[#This Row],[project]]), "",COUNTIFS($A:$A,patch[[#This Row],[number]],$S:$S, "FL And dev",$AD:$AD, "&lt;&gt;IntegratorValidationComment"))</f>
        <v/>
      </c>
      <c r="AB1595" s="7" t="str">
        <f>IF(ISBLANK(patch[[#This Row],[project]]), "",COUNTIFS($A:$A,patch[[#This Row],[number]],$S:$S, "SH And dev",$AD:$AD, "&lt;&gt;IntegratorValidationComment"))</f>
        <v/>
      </c>
      <c r="AC1595" s="7" t="str">
        <f>IF(OR(ISNUMBER(FIND("Review-1", patch[[#This Row],[comments]])), ISNUMBER(FIND("Approver-1", patch[[#This Row],[comments]]))), "Review-1", "")</f>
        <v/>
      </c>
      <c r="AD15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95" s="7">
        <f>IF(ISBLANK(patch[[#This Row],[number]]),AE1594,patch[[#This Row],[ifCommon]])</f>
        <v>0</v>
      </c>
    </row>
    <row r="1596" spans="1:31">
      <c r="A1596" s="151">
        <v>144856</v>
      </c>
      <c r="B1596" s="151"/>
      <c r="C1596" s="151"/>
      <c r="D1596" s="151"/>
      <c r="E1596" s="151"/>
      <c r="F1596" s="151"/>
      <c r="G1596" s="151"/>
      <c r="H1596" s="151"/>
      <c r="I1596" s="151"/>
      <c r="J1596" s="152">
        <v>42627.659930555557</v>
      </c>
      <c r="K1596" s="151"/>
      <c r="L1596" s="151" t="s">
        <v>32</v>
      </c>
      <c r="M1596" s="152">
        <v>42626.713576388887</v>
      </c>
      <c r="N1596" s="151" t="s">
        <v>27</v>
      </c>
      <c r="O1596" s="151"/>
      <c r="P1596" s="151"/>
      <c r="Q1596" s="7" t="str">
        <f>IF(ISBLANK(patch[[#This Row],[OwnerEmail]]),Q1595,patch[[#This Row],[OwnerEmail]])</f>
        <v>gang.a.hu@intel.com</v>
      </c>
      <c r="R1596" s="7" t="str">
        <f>_xlfn.IFNA(VLOOKUP(patch[[#This Row],[tmp-owner.email]],OrgTree!$A:$K, 11, 0), "not ICG SWFW")</f>
        <v>BJ And dev</v>
      </c>
      <c r="S1596" s="7" t="str">
        <f>IF(patch[[#This Row],[reviewer]]=patch[[#This Row],[tmp-owner.email]], "author", _xlfn.IFNA(VLOOKUP(patch[[#This Row],[reviewer]],OrgTree!$A:$K, 11, 0), "not ICG SWFW"))</f>
        <v>author</v>
      </c>
      <c r="T1596" s="7" t="str">
        <f>IF(ISBLANK(patch[[#This Row],[mergeDate]]), "", MID(YEAR(patch[[#This Row],[mergeDate]]), 3,2)&amp;"'ww"&amp;WEEKNUM(patch[[#This Row],[mergeDate]]))</f>
        <v>16'ww38</v>
      </c>
      <c r="U1596" s="7" t="str">
        <f>IF(ISBLANK(patch[[#This Row],[mergeDate]]), U1595, MID(YEAR(patch[[#This Row],[mergeDate]]), 3,2)&amp;"'m"&amp;MONTH(patch[[#This Row],[mergeDate]]))</f>
        <v>16'm9</v>
      </c>
      <c r="V1596" s="7" t="str">
        <f>IF(ISBLANK(patch[[#This Row],[project]]), "",SUM(patch[[#This Row],[BJ -1 num]:[SH -1 num]]))</f>
        <v/>
      </c>
      <c r="W1596" s="7" t="str">
        <f>IF(ISBLANK(patch[[#This Row],[project]]), "",COUNTIFS($A:$A,patch[[#This Row],[number]],$S:$S, "BJ And dev",$AC:$AC, "Review-1"))</f>
        <v/>
      </c>
      <c r="X1596" s="7" t="str">
        <f>IF(ISBLANK(patch[[#This Row],[project]]), "",COUNTIFS($A:$A,patch[[#This Row],[number]],$S:$S, "FL And dev",$AC:$AC, "Review-1"))</f>
        <v/>
      </c>
      <c r="Y1596" s="7" t="str">
        <f>IF(ISBLANK(patch[[#This Row],[project]]), "",COUNTIFS($A:$A,patch[[#This Row],[number]],$S:$S, "SH And dev",$AC:$AC, "Review-1"))</f>
        <v/>
      </c>
      <c r="Z1596" s="7" t="str">
        <f>IF(ISBLANK(patch[[#This Row],[project]]), "",COUNTIFS($A:$A,patch[[#This Row],[number]],$S:$S, "BJ And dev",$AD:$AD, "&lt;&gt;IntegratorValidationComment"))</f>
        <v/>
      </c>
      <c r="AA1596" s="7" t="str">
        <f>IF(ISBLANK(patch[[#This Row],[project]]), "",COUNTIFS($A:$A,patch[[#This Row],[number]],$S:$S, "FL And dev",$AD:$AD, "&lt;&gt;IntegratorValidationComment"))</f>
        <v/>
      </c>
      <c r="AB1596" s="7" t="str">
        <f>IF(ISBLANK(patch[[#This Row],[project]]), "",COUNTIFS($A:$A,patch[[#This Row],[number]],$S:$S, "SH And dev",$AD:$AD, "&lt;&gt;IntegratorValidationComment"))</f>
        <v/>
      </c>
      <c r="AC1596" s="7" t="str">
        <f>IF(OR(ISNUMBER(FIND("Review-1", patch[[#This Row],[comments]])), ISNUMBER(FIND("Approver-1", patch[[#This Row],[comments]]))), "Review-1", "")</f>
        <v/>
      </c>
      <c r="AD15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96" s="7">
        <f>IF(ISBLANK(patch[[#This Row],[number]]),AE1595,patch[[#This Row],[ifCommon]])</f>
        <v>0</v>
      </c>
    </row>
    <row r="1597" spans="1:31">
      <c r="A1597" s="151">
        <v>144856</v>
      </c>
      <c r="B1597" s="151"/>
      <c r="C1597" s="151"/>
      <c r="D1597" s="151"/>
      <c r="E1597" s="151"/>
      <c r="F1597" s="151"/>
      <c r="G1597" s="151"/>
      <c r="H1597" s="151"/>
      <c r="I1597" s="151"/>
      <c r="J1597" s="152">
        <v>42627.659930555557</v>
      </c>
      <c r="K1597" s="151"/>
      <c r="L1597" s="151" t="s">
        <v>59</v>
      </c>
      <c r="M1597" s="152">
        <v>42626.716724537036</v>
      </c>
      <c r="N1597" s="151" t="s">
        <v>3389</v>
      </c>
      <c r="O1597" s="151"/>
      <c r="P1597" s="151"/>
      <c r="Q1597" s="7" t="str">
        <f>IF(ISBLANK(patch[[#This Row],[OwnerEmail]]),Q1596,patch[[#This Row],[OwnerEmail]])</f>
        <v>gang.a.hu@intel.com</v>
      </c>
      <c r="R1597" s="7" t="str">
        <f>_xlfn.IFNA(VLOOKUP(patch[[#This Row],[tmp-owner.email]],OrgTree!$A:$K, 11, 0), "not ICG SWFW")</f>
        <v>BJ And dev</v>
      </c>
      <c r="S1597" s="7" t="str">
        <f>IF(patch[[#This Row],[reviewer]]=patch[[#This Row],[tmp-owner.email]], "author", _xlfn.IFNA(VLOOKUP(patch[[#This Row],[reviewer]],OrgTree!$A:$K, 11, 0), "not ICG SWFW"))</f>
        <v>BJ And dev</v>
      </c>
      <c r="T1597" s="7" t="str">
        <f>IF(ISBLANK(patch[[#This Row],[mergeDate]]), "", MID(YEAR(patch[[#This Row],[mergeDate]]), 3,2)&amp;"'ww"&amp;WEEKNUM(patch[[#This Row],[mergeDate]]))</f>
        <v>16'ww38</v>
      </c>
      <c r="U1597" s="7" t="str">
        <f>IF(ISBLANK(patch[[#This Row],[mergeDate]]), U1596, MID(YEAR(patch[[#This Row],[mergeDate]]), 3,2)&amp;"'m"&amp;MONTH(patch[[#This Row],[mergeDate]]))</f>
        <v>16'm9</v>
      </c>
      <c r="V1597" s="7" t="str">
        <f>IF(ISBLANK(patch[[#This Row],[project]]), "",SUM(patch[[#This Row],[BJ -1 num]:[SH -1 num]]))</f>
        <v/>
      </c>
      <c r="W1597" s="7" t="str">
        <f>IF(ISBLANK(patch[[#This Row],[project]]), "",COUNTIFS($A:$A,patch[[#This Row],[number]],$S:$S, "BJ And dev",$AC:$AC, "Review-1"))</f>
        <v/>
      </c>
      <c r="X1597" s="7" t="str">
        <f>IF(ISBLANK(patch[[#This Row],[project]]), "",COUNTIFS($A:$A,patch[[#This Row],[number]],$S:$S, "FL And dev",$AC:$AC, "Review-1"))</f>
        <v/>
      </c>
      <c r="Y1597" s="7" t="str">
        <f>IF(ISBLANK(patch[[#This Row],[project]]), "",COUNTIFS($A:$A,patch[[#This Row],[number]],$S:$S, "SH And dev",$AC:$AC, "Review-1"))</f>
        <v/>
      </c>
      <c r="Z1597" s="7" t="str">
        <f>IF(ISBLANK(patch[[#This Row],[project]]), "",COUNTIFS($A:$A,patch[[#This Row],[number]],$S:$S, "BJ And dev",$AD:$AD, "&lt;&gt;IntegratorValidationComment"))</f>
        <v/>
      </c>
      <c r="AA1597" s="7" t="str">
        <f>IF(ISBLANK(patch[[#This Row],[project]]), "",COUNTIFS($A:$A,patch[[#This Row],[number]],$S:$S, "FL And dev",$AD:$AD, "&lt;&gt;IntegratorValidationComment"))</f>
        <v/>
      </c>
      <c r="AB1597" s="7" t="str">
        <f>IF(ISBLANK(patch[[#This Row],[project]]), "",COUNTIFS($A:$A,patch[[#This Row],[number]],$S:$S, "SH And dev",$AD:$AD, "&lt;&gt;IntegratorValidationComment"))</f>
        <v/>
      </c>
      <c r="AC1597" s="7" t="str">
        <f>IF(OR(ISNUMBER(FIND("Review-1", patch[[#This Row],[comments]])), ISNUMBER(FIND("Approver-1", patch[[#This Row],[comments]]))), "Review-1", "")</f>
        <v/>
      </c>
      <c r="AD15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97" s="7">
        <f>IF(ISBLANK(patch[[#This Row],[number]]),AE1596,patch[[#This Row],[ifCommon]])</f>
        <v>0</v>
      </c>
    </row>
    <row r="1598" spans="1:31">
      <c r="A1598" s="151">
        <v>144856</v>
      </c>
      <c r="B1598" s="151"/>
      <c r="C1598" s="151"/>
      <c r="D1598" s="151"/>
      <c r="E1598" s="151"/>
      <c r="F1598" s="151"/>
      <c r="G1598" s="151"/>
      <c r="H1598" s="151"/>
      <c r="I1598" s="151"/>
      <c r="J1598" s="152">
        <v>42627.659930555557</v>
      </c>
      <c r="K1598" s="151"/>
      <c r="L1598" s="151" t="s">
        <v>59</v>
      </c>
      <c r="M1598" s="152">
        <v>42626.719155092593</v>
      </c>
      <c r="N1598" s="151" t="s">
        <v>3390</v>
      </c>
      <c r="O1598" s="151"/>
      <c r="P1598" s="151"/>
      <c r="Q1598" s="7" t="str">
        <f>IF(ISBLANK(patch[[#This Row],[OwnerEmail]]),Q1597,patch[[#This Row],[OwnerEmail]])</f>
        <v>gang.a.hu@intel.com</v>
      </c>
      <c r="R1598" s="7" t="str">
        <f>_xlfn.IFNA(VLOOKUP(patch[[#This Row],[tmp-owner.email]],OrgTree!$A:$K, 11, 0), "not ICG SWFW")</f>
        <v>BJ And dev</v>
      </c>
      <c r="S1598" s="7" t="str">
        <f>IF(patch[[#This Row],[reviewer]]=patch[[#This Row],[tmp-owner.email]], "author", _xlfn.IFNA(VLOOKUP(patch[[#This Row],[reviewer]],OrgTree!$A:$K, 11, 0), "not ICG SWFW"))</f>
        <v>BJ And dev</v>
      </c>
      <c r="T1598" s="7" t="str">
        <f>IF(ISBLANK(patch[[#This Row],[mergeDate]]), "", MID(YEAR(patch[[#This Row],[mergeDate]]), 3,2)&amp;"'ww"&amp;WEEKNUM(patch[[#This Row],[mergeDate]]))</f>
        <v>16'ww38</v>
      </c>
      <c r="U1598" s="7" t="str">
        <f>IF(ISBLANK(patch[[#This Row],[mergeDate]]), U1597, MID(YEAR(patch[[#This Row],[mergeDate]]), 3,2)&amp;"'m"&amp;MONTH(patch[[#This Row],[mergeDate]]))</f>
        <v>16'm9</v>
      </c>
      <c r="V1598" s="7" t="str">
        <f>IF(ISBLANK(patch[[#This Row],[project]]), "",SUM(patch[[#This Row],[BJ -1 num]:[SH -1 num]]))</f>
        <v/>
      </c>
      <c r="W1598" s="7" t="str">
        <f>IF(ISBLANK(patch[[#This Row],[project]]), "",COUNTIFS($A:$A,patch[[#This Row],[number]],$S:$S, "BJ And dev",$AC:$AC, "Review-1"))</f>
        <v/>
      </c>
      <c r="X1598" s="7" t="str">
        <f>IF(ISBLANK(patch[[#This Row],[project]]), "",COUNTIFS($A:$A,patch[[#This Row],[number]],$S:$S, "FL And dev",$AC:$AC, "Review-1"))</f>
        <v/>
      </c>
      <c r="Y1598" s="7" t="str">
        <f>IF(ISBLANK(patch[[#This Row],[project]]), "",COUNTIFS($A:$A,patch[[#This Row],[number]],$S:$S, "SH And dev",$AC:$AC, "Review-1"))</f>
        <v/>
      </c>
      <c r="Z1598" s="7" t="str">
        <f>IF(ISBLANK(patch[[#This Row],[project]]), "",COUNTIFS($A:$A,patch[[#This Row],[number]],$S:$S, "BJ And dev",$AD:$AD, "&lt;&gt;IntegratorValidationComment"))</f>
        <v/>
      </c>
      <c r="AA1598" s="7" t="str">
        <f>IF(ISBLANK(patch[[#This Row],[project]]), "",COUNTIFS($A:$A,patch[[#This Row],[number]],$S:$S, "FL And dev",$AD:$AD, "&lt;&gt;IntegratorValidationComment"))</f>
        <v/>
      </c>
      <c r="AB1598" s="7" t="str">
        <f>IF(ISBLANK(patch[[#This Row],[project]]), "",COUNTIFS($A:$A,patch[[#This Row],[number]],$S:$S, "SH And dev",$AD:$AD, "&lt;&gt;IntegratorValidationComment"))</f>
        <v/>
      </c>
      <c r="AC1598" s="7" t="str">
        <f>IF(OR(ISNUMBER(FIND("Review-1", patch[[#This Row],[comments]])), ISNUMBER(FIND("Approver-1", patch[[#This Row],[comments]]))), "Review-1", "")</f>
        <v/>
      </c>
      <c r="AD15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98" s="7">
        <f>IF(ISBLANK(patch[[#This Row],[number]]),AE1597,patch[[#This Row],[ifCommon]])</f>
        <v>0</v>
      </c>
    </row>
    <row r="1599" spans="1:31">
      <c r="A1599" s="151">
        <v>144856</v>
      </c>
      <c r="B1599" s="151"/>
      <c r="C1599" s="151"/>
      <c r="D1599" s="151"/>
      <c r="E1599" s="151"/>
      <c r="F1599" s="151"/>
      <c r="G1599" s="151"/>
      <c r="H1599" s="151"/>
      <c r="I1599" s="151"/>
      <c r="J1599" s="152">
        <v>42627.659930555557</v>
      </c>
      <c r="K1599" s="151"/>
      <c r="L1599" s="151" t="s">
        <v>32</v>
      </c>
      <c r="M1599" s="152">
        <v>42626.731736111113</v>
      </c>
      <c r="N1599" s="151" t="s">
        <v>1829</v>
      </c>
      <c r="O1599" s="151"/>
      <c r="P1599" s="151"/>
      <c r="Q1599" s="7" t="str">
        <f>IF(ISBLANK(patch[[#This Row],[OwnerEmail]]),Q1598,patch[[#This Row],[OwnerEmail]])</f>
        <v>gang.a.hu@intel.com</v>
      </c>
      <c r="R1599" s="7" t="str">
        <f>_xlfn.IFNA(VLOOKUP(patch[[#This Row],[tmp-owner.email]],OrgTree!$A:$K, 11, 0), "not ICG SWFW")</f>
        <v>BJ And dev</v>
      </c>
      <c r="S1599" s="7" t="str">
        <f>IF(patch[[#This Row],[reviewer]]=patch[[#This Row],[tmp-owner.email]], "author", _xlfn.IFNA(VLOOKUP(patch[[#This Row],[reviewer]],OrgTree!$A:$K, 11, 0), "not ICG SWFW"))</f>
        <v>author</v>
      </c>
      <c r="T1599" s="7" t="str">
        <f>IF(ISBLANK(patch[[#This Row],[mergeDate]]), "", MID(YEAR(patch[[#This Row],[mergeDate]]), 3,2)&amp;"'ww"&amp;WEEKNUM(patch[[#This Row],[mergeDate]]))</f>
        <v>16'ww38</v>
      </c>
      <c r="U1599" s="7" t="str">
        <f>IF(ISBLANK(patch[[#This Row],[mergeDate]]), U1598, MID(YEAR(patch[[#This Row],[mergeDate]]), 3,2)&amp;"'m"&amp;MONTH(patch[[#This Row],[mergeDate]]))</f>
        <v>16'm9</v>
      </c>
      <c r="V1599" s="7" t="str">
        <f>IF(ISBLANK(patch[[#This Row],[project]]), "",SUM(patch[[#This Row],[BJ -1 num]:[SH -1 num]]))</f>
        <v/>
      </c>
      <c r="W1599" s="7" t="str">
        <f>IF(ISBLANK(patch[[#This Row],[project]]), "",COUNTIFS($A:$A,patch[[#This Row],[number]],$S:$S, "BJ And dev",$AC:$AC, "Review-1"))</f>
        <v/>
      </c>
      <c r="X1599" s="7" t="str">
        <f>IF(ISBLANK(patch[[#This Row],[project]]), "",COUNTIFS($A:$A,patch[[#This Row],[number]],$S:$S, "FL And dev",$AC:$AC, "Review-1"))</f>
        <v/>
      </c>
      <c r="Y1599" s="7" t="str">
        <f>IF(ISBLANK(patch[[#This Row],[project]]), "",COUNTIFS($A:$A,patch[[#This Row],[number]],$S:$S, "SH And dev",$AC:$AC, "Review-1"))</f>
        <v/>
      </c>
      <c r="Z1599" s="7" t="str">
        <f>IF(ISBLANK(patch[[#This Row],[project]]), "",COUNTIFS($A:$A,patch[[#This Row],[number]],$S:$S, "BJ And dev",$AD:$AD, "&lt;&gt;IntegratorValidationComment"))</f>
        <v/>
      </c>
      <c r="AA1599" s="7" t="str">
        <f>IF(ISBLANK(patch[[#This Row],[project]]), "",COUNTIFS($A:$A,patch[[#This Row],[number]],$S:$S, "FL And dev",$AD:$AD, "&lt;&gt;IntegratorValidationComment"))</f>
        <v/>
      </c>
      <c r="AB1599" s="7" t="str">
        <f>IF(ISBLANK(patch[[#This Row],[project]]), "",COUNTIFS($A:$A,patch[[#This Row],[number]],$S:$S, "SH And dev",$AD:$AD, "&lt;&gt;IntegratorValidationComment"))</f>
        <v/>
      </c>
      <c r="AC1599" s="7" t="str">
        <f>IF(OR(ISNUMBER(FIND("Review-1", patch[[#This Row],[comments]])), ISNUMBER(FIND("Approver-1", patch[[#This Row],[comments]]))), "Review-1", "")</f>
        <v/>
      </c>
      <c r="AD15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599" s="7">
        <f>IF(ISBLANK(patch[[#This Row],[number]]),AE1598,patch[[#This Row],[ifCommon]])</f>
        <v>0</v>
      </c>
    </row>
    <row r="1600" spans="1:31">
      <c r="A1600" s="151">
        <v>144856</v>
      </c>
      <c r="B1600" s="151"/>
      <c r="C1600" s="151"/>
      <c r="D1600" s="151"/>
      <c r="E1600" s="151"/>
      <c r="F1600" s="151"/>
      <c r="G1600" s="151"/>
      <c r="H1600" s="151"/>
      <c r="I1600" s="151"/>
      <c r="J1600" s="152">
        <v>42627.659930555557</v>
      </c>
      <c r="K1600" s="151"/>
      <c r="L1600" s="151" t="s">
        <v>32</v>
      </c>
      <c r="M1600" s="152">
        <v>42626.731736111113</v>
      </c>
      <c r="N1600" s="151" t="s">
        <v>2450</v>
      </c>
      <c r="O1600" s="151"/>
      <c r="P1600" s="151"/>
      <c r="Q1600" s="7" t="str">
        <f>IF(ISBLANK(patch[[#This Row],[OwnerEmail]]),Q1599,patch[[#This Row],[OwnerEmail]])</f>
        <v>gang.a.hu@intel.com</v>
      </c>
      <c r="R1600" s="7" t="str">
        <f>_xlfn.IFNA(VLOOKUP(patch[[#This Row],[tmp-owner.email]],OrgTree!$A:$K, 11, 0), "not ICG SWFW")</f>
        <v>BJ And dev</v>
      </c>
      <c r="S1600" s="7" t="str">
        <f>IF(patch[[#This Row],[reviewer]]=patch[[#This Row],[tmp-owner.email]], "author", _xlfn.IFNA(VLOOKUP(patch[[#This Row],[reviewer]],OrgTree!$A:$K, 11, 0), "not ICG SWFW"))</f>
        <v>author</v>
      </c>
      <c r="T1600" s="7" t="str">
        <f>IF(ISBLANK(patch[[#This Row],[mergeDate]]), "", MID(YEAR(patch[[#This Row],[mergeDate]]), 3,2)&amp;"'ww"&amp;WEEKNUM(patch[[#This Row],[mergeDate]]))</f>
        <v>16'ww38</v>
      </c>
      <c r="U1600" s="7" t="str">
        <f>IF(ISBLANK(patch[[#This Row],[mergeDate]]), U1599, MID(YEAR(patch[[#This Row],[mergeDate]]), 3,2)&amp;"'m"&amp;MONTH(patch[[#This Row],[mergeDate]]))</f>
        <v>16'm9</v>
      </c>
      <c r="V1600" s="7" t="str">
        <f>IF(ISBLANK(patch[[#This Row],[project]]), "",SUM(patch[[#This Row],[BJ -1 num]:[SH -1 num]]))</f>
        <v/>
      </c>
      <c r="W1600" s="7" t="str">
        <f>IF(ISBLANK(patch[[#This Row],[project]]), "",COUNTIFS($A:$A,patch[[#This Row],[number]],$S:$S, "BJ And dev",$AC:$AC, "Review-1"))</f>
        <v/>
      </c>
      <c r="X1600" s="7" t="str">
        <f>IF(ISBLANK(patch[[#This Row],[project]]), "",COUNTIFS($A:$A,patch[[#This Row],[number]],$S:$S, "FL And dev",$AC:$AC, "Review-1"))</f>
        <v/>
      </c>
      <c r="Y1600" s="7" t="str">
        <f>IF(ISBLANK(patch[[#This Row],[project]]), "",COUNTIFS($A:$A,patch[[#This Row],[number]],$S:$S, "SH And dev",$AC:$AC, "Review-1"))</f>
        <v/>
      </c>
      <c r="Z1600" s="7" t="str">
        <f>IF(ISBLANK(patch[[#This Row],[project]]), "",COUNTIFS($A:$A,patch[[#This Row],[number]],$S:$S, "BJ And dev",$AD:$AD, "&lt;&gt;IntegratorValidationComment"))</f>
        <v/>
      </c>
      <c r="AA1600" s="7" t="str">
        <f>IF(ISBLANK(patch[[#This Row],[project]]), "",COUNTIFS($A:$A,patch[[#This Row],[number]],$S:$S, "FL And dev",$AD:$AD, "&lt;&gt;IntegratorValidationComment"))</f>
        <v/>
      </c>
      <c r="AB1600" s="7" t="str">
        <f>IF(ISBLANK(patch[[#This Row],[project]]), "",COUNTIFS($A:$A,patch[[#This Row],[number]],$S:$S, "SH And dev",$AD:$AD, "&lt;&gt;IntegratorValidationComment"))</f>
        <v/>
      </c>
      <c r="AC1600" s="7" t="str">
        <f>IF(OR(ISNUMBER(FIND("Review-1", patch[[#This Row],[comments]])), ISNUMBER(FIND("Approver-1", patch[[#This Row],[comments]]))), "Review-1", "")</f>
        <v/>
      </c>
      <c r="AD16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00" s="7">
        <f>IF(ISBLANK(patch[[#This Row],[number]]),AE1599,patch[[#This Row],[ifCommon]])</f>
        <v>0</v>
      </c>
    </row>
    <row r="1601" spans="1:31">
      <c r="A1601" s="151">
        <v>144856</v>
      </c>
      <c r="B1601" s="151"/>
      <c r="C1601" s="151"/>
      <c r="D1601" s="151"/>
      <c r="E1601" s="151"/>
      <c r="F1601" s="151"/>
      <c r="G1601" s="151"/>
      <c r="H1601" s="151"/>
      <c r="I1601" s="152"/>
      <c r="J1601" s="152">
        <v>42627.659930555557</v>
      </c>
      <c r="K1601" s="151"/>
      <c r="L1601" s="151" t="s">
        <v>32</v>
      </c>
      <c r="M1601" s="152">
        <v>42626.733368055553</v>
      </c>
      <c r="N1601" s="151" t="s">
        <v>48</v>
      </c>
      <c r="O1601" s="151"/>
      <c r="P1601" s="151"/>
      <c r="Q1601" s="7" t="str">
        <f>IF(ISBLANK(patch[[#This Row],[OwnerEmail]]),Q1600,patch[[#This Row],[OwnerEmail]])</f>
        <v>gang.a.hu@intel.com</v>
      </c>
      <c r="R1601" s="7" t="str">
        <f>_xlfn.IFNA(VLOOKUP(patch[[#This Row],[tmp-owner.email]],OrgTree!$A:$K, 11, 0), "not ICG SWFW")</f>
        <v>BJ And dev</v>
      </c>
      <c r="S1601" s="7" t="str">
        <f>IF(patch[[#This Row],[reviewer]]=patch[[#This Row],[tmp-owner.email]], "author", _xlfn.IFNA(VLOOKUP(patch[[#This Row],[reviewer]],OrgTree!$A:$K, 11, 0), "not ICG SWFW"))</f>
        <v>author</v>
      </c>
      <c r="T1601" s="7" t="str">
        <f>IF(ISBLANK(patch[[#This Row],[mergeDate]]), "", MID(YEAR(patch[[#This Row],[mergeDate]]), 3,2)&amp;"'ww"&amp;WEEKNUM(patch[[#This Row],[mergeDate]]))</f>
        <v>16'ww38</v>
      </c>
      <c r="U1601" s="7" t="str">
        <f>IF(ISBLANK(patch[[#This Row],[mergeDate]]), U1600, MID(YEAR(patch[[#This Row],[mergeDate]]), 3,2)&amp;"'m"&amp;MONTH(patch[[#This Row],[mergeDate]]))</f>
        <v>16'm9</v>
      </c>
      <c r="V1601" s="7" t="str">
        <f>IF(ISBLANK(patch[[#This Row],[project]]), "",SUM(patch[[#This Row],[BJ -1 num]:[SH -1 num]]))</f>
        <v/>
      </c>
      <c r="W1601" s="7" t="str">
        <f>IF(ISBLANK(patch[[#This Row],[project]]), "",COUNTIFS($A:$A,patch[[#This Row],[number]],$S:$S, "BJ And dev",$AC:$AC, "Review-1"))</f>
        <v/>
      </c>
      <c r="X1601" s="7" t="str">
        <f>IF(ISBLANK(patch[[#This Row],[project]]), "",COUNTIFS($A:$A,patch[[#This Row],[number]],$S:$S, "FL And dev",$AC:$AC, "Review-1"))</f>
        <v/>
      </c>
      <c r="Y1601" s="7" t="str">
        <f>IF(ISBLANK(patch[[#This Row],[project]]), "",COUNTIFS($A:$A,patch[[#This Row],[number]],$S:$S, "SH And dev",$AC:$AC, "Review-1"))</f>
        <v/>
      </c>
      <c r="Z1601" s="7" t="str">
        <f>IF(ISBLANK(patch[[#This Row],[project]]), "",COUNTIFS($A:$A,patch[[#This Row],[number]],$S:$S, "BJ And dev",$AD:$AD, "&lt;&gt;IntegratorValidationComment"))</f>
        <v/>
      </c>
      <c r="AA1601" s="7" t="str">
        <f>IF(ISBLANK(patch[[#This Row],[project]]), "",COUNTIFS($A:$A,patch[[#This Row],[number]],$S:$S, "FL And dev",$AD:$AD, "&lt;&gt;IntegratorValidationComment"))</f>
        <v/>
      </c>
      <c r="AB1601" s="7" t="str">
        <f>IF(ISBLANK(patch[[#This Row],[project]]), "",COUNTIFS($A:$A,patch[[#This Row],[number]],$S:$S, "SH And dev",$AD:$AD, "&lt;&gt;IntegratorValidationComment"))</f>
        <v/>
      </c>
      <c r="AC1601" s="7" t="str">
        <f>IF(OR(ISNUMBER(FIND("Review-1", patch[[#This Row],[comments]])), ISNUMBER(FIND("Approver-1", patch[[#This Row],[comments]]))), "Review-1", "")</f>
        <v/>
      </c>
      <c r="AD16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01" s="7">
        <f>IF(ISBLANK(patch[[#This Row],[number]]),AE1600,patch[[#This Row],[ifCommon]])</f>
        <v>0</v>
      </c>
    </row>
    <row r="1602" spans="1:31">
      <c r="A1602" s="151">
        <v>144856</v>
      </c>
      <c r="B1602" s="151"/>
      <c r="C1602" s="151"/>
      <c r="D1602" s="151"/>
      <c r="E1602" s="151"/>
      <c r="F1602" s="151"/>
      <c r="G1602" s="151"/>
      <c r="H1602" s="151"/>
      <c r="I1602" s="151"/>
      <c r="J1602" s="152">
        <v>42627.659930555557</v>
      </c>
      <c r="K1602" s="151"/>
      <c r="L1602" s="151" t="s">
        <v>59</v>
      </c>
      <c r="M1602" s="152">
        <v>42626.737870370373</v>
      </c>
      <c r="N1602" s="151" t="s">
        <v>3391</v>
      </c>
      <c r="O1602" s="151"/>
      <c r="P1602" s="151"/>
      <c r="Q1602" s="7" t="str">
        <f>IF(ISBLANK(patch[[#This Row],[OwnerEmail]]),Q1601,patch[[#This Row],[OwnerEmail]])</f>
        <v>gang.a.hu@intel.com</v>
      </c>
      <c r="R1602" s="7" t="str">
        <f>_xlfn.IFNA(VLOOKUP(patch[[#This Row],[tmp-owner.email]],OrgTree!$A:$K, 11, 0), "not ICG SWFW")</f>
        <v>BJ And dev</v>
      </c>
      <c r="S1602" s="7" t="str">
        <f>IF(patch[[#This Row],[reviewer]]=patch[[#This Row],[tmp-owner.email]], "author", _xlfn.IFNA(VLOOKUP(patch[[#This Row],[reviewer]],OrgTree!$A:$K, 11, 0), "not ICG SWFW"))</f>
        <v>BJ And dev</v>
      </c>
      <c r="T1602" s="7" t="str">
        <f>IF(ISBLANK(patch[[#This Row],[mergeDate]]), "", MID(YEAR(patch[[#This Row],[mergeDate]]), 3,2)&amp;"'ww"&amp;WEEKNUM(patch[[#This Row],[mergeDate]]))</f>
        <v>16'ww38</v>
      </c>
      <c r="U1602" s="7" t="str">
        <f>IF(ISBLANK(patch[[#This Row],[mergeDate]]), U1601, MID(YEAR(patch[[#This Row],[mergeDate]]), 3,2)&amp;"'m"&amp;MONTH(patch[[#This Row],[mergeDate]]))</f>
        <v>16'm9</v>
      </c>
      <c r="V1602" s="7" t="str">
        <f>IF(ISBLANK(patch[[#This Row],[project]]), "",SUM(patch[[#This Row],[BJ -1 num]:[SH -1 num]]))</f>
        <v/>
      </c>
      <c r="W1602" s="7" t="str">
        <f>IF(ISBLANK(patch[[#This Row],[project]]), "",COUNTIFS($A:$A,patch[[#This Row],[number]],$S:$S, "BJ And dev",$AC:$AC, "Review-1"))</f>
        <v/>
      </c>
      <c r="X1602" s="7" t="str">
        <f>IF(ISBLANK(patch[[#This Row],[project]]), "",COUNTIFS($A:$A,patch[[#This Row],[number]],$S:$S, "FL And dev",$AC:$AC, "Review-1"))</f>
        <v/>
      </c>
      <c r="Y1602" s="7" t="str">
        <f>IF(ISBLANK(patch[[#This Row],[project]]), "",COUNTIFS($A:$A,patch[[#This Row],[number]],$S:$S, "SH And dev",$AC:$AC, "Review-1"))</f>
        <v/>
      </c>
      <c r="Z1602" s="7" t="str">
        <f>IF(ISBLANK(patch[[#This Row],[project]]), "",COUNTIFS($A:$A,patch[[#This Row],[number]],$S:$S, "BJ And dev",$AD:$AD, "&lt;&gt;IntegratorValidationComment"))</f>
        <v/>
      </c>
      <c r="AA1602" s="7" t="str">
        <f>IF(ISBLANK(patch[[#This Row],[project]]), "",COUNTIFS($A:$A,patch[[#This Row],[number]],$S:$S, "FL And dev",$AD:$AD, "&lt;&gt;IntegratorValidationComment"))</f>
        <v/>
      </c>
      <c r="AB1602" s="7" t="str">
        <f>IF(ISBLANK(patch[[#This Row],[project]]), "",COUNTIFS($A:$A,patch[[#This Row],[number]],$S:$S, "SH And dev",$AD:$AD, "&lt;&gt;IntegratorValidationComment"))</f>
        <v/>
      </c>
      <c r="AC1602" s="7" t="str">
        <f>IF(OR(ISNUMBER(FIND("Review-1", patch[[#This Row],[comments]])), ISNUMBER(FIND("Approver-1", patch[[#This Row],[comments]]))), "Review-1", "")</f>
        <v/>
      </c>
      <c r="AD16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02" s="7">
        <f>IF(ISBLANK(patch[[#This Row],[number]]),AE1601,patch[[#This Row],[ifCommon]])</f>
        <v>0</v>
      </c>
    </row>
    <row r="1603" spans="1:31">
      <c r="A1603" s="151">
        <v>144856</v>
      </c>
      <c r="B1603" s="151"/>
      <c r="C1603" s="151"/>
      <c r="D1603" s="151"/>
      <c r="E1603" s="151"/>
      <c r="F1603" s="151"/>
      <c r="G1603" s="151"/>
      <c r="H1603" s="151"/>
      <c r="I1603" s="151"/>
      <c r="J1603" s="152">
        <v>42627.659930555557</v>
      </c>
      <c r="K1603" s="151"/>
      <c r="L1603" s="151" t="s">
        <v>24</v>
      </c>
      <c r="M1603" s="152">
        <v>42626.738252314812</v>
      </c>
      <c r="N1603" s="151" t="s">
        <v>2484</v>
      </c>
      <c r="O1603" s="151"/>
      <c r="P1603" s="151"/>
      <c r="Q1603" s="7" t="str">
        <f>IF(ISBLANK(patch[[#This Row],[OwnerEmail]]),Q1602,patch[[#This Row],[OwnerEmail]])</f>
        <v>gang.a.hu@intel.com</v>
      </c>
      <c r="R1603" s="7" t="str">
        <f>_xlfn.IFNA(VLOOKUP(patch[[#This Row],[tmp-owner.email]],OrgTree!$A:$K, 11, 0), "not ICG SWFW")</f>
        <v>BJ And dev</v>
      </c>
      <c r="S1603" s="7" t="str">
        <f>IF(patch[[#This Row],[reviewer]]=patch[[#This Row],[tmp-owner.email]], "author", _xlfn.IFNA(VLOOKUP(patch[[#This Row],[reviewer]],OrgTree!$A:$K, 11, 0), "not ICG SWFW"))</f>
        <v>BJ And dev</v>
      </c>
      <c r="T1603" s="7" t="str">
        <f>IF(ISBLANK(patch[[#This Row],[mergeDate]]), "", MID(YEAR(patch[[#This Row],[mergeDate]]), 3,2)&amp;"'ww"&amp;WEEKNUM(patch[[#This Row],[mergeDate]]))</f>
        <v>16'ww38</v>
      </c>
      <c r="U1603" s="7" t="str">
        <f>IF(ISBLANK(patch[[#This Row],[mergeDate]]), U1602, MID(YEAR(patch[[#This Row],[mergeDate]]), 3,2)&amp;"'m"&amp;MONTH(patch[[#This Row],[mergeDate]]))</f>
        <v>16'm9</v>
      </c>
      <c r="V1603" s="7" t="str">
        <f>IF(ISBLANK(patch[[#This Row],[project]]), "",SUM(patch[[#This Row],[BJ -1 num]:[SH -1 num]]))</f>
        <v/>
      </c>
      <c r="W1603" s="7" t="str">
        <f>IF(ISBLANK(patch[[#This Row],[project]]), "",COUNTIFS($A:$A,patch[[#This Row],[number]],$S:$S, "BJ And dev",$AC:$AC, "Review-1"))</f>
        <v/>
      </c>
      <c r="X1603" s="7" t="str">
        <f>IF(ISBLANK(patch[[#This Row],[project]]), "",COUNTIFS($A:$A,patch[[#This Row],[number]],$S:$S, "FL And dev",$AC:$AC, "Review-1"))</f>
        <v/>
      </c>
      <c r="Y1603" s="7" t="str">
        <f>IF(ISBLANK(patch[[#This Row],[project]]), "",COUNTIFS($A:$A,patch[[#This Row],[number]],$S:$S, "SH And dev",$AC:$AC, "Review-1"))</f>
        <v/>
      </c>
      <c r="Z1603" s="7" t="str">
        <f>IF(ISBLANK(patch[[#This Row],[project]]), "",COUNTIFS($A:$A,patch[[#This Row],[number]],$S:$S, "BJ And dev",$AD:$AD, "&lt;&gt;IntegratorValidationComment"))</f>
        <v/>
      </c>
      <c r="AA1603" s="7" t="str">
        <f>IF(ISBLANK(patch[[#This Row],[project]]), "",COUNTIFS($A:$A,patch[[#This Row],[number]],$S:$S, "FL And dev",$AD:$AD, "&lt;&gt;IntegratorValidationComment"))</f>
        <v/>
      </c>
      <c r="AB1603" s="7" t="str">
        <f>IF(ISBLANK(patch[[#This Row],[project]]), "",COUNTIFS($A:$A,patch[[#This Row],[number]],$S:$S, "SH And dev",$AD:$AD, "&lt;&gt;IntegratorValidationComment"))</f>
        <v/>
      </c>
      <c r="AC1603" s="7" t="str">
        <f>IF(OR(ISNUMBER(FIND("Review-1", patch[[#This Row],[comments]])), ISNUMBER(FIND("Approver-1", patch[[#This Row],[comments]]))), "Review-1", "")</f>
        <v/>
      </c>
      <c r="AD16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03" s="7">
        <f>IF(ISBLANK(patch[[#This Row],[number]]),AE1602,patch[[#This Row],[ifCommon]])</f>
        <v>0</v>
      </c>
    </row>
    <row r="1604" spans="1:31">
      <c r="A1604" s="151">
        <v>144856</v>
      </c>
      <c r="B1604" s="151"/>
      <c r="C1604" s="151"/>
      <c r="D1604" s="151"/>
      <c r="E1604" s="151"/>
      <c r="F1604" s="151"/>
      <c r="G1604" s="151"/>
      <c r="H1604" s="151"/>
      <c r="I1604" s="151"/>
      <c r="J1604" s="152">
        <v>42627.659930555557</v>
      </c>
      <c r="K1604" s="151"/>
      <c r="L1604" s="151" t="s">
        <v>24</v>
      </c>
      <c r="M1604" s="152">
        <v>42626.738298611112</v>
      </c>
      <c r="N1604" s="151" t="s">
        <v>48</v>
      </c>
      <c r="O1604" s="151"/>
      <c r="P1604" s="151"/>
      <c r="Q1604" s="7" t="str">
        <f>IF(ISBLANK(patch[[#This Row],[OwnerEmail]]),Q1603,patch[[#This Row],[OwnerEmail]])</f>
        <v>gang.a.hu@intel.com</v>
      </c>
      <c r="R1604" s="7" t="str">
        <f>_xlfn.IFNA(VLOOKUP(patch[[#This Row],[tmp-owner.email]],OrgTree!$A:$K, 11, 0), "not ICG SWFW")</f>
        <v>BJ And dev</v>
      </c>
      <c r="S1604" s="7" t="str">
        <f>IF(patch[[#This Row],[reviewer]]=patch[[#This Row],[tmp-owner.email]], "author", _xlfn.IFNA(VLOOKUP(patch[[#This Row],[reviewer]],OrgTree!$A:$K, 11, 0), "not ICG SWFW"))</f>
        <v>BJ And dev</v>
      </c>
      <c r="T1604" s="7" t="str">
        <f>IF(ISBLANK(patch[[#This Row],[mergeDate]]), "", MID(YEAR(patch[[#This Row],[mergeDate]]), 3,2)&amp;"'ww"&amp;WEEKNUM(patch[[#This Row],[mergeDate]]))</f>
        <v>16'ww38</v>
      </c>
      <c r="U1604" s="7" t="str">
        <f>IF(ISBLANK(patch[[#This Row],[mergeDate]]), U1603, MID(YEAR(patch[[#This Row],[mergeDate]]), 3,2)&amp;"'m"&amp;MONTH(patch[[#This Row],[mergeDate]]))</f>
        <v>16'm9</v>
      </c>
      <c r="V1604" s="7" t="str">
        <f>IF(ISBLANK(patch[[#This Row],[project]]), "",SUM(patch[[#This Row],[BJ -1 num]:[SH -1 num]]))</f>
        <v/>
      </c>
      <c r="W1604" s="7" t="str">
        <f>IF(ISBLANK(patch[[#This Row],[project]]), "",COUNTIFS($A:$A,patch[[#This Row],[number]],$S:$S, "BJ And dev",$AC:$AC, "Review-1"))</f>
        <v/>
      </c>
      <c r="X1604" s="7" t="str">
        <f>IF(ISBLANK(patch[[#This Row],[project]]), "",COUNTIFS($A:$A,patch[[#This Row],[number]],$S:$S, "FL And dev",$AC:$AC, "Review-1"))</f>
        <v/>
      </c>
      <c r="Y1604" s="7" t="str">
        <f>IF(ISBLANK(patch[[#This Row],[project]]), "",COUNTIFS($A:$A,patch[[#This Row],[number]],$S:$S, "SH And dev",$AC:$AC, "Review-1"))</f>
        <v/>
      </c>
      <c r="Z1604" s="7" t="str">
        <f>IF(ISBLANK(patch[[#This Row],[project]]), "",COUNTIFS($A:$A,patch[[#This Row],[number]],$S:$S, "BJ And dev",$AD:$AD, "&lt;&gt;IntegratorValidationComment"))</f>
        <v/>
      </c>
      <c r="AA1604" s="7" t="str">
        <f>IF(ISBLANK(patch[[#This Row],[project]]), "",COUNTIFS($A:$A,patch[[#This Row],[number]],$S:$S, "FL And dev",$AD:$AD, "&lt;&gt;IntegratorValidationComment"))</f>
        <v/>
      </c>
      <c r="AB1604" s="7" t="str">
        <f>IF(ISBLANK(patch[[#This Row],[project]]), "",COUNTIFS($A:$A,patch[[#This Row],[number]],$S:$S, "SH And dev",$AD:$AD, "&lt;&gt;IntegratorValidationComment"))</f>
        <v/>
      </c>
      <c r="AC1604" s="7" t="str">
        <f>IF(OR(ISNUMBER(FIND("Review-1", patch[[#This Row],[comments]])), ISNUMBER(FIND("Approver-1", patch[[#This Row],[comments]]))), "Review-1", "")</f>
        <v/>
      </c>
      <c r="AD16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04" s="7">
        <f>IF(ISBLANK(patch[[#This Row],[number]]),AE1603,patch[[#This Row],[ifCommon]])</f>
        <v>0</v>
      </c>
    </row>
    <row r="1605" spans="1:31">
      <c r="A1605" s="151">
        <v>144856</v>
      </c>
      <c r="B1605" s="151"/>
      <c r="C1605" s="151"/>
      <c r="D1605" s="151"/>
      <c r="E1605" s="151"/>
      <c r="F1605" s="151"/>
      <c r="G1605" s="151"/>
      <c r="H1605" s="151"/>
      <c r="I1605" s="151"/>
      <c r="J1605" s="152">
        <v>42627.659930555557</v>
      </c>
      <c r="K1605" s="151"/>
      <c r="L1605" s="151" t="s">
        <v>63</v>
      </c>
      <c r="M1605" s="152">
        <v>42626.740543981483</v>
      </c>
      <c r="N1605" s="151" t="s">
        <v>48</v>
      </c>
      <c r="O1605" s="151"/>
      <c r="P1605" s="151"/>
      <c r="Q1605" s="7" t="str">
        <f>IF(ISBLANK(patch[[#This Row],[OwnerEmail]]),Q1604,patch[[#This Row],[OwnerEmail]])</f>
        <v>gang.a.hu@intel.com</v>
      </c>
      <c r="R1605" s="7" t="str">
        <f>_xlfn.IFNA(VLOOKUP(patch[[#This Row],[tmp-owner.email]],OrgTree!$A:$K, 11, 0), "not ICG SWFW")</f>
        <v>BJ And dev</v>
      </c>
      <c r="S1605" s="7" t="str">
        <f>IF(patch[[#This Row],[reviewer]]=patch[[#This Row],[tmp-owner.email]], "author", _xlfn.IFNA(VLOOKUP(patch[[#This Row],[reviewer]],OrgTree!$A:$K, 11, 0), "not ICG SWFW"))</f>
        <v>BJ And dev</v>
      </c>
      <c r="T1605" s="7" t="str">
        <f>IF(ISBLANK(patch[[#This Row],[mergeDate]]), "", MID(YEAR(patch[[#This Row],[mergeDate]]), 3,2)&amp;"'ww"&amp;WEEKNUM(patch[[#This Row],[mergeDate]]))</f>
        <v>16'ww38</v>
      </c>
      <c r="U1605" s="7" t="str">
        <f>IF(ISBLANK(patch[[#This Row],[mergeDate]]), U1604, MID(YEAR(patch[[#This Row],[mergeDate]]), 3,2)&amp;"'m"&amp;MONTH(patch[[#This Row],[mergeDate]]))</f>
        <v>16'm9</v>
      </c>
      <c r="V1605" s="7" t="str">
        <f>IF(ISBLANK(patch[[#This Row],[project]]), "",SUM(patch[[#This Row],[BJ -1 num]:[SH -1 num]]))</f>
        <v/>
      </c>
      <c r="W1605" s="7" t="str">
        <f>IF(ISBLANK(patch[[#This Row],[project]]), "",COUNTIFS($A:$A,patch[[#This Row],[number]],$S:$S, "BJ And dev",$AC:$AC, "Review-1"))</f>
        <v/>
      </c>
      <c r="X1605" s="7" t="str">
        <f>IF(ISBLANK(patch[[#This Row],[project]]), "",COUNTIFS($A:$A,patch[[#This Row],[number]],$S:$S, "FL And dev",$AC:$AC, "Review-1"))</f>
        <v/>
      </c>
      <c r="Y1605" s="7" t="str">
        <f>IF(ISBLANK(patch[[#This Row],[project]]), "",COUNTIFS($A:$A,patch[[#This Row],[number]],$S:$S, "SH And dev",$AC:$AC, "Review-1"))</f>
        <v/>
      </c>
      <c r="Z1605" s="7" t="str">
        <f>IF(ISBLANK(patch[[#This Row],[project]]), "",COUNTIFS($A:$A,patch[[#This Row],[number]],$S:$S, "BJ And dev",$AD:$AD, "&lt;&gt;IntegratorValidationComment"))</f>
        <v/>
      </c>
      <c r="AA1605" s="7" t="str">
        <f>IF(ISBLANK(patch[[#This Row],[project]]), "",COUNTIFS($A:$A,patch[[#This Row],[number]],$S:$S, "FL And dev",$AD:$AD, "&lt;&gt;IntegratorValidationComment"))</f>
        <v/>
      </c>
      <c r="AB1605" s="7" t="str">
        <f>IF(ISBLANK(patch[[#This Row],[project]]), "",COUNTIFS($A:$A,patch[[#This Row],[number]],$S:$S, "SH And dev",$AD:$AD, "&lt;&gt;IntegratorValidationComment"))</f>
        <v/>
      </c>
      <c r="AC1605" s="7" t="str">
        <f>IF(OR(ISNUMBER(FIND("Review-1", patch[[#This Row],[comments]])), ISNUMBER(FIND("Approver-1", patch[[#This Row],[comments]]))), "Review-1", "")</f>
        <v/>
      </c>
      <c r="AD16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05" s="7">
        <f>IF(ISBLANK(patch[[#This Row],[number]]),AE1604,patch[[#This Row],[ifCommon]])</f>
        <v>0</v>
      </c>
    </row>
    <row r="1606" spans="1:31">
      <c r="A1606" s="151">
        <v>144856</v>
      </c>
      <c r="B1606" s="151"/>
      <c r="C1606" s="151"/>
      <c r="D1606" s="151"/>
      <c r="E1606" s="151"/>
      <c r="F1606" s="151"/>
      <c r="G1606" s="151"/>
      <c r="H1606" s="151"/>
      <c r="I1606" s="151"/>
      <c r="J1606" s="152">
        <v>42627.659930555557</v>
      </c>
      <c r="K1606" s="151"/>
      <c r="L1606" s="151" t="s">
        <v>59</v>
      </c>
      <c r="M1606" s="152">
        <v>42626.742152777777</v>
      </c>
      <c r="N1606" s="151" t="s">
        <v>3392</v>
      </c>
      <c r="O1606" s="151" t="s">
        <v>3393</v>
      </c>
      <c r="P1606" s="151"/>
      <c r="Q1606" s="7" t="str">
        <f>IF(ISBLANK(patch[[#This Row],[OwnerEmail]]),Q1605,patch[[#This Row],[OwnerEmail]])</f>
        <v>gang.a.hu@intel.com</v>
      </c>
      <c r="R1606" s="7" t="str">
        <f>_xlfn.IFNA(VLOOKUP(patch[[#This Row],[tmp-owner.email]],OrgTree!$A:$K, 11, 0), "not ICG SWFW")</f>
        <v>BJ And dev</v>
      </c>
      <c r="S1606" s="7" t="str">
        <f>IF(patch[[#This Row],[reviewer]]=patch[[#This Row],[tmp-owner.email]], "author", _xlfn.IFNA(VLOOKUP(patch[[#This Row],[reviewer]],OrgTree!$A:$K, 11, 0), "not ICG SWFW"))</f>
        <v>BJ And dev</v>
      </c>
      <c r="T1606" s="7" t="str">
        <f>IF(ISBLANK(patch[[#This Row],[mergeDate]]), "", MID(YEAR(patch[[#This Row],[mergeDate]]), 3,2)&amp;"'ww"&amp;WEEKNUM(patch[[#This Row],[mergeDate]]))</f>
        <v>16'ww38</v>
      </c>
      <c r="U1606" s="7" t="str">
        <f>IF(ISBLANK(patch[[#This Row],[mergeDate]]), U1605, MID(YEAR(patch[[#This Row],[mergeDate]]), 3,2)&amp;"'m"&amp;MONTH(patch[[#This Row],[mergeDate]]))</f>
        <v>16'm9</v>
      </c>
      <c r="V1606" s="7" t="str">
        <f>IF(ISBLANK(patch[[#This Row],[project]]), "",SUM(patch[[#This Row],[BJ -1 num]:[SH -1 num]]))</f>
        <v/>
      </c>
      <c r="W1606" s="7" t="str">
        <f>IF(ISBLANK(patch[[#This Row],[project]]), "",COUNTIFS($A:$A,patch[[#This Row],[number]],$S:$S, "BJ And dev",$AC:$AC, "Review-1"))</f>
        <v/>
      </c>
      <c r="X1606" s="7" t="str">
        <f>IF(ISBLANK(patch[[#This Row],[project]]), "",COUNTIFS($A:$A,patch[[#This Row],[number]],$S:$S, "FL And dev",$AC:$AC, "Review-1"))</f>
        <v/>
      </c>
      <c r="Y1606" s="7" t="str">
        <f>IF(ISBLANK(patch[[#This Row],[project]]), "",COUNTIFS($A:$A,patch[[#This Row],[number]],$S:$S, "SH And dev",$AC:$AC, "Review-1"))</f>
        <v/>
      </c>
      <c r="Z1606" s="7" t="str">
        <f>IF(ISBLANK(patch[[#This Row],[project]]), "",COUNTIFS($A:$A,patch[[#This Row],[number]],$S:$S, "BJ And dev",$AD:$AD, "&lt;&gt;IntegratorValidationComment"))</f>
        <v/>
      </c>
      <c r="AA1606" s="7" t="str">
        <f>IF(ISBLANK(patch[[#This Row],[project]]), "",COUNTIFS($A:$A,patch[[#This Row],[number]],$S:$S, "FL And dev",$AD:$AD, "&lt;&gt;IntegratorValidationComment"))</f>
        <v/>
      </c>
      <c r="AB1606" s="7" t="str">
        <f>IF(ISBLANK(patch[[#This Row],[project]]), "",COUNTIFS($A:$A,patch[[#This Row],[number]],$S:$S, "SH And dev",$AD:$AD, "&lt;&gt;IntegratorValidationComment"))</f>
        <v/>
      </c>
      <c r="AC1606" s="7" t="str">
        <f>IF(OR(ISNUMBER(FIND("Review-1", patch[[#This Row],[comments]])), ISNUMBER(FIND("Approver-1", patch[[#This Row],[comments]]))), "Review-1", "")</f>
        <v/>
      </c>
      <c r="AD16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06" s="7">
        <f>IF(ISBLANK(patch[[#This Row],[number]]),AE1605,patch[[#This Row],[ifCommon]])</f>
        <v>0</v>
      </c>
    </row>
    <row r="1607" spans="1:31">
      <c r="A1607" s="151">
        <v>144856</v>
      </c>
      <c r="B1607" s="151"/>
      <c r="C1607" s="151"/>
      <c r="D1607" s="151"/>
      <c r="E1607" s="151"/>
      <c r="F1607" s="151"/>
      <c r="G1607" s="151"/>
      <c r="H1607" s="151"/>
      <c r="I1607" s="151"/>
      <c r="J1607" s="152">
        <v>42627.659930555557</v>
      </c>
      <c r="K1607" s="151"/>
      <c r="L1607" s="151" t="s">
        <v>115</v>
      </c>
      <c r="M1607" s="152">
        <v>42626.742789351847</v>
      </c>
      <c r="N1607" s="151" t="s">
        <v>2497</v>
      </c>
      <c r="O1607" s="151"/>
      <c r="P1607" s="151"/>
      <c r="Q1607" s="7" t="str">
        <f>IF(ISBLANK(patch[[#This Row],[OwnerEmail]]),Q1606,patch[[#This Row],[OwnerEmail]])</f>
        <v>gang.a.hu@intel.com</v>
      </c>
      <c r="R1607" s="7" t="str">
        <f>_xlfn.IFNA(VLOOKUP(patch[[#This Row],[tmp-owner.email]],OrgTree!$A:$K, 11, 0), "not ICG SWFW")</f>
        <v>BJ And dev</v>
      </c>
      <c r="S1607" s="7" t="str">
        <f>IF(patch[[#This Row],[reviewer]]=patch[[#This Row],[tmp-owner.email]], "author", _xlfn.IFNA(VLOOKUP(patch[[#This Row],[reviewer]],OrgTree!$A:$K, 11, 0), "not ICG SWFW"))</f>
        <v>Val</v>
      </c>
      <c r="T1607" s="7" t="str">
        <f>IF(ISBLANK(patch[[#This Row],[mergeDate]]), "", MID(YEAR(patch[[#This Row],[mergeDate]]), 3,2)&amp;"'ww"&amp;WEEKNUM(patch[[#This Row],[mergeDate]]))</f>
        <v>16'ww38</v>
      </c>
      <c r="U1607" s="7" t="str">
        <f>IF(ISBLANK(patch[[#This Row],[mergeDate]]), U1606, MID(YEAR(patch[[#This Row],[mergeDate]]), 3,2)&amp;"'m"&amp;MONTH(patch[[#This Row],[mergeDate]]))</f>
        <v>16'm9</v>
      </c>
      <c r="V1607" s="7" t="str">
        <f>IF(ISBLANK(patch[[#This Row],[project]]), "",SUM(patch[[#This Row],[BJ -1 num]:[SH -1 num]]))</f>
        <v/>
      </c>
      <c r="W1607" s="7" t="str">
        <f>IF(ISBLANK(patch[[#This Row],[project]]), "",COUNTIFS($A:$A,patch[[#This Row],[number]],$S:$S, "BJ And dev",$AC:$AC, "Review-1"))</f>
        <v/>
      </c>
      <c r="X1607" s="7" t="str">
        <f>IF(ISBLANK(patch[[#This Row],[project]]), "",COUNTIFS($A:$A,patch[[#This Row],[number]],$S:$S, "FL And dev",$AC:$AC, "Review-1"))</f>
        <v/>
      </c>
      <c r="Y1607" s="7" t="str">
        <f>IF(ISBLANK(patch[[#This Row],[project]]), "",COUNTIFS($A:$A,patch[[#This Row],[number]],$S:$S, "SH And dev",$AC:$AC, "Review-1"))</f>
        <v/>
      </c>
      <c r="Z1607" s="7" t="str">
        <f>IF(ISBLANK(patch[[#This Row],[project]]), "",COUNTIFS($A:$A,patch[[#This Row],[number]],$S:$S, "BJ And dev",$AD:$AD, "&lt;&gt;IntegratorValidationComment"))</f>
        <v/>
      </c>
      <c r="AA1607" s="7" t="str">
        <f>IF(ISBLANK(patch[[#This Row],[project]]), "",COUNTIFS($A:$A,patch[[#This Row],[number]],$S:$S, "FL And dev",$AD:$AD, "&lt;&gt;IntegratorValidationComment"))</f>
        <v/>
      </c>
      <c r="AB1607" s="7" t="str">
        <f>IF(ISBLANK(patch[[#This Row],[project]]), "",COUNTIFS($A:$A,patch[[#This Row],[number]],$S:$S, "SH And dev",$AD:$AD, "&lt;&gt;IntegratorValidationComment"))</f>
        <v/>
      </c>
      <c r="AC1607" s="7" t="str">
        <f>IF(OR(ISNUMBER(FIND("Review-1", patch[[#This Row],[comments]])), ISNUMBER(FIND("Approver-1", patch[[#This Row],[comments]]))), "Review-1", "")</f>
        <v/>
      </c>
      <c r="AD16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607" s="7">
        <f>IF(ISBLANK(patch[[#This Row],[number]]),AE1606,patch[[#This Row],[ifCommon]])</f>
        <v>0</v>
      </c>
    </row>
    <row r="1608" spans="1:31">
      <c r="A1608" s="151">
        <v>144856</v>
      </c>
      <c r="B1608" s="151"/>
      <c r="C1608" s="151"/>
      <c r="D1608" s="151"/>
      <c r="E1608" s="151"/>
      <c r="F1608" s="151"/>
      <c r="G1608" s="151"/>
      <c r="H1608" s="151"/>
      <c r="I1608" s="151"/>
      <c r="J1608" s="152">
        <v>42627.659930555557</v>
      </c>
      <c r="K1608" s="151"/>
      <c r="L1608" s="151" t="s">
        <v>59</v>
      </c>
      <c r="M1608" s="152">
        <v>42626.743275462963</v>
      </c>
      <c r="N1608" s="151" t="s">
        <v>2470</v>
      </c>
      <c r="O1608" s="151" t="s">
        <v>3394</v>
      </c>
      <c r="P1608" s="151"/>
      <c r="Q1608" s="7" t="str">
        <f>IF(ISBLANK(patch[[#This Row],[OwnerEmail]]),Q1607,patch[[#This Row],[OwnerEmail]])</f>
        <v>gang.a.hu@intel.com</v>
      </c>
      <c r="R1608" s="7" t="str">
        <f>_xlfn.IFNA(VLOOKUP(patch[[#This Row],[tmp-owner.email]],OrgTree!$A:$K, 11, 0), "not ICG SWFW")</f>
        <v>BJ And dev</v>
      </c>
      <c r="S1608" s="7" t="str">
        <f>IF(patch[[#This Row],[reviewer]]=patch[[#This Row],[tmp-owner.email]], "author", _xlfn.IFNA(VLOOKUP(patch[[#This Row],[reviewer]],OrgTree!$A:$K, 11, 0), "not ICG SWFW"))</f>
        <v>BJ And dev</v>
      </c>
      <c r="T1608" s="7" t="str">
        <f>IF(ISBLANK(patch[[#This Row],[mergeDate]]), "", MID(YEAR(patch[[#This Row],[mergeDate]]), 3,2)&amp;"'ww"&amp;WEEKNUM(patch[[#This Row],[mergeDate]]))</f>
        <v>16'ww38</v>
      </c>
      <c r="U1608" s="7" t="str">
        <f>IF(ISBLANK(patch[[#This Row],[mergeDate]]), U1607, MID(YEAR(patch[[#This Row],[mergeDate]]), 3,2)&amp;"'m"&amp;MONTH(patch[[#This Row],[mergeDate]]))</f>
        <v>16'm9</v>
      </c>
      <c r="V1608" s="7" t="str">
        <f>IF(ISBLANK(patch[[#This Row],[project]]), "",SUM(patch[[#This Row],[BJ -1 num]:[SH -1 num]]))</f>
        <v/>
      </c>
      <c r="W1608" s="7" t="str">
        <f>IF(ISBLANK(patch[[#This Row],[project]]), "",COUNTIFS($A:$A,patch[[#This Row],[number]],$S:$S, "BJ And dev",$AC:$AC, "Review-1"))</f>
        <v/>
      </c>
      <c r="X1608" s="7" t="str">
        <f>IF(ISBLANK(patch[[#This Row],[project]]), "",COUNTIFS($A:$A,patch[[#This Row],[number]],$S:$S, "FL And dev",$AC:$AC, "Review-1"))</f>
        <v/>
      </c>
      <c r="Y1608" s="7" t="str">
        <f>IF(ISBLANK(patch[[#This Row],[project]]), "",COUNTIFS($A:$A,patch[[#This Row],[number]],$S:$S, "SH And dev",$AC:$AC, "Review-1"))</f>
        <v/>
      </c>
      <c r="Z1608" s="7" t="str">
        <f>IF(ISBLANK(patch[[#This Row],[project]]), "",COUNTIFS($A:$A,patch[[#This Row],[number]],$S:$S, "BJ And dev",$AD:$AD, "&lt;&gt;IntegratorValidationComment"))</f>
        <v/>
      </c>
      <c r="AA1608" s="7" t="str">
        <f>IF(ISBLANK(patch[[#This Row],[project]]), "",COUNTIFS($A:$A,patch[[#This Row],[number]],$S:$S, "FL And dev",$AD:$AD, "&lt;&gt;IntegratorValidationComment"))</f>
        <v/>
      </c>
      <c r="AB1608" s="7" t="str">
        <f>IF(ISBLANK(patch[[#This Row],[project]]), "",COUNTIFS($A:$A,patch[[#This Row],[number]],$S:$S, "SH And dev",$AD:$AD, "&lt;&gt;IntegratorValidationComment"))</f>
        <v/>
      </c>
      <c r="AC1608" s="7" t="str">
        <f>IF(OR(ISNUMBER(FIND("Review-1", patch[[#This Row],[comments]])), ISNUMBER(FIND("Approver-1", patch[[#This Row],[comments]]))), "Review-1", "")</f>
        <v/>
      </c>
      <c r="AD16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08" s="7">
        <f>IF(ISBLANK(patch[[#This Row],[number]]),AE1607,patch[[#This Row],[ifCommon]])</f>
        <v>0</v>
      </c>
    </row>
    <row r="1609" spans="1:31">
      <c r="A1609" s="151">
        <v>144856</v>
      </c>
      <c r="B1609" s="151"/>
      <c r="C1609" s="151"/>
      <c r="D1609" s="151"/>
      <c r="E1609" s="151"/>
      <c r="F1609" s="151"/>
      <c r="G1609" s="151"/>
      <c r="H1609" s="151"/>
      <c r="I1609" s="151"/>
      <c r="J1609" s="152">
        <v>42627.659930555557</v>
      </c>
      <c r="K1609" s="151"/>
      <c r="L1609" s="151" t="s">
        <v>59</v>
      </c>
      <c r="M1609" s="152">
        <v>42626.743645833332</v>
      </c>
      <c r="N1609" s="151" t="s">
        <v>3395</v>
      </c>
      <c r="O1609" s="151"/>
      <c r="P1609" s="151"/>
      <c r="Q1609" s="7" t="str">
        <f>IF(ISBLANK(patch[[#This Row],[OwnerEmail]]),Q1608,patch[[#This Row],[OwnerEmail]])</f>
        <v>gang.a.hu@intel.com</v>
      </c>
      <c r="R1609" s="7" t="str">
        <f>_xlfn.IFNA(VLOOKUP(patch[[#This Row],[tmp-owner.email]],OrgTree!$A:$K, 11, 0), "not ICG SWFW")</f>
        <v>BJ And dev</v>
      </c>
      <c r="S1609" s="7" t="str">
        <f>IF(patch[[#This Row],[reviewer]]=patch[[#This Row],[tmp-owner.email]], "author", _xlfn.IFNA(VLOOKUP(patch[[#This Row],[reviewer]],OrgTree!$A:$K, 11, 0), "not ICG SWFW"))</f>
        <v>BJ And dev</v>
      </c>
      <c r="T1609" s="7" t="str">
        <f>IF(ISBLANK(patch[[#This Row],[mergeDate]]), "", MID(YEAR(patch[[#This Row],[mergeDate]]), 3,2)&amp;"'ww"&amp;WEEKNUM(patch[[#This Row],[mergeDate]]))</f>
        <v>16'ww38</v>
      </c>
      <c r="U1609" s="7" t="str">
        <f>IF(ISBLANK(patch[[#This Row],[mergeDate]]), U1608, MID(YEAR(patch[[#This Row],[mergeDate]]), 3,2)&amp;"'m"&amp;MONTH(patch[[#This Row],[mergeDate]]))</f>
        <v>16'm9</v>
      </c>
      <c r="V1609" s="7" t="str">
        <f>IF(ISBLANK(patch[[#This Row],[project]]), "",SUM(patch[[#This Row],[BJ -1 num]:[SH -1 num]]))</f>
        <v/>
      </c>
      <c r="W1609" s="7" t="str">
        <f>IF(ISBLANK(patch[[#This Row],[project]]), "",COUNTIFS($A:$A,patch[[#This Row],[number]],$S:$S, "BJ And dev",$AC:$AC, "Review-1"))</f>
        <v/>
      </c>
      <c r="X1609" s="7" t="str">
        <f>IF(ISBLANK(patch[[#This Row],[project]]), "",COUNTIFS($A:$A,patch[[#This Row],[number]],$S:$S, "FL And dev",$AC:$AC, "Review-1"))</f>
        <v/>
      </c>
      <c r="Y1609" s="7" t="str">
        <f>IF(ISBLANK(patch[[#This Row],[project]]), "",COUNTIFS($A:$A,patch[[#This Row],[number]],$S:$S, "SH And dev",$AC:$AC, "Review-1"))</f>
        <v/>
      </c>
      <c r="Z1609" s="7" t="str">
        <f>IF(ISBLANK(patch[[#This Row],[project]]), "",COUNTIFS($A:$A,patch[[#This Row],[number]],$S:$S, "BJ And dev",$AD:$AD, "&lt;&gt;IntegratorValidationComment"))</f>
        <v/>
      </c>
      <c r="AA1609" s="7" t="str">
        <f>IF(ISBLANK(patch[[#This Row],[project]]), "",COUNTIFS($A:$A,patch[[#This Row],[number]],$S:$S, "FL And dev",$AD:$AD, "&lt;&gt;IntegratorValidationComment"))</f>
        <v/>
      </c>
      <c r="AB1609" s="7" t="str">
        <f>IF(ISBLANK(patch[[#This Row],[project]]), "",COUNTIFS($A:$A,patch[[#This Row],[number]],$S:$S, "SH And dev",$AD:$AD, "&lt;&gt;IntegratorValidationComment"))</f>
        <v/>
      </c>
      <c r="AC1609" s="7" t="str">
        <f>IF(OR(ISNUMBER(FIND("Review-1", patch[[#This Row],[comments]])), ISNUMBER(FIND("Approver-1", patch[[#This Row],[comments]]))), "Review-1", "")</f>
        <v/>
      </c>
      <c r="AD16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09" s="7">
        <f>IF(ISBLANK(patch[[#This Row],[number]]),AE1608,patch[[#This Row],[ifCommon]])</f>
        <v>0</v>
      </c>
    </row>
    <row r="1610" spans="1:31">
      <c r="A1610" s="151">
        <v>144856</v>
      </c>
      <c r="B1610" s="151"/>
      <c r="C1610" s="151"/>
      <c r="D1610" s="151"/>
      <c r="E1610" s="151"/>
      <c r="F1610" s="151"/>
      <c r="G1610" s="151"/>
      <c r="H1610" s="151"/>
      <c r="I1610" s="151"/>
      <c r="J1610" s="152">
        <v>42627.659930555557</v>
      </c>
      <c r="K1610" s="151"/>
      <c r="L1610" s="151" t="s">
        <v>59</v>
      </c>
      <c r="M1610" s="152">
        <v>42626.755659722221</v>
      </c>
      <c r="N1610" s="151" t="s">
        <v>3396</v>
      </c>
      <c r="O1610" s="151"/>
      <c r="P1610" s="151"/>
      <c r="Q1610" s="7" t="str">
        <f>IF(ISBLANK(patch[[#This Row],[OwnerEmail]]),Q1609,patch[[#This Row],[OwnerEmail]])</f>
        <v>gang.a.hu@intel.com</v>
      </c>
      <c r="R1610" s="7" t="str">
        <f>_xlfn.IFNA(VLOOKUP(patch[[#This Row],[tmp-owner.email]],OrgTree!$A:$K, 11, 0), "not ICG SWFW")</f>
        <v>BJ And dev</v>
      </c>
      <c r="S1610" s="7" t="str">
        <f>IF(patch[[#This Row],[reviewer]]=patch[[#This Row],[tmp-owner.email]], "author", _xlfn.IFNA(VLOOKUP(patch[[#This Row],[reviewer]],OrgTree!$A:$K, 11, 0), "not ICG SWFW"))</f>
        <v>BJ And dev</v>
      </c>
      <c r="T1610" s="7" t="str">
        <f>IF(ISBLANK(patch[[#This Row],[mergeDate]]), "", MID(YEAR(patch[[#This Row],[mergeDate]]), 3,2)&amp;"'ww"&amp;WEEKNUM(patch[[#This Row],[mergeDate]]))</f>
        <v>16'ww38</v>
      </c>
      <c r="U1610" s="7" t="str">
        <f>IF(ISBLANK(patch[[#This Row],[mergeDate]]), U1609, MID(YEAR(patch[[#This Row],[mergeDate]]), 3,2)&amp;"'m"&amp;MONTH(patch[[#This Row],[mergeDate]]))</f>
        <v>16'm9</v>
      </c>
      <c r="V1610" s="7" t="str">
        <f>IF(ISBLANK(patch[[#This Row],[project]]), "",SUM(patch[[#This Row],[BJ -1 num]:[SH -1 num]]))</f>
        <v/>
      </c>
      <c r="W1610" s="7" t="str">
        <f>IF(ISBLANK(patch[[#This Row],[project]]), "",COUNTIFS($A:$A,patch[[#This Row],[number]],$S:$S, "BJ And dev",$AC:$AC, "Review-1"))</f>
        <v/>
      </c>
      <c r="X1610" s="7" t="str">
        <f>IF(ISBLANK(patch[[#This Row],[project]]), "",COUNTIFS($A:$A,patch[[#This Row],[number]],$S:$S, "FL And dev",$AC:$AC, "Review-1"))</f>
        <v/>
      </c>
      <c r="Y1610" s="7" t="str">
        <f>IF(ISBLANK(patch[[#This Row],[project]]), "",COUNTIFS($A:$A,patch[[#This Row],[number]],$S:$S, "SH And dev",$AC:$AC, "Review-1"))</f>
        <v/>
      </c>
      <c r="Z1610" s="7" t="str">
        <f>IF(ISBLANK(patch[[#This Row],[project]]), "",COUNTIFS($A:$A,patch[[#This Row],[number]],$S:$S, "BJ And dev",$AD:$AD, "&lt;&gt;IntegratorValidationComment"))</f>
        <v/>
      </c>
      <c r="AA1610" s="7" t="str">
        <f>IF(ISBLANK(patch[[#This Row],[project]]), "",COUNTIFS($A:$A,patch[[#This Row],[number]],$S:$S, "FL And dev",$AD:$AD, "&lt;&gt;IntegratorValidationComment"))</f>
        <v/>
      </c>
      <c r="AB1610" s="7" t="str">
        <f>IF(ISBLANK(patch[[#This Row],[project]]), "",COUNTIFS($A:$A,patch[[#This Row],[number]],$S:$S, "SH And dev",$AD:$AD, "&lt;&gt;IntegratorValidationComment"))</f>
        <v/>
      </c>
      <c r="AC1610" s="7" t="str">
        <f>IF(OR(ISNUMBER(FIND("Review-1", patch[[#This Row],[comments]])), ISNUMBER(FIND("Approver-1", patch[[#This Row],[comments]]))), "Review-1", "")</f>
        <v/>
      </c>
      <c r="AD16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10" s="7">
        <f>IF(ISBLANK(patch[[#This Row],[number]]),AE1609,patch[[#This Row],[ifCommon]])</f>
        <v>0</v>
      </c>
    </row>
    <row r="1611" spans="1:31">
      <c r="A1611" s="151">
        <v>144856</v>
      </c>
      <c r="B1611" s="151"/>
      <c r="C1611" s="151"/>
      <c r="D1611" s="151"/>
      <c r="E1611" s="151"/>
      <c r="F1611" s="151"/>
      <c r="G1611" s="151"/>
      <c r="H1611" s="151"/>
      <c r="I1611" s="151"/>
      <c r="J1611" s="152">
        <v>42627.659930555557</v>
      </c>
      <c r="K1611" s="151"/>
      <c r="L1611" s="151" t="s">
        <v>59</v>
      </c>
      <c r="M1611" s="152">
        <v>42626.761666666673</v>
      </c>
      <c r="N1611" s="151" t="s">
        <v>3397</v>
      </c>
      <c r="O1611" s="151"/>
      <c r="P1611" s="151"/>
      <c r="Q1611" s="7" t="str">
        <f>IF(ISBLANK(patch[[#This Row],[OwnerEmail]]),Q1610,patch[[#This Row],[OwnerEmail]])</f>
        <v>gang.a.hu@intel.com</v>
      </c>
      <c r="R1611" s="7" t="str">
        <f>_xlfn.IFNA(VLOOKUP(patch[[#This Row],[tmp-owner.email]],OrgTree!$A:$K, 11, 0), "not ICG SWFW")</f>
        <v>BJ And dev</v>
      </c>
      <c r="S1611" s="7" t="str">
        <f>IF(patch[[#This Row],[reviewer]]=patch[[#This Row],[tmp-owner.email]], "author", _xlfn.IFNA(VLOOKUP(patch[[#This Row],[reviewer]],OrgTree!$A:$K, 11, 0), "not ICG SWFW"))</f>
        <v>BJ And dev</v>
      </c>
      <c r="T1611" s="7" t="str">
        <f>IF(ISBLANK(patch[[#This Row],[mergeDate]]), "", MID(YEAR(patch[[#This Row],[mergeDate]]), 3,2)&amp;"'ww"&amp;WEEKNUM(patch[[#This Row],[mergeDate]]))</f>
        <v>16'ww38</v>
      </c>
      <c r="U1611" s="7" t="str">
        <f>IF(ISBLANK(patch[[#This Row],[mergeDate]]), U1610, MID(YEAR(patch[[#This Row],[mergeDate]]), 3,2)&amp;"'m"&amp;MONTH(patch[[#This Row],[mergeDate]]))</f>
        <v>16'm9</v>
      </c>
      <c r="V1611" s="7" t="str">
        <f>IF(ISBLANK(patch[[#This Row],[project]]), "",SUM(patch[[#This Row],[BJ -1 num]:[SH -1 num]]))</f>
        <v/>
      </c>
      <c r="W1611" s="7" t="str">
        <f>IF(ISBLANK(patch[[#This Row],[project]]), "",COUNTIFS($A:$A,patch[[#This Row],[number]],$S:$S, "BJ And dev",$AC:$AC, "Review-1"))</f>
        <v/>
      </c>
      <c r="X1611" s="7" t="str">
        <f>IF(ISBLANK(patch[[#This Row],[project]]), "",COUNTIFS($A:$A,patch[[#This Row],[number]],$S:$S, "FL And dev",$AC:$AC, "Review-1"))</f>
        <v/>
      </c>
      <c r="Y1611" s="7" t="str">
        <f>IF(ISBLANK(patch[[#This Row],[project]]), "",COUNTIFS($A:$A,patch[[#This Row],[number]],$S:$S, "SH And dev",$AC:$AC, "Review-1"))</f>
        <v/>
      </c>
      <c r="Z1611" s="7" t="str">
        <f>IF(ISBLANK(patch[[#This Row],[project]]), "",COUNTIFS($A:$A,patch[[#This Row],[number]],$S:$S, "BJ And dev",$AD:$AD, "&lt;&gt;IntegratorValidationComment"))</f>
        <v/>
      </c>
      <c r="AA1611" s="7" t="str">
        <f>IF(ISBLANK(patch[[#This Row],[project]]), "",COUNTIFS($A:$A,patch[[#This Row],[number]],$S:$S, "FL And dev",$AD:$AD, "&lt;&gt;IntegratorValidationComment"))</f>
        <v/>
      </c>
      <c r="AB1611" s="7" t="str">
        <f>IF(ISBLANK(patch[[#This Row],[project]]), "",COUNTIFS($A:$A,patch[[#This Row],[number]],$S:$S, "SH And dev",$AD:$AD, "&lt;&gt;IntegratorValidationComment"))</f>
        <v/>
      </c>
      <c r="AC1611" s="7" t="str">
        <f>IF(OR(ISNUMBER(FIND("Review-1", patch[[#This Row],[comments]])), ISNUMBER(FIND("Approver-1", patch[[#This Row],[comments]]))), "Review-1", "")</f>
        <v/>
      </c>
      <c r="AD16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11" s="7">
        <f>IF(ISBLANK(patch[[#This Row],[number]]),AE1610,patch[[#This Row],[ifCommon]])</f>
        <v>0</v>
      </c>
    </row>
    <row r="1612" spans="1:31">
      <c r="A1612" s="151">
        <v>144856</v>
      </c>
      <c r="B1612" s="151"/>
      <c r="C1612" s="151"/>
      <c r="D1612" s="151"/>
      <c r="E1612" s="151"/>
      <c r="F1612" s="151"/>
      <c r="G1612" s="151"/>
      <c r="H1612" s="151"/>
      <c r="I1612" s="151"/>
      <c r="J1612" s="152">
        <v>42627.659930555557</v>
      </c>
      <c r="K1612" s="151"/>
      <c r="L1612" s="151" t="s">
        <v>32</v>
      </c>
      <c r="M1612" s="152">
        <v>42627.358229166668</v>
      </c>
      <c r="N1612" s="151" t="s">
        <v>2537</v>
      </c>
      <c r="O1612" s="151"/>
      <c r="P1612" s="151"/>
      <c r="Q1612" s="7" t="str">
        <f>IF(ISBLANK(patch[[#This Row],[OwnerEmail]]),Q1611,patch[[#This Row],[OwnerEmail]])</f>
        <v>gang.a.hu@intel.com</v>
      </c>
      <c r="R1612" s="7" t="str">
        <f>_xlfn.IFNA(VLOOKUP(patch[[#This Row],[tmp-owner.email]],OrgTree!$A:$K, 11, 0), "not ICG SWFW")</f>
        <v>BJ And dev</v>
      </c>
      <c r="S1612" s="7" t="str">
        <f>IF(patch[[#This Row],[reviewer]]=patch[[#This Row],[tmp-owner.email]], "author", _xlfn.IFNA(VLOOKUP(patch[[#This Row],[reviewer]],OrgTree!$A:$K, 11, 0), "not ICG SWFW"))</f>
        <v>author</v>
      </c>
      <c r="T1612" s="7" t="str">
        <f>IF(ISBLANK(patch[[#This Row],[mergeDate]]), "", MID(YEAR(patch[[#This Row],[mergeDate]]), 3,2)&amp;"'ww"&amp;WEEKNUM(patch[[#This Row],[mergeDate]]))</f>
        <v>16'ww38</v>
      </c>
      <c r="U1612" s="7" t="str">
        <f>IF(ISBLANK(patch[[#This Row],[mergeDate]]), U1611, MID(YEAR(patch[[#This Row],[mergeDate]]), 3,2)&amp;"'m"&amp;MONTH(patch[[#This Row],[mergeDate]]))</f>
        <v>16'm9</v>
      </c>
      <c r="V1612" s="7" t="str">
        <f>IF(ISBLANK(patch[[#This Row],[project]]), "",SUM(patch[[#This Row],[BJ -1 num]:[SH -1 num]]))</f>
        <v/>
      </c>
      <c r="W1612" s="7" t="str">
        <f>IF(ISBLANK(patch[[#This Row],[project]]), "",COUNTIFS($A:$A,patch[[#This Row],[number]],$S:$S, "BJ And dev",$AC:$AC, "Review-1"))</f>
        <v/>
      </c>
      <c r="X1612" s="7" t="str">
        <f>IF(ISBLANK(patch[[#This Row],[project]]), "",COUNTIFS($A:$A,patch[[#This Row],[number]],$S:$S, "FL And dev",$AC:$AC, "Review-1"))</f>
        <v/>
      </c>
      <c r="Y1612" s="7" t="str">
        <f>IF(ISBLANK(patch[[#This Row],[project]]), "",COUNTIFS($A:$A,patch[[#This Row],[number]],$S:$S, "SH And dev",$AC:$AC, "Review-1"))</f>
        <v/>
      </c>
      <c r="Z1612" s="7" t="str">
        <f>IF(ISBLANK(patch[[#This Row],[project]]), "",COUNTIFS($A:$A,patch[[#This Row],[number]],$S:$S, "BJ And dev",$AD:$AD, "&lt;&gt;IntegratorValidationComment"))</f>
        <v/>
      </c>
      <c r="AA1612" s="7" t="str">
        <f>IF(ISBLANK(patch[[#This Row],[project]]), "",COUNTIFS($A:$A,patch[[#This Row],[number]],$S:$S, "FL And dev",$AD:$AD, "&lt;&gt;IntegratorValidationComment"))</f>
        <v/>
      </c>
      <c r="AB1612" s="7" t="str">
        <f>IF(ISBLANK(patch[[#This Row],[project]]), "",COUNTIFS($A:$A,patch[[#This Row],[number]],$S:$S, "SH And dev",$AD:$AD, "&lt;&gt;IntegratorValidationComment"))</f>
        <v/>
      </c>
      <c r="AC1612" s="7" t="str">
        <f>IF(OR(ISNUMBER(FIND("Review-1", patch[[#This Row],[comments]])), ISNUMBER(FIND("Approver-1", patch[[#This Row],[comments]]))), "Review-1", "")</f>
        <v/>
      </c>
      <c r="AD16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12" s="7">
        <f>IF(ISBLANK(patch[[#This Row],[number]]),AE1611,patch[[#This Row],[ifCommon]])</f>
        <v>0</v>
      </c>
    </row>
    <row r="1613" spans="1:31">
      <c r="A1613" s="151">
        <v>144856</v>
      </c>
      <c r="B1613" s="151"/>
      <c r="C1613" s="151"/>
      <c r="D1613" s="151"/>
      <c r="E1613" s="151"/>
      <c r="F1613" s="151"/>
      <c r="G1613" s="151"/>
      <c r="H1613" s="151"/>
      <c r="I1613" s="151"/>
      <c r="J1613" s="152">
        <v>42627.659930555557</v>
      </c>
      <c r="K1613" s="151"/>
      <c r="L1613" s="151" t="s">
        <v>32</v>
      </c>
      <c r="M1613" s="152">
        <v>42627.358252314807</v>
      </c>
      <c r="N1613" s="151" t="s">
        <v>2451</v>
      </c>
      <c r="O1613" s="151"/>
      <c r="P1613" s="151"/>
      <c r="Q1613" s="7" t="str">
        <f>IF(ISBLANK(patch[[#This Row],[OwnerEmail]]),Q1612,patch[[#This Row],[OwnerEmail]])</f>
        <v>gang.a.hu@intel.com</v>
      </c>
      <c r="R1613" s="7" t="str">
        <f>_xlfn.IFNA(VLOOKUP(patch[[#This Row],[tmp-owner.email]],OrgTree!$A:$K, 11, 0), "not ICG SWFW")</f>
        <v>BJ And dev</v>
      </c>
      <c r="S1613" s="7" t="str">
        <f>IF(patch[[#This Row],[reviewer]]=patch[[#This Row],[tmp-owner.email]], "author", _xlfn.IFNA(VLOOKUP(patch[[#This Row],[reviewer]],OrgTree!$A:$K, 11, 0), "not ICG SWFW"))</f>
        <v>author</v>
      </c>
      <c r="T1613" s="7" t="str">
        <f>IF(ISBLANK(patch[[#This Row],[mergeDate]]), "", MID(YEAR(patch[[#This Row],[mergeDate]]), 3,2)&amp;"'ww"&amp;WEEKNUM(patch[[#This Row],[mergeDate]]))</f>
        <v>16'ww38</v>
      </c>
      <c r="U1613" s="7" t="str">
        <f>IF(ISBLANK(patch[[#This Row],[mergeDate]]), U1612, MID(YEAR(patch[[#This Row],[mergeDate]]), 3,2)&amp;"'m"&amp;MONTH(patch[[#This Row],[mergeDate]]))</f>
        <v>16'm9</v>
      </c>
      <c r="V1613" s="7" t="str">
        <f>IF(ISBLANK(patch[[#This Row],[project]]), "",SUM(patch[[#This Row],[BJ -1 num]:[SH -1 num]]))</f>
        <v/>
      </c>
      <c r="W1613" s="7" t="str">
        <f>IF(ISBLANK(patch[[#This Row],[project]]), "",COUNTIFS($A:$A,patch[[#This Row],[number]],$S:$S, "BJ And dev",$AC:$AC, "Review-1"))</f>
        <v/>
      </c>
      <c r="X1613" s="7" t="str">
        <f>IF(ISBLANK(patch[[#This Row],[project]]), "",COUNTIFS($A:$A,patch[[#This Row],[number]],$S:$S, "FL And dev",$AC:$AC, "Review-1"))</f>
        <v/>
      </c>
      <c r="Y1613" s="7" t="str">
        <f>IF(ISBLANK(patch[[#This Row],[project]]), "",COUNTIFS($A:$A,patch[[#This Row],[number]],$S:$S, "SH And dev",$AC:$AC, "Review-1"))</f>
        <v/>
      </c>
      <c r="Z1613" s="7" t="str">
        <f>IF(ISBLANK(patch[[#This Row],[project]]), "",COUNTIFS($A:$A,patch[[#This Row],[number]],$S:$S, "BJ And dev",$AD:$AD, "&lt;&gt;IntegratorValidationComment"))</f>
        <v/>
      </c>
      <c r="AA1613" s="7" t="str">
        <f>IF(ISBLANK(patch[[#This Row],[project]]), "",COUNTIFS($A:$A,patch[[#This Row],[number]],$S:$S, "FL And dev",$AD:$AD, "&lt;&gt;IntegratorValidationComment"))</f>
        <v/>
      </c>
      <c r="AB1613" s="7" t="str">
        <f>IF(ISBLANK(patch[[#This Row],[project]]), "",COUNTIFS($A:$A,patch[[#This Row],[number]],$S:$S, "SH And dev",$AD:$AD, "&lt;&gt;IntegratorValidationComment"))</f>
        <v/>
      </c>
      <c r="AC1613" s="7" t="str">
        <f>IF(OR(ISNUMBER(FIND("Review-1", patch[[#This Row],[comments]])), ISNUMBER(FIND("Approver-1", patch[[#This Row],[comments]]))), "Review-1", "")</f>
        <v/>
      </c>
      <c r="AD16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13" s="7">
        <f>IF(ISBLANK(patch[[#This Row],[number]]),AE1612,patch[[#This Row],[ifCommon]])</f>
        <v>0</v>
      </c>
    </row>
    <row r="1614" spans="1:31">
      <c r="A1614" s="151">
        <v>144856</v>
      </c>
      <c r="B1614" s="151"/>
      <c r="C1614" s="151"/>
      <c r="D1614" s="151"/>
      <c r="E1614" s="151"/>
      <c r="F1614" s="151"/>
      <c r="G1614" s="151"/>
      <c r="H1614" s="151"/>
      <c r="I1614" s="151"/>
      <c r="J1614" s="152">
        <v>42627.659930555557</v>
      </c>
      <c r="K1614" s="151"/>
      <c r="L1614" s="151" t="s">
        <v>59</v>
      </c>
      <c r="M1614" s="152">
        <v>42627.381006944437</v>
      </c>
      <c r="N1614" s="151" t="s">
        <v>3398</v>
      </c>
      <c r="O1614" s="151"/>
      <c r="P1614" s="151"/>
      <c r="Q1614" s="7" t="str">
        <f>IF(ISBLANK(patch[[#This Row],[OwnerEmail]]),Q1613,patch[[#This Row],[OwnerEmail]])</f>
        <v>gang.a.hu@intel.com</v>
      </c>
      <c r="R1614" s="7" t="str">
        <f>_xlfn.IFNA(VLOOKUP(patch[[#This Row],[tmp-owner.email]],OrgTree!$A:$K, 11, 0), "not ICG SWFW")</f>
        <v>BJ And dev</v>
      </c>
      <c r="S1614" s="7" t="str">
        <f>IF(patch[[#This Row],[reviewer]]=patch[[#This Row],[tmp-owner.email]], "author", _xlfn.IFNA(VLOOKUP(patch[[#This Row],[reviewer]],OrgTree!$A:$K, 11, 0), "not ICG SWFW"))</f>
        <v>BJ And dev</v>
      </c>
      <c r="T1614" s="7" t="str">
        <f>IF(ISBLANK(patch[[#This Row],[mergeDate]]), "", MID(YEAR(patch[[#This Row],[mergeDate]]), 3,2)&amp;"'ww"&amp;WEEKNUM(patch[[#This Row],[mergeDate]]))</f>
        <v>16'ww38</v>
      </c>
      <c r="U1614" s="7" t="str">
        <f>IF(ISBLANK(patch[[#This Row],[mergeDate]]), U1613, MID(YEAR(patch[[#This Row],[mergeDate]]), 3,2)&amp;"'m"&amp;MONTH(patch[[#This Row],[mergeDate]]))</f>
        <v>16'm9</v>
      </c>
      <c r="V1614" s="7" t="str">
        <f>IF(ISBLANK(patch[[#This Row],[project]]), "",SUM(patch[[#This Row],[BJ -1 num]:[SH -1 num]]))</f>
        <v/>
      </c>
      <c r="W1614" s="7" t="str">
        <f>IF(ISBLANK(patch[[#This Row],[project]]), "",COUNTIFS($A:$A,patch[[#This Row],[number]],$S:$S, "BJ And dev",$AC:$AC, "Review-1"))</f>
        <v/>
      </c>
      <c r="X1614" s="7" t="str">
        <f>IF(ISBLANK(patch[[#This Row],[project]]), "",COUNTIFS($A:$A,patch[[#This Row],[number]],$S:$S, "FL And dev",$AC:$AC, "Review-1"))</f>
        <v/>
      </c>
      <c r="Y1614" s="7" t="str">
        <f>IF(ISBLANK(patch[[#This Row],[project]]), "",COUNTIFS($A:$A,patch[[#This Row],[number]],$S:$S, "SH And dev",$AC:$AC, "Review-1"))</f>
        <v/>
      </c>
      <c r="Z1614" s="7" t="str">
        <f>IF(ISBLANK(patch[[#This Row],[project]]), "",COUNTIFS($A:$A,patch[[#This Row],[number]],$S:$S, "BJ And dev",$AD:$AD, "&lt;&gt;IntegratorValidationComment"))</f>
        <v/>
      </c>
      <c r="AA1614" s="7" t="str">
        <f>IF(ISBLANK(patch[[#This Row],[project]]), "",COUNTIFS($A:$A,patch[[#This Row],[number]],$S:$S, "FL And dev",$AD:$AD, "&lt;&gt;IntegratorValidationComment"))</f>
        <v/>
      </c>
      <c r="AB1614" s="7" t="str">
        <f>IF(ISBLANK(patch[[#This Row],[project]]), "",COUNTIFS($A:$A,patch[[#This Row],[number]],$S:$S, "SH And dev",$AD:$AD, "&lt;&gt;IntegratorValidationComment"))</f>
        <v/>
      </c>
      <c r="AC1614" s="7" t="str">
        <f>IF(OR(ISNUMBER(FIND("Review-1", patch[[#This Row],[comments]])), ISNUMBER(FIND("Approver-1", patch[[#This Row],[comments]]))), "Review-1", "")</f>
        <v/>
      </c>
      <c r="AD16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14" s="7">
        <f>IF(ISBLANK(patch[[#This Row],[number]]),AE1613,patch[[#This Row],[ifCommon]])</f>
        <v>0</v>
      </c>
    </row>
    <row r="1615" spans="1:31">
      <c r="A1615" s="151">
        <v>144856</v>
      </c>
      <c r="B1615" s="151"/>
      <c r="C1615" s="151"/>
      <c r="D1615" s="151"/>
      <c r="E1615" s="151"/>
      <c r="F1615" s="151"/>
      <c r="G1615" s="151"/>
      <c r="H1615" s="151"/>
      <c r="I1615" s="151"/>
      <c r="J1615" s="152">
        <v>42627.659930555557</v>
      </c>
      <c r="K1615" s="151"/>
      <c r="L1615" s="151" t="s">
        <v>59</v>
      </c>
      <c r="M1615" s="152">
        <v>42627.390104166669</v>
      </c>
      <c r="N1615" s="151" t="s">
        <v>3399</v>
      </c>
      <c r="O1615" s="151"/>
      <c r="P1615" s="151"/>
      <c r="Q1615" s="7" t="str">
        <f>IF(ISBLANK(patch[[#This Row],[OwnerEmail]]),Q1614,patch[[#This Row],[OwnerEmail]])</f>
        <v>gang.a.hu@intel.com</v>
      </c>
      <c r="R1615" s="7" t="str">
        <f>_xlfn.IFNA(VLOOKUP(patch[[#This Row],[tmp-owner.email]],OrgTree!$A:$K, 11, 0), "not ICG SWFW")</f>
        <v>BJ And dev</v>
      </c>
      <c r="S1615" s="7" t="str">
        <f>IF(patch[[#This Row],[reviewer]]=patch[[#This Row],[tmp-owner.email]], "author", _xlfn.IFNA(VLOOKUP(patch[[#This Row],[reviewer]],OrgTree!$A:$K, 11, 0), "not ICG SWFW"))</f>
        <v>BJ And dev</v>
      </c>
      <c r="T1615" s="7" t="str">
        <f>IF(ISBLANK(patch[[#This Row],[mergeDate]]), "", MID(YEAR(patch[[#This Row],[mergeDate]]), 3,2)&amp;"'ww"&amp;WEEKNUM(patch[[#This Row],[mergeDate]]))</f>
        <v>16'ww38</v>
      </c>
      <c r="U1615" s="7" t="str">
        <f>IF(ISBLANK(patch[[#This Row],[mergeDate]]), U1614, MID(YEAR(patch[[#This Row],[mergeDate]]), 3,2)&amp;"'m"&amp;MONTH(patch[[#This Row],[mergeDate]]))</f>
        <v>16'm9</v>
      </c>
      <c r="V1615" s="7" t="str">
        <f>IF(ISBLANK(patch[[#This Row],[project]]), "",SUM(patch[[#This Row],[BJ -1 num]:[SH -1 num]]))</f>
        <v/>
      </c>
      <c r="W1615" s="7" t="str">
        <f>IF(ISBLANK(patch[[#This Row],[project]]), "",COUNTIFS($A:$A,patch[[#This Row],[number]],$S:$S, "BJ And dev",$AC:$AC, "Review-1"))</f>
        <v/>
      </c>
      <c r="X1615" s="7" t="str">
        <f>IF(ISBLANK(patch[[#This Row],[project]]), "",COUNTIFS($A:$A,patch[[#This Row],[number]],$S:$S, "FL And dev",$AC:$AC, "Review-1"))</f>
        <v/>
      </c>
      <c r="Y1615" s="7" t="str">
        <f>IF(ISBLANK(patch[[#This Row],[project]]), "",COUNTIFS($A:$A,patch[[#This Row],[number]],$S:$S, "SH And dev",$AC:$AC, "Review-1"))</f>
        <v/>
      </c>
      <c r="Z1615" s="7" t="str">
        <f>IF(ISBLANK(patch[[#This Row],[project]]), "",COUNTIFS($A:$A,patch[[#This Row],[number]],$S:$S, "BJ And dev",$AD:$AD, "&lt;&gt;IntegratorValidationComment"))</f>
        <v/>
      </c>
      <c r="AA1615" s="7" t="str">
        <f>IF(ISBLANK(patch[[#This Row],[project]]), "",COUNTIFS($A:$A,patch[[#This Row],[number]],$S:$S, "FL And dev",$AD:$AD, "&lt;&gt;IntegratorValidationComment"))</f>
        <v/>
      </c>
      <c r="AB1615" s="7" t="str">
        <f>IF(ISBLANK(patch[[#This Row],[project]]), "",COUNTIFS($A:$A,patch[[#This Row],[number]],$S:$S, "SH And dev",$AD:$AD, "&lt;&gt;IntegratorValidationComment"))</f>
        <v/>
      </c>
      <c r="AC1615" s="7" t="str">
        <f>IF(OR(ISNUMBER(FIND("Review-1", patch[[#This Row],[comments]])), ISNUMBER(FIND("Approver-1", patch[[#This Row],[comments]]))), "Review-1", "")</f>
        <v/>
      </c>
      <c r="AD16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15" s="7">
        <f>IF(ISBLANK(patch[[#This Row],[number]]),AE1614,patch[[#This Row],[ifCommon]])</f>
        <v>0</v>
      </c>
    </row>
    <row r="1616" spans="1:31">
      <c r="A1616" s="151">
        <v>144606</v>
      </c>
      <c r="B1616" s="151" t="s">
        <v>2490</v>
      </c>
      <c r="C1616" s="151" t="s">
        <v>2491</v>
      </c>
      <c r="D1616" s="151" t="s">
        <v>3309</v>
      </c>
      <c r="E1616" s="151" t="s">
        <v>61</v>
      </c>
      <c r="F1616" s="151" t="s">
        <v>23</v>
      </c>
      <c r="G1616" s="151" t="s">
        <v>3310</v>
      </c>
      <c r="H1616" s="151" t="s">
        <v>3311</v>
      </c>
      <c r="I1616" s="152">
        <v>42625.602164351847</v>
      </c>
      <c r="J1616" s="152">
        <v>42627.659930555557</v>
      </c>
      <c r="K1616" s="151" t="s">
        <v>2445</v>
      </c>
      <c r="L1616" s="151" t="s">
        <v>61</v>
      </c>
      <c r="M1616" s="152">
        <v>42625.602164351847</v>
      </c>
      <c r="N1616" s="151" t="s">
        <v>2428</v>
      </c>
      <c r="O1616" s="151"/>
      <c r="P1616" s="151" t="s">
        <v>3400</v>
      </c>
      <c r="Q1616" s="7" t="str">
        <f>IF(ISBLANK(patch[[#This Row],[OwnerEmail]]),Q1615,patch[[#This Row],[OwnerEmail]])</f>
        <v>john.mathew@intel.com</v>
      </c>
      <c r="R1616" s="7" t="str">
        <f>_xlfn.IFNA(VLOOKUP(patch[[#This Row],[tmp-owner.email]],OrgTree!$A:$K, 11, 0), "not ICG SWFW")</f>
        <v>FL And dev</v>
      </c>
      <c r="S1616" s="7" t="str">
        <f>IF(patch[[#This Row],[reviewer]]=patch[[#This Row],[tmp-owner.email]], "author", _xlfn.IFNA(VLOOKUP(patch[[#This Row],[reviewer]],OrgTree!$A:$K, 11, 0), "not ICG SWFW"))</f>
        <v>author</v>
      </c>
      <c r="T1616" s="7" t="str">
        <f>IF(ISBLANK(patch[[#This Row],[mergeDate]]), "", MID(YEAR(patch[[#This Row],[mergeDate]]), 3,2)&amp;"'ww"&amp;WEEKNUM(patch[[#This Row],[mergeDate]]))</f>
        <v>16'ww38</v>
      </c>
      <c r="U1616" s="7" t="str">
        <f>IF(ISBLANK(patch[[#This Row],[mergeDate]]), U1615, MID(YEAR(patch[[#This Row],[mergeDate]]), 3,2)&amp;"'m"&amp;MONTH(patch[[#This Row],[mergeDate]]))</f>
        <v>16'm9</v>
      </c>
      <c r="V1616" s="7">
        <f>IF(ISBLANK(patch[[#This Row],[project]]), "",SUM(patch[[#This Row],[BJ -1 num]:[SH -1 num]]))</f>
        <v>0</v>
      </c>
      <c r="W1616" s="7">
        <f>IF(ISBLANK(patch[[#This Row],[project]]), "",COUNTIFS($A:$A,patch[[#This Row],[number]],$S:$S, "BJ And dev",$AC:$AC, "Review-1"))</f>
        <v>0</v>
      </c>
      <c r="X1616" s="7">
        <f>IF(ISBLANK(patch[[#This Row],[project]]), "",COUNTIFS($A:$A,patch[[#This Row],[number]],$S:$S, "FL And dev",$AC:$AC, "Review-1"))</f>
        <v>0</v>
      </c>
      <c r="Y1616" s="7">
        <f>IF(ISBLANK(patch[[#This Row],[project]]), "",COUNTIFS($A:$A,patch[[#This Row],[number]],$S:$S, "SH And dev",$AC:$AC, "Review-1"))</f>
        <v>0</v>
      </c>
      <c r="Z1616" s="7">
        <f>IF(ISBLANK(patch[[#This Row],[project]]), "",COUNTIFS($A:$A,patch[[#This Row],[number]],$S:$S, "BJ And dev",$AD:$AD, "&lt;&gt;IntegratorValidationComment"))</f>
        <v>4</v>
      </c>
      <c r="AA1616" s="7">
        <f>IF(ISBLANK(patch[[#This Row],[project]]), "",COUNTIFS($A:$A,patch[[#This Row],[number]],$S:$S, "FL And dev",$AD:$AD, "&lt;&gt;IntegratorValidationComment"))</f>
        <v>0</v>
      </c>
      <c r="AB1616" s="7">
        <f>IF(ISBLANK(patch[[#This Row],[project]]), "",COUNTIFS($A:$A,patch[[#This Row],[number]],$S:$S, "SH And dev",$AD:$AD, "&lt;&gt;IntegratorValidationComment"))</f>
        <v>0</v>
      </c>
      <c r="AC1616" s="7" t="str">
        <f>IF(OR(ISNUMBER(FIND("Review-1", patch[[#This Row],[comments]])), ISNUMBER(FIND("Approver-1", patch[[#This Row],[comments]]))), "Review-1", "")</f>
        <v/>
      </c>
      <c r="AD16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16" s="7" t="str">
        <f>IF(ISBLANK(patch[[#This Row],[number]]),AE1615,patch[[#This Row],[ifCommon]])</f>
        <v>not AndrHAL</v>
      </c>
    </row>
    <row r="1617" spans="1:31">
      <c r="A1617" s="151">
        <v>144606</v>
      </c>
      <c r="B1617" s="151"/>
      <c r="C1617" s="151"/>
      <c r="D1617" s="151"/>
      <c r="E1617" s="151"/>
      <c r="F1617" s="151"/>
      <c r="G1617" s="151"/>
      <c r="H1617" s="151"/>
      <c r="I1617" s="151"/>
      <c r="J1617" s="152">
        <v>42627.659930555557</v>
      </c>
      <c r="K1617" s="151"/>
      <c r="L1617" s="151" t="s">
        <v>61</v>
      </c>
      <c r="M1617" s="152">
        <v>42625.602164351847</v>
      </c>
      <c r="N1617" s="151" t="s">
        <v>25</v>
      </c>
      <c r="O1617" s="151"/>
      <c r="P1617" s="151"/>
      <c r="Q1617" s="7" t="str">
        <f>IF(ISBLANK(patch[[#This Row],[OwnerEmail]]),Q1616,patch[[#This Row],[OwnerEmail]])</f>
        <v>john.mathew@intel.com</v>
      </c>
      <c r="R1617" s="7" t="str">
        <f>_xlfn.IFNA(VLOOKUP(patch[[#This Row],[tmp-owner.email]],OrgTree!$A:$K, 11, 0), "not ICG SWFW")</f>
        <v>FL And dev</v>
      </c>
      <c r="S1617" s="7" t="str">
        <f>IF(patch[[#This Row],[reviewer]]=patch[[#This Row],[tmp-owner.email]], "author", _xlfn.IFNA(VLOOKUP(patch[[#This Row],[reviewer]],OrgTree!$A:$K, 11, 0), "not ICG SWFW"))</f>
        <v>author</v>
      </c>
      <c r="T1617" s="7" t="str">
        <f>IF(ISBLANK(patch[[#This Row],[mergeDate]]), "", MID(YEAR(patch[[#This Row],[mergeDate]]), 3,2)&amp;"'ww"&amp;WEEKNUM(patch[[#This Row],[mergeDate]]))</f>
        <v>16'ww38</v>
      </c>
      <c r="U1617" s="7" t="str">
        <f>IF(ISBLANK(patch[[#This Row],[mergeDate]]), U1616, MID(YEAR(patch[[#This Row],[mergeDate]]), 3,2)&amp;"'m"&amp;MONTH(patch[[#This Row],[mergeDate]]))</f>
        <v>16'm9</v>
      </c>
      <c r="V1617" s="7" t="str">
        <f>IF(ISBLANK(patch[[#This Row],[project]]), "",SUM(patch[[#This Row],[BJ -1 num]:[SH -1 num]]))</f>
        <v/>
      </c>
      <c r="W1617" s="7" t="str">
        <f>IF(ISBLANK(patch[[#This Row],[project]]), "",COUNTIFS($A:$A,patch[[#This Row],[number]],$S:$S, "BJ And dev",$AC:$AC, "Review-1"))</f>
        <v/>
      </c>
      <c r="X1617" s="7" t="str">
        <f>IF(ISBLANK(patch[[#This Row],[project]]), "",COUNTIFS($A:$A,patch[[#This Row],[number]],$S:$S, "FL And dev",$AC:$AC, "Review-1"))</f>
        <v/>
      </c>
      <c r="Y1617" s="7" t="str">
        <f>IF(ISBLANK(patch[[#This Row],[project]]), "",COUNTIFS($A:$A,patch[[#This Row],[number]],$S:$S, "SH And dev",$AC:$AC, "Review-1"))</f>
        <v/>
      </c>
      <c r="Z1617" s="7" t="str">
        <f>IF(ISBLANK(patch[[#This Row],[project]]), "",COUNTIFS($A:$A,patch[[#This Row],[number]],$S:$S, "BJ And dev",$AD:$AD, "&lt;&gt;IntegratorValidationComment"))</f>
        <v/>
      </c>
      <c r="AA1617" s="7" t="str">
        <f>IF(ISBLANK(patch[[#This Row],[project]]), "",COUNTIFS($A:$A,patch[[#This Row],[number]],$S:$S, "FL And dev",$AD:$AD, "&lt;&gt;IntegratorValidationComment"))</f>
        <v/>
      </c>
      <c r="AB1617" s="7" t="str">
        <f>IF(ISBLANK(patch[[#This Row],[project]]), "",COUNTIFS($A:$A,patch[[#This Row],[number]],$S:$S, "SH And dev",$AD:$AD, "&lt;&gt;IntegratorValidationComment"))</f>
        <v/>
      </c>
      <c r="AC1617" s="7" t="str">
        <f>IF(OR(ISNUMBER(FIND("Review-1", patch[[#This Row],[comments]])), ISNUMBER(FIND("Approver-1", patch[[#This Row],[comments]]))), "Review-1", "")</f>
        <v/>
      </c>
      <c r="AD16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17" s="7">
        <f>IF(ISBLANK(patch[[#This Row],[number]]),AE1616,patch[[#This Row],[ifCommon]])</f>
        <v>0</v>
      </c>
    </row>
    <row r="1618" spans="1:31">
      <c r="A1618" s="151">
        <v>144606</v>
      </c>
      <c r="B1618" s="151"/>
      <c r="C1618" s="151"/>
      <c r="D1618" s="151"/>
      <c r="E1618" s="151"/>
      <c r="F1618" s="151"/>
      <c r="G1618" s="151"/>
      <c r="H1618" s="151"/>
      <c r="I1618" s="151"/>
      <c r="J1618" s="152">
        <v>42627.659930555557</v>
      </c>
      <c r="K1618" s="151"/>
      <c r="L1618" s="151" t="s">
        <v>61</v>
      </c>
      <c r="M1618" s="152">
        <v>42625.602372685193</v>
      </c>
      <c r="N1618" s="151" t="s">
        <v>40</v>
      </c>
      <c r="O1618" s="151"/>
      <c r="P1618" s="151"/>
      <c r="Q1618" s="7" t="str">
        <f>IF(ISBLANK(patch[[#This Row],[OwnerEmail]]),Q1617,patch[[#This Row],[OwnerEmail]])</f>
        <v>john.mathew@intel.com</v>
      </c>
      <c r="R1618" s="7" t="str">
        <f>_xlfn.IFNA(VLOOKUP(patch[[#This Row],[tmp-owner.email]],OrgTree!$A:$K, 11, 0), "not ICG SWFW")</f>
        <v>FL And dev</v>
      </c>
      <c r="S1618" s="7" t="str">
        <f>IF(patch[[#This Row],[reviewer]]=patch[[#This Row],[tmp-owner.email]], "author", _xlfn.IFNA(VLOOKUP(patch[[#This Row],[reviewer]],OrgTree!$A:$K, 11, 0), "not ICG SWFW"))</f>
        <v>author</v>
      </c>
      <c r="T1618" s="7" t="str">
        <f>IF(ISBLANK(patch[[#This Row],[mergeDate]]), "", MID(YEAR(patch[[#This Row],[mergeDate]]), 3,2)&amp;"'ww"&amp;WEEKNUM(patch[[#This Row],[mergeDate]]))</f>
        <v>16'ww38</v>
      </c>
      <c r="U1618" s="7" t="str">
        <f>IF(ISBLANK(patch[[#This Row],[mergeDate]]), U1617, MID(YEAR(patch[[#This Row],[mergeDate]]), 3,2)&amp;"'m"&amp;MONTH(patch[[#This Row],[mergeDate]]))</f>
        <v>16'm9</v>
      </c>
      <c r="V1618" s="7" t="str">
        <f>IF(ISBLANK(patch[[#This Row],[project]]), "",SUM(patch[[#This Row],[BJ -1 num]:[SH -1 num]]))</f>
        <v/>
      </c>
      <c r="W1618" s="7" t="str">
        <f>IF(ISBLANK(patch[[#This Row],[project]]), "",COUNTIFS($A:$A,patch[[#This Row],[number]],$S:$S, "BJ And dev",$AC:$AC, "Review-1"))</f>
        <v/>
      </c>
      <c r="X1618" s="7" t="str">
        <f>IF(ISBLANK(patch[[#This Row],[project]]), "",COUNTIFS($A:$A,patch[[#This Row],[number]],$S:$S, "FL And dev",$AC:$AC, "Review-1"))</f>
        <v/>
      </c>
      <c r="Y1618" s="7" t="str">
        <f>IF(ISBLANK(patch[[#This Row],[project]]), "",COUNTIFS($A:$A,patch[[#This Row],[number]],$S:$S, "SH And dev",$AC:$AC, "Review-1"))</f>
        <v/>
      </c>
      <c r="Z1618" s="7" t="str">
        <f>IF(ISBLANK(patch[[#This Row],[project]]), "",COUNTIFS($A:$A,patch[[#This Row],[number]],$S:$S, "BJ And dev",$AD:$AD, "&lt;&gt;IntegratorValidationComment"))</f>
        <v/>
      </c>
      <c r="AA1618" s="7" t="str">
        <f>IF(ISBLANK(patch[[#This Row],[project]]), "",COUNTIFS($A:$A,patch[[#This Row],[number]],$S:$S, "FL And dev",$AD:$AD, "&lt;&gt;IntegratorValidationComment"))</f>
        <v/>
      </c>
      <c r="AB1618" s="7" t="str">
        <f>IF(ISBLANK(patch[[#This Row],[project]]), "",COUNTIFS($A:$A,patch[[#This Row],[number]],$S:$S, "SH And dev",$AD:$AD, "&lt;&gt;IntegratorValidationComment"))</f>
        <v/>
      </c>
      <c r="AC1618" s="7" t="str">
        <f>IF(OR(ISNUMBER(FIND("Review-1", patch[[#This Row],[comments]])), ISNUMBER(FIND("Approver-1", patch[[#This Row],[comments]]))), "Review-1", "")</f>
        <v/>
      </c>
      <c r="AD16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18" s="7">
        <f>IF(ISBLANK(patch[[#This Row],[number]]),AE1617,patch[[#This Row],[ifCommon]])</f>
        <v>0</v>
      </c>
    </row>
    <row r="1619" spans="1:31">
      <c r="A1619" s="151">
        <v>144606</v>
      </c>
      <c r="B1619" s="151"/>
      <c r="C1619" s="151"/>
      <c r="D1619" s="151"/>
      <c r="E1619" s="151"/>
      <c r="F1619" s="151"/>
      <c r="G1619" s="151"/>
      <c r="H1619" s="151"/>
      <c r="I1619" s="151"/>
      <c r="J1619" s="152">
        <v>42627.659930555557</v>
      </c>
      <c r="K1619" s="151"/>
      <c r="L1619" s="151" t="s">
        <v>59</v>
      </c>
      <c r="M1619" s="152">
        <v>42625.605532407397</v>
      </c>
      <c r="N1619" s="151" t="s">
        <v>3401</v>
      </c>
      <c r="O1619" s="151"/>
      <c r="P1619" s="151"/>
      <c r="Q1619" s="7" t="str">
        <f>IF(ISBLANK(patch[[#This Row],[OwnerEmail]]),Q1618,patch[[#This Row],[OwnerEmail]])</f>
        <v>john.mathew@intel.com</v>
      </c>
      <c r="R1619" s="7" t="str">
        <f>_xlfn.IFNA(VLOOKUP(patch[[#This Row],[tmp-owner.email]],OrgTree!$A:$K, 11, 0), "not ICG SWFW")</f>
        <v>FL And dev</v>
      </c>
      <c r="S1619" s="7" t="str">
        <f>IF(patch[[#This Row],[reviewer]]=patch[[#This Row],[tmp-owner.email]], "author", _xlfn.IFNA(VLOOKUP(patch[[#This Row],[reviewer]],OrgTree!$A:$K, 11, 0), "not ICG SWFW"))</f>
        <v>BJ And dev</v>
      </c>
      <c r="T1619" s="7" t="str">
        <f>IF(ISBLANK(patch[[#This Row],[mergeDate]]), "", MID(YEAR(patch[[#This Row],[mergeDate]]), 3,2)&amp;"'ww"&amp;WEEKNUM(patch[[#This Row],[mergeDate]]))</f>
        <v>16'ww38</v>
      </c>
      <c r="U1619" s="7" t="str">
        <f>IF(ISBLANK(patch[[#This Row],[mergeDate]]), U1618, MID(YEAR(patch[[#This Row],[mergeDate]]), 3,2)&amp;"'m"&amp;MONTH(patch[[#This Row],[mergeDate]]))</f>
        <v>16'm9</v>
      </c>
      <c r="V1619" s="7" t="str">
        <f>IF(ISBLANK(patch[[#This Row],[project]]), "",SUM(patch[[#This Row],[BJ -1 num]:[SH -1 num]]))</f>
        <v/>
      </c>
      <c r="W1619" s="7" t="str">
        <f>IF(ISBLANK(patch[[#This Row],[project]]), "",COUNTIFS($A:$A,patch[[#This Row],[number]],$S:$S, "BJ And dev",$AC:$AC, "Review-1"))</f>
        <v/>
      </c>
      <c r="X1619" s="7" t="str">
        <f>IF(ISBLANK(patch[[#This Row],[project]]), "",COUNTIFS($A:$A,patch[[#This Row],[number]],$S:$S, "FL And dev",$AC:$AC, "Review-1"))</f>
        <v/>
      </c>
      <c r="Y1619" s="7" t="str">
        <f>IF(ISBLANK(patch[[#This Row],[project]]), "",COUNTIFS($A:$A,patch[[#This Row],[number]],$S:$S, "SH And dev",$AC:$AC, "Review-1"))</f>
        <v/>
      </c>
      <c r="Z1619" s="7" t="str">
        <f>IF(ISBLANK(patch[[#This Row],[project]]), "",COUNTIFS($A:$A,patch[[#This Row],[number]],$S:$S, "BJ And dev",$AD:$AD, "&lt;&gt;IntegratorValidationComment"))</f>
        <v/>
      </c>
      <c r="AA1619" s="7" t="str">
        <f>IF(ISBLANK(patch[[#This Row],[project]]), "",COUNTIFS($A:$A,patch[[#This Row],[number]],$S:$S, "FL And dev",$AD:$AD, "&lt;&gt;IntegratorValidationComment"))</f>
        <v/>
      </c>
      <c r="AB1619" s="7" t="str">
        <f>IF(ISBLANK(patch[[#This Row],[project]]), "",COUNTIFS($A:$A,patch[[#This Row],[number]],$S:$S, "SH And dev",$AD:$AD, "&lt;&gt;IntegratorValidationComment"))</f>
        <v/>
      </c>
      <c r="AC1619" s="7" t="str">
        <f>IF(OR(ISNUMBER(FIND("Review-1", patch[[#This Row],[comments]])), ISNUMBER(FIND("Approver-1", patch[[#This Row],[comments]]))), "Review-1", "")</f>
        <v/>
      </c>
      <c r="AD16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19" s="7">
        <f>IF(ISBLANK(patch[[#This Row],[number]]),AE1618,patch[[#This Row],[ifCommon]])</f>
        <v>0</v>
      </c>
    </row>
    <row r="1620" spans="1:31">
      <c r="A1620" s="151">
        <v>144606</v>
      </c>
      <c r="B1620" s="151"/>
      <c r="C1620" s="151"/>
      <c r="D1620" s="151"/>
      <c r="E1620" s="151"/>
      <c r="F1620" s="151"/>
      <c r="G1620" s="151"/>
      <c r="H1620" s="151"/>
      <c r="I1620" s="151"/>
      <c r="J1620" s="152">
        <v>42627.659930555557</v>
      </c>
      <c r="K1620" s="151"/>
      <c r="L1620" s="151" t="s">
        <v>59</v>
      </c>
      <c r="M1620" s="152">
        <v>42625.608171296299</v>
      </c>
      <c r="N1620" s="151" t="s">
        <v>3402</v>
      </c>
      <c r="O1620" s="151"/>
      <c r="P1620" s="151"/>
      <c r="Q1620" s="7" t="str">
        <f>IF(ISBLANK(patch[[#This Row],[OwnerEmail]]),Q1619,patch[[#This Row],[OwnerEmail]])</f>
        <v>john.mathew@intel.com</v>
      </c>
      <c r="R1620" s="7" t="str">
        <f>_xlfn.IFNA(VLOOKUP(patch[[#This Row],[tmp-owner.email]],OrgTree!$A:$K, 11, 0), "not ICG SWFW")</f>
        <v>FL And dev</v>
      </c>
      <c r="S1620" s="7" t="str">
        <f>IF(patch[[#This Row],[reviewer]]=patch[[#This Row],[tmp-owner.email]], "author", _xlfn.IFNA(VLOOKUP(patch[[#This Row],[reviewer]],OrgTree!$A:$K, 11, 0), "not ICG SWFW"))</f>
        <v>BJ And dev</v>
      </c>
      <c r="T1620" s="7" t="str">
        <f>IF(ISBLANK(patch[[#This Row],[mergeDate]]), "", MID(YEAR(patch[[#This Row],[mergeDate]]), 3,2)&amp;"'ww"&amp;WEEKNUM(patch[[#This Row],[mergeDate]]))</f>
        <v>16'ww38</v>
      </c>
      <c r="U1620" s="7" t="str">
        <f>IF(ISBLANK(patch[[#This Row],[mergeDate]]), U1619, MID(YEAR(patch[[#This Row],[mergeDate]]), 3,2)&amp;"'m"&amp;MONTH(patch[[#This Row],[mergeDate]]))</f>
        <v>16'm9</v>
      </c>
      <c r="V1620" s="7" t="str">
        <f>IF(ISBLANK(patch[[#This Row],[project]]), "",SUM(patch[[#This Row],[BJ -1 num]:[SH -1 num]]))</f>
        <v/>
      </c>
      <c r="W1620" s="7" t="str">
        <f>IF(ISBLANK(patch[[#This Row],[project]]), "",COUNTIFS($A:$A,patch[[#This Row],[number]],$S:$S, "BJ And dev",$AC:$AC, "Review-1"))</f>
        <v/>
      </c>
      <c r="X1620" s="7" t="str">
        <f>IF(ISBLANK(patch[[#This Row],[project]]), "",COUNTIFS($A:$A,patch[[#This Row],[number]],$S:$S, "FL And dev",$AC:$AC, "Review-1"))</f>
        <v/>
      </c>
      <c r="Y1620" s="7" t="str">
        <f>IF(ISBLANK(patch[[#This Row],[project]]), "",COUNTIFS($A:$A,patch[[#This Row],[number]],$S:$S, "SH And dev",$AC:$AC, "Review-1"))</f>
        <v/>
      </c>
      <c r="Z1620" s="7" t="str">
        <f>IF(ISBLANK(patch[[#This Row],[project]]), "",COUNTIFS($A:$A,patch[[#This Row],[number]],$S:$S, "BJ And dev",$AD:$AD, "&lt;&gt;IntegratorValidationComment"))</f>
        <v/>
      </c>
      <c r="AA1620" s="7" t="str">
        <f>IF(ISBLANK(patch[[#This Row],[project]]), "",COUNTIFS($A:$A,patch[[#This Row],[number]],$S:$S, "FL And dev",$AD:$AD, "&lt;&gt;IntegratorValidationComment"))</f>
        <v/>
      </c>
      <c r="AB1620" s="7" t="str">
        <f>IF(ISBLANK(patch[[#This Row],[project]]), "",COUNTIFS($A:$A,patch[[#This Row],[number]],$S:$S, "SH And dev",$AD:$AD, "&lt;&gt;IntegratorValidationComment"))</f>
        <v/>
      </c>
      <c r="AC1620" s="7" t="str">
        <f>IF(OR(ISNUMBER(FIND("Review-1", patch[[#This Row],[comments]])), ISNUMBER(FIND("Approver-1", patch[[#This Row],[comments]]))), "Review-1", "")</f>
        <v/>
      </c>
      <c r="AD16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20" s="7">
        <f>IF(ISBLANK(patch[[#This Row],[number]]),AE1619,patch[[#This Row],[ifCommon]])</f>
        <v>0</v>
      </c>
    </row>
    <row r="1621" spans="1:31">
      <c r="A1621" s="151">
        <v>144606</v>
      </c>
      <c r="B1621" s="151"/>
      <c r="C1621" s="151"/>
      <c r="D1621" s="151"/>
      <c r="E1621" s="151"/>
      <c r="F1621" s="151"/>
      <c r="G1621" s="151"/>
      <c r="H1621" s="151"/>
      <c r="I1621" s="151"/>
      <c r="J1621" s="152">
        <v>42627.659930555557</v>
      </c>
      <c r="K1621" s="151"/>
      <c r="L1621" s="151" t="s">
        <v>24</v>
      </c>
      <c r="M1621" s="152">
        <v>42625.609652777777</v>
      </c>
      <c r="N1621" s="151" t="s">
        <v>40</v>
      </c>
      <c r="O1621" s="151"/>
      <c r="P1621" s="151"/>
      <c r="Q1621" s="7" t="str">
        <f>IF(ISBLANK(patch[[#This Row],[OwnerEmail]]),Q1620,patch[[#This Row],[OwnerEmail]])</f>
        <v>john.mathew@intel.com</v>
      </c>
      <c r="R1621" s="7" t="str">
        <f>_xlfn.IFNA(VLOOKUP(patch[[#This Row],[tmp-owner.email]],OrgTree!$A:$K, 11, 0), "not ICG SWFW")</f>
        <v>FL And dev</v>
      </c>
      <c r="S1621" s="7" t="str">
        <f>IF(patch[[#This Row],[reviewer]]=patch[[#This Row],[tmp-owner.email]], "author", _xlfn.IFNA(VLOOKUP(patch[[#This Row],[reviewer]],OrgTree!$A:$K, 11, 0), "not ICG SWFW"))</f>
        <v>BJ And dev</v>
      </c>
      <c r="T1621" s="7" t="str">
        <f>IF(ISBLANK(patch[[#This Row],[mergeDate]]), "", MID(YEAR(patch[[#This Row],[mergeDate]]), 3,2)&amp;"'ww"&amp;WEEKNUM(patch[[#This Row],[mergeDate]]))</f>
        <v>16'ww38</v>
      </c>
      <c r="U1621" s="7" t="str">
        <f>IF(ISBLANK(patch[[#This Row],[mergeDate]]), U1620, MID(YEAR(patch[[#This Row],[mergeDate]]), 3,2)&amp;"'m"&amp;MONTH(patch[[#This Row],[mergeDate]]))</f>
        <v>16'm9</v>
      </c>
      <c r="V1621" s="7" t="str">
        <f>IF(ISBLANK(patch[[#This Row],[project]]), "",SUM(patch[[#This Row],[BJ -1 num]:[SH -1 num]]))</f>
        <v/>
      </c>
      <c r="W1621" s="7" t="str">
        <f>IF(ISBLANK(patch[[#This Row],[project]]), "",COUNTIFS($A:$A,patch[[#This Row],[number]],$S:$S, "BJ And dev",$AC:$AC, "Review-1"))</f>
        <v/>
      </c>
      <c r="X1621" s="7" t="str">
        <f>IF(ISBLANK(patch[[#This Row],[project]]), "",COUNTIFS($A:$A,patch[[#This Row],[number]],$S:$S, "FL And dev",$AC:$AC, "Review-1"))</f>
        <v/>
      </c>
      <c r="Y1621" s="7" t="str">
        <f>IF(ISBLANK(patch[[#This Row],[project]]), "",COUNTIFS($A:$A,patch[[#This Row],[number]],$S:$S, "SH And dev",$AC:$AC, "Review-1"))</f>
        <v/>
      </c>
      <c r="Z1621" s="7" t="str">
        <f>IF(ISBLANK(patch[[#This Row],[project]]), "",COUNTIFS($A:$A,patch[[#This Row],[number]],$S:$S, "BJ And dev",$AD:$AD, "&lt;&gt;IntegratorValidationComment"))</f>
        <v/>
      </c>
      <c r="AA1621" s="7" t="str">
        <f>IF(ISBLANK(patch[[#This Row],[project]]), "",COUNTIFS($A:$A,patch[[#This Row],[number]],$S:$S, "FL And dev",$AD:$AD, "&lt;&gt;IntegratorValidationComment"))</f>
        <v/>
      </c>
      <c r="AB1621" s="7" t="str">
        <f>IF(ISBLANK(patch[[#This Row],[project]]), "",COUNTIFS($A:$A,patch[[#This Row],[number]],$S:$S, "SH And dev",$AD:$AD, "&lt;&gt;IntegratorValidationComment"))</f>
        <v/>
      </c>
      <c r="AC1621" s="7" t="str">
        <f>IF(OR(ISNUMBER(FIND("Review-1", patch[[#This Row],[comments]])), ISNUMBER(FIND("Approver-1", patch[[#This Row],[comments]]))), "Review-1", "")</f>
        <v/>
      </c>
      <c r="AD16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21" s="7">
        <f>IF(ISBLANK(patch[[#This Row],[number]]),AE1620,patch[[#This Row],[ifCommon]])</f>
        <v>0</v>
      </c>
    </row>
    <row r="1622" spans="1:31">
      <c r="A1622" s="151">
        <v>144606</v>
      </c>
      <c r="B1622" s="151"/>
      <c r="C1622" s="151"/>
      <c r="D1622" s="151"/>
      <c r="E1622" s="151"/>
      <c r="F1622" s="151"/>
      <c r="G1622" s="151"/>
      <c r="H1622" s="151"/>
      <c r="I1622" s="151"/>
      <c r="J1622" s="152">
        <v>42627.659930555557</v>
      </c>
      <c r="K1622" s="151"/>
      <c r="L1622" s="151" t="s">
        <v>32</v>
      </c>
      <c r="M1622" s="152">
        <v>42625.609976851847</v>
      </c>
      <c r="N1622" s="151" t="s">
        <v>1880</v>
      </c>
      <c r="O1622" s="151"/>
      <c r="P1622" s="151"/>
      <c r="Q1622" s="7" t="str">
        <f>IF(ISBLANK(patch[[#This Row],[OwnerEmail]]),Q1621,patch[[#This Row],[OwnerEmail]])</f>
        <v>john.mathew@intel.com</v>
      </c>
      <c r="R1622" s="7" t="str">
        <f>_xlfn.IFNA(VLOOKUP(patch[[#This Row],[tmp-owner.email]],OrgTree!$A:$K, 11, 0), "not ICG SWFW")</f>
        <v>FL And dev</v>
      </c>
      <c r="S1622" s="7" t="str">
        <f>IF(patch[[#This Row],[reviewer]]=patch[[#This Row],[tmp-owner.email]], "author", _xlfn.IFNA(VLOOKUP(patch[[#This Row],[reviewer]],OrgTree!$A:$K, 11, 0), "not ICG SWFW"))</f>
        <v>BJ And dev</v>
      </c>
      <c r="T1622" s="7" t="str">
        <f>IF(ISBLANK(patch[[#This Row],[mergeDate]]), "", MID(YEAR(patch[[#This Row],[mergeDate]]), 3,2)&amp;"'ww"&amp;WEEKNUM(patch[[#This Row],[mergeDate]]))</f>
        <v>16'ww38</v>
      </c>
      <c r="U1622" s="7" t="str">
        <f>IF(ISBLANK(patch[[#This Row],[mergeDate]]), U1621, MID(YEAR(patch[[#This Row],[mergeDate]]), 3,2)&amp;"'m"&amp;MONTH(patch[[#This Row],[mergeDate]]))</f>
        <v>16'm9</v>
      </c>
      <c r="V1622" s="7" t="str">
        <f>IF(ISBLANK(patch[[#This Row],[project]]), "",SUM(patch[[#This Row],[BJ -1 num]:[SH -1 num]]))</f>
        <v/>
      </c>
      <c r="W1622" s="7" t="str">
        <f>IF(ISBLANK(patch[[#This Row],[project]]), "",COUNTIFS($A:$A,patch[[#This Row],[number]],$S:$S, "BJ And dev",$AC:$AC, "Review-1"))</f>
        <v/>
      </c>
      <c r="X1622" s="7" t="str">
        <f>IF(ISBLANK(patch[[#This Row],[project]]), "",COUNTIFS($A:$A,patch[[#This Row],[number]],$S:$S, "FL And dev",$AC:$AC, "Review-1"))</f>
        <v/>
      </c>
      <c r="Y1622" s="7" t="str">
        <f>IF(ISBLANK(patch[[#This Row],[project]]), "",COUNTIFS($A:$A,patch[[#This Row],[number]],$S:$S, "SH And dev",$AC:$AC, "Review-1"))</f>
        <v/>
      </c>
      <c r="Z1622" s="7" t="str">
        <f>IF(ISBLANK(patch[[#This Row],[project]]), "",COUNTIFS($A:$A,patch[[#This Row],[number]],$S:$S, "BJ And dev",$AD:$AD, "&lt;&gt;IntegratorValidationComment"))</f>
        <v/>
      </c>
      <c r="AA1622" s="7" t="str">
        <f>IF(ISBLANK(patch[[#This Row],[project]]), "",COUNTIFS($A:$A,patch[[#This Row],[number]],$S:$S, "FL And dev",$AD:$AD, "&lt;&gt;IntegratorValidationComment"))</f>
        <v/>
      </c>
      <c r="AB1622" s="7" t="str">
        <f>IF(ISBLANK(patch[[#This Row],[project]]), "",COUNTIFS($A:$A,patch[[#This Row],[number]],$S:$S, "SH And dev",$AD:$AD, "&lt;&gt;IntegratorValidationComment"))</f>
        <v/>
      </c>
      <c r="AC1622" s="7" t="str">
        <f>IF(OR(ISNUMBER(FIND("Review-1", patch[[#This Row],[comments]])), ISNUMBER(FIND("Approver-1", patch[[#This Row],[comments]]))), "Review-1", "")</f>
        <v/>
      </c>
      <c r="AD16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22" s="7">
        <f>IF(ISBLANK(patch[[#This Row],[number]]),AE1621,patch[[#This Row],[ifCommon]])</f>
        <v>0</v>
      </c>
    </row>
    <row r="1623" spans="1:31">
      <c r="A1623" s="151">
        <v>144606</v>
      </c>
      <c r="B1623" s="151"/>
      <c r="C1623" s="151"/>
      <c r="D1623" s="151"/>
      <c r="E1623" s="151"/>
      <c r="F1623" s="151"/>
      <c r="G1623" s="151"/>
      <c r="H1623" s="151"/>
      <c r="I1623" s="151"/>
      <c r="J1623" s="152">
        <v>42627.659930555557</v>
      </c>
      <c r="K1623" s="151"/>
      <c r="L1623" s="151" t="s">
        <v>115</v>
      </c>
      <c r="M1623" s="152">
        <v>42626.430509259262</v>
      </c>
      <c r="N1623" s="151" t="s">
        <v>2494</v>
      </c>
      <c r="O1623" s="151"/>
      <c r="P1623" s="151"/>
      <c r="Q1623" s="7" t="str">
        <f>IF(ISBLANK(patch[[#This Row],[OwnerEmail]]),Q1622,patch[[#This Row],[OwnerEmail]])</f>
        <v>john.mathew@intel.com</v>
      </c>
      <c r="R1623" s="7" t="str">
        <f>_xlfn.IFNA(VLOOKUP(patch[[#This Row],[tmp-owner.email]],OrgTree!$A:$K, 11, 0), "not ICG SWFW")</f>
        <v>FL And dev</v>
      </c>
      <c r="S1623" s="7" t="str">
        <f>IF(patch[[#This Row],[reviewer]]=patch[[#This Row],[tmp-owner.email]], "author", _xlfn.IFNA(VLOOKUP(patch[[#This Row],[reviewer]],OrgTree!$A:$K, 11, 0), "not ICG SWFW"))</f>
        <v>Val</v>
      </c>
      <c r="T1623" s="7" t="str">
        <f>IF(ISBLANK(patch[[#This Row],[mergeDate]]), "", MID(YEAR(patch[[#This Row],[mergeDate]]), 3,2)&amp;"'ww"&amp;WEEKNUM(patch[[#This Row],[mergeDate]]))</f>
        <v>16'ww38</v>
      </c>
      <c r="U1623" s="7" t="str">
        <f>IF(ISBLANK(patch[[#This Row],[mergeDate]]), U1622, MID(YEAR(patch[[#This Row],[mergeDate]]), 3,2)&amp;"'m"&amp;MONTH(patch[[#This Row],[mergeDate]]))</f>
        <v>16'm9</v>
      </c>
      <c r="V1623" s="7" t="str">
        <f>IF(ISBLANK(patch[[#This Row],[project]]), "",SUM(patch[[#This Row],[BJ -1 num]:[SH -1 num]]))</f>
        <v/>
      </c>
      <c r="W1623" s="7" t="str">
        <f>IF(ISBLANK(patch[[#This Row],[project]]), "",COUNTIFS($A:$A,patch[[#This Row],[number]],$S:$S, "BJ And dev",$AC:$AC, "Review-1"))</f>
        <v/>
      </c>
      <c r="X1623" s="7" t="str">
        <f>IF(ISBLANK(patch[[#This Row],[project]]), "",COUNTIFS($A:$A,patch[[#This Row],[number]],$S:$S, "FL And dev",$AC:$AC, "Review-1"))</f>
        <v/>
      </c>
      <c r="Y1623" s="7" t="str">
        <f>IF(ISBLANK(patch[[#This Row],[project]]), "",COUNTIFS($A:$A,patch[[#This Row],[number]],$S:$S, "SH And dev",$AC:$AC, "Review-1"))</f>
        <v/>
      </c>
      <c r="Z1623" s="7" t="str">
        <f>IF(ISBLANK(patch[[#This Row],[project]]), "",COUNTIFS($A:$A,patch[[#This Row],[number]],$S:$S, "BJ And dev",$AD:$AD, "&lt;&gt;IntegratorValidationComment"))</f>
        <v/>
      </c>
      <c r="AA1623" s="7" t="str">
        <f>IF(ISBLANK(patch[[#This Row],[project]]), "",COUNTIFS($A:$A,patch[[#This Row],[number]],$S:$S, "FL And dev",$AD:$AD, "&lt;&gt;IntegratorValidationComment"))</f>
        <v/>
      </c>
      <c r="AB1623" s="7" t="str">
        <f>IF(ISBLANK(patch[[#This Row],[project]]), "",COUNTIFS($A:$A,patch[[#This Row],[number]],$S:$S, "SH And dev",$AD:$AD, "&lt;&gt;IntegratorValidationComment"))</f>
        <v/>
      </c>
      <c r="AC1623" s="7" t="str">
        <f>IF(OR(ISNUMBER(FIND("Review-1", patch[[#This Row],[comments]])), ISNUMBER(FIND("Approver-1", patch[[#This Row],[comments]]))), "Review-1", "")</f>
        <v/>
      </c>
      <c r="AD16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623" s="7">
        <f>IF(ISBLANK(patch[[#This Row],[number]]),AE1622,patch[[#This Row],[ifCommon]])</f>
        <v>0</v>
      </c>
    </row>
    <row r="1624" spans="1:31">
      <c r="A1624" s="151">
        <v>144606</v>
      </c>
      <c r="B1624" s="151"/>
      <c r="C1624" s="151"/>
      <c r="D1624" s="151"/>
      <c r="E1624" s="151"/>
      <c r="F1624" s="151"/>
      <c r="G1624" s="151"/>
      <c r="H1624" s="151"/>
      <c r="I1624" s="151"/>
      <c r="J1624" s="152">
        <v>42627.659930555557</v>
      </c>
      <c r="K1624" s="151"/>
      <c r="L1624" s="151" t="s">
        <v>115</v>
      </c>
      <c r="M1624" s="152">
        <v>42626.465856481482</v>
      </c>
      <c r="N1624" s="151" t="s">
        <v>3403</v>
      </c>
      <c r="O1624" s="151"/>
      <c r="P1624" s="151"/>
      <c r="Q1624" s="7" t="str">
        <f>IF(ISBLANK(patch[[#This Row],[OwnerEmail]]),Q1623,patch[[#This Row],[OwnerEmail]])</f>
        <v>john.mathew@intel.com</v>
      </c>
      <c r="R1624" s="7" t="str">
        <f>_xlfn.IFNA(VLOOKUP(patch[[#This Row],[tmp-owner.email]],OrgTree!$A:$K, 11, 0), "not ICG SWFW")</f>
        <v>FL And dev</v>
      </c>
      <c r="S1624" s="7" t="str">
        <f>IF(patch[[#This Row],[reviewer]]=patch[[#This Row],[tmp-owner.email]], "author", _xlfn.IFNA(VLOOKUP(patch[[#This Row],[reviewer]],OrgTree!$A:$K, 11, 0), "not ICG SWFW"))</f>
        <v>Val</v>
      </c>
      <c r="T1624" s="7" t="str">
        <f>IF(ISBLANK(patch[[#This Row],[mergeDate]]), "", MID(YEAR(patch[[#This Row],[mergeDate]]), 3,2)&amp;"'ww"&amp;WEEKNUM(patch[[#This Row],[mergeDate]]))</f>
        <v>16'ww38</v>
      </c>
      <c r="U1624" s="7" t="str">
        <f>IF(ISBLANK(patch[[#This Row],[mergeDate]]), U1623, MID(YEAR(patch[[#This Row],[mergeDate]]), 3,2)&amp;"'m"&amp;MONTH(patch[[#This Row],[mergeDate]]))</f>
        <v>16'm9</v>
      </c>
      <c r="V1624" s="7" t="str">
        <f>IF(ISBLANK(patch[[#This Row],[project]]), "",SUM(patch[[#This Row],[BJ -1 num]:[SH -1 num]]))</f>
        <v/>
      </c>
      <c r="W1624" s="7" t="str">
        <f>IF(ISBLANK(patch[[#This Row],[project]]), "",COUNTIFS($A:$A,patch[[#This Row],[number]],$S:$S, "BJ And dev",$AC:$AC, "Review-1"))</f>
        <v/>
      </c>
      <c r="X1624" s="7" t="str">
        <f>IF(ISBLANK(patch[[#This Row],[project]]), "",COUNTIFS($A:$A,patch[[#This Row],[number]],$S:$S, "FL And dev",$AC:$AC, "Review-1"))</f>
        <v/>
      </c>
      <c r="Y1624" s="7" t="str">
        <f>IF(ISBLANK(patch[[#This Row],[project]]), "",COUNTIFS($A:$A,patch[[#This Row],[number]],$S:$S, "SH And dev",$AC:$AC, "Review-1"))</f>
        <v/>
      </c>
      <c r="Z1624" s="7" t="str">
        <f>IF(ISBLANK(patch[[#This Row],[project]]), "",COUNTIFS($A:$A,patch[[#This Row],[number]],$S:$S, "BJ And dev",$AD:$AD, "&lt;&gt;IntegratorValidationComment"))</f>
        <v/>
      </c>
      <c r="AA1624" s="7" t="str">
        <f>IF(ISBLANK(patch[[#This Row],[project]]), "",COUNTIFS($A:$A,patch[[#This Row],[number]],$S:$S, "FL And dev",$AD:$AD, "&lt;&gt;IntegratorValidationComment"))</f>
        <v/>
      </c>
      <c r="AB1624" s="7" t="str">
        <f>IF(ISBLANK(patch[[#This Row],[project]]), "",COUNTIFS($A:$A,patch[[#This Row],[number]],$S:$S, "SH And dev",$AD:$AD, "&lt;&gt;IntegratorValidationComment"))</f>
        <v/>
      </c>
      <c r="AC1624" s="7" t="str">
        <f>IF(OR(ISNUMBER(FIND("Review-1", patch[[#This Row],[comments]])), ISNUMBER(FIND("Approver-1", patch[[#This Row],[comments]]))), "Review-1", "")</f>
        <v/>
      </c>
      <c r="AD16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624" s="7">
        <f>IF(ISBLANK(patch[[#This Row],[number]]),AE1623,patch[[#This Row],[ifCommon]])</f>
        <v>0</v>
      </c>
    </row>
    <row r="1625" spans="1:31">
      <c r="A1625" s="151">
        <v>144606</v>
      </c>
      <c r="B1625" s="151"/>
      <c r="C1625" s="151"/>
      <c r="D1625" s="151"/>
      <c r="E1625" s="151"/>
      <c r="F1625" s="151"/>
      <c r="G1625" s="151"/>
      <c r="H1625" s="151"/>
      <c r="I1625" s="151"/>
      <c r="J1625" s="152">
        <v>42627.659930555557</v>
      </c>
      <c r="K1625" s="151"/>
      <c r="L1625" s="151" t="s">
        <v>115</v>
      </c>
      <c r="M1625" s="152">
        <v>42627.417824074073</v>
      </c>
      <c r="N1625" s="151" t="s">
        <v>2494</v>
      </c>
      <c r="O1625" s="151"/>
      <c r="P1625" s="151"/>
      <c r="Q1625" s="7" t="str">
        <f>IF(ISBLANK(patch[[#This Row],[OwnerEmail]]),Q1624,patch[[#This Row],[OwnerEmail]])</f>
        <v>john.mathew@intel.com</v>
      </c>
      <c r="R1625" s="7" t="str">
        <f>_xlfn.IFNA(VLOOKUP(patch[[#This Row],[tmp-owner.email]],OrgTree!$A:$K, 11, 0), "not ICG SWFW")</f>
        <v>FL And dev</v>
      </c>
      <c r="S1625" s="7" t="str">
        <f>IF(patch[[#This Row],[reviewer]]=patch[[#This Row],[tmp-owner.email]], "author", _xlfn.IFNA(VLOOKUP(patch[[#This Row],[reviewer]],OrgTree!$A:$K, 11, 0), "not ICG SWFW"))</f>
        <v>Val</v>
      </c>
      <c r="T1625" s="7" t="str">
        <f>IF(ISBLANK(patch[[#This Row],[mergeDate]]), "", MID(YEAR(patch[[#This Row],[mergeDate]]), 3,2)&amp;"'ww"&amp;WEEKNUM(patch[[#This Row],[mergeDate]]))</f>
        <v>16'ww38</v>
      </c>
      <c r="U1625" s="7" t="str">
        <f>IF(ISBLANK(patch[[#This Row],[mergeDate]]), U1624, MID(YEAR(patch[[#This Row],[mergeDate]]), 3,2)&amp;"'m"&amp;MONTH(patch[[#This Row],[mergeDate]]))</f>
        <v>16'm9</v>
      </c>
      <c r="V1625" s="7" t="str">
        <f>IF(ISBLANK(patch[[#This Row],[project]]), "",SUM(patch[[#This Row],[BJ -1 num]:[SH -1 num]]))</f>
        <v/>
      </c>
      <c r="W1625" s="7" t="str">
        <f>IF(ISBLANK(patch[[#This Row],[project]]), "",COUNTIFS($A:$A,patch[[#This Row],[number]],$S:$S, "BJ And dev",$AC:$AC, "Review-1"))</f>
        <v/>
      </c>
      <c r="X1625" s="7" t="str">
        <f>IF(ISBLANK(patch[[#This Row],[project]]), "",COUNTIFS($A:$A,patch[[#This Row],[number]],$S:$S, "FL And dev",$AC:$AC, "Review-1"))</f>
        <v/>
      </c>
      <c r="Y1625" s="7" t="str">
        <f>IF(ISBLANK(patch[[#This Row],[project]]), "",COUNTIFS($A:$A,patch[[#This Row],[number]],$S:$S, "SH And dev",$AC:$AC, "Review-1"))</f>
        <v/>
      </c>
      <c r="Z1625" s="7" t="str">
        <f>IF(ISBLANK(patch[[#This Row],[project]]), "",COUNTIFS($A:$A,patch[[#This Row],[number]],$S:$S, "BJ And dev",$AD:$AD, "&lt;&gt;IntegratorValidationComment"))</f>
        <v/>
      </c>
      <c r="AA1625" s="7" t="str">
        <f>IF(ISBLANK(patch[[#This Row],[project]]), "",COUNTIFS($A:$A,patch[[#This Row],[number]],$S:$S, "FL And dev",$AD:$AD, "&lt;&gt;IntegratorValidationComment"))</f>
        <v/>
      </c>
      <c r="AB1625" s="7" t="str">
        <f>IF(ISBLANK(patch[[#This Row],[project]]), "",COUNTIFS($A:$A,patch[[#This Row],[number]],$S:$S, "SH And dev",$AD:$AD, "&lt;&gt;IntegratorValidationComment"))</f>
        <v/>
      </c>
      <c r="AC1625" s="7" t="str">
        <f>IF(OR(ISNUMBER(FIND("Review-1", patch[[#This Row],[comments]])), ISNUMBER(FIND("Approver-1", patch[[#This Row],[comments]]))), "Review-1", "")</f>
        <v/>
      </c>
      <c r="AD16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625" s="7">
        <f>IF(ISBLANK(patch[[#This Row],[number]]),AE1624,patch[[#This Row],[ifCommon]])</f>
        <v>0</v>
      </c>
    </row>
    <row r="1626" spans="1:31">
      <c r="A1626" s="151">
        <v>144714</v>
      </c>
      <c r="B1626" s="151" t="s">
        <v>2490</v>
      </c>
      <c r="C1626" s="151" t="s">
        <v>2491</v>
      </c>
      <c r="D1626" s="151" t="s">
        <v>3315</v>
      </c>
      <c r="E1626" s="151" t="s">
        <v>61</v>
      </c>
      <c r="F1626" s="151" t="s">
        <v>23</v>
      </c>
      <c r="G1626" s="151" t="s">
        <v>3316</v>
      </c>
      <c r="H1626" s="151" t="s">
        <v>3317</v>
      </c>
      <c r="I1626" s="152">
        <v>42626.036678240736</v>
      </c>
      <c r="J1626" s="152">
        <v>42627.659872685188</v>
      </c>
      <c r="K1626" s="151" t="s">
        <v>2445</v>
      </c>
      <c r="L1626" s="151" t="s">
        <v>61</v>
      </c>
      <c r="M1626" s="152">
        <v>42626.036678240736</v>
      </c>
      <c r="N1626" s="151" t="s">
        <v>25</v>
      </c>
      <c r="O1626" s="151"/>
      <c r="P1626" s="151" t="s">
        <v>2542</v>
      </c>
      <c r="Q1626" s="7" t="str">
        <f>IF(ISBLANK(patch[[#This Row],[OwnerEmail]]),Q1625,patch[[#This Row],[OwnerEmail]])</f>
        <v>john.mathew@intel.com</v>
      </c>
      <c r="R1626" s="7" t="str">
        <f>_xlfn.IFNA(VLOOKUP(patch[[#This Row],[tmp-owner.email]],OrgTree!$A:$K, 11, 0), "not ICG SWFW")</f>
        <v>FL And dev</v>
      </c>
      <c r="S1626" s="7" t="str">
        <f>IF(patch[[#This Row],[reviewer]]=patch[[#This Row],[tmp-owner.email]], "author", _xlfn.IFNA(VLOOKUP(patch[[#This Row],[reviewer]],OrgTree!$A:$K, 11, 0), "not ICG SWFW"))</f>
        <v>author</v>
      </c>
      <c r="T1626" s="7" t="str">
        <f>IF(ISBLANK(patch[[#This Row],[mergeDate]]), "", MID(YEAR(patch[[#This Row],[mergeDate]]), 3,2)&amp;"'ww"&amp;WEEKNUM(patch[[#This Row],[mergeDate]]))</f>
        <v>16'ww38</v>
      </c>
      <c r="U1626" s="7" t="str">
        <f>IF(ISBLANK(patch[[#This Row],[mergeDate]]), U1625, MID(YEAR(patch[[#This Row],[mergeDate]]), 3,2)&amp;"'m"&amp;MONTH(patch[[#This Row],[mergeDate]]))</f>
        <v>16'm9</v>
      </c>
      <c r="V1626" s="7">
        <f>IF(ISBLANK(patch[[#This Row],[project]]), "",SUM(patch[[#This Row],[BJ -1 num]:[SH -1 num]]))</f>
        <v>0</v>
      </c>
      <c r="W1626" s="7">
        <f>IF(ISBLANK(patch[[#This Row],[project]]), "",COUNTIFS($A:$A,patch[[#This Row],[number]],$S:$S, "BJ And dev",$AC:$AC, "Review-1"))</f>
        <v>0</v>
      </c>
      <c r="X1626" s="7">
        <f>IF(ISBLANK(patch[[#This Row],[project]]), "",COUNTIFS($A:$A,patch[[#This Row],[number]],$S:$S, "FL And dev",$AC:$AC, "Review-1"))</f>
        <v>0</v>
      </c>
      <c r="Y1626" s="7">
        <f>IF(ISBLANK(patch[[#This Row],[project]]), "",COUNTIFS($A:$A,patch[[#This Row],[number]],$S:$S, "SH And dev",$AC:$AC, "Review-1"))</f>
        <v>0</v>
      </c>
      <c r="Z1626" s="7">
        <f>IF(ISBLANK(patch[[#This Row],[project]]), "",COUNTIFS($A:$A,patch[[#This Row],[number]],$S:$S, "BJ And dev",$AD:$AD, "&lt;&gt;IntegratorValidationComment"))</f>
        <v>4</v>
      </c>
      <c r="AA1626" s="7">
        <f>IF(ISBLANK(patch[[#This Row],[project]]), "",COUNTIFS($A:$A,patch[[#This Row],[number]],$S:$S, "FL And dev",$AD:$AD, "&lt;&gt;IntegratorValidationComment"))</f>
        <v>0</v>
      </c>
      <c r="AB1626" s="7">
        <f>IF(ISBLANK(patch[[#This Row],[project]]), "",COUNTIFS($A:$A,patch[[#This Row],[number]],$S:$S, "SH And dev",$AD:$AD, "&lt;&gt;IntegratorValidationComment"))</f>
        <v>0</v>
      </c>
      <c r="AC1626" s="7" t="str">
        <f>IF(OR(ISNUMBER(FIND("Review-1", patch[[#This Row],[comments]])), ISNUMBER(FIND("Approver-1", patch[[#This Row],[comments]]))), "Review-1", "")</f>
        <v/>
      </c>
      <c r="AD16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26" s="7" t="str">
        <f>IF(ISBLANK(patch[[#This Row],[number]]),AE1625,patch[[#This Row],[ifCommon]])</f>
        <v>not AndrHAL</v>
      </c>
    </row>
    <row r="1627" spans="1:31">
      <c r="A1627" s="151">
        <v>144714</v>
      </c>
      <c r="B1627" s="151"/>
      <c r="C1627" s="151"/>
      <c r="D1627" s="151"/>
      <c r="E1627" s="151"/>
      <c r="F1627" s="151"/>
      <c r="G1627" s="151"/>
      <c r="H1627" s="151"/>
      <c r="I1627" s="151"/>
      <c r="J1627" s="152">
        <v>42627.659872685188</v>
      </c>
      <c r="K1627" s="151"/>
      <c r="L1627" s="151" t="s">
        <v>61</v>
      </c>
      <c r="M1627" s="152">
        <v>42626.036678240736</v>
      </c>
      <c r="N1627" s="151" t="s">
        <v>2428</v>
      </c>
      <c r="O1627" s="151"/>
      <c r="P1627" s="151"/>
      <c r="Q1627" s="7" t="str">
        <f>IF(ISBLANK(patch[[#This Row],[OwnerEmail]]),Q1626,patch[[#This Row],[OwnerEmail]])</f>
        <v>john.mathew@intel.com</v>
      </c>
      <c r="R1627" s="7" t="str">
        <f>_xlfn.IFNA(VLOOKUP(patch[[#This Row],[tmp-owner.email]],OrgTree!$A:$K, 11, 0), "not ICG SWFW")</f>
        <v>FL And dev</v>
      </c>
      <c r="S1627" s="7" t="str">
        <f>IF(patch[[#This Row],[reviewer]]=patch[[#This Row],[tmp-owner.email]], "author", _xlfn.IFNA(VLOOKUP(patch[[#This Row],[reviewer]],OrgTree!$A:$K, 11, 0), "not ICG SWFW"))</f>
        <v>author</v>
      </c>
      <c r="T1627" s="7" t="str">
        <f>IF(ISBLANK(patch[[#This Row],[mergeDate]]), "", MID(YEAR(patch[[#This Row],[mergeDate]]), 3,2)&amp;"'ww"&amp;WEEKNUM(patch[[#This Row],[mergeDate]]))</f>
        <v>16'ww38</v>
      </c>
      <c r="U1627" s="7" t="str">
        <f>IF(ISBLANK(patch[[#This Row],[mergeDate]]), U1626, MID(YEAR(patch[[#This Row],[mergeDate]]), 3,2)&amp;"'m"&amp;MONTH(patch[[#This Row],[mergeDate]]))</f>
        <v>16'm9</v>
      </c>
      <c r="V1627" s="7" t="str">
        <f>IF(ISBLANK(patch[[#This Row],[project]]), "",SUM(patch[[#This Row],[BJ -1 num]:[SH -1 num]]))</f>
        <v/>
      </c>
      <c r="W1627" s="7" t="str">
        <f>IF(ISBLANK(patch[[#This Row],[project]]), "",COUNTIFS($A:$A,patch[[#This Row],[number]],$S:$S, "BJ And dev",$AC:$AC, "Review-1"))</f>
        <v/>
      </c>
      <c r="X1627" s="7" t="str">
        <f>IF(ISBLANK(patch[[#This Row],[project]]), "",COUNTIFS($A:$A,patch[[#This Row],[number]],$S:$S, "FL And dev",$AC:$AC, "Review-1"))</f>
        <v/>
      </c>
      <c r="Y1627" s="7" t="str">
        <f>IF(ISBLANK(patch[[#This Row],[project]]), "",COUNTIFS($A:$A,patch[[#This Row],[number]],$S:$S, "SH And dev",$AC:$AC, "Review-1"))</f>
        <v/>
      </c>
      <c r="Z1627" s="7" t="str">
        <f>IF(ISBLANK(patch[[#This Row],[project]]), "",COUNTIFS($A:$A,patch[[#This Row],[number]],$S:$S, "BJ And dev",$AD:$AD, "&lt;&gt;IntegratorValidationComment"))</f>
        <v/>
      </c>
      <c r="AA1627" s="7" t="str">
        <f>IF(ISBLANK(patch[[#This Row],[project]]), "",COUNTIFS($A:$A,patch[[#This Row],[number]],$S:$S, "FL And dev",$AD:$AD, "&lt;&gt;IntegratorValidationComment"))</f>
        <v/>
      </c>
      <c r="AB1627" s="7" t="str">
        <f>IF(ISBLANK(patch[[#This Row],[project]]), "",COUNTIFS($A:$A,patch[[#This Row],[number]],$S:$S, "SH And dev",$AD:$AD, "&lt;&gt;IntegratorValidationComment"))</f>
        <v/>
      </c>
      <c r="AC1627" s="7" t="str">
        <f>IF(OR(ISNUMBER(FIND("Review-1", patch[[#This Row],[comments]])), ISNUMBER(FIND("Approver-1", patch[[#This Row],[comments]]))), "Review-1", "")</f>
        <v/>
      </c>
      <c r="AD16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27" s="7">
        <f>IF(ISBLANK(patch[[#This Row],[number]]),AE1626,patch[[#This Row],[ifCommon]])</f>
        <v>0</v>
      </c>
    </row>
    <row r="1628" spans="1:31">
      <c r="A1628" s="151">
        <v>144714</v>
      </c>
      <c r="B1628" s="151"/>
      <c r="C1628" s="151"/>
      <c r="D1628" s="151"/>
      <c r="E1628" s="151"/>
      <c r="F1628" s="151"/>
      <c r="G1628" s="151"/>
      <c r="H1628" s="151"/>
      <c r="I1628" s="152"/>
      <c r="J1628" s="152">
        <v>42627.659872685188</v>
      </c>
      <c r="K1628" s="151"/>
      <c r="L1628" s="151" t="s">
        <v>61</v>
      </c>
      <c r="M1628" s="152">
        <v>42626.036828703713</v>
      </c>
      <c r="N1628" s="151" t="s">
        <v>40</v>
      </c>
      <c r="O1628" s="151"/>
      <c r="P1628" s="151"/>
      <c r="Q1628" s="7" t="str">
        <f>IF(ISBLANK(patch[[#This Row],[OwnerEmail]]),Q1627,patch[[#This Row],[OwnerEmail]])</f>
        <v>john.mathew@intel.com</v>
      </c>
      <c r="R1628" s="7" t="str">
        <f>_xlfn.IFNA(VLOOKUP(patch[[#This Row],[tmp-owner.email]],OrgTree!$A:$K, 11, 0), "not ICG SWFW")</f>
        <v>FL And dev</v>
      </c>
      <c r="S1628" s="7" t="str">
        <f>IF(patch[[#This Row],[reviewer]]=patch[[#This Row],[tmp-owner.email]], "author", _xlfn.IFNA(VLOOKUP(patch[[#This Row],[reviewer]],OrgTree!$A:$K, 11, 0), "not ICG SWFW"))</f>
        <v>author</v>
      </c>
      <c r="T1628" s="7" t="str">
        <f>IF(ISBLANK(patch[[#This Row],[mergeDate]]), "", MID(YEAR(patch[[#This Row],[mergeDate]]), 3,2)&amp;"'ww"&amp;WEEKNUM(patch[[#This Row],[mergeDate]]))</f>
        <v>16'ww38</v>
      </c>
      <c r="U1628" s="7" t="str">
        <f>IF(ISBLANK(patch[[#This Row],[mergeDate]]), U1627, MID(YEAR(patch[[#This Row],[mergeDate]]), 3,2)&amp;"'m"&amp;MONTH(patch[[#This Row],[mergeDate]]))</f>
        <v>16'm9</v>
      </c>
      <c r="V1628" s="7" t="str">
        <f>IF(ISBLANK(patch[[#This Row],[project]]), "",SUM(patch[[#This Row],[BJ -1 num]:[SH -1 num]]))</f>
        <v/>
      </c>
      <c r="W1628" s="7" t="str">
        <f>IF(ISBLANK(patch[[#This Row],[project]]), "",COUNTIFS($A:$A,patch[[#This Row],[number]],$S:$S, "BJ And dev",$AC:$AC, "Review-1"))</f>
        <v/>
      </c>
      <c r="X1628" s="7" t="str">
        <f>IF(ISBLANK(patch[[#This Row],[project]]), "",COUNTIFS($A:$A,patch[[#This Row],[number]],$S:$S, "FL And dev",$AC:$AC, "Review-1"))</f>
        <v/>
      </c>
      <c r="Y1628" s="7" t="str">
        <f>IF(ISBLANK(patch[[#This Row],[project]]), "",COUNTIFS($A:$A,patch[[#This Row],[number]],$S:$S, "SH And dev",$AC:$AC, "Review-1"))</f>
        <v/>
      </c>
      <c r="Z1628" s="7" t="str">
        <f>IF(ISBLANK(patch[[#This Row],[project]]), "",COUNTIFS($A:$A,patch[[#This Row],[number]],$S:$S, "BJ And dev",$AD:$AD, "&lt;&gt;IntegratorValidationComment"))</f>
        <v/>
      </c>
      <c r="AA1628" s="7" t="str">
        <f>IF(ISBLANK(patch[[#This Row],[project]]), "",COUNTIFS($A:$A,patch[[#This Row],[number]],$S:$S, "FL And dev",$AD:$AD, "&lt;&gt;IntegratorValidationComment"))</f>
        <v/>
      </c>
      <c r="AB1628" s="7" t="str">
        <f>IF(ISBLANK(patch[[#This Row],[project]]), "",COUNTIFS($A:$A,patch[[#This Row],[number]],$S:$S, "SH And dev",$AD:$AD, "&lt;&gt;IntegratorValidationComment"))</f>
        <v/>
      </c>
      <c r="AC1628" s="7" t="str">
        <f>IF(OR(ISNUMBER(FIND("Review-1", patch[[#This Row],[comments]])), ISNUMBER(FIND("Approver-1", patch[[#This Row],[comments]]))), "Review-1", "")</f>
        <v/>
      </c>
      <c r="AD16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28" s="7">
        <f>IF(ISBLANK(patch[[#This Row],[number]]),AE1627,patch[[#This Row],[ifCommon]])</f>
        <v>0</v>
      </c>
    </row>
    <row r="1629" spans="1:31">
      <c r="A1629" s="151">
        <v>144714</v>
      </c>
      <c r="B1629" s="151"/>
      <c r="C1629" s="151"/>
      <c r="D1629" s="151"/>
      <c r="E1629" s="151"/>
      <c r="F1629" s="151"/>
      <c r="G1629" s="151"/>
      <c r="H1629" s="151"/>
      <c r="I1629" s="151"/>
      <c r="J1629" s="152">
        <v>42627.659872685188</v>
      </c>
      <c r="K1629" s="151"/>
      <c r="L1629" s="151" t="s">
        <v>59</v>
      </c>
      <c r="M1629" s="152">
        <v>42626.377164351848</v>
      </c>
      <c r="N1629" s="151" t="s">
        <v>3404</v>
      </c>
      <c r="O1629" s="151"/>
      <c r="P1629" s="151"/>
      <c r="Q1629" s="7" t="str">
        <f>IF(ISBLANK(patch[[#This Row],[OwnerEmail]]),Q1628,patch[[#This Row],[OwnerEmail]])</f>
        <v>john.mathew@intel.com</v>
      </c>
      <c r="R1629" s="7" t="str">
        <f>_xlfn.IFNA(VLOOKUP(patch[[#This Row],[tmp-owner.email]],OrgTree!$A:$K, 11, 0), "not ICG SWFW")</f>
        <v>FL And dev</v>
      </c>
      <c r="S1629" s="7" t="str">
        <f>IF(patch[[#This Row],[reviewer]]=patch[[#This Row],[tmp-owner.email]], "author", _xlfn.IFNA(VLOOKUP(patch[[#This Row],[reviewer]],OrgTree!$A:$K, 11, 0), "not ICG SWFW"))</f>
        <v>BJ And dev</v>
      </c>
      <c r="T1629" s="7" t="str">
        <f>IF(ISBLANK(patch[[#This Row],[mergeDate]]), "", MID(YEAR(patch[[#This Row],[mergeDate]]), 3,2)&amp;"'ww"&amp;WEEKNUM(patch[[#This Row],[mergeDate]]))</f>
        <v>16'ww38</v>
      </c>
      <c r="U1629" s="7" t="str">
        <f>IF(ISBLANK(patch[[#This Row],[mergeDate]]), U1628, MID(YEAR(patch[[#This Row],[mergeDate]]), 3,2)&amp;"'m"&amp;MONTH(patch[[#This Row],[mergeDate]]))</f>
        <v>16'm9</v>
      </c>
      <c r="V1629" s="7" t="str">
        <f>IF(ISBLANK(patch[[#This Row],[project]]), "",SUM(patch[[#This Row],[BJ -1 num]:[SH -1 num]]))</f>
        <v/>
      </c>
      <c r="W1629" s="7" t="str">
        <f>IF(ISBLANK(patch[[#This Row],[project]]), "",COUNTIFS($A:$A,patch[[#This Row],[number]],$S:$S, "BJ And dev",$AC:$AC, "Review-1"))</f>
        <v/>
      </c>
      <c r="X1629" s="7" t="str">
        <f>IF(ISBLANK(patch[[#This Row],[project]]), "",COUNTIFS($A:$A,patch[[#This Row],[number]],$S:$S, "FL And dev",$AC:$AC, "Review-1"))</f>
        <v/>
      </c>
      <c r="Y1629" s="7" t="str">
        <f>IF(ISBLANK(patch[[#This Row],[project]]), "",COUNTIFS($A:$A,patch[[#This Row],[number]],$S:$S, "SH And dev",$AC:$AC, "Review-1"))</f>
        <v/>
      </c>
      <c r="Z1629" s="7" t="str">
        <f>IF(ISBLANK(patch[[#This Row],[project]]), "",COUNTIFS($A:$A,patch[[#This Row],[number]],$S:$S, "BJ And dev",$AD:$AD, "&lt;&gt;IntegratorValidationComment"))</f>
        <v/>
      </c>
      <c r="AA1629" s="7" t="str">
        <f>IF(ISBLANK(patch[[#This Row],[project]]), "",COUNTIFS($A:$A,patch[[#This Row],[number]],$S:$S, "FL And dev",$AD:$AD, "&lt;&gt;IntegratorValidationComment"))</f>
        <v/>
      </c>
      <c r="AB1629" s="7" t="str">
        <f>IF(ISBLANK(patch[[#This Row],[project]]), "",COUNTIFS($A:$A,patch[[#This Row],[number]],$S:$S, "SH And dev",$AD:$AD, "&lt;&gt;IntegratorValidationComment"))</f>
        <v/>
      </c>
      <c r="AC1629" s="7" t="str">
        <f>IF(OR(ISNUMBER(FIND("Review-1", patch[[#This Row],[comments]])), ISNUMBER(FIND("Approver-1", patch[[#This Row],[comments]]))), "Review-1", "")</f>
        <v/>
      </c>
      <c r="AD16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29" s="7">
        <f>IF(ISBLANK(patch[[#This Row],[number]]),AE1628,patch[[#This Row],[ifCommon]])</f>
        <v>0</v>
      </c>
    </row>
    <row r="1630" spans="1:31">
      <c r="A1630" s="151">
        <v>144714</v>
      </c>
      <c r="B1630" s="151"/>
      <c r="C1630" s="151"/>
      <c r="D1630" s="151"/>
      <c r="E1630" s="151"/>
      <c r="F1630" s="151"/>
      <c r="G1630" s="151"/>
      <c r="H1630" s="151"/>
      <c r="I1630" s="151"/>
      <c r="J1630" s="152">
        <v>42627.659872685188</v>
      </c>
      <c r="K1630" s="151"/>
      <c r="L1630" s="151" t="s">
        <v>59</v>
      </c>
      <c r="M1630" s="152">
        <v>42626.384444444448</v>
      </c>
      <c r="N1630" s="151" t="s">
        <v>3405</v>
      </c>
      <c r="O1630" s="151"/>
      <c r="P1630" s="151"/>
      <c r="Q1630" s="7" t="str">
        <f>IF(ISBLANK(patch[[#This Row],[OwnerEmail]]),Q1629,patch[[#This Row],[OwnerEmail]])</f>
        <v>john.mathew@intel.com</v>
      </c>
      <c r="R1630" s="7" t="str">
        <f>_xlfn.IFNA(VLOOKUP(patch[[#This Row],[tmp-owner.email]],OrgTree!$A:$K, 11, 0), "not ICG SWFW")</f>
        <v>FL And dev</v>
      </c>
      <c r="S1630" s="7" t="str">
        <f>IF(patch[[#This Row],[reviewer]]=patch[[#This Row],[tmp-owner.email]], "author", _xlfn.IFNA(VLOOKUP(patch[[#This Row],[reviewer]],OrgTree!$A:$K, 11, 0), "not ICG SWFW"))</f>
        <v>BJ And dev</v>
      </c>
      <c r="T1630" s="7" t="str">
        <f>IF(ISBLANK(patch[[#This Row],[mergeDate]]), "", MID(YEAR(patch[[#This Row],[mergeDate]]), 3,2)&amp;"'ww"&amp;WEEKNUM(patch[[#This Row],[mergeDate]]))</f>
        <v>16'ww38</v>
      </c>
      <c r="U1630" s="7" t="str">
        <f>IF(ISBLANK(patch[[#This Row],[mergeDate]]), U1629, MID(YEAR(patch[[#This Row],[mergeDate]]), 3,2)&amp;"'m"&amp;MONTH(patch[[#This Row],[mergeDate]]))</f>
        <v>16'm9</v>
      </c>
      <c r="V1630" s="7" t="str">
        <f>IF(ISBLANK(patch[[#This Row],[project]]), "",SUM(patch[[#This Row],[BJ -1 num]:[SH -1 num]]))</f>
        <v/>
      </c>
      <c r="W1630" s="7" t="str">
        <f>IF(ISBLANK(patch[[#This Row],[project]]), "",COUNTIFS($A:$A,patch[[#This Row],[number]],$S:$S, "BJ And dev",$AC:$AC, "Review-1"))</f>
        <v/>
      </c>
      <c r="X1630" s="7" t="str">
        <f>IF(ISBLANK(patch[[#This Row],[project]]), "",COUNTIFS($A:$A,patch[[#This Row],[number]],$S:$S, "FL And dev",$AC:$AC, "Review-1"))</f>
        <v/>
      </c>
      <c r="Y1630" s="7" t="str">
        <f>IF(ISBLANK(patch[[#This Row],[project]]), "",COUNTIFS($A:$A,patch[[#This Row],[number]],$S:$S, "SH And dev",$AC:$AC, "Review-1"))</f>
        <v/>
      </c>
      <c r="Z1630" s="7" t="str">
        <f>IF(ISBLANK(patch[[#This Row],[project]]), "",COUNTIFS($A:$A,patch[[#This Row],[number]],$S:$S, "BJ And dev",$AD:$AD, "&lt;&gt;IntegratorValidationComment"))</f>
        <v/>
      </c>
      <c r="AA1630" s="7" t="str">
        <f>IF(ISBLANK(patch[[#This Row],[project]]), "",COUNTIFS($A:$A,patch[[#This Row],[number]],$S:$S, "FL And dev",$AD:$AD, "&lt;&gt;IntegratorValidationComment"))</f>
        <v/>
      </c>
      <c r="AB1630" s="7" t="str">
        <f>IF(ISBLANK(patch[[#This Row],[project]]), "",COUNTIFS($A:$A,patch[[#This Row],[number]],$S:$S, "SH And dev",$AD:$AD, "&lt;&gt;IntegratorValidationComment"))</f>
        <v/>
      </c>
      <c r="AC1630" s="7" t="str">
        <f>IF(OR(ISNUMBER(FIND("Review-1", patch[[#This Row],[comments]])), ISNUMBER(FIND("Approver-1", patch[[#This Row],[comments]]))), "Review-1", "")</f>
        <v/>
      </c>
      <c r="AD16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30" s="7">
        <f>IF(ISBLANK(patch[[#This Row],[number]]),AE1629,patch[[#This Row],[ifCommon]])</f>
        <v>0</v>
      </c>
    </row>
    <row r="1631" spans="1:31">
      <c r="A1631" s="151">
        <v>144714</v>
      </c>
      <c r="B1631" s="151"/>
      <c r="C1631" s="151"/>
      <c r="D1631" s="151"/>
      <c r="E1631" s="151"/>
      <c r="F1631" s="151"/>
      <c r="G1631" s="151"/>
      <c r="H1631" s="151"/>
      <c r="I1631" s="151"/>
      <c r="J1631" s="152">
        <v>42627.659872685188</v>
      </c>
      <c r="K1631" s="151"/>
      <c r="L1631" s="151" t="s">
        <v>32</v>
      </c>
      <c r="M1631" s="152">
        <v>42626.573900462958</v>
      </c>
      <c r="N1631" s="151" t="s">
        <v>40</v>
      </c>
      <c r="O1631" s="151"/>
      <c r="P1631" s="151"/>
      <c r="Q1631" s="7" t="str">
        <f>IF(ISBLANK(patch[[#This Row],[OwnerEmail]]),Q1630,patch[[#This Row],[OwnerEmail]])</f>
        <v>john.mathew@intel.com</v>
      </c>
      <c r="R1631" s="7" t="str">
        <f>_xlfn.IFNA(VLOOKUP(patch[[#This Row],[tmp-owner.email]],OrgTree!$A:$K, 11, 0), "not ICG SWFW")</f>
        <v>FL And dev</v>
      </c>
      <c r="S1631" s="7" t="str">
        <f>IF(patch[[#This Row],[reviewer]]=patch[[#This Row],[tmp-owner.email]], "author", _xlfn.IFNA(VLOOKUP(patch[[#This Row],[reviewer]],OrgTree!$A:$K, 11, 0), "not ICG SWFW"))</f>
        <v>BJ And dev</v>
      </c>
      <c r="T1631" s="7" t="str">
        <f>IF(ISBLANK(patch[[#This Row],[mergeDate]]), "", MID(YEAR(patch[[#This Row],[mergeDate]]), 3,2)&amp;"'ww"&amp;WEEKNUM(patch[[#This Row],[mergeDate]]))</f>
        <v>16'ww38</v>
      </c>
      <c r="U1631" s="7" t="str">
        <f>IF(ISBLANK(patch[[#This Row],[mergeDate]]), U1630, MID(YEAR(patch[[#This Row],[mergeDate]]), 3,2)&amp;"'m"&amp;MONTH(patch[[#This Row],[mergeDate]]))</f>
        <v>16'm9</v>
      </c>
      <c r="V1631" s="7" t="str">
        <f>IF(ISBLANK(patch[[#This Row],[project]]), "",SUM(patch[[#This Row],[BJ -1 num]:[SH -1 num]]))</f>
        <v/>
      </c>
      <c r="W1631" s="7" t="str">
        <f>IF(ISBLANK(patch[[#This Row],[project]]), "",COUNTIFS($A:$A,patch[[#This Row],[number]],$S:$S, "BJ And dev",$AC:$AC, "Review-1"))</f>
        <v/>
      </c>
      <c r="X1631" s="7" t="str">
        <f>IF(ISBLANK(patch[[#This Row],[project]]), "",COUNTIFS($A:$A,patch[[#This Row],[number]],$S:$S, "FL And dev",$AC:$AC, "Review-1"))</f>
        <v/>
      </c>
      <c r="Y1631" s="7" t="str">
        <f>IF(ISBLANK(patch[[#This Row],[project]]), "",COUNTIFS($A:$A,patch[[#This Row],[number]],$S:$S, "SH And dev",$AC:$AC, "Review-1"))</f>
        <v/>
      </c>
      <c r="Z1631" s="7" t="str">
        <f>IF(ISBLANK(patch[[#This Row],[project]]), "",COUNTIFS($A:$A,patch[[#This Row],[number]],$S:$S, "BJ And dev",$AD:$AD, "&lt;&gt;IntegratorValidationComment"))</f>
        <v/>
      </c>
      <c r="AA1631" s="7" t="str">
        <f>IF(ISBLANK(patch[[#This Row],[project]]), "",COUNTIFS($A:$A,patch[[#This Row],[number]],$S:$S, "FL And dev",$AD:$AD, "&lt;&gt;IntegratorValidationComment"))</f>
        <v/>
      </c>
      <c r="AB1631" s="7" t="str">
        <f>IF(ISBLANK(patch[[#This Row],[project]]), "",COUNTIFS($A:$A,patch[[#This Row],[number]],$S:$S, "SH And dev",$AD:$AD, "&lt;&gt;IntegratorValidationComment"))</f>
        <v/>
      </c>
      <c r="AC1631" s="7" t="str">
        <f>IF(OR(ISNUMBER(FIND("Review-1", patch[[#This Row],[comments]])), ISNUMBER(FIND("Approver-1", patch[[#This Row],[comments]]))), "Review-1", "")</f>
        <v/>
      </c>
      <c r="AD16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31" s="7">
        <f>IF(ISBLANK(patch[[#This Row],[number]]),AE1630,patch[[#This Row],[ifCommon]])</f>
        <v>0</v>
      </c>
    </row>
    <row r="1632" spans="1:31">
      <c r="A1632" s="151">
        <v>144714</v>
      </c>
      <c r="B1632" s="151"/>
      <c r="C1632" s="151"/>
      <c r="D1632" s="151"/>
      <c r="E1632" s="151"/>
      <c r="F1632" s="151"/>
      <c r="G1632" s="151"/>
      <c r="H1632" s="151"/>
      <c r="I1632" s="151"/>
      <c r="J1632" s="152">
        <v>42627.659872685188</v>
      </c>
      <c r="K1632" s="151"/>
      <c r="L1632" s="151" t="s">
        <v>55</v>
      </c>
      <c r="M1632" s="152">
        <v>42626.599664351852</v>
      </c>
      <c r="N1632" s="151" t="s">
        <v>1880</v>
      </c>
      <c r="O1632" s="151"/>
      <c r="P1632" s="151"/>
      <c r="Q1632" s="7" t="str">
        <f>IF(ISBLANK(patch[[#This Row],[OwnerEmail]]),Q1631,patch[[#This Row],[OwnerEmail]])</f>
        <v>john.mathew@intel.com</v>
      </c>
      <c r="R1632" s="7" t="str">
        <f>_xlfn.IFNA(VLOOKUP(patch[[#This Row],[tmp-owner.email]],OrgTree!$A:$K, 11, 0), "not ICG SWFW")</f>
        <v>FL And dev</v>
      </c>
      <c r="S1632" s="7" t="str">
        <f>IF(patch[[#This Row],[reviewer]]=patch[[#This Row],[tmp-owner.email]], "author", _xlfn.IFNA(VLOOKUP(patch[[#This Row],[reviewer]],OrgTree!$A:$K, 11, 0), "not ICG SWFW"))</f>
        <v>BJ And dev</v>
      </c>
      <c r="T1632" s="7" t="str">
        <f>IF(ISBLANK(patch[[#This Row],[mergeDate]]), "", MID(YEAR(patch[[#This Row],[mergeDate]]), 3,2)&amp;"'ww"&amp;WEEKNUM(patch[[#This Row],[mergeDate]]))</f>
        <v>16'ww38</v>
      </c>
      <c r="U1632" s="7" t="str">
        <f>IF(ISBLANK(patch[[#This Row],[mergeDate]]), U1631, MID(YEAR(patch[[#This Row],[mergeDate]]), 3,2)&amp;"'m"&amp;MONTH(patch[[#This Row],[mergeDate]]))</f>
        <v>16'm9</v>
      </c>
      <c r="V1632" s="7" t="str">
        <f>IF(ISBLANK(patch[[#This Row],[project]]), "",SUM(patch[[#This Row],[BJ -1 num]:[SH -1 num]]))</f>
        <v/>
      </c>
      <c r="W1632" s="7" t="str">
        <f>IF(ISBLANK(patch[[#This Row],[project]]), "",COUNTIFS($A:$A,patch[[#This Row],[number]],$S:$S, "BJ And dev",$AC:$AC, "Review-1"))</f>
        <v/>
      </c>
      <c r="X1632" s="7" t="str">
        <f>IF(ISBLANK(patch[[#This Row],[project]]), "",COUNTIFS($A:$A,patch[[#This Row],[number]],$S:$S, "FL And dev",$AC:$AC, "Review-1"))</f>
        <v/>
      </c>
      <c r="Y1632" s="7" t="str">
        <f>IF(ISBLANK(patch[[#This Row],[project]]), "",COUNTIFS($A:$A,patch[[#This Row],[number]],$S:$S, "SH And dev",$AC:$AC, "Review-1"))</f>
        <v/>
      </c>
      <c r="Z1632" s="7" t="str">
        <f>IF(ISBLANK(patch[[#This Row],[project]]), "",COUNTIFS($A:$A,patch[[#This Row],[number]],$S:$S, "BJ And dev",$AD:$AD, "&lt;&gt;IntegratorValidationComment"))</f>
        <v/>
      </c>
      <c r="AA1632" s="7" t="str">
        <f>IF(ISBLANK(patch[[#This Row],[project]]), "",COUNTIFS($A:$A,patch[[#This Row],[number]],$S:$S, "FL And dev",$AD:$AD, "&lt;&gt;IntegratorValidationComment"))</f>
        <v/>
      </c>
      <c r="AB1632" s="7" t="str">
        <f>IF(ISBLANK(patch[[#This Row],[project]]), "",COUNTIFS($A:$A,patch[[#This Row],[number]],$S:$S, "SH And dev",$AD:$AD, "&lt;&gt;IntegratorValidationComment"))</f>
        <v/>
      </c>
      <c r="AC1632" s="7" t="str">
        <f>IF(OR(ISNUMBER(FIND("Review-1", patch[[#This Row],[comments]])), ISNUMBER(FIND("Approver-1", patch[[#This Row],[comments]]))), "Review-1", "")</f>
        <v/>
      </c>
      <c r="AD16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32" s="7">
        <f>IF(ISBLANK(patch[[#This Row],[number]]),AE1631,patch[[#This Row],[ifCommon]])</f>
        <v>0</v>
      </c>
    </row>
    <row r="1633" spans="1:31">
      <c r="A1633" s="151">
        <v>144714</v>
      </c>
      <c r="B1633" s="151"/>
      <c r="C1633" s="151"/>
      <c r="D1633" s="151"/>
      <c r="E1633" s="151"/>
      <c r="F1633" s="151"/>
      <c r="G1633" s="151"/>
      <c r="H1633" s="151"/>
      <c r="I1633" s="151"/>
      <c r="J1633" s="152">
        <v>42627.659872685188</v>
      </c>
      <c r="K1633" s="151"/>
      <c r="L1633" s="151" t="s">
        <v>115</v>
      </c>
      <c r="M1633" s="152">
        <v>42627.417754629627</v>
      </c>
      <c r="N1633" s="151" t="s">
        <v>2494</v>
      </c>
      <c r="O1633" s="151"/>
      <c r="P1633" s="151"/>
      <c r="Q1633" s="7" t="str">
        <f>IF(ISBLANK(patch[[#This Row],[OwnerEmail]]),Q1632,patch[[#This Row],[OwnerEmail]])</f>
        <v>john.mathew@intel.com</v>
      </c>
      <c r="R1633" s="7" t="str">
        <f>_xlfn.IFNA(VLOOKUP(patch[[#This Row],[tmp-owner.email]],OrgTree!$A:$K, 11, 0), "not ICG SWFW")</f>
        <v>FL And dev</v>
      </c>
      <c r="S1633" s="7" t="str">
        <f>IF(patch[[#This Row],[reviewer]]=patch[[#This Row],[tmp-owner.email]], "author", _xlfn.IFNA(VLOOKUP(patch[[#This Row],[reviewer]],OrgTree!$A:$K, 11, 0), "not ICG SWFW"))</f>
        <v>Val</v>
      </c>
      <c r="T1633" s="7" t="str">
        <f>IF(ISBLANK(patch[[#This Row],[mergeDate]]), "", MID(YEAR(patch[[#This Row],[mergeDate]]), 3,2)&amp;"'ww"&amp;WEEKNUM(patch[[#This Row],[mergeDate]]))</f>
        <v>16'ww38</v>
      </c>
      <c r="U1633" s="7" t="str">
        <f>IF(ISBLANK(patch[[#This Row],[mergeDate]]), U1632, MID(YEAR(patch[[#This Row],[mergeDate]]), 3,2)&amp;"'m"&amp;MONTH(patch[[#This Row],[mergeDate]]))</f>
        <v>16'm9</v>
      </c>
      <c r="V1633" s="7" t="str">
        <f>IF(ISBLANK(patch[[#This Row],[project]]), "",SUM(patch[[#This Row],[BJ -1 num]:[SH -1 num]]))</f>
        <v/>
      </c>
      <c r="W1633" s="7" t="str">
        <f>IF(ISBLANK(patch[[#This Row],[project]]), "",COUNTIFS($A:$A,patch[[#This Row],[number]],$S:$S, "BJ And dev",$AC:$AC, "Review-1"))</f>
        <v/>
      </c>
      <c r="X1633" s="7" t="str">
        <f>IF(ISBLANK(patch[[#This Row],[project]]), "",COUNTIFS($A:$A,patch[[#This Row],[number]],$S:$S, "FL And dev",$AC:$AC, "Review-1"))</f>
        <v/>
      </c>
      <c r="Y1633" s="7" t="str">
        <f>IF(ISBLANK(patch[[#This Row],[project]]), "",COUNTIFS($A:$A,patch[[#This Row],[number]],$S:$S, "SH And dev",$AC:$AC, "Review-1"))</f>
        <v/>
      </c>
      <c r="Z1633" s="7" t="str">
        <f>IF(ISBLANK(patch[[#This Row],[project]]), "",COUNTIFS($A:$A,patch[[#This Row],[number]],$S:$S, "BJ And dev",$AD:$AD, "&lt;&gt;IntegratorValidationComment"))</f>
        <v/>
      </c>
      <c r="AA1633" s="7" t="str">
        <f>IF(ISBLANK(patch[[#This Row],[project]]), "",COUNTIFS($A:$A,patch[[#This Row],[number]],$S:$S, "FL And dev",$AD:$AD, "&lt;&gt;IntegratorValidationComment"))</f>
        <v/>
      </c>
      <c r="AB1633" s="7" t="str">
        <f>IF(ISBLANK(patch[[#This Row],[project]]), "",COUNTIFS($A:$A,patch[[#This Row],[number]],$S:$S, "SH And dev",$AD:$AD, "&lt;&gt;IntegratorValidationComment"))</f>
        <v/>
      </c>
      <c r="AC1633" s="7" t="str">
        <f>IF(OR(ISNUMBER(FIND("Review-1", patch[[#This Row],[comments]])), ISNUMBER(FIND("Approver-1", patch[[#This Row],[comments]]))), "Review-1", "")</f>
        <v/>
      </c>
      <c r="AD16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633" s="7">
        <f>IF(ISBLANK(patch[[#This Row],[number]]),AE1632,patch[[#This Row],[ifCommon]])</f>
        <v>0</v>
      </c>
    </row>
    <row r="1634" spans="1:31">
      <c r="A1634" s="151">
        <v>144831</v>
      </c>
      <c r="B1634" s="151" t="s">
        <v>2490</v>
      </c>
      <c r="C1634" s="151" t="s">
        <v>2491</v>
      </c>
      <c r="D1634" s="151" t="s">
        <v>3378</v>
      </c>
      <c r="E1634" s="151" t="s">
        <v>24</v>
      </c>
      <c r="F1634" s="151" t="s">
        <v>23</v>
      </c>
      <c r="G1634" s="151" t="s">
        <v>3379</v>
      </c>
      <c r="H1634" s="151" t="s">
        <v>3380</v>
      </c>
      <c r="I1634" s="152">
        <v>42626.604027777779</v>
      </c>
      <c r="J1634" s="152">
        <v>42627.659826388888</v>
      </c>
      <c r="K1634" s="151" t="s">
        <v>2445</v>
      </c>
      <c r="L1634" s="151" t="s">
        <v>24</v>
      </c>
      <c r="M1634" s="152">
        <v>42626.604027777779</v>
      </c>
      <c r="N1634" s="151" t="s">
        <v>25</v>
      </c>
      <c r="O1634" s="151"/>
      <c r="P1634" s="151" t="s">
        <v>3105</v>
      </c>
      <c r="Q1634" s="7" t="str">
        <f>IF(ISBLANK(patch[[#This Row],[OwnerEmail]]),Q1633,patch[[#This Row],[OwnerEmail]])</f>
        <v>qingwu.zhang@intel.com</v>
      </c>
      <c r="R1634" s="7" t="str">
        <f>_xlfn.IFNA(VLOOKUP(patch[[#This Row],[tmp-owner.email]],OrgTree!$A:$K, 11, 0), "not ICG SWFW")</f>
        <v>BJ And dev</v>
      </c>
      <c r="S1634" s="7" t="str">
        <f>IF(patch[[#This Row],[reviewer]]=patch[[#This Row],[tmp-owner.email]], "author", _xlfn.IFNA(VLOOKUP(patch[[#This Row],[reviewer]],OrgTree!$A:$K, 11, 0), "not ICG SWFW"))</f>
        <v>author</v>
      </c>
      <c r="T1634" s="7" t="str">
        <f>IF(ISBLANK(patch[[#This Row],[mergeDate]]), "", MID(YEAR(patch[[#This Row],[mergeDate]]), 3,2)&amp;"'ww"&amp;WEEKNUM(patch[[#This Row],[mergeDate]]))</f>
        <v>16'ww38</v>
      </c>
      <c r="U1634" s="7" t="str">
        <f>IF(ISBLANK(patch[[#This Row],[mergeDate]]), U1633, MID(YEAR(patch[[#This Row],[mergeDate]]), 3,2)&amp;"'m"&amp;MONTH(patch[[#This Row],[mergeDate]]))</f>
        <v>16'm9</v>
      </c>
      <c r="V1634" s="7">
        <f>IF(ISBLANK(patch[[#This Row],[project]]), "",SUM(patch[[#This Row],[BJ -1 num]:[SH -1 num]]))</f>
        <v>0</v>
      </c>
      <c r="W1634" s="7">
        <f>IF(ISBLANK(patch[[#This Row],[project]]), "",COUNTIFS($A:$A,patch[[#This Row],[number]],$S:$S, "BJ And dev",$AC:$AC, "Review-1"))</f>
        <v>0</v>
      </c>
      <c r="X1634" s="7">
        <f>IF(ISBLANK(patch[[#This Row],[project]]), "",COUNTIFS($A:$A,patch[[#This Row],[number]],$S:$S, "FL And dev",$AC:$AC, "Review-1"))</f>
        <v>0</v>
      </c>
      <c r="Y1634" s="7">
        <f>IF(ISBLANK(patch[[#This Row],[project]]), "",COUNTIFS($A:$A,patch[[#This Row],[number]],$S:$S, "SH And dev",$AC:$AC, "Review-1"))</f>
        <v>0</v>
      </c>
      <c r="Z1634" s="7">
        <f>IF(ISBLANK(patch[[#This Row],[project]]), "",COUNTIFS($A:$A,patch[[#This Row],[number]],$S:$S, "BJ And dev",$AD:$AD, "&lt;&gt;IntegratorValidationComment"))</f>
        <v>5</v>
      </c>
      <c r="AA1634" s="7">
        <f>IF(ISBLANK(patch[[#This Row],[project]]), "",COUNTIFS($A:$A,patch[[#This Row],[number]],$S:$S, "FL And dev",$AD:$AD, "&lt;&gt;IntegratorValidationComment"))</f>
        <v>0</v>
      </c>
      <c r="AB1634" s="7">
        <f>IF(ISBLANK(patch[[#This Row],[project]]), "",COUNTIFS($A:$A,patch[[#This Row],[number]],$S:$S, "SH And dev",$AD:$AD, "&lt;&gt;IntegratorValidationComment"))</f>
        <v>0</v>
      </c>
      <c r="AC1634" s="7" t="str">
        <f>IF(OR(ISNUMBER(FIND("Review-1", patch[[#This Row],[comments]])), ISNUMBER(FIND("Approver-1", patch[[#This Row],[comments]]))), "Review-1", "")</f>
        <v/>
      </c>
      <c r="AD16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34" s="7" t="str">
        <f>IF(ISBLANK(patch[[#This Row],[number]]),AE1633,patch[[#This Row],[ifCommon]])</f>
        <v>not AndrHAL</v>
      </c>
    </row>
    <row r="1635" spans="1:31">
      <c r="A1635" s="151">
        <v>144831</v>
      </c>
      <c r="B1635" s="151"/>
      <c r="C1635" s="151"/>
      <c r="D1635" s="151"/>
      <c r="E1635" s="151"/>
      <c r="F1635" s="151"/>
      <c r="G1635" s="151"/>
      <c r="H1635" s="151"/>
      <c r="I1635" s="151"/>
      <c r="J1635" s="152">
        <v>42627.659826388888</v>
      </c>
      <c r="K1635" s="151"/>
      <c r="L1635" s="151" t="s">
        <v>24</v>
      </c>
      <c r="M1635" s="152">
        <v>42626.604039351849</v>
      </c>
      <c r="N1635" s="151" t="s">
        <v>2428</v>
      </c>
      <c r="O1635" s="151"/>
      <c r="P1635" s="151"/>
      <c r="Q1635" s="7" t="str">
        <f>IF(ISBLANK(patch[[#This Row],[OwnerEmail]]),Q1634,patch[[#This Row],[OwnerEmail]])</f>
        <v>qingwu.zhang@intel.com</v>
      </c>
      <c r="R1635" s="7" t="str">
        <f>_xlfn.IFNA(VLOOKUP(patch[[#This Row],[tmp-owner.email]],OrgTree!$A:$K, 11, 0), "not ICG SWFW")</f>
        <v>BJ And dev</v>
      </c>
      <c r="S1635" s="7" t="str">
        <f>IF(patch[[#This Row],[reviewer]]=patch[[#This Row],[tmp-owner.email]], "author", _xlfn.IFNA(VLOOKUP(patch[[#This Row],[reviewer]],OrgTree!$A:$K, 11, 0), "not ICG SWFW"))</f>
        <v>author</v>
      </c>
      <c r="T1635" s="7" t="str">
        <f>IF(ISBLANK(patch[[#This Row],[mergeDate]]), "", MID(YEAR(patch[[#This Row],[mergeDate]]), 3,2)&amp;"'ww"&amp;WEEKNUM(patch[[#This Row],[mergeDate]]))</f>
        <v>16'ww38</v>
      </c>
      <c r="U1635" s="7" t="str">
        <f>IF(ISBLANK(patch[[#This Row],[mergeDate]]), U1634, MID(YEAR(patch[[#This Row],[mergeDate]]), 3,2)&amp;"'m"&amp;MONTH(patch[[#This Row],[mergeDate]]))</f>
        <v>16'm9</v>
      </c>
      <c r="V1635" s="7" t="str">
        <f>IF(ISBLANK(patch[[#This Row],[project]]), "",SUM(patch[[#This Row],[BJ -1 num]:[SH -1 num]]))</f>
        <v/>
      </c>
      <c r="W1635" s="7" t="str">
        <f>IF(ISBLANK(patch[[#This Row],[project]]), "",COUNTIFS($A:$A,patch[[#This Row],[number]],$S:$S, "BJ And dev",$AC:$AC, "Review-1"))</f>
        <v/>
      </c>
      <c r="X1635" s="7" t="str">
        <f>IF(ISBLANK(patch[[#This Row],[project]]), "",COUNTIFS($A:$A,patch[[#This Row],[number]],$S:$S, "FL And dev",$AC:$AC, "Review-1"))</f>
        <v/>
      </c>
      <c r="Y1635" s="7" t="str">
        <f>IF(ISBLANK(patch[[#This Row],[project]]), "",COUNTIFS($A:$A,patch[[#This Row],[number]],$S:$S, "SH And dev",$AC:$AC, "Review-1"))</f>
        <v/>
      </c>
      <c r="Z1635" s="7" t="str">
        <f>IF(ISBLANK(patch[[#This Row],[project]]), "",COUNTIFS($A:$A,patch[[#This Row],[number]],$S:$S, "BJ And dev",$AD:$AD, "&lt;&gt;IntegratorValidationComment"))</f>
        <v/>
      </c>
      <c r="AA1635" s="7" t="str">
        <f>IF(ISBLANK(patch[[#This Row],[project]]), "",COUNTIFS($A:$A,patch[[#This Row],[number]],$S:$S, "FL And dev",$AD:$AD, "&lt;&gt;IntegratorValidationComment"))</f>
        <v/>
      </c>
      <c r="AB1635" s="7" t="str">
        <f>IF(ISBLANK(patch[[#This Row],[project]]), "",COUNTIFS($A:$A,patch[[#This Row],[number]],$S:$S, "SH And dev",$AD:$AD, "&lt;&gt;IntegratorValidationComment"))</f>
        <v/>
      </c>
      <c r="AC1635" s="7" t="str">
        <f>IF(OR(ISNUMBER(FIND("Review-1", patch[[#This Row],[comments]])), ISNUMBER(FIND("Approver-1", patch[[#This Row],[comments]]))), "Review-1", "")</f>
        <v/>
      </c>
      <c r="AD16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35" s="7">
        <f>IF(ISBLANK(patch[[#This Row],[number]]),AE1634,patch[[#This Row],[ifCommon]])</f>
        <v>0</v>
      </c>
    </row>
    <row r="1636" spans="1:31">
      <c r="A1636" s="151">
        <v>144831</v>
      </c>
      <c r="B1636" s="151"/>
      <c r="C1636" s="151"/>
      <c r="D1636" s="151"/>
      <c r="E1636" s="151"/>
      <c r="F1636" s="151"/>
      <c r="G1636" s="151"/>
      <c r="H1636" s="151"/>
      <c r="I1636" s="151"/>
      <c r="J1636" s="152">
        <v>42627.659826388888</v>
      </c>
      <c r="K1636" s="151"/>
      <c r="L1636" s="151" t="s">
        <v>24</v>
      </c>
      <c r="M1636" s="152">
        <v>42626.604861111111</v>
      </c>
      <c r="N1636" s="151" t="s">
        <v>40</v>
      </c>
      <c r="O1636" s="151"/>
      <c r="P1636" s="151"/>
      <c r="Q1636" s="7" t="str">
        <f>IF(ISBLANK(patch[[#This Row],[OwnerEmail]]),Q1635,patch[[#This Row],[OwnerEmail]])</f>
        <v>qingwu.zhang@intel.com</v>
      </c>
      <c r="R1636" s="7" t="str">
        <f>_xlfn.IFNA(VLOOKUP(patch[[#This Row],[tmp-owner.email]],OrgTree!$A:$K, 11, 0), "not ICG SWFW")</f>
        <v>BJ And dev</v>
      </c>
      <c r="S1636" s="7" t="str">
        <f>IF(patch[[#This Row],[reviewer]]=patch[[#This Row],[tmp-owner.email]], "author", _xlfn.IFNA(VLOOKUP(patch[[#This Row],[reviewer]],OrgTree!$A:$K, 11, 0), "not ICG SWFW"))</f>
        <v>author</v>
      </c>
      <c r="T1636" s="7" t="str">
        <f>IF(ISBLANK(patch[[#This Row],[mergeDate]]), "", MID(YEAR(patch[[#This Row],[mergeDate]]), 3,2)&amp;"'ww"&amp;WEEKNUM(patch[[#This Row],[mergeDate]]))</f>
        <v>16'ww38</v>
      </c>
      <c r="U1636" s="7" t="str">
        <f>IF(ISBLANK(patch[[#This Row],[mergeDate]]), U1635, MID(YEAR(patch[[#This Row],[mergeDate]]), 3,2)&amp;"'m"&amp;MONTH(patch[[#This Row],[mergeDate]]))</f>
        <v>16'm9</v>
      </c>
      <c r="V1636" s="7" t="str">
        <f>IF(ISBLANK(patch[[#This Row],[project]]), "",SUM(patch[[#This Row],[BJ -1 num]:[SH -1 num]]))</f>
        <v/>
      </c>
      <c r="W1636" s="7" t="str">
        <f>IF(ISBLANK(patch[[#This Row],[project]]), "",COUNTIFS($A:$A,patch[[#This Row],[number]],$S:$S, "BJ And dev",$AC:$AC, "Review-1"))</f>
        <v/>
      </c>
      <c r="X1636" s="7" t="str">
        <f>IF(ISBLANK(patch[[#This Row],[project]]), "",COUNTIFS($A:$A,patch[[#This Row],[number]],$S:$S, "FL And dev",$AC:$AC, "Review-1"))</f>
        <v/>
      </c>
      <c r="Y1636" s="7" t="str">
        <f>IF(ISBLANK(patch[[#This Row],[project]]), "",COUNTIFS($A:$A,patch[[#This Row],[number]],$S:$S, "SH And dev",$AC:$AC, "Review-1"))</f>
        <v/>
      </c>
      <c r="Z1636" s="7" t="str">
        <f>IF(ISBLANK(patch[[#This Row],[project]]), "",COUNTIFS($A:$A,patch[[#This Row],[number]],$S:$S, "BJ And dev",$AD:$AD, "&lt;&gt;IntegratorValidationComment"))</f>
        <v/>
      </c>
      <c r="AA1636" s="7" t="str">
        <f>IF(ISBLANK(patch[[#This Row],[project]]), "",COUNTIFS($A:$A,patch[[#This Row],[number]],$S:$S, "FL And dev",$AD:$AD, "&lt;&gt;IntegratorValidationComment"))</f>
        <v/>
      </c>
      <c r="AB1636" s="7" t="str">
        <f>IF(ISBLANK(patch[[#This Row],[project]]), "",COUNTIFS($A:$A,patch[[#This Row],[number]],$S:$S, "SH And dev",$AD:$AD, "&lt;&gt;IntegratorValidationComment"))</f>
        <v/>
      </c>
      <c r="AC1636" s="7" t="str">
        <f>IF(OR(ISNUMBER(FIND("Review-1", patch[[#This Row],[comments]])), ISNUMBER(FIND("Approver-1", patch[[#This Row],[comments]]))), "Review-1", "")</f>
        <v/>
      </c>
      <c r="AD16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36" s="7">
        <f>IF(ISBLANK(patch[[#This Row],[number]]),AE1635,patch[[#This Row],[ifCommon]])</f>
        <v>0</v>
      </c>
    </row>
    <row r="1637" spans="1:31">
      <c r="A1637" s="151">
        <v>144831</v>
      </c>
      <c r="B1637" s="151"/>
      <c r="C1637" s="151"/>
      <c r="D1637" s="151"/>
      <c r="E1637" s="151"/>
      <c r="F1637" s="151"/>
      <c r="G1637" s="151"/>
      <c r="H1637" s="151"/>
      <c r="I1637" s="151"/>
      <c r="J1637" s="152">
        <v>42627.659826388888</v>
      </c>
      <c r="K1637" s="151"/>
      <c r="L1637" s="151" t="s">
        <v>59</v>
      </c>
      <c r="M1637" s="152">
        <v>42626.605578703697</v>
      </c>
      <c r="N1637" s="151" t="s">
        <v>3406</v>
      </c>
      <c r="O1637" s="151"/>
      <c r="P1637" s="151"/>
      <c r="Q1637" s="7" t="str">
        <f>IF(ISBLANK(patch[[#This Row],[OwnerEmail]]),Q1636,patch[[#This Row],[OwnerEmail]])</f>
        <v>qingwu.zhang@intel.com</v>
      </c>
      <c r="R1637" s="7" t="str">
        <f>_xlfn.IFNA(VLOOKUP(patch[[#This Row],[tmp-owner.email]],OrgTree!$A:$K, 11, 0), "not ICG SWFW")</f>
        <v>BJ And dev</v>
      </c>
      <c r="S1637" s="7" t="str">
        <f>IF(patch[[#This Row],[reviewer]]=patch[[#This Row],[tmp-owner.email]], "author", _xlfn.IFNA(VLOOKUP(patch[[#This Row],[reviewer]],OrgTree!$A:$K, 11, 0), "not ICG SWFW"))</f>
        <v>BJ And dev</v>
      </c>
      <c r="T1637" s="7" t="str">
        <f>IF(ISBLANK(patch[[#This Row],[mergeDate]]), "", MID(YEAR(patch[[#This Row],[mergeDate]]), 3,2)&amp;"'ww"&amp;WEEKNUM(patch[[#This Row],[mergeDate]]))</f>
        <v>16'ww38</v>
      </c>
      <c r="U1637" s="7" t="str">
        <f>IF(ISBLANK(patch[[#This Row],[mergeDate]]), U1636, MID(YEAR(patch[[#This Row],[mergeDate]]), 3,2)&amp;"'m"&amp;MONTH(patch[[#This Row],[mergeDate]]))</f>
        <v>16'm9</v>
      </c>
      <c r="V1637" s="7" t="str">
        <f>IF(ISBLANK(patch[[#This Row],[project]]), "",SUM(patch[[#This Row],[BJ -1 num]:[SH -1 num]]))</f>
        <v/>
      </c>
      <c r="W1637" s="7" t="str">
        <f>IF(ISBLANK(patch[[#This Row],[project]]), "",COUNTIFS($A:$A,patch[[#This Row],[number]],$S:$S, "BJ And dev",$AC:$AC, "Review-1"))</f>
        <v/>
      </c>
      <c r="X1637" s="7" t="str">
        <f>IF(ISBLANK(patch[[#This Row],[project]]), "",COUNTIFS($A:$A,patch[[#This Row],[number]],$S:$S, "FL And dev",$AC:$AC, "Review-1"))</f>
        <v/>
      </c>
      <c r="Y1637" s="7" t="str">
        <f>IF(ISBLANK(patch[[#This Row],[project]]), "",COUNTIFS($A:$A,patch[[#This Row],[number]],$S:$S, "SH And dev",$AC:$AC, "Review-1"))</f>
        <v/>
      </c>
      <c r="Z1637" s="7" t="str">
        <f>IF(ISBLANK(patch[[#This Row],[project]]), "",COUNTIFS($A:$A,patch[[#This Row],[number]],$S:$S, "BJ And dev",$AD:$AD, "&lt;&gt;IntegratorValidationComment"))</f>
        <v/>
      </c>
      <c r="AA1637" s="7" t="str">
        <f>IF(ISBLANK(patch[[#This Row],[project]]), "",COUNTIFS($A:$A,patch[[#This Row],[number]],$S:$S, "FL And dev",$AD:$AD, "&lt;&gt;IntegratorValidationComment"))</f>
        <v/>
      </c>
      <c r="AB1637" s="7" t="str">
        <f>IF(ISBLANK(patch[[#This Row],[project]]), "",COUNTIFS($A:$A,patch[[#This Row],[number]],$S:$S, "SH And dev",$AD:$AD, "&lt;&gt;IntegratorValidationComment"))</f>
        <v/>
      </c>
      <c r="AC1637" s="7" t="str">
        <f>IF(OR(ISNUMBER(FIND("Review-1", patch[[#This Row],[comments]])), ISNUMBER(FIND("Approver-1", patch[[#This Row],[comments]]))), "Review-1", "")</f>
        <v/>
      </c>
      <c r="AD16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37" s="7">
        <f>IF(ISBLANK(patch[[#This Row],[number]]),AE1636,patch[[#This Row],[ifCommon]])</f>
        <v>0</v>
      </c>
    </row>
    <row r="1638" spans="1:31">
      <c r="A1638" s="151">
        <v>144831</v>
      </c>
      <c r="B1638" s="151"/>
      <c r="C1638" s="151"/>
      <c r="D1638" s="151"/>
      <c r="E1638" s="151"/>
      <c r="F1638" s="151"/>
      <c r="G1638" s="151"/>
      <c r="H1638" s="151"/>
      <c r="I1638" s="151"/>
      <c r="J1638" s="152">
        <v>42627.659826388888</v>
      </c>
      <c r="K1638" s="151"/>
      <c r="L1638" s="151" t="s">
        <v>59</v>
      </c>
      <c r="M1638" s="152">
        <v>42626.608136574083</v>
      </c>
      <c r="N1638" s="151" t="s">
        <v>3407</v>
      </c>
      <c r="O1638" s="151"/>
      <c r="P1638" s="151"/>
      <c r="Q1638" s="7" t="str">
        <f>IF(ISBLANK(patch[[#This Row],[OwnerEmail]]),Q1637,patch[[#This Row],[OwnerEmail]])</f>
        <v>qingwu.zhang@intel.com</v>
      </c>
      <c r="R1638" s="7" t="str">
        <f>_xlfn.IFNA(VLOOKUP(patch[[#This Row],[tmp-owner.email]],OrgTree!$A:$K, 11, 0), "not ICG SWFW")</f>
        <v>BJ And dev</v>
      </c>
      <c r="S1638" s="7" t="str">
        <f>IF(patch[[#This Row],[reviewer]]=patch[[#This Row],[tmp-owner.email]], "author", _xlfn.IFNA(VLOOKUP(patch[[#This Row],[reviewer]],OrgTree!$A:$K, 11, 0), "not ICG SWFW"))</f>
        <v>BJ And dev</v>
      </c>
      <c r="T1638" s="7" t="str">
        <f>IF(ISBLANK(patch[[#This Row],[mergeDate]]), "", MID(YEAR(patch[[#This Row],[mergeDate]]), 3,2)&amp;"'ww"&amp;WEEKNUM(patch[[#This Row],[mergeDate]]))</f>
        <v>16'ww38</v>
      </c>
      <c r="U1638" s="7" t="str">
        <f>IF(ISBLANK(patch[[#This Row],[mergeDate]]), U1637, MID(YEAR(patch[[#This Row],[mergeDate]]), 3,2)&amp;"'m"&amp;MONTH(patch[[#This Row],[mergeDate]]))</f>
        <v>16'm9</v>
      </c>
      <c r="V1638" s="7" t="str">
        <f>IF(ISBLANK(patch[[#This Row],[project]]), "",SUM(patch[[#This Row],[BJ -1 num]:[SH -1 num]]))</f>
        <v/>
      </c>
      <c r="W1638" s="7" t="str">
        <f>IF(ISBLANK(patch[[#This Row],[project]]), "",COUNTIFS($A:$A,patch[[#This Row],[number]],$S:$S, "BJ And dev",$AC:$AC, "Review-1"))</f>
        <v/>
      </c>
      <c r="X1638" s="7" t="str">
        <f>IF(ISBLANK(patch[[#This Row],[project]]), "",COUNTIFS($A:$A,patch[[#This Row],[number]],$S:$S, "FL And dev",$AC:$AC, "Review-1"))</f>
        <v/>
      </c>
      <c r="Y1638" s="7" t="str">
        <f>IF(ISBLANK(patch[[#This Row],[project]]), "",COUNTIFS($A:$A,patch[[#This Row],[number]],$S:$S, "SH And dev",$AC:$AC, "Review-1"))</f>
        <v/>
      </c>
      <c r="Z1638" s="7" t="str">
        <f>IF(ISBLANK(patch[[#This Row],[project]]), "",COUNTIFS($A:$A,patch[[#This Row],[number]],$S:$S, "BJ And dev",$AD:$AD, "&lt;&gt;IntegratorValidationComment"))</f>
        <v/>
      </c>
      <c r="AA1638" s="7" t="str">
        <f>IF(ISBLANK(patch[[#This Row],[project]]), "",COUNTIFS($A:$A,patch[[#This Row],[number]],$S:$S, "FL And dev",$AD:$AD, "&lt;&gt;IntegratorValidationComment"))</f>
        <v/>
      </c>
      <c r="AB1638" s="7" t="str">
        <f>IF(ISBLANK(patch[[#This Row],[project]]), "",COUNTIFS($A:$A,patch[[#This Row],[number]],$S:$S, "SH And dev",$AD:$AD, "&lt;&gt;IntegratorValidationComment"))</f>
        <v/>
      </c>
      <c r="AC1638" s="7" t="str">
        <f>IF(OR(ISNUMBER(FIND("Review-1", patch[[#This Row],[comments]])), ISNUMBER(FIND("Approver-1", patch[[#This Row],[comments]]))), "Review-1", "")</f>
        <v/>
      </c>
      <c r="AD16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38" s="7">
        <f>IF(ISBLANK(patch[[#This Row],[number]]),AE1637,patch[[#This Row],[ifCommon]])</f>
        <v>0</v>
      </c>
    </row>
    <row r="1639" spans="1:31">
      <c r="A1639" s="151">
        <v>144831</v>
      </c>
      <c r="B1639" s="151"/>
      <c r="C1639" s="151"/>
      <c r="D1639" s="151"/>
      <c r="E1639" s="151"/>
      <c r="F1639" s="151"/>
      <c r="G1639" s="151"/>
      <c r="H1639" s="151"/>
      <c r="I1639" s="151"/>
      <c r="J1639" s="152">
        <v>42627.659826388888</v>
      </c>
      <c r="K1639" s="151"/>
      <c r="L1639" s="151" t="s">
        <v>63</v>
      </c>
      <c r="M1639" s="152">
        <v>42626.641180555547</v>
      </c>
      <c r="N1639" s="151" t="s">
        <v>40</v>
      </c>
      <c r="O1639" s="151"/>
      <c r="P1639" s="151"/>
      <c r="Q1639" s="7" t="str">
        <f>IF(ISBLANK(patch[[#This Row],[OwnerEmail]]),Q1638,patch[[#This Row],[OwnerEmail]])</f>
        <v>qingwu.zhang@intel.com</v>
      </c>
      <c r="R1639" s="7" t="str">
        <f>_xlfn.IFNA(VLOOKUP(patch[[#This Row],[tmp-owner.email]],OrgTree!$A:$K, 11, 0), "not ICG SWFW")</f>
        <v>BJ And dev</v>
      </c>
      <c r="S1639" s="7" t="str">
        <f>IF(patch[[#This Row],[reviewer]]=patch[[#This Row],[tmp-owner.email]], "author", _xlfn.IFNA(VLOOKUP(patch[[#This Row],[reviewer]],OrgTree!$A:$K, 11, 0), "not ICG SWFW"))</f>
        <v>BJ And dev</v>
      </c>
      <c r="T1639" s="7" t="str">
        <f>IF(ISBLANK(patch[[#This Row],[mergeDate]]), "", MID(YEAR(patch[[#This Row],[mergeDate]]), 3,2)&amp;"'ww"&amp;WEEKNUM(patch[[#This Row],[mergeDate]]))</f>
        <v>16'ww38</v>
      </c>
      <c r="U1639" s="7" t="str">
        <f>IF(ISBLANK(patch[[#This Row],[mergeDate]]), U1638, MID(YEAR(patch[[#This Row],[mergeDate]]), 3,2)&amp;"'m"&amp;MONTH(patch[[#This Row],[mergeDate]]))</f>
        <v>16'm9</v>
      </c>
      <c r="V1639" s="7" t="str">
        <f>IF(ISBLANK(patch[[#This Row],[project]]), "",SUM(patch[[#This Row],[BJ -1 num]:[SH -1 num]]))</f>
        <v/>
      </c>
      <c r="W1639" s="7" t="str">
        <f>IF(ISBLANK(patch[[#This Row],[project]]), "",COUNTIFS($A:$A,patch[[#This Row],[number]],$S:$S, "BJ And dev",$AC:$AC, "Review-1"))</f>
        <v/>
      </c>
      <c r="X1639" s="7" t="str">
        <f>IF(ISBLANK(patch[[#This Row],[project]]), "",COUNTIFS($A:$A,patch[[#This Row],[number]],$S:$S, "FL And dev",$AC:$AC, "Review-1"))</f>
        <v/>
      </c>
      <c r="Y1639" s="7" t="str">
        <f>IF(ISBLANK(patch[[#This Row],[project]]), "",COUNTIFS($A:$A,patch[[#This Row],[number]],$S:$S, "SH And dev",$AC:$AC, "Review-1"))</f>
        <v/>
      </c>
      <c r="Z1639" s="7" t="str">
        <f>IF(ISBLANK(patch[[#This Row],[project]]), "",COUNTIFS($A:$A,patch[[#This Row],[number]],$S:$S, "BJ And dev",$AD:$AD, "&lt;&gt;IntegratorValidationComment"))</f>
        <v/>
      </c>
      <c r="AA1639" s="7" t="str">
        <f>IF(ISBLANK(patch[[#This Row],[project]]), "",COUNTIFS($A:$A,patch[[#This Row],[number]],$S:$S, "FL And dev",$AD:$AD, "&lt;&gt;IntegratorValidationComment"))</f>
        <v/>
      </c>
      <c r="AB1639" s="7" t="str">
        <f>IF(ISBLANK(patch[[#This Row],[project]]), "",COUNTIFS($A:$A,patch[[#This Row],[number]],$S:$S, "SH And dev",$AD:$AD, "&lt;&gt;IntegratorValidationComment"))</f>
        <v/>
      </c>
      <c r="AC1639" s="7" t="str">
        <f>IF(OR(ISNUMBER(FIND("Review-1", patch[[#This Row],[comments]])), ISNUMBER(FIND("Approver-1", patch[[#This Row],[comments]]))), "Review-1", "")</f>
        <v/>
      </c>
      <c r="AD16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39" s="7">
        <f>IF(ISBLANK(patch[[#This Row],[number]]),AE1638,patch[[#This Row],[ifCommon]])</f>
        <v>0</v>
      </c>
    </row>
    <row r="1640" spans="1:31">
      <c r="A1640" s="151">
        <v>144831</v>
      </c>
      <c r="B1640" s="151"/>
      <c r="C1640" s="151"/>
      <c r="D1640" s="151"/>
      <c r="E1640" s="151"/>
      <c r="F1640" s="151"/>
      <c r="G1640" s="151"/>
      <c r="H1640" s="151"/>
      <c r="I1640" s="151"/>
      <c r="J1640" s="152">
        <v>42627.659826388888</v>
      </c>
      <c r="K1640" s="151"/>
      <c r="L1640" s="151" t="s">
        <v>59</v>
      </c>
      <c r="M1640" s="152">
        <v>42626.652754629627</v>
      </c>
      <c r="N1640" s="151" t="s">
        <v>40</v>
      </c>
      <c r="O1640" s="151"/>
      <c r="P1640" s="151"/>
      <c r="Q1640" s="7" t="str">
        <f>IF(ISBLANK(patch[[#This Row],[OwnerEmail]]),Q1639,patch[[#This Row],[OwnerEmail]])</f>
        <v>qingwu.zhang@intel.com</v>
      </c>
      <c r="R1640" s="7" t="str">
        <f>_xlfn.IFNA(VLOOKUP(patch[[#This Row],[tmp-owner.email]],OrgTree!$A:$K, 11, 0), "not ICG SWFW")</f>
        <v>BJ And dev</v>
      </c>
      <c r="S1640" s="7" t="str">
        <f>IF(patch[[#This Row],[reviewer]]=patch[[#This Row],[tmp-owner.email]], "author", _xlfn.IFNA(VLOOKUP(patch[[#This Row],[reviewer]],OrgTree!$A:$K, 11, 0), "not ICG SWFW"))</f>
        <v>BJ And dev</v>
      </c>
      <c r="T1640" s="7" t="str">
        <f>IF(ISBLANK(patch[[#This Row],[mergeDate]]), "", MID(YEAR(patch[[#This Row],[mergeDate]]), 3,2)&amp;"'ww"&amp;WEEKNUM(patch[[#This Row],[mergeDate]]))</f>
        <v>16'ww38</v>
      </c>
      <c r="U1640" s="7" t="str">
        <f>IF(ISBLANK(patch[[#This Row],[mergeDate]]), U1639, MID(YEAR(patch[[#This Row],[mergeDate]]), 3,2)&amp;"'m"&amp;MONTH(patch[[#This Row],[mergeDate]]))</f>
        <v>16'm9</v>
      </c>
      <c r="V1640" s="7" t="str">
        <f>IF(ISBLANK(patch[[#This Row],[project]]), "",SUM(patch[[#This Row],[BJ -1 num]:[SH -1 num]]))</f>
        <v/>
      </c>
      <c r="W1640" s="7" t="str">
        <f>IF(ISBLANK(patch[[#This Row],[project]]), "",COUNTIFS($A:$A,patch[[#This Row],[number]],$S:$S, "BJ And dev",$AC:$AC, "Review-1"))</f>
        <v/>
      </c>
      <c r="X1640" s="7" t="str">
        <f>IF(ISBLANK(patch[[#This Row],[project]]), "",COUNTIFS($A:$A,patch[[#This Row],[number]],$S:$S, "FL And dev",$AC:$AC, "Review-1"))</f>
        <v/>
      </c>
      <c r="Y1640" s="7" t="str">
        <f>IF(ISBLANK(patch[[#This Row],[project]]), "",COUNTIFS($A:$A,patch[[#This Row],[number]],$S:$S, "SH And dev",$AC:$AC, "Review-1"))</f>
        <v/>
      </c>
      <c r="Z1640" s="7" t="str">
        <f>IF(ISBLANK(patch[[#This Row],[project]]), "",COUNTIFS($A:$A,patch[[#This Row],[number]],$S:$S, "BJ And dev",$AD:$AD, "&lt;&gt;IntegratorValidationComment"))</f>
        <v/>
      </c>
      <c r="AA1640" s="7" t="str">
        <f>IF(ISBLANK(patch[[#This Row],[project]]), "",COUNTIFS($A:$A,patch[[#This Row],[number]],$S:$S, "FL And dev",$AD:$AD, "&lt;&gt;IntegratorValidationComment"))</f>
        <v/>
      </c>
      <c r="AB1640" s="7" t="str">
        <f>IF(ISBLANK(patch[[#This Row],[project]]), "",COUNTIFS($A:$A,patch[[#This Row],[number]],$S:$S, "SH And dev",$AD:$AD, "&lt;&gt;IntegratorValidationComment"))</f>
        <v/>
      </c>
      <c r="AC1640" s="7" t="str">
        <f>IF(OR(ISNUMBER(FIND("Review-1", patch[[#This Row],[comments]])), ISNUMBER(FIND("Approver-1", patch[[#This Row],[comments]]))), "Review-1", "")</f>
        <v/>
      </c>
      <c r="AD16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40" s="7">
        <f>IF(ISBLANK(patch[[#This Row],[number]]),AE1639,patch[[#This Row],[ifCommon]])</f>
        <v>0</v>
      </c>
    </row>
    <row r="1641" spans="1:31">
      <c r="A1641" s="151">
        <v>144831</v>
      </c>
      <c r="B1641" s="151"/>
      <c r="C1641" s="151"/>
      <c r="D1641" s="151"/>
      <c r="E1641" s="151"/>
      <c r="F1641" s="151"/>
      <c r="G1641" s="151"/>
      <c r="H1641" s="151"/>
      <c r="I1641" s="151"/>
      <c r="J1641" s="152">
        <v>42627.659826388888</v>
      </c>
      <c r="K1641" s="151"/>
      <c r="L1641" s="151" t="s">
        <v>59</v>
      </c>
      <c r="M1641" s="152">
        <v>42626.732314814813</v>
      </c>
      <c r="N1641" s="151" t="s">
        <v>58</v>
      </c>
      <c r="O1641" s="151"/>
      <c r="P1641" s="151"/>
      <c r="Q1641" s="7" t="str">
        <f>IF(ISBLANK(patch[[#This Row],[OwnerEmail]]),Q1640,patch[[#This Row],[OwnerEmail]])</f>
        <v>qingwu.zhang@intel.com</v>
      </c>
      <c r="R1641" s="7" t="str">
        <f>_xlfn.IFNA(VLOOKUP(patch[[#This Row],[tmp-owner.email]],OrgTree!$A:$K, 11, 0), "not ICG SWFW")</f>
        <v>BJ And dev</v>
      </c>
      <c r="S1641" s="7" t="str">
        <f>IF(patch[[#This Row],[reviewer]]=patch[[#This Row],[tmp-owner.email]], "author", _xlfn.IFNA(VLOOKUP(patch[[#This Row],[reviewer]],OrgTree!$A:$K, 11, 0), "not ICG SWFW"))</f>
        <v>BJ And dev</v>
      </c>
      <c r="T1641" s="7" t="str">
        <f>IF(ISBLANK(patch[[#This Row],[mergeDate]]), "", MID(YEAR(patch[[#This Row],[mergeDate]]), 3,2)&amp;"'ww"&amp;WEEKNUM(patch[[#This Row],[mergeDate]]))</f>
        <v>16'ww38</v>
      </c>
      <c r="U1641" s="7" t="str">
        <f>IF(ISBLANK(patch[[#This Row],[mergeDate]]), U1640, MID(YEAR(patch[[#This Row],[mergeDate]]), 3,2)&amp;"'m"&amp;MONTH(patch[[#This Row],[mergeDate]]))</f>
        <v>16'm9</v>
      </c>
      <c r="V1641" s="7" t="str">
        <f>IF(ISBLANK(patch[[#This Row],[project]]), "",SUM(patch[[#This Row],[BJ -1 num]:[SH -1 num]]))</f>
        <v/>
      </c>
      <c r="W1641" s="7" t="str">
        <f>IF(ISBLANK(patch[[#This Row],[project]]), "",COUNTIFS($A:$A,patch[[#This Row],[number]],$S:$S, "BJ And dev",$AC:$AC, "Review-1"))</f>
        <v/>
      </c>
      <c r="X1641" s="7" t="str">
        <f>IF(ISBLANK(patch[[#This Row],[project]]), "",COUNTIFS($A:$A,patch[[#This Row],[number]],$S:$S, "FL And dev",$AC:$AC, "Review-1"))</f>
        <v/>
      </c>
      <c r="Y1641" s="7" t="str">
        <f>IF(ISBLANK(patch[[#This Row],[project]]), "",COUNTIFS($A:$A,patch[[#This Row],[number]],$S:$S, "SH And dev",$AC:$AC, "Review-1"))</f>
        <v/>
      </c>
      <c r="Z1641" s="7" t="str">
        <f>IF(ISBLANK(patch[[#This Row],[project]]), "",COUNTIFS($A:$A,patch[[#This Row],[number]],$S:$S, "BJ And dev",$AD:$AD, "&lt;&gt;IntegratorValidationComment"))</f>
        <v/>
      </c>
      <c r="AA1641" s="7" t="str">
        <f>IF(ISBLANK(patch[[#This Row],[project]]), "",COUNTIFS($A:$A,patch[[#This Row],[number]],$S:$S, "FL And dev",$AD:$AD, "&lt;&gt;IntegratorValidationComment"))</f>
        <v/>
      </c>
      <c r="AB1641" s="7" t="str">
        <f>IF(ISBLANK(patch[[#This Row],[project]]), "",COUNTIFS($A:$A,patch[[#This Row],[number]],$S:$S, "SH And dev",$AD:$AD, "&lt;&gt;IntegratorValidationComment"))</f>
        <v/>
      </c>
      <c r="AC1641" s="7" t="str">
        <f>IF(OR(ISNUMBER(FIND("Review-1", patch[[#This Row],[comments]])), ISNUMBER(FIND("Approver-1", patch[[#This Row],[comments]]))), "Review-1", "")</f>
        <v/>
      </c>
      <c r="AD16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41" s="7">
        <f>IF(ISBLANK(patch[[#This Row],[number]]),AE1640,patch[[#This Row],[ifCommon]])</f>
        <v>0</v>
      </c>
    </row>
    <row r="1642" spans="1:31">
      <c r="A1642" s="151">
        <v>144831</v>
      </c>
      <c r="B1642" s="151"/>
      <c r="C1642" s="151"/>
      <c r="D1642" s="151"/>
      <c r="E1642" s="151"/>
      <c r="F1642" s="151"/>
      <c r="G1642" s="151"/>
      <c r="H1642" s="151"/>
      <c r="I1642" s="151"/>
      <c r="J1642" s="152">
        <v>42627.659826388888</v>
      </c>
      <c r="K1642" s="151"/>
      <c r="L1642" s="151" t="s">
        <v>115</v>
      </c>
      <c r="M1642" s="152">
        <v>42627.417685185188</v>
      </c>
      <c r="N1642" s="151" t="s">
        <v>2494</v>
      </c>
      <c r="O1642" s="151"/>
      <c r="P1642" s="151"/>
      <c r="Q1642" s="7" t="str">
        <f>IF(ISBLANK(patch[[#This Row],[OwnerEmail]]),Q1641,patch[[#This Row],[OwnerEmail]])</f>
        <v>qingwu.zhang@intel.com</v>
      </c>
      <c r="R1642" s="7" t="str">
        <f>_xlfn.IFNA(VLOOKUP(patch[[#This Row],[tmp-owner.email]],OrgTree!$A:$K, 11, 0), "not ICG SWFW")</f>
        <v>BJ And dev</v>
      </c>
      <c r="S1642" s="7" t="str">
        <f>IF(patch[[#This Row],[reviewer]]=patch[[#This Row],[tmp-owner.email]], "author", _xlfn.IFNA(VLOOKUP(patch[[#This Row],[reviewer]],OrgTree!$A:$K, 11, 0), "not ICG SWFW"))</f>
        <v>Val</v>
      </c>
      <c r="T1642" s="7" t="str">
        <f>IF(ISBLANK(patch[[#This Row],[mergeDate]]), "", MID(YEAR(patch[[#This Row],[mergeDate]]), 3,2)&amp;"'ww"&amp;WEEKNUM(patch[[#This Row],[mergeDate]]))</f>
        <v>16'ww38</v>
      </c>
      <c r="U1642" s="7" t="str">
        <f>IF(ISBLANK(patch[[#This Row],[mergeDate]]), U1641, MID(YEAR(patch[[#This Row],[mergeDate]]), 3,2)&amp;"'m"&amp;MONTH(patch[[#This Row],[mergeDate]]))</f>
        <v>16'm9</v>
      </c>
      <c r="V1642" s="7" t="str">
        <f>IF(ISBLANK(patch[[#This Row],[project]]), "",SUM(patch[[#This Row],[BJ -1 num]:[SH -1 num]]))</f>
        <v/>
      </c>
      <c r="W1642" s="7" t="str">
        <f>IF(ISBLANK(patch[[#This Row],[project]]), "",COUNTIFS($A:$A,patch[[#This Row],[number]],$S:$S, "BJ And dev",$AC:$AC, "Review-1"))</f>
        <v/>
      </c>
      <c r="X1642" s="7" t="str">
        <f>IF(ISBLANK(patch[[#This Row],[project]]), "",COUNTIFS($A:$A,patch[[#This Row],[number]],$S:$S, "FL And dev",$AC:$AC, "Review-1"))</f>
        <v/>
      </c>
      <c r="Y1642" s="7" t="str">
        <f>IF(ISBLANK(patch[[#This Row],[project]]), "",COUNTIFS($A:$A,patch[[#This Row],[number]],$S:$S, "SH And dev",$AC:$AC, "Review-1"))</f>
        <v/>
      </c>
      <c r="Z1642" s="7" t="str">
        <f>IF(ISBLANK(patch[[#This Row],[project]]), "",COUNTIFS($A:$A,patch[[#This Row],[number]],$S:$S, "BJ And dev",$AD:$AD, "&lt;&gt;IntegratorValidationComment"))</f>
        <v/>
      </c>
      <c r="AA1642" s="7" t="str">
        <f>IF(ISBLANK(patch[[#This Row],[project]]), "",COUNTIFS($A:$A,patch[[#This Row],[number]],$S:$S, "FL And dev",$AD:$AD, "&lt;&gt;IntegratorValidationComment"))</f>
        <v/>
      </c>
      <c r="AB1642" s="7" t="str">
        <f>IF(ISBLANK(patch[[#This Row],[project]]), "",COUNTIFS($A:$A,patch[[#This Row],[number]],$S:$S, "SH And dev",$AD:$AD, "&lt;&gt;IntegratorValidationComment"))</f>
        <v/>
      </c>
      <c r="AC1642" s="7" t="str">
        <f>IF(OR(ISNUMBER(FIND("Review-1", patch[[#This Row],[comments]])), ISNUMBER(FIND("Approver-1", patch[[#This Row],[comments]]))), "Review-1", "")</f>
        <v/>
      </c>
      <c r="AD16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642" s="7">
        <f>IF(ISBLANK(patch[[#This Row],[number]]),AE1641,patch[[#This Row],[ifCommon]])</f>
        <v>0</v>
      </c>
    </row>
    <row r="1643" spans="1:31">
      <c r="A1643" s="151">
        <v>144766</v>
      </c>
      <c r="B1643" s="151" t="s">
        <v>2490</v>
      </c>
      <c r="C1643" s="151" t="s">
        <v>2491</v>
      </c>
      <c r="D1643" s="151" t="s">
        <v>3320</v>
      </c>
      <c r="E1643" s="151" t="s">
        <v>55</v>
      </c>
      <c r="F1643" s="151" t="s">
        <v>23</v>
      </c>
      <c r="G1643" s="151" t="s">
        <v>3321</v>
      </c>
      <c r="H1643" s="151" t="s">
        <v>3322</v>
      </c>
      <c r="I1643" s="152">
        <v>42626.413541666669</v>
      </c>
      <c r="J1643" s="152">
        <v>42627.659791666672</v>
      </c>
      <c r="K1643" s="151" t="s">
        <v>2445</v>
      </c>
      <c r="L1643" s="151" t="s">
        <v>55</v>
      </c>
      <c r="M1643" s="152">
        <v>42626.413541666669</v>
      </c>
      <c r="N1643" s="151" t="s">
        <v>25</v>
      </c>
      <c r="O1643" s="151"/>
      <c r="P1643" s="151" t="s">
        <v>2554</v>
      </c>
      <c r="Q1643" s="7" t="str">
        <f>IF(ISBLANK(patch[[#This Row],[OwnerEmail]]),Q1642,patch[[#This Row],[OwnerEmail]])</f>
        <v>liang.l.yang@intel.com</v>
      </c>
      <c r="R1643" s="7" t="str">
        <f>_xlfn.IFNA(VLOOKUP(patch[[#This Row],[tmp-owner.email]],OrgTree!$A:$K, 11, 0), "not ICG SWFW")</f>
        <v>BJ And dev</v>
      </c>
      <c r="S1643" s="7" t="str">
        <f>IF(patch[[#This Row],[reviewer]]=patch[[#This Row],[tmp-owner.email]], "author", _xlfn.IFNA(VLOOKUP(patch[[#This Row],[reviewer]],OrgTree!$A:$K, 11, 0), "not ICG SWFW"))</f>
        <v>author</v>
      </c>
      <c r="T1643" s="7" t="str">
        <f>IF(ISBLANK(patch[[#This Row],[mergeDate]]), "", MID(YEAR(patch[[#This Row],[mergeDate]]), 3,2)&amp;"'ww"&amp;WEEKNUM(patch[[#This Row],[mergeDate]]))</f>
        <v>16'ww38</v>
      </c>
      <c r="U1643" s="7" t="str">
        <f>IF(ISBLANK(patch[[#This Row],[mergeDate]]), U1642, MID(YEAR(patch[[#This Row],[mergeDate]]), 3,2)&amp;"'m"&amp;MONTH(patch[[#This Row],[mergeDate]]))</f>
        <v>16'm9</v>
      </c>
      <c r="V1643" s="7">
        <f>IF(ISBLANK(patch[[#This Row],[project]]), "",SUM(patch[[#This Row],[BJ -1 num]:[SH -1 num]]))</f>
        <v>0</v>
      </c>
      <c r="W1643" s="7">
        <f>IF(ISBLANK(patch[[#This Row],[project]]), "",COUNTIFS($A:$A,patch[[#This Row],[number]],$S:$S, "BJ And dev",$AC:$AC, "Review-1"))</f>
        <v>0</v>
      </c>
      <c r="X1643" s="7">
        <f>IF(ISBLANK(patch[[#This Row],[project]]), "",COUNTIFS($A:$A,patch[[#This Row],[number]],$S:$S, "FL And dev",$AC:$AC, "Review-1"))</f>
        <v>0</v>
      </c>
      <c r="Y1643" s="7">
        <f>IF(ISBLANK(patch[[#This Row],[project]]), "",COUNTIFS($A:$A,patch[[#This Row],[number]],$S:$S, "SH And dev",$AC:$AC, "Review-1"))</f>
        <v>0</v>
      </c>
      <c r="Z1643" s="7">
        <f>IF(ISBLANK(patch[[#This Row],[project]]), "",COUNTIFS($A:$A,patch[[#This Row],[number]],$S:$S, "BJ And dev",$AD:$AD, "&lt;&gt;IntegratorValidationComment"))</f>
        <v>13</v>
      </c>
      <c r="AA1643" s="7">
        <f>IF(ISBLANK(patch[[#This Row],[project]]), "",COUNTIFS($A:$A,patch[[#This Row],[number]],$S:$S, "FL And dev",$AD:$AD, "&lt;&gt;IntegratorValidationComment"))</f>
        <v>0</v>
      </c>
      <c r="AB1643" s="7">
        <f>IF(ISBLANK(patch[[#This Row],[project]]), "",COUNTIFS($A:$A,patch[[#This Row],[number]],$S:$S, "SH And dev",$AD:$AD, "&lt;&gt;IntegratorValidationComment"))</f>
        <v>0</v>
      </c>
      <c r="AC1643" s="7" t="str">
        <f>IF(OR(ISNUMBER(FIND("Review-1", patch[[#This Row],[comments]])), ISNUMBER(FIND("Approver-1", patch[[#This Row],[comments]]))), "Review-1", "")</f>
        <v/>
      </c>
      <c r="AD16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43" s="7" t="str">
        <f>IF(ISBLANK(patch[[#This Row],[number]]),AE1642,patch[[#This Row],[ifCommon]])</f>
        <v>not AndrHAL</v>
      </c>
    </row>
    <row r="1644" spans="1:31">
      <c r="A1644" s="151">
        <v>144766</v>
      </c>
      <c r="B1644" s="151"/>
      <c r="C1644" s="151"/>
      <c r="D1644" s="151"/>
      <c r="E1644" s="151"/>
      <c r="F1644" s="151"/>
      <c r="G1644" s="151"/>
      <c r="H1644" s="151"/>
      <c r="I1644" s="151"/>
      <c r="J1644" s="152">
        <v>42627.659791666672</v>
      </c>
      <c r="K1644" s="151"/>
      <c r="L1644" s="151" t="s">
        <v>55</v>
      </c>
      <c r="M1644" s="152">
        <v>42626.413553240738</v>
      </c>
      <c r="N1644" s="151" t="s">
        <v>2458</v>
      </c>
      <c r="O1644" s="151"/>
      <c r="P1644" s="151"/>
      <c r="Q1644" s="7" t="str">
        <f>IF(ISBLANK(patch[[#This Row],[OwnerEmail]]),Q1643,patch[[#This Row],[OwnerEmail]])</f>
        <v>liang.l.yang@intel.com</v>
      </c>
      <c r="R1644" s="7" t="str">
        <f>_xlfn.IFNA(VLOOKUP(patch[[#This Row],[tmp-owner.email]],OrgTree!$A:$K, 11, 0), "not ICG SWFW")</f>
        <v>BJ And dev</v>
      </c>
      <c r="S1644" s="7" t="str">
        <f>IF(patch[[#This Row],[reviewer]]=patch[[#This Row],[tmp-owner.email]], "author", _xlfn.IFNA(VLOOKUP(patch[[#This Row],[reviewer]],OrgTree!$A:$K, 11, 0), "not ICG SWFW"))</f>
        <v>author</v>
      </c>
      <c r="T1644" s="7" t="str">
        <f>IF(ISBLANK(patch[[#This Row],[mergeDate]]), "", MID(YEAR(patch[[#This Row],[mergeDate]]), 3,2)&amp;"'ww"&amp;WEEKNUM(patch[[#This Row],[mergeDate]]))</f>
        <v>16'ww38</v>
      </c>
      <c r="U1644" s="7" t="str">
        <f>IF(ISBLANK(patch[[#This Row],[mergeDate]]), U1643, MID(YEAR(patch[[#This Row],[mergeDate]]), 3,2)&amp;"'m"&amp;MONTH(patch[[#This Row],[mergeDate]]))</f>
        <v>16'm9</v>
      </c>
      <c r="V1644" s="7" t="str">
        <f>IF(ISBLANK(patch[[#This Row],[project]]), "",SUM(patch[[#This Row],[BJ -1 num]:[SH -1 num]]))</f>
        <v/>
      </c>
      <c r="W1644" s="7" t="str">
        <f>IF(ISBLANK(patch[[#This Row],[project]]), "",COUNTIFS($A:$A,patch[[#This Row],[number]],$S:$S, "BJ And dev",$AC:$AC, "Review-1"))</f>
        <v/>
      </c>
      <c r="X1644" s="7" t="str">
        <f>IF(ISBLANK(patch[[#This Row],[project]]), "",COUNTIFS($A:$A,patch[[#This Row],[number]],$S:$S, "FL And dev",$AC:$AC, "Review-1"))</f>
        <v/>
      </c>
      <c r="Y1644" s="7" t="str">
        <f>IF(ISBLANK(patch[[#This Row],[project]]), "",COUNTIFS($A:$A,patch[[#This Row],[number]],$S:$S, "SH And dev",$AC:$AC, "Review-1"))</f>
        <v/>
      </c>
      <c r="Z1644" s="7" t="str">
        <f>IF(ISBLANK(patch[[#This Row],[project]]), "",COUNTIFS($A:$A,patch[[#This Row],[number]],$S:$S, "BJ And dev",$AD:$AD, "&lt;&gt;IntegratorValidationComment"))</f>
        <v/>
      </c>
      <c r="AA1644" s="7" t="str">
        <f>IF(ISBLANK(patch[[#This Row],[project]]), "",COUNTIFS($A:$A,patch[[#This Row],[number]],$S:$S, "FL And dev",$AD:$AD, "&lt;&gt;IntegratorValidationComment"))</f>
        <v/>
      </c>
      <c r="AB1644" s="7" t="str">
        <f>IF(ISBLANK(patch[[#This Row],[project]]), "",COUNTIFS($A:$A,patch[[#This Row],[number]],$S:$S, "SH And dev",$AD:$AD, "&lt;&gt;IntegratorValidationComment"))</f>
        <v/>
      </c>
      <c r="AC1644" s="7" t="str">
        <f>IF(OR(ISNUMBER(FIND("Review-1", patch[[#This Row],[comments]])), ISNUMBER(FIND("Approver-1", patch[[#This Row],[comments]]))), "Review-1", "")</f>
        <v/>
      </c>
      <c r="AD16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44" s="7">
        <f>IF(ISBLANK(patch[[#This Row],[number]]),AE1643,patch[[#This Row],[ifCommon]])</f>
        <v>0</v>
      </c>
    </row>
    <row r="1645" spans="1:31">
      <c r="A1645" s="151">
        <v>144766</v>
      </c>
      <c r="B1645" s="151"/>
      <c r="C1645" s="151"/>
      <c r="D1645" s="151"/>
      <c r="E1645" s="151"/>
      <c r="F1645" s="151"/>
      <c r="G1645" s="151"/>
      <c r="H1645" s="151"/>
      <c r="I1645" s="151"/>
      <c r="J1645" s="152">
        <v>42627.659791666672</v>
      </c>
      <c r="K1645" s="151"/>
      <c r="L1645" s="151" t="s">
        <v>55</v>
      </c>
      <c r="M1645" s="152">
        <v>42626.717638888891</v>
      </c>
      <c r="N1645" s="151" t="s">
        <v>2459</v>
      </c>
      <c r="O1645" s="151"/>
      <c r="P1645" s="151"/>
      <c r="Q1645" s="7" t="str">
        <f>IF(ISBLANK(patch[[#This Row],[OwnerEmail]]),Q1644,patch[[#This Row],[OwnerEmail]])</f>
        <v>liang.l.yang@intel.com</v>
      </c>
      <c r="R1645" s="7" t="str">
        <f>_xlfn.IFNA(VLOOKUP(patch[[#This Row],[tmp-owner.email]],OrgTree!$A:$K, 11, 0), "not ICG SWFW")</f>
        <v>BJ And dev</v>
      </c>
      <c r="S1645" s="7" t="str">
        <f>IF(patch[[#This Row],[reviewer]]=patch[[#This Row],[tmp-owner.email]], "author", _xlfn.IFNA(VLOOKUP(patch[[#This Row],[reviewer]],OrgTree!$A:$K, 11, 0), "not ICG SWFW"))</f>
        <v>author</v>
      </c>
      <c r="T1645" s="7" t="str">
        <f>IF(ISBLANK(patch[[#This Row],[mergeDate]]), "", MID(YEAR(patch[[#This Row],[mergeDate]]), 3,2)&amp;"'ww"&amp;WEEKNUM(patch[[#This Row],[mergeDate]]))</f>
        <v>16'ww38</v>
      </c>
      <c r="U1645" s="7" t="str">
        <f>IF(ISBLANK(patch[[#This Row],[mergeDate]]), U1644, MID(YEAR(patch[[#This Row],[mergeDate]]), 3,2)&amp;"'m"&amp;MONTH(patch[[#This Row],[mergeDate]]))</f>
        <v>16'm9</v>
      </c>
      <c r="V1645" s="7" t="str">
        <f>IF(ISBLANK(patch[[#This Row],[project]]), "",SUM(patch[[#This Row],[BJ -1 num]:[SH -1 num]]))</f>
        <v/>
      </c>
      <c r="W1645" s="7" t="str">
        <f>IF(ISBLANK(patch[[#This Row],[project]]), "",COUNTIFS($A:$A,patch[[#This Row],[number]],$S:$S, "BJ And dev",$AC:$AC, "Review-1"))</f>
        <v/>
      </c>
      <c r="X1645" s="7" t="str">
        <f>IF(ISBLANK(patch[[#This Row],[project]]), "",COUNTIFS($A:$A,patch[[#This Row],[number]],$S:$S, "FL And dev",$AC:$AC, "Review-1"))</f>
        <v/>
      </c>
      <c r="Y1645" s="7" t="str">
        <f>IF(ISBLANK(patch[[#This Row],[project]]), "",COUNTIFS($A:$A,patch[[#This Row],[number]],$S:$S, "SH And dev",$AC:$AC, "Review-1"))</f>
        <v/>
      </c>
      <c r="Z1645" s="7" t="str">
        <f>IF(ISBLANK(patch[[#This Row],[project]]), "",COUNTIFS($A:$A,patch[[#This Row],[number]],$S:$S, "BJ And dev",$AD:$AD, "&lt;&gt;IntegratorValidationComment"))</f>
        <v/>
      </c>
      <c r="AA1645" s="7" t="str">
        <f>IF(ISBLANK(patch[[#This Row],[project]]), "",COUNTIFS($A:$A,patch[[#This Row],[number]],$S:$S, "FL And dev",$AD:$AD, "&lt;&gt;IntegratorValidationComment"))</f>
        <v/>
      </c>
      <c r="AB1645" s="7" t="str">
        <f>IF(ISBLANK(patch[[#This Row],[project]]), "",COUNTIFS($A:$A,patch[[#This Row],[number]],$S:$S, "SH And dev",$AD:$AD, "&lt;&gt;IntegratorValidationComment"))</f>
        <v/>
      </c>
      <c r="AC1645" s="7" t="str">
        <f>IF(OR(ISNUMBER(FIND("Review-1", patch[[#This Row],[comments]])), ISNUMBER(FIND("Approver-1", patch[[#This Row],[comments]]))), "Review-1", "")</f>
        <v/>
      </c>
      <c r="AD16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45" s="7">
        <f>IF(ISBLANK(patch[[#This Row],[number]]),AE1644,patch[[#This Row],[ifCommon]])</f>
        <v>0</v>
      </c>
    </row>
    <row r="1646" spans="1:31">
      <c r="A1646" s="151">
        <v>144766</v>
      </c>
      <c r="B1646" s="151"/>
      <c r="C1646" s="151"/>
      <c r="D1646" s="151"/>
      <c r="E1646" s="151"/>
      <c r="F1646" s="151"/>
      <c r="G1646" s="151"/>
      <c r="H1646" s="151"/>
      <c r="I1646" s="151"/>
      <c r="J1646" s="152">
        <v>42627.659791666672</v>
      </c>
      <c r="K1646" s="151"/>
      <c r="L1646" s="151" t="s">
        <v>55</v>
      </c>
      <c r="M1646" s="152">
        <v>42626.719965277778</v>
      </c>
      <c r="N1646" s="151" t="s">
        <v>40</v>
      </c>
      <c r="O1646" s="151"/>
      <c r="P1646" s="151"/>
      <c r="Q1646" s="7" t="str">
        <f>IF(ISBLANK(patch[[#This Row],[OwnerEmail]]),Q1645,patch[[#This Row],[OwnerEmail]])</f>
        <v>liang.l.yang@intel.com</v>
      </c>
      <c r="R1646" s="7" t="str">
        <f>_xlfn.IFNA(VLOOKUP(patch[[#This Row],[tmp-owner.email]],OrgTree!$A:$K, 11, 0), "not ICG SWFW")</f>
        <v>BJ And dev</v>
      </c>
      <c r="S1646" s="7" t="str">
        <f>IF(patch[[#This Row],[reviewer]]=patch[[#This Row],[tmp-owner.email]], "author", _xlfn.IFNA(VLOOKUP(patch[[#This Row],[reviewer]],OrgTree!$A:$K, 11, 0), "not ICG SWFW"))</f>
        <v>author</v>
      </c>
      <c r="T1646" s="7" t="str">
        <f>IF(ISBLANK(patch[[#This Row],[mergeDate]]), "", MID(YEAR(patch[[#This Row],[mergeDate]]), 3,2)&amp;"'ww"&amp;WEEKNUM(patch[[#This Row],[mergeDate]]))</f>
        <v>16'ww38</v>
      </c>
      <c r="U1646" s="7" t="str">
        <f>IF(ISBLANK(patch[[#This Row],[mergeDate]]), U1645, MID(YEAR(patch[[#This Row],[mergeDate]]), 3,2)&amp;"'m"&amp;MONTH(patch[[#This Row],[mergeDate]]))</f>
        <v>16'm9</v>
      </c>
      <c r="V1646" s="7" t="str">
        <f>IF(ISBLANK(patch[[#This Row],[project]]), "",SUM(patch[[#This Row],[BJ -1 num]:[SH -1 num]]))</f>
        <v/>
      </c>
      <c r="W1646" s="7" t="str">
        <f>IF(ISBLANK(patch[[#This Row],[project]]), "",COUNTIFS($A:$A,patch[[#This Row],[number]],$S:$S, "BJ And dev",$AC:$AC, "Review-1"))</f>
        <v/>
      </c>
      <c r="X1646" s="7" t="str">
        <f>IF(ISBLANK(patch[[#This Row],[project]]), "",COUNTIFS($A:$A,patch[[#This Row],[number]],$S:$S, "FL And dev",$AC:$AC, "Review-1"))</f>
        <v/>
      </c>
      <c r="Y1646" s="7" t="str">
        <f>IF(ISBLANK(patch[[#This Row],[project]]), "",COUNTIFS($A:$A,patch[[#This Row],[number]],$S:$S, "SH And dev",$AC:$AC, "Review-1"))</f>
        <v/>
      </c>
      <c r="Z1646" s="7" t="str">
        <f>IF(ISBLANK(patch[[#This Row],[project]]), "",COUNTIFS($A:$A,patch[[#This Row],[number]],$S:$S, "BJ And dev",$AD:$AD, "&lt;&gt;IntegratorValidationComment"))</f>
        <v/>
      </c>
      <c r="AA1646" s="7" t="str">
        <f>IF(ISBLANK(patch[[#This Row],[project]]), "",COUNTIFS($A:$A,patch[[#This Row],[number]],$S:$S, "FL And dev",$AD:$AD, "&lt;&gt;IntegratorValidationComment"))</f>
        <v/>
      </c>
      <c r="AB1646" s="7" t="str">
        <f>IF(ISBLANK(patch[[#This Row],[project]]), "",COUNTIFS($A:$A,patch[[#This Row],[number]],$S:$S, "SH And dev",$AD:$AD, "&lt;&gt;IntegratorValidationComment"))</f>
        <v/>
      </c>
      <c r="AC1646" s="7" t="str">
        <f>IF(OR(ISNUMBER(FIND("Review-1", patch[[#This Row],[comments]])), ISNUMBER(FIND("Approver-1", patch[[#This Row],[comments]]))), "Review-1", "")</f>
        <v/>
      </c>
      <c r="AD16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46" s="7">
        <f>IF(ISBLANK(patch[[#This Row],[number]]),AE1645,patch[[#This Row],[ifCommon]])</f>
        <v>0</v>
      </c>
    </row>
    <row r="1647" spans="1:31">
      <c r="A1647" s="151">
        <v>144766</v>
      </c>
      <c r="B1647" s="151"/>
      <c r="C1647" s="151"/>
      <c r="D1647" s="151"/>
      <c r="E1647" s="151"/>
      <c r="F1647" s="151"/>
      <c r="G1647" s="151"/>
      <c r="H1647" s="151"/>
      <c r="I1647" s="151"/>
      <c r="J1647" s="152">
        <v>42627.659791666672</v>
      </c>
      <c r="K1647" s="151"/>
      <c r="L1647" s="151" t="s">
        <v>55</v>
      </c>
      <c r="M1647" s="152">
        <v>42626.722905092603</v>
      </c>
      <c r="N1647" s="151" t="s">
        <v>2461</v>
      </c>
      <c r="O1647" s="151"/>
      <c r="P1647" s="151"/>
      <c r="Q1647" s="7" t="str">
        <f>IF(ISBLANK(patch[[#This Row],[OwnerEmail]]),Q1646,patch[[#This Row],[OwnerEmail]])</f>
        <v>liang.l.yang@intel.com</v>
      </c>
      <c r="R1647" s="7" t="str">
        <f>_xlfn.IFNA(VLOOKUP(patch[[#This Row],[tmp-owner.email]],OrgTree!$A:$K, 11, 0), "not ICG SWFW")</f>
        <v>BJ And dev</v>
      </c>
      <c r="S1647" s="7" t="str">
        <f>IF(patch[[#This Row],[reviewer]]=patch[[#This Row],[tmp-owner.email]], "author", _xlfn.IFNA(VLOOKUP(patch[[#This Row],[reviewer]],OrgTree!$A:$K, 11, 0), "not ICG SWFW"))</f>
        <v>author</v>
      </c>
      <c r="T1647" s="7" t="str">
        <f>IF(ISBLANK(patch[[#This Row],[mergeDate]]), "", MID(YEAR(patch[[#This Row],[mergeDate]]), 3,2)&amp;"'ww"&amp;WEEKNUM(patch[[#This Row],[mergeDate]]))</f>
        <v>16'ww38</v>
      </c>
      <c r="U1647" s="7" t="str">
        <f>IF(ISBLANK(patch[[#This Row],[mergeDate]]), U1646, MID(YEAR(patch[[#This Row],[mergeDate]]), 3,2)&amp;"'m"&amp;MONTH(patch[[#This Row],[mergeDate]]))</f>
        <v>16'm9</v>
      </c>
      <c r="V1647" s="7" t="str">
        <f>IF(ISBLANK(patch[[#This Row],[project]]), "",SUM(patch[[#This Row],[BJ -1 num]:[SH -1 num]]))</f>
        <v/>
      </c>
      <c r="W1647" s="7" t="str">
        <f>IF(ISBLANK(patch[[#This Row],[project]]), "",COUNTIFS($A:$A,patch[[#This Row],[number]],$S:$S, "BJ And dev",$AC:$AC, "Review-1"))</f>
        <v/>
      </c>
      <c r="X1647" s="7" t="str">
        <f>IF(ISBLANK(patch[[#This Row],[project]]), "",COUNTIFS($A:$A,patch[[#This Row],[number]],$S:$S, "FL And dev",$AC:$AC, "Review-1"))</f>
        <v/>
      </c>
      <c r="Y1647" s="7" t="str">
        <f>IF(ISBLANK(patch[[#This Row],[project]]), "",COUNTIFS($A:$A,patch[[#This Row],[number]],$S:$S, "SH And dev",$AC:$AC, "Review-1"))</f>
        <v/>
      </c>
      <c r="Z1647" s="7" t="str">
        <f>IF(ISBLANK(patch[[#This Row],[project]]), "",COUNTIFS($A:$A,patch[[#This Row],[number]],$S:$S, "BJ And dev",$AD:$AD, "&lt;&gt;IntegratorValidationComment"))</f>
        <v/>
      </c>
      <c r="AA1647" s="7" t="str">
        <f>IF(ISBLANK(patch[[#This Row],[project]]), "",COUNTIFS($A:$A,patch[[#This Row],[number]],$S:$S, "FL And dev",$AD:$AD, "&lt;&gt;IntegratorValidationComment"))</f>
        <v/>
      </c>
      <c r="AB1647" s="7" t="str">
        <f>IF(ISBLANK(patch[[#This Row],[project]]), "",COUNTIFS($A:$A,patch[[#This Row],[number]],$S:$S, "SH And dev",$AD:$AD, "&lt;&gt;IntegratorValidationComment"))</f>
        <v/>
      </c>
      <c r="AC1647" s="7" t="str">
        <f>IF(OR(ISNUMBER(FIND("Review-1", patch[[#This Row],[comments]])), ISNUMBER(FIND("Approver-1", patch[[#This Row],[comments]]))), "Review-1", "")</f>
        <v/>
      </c>
      <c r="AD16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47" s="7">
        <f>IF(ISBLANK(patch[[#This Row],[number]]),AE1646,patch[[#This Row],[ifCommon]])</f>
        <v>0</v>
      </c>
    </row>
    <row r="1648" spans="1:31">
      <c r="A1648" s="151">
        <v>144766</v>
      </c>
      <c r="B1648" s="151"/>
      <c r="C1648" s="151"/>
      <c r="D1648" s="151"/>
      <c r="E1648" s="151"/>
      <c r="F1648" s="151"/>
      <c r="G1648" s="151"/>
      <c r="H1648" s="151"/>
      <c r="I1648" s="151"/>
      <c r="J1648" s="152">
        <v>42627.659791666672</v>
      </c>
      <c r="K1648" s="151"/>
      <c r="L1648" s="151" t="s">
        <v>55</v>
      </c>
      <c r="M1648" s="152">
        <v>42626.722905092603</v>
      </c>
      <c r="N1648" s="151" t="s">
        <v>29</v>
      </c>
      <c r="O1648" s="151"/>
      <c r="P1648" s="151"/>
      <c r="Q1648" s="7" t="str">
        <f>IF(ISBLANK(patch[[#This Row],[OwnerEmail]]),Q1647,patch[[#This Row],[OwnerEmail]])</f>
        <v>liang.l.yang@intel.com</v>
      </c>
      <c r="R1648" s="7" t="str">
        <f>_xlfn.IFNA(VLOOKUP(patch[[#This Row],[tmp-owner.email]],OrgTree!$A:$K, 11, 0), "not ICG SWFW")</f>
        <v>BJ And dev</v>
      </c>
      <c r="S1648" s="7" t="str">
        <f>IF(patch[[#This Row],[reviewer]]=patch[[#This Row],[tmp-owner.email]], "author", _xlfn.IFNA(VLOOKUP(patch[[#This Row],[reviewer]],OrgTree!$A:$K, 11, 0), "not ICG SWFW"))</f>
        <v>author</v>
      </c>
      <c r="T1648" s="7" t="str">
        <f>IF(ISBLANK(patch[[#This Row],[mergeDate]]), "", MID(YEAR(patch[[#This Row],[mergeDate]]), 3,2)&amp;"'ww"&amp;WEEKNUM(patch[[#This Row],[mergeDate]]))</f>
        <v>16'ww38</v>
      </c>
      <c r="U1648" s="7" t="str">
        <f>IF(ISBLANK(patch[[#This Row],[mergeDate]]), U1647, MID(YEAR(patch[[#This Row],[mergeDate]]), 3,2)&amp;"'m"&amp;MONTH(patch[[#This Row],[mergeDate]]))</f>
        <v>16'm9</v>
      </c>
      <c r="V1648" s="7" t="str">
        <f>IF(ISBLANK(patch[[#This Row],[project]]), "",SUM(patch[[#This Row],[BJ -1 num]:[SH -1 num]]))</f>
        <v/>
      </c>
      <c r="W1648" s="7" t="str">
        <f>IF(ISBLANK(patch[[#This Row],[project]]), "",COUNTIFS($A:$A,patch[[#This Row],[number]],$S:$S, "BJ And dev",$AC:$AC, "Review-1"))</f>
        <v/>
      </c>
      <c r="X1648" s="7" t="str">
        <f>IF(ISBLANK(patch[[#This Row],[project]]), "",COUNTIFS($A:$A,patch[[#This Row],[number]],$S:$S, "FL And dev",$AC:$AC, "Review-1"))</f>
        <v/>
      </c>
      <c r="Y1648" s="7" t="str">
        <f>IF(ISBLANK(patch[[#This Row],[project]]), "",COUNTIFS($A:$A,patch[[#This Row],[number]],$S:$S, "SH And dev",$AC:$AC, "Review-1"))</f>
        <v/>
      </c>
      <c r="Z1648" s="7" t="str">
        <f>IF(ISBLANK(patch[[#This Row],[project]]), "",COUNTIFS($A:$A,patch[[#This Row],[number]],$S:$S, "BJ And dev",$AD:$AD, "&lt;&gt;IntegratorValidationComment"))</f>
        <v/>
      </c>
      <c r="AA1648" s="7" t="str">
        <f>IF(ISBLANK(patch[[#This Row],[project]]), "",COUNTIFS($A:$A,patch[[#This Row],[number]],$S:$S, "FL And dev",$AD:$AD, "&lt;&gt;IntegratorValidationComment"))</f>
        <v/>
      </c>
      <c r="AB1648" s="7" t="str">
        <f>IF(ISBLANK(patch[[#This Row],[project]]), "",COUNTIFS($A:$A,patch[[#This Row],[number]],$S:$S, "SH And dev",$AD:$AD, "&lt;&gt;IntegratorValidationComment"))</f>
        <v/>
      </c>
      <c r="AC1648" s="7" t="str">
        <f>IF(OR(ISNUMBER(FIND("Review-1", patch[[#This Row],[comments]])), ISNUMBER(FIND("Approver-1", patch[[#This Row],[comments]]))), "Review-1", "")</f>
        <v/>
      </c>
      <c r="AD16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48" s="7">
        <f>IF(ISBLANK(patch[[#This Row],[number]]),AE1647,patch[[#This Row],[ifCommon]])</f>
        <v>0</v>
      </c>
    </row>
    <row r="1649" spans="1:31">
      <c r="A1649" s="151">
        <v>144766</v>
      </c>
      <c r="B1649" s="151"/>
      <c r="C1649" s="151"/>
      <c r="D1649" s="151"/>
      <c r="E1649" s="151"/>
      <c r="F1649" s="151"/>
      <c r="G1649" s="151"/>
      <c r="H1649" s="151"/>
      <c r="I1649" s="151"/>
      <c r="J1649" s="152">
        <v>42627.659791666672</v>
      </c>
      <c r="K1649" s="151"/>
      <c r="L1649" s="151" t="s">
        <v>55</v>
      </c>
      <c r="M1649" s="152">
        <v>42626.72315972222</v>
      </c>
      <c r="N1649" s="151" t="s">
        <v>2462</v>
      </c>
      <c r="O1649" s="151"/>
      <c r="P1649" s="151"/>
      <c r="Q1649" s="7" t="str">
        <f>IF(ISBLANK(patch[[#This Row],[OwnerEmail]]),Q1648,patch[[#This Row],[OwnerEmail]])</f>
        <v>liang.l.yang@intel.com</v>
      </c>
      <c r="R1649" s="7" t="str">
        <f>_xlfn.IFNA(VLOOKUP(patch[[#This Row],[tmp-owner.email]],OrgTree!$A:$K, 11, 0), "not ICG SWFW")</f>
        <v>BJ And dev</v>
      </c>
      <c r="S1649" s="7" t="str">
        <f>IF(patch[[#This Row],[reviewer]]=patch[[#This Row],[tmp-owner.email]], "author", _xlfn.IFNA(VLOOKUP(patch[[#This Row],[reviewer]],OrgTree!$A:$K, 11, 0), "not ICG SWFW"))</f>
        <v>author</v>
      </c>
      <c r="T1649" s="7" t="str">
        <f>IF(ISBLANK(patch[[#This Row],[mergeDate]]), "", MID(YEAR(patch[[#This Row],[mergeDate]]), 3,2)&amp;"'ww"&amp;WEEKNUM(patch[[#This Row],[mergeDate]]))</f>
        <v>16'ww38</v>
      </c>
      <c r="U1649" s="7" t="str">
        <f>IF(ISBLANK(patch[[#This Row],[mergeDate]]), U1648, MID(YEAR(patch[[#This Row],[mergeDate]]), 3,2)&amp;"'m"&amp;MONTH(patch[[#This Row],[mergeDate]]))</f>
        <v>16'm9</v>
      </c>
      <c r="V1649" s="7" t="str">
        <f>IF(ISBLANK(patch[[#This Row],[project]]), "",SUM(patch[[#This Row],[BJ -1 num]:[SH -1 num]]))</f>
        <v/>
      </c>
      <c r="W1649" s="7" t="str">
        <f>IF(ISBLANK(patch[[#This Row],[project]]), "",COUNTIFS($A:$A,patch[[#This Row],[number]],$S:$S, "BJ And dev",$AC:$AC, "Review-1"))</f>
        <v/>
      </c>
      <c r="X1649" s="7" t="str">
        <f>IF(ISBLANK(patch[[#This Row],[project]]), "",COUNTIFS($A:$A,patch[[#This Row],[number]],$S:$S, "FL And dev",$AC:$AC, "Review-1"))</f>
        <v/>
      </c>
      <c r="Y1649" s="7" t="str">
        <f>IF(ISBLANK(patch[[#This Row],[project]]), "",COUNTIFS($A:$A,patch[[#This Row],[number]],$S:$S, "SH And dev",$AC:$AC, "Review-1"))</f>
        <v/>
      </c>
      <c r="Z1649" s="7" t="str">
        <f>IF(ISBLANK(patch[[#This Row],[project]]), "",COUNTIFS($A:$A,patch[[#This Row],[number]],$S:$S, "BJ And dev",$AD:$AD, "&lt;&gt;IntegratorValidationComment"))</f>
        <v/>
      </c>
      <c r="AA1649" s="7" t="str">
        <f>IF(ISBLANK(patch[[#This Row],[project]]), "",COUNTIFS($A:$A,patch[[#This Row],[number]],$S:$S, "FL And dev",$AD:$AD, "&lt;&gt;IntegratorValidationComment"))</f>
        <v/>
      </c>
      <c r="AB1649" s="7" t="str">
        <f>IF(ISBLANK(patch[[#This Row],[project]]), "",COUNTIFS($A:$A,patch[[#This Row],[number]],$S:$S, "SH And dev",$AD:$AD, "&lt;&gt;IntegratorValidationComment"))</f>
        <v/>
      </c>
      <c r="AC1649" s="7" t="str">
        <f>IF(OR(ISNUMBER(FIND("Review-1", patch[[#This Row],[comments]])), ISNUMBER(FIND("Approver-1", patch[[#This Row],[comments]]))), "Review-1", "")</f>
        <v/>
      </c>
      <c r="AD16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49" s="7">
        <f>IF(ISBLANK(patch[[#This Row],[number]]),AE1648,patch[[#This Row],[ifCommon]])</f>
        <v>0</v>
      </c>
    </row>
    <row r="1650" spans="1:31">
      <c r="A1650" s="151">
        <v>144766</v>
      </c>
      <c r="B1650" s="151"/>
      <c r="C1650" s="151"/>
      <c r="D1650" s="151"/>
      <c r="E1650" s="151"/>
      <c r="F1650" s="151"/>
      <c r="G1650" s="151"/>
      <c r="H1650" s="151"/>
      <c r="I1650" s="151"/>
      <c r="J1650" s="152">
        <v>42627.659791666672</v>
      </c>
      <c r="K1650" s="151"/>
      <c r="L1650" s="151" t="s">
        <v>55</v>
      </c>
      <c r="M1650" s="152">
        <v>42626.723217592589</v>
      </c>
      <c r="N1650" s="151" t="s">
        <v>27</v>
      </c>
      <c r="O1650" s="151"/>
      <c r="P1650" s="151"/>
      <c r="Q1650" s="7" t="str">
        <f>IF(ISBLANK(patch[[#This Row],[OwnerEmail]]),Q1649,patch[[#This Row],[OwnerEmail]])</f>
        <v>liang.l.yang@intel.com</v>
      </c>
      <c r="R1650" s="7" t="str">
        <f>_xlfn.IFNA(VLOOKUP(patch[[#This Row],[tmp-owner.email]],OrgTree!$A:$K, 11, 0), "not ICG SWFW")</f>
        <v>BJ And dev</v>
      </c>
      <c r="S1650" s="7" t="str">
        <f>IF(patch[[#This Row],[reviewer]]=patch[[#This Row],[tmp-owner.email]], "author", _xlfn.IFNA(VLOOKUP(patch[[#This Row],[reviewer]],OrgTree!$A:$K, 11, 0), "not ICG SWFW"))</f>
        <v>author</v>
      </c>
      <c r="T1650" s="7" t="str">
        <f>IF(ISBLANK(patch[[#This Row],[mergeDate]]), "", MID(YEAR(patch[[#This Row],[mergeDate]]), 3,2)&amp;"'ww"&amp;WEEKNUM(patch[[#This Row],[mergeDate]]))</f>
        <v>16'ww38</v>
      </c>
      <c r="U1650" s="7" t="str">
        <f>IF(ISBLANK(patch[[#This Row],[mergeDate]]), U1649, MID(YEAR(patch[[#This Row],[mergeDate]]), 3,2)&amp;"'m"&amp;MONTH(patch[[#This Row],[mergeDate]]))</f>
        <v>16'm9</v>
      </c>
      <c r="V1650" s="7" t="str">
        <f>IF(ISBLANK(patch[[#This Row],[project]]), "",SUM(patch[[#This Row],[BJ -1 num]:[SH -1 num]]))</f>
        <v/>
      </c>
      <c r="W1650" s="7" t="str">
        <f>IF(ISBLANK(patch[[#This Row],[project]]), "",COUNTIFS($A:$A,patch[[#This Row],[number]],$S:$S, "BJ And dev",$AC:$AC, "Review-1"))</f>
        <v/>
      </c>
      <c r="X1650" s="7" t="str">
        <f>IF(ISBLANK(patch[[#This Row],[project]]), "",COUNTIFS($A:$A,patch[[#This Row],[number]],$S:$S, "FL And dev",$AC:$AC, "Review-1"))</f>
        <v/>
      </c>
      <c r="Y1650" s="7" t="str">
        <f>IF(ISBLANK(patch[[#This Row],[project]]), "",COUNTIFS($A:$A,patch[[#This Row],[number]],$S:$S, "SH And dev",$AC:$AC, "Review-1"))</f>
        <v/>
      </c>
      <c r="Z1650" s="7" t="str">
        <f>IF(ISBLANK(patch[[#This Row],[project]]), "",COUNTIFS($A:$A,patch[[#This Row],[number]],$S:$S, "BJ And dev",$AD:$AD, "&lt;&gt;IntegratorValidationComment"))</f>
        <v/>
      </c>
      <c r="AA1650" s="7" t="str">
        <f>IF(ISBLANK(patch[[#This Row],[project]]), "",COUNTIFS($A:$A,patch[[#This Row],[number]],$S:$S, "FL And dev",$AD:$AD, "&lt;&gt;IntegratorValidationComment"))</f>
        <v/>
      </c>
      <c r="AB1650" s="7" t="str">
        <f>IF(ISBLANK(patch[[#This Row],[project]]), "",COUNTIFS($A:$A,patch[[#This Row],[number]],$S:$S, "SH And dev",$AD:$AD, "&lt;&gt;IntegratorValidationComment"))</f>
        <v/>
      </c>
      <c r="AC1650" s="7" t="str">
        <f>IF(OR(ISNUMBER(FIND("Review-1", patch[[#This Row],[comments]])), ISNUMBER(FIND("Approver-1", patch[[#This Row],[comments]]))), "Review-1", "")</f>
        <v/>
      </c>
      <c r="AD16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50" s="7">
        <f>IF(ISBLANK(patch[[#This Row],[number]]),AE1649,patch[[#This Row],[ifCommon]])</f>
        <v>0</v>
      </c>
    </row>
    <row r="1651" spans="1:31">
      <c r="A1651" s="151">
        <v>144766</v>
      </c>
      <c r="B1651" s="151"/>
      <c r="C1651" s="151"/>
      <c r="D1651" s="151"/>
      <c r="E1651" s="151"/>
      <c r="F1651" s="151"/>
      <c r="G1651" s="151"/>
      <c r="H1651" s="151"/>
      <c r="I1651" s="152"/>
      <c r="J1651" s="152">
        <v>42627.659791666672</v>
      </c>
      <c r="K1651" s="151"/>
      <c r="L1651" s="151" t="s">
        <v>59</v>
      </c>
      <c r="M1651" s="152">
        <v>42626.723634259259</v>
      </c>
      <c r="N1651" s="151" t="s">
        <v>3408</v>
      </c>
      <c r="O1651" s="151"/>
      <c r="P1651" s="151"/>
      <c r="Q1651" s="7" t="str">
        <f>IF(ISBLANK(patch[[#This Row],[OwnerEmail]]),Q1650,patch[[#This Row],[OwnerEmail]])</f>
        <v>liang.l.yang@intel.com</v>
      </c>
      <c r="R1651" s="7" t="str">
        <f>_xlfn.IFNA(VLOOKUP(patch[[#This Row],[tmp-owner.email]],OrgTree!$A:$K, 11, 0), "not ICG SWFW")</f>
        <v>BJ And dev</v>
      </c>
      <c r="S1651" s="7" t="str">
        <f>IF(patch[[#This Row],[reviewer]]=patch[[#This Row],[tmp-owner.email]], "author", _xlfn.IFNA(VLOOKUP(patch[[#This Row],[reviewer]],OrgTree!$A:$K, 11, 0), "not ICG SWFW"))</f>
        <v>BJ And dev</v>
      </c>
      <c r="T1651" s="7" t="str">
        <f>IF(ISBLANK(patch[[#This Row],[mergeDate]]), "", MID(YEAR(patch[[#This Row],[mergeDate]]), 3,2)&amp;"'ww"&amp;WEEKNUM(patch[[#This Row],[mergeDate]]))</f>
        <v>16'ww38</v>
      </c>
      <c r="U1651" s="7" t="str">
        <f>IF(ISBLANK(patch[[#This Row],[mergeDate]]), U1650, MID(YEAR(patch[[#This Row],[mergeDate]]), 3,2)&amp;"'m"&amp;MONTH(patch[[#This Row],[mergeDate]]))</f>
        <v>16'm9</v>
      </c>
      <c r="V1651" s="7" t="str">
        <f>IF(ISBLANK(patch[[#This Row],[project]]), "",SUM(patch[[#This Row],[BJ -1 num]:[SH -1 num]]))</f>
        <v/>
      </c>
      <c r="W1651" s="7" t="str">
        <f>IF(ISBLANK(patch[[#This Row],[project]]), "",COUNTIFS($A:$A,patch[[#This Row],[number]],$S:$S, "BJ And dev",$AC:$AC, "Review-1"))</f>
        <v/>
      </c>
      <c r="X1651" s="7" t="str">
        <f>IF(ISBLANK(patch[[#This Row],[project]]), "",COUNTIFS($A:$A,patch[[#This Row],[number]],$S:$S, "FL And dev",$AC:$AC, "Review-1"))</f>
        <v/>
      </c>
      <c r="Y1651" s="7" t="str">
        <f>IF(ISBLANK(patch[[#This Row],[project]]), "",COUNTIFS($A:$A,patch[[#This Row],[number]],$S:$S, "SH And dev",$AC:$AC, "Review-1"))</f>
        <v/>
      </c>
      <c r="Z1651" s="7" t="str">
        <f>IF(ISBLANK(patch[[#This Row],[project]]), "",COUNTIFS($A:$A,patch[[#This Row],[number]],$S:$S, "BJ And dev",$AD:$AD, "&lt;&gt;IntegratorValidationComment"))</f>
        <v/>
      </c>
      <c r="AA1651" s="7" t="str">
        <f>IF(ISBLANK(patch[[#This Row],[project]]), "",COUNTIFS($A:$A,patch[[#This Row],[number]],$S:$S, "FL And dev",$AD:$AD, "&lt;&gt;IntegratorValidationComment"))</f>
        <v/>
      </c>
      <c r="AB1651" s="7" t="str">
        <f>IF(ISBLANK(patch[[#This Row],[project]]), "",COUNTIFS($A:$A,patch[[#This Row],[number]],$S:$S, "SH And dev",$AD:$AD, "&lt;&gt;IntegratorValidationComment"))</f>
        <v/>
      </c>
      <c r="AC1651" s="7" t="str">
        <f>IF(OR(ISNUMBER(FIND("Review-1", patch[[#This Row],[comments]])), ISNUMBER(FIND("Approver-1", patch[[#This Row],[comments]]))), "Review-1", "")</f>
        <v/>
      </c>
      <c r="AD16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51" s="7">
        <f>IF(ISBLANK(patch[[#This Row],[number]]),AE1650,patch[[#This Row],[ifCommon]])</f>
        <v>0</v>
      </c>
    </row>
    <row r="1652" spans="1:31">
      <c r="A1652" s="151">
        <v>144766</v>
      </c>
      <c r="B1652" s="151"/>
      <c r="C1652" s="151"/>
      <c r="D1652" s="151"/>
      <c r="E1652" s="151"/>
      <c r="F1652" s="151"/>
      <c r="G1652" s="151"/>
      <c r="H1652" s="151"/>
      <c r="I1652" s="151"/>
      <c r="J1652" s="152">
        <v>42627.659791666672</v>
      </c>
      <c r="K1652" s="151"/>
      <c r="L1652" s="151" t="s">
        <v>59</v>
      </c>
      <c r="M1652" s="152">
        <v>42626.72415509259</v>
      </c>
      <c r="N1652" s="151" t="s">
        <v>27</v>
      </c>
      <c r="O1652" s="151"/>
      <c r="P1652" s="151"/>
      <c r="Q1652" s="7" t="str">
        <f>IF(ISBLANK(patch[[#This Row],[OwnerEmail]]),Q1651,patch[[#This Row],[OwnerEmail]])</f>
        <v>liang.l.yang@intel.com</v>
      </c>
      <c r="R1652" s="7" t="str">
        <f>_xlfn.IFNA(VLOOKUP(patch[[#This Row],[tmp-owner.email]],OrgTree!$A:$K, 11, 0), "not ICG SWFW")</f>
        <v>BJ And dev</v>
      </c>
      <c r="S1652" s="7" t="str">
        <f>IF(patch[[#This Row],[reviewer]]=patch[[#This Row],[tmp-owner.email]], "author", _xlfn.IFNA(VLOOKUP(patch[[#This Row],[reviewer]],OrgTree!$A:$K, 11, 0), "not ICG SWFW"))</f>
        <v>BJ And dev</v>
      </c>
      <c r="T1652" s="7" t="str">
        <f>IF(ISBLANK(patch[[#This Row],[mergeDate]]), "", MID(YEAR(patch[[#This Row],[mergeDate]]), 3,2)&amp;"'ww"&amp;WEEKNUM(patch[[#This Row],[mergeDate]]))</f>
        <v>16'ww38</v>
      </c>
      <c r="U1652" s="7" t="str">
        <f>IF(ISBLANK(patch[[#This Row],[mergeDate]]), U1651, MID(YEAR(patch[[#This Row],[mergeDate]]), 3,2)&amp;"'m"&amp;MONTH(patch[[#This Row],[mergeDate]]))</f>
        <v>16'm9</v>
      </c>
      <c r="V1652" s="7" t="str">
        <f>IF(ISBLANK(patch[[#This Row],[project]]), "",SUM(patch[[#This Row],[BJ -1 num]:[SH -1 num]]))</f>
        <v/>
      </c>
      <c r="W1652" s="7" t="str">
        <f>IF(ISBLANK(patch[[#This Row],[project]]), "",COUNTIFS($A:$A,patch[[#This Row],[number]],$S:$S, "BJ And dev",$AC:$AC, "Review-1"))</f>
        <v/>
      </c>
      <c r="X1652" s="7" t="str">
        <f>IF(ISBLANK(patch[[#This Row],[project]]), "",COUNTIFS($A:$A,patch[[#This Row],[number]],$S:$S, "FL And dev",$AC:$AC, "Review-1"))</f>
        <v/>
      </c>
      <c r="Y1652" s="7" t="str">
        <f>IF(ISBLANK(patch[[#This Row],[project]]), "",COUNTIFS($A:$A,patch[[#This Row],[number]],$S:$S, "SH And dev",$AC:$AC, "Review-1"))</f>
        <v/>
      </c>
      <c r="Z1652" s="7" t="str">
        <f>IF(ISBLANK(patch[[#This Row],[project]]), "",COUNTIFS($A:$A,patch[[#This Row],[number]],$S:$S, "BJ And dev",$AD:$AD, "&lt;&gt;IntegratorValidationComment"))</f>
        <v/>
      </c>
      <c r="AA1652" s="7" t="str">
        <f>IF(ISBLANK(patch[[#This Row],[project]]), "",COUNTIFS($A:$A,patch[[#This Row],[number]],$S:$S, "FL And dev",$AD:$AD, "&lt;&gt;IntegratorValidationComment"))</f>
        <v/>
      </c>
      <c r="AB1652" s="7" t="str">
        <f>IF(ISBLANK(patch[[#This Row],[project]]), "",COUNTIFS($A:$A,patch[[#This Row],[number]],$S:$S, "SH And dev",$AD:$AD, "&lt;&gt;IntegratorValidationComment"))</f>
        <v/>
      </c>
      <c r="AC1652" s="7" t="str">
        <f>IF(OR(ISNUMBER(FIND("Review-1", patch[[#This Row],[comments]])), ISNUMBER(FIND("Approver-1", patch[[#This Row],[comments]]))), "Review-1", "")</f>
        <v/>
      </c>
      <c r="AD16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52" s="7">
        <f>IF(ISBLANK(patch[[#This Row],[number]]),AE1651,patch[[#This Row],[ifCommon]])</f>
        <v>0</v>
      </c>
    </row>
    <row r="1653" spans="1:31">
      <c r="A1653" s="151">
        <v>144766</v>
      </c>
      <c r="B1653" s="151"/>
      <c r="C1653" s="151"/>
      <c r="D1653" s="151"/>
      <c r="E1653" s="151"/>
      <c r="F1653" s="151"/>
      <c r="G1653" s="151"/>
      <c r="H1653" s="151"/>
      <c r="I1653" s="151"/>
      <c r="J1653" s="152">
        <v>42627.659791666672</v>
      </c>
      <c r="K1653" s="151"/>
      <c r="L1653" s="151" t="s">
        <v>32</v>
      </c>
      <c r="M1653" s="152">
        <v>42626.72457175926</v>
      </c>
      <c r="N1653" s="151" t="s">
        <v>1873</v>
      </c>
      <c r="O1653" s="151"/>
      <c r="P1653" s="151"/>
      <c r="Q1653" s="7" t="str">
        <f>IF(ISBLANK(patch[[#This Row],[OwnerEmail]]),Q1652,patch[[#This Row],[OwnerEmail]])</f>
        <v>liang.l.yang@intel.com</v>
      </c>
      <c r="R1653" s="7" t="str">
        <f>_xlfn.IFNA(VLOOKUP(patch[[#This Row],[tmp-owner.email]],OrgTree!$A:$K, 11, 0), "not ICG SWFW")</f>
        <v>BJ And dev</v>
      </c>
      <c r="S1653" s="7" t="str">
        <f>IF(patch[[#This Row],[reviewer]]=patch[[#This Row],[tmp-owner.email]], "author", _xlfn.IFNA(VLOOKUP(patch[[#This Row],[reviewer]],OrgTree!$A:$K, 11, 0), "not ICG SWFW"))</f>
        <v>BJ And dev</v>
      </c>
      <c r="T1653" s="7" t="str">
        <f>IF(ISBLANK(patch[[#This Row],[mergeDate]]), "", MID(YEAR(patch[[#This Row],[mergeDate]]), 3,2)&amp;"'ww"&amp;WEEKNUM(patch[[#This Row],[mergeDate]]))</f>
        <v>16'ww38</v>
      </c>
      <c r="U1653" s="7" t="str">
        <f>IF(ISBLANK(patch[[#This Row],[mergeDate]]), U1652, MID(YEAR(patch[[#This Row],[mergeDate]]), 3,2)&amp;"'m"&amp;MONTH(patch[[#This Row],[mergeDate]]))</f>
        <v>16'm9</v>
      </c>
      <c r="V1653" s="7" t="str">
        <f>IF(ISBLANK(patch[[#This Row],[project]]), "",SUM(patch[[#This Row],[BJ -1 num]:[SH -1 num]]))</f>
        <v/>
      </c>
      <c r="W1653" s="7" t="str">
        <f>IF(ISBLANK(patch[[#This Row],[project]]), "",COUNTIFS($A:$A,patch[[#This Row],[number]],$S:$S, "BJ And dev",$AC:$AC, "Review-1"))</f>
        <v/>
      </c>
      <c r="X1653" s="7" t="str">
        <f>IF(ISBLANK(patch[[#This Row],[project]]), "",COUNTIFS($A:$A,patch[[#This Row],[number]],$S:$S, "FL And dev",$AC:$AC, "Review-1"))</f>
        <v/>
      </c>
      <c r="Y1653" s="7" t="str">
        <f>IF(ISBLANK(patch[[#This Row],[project]]), "",COUNTIFS($A:$A,patch[[#This Row],[number]],$S:$S, "SH And dev",$AC:$AC, "Review-1"))</f>
        <v/>
      </c>
      <c r="Z1653" s="7" t="str">
        <f>IF(ISBLANK(patch[[#This Row],[project]]), "",COUNTIFS($A:$A,patch[[#This Row],[number]],$S:$S, "BJ And dev",$AD:$AD, "&lt;&gt;IntegratorValidationComment"))</f>
        <v/>
      </c>
      <c r="AA1653" s="7" t="str">
        <f>IF(ISBLANK(patch[[#This Row],[project]]), "",COUNTIFS($A:$A,patch[[#This Row],[number]],$S:$S, "FL And dev",$AD:$AD, "&lt;&gt;IntegratorValidationComment"))</f>
        <v/>
      </c>
      <c r="AB1653" s="7" t="str">
        <f>IF(ISBLANK(patch[[#This Row],[project]]), "",COUNTIFS($A:$A,patch[[#This Row],[number]],$S:$S, "SH And dev",$AD:$AD, "&lt;&gt;IntegratorValidationComment"))</f>
        <v/>
      </c>
      <c r="AC1653" s="7" t="str">
        <f>IF(OR(ISNUMBER(FIND("Review-1", patch[[#This Row],[comments]])), ISNUMBER(FIND("Approver-1", patch[[#This Row],[comments]]))), "Review-1", "")</f>
        <v/>
      </c>
      <c r="AD16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53" s="7">
        <f>IF(ISBLANK(patch[[#This Row],[number]]),AE1652,patch[[#This Row],[ifCommon]])</f>
        <v>0</v>
      </c>
    </row>
    <row r="1654" spans="1:31">
      <c r="A1654" s="151">
        <v>144766</v>
      </c>
      <c r="B1654" s="151"/>
      <c r="C1654" s="151"/>
      <c r="D1654" s="151"/>
      <c r="E1654" s="151"/>
      <c r="F1654" s="151"/>
      <c r="G1654" s="151"/>
      <c r="H1654" s="151"/>
      <c r="I1654" s="151"/>
      <c r="J1654" s="152">
        <v>42627.659791666672</v>
      </c>
      <c r="K1654" s="151"/>
      <c r="L1654" s="151" t="s">
        <v>59</v>
      </c>
      <c r="M1654" s="152">
        <v>42626.724687499998</v>
      </c>
      <c r="N1654" s="151" t="s">
        <v>3409</v>
      </c>
      <c r="O1654" s="151"/>
      <c r="P1654" s="151"/>
      <c r="Q1654" s="7" t="str">
        <f>IF(ISBLANK(patch[[#This Row],[OwnerEmail]]),Q1653,patch[[#This Row],[OwnerEmail]])</f>
        <v>liang.l.yang@intel.com</v>
      </c>
      <c r="R1654" s="7" t="str">
        <f>_xlfn.IFNA(VLOOKUP(patch[[#This Row],[tmp-owner.email]],OrgTree!$A:$K, 11, 0), "not ICG SWFW")</f>
        <v>BJ And dev</v>
      </c>
      <c r="S1654" s="7" t="str">
        <f>IF(patch[[#This Row],[reviewer]]=patch[[#This Row],[tmp-owner.email]], "author", _xlfn.IFNA(VLOOKUP(patch[[#This Row],[reviewer]],OrgTree!$A:$K, 11, 0), "not ICG SWFW"))</f>
        <v>BJ And dev</v>
      </c>
      <c r="T1654" s="7" t="str">
        <f>IF(ISBLANK(patch[[#This Row],[mergeDate]]), "", MID(YEAR(patch[[#This Row],[mergeDate]]), 3,2)&amp;"'ww"&amp;WEEKNUM(patch[[#This Row],[mergeDate]]))</f>
        <v>16'ww38</v>
      </c>
      <c r="U1654" s="7" t="str">
        <f>IF(ISBLANK(patch[[#This Row],[mergeDate]]), U1653, MID(YEAR(patch[[#This Row],[mergeDate]]), 3,2)&amp;"'m"&amp;MONTH(patch[[#This Row],[mergeDate]]))</f>
        <v>16'm9</v>
      </c>
      <c r="V1654" s="7" t="str">
        <f>IF(ISBLANK(patch[[#This Row],[project]]), "",SUM(patch[[#This Row],[BJ -1 num]:[SH -1 num]]))</f>
        <v/>
      </c>
      <c r="W1654" s="7" t="str">
        <f>IF(ISBLANK(patch[[#This Row],[project]]), "",COUNTIFS($A:$A,patch[[#This Row],[number]],$S:$S, "BJ And dev",$AC:$AC, "Review-1"))</f>
        <v/>
      </c>
      <c r="X1654" s="7" t="str">
        <f>IF(ISBLANK(patch[[#This Row],[project]]), "",COUNTIFS($A:$A,patch[[#This Row],[number]],$S:$S, "FL And dev",$AC:$AC, "Review-1"))</f>
        <v/>
      </c>
      <c r="Y1654" s="7" t="str">
        <f>IF(ISBLANK(patch[[#This Row],[project]]), "",COUNTIFS($A:$A,patch[[#This Row],[number]],$S:$S, "SH And dev",$AC:$AC, "Review-1"))</f>
        <v/>
      </c>
      <c r="Z1654" s="7" t="str">
        <f>IF(ISBLANK(patch[[#This Row],[project]]), "",COUNTIFS($A:$A,patch[[#This Row],[number]],$S:$S, "BJ And dev",$AD:$AD, "&lt;&gt;IntegratorValidationComment"))</f>
        <v/>
      </c>
      <c r="AA1654" s="7" t="str">
        <f>IF(ISBLANK(patch[[#This Row],[project]]), "",COUNTIFS($A:$A,patch[[#This Row],[number]],$S:$S, "FL And dev",$AD:$AD, "&lt;&gt;IntegratorValidationComment"))</f>
        <v/>
      </c>
      <c r="AB1654" s="7" t="str">
        <f>IF(ISBLANK(patch[[#This Row],[project]]), "",COUNTIFS($A:$A,patch[[#This Row],[number]],$S:$S, "SH And dev",$AD:$AD, "&lt;&gt;IntegratorValidationComment"))</f>
        <v/>
      </c>
      <c r="AC1654" s="7" t="str">
        <f>IF(OR(ISNUMBER(FIND("Review-1", patch[[#This Row],[comments]])), ISNUMBER(FIND("Approver-1", patch[[#This Row],[comments]]))), "Review-1", "")</f>
        <v/>
      </c>
      <c r="AD16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54" s="7">
        <f>IF(ISBLANK(patch[[#This Row],[number]]),AE1653,patch[[#This Row],[ifCommon]])</f>
        <v>0</v>
      </c>
    </row>
    <row r="1655" spans="1:31">
      <c r="A1655" s="151">
        <v>144766</v>
      </c>
      <c r="B1655" s="151"/>
      <c r="C1655" s="151"/>
      <c r="D1655" s="151"/>
      <c r="E1655" s="151"/>
      <c r="F1655" s="151"/>
      <c r="G1655" s="151"/>
      <c r="H1655" s="151"/>
      <c r="I1655" s="151"/>
      <c r="J1655" s="152">
        <v>42627.659791666672</v>
      </c>
      <c r="K1655" s="151"/>
      <c r="L1655" s="151" t="s">
        <v>59</v>
      </c>
      <c r="M1655" s="152">
        <v>42626.72619212963</v>
      </c>
      <c r="N1655" s="151" t="s">
        <v>3410</v>
      </c>
      <c r="O1655" s="151"/>
      <c r="P1655" s="151"/>
      <c r="Q1655" s="7" t="str">
        <f>IF(ISBLANK(patch[[#This Row],[OwnerEmail]]),Q1654,patch[[#This Row],[OwnerEmail]])</f>
        <v>liang.l.yang@intel.com</v>
      </c>
      <c r="R1655" s="7" t="str">
        <f>_xlfn.IFNA(VLOOKUP(patch[[#This Row],[tmp-owner.email]],OrgTree!$A:$K, 11, 0), "not ICG SWFW")</f>
        <v>BJ And dev</v>
      </c>
      <c r="S1655" s="7" t="str">
        <f>IF(patch[[#This Row],[reviewer]]=patch[[#This Row],[tmp-owner.email]], "author", _xlfn.IFNA(VLOOKUP(patch[[#This Row],[reviewer]],OrgTree!$A:$K, 11, 0), "not ICG SWFW"))</f>
        <v>BJ And dev</v>
      </c>
      <c r="T1655" s="7" t="str">
        <f>IF(ISBLANK(patch[[#This Row],[mergeDate]]), "", MID(YEAR(patch[[#This Row],[mergeDate]]), 3,2)&amp;"'ww"&amp;WEEKNUM(patch[[#This Row],[mergeDate]]))</f>
        <v>16'ww38</v>
      </c>
      <c r="U1655" s="7" t="str">
        <f>IF(ISBLANK(patch[[#This Row],[mergeDate]]), U1654, MID(YEAR(patch[[#This Row],[mergeDate]]), 3,2)&amp;"'m"&amp;MONTH(patch[[#This Row],[mergeDate]]))</f>
        <v>16'm9</v>
      </c>
      <c r="V1655" s="7" t="str">
        <f>IF(ISBLANK(patch[[#This Row],[project]]), "",SUM(patch[[#This Row],[BJ -1 num]:[SH -1 num]]))</f>
        <v/>
      </c>
      <c r="W1655" s="7" t="str">
        <f>IF(ISBLANK(patch[[#This Row],[project]]), "",COUNTIFS($A:$A,patch[[#This Row],[number]],$S:$S, "BJ And dev",$AC:$AC, "Review-1"))</f>
        <v/>
      </c>
      <c r="X1655" s="7" t="str">
        <f>IF(ISBLANK(patch[[#This Row],[project]]), "",COUNTIFS($A:$A,patch[[#This Row],[number]],$S:$S, "FL And dev",$AC:$AC, "Review-1"))</f>
        <v/>
      </c>
      <c r="Y1655" s="7" t="str">
        <f>IF(ISBLANK(patch[[#This Row],[project]]), "",COUNTIFS($A:$A,patch[[#This Row],[number]],$S:$S, "SH And dev",$AC:$AC, "Review-1"))</f>
        <v/>
      </c>
      <c r="Z1655" s="7" t="str">
        <f>IF(ISBLANK(patch[[#This Row],[project]]), "",COUNTIFS($A:$A,patch[[#This Row],[number]],$S:$S, "BJ And dev",$AD:$AD, "&lt;&gt;IntegratorValidationComment"))</f>
        <v/>
      </c>
      <c r="AA1655" s="7" t="str">
        <f>IF(ISBLANK(patch[[#This Row],[project]]), "",COUNTIFS($A:$A,patch[[#This Row],[number]],$S:$S, "FL And dev",$AD:$AD, "&lt;&gt;IntegratorValidationComment"))</f>
        <v/>
      </c>
      <c r="AB1655" s="7" t="str">
        <f>IF(ISBLANK(patch[[#This Row],[project]]), "",COUNTIFS($A:$A,patch[[#This Row],[number]],$S:$S, "SH And dev",$AD:$AD, "&lt;&gt;IntegratorValidationComment"))</f>
        <v/>
      </c>
      <c r="AC1655" s="7" t="str">
        <f>IF(OR(ISNUMBER(FIND("Review-1", patch[[#This Row],[comments]])), ISNUMBER(FIND("Approver-1", patch[[#This Row],[comments]]))), "Review-1", "")</f>
        <v/>
      </c>
      <c r="AD16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55" s="7">
        <f>IF(ISBLANK(patch[[#This Row],[number]]),AE1654,patch[[#This Row],[ifCommon]])</f>
        <v>0</v>
      </c>
    </row>
    <row r="1656" spans="1:31">
      <c r="A1656" s="151">
        <v>144766</v>
      </c>
      <c r="B1656" s="151"/>
      <c r="C1656" s="151"/>
      <c r="D1656" s="151"/>
      <c r="E1656" s="151"/>
      <c r="F1656" s="151"/>
      <c r="G1656" s="151"/>
      <c r="H1656" s="151"/>
      <c r="I1656" s="151"/>
      <c r="J1656" s="152">
        <v>42627.659791666672</v>
      </c>
      <c r="K1656" s="151"/>
      <c r="L1656" s="151" t="s">
        <v>55</v>
      </c>
      <c r="M1656" s="152">
        <v>42626.72760416667</v>
      </c>
      <c r="N1656" s="151" t="s">
        <v>2450</v>
      </c>
      <c r="O1656" s="151"/>
      <c r="P1656" s="151"/>
      <c r="Q1656" s="7" t="str">
        <f>IF(ISBLANK(patch[[#This Row],[OwnerEmail]]),Q1655,patch[[#This Row],[OwnerEmail]])</f>
        <v>liang.l.yang@intel.com</v>
      </c>
      <c r="R1656" s="7" t="str">
        <f>_xlfn.IFNA(VLOOKUP(patch[[#This Row],[tmp-owner.email]],OrgTree!$A:$K, 11, 0), "not ICG SWFW")</f>
        <v>BJ And dev</v>
      </c>
      <c r="S1656" s="7" t="str">
        <f>IF(patch[[#This Row],[reviewer]]=patch[[#This Row],[tmp-owner.email]], "author", _xlfn.IFNA(VLOOKUP(patch[[#This Row],[reviewer]],OrgTree!$A:$K, 11, 0), "not ICG SWFW"))</f>
        <v>author</v>
      </c>
      <c r="T1656" s="7" t="str">
        <f>IF(ISBLANK(patch[[#This Row],[mergeDate]]), "", MID(YEAR(patch[[#This Row],[mergeDate]]), 3,2)&amp;"'ww"&amp;WEEKNUM(patch[[#This Row],[mergeDate]]))</f>
        <v>16'ww38</v>
      </c>
      <c r="U1656" s="7" t="str">
        <f>IF(ISBLANK(patch[[#This Row],[mergeDate]]), U1655, MID(YEAR(patch[[#This Row],[mergeDate]]), 3,2)&amp;"'m"&amp;MONTH(patch[[#This Row],[mergeDate]]))</f>
        <v>16'm9</v>
      </c>
      <c r="V1656" s="7" t="str">
        <f>IF(ISBLANK(patch[[#This Row],[project]]), "",SUM(patch[[#This Row],[BJ -1 num]:[SH -1 num]]))</f>
        <v/>
      </c>
      <c r="W1656" s="7" t="str">
        <f>IF(ISBLANK(patch[[#This Row],[project]]), "",COUNTIFS($A:$A,patch[[#This Row],[number]],$S:$S, "BJ And dev",$AC:$AC, "Review-1"))</f>
        <v/>
      </c>
      <c r="X1656" s="7" t="str">
        <f>IF(ISBLANK(patch[[#This Row],[project]]), "",COUNTIFS($A:$A,patch[[#This Row],[number]],$S:$S, "FL And dev",$AC:$AC, "Review-1"))</f>
        <v/>
      </c>
      <c r="Y1656" s="7" t="str">
        <f>IF(ISBLANK(patch[[#This Row],[project]]), "",COUNTIFS($A:$A,patch[[#This Row],[number]],$S:$S, "SH And dev",$AC:$AC, "Review-1"))</f>
        <v/>
      </c>
      <c r="Z1656" s="7" t="str">
        <f>IF(ISBLANK(patch[[#This Row],[project]]), "",COUNTIFS($A:$A,patch[[#This Row],[number]],$S:$S, "BJ And dev",$AD:$AD, "&lt;&gt;IntegratorValidationComment"))</f>
        <v/>
      </c>
      <c r="AA1656" s="7" t="str">
        <f>IF(ISBLANK(patch[[#This Row],[project]]), "",COUNTIFS($A:$A,patch[[#This Row],[number]],$S:$S, "FL And dev",$AD:$AD, "&lt;&gt;IntegratorValidationComment"))</f>
        <v/>
      </c>
      <c r="AB1656" s="7" t="str">
        <f>IF(ISBLANK(patch[[#This Row],[project]]), "",COUNTIFS($A:$A,patch[[#This Row],[number]],$S:$S, "SH And dev",$AD:$AD, "&lt;&gt;IntegratorValidationComment"))</f>
        <v/>
      </c>
      <c r="AC1656" s="7" t="str">
        <f>IF(OR(ISNUMBER(FIND("Review-1", patch[[#This Row],[comments]])), ISNUMBER(FIND("Approver-1", patch[[#This Row],[comments]]))), "Review-1", "")</f>
        <v/>
      </c>
      <c r="AD16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56" s="7">
        <f>IF(ISBLANK(patch[[#This Row],[number]]),AE1655,patch[[#This Row],[ifCommon]])</f>
        <v>0</v>
      </c>
    </row>
    <row r="1657" spans="1:31">
      <c r="A1657" s="151">
        <v>144766</v>
      </c>
      <c r="B1657" s="151"/>
      <c r="C1657" s="151"/>
      <c r="D1657" s="151"/>
      <c r="E1657" s="151"/>
      <c r="F1657" s="151"/>
      <c r="G1657" s="151"/>
      <c r="H1657" s="151"/>
      <c r="I1657" s="152"/>
      <c r="J1657" s="152">
        <v>42627.659791666672</v>
      </c>
      <c r="K1657" s="151"/>
      <c r="L1657" s="151" t="s">
        <v>55</v>
      </c>
      <c r="M1657" s="152">
        <v>42626.72760416667</v>
      </c>
      <c r="N1657" s="151" t="s">
        <v>2704</v>
      </c>
      <c r="O1657" s="151"/>
      <c r="P1657" s="151"/>
      <c r="Q1657" s="7" t="str">
        <f>IF(ISBLANK(patch[[#This Row],[OwnerEmail]]),Q1656,patch[[#This Row],[OwnerEmail]])</f>
        <v>liang.l.yang@intel.com</v>
      </c>
      <c r="R1657" s="7" t="str">
        <f>_xlfn.IFNA(VLOOKUP(patch[[#This Row],[tmp-owner.email]],OrgTree!$A:$K, 11, 0), "not ICG SWFW")</f>
        <v>BJ And dev</v>
      </c>
      <c r="S1657" s="7" t="str">
        <f>IF(patch[[#This Row],[reviewer]]=patch[[#This Row],[tmp-owner.email]], "author", _xlfn.IFNA(VLOOKUP(patch[[#This Row],[reviewer]],OrgTree!$A:$K, 11, 0), "not ICG SWFW"))</f>
        <v>author</v>
      </c>
      <c r="T1657" s="7" t="str">
        <f>IF(ISBLANK(patch[[#This Row],[mergeDate]]), "", MID(YEAR(patch[[#This Row],[mergeDate]]), 3,2)&amp;"'ww"&amp;WEEKNUM(patch[[#This Row],[mergeDate]]))</f>
        <v>16'ww38</v>
      </c>
      <c r="U1657" s="7" t="str">
        <f>IF(ISBLANK(patch[[#This Row],[mergeDate]]), U1656, MID(YEAR(patch[[#This Row],[mergeDate]]), 3,2)&amp;"'m"&amp;MONTH(patch[[#This Row],[mergeDate]]))</f>
        <v>16'm9</v>
      </c>
      <c r="V1657" s="7" t="str">
        <f>IF(ISBLANK(patch[[#This Row],[project]]), "",SUM(patch[[#This Row],[BJ -1 num]:[SH -1 num]]))</f>
        <v/>
      </c>
      <c r="W1657" s="7" t="str">
        <f>IF(ISBLANK(patch[[#This Row],[project]]), "",COUNTIFS($A:$A,patch[[#This Row],[number]],$S:$S, "BJ And dev",$AC:$AC, "Review-1"))</f>
        <v/>
      </c>
      <c r="X1657" s="7" t="str">
        <f>IF(ISBLANK(patch[[#This Row],[project]]), "",COUNTIFS($A:$A,patch[[#This Row],[number]],$S:$S, "FL And dev",$AC:$AC, "Review-1"))</f>
        <v/>
      </c>
      <c r="Y1657" s="7" t="str">
        <f>IF(ISBLANK(patch[[#This Row],[project]]), "",COUNTIFS($A:$A,patch[[#This Row],[number]],$S:$S, "SH And dev",$AC:$AC, "Review-1"))</f>
        <v/>
      </c>
      <c r="Z1657" s="7" t="str">
        <f>IF(ISBLANK(patch[[#This Row],[project]]), "",COUNTIFS($A:$A,patch[[#This Row],[number]],$S:$S, "BJ And dev",$AD:$AD, "&lt;&gt;IntegratorValidationComment"))</f>
        <v/>
      </c>
      <c r="AA1657" s="7" t="str">
        <f>IF(ISBLANK(patch[[#This Row],[project]]), "",COUNTIFS($A:$A,patch[[#This Row],[number]],$S:$S, "FL And dev",$AD:$AD, "&lt;&gt;IntegratorValidationComment"))</f>
        <v/>
      </c>
      <c r="AB1657" s="7" t="str">
        <f>IF(ISBLANK(patch[[#This Row],[project]]), "",COUNTIFS($A:$A,patch[[#This Row],[number]],$S:$S, "SH And dev",$AD:$AD, "&lt;&gt;IntegratorValidationComment"))</f>
        <v/>
      </c>
      <c r="AC1657" s="7" t="str">
        <f>IF(OR(ISNUMBER(FIND("Review-1", patch[[#This Row],[comments]])), ISNUMBER(FIND("Approver-1", patch[[#This Row],[comments]]))), "Review-1", "")</f>
        <v/>
      </c>
      <c r="AD16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57" s="7">
        <f>IF(ISBLANK(patch[[#This Row],[number]]),AE1656,patch[[#This Row],[ifCommon]])</f>
        <v>0</v>
      </c>
    </row>
    <row r="1658" spans="1:31">
      <c r="A1658" s="151">
        <v>144766</v>
      </c>
      <c r="B1658" s="151"/>
      <c r="C1658" s="151"/>
      <c r="D1658" s="151"/>
      <c r="E1658" s="151"/>
      <c r="F1658" s="151"/>
      <c r="G1658" s="151"/>
      <c r="H1658" s="151"/>
      <c r="I1658" s="151"/>
      <c r="J1658" s="152">
        <v>42627.659791666672</v>
      </c>
      <c r="K1658" s="151"/>
      <c r="L1658" s="151" t="s">
        <v>59</v>
      </c>
      <c r="M1658" s="152">
        <v>42626.730671296304</v>
      </c>
      <c r="N1658" s="151" t="s">
        <v>3411</v>
      </c>
      <c r="O1658" s="151"/>
      <c r="P1658" s="151"/>
      <c r="Q1658" s="7" t="str">
        <f>IF(ISBLANK(patch[[#This Row],[OwnerEmail]]),Q1657,patch[[#This Row],[OwnerEmail]])</f>
        <v>liang.l.yang@intel.com</v>
      </c>
      <c r="R1658" s="7" t="str">
        <f>_xlfn.IFNA(VLOOKUP(patch[[#This Row],[tmp-owner.email]],OrgTree!$A:$K, 11, 0), "not ICG SWFW")</f>
        <v>BJ And dev</v>
      </c>
      <c r="S1658" s="7" t="str">
        <f>IF(patch[[#This Row],[reviewer]]=patch[[#This Row],[tmp-owner.email]], "author", _xlfn.IFNA(VLOOKUP(patch[[#This Row],[reviewer]],OrgTree!$A:$K, 11, 0), "not ICG SWFW"))</f>
        <v>BJ And dev</v>
      </c>
      <c r="T1658" s="7" t="str">
        <f>IF(ISBLANK(patch[[#This Row],[mergeDate]]), "", MID(YEAR(patch[[#This Row],[mergeDate]]), 3,2)&amp;"'ww"&amp;WEEKNUM(patch[[#This Row],[mergeDate]]))</f>
        <v>16'ww38</v>
      </c>
      <c r="U1658" s="7" t="str">
        <f>IF(ISBLANK(patch[[#This Row],[mergeDate]]), U1657, MID(YEAR(patch[[#This Row],[mergeDate]]), 3,2)&amp;"'m"&amp;MONTH(patch[[#This Row],[mergeDate]]))</f>
        <v>16'm9</v>
      </c>
      <c r="V1658" s="7" t="str">
        <f>IF(ISBLANK(patch[[#This Row],[project]]), "",SUM(patch[[#This Row],[BJ -1 num]:[SH -1 num]]))</f>
        <v/>
      </c>
      <c r="W1658" s="7" t="str">
        <f>IF(ISBLANK(patch[[#This Row],[project]]), "",COUNTIFS($A:$A,patch[[#This Row],[number]],$S:$S, "BJ And dev",$AC:$AC, "Review-1"))</f>
        <v/>
      </c>
      <c r="X1658" s="7" t="str">
        <f>IF(ISBLANK(patch[[#This Row],[project]]), "",COUNTIFS($A:$A,patch[[#This Row],[number]],$S:$S, "FL And dev",$AC:$AC, "Review-1"))</f>
        <v/>
      </c>
      <c r="Y1658" s="7" t="str">
        <f>IF(ISBLANK(patch[[#This Row],[project]]), "",COUNTIFS($A:$A,patch[[#This Row],[number]],$S:$S, "SH And dev",$AC:$AC, "Review-1"))</f>
        <v/>
      </c>
      <c r="Z1658" s="7" t="str">
        <f>IF(ISBLANK(patch[[#This Row],[project]]), "",COUNTIFS($A:$A,patch[[#This Row],[number]],$S:$S, "BJ And dev",$AD:$AD, "&lt;&gt;IntegratorValidationComment"))</f>
        <v/>
      </c>
      <c r="AA1658" s="7" t="str">
        <f>IF(ISBLANK(patch[[#This Row],[project]]), "",COUNTIFS($A:$A,patch[[#This Row],[number]],$S:$S, "FL And dev",$AD:$AD, "&lt;&gt;IntegratorValidationComment"))</f>
        <v/>
      </c>
      <c r="AB1658" s="7" t="str">
        <f>IF(ISBLANK(patch[[#This Row],[project]]), "",COUNTIFS($A:$A,patch[[#This Row],[number]],$S:$S, "SH And dev",$AD:$AD, "&lt;&gt;IntegratorValidationComment"))</f>
        <v/>
      </c>
      <c r="AC1658" s="7" t="str">
        <f>IF(OR(ISNUMBER(FIND("Review-1", patch[[#This Row],[comments]])), ISNUMBER(FIND("Approver-1", patch[[#This Row],[comments]]))), "Review-1", "")</f>
        <v/>
      </c>
      <c r="AD16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58" s="7">
        <f>IF(ISBLANK(patch[[#This Row],[number]]),AE1657,patch[[#This Row],[ifCommon]])</f>
        <v>0</v>
      </c>
    </row>
    <row r="1659" spans="1:31">
      <c r="A1659" s="151">
        <v>144766</v>
      </c>
      <c r="B1659" s="151"/>
      <c r="C1659" s="151"/>
      <c r="D1659" s="151"/>
      <c r="E1659" s="151"/>
      <c r="F1659" s="151"/>
      <c r="G1659" s="151"/>
      <c r="H1659" s="151"/>
      <c r="I1659" s="151"/>
      <c r="J1659" s="152">
        <v>42627.659791666672</v>
      </c>
      <c r="K1659" s="151"/>
      <c r="L1659" s="151" t="s">
        <v>55</v>
      </c>
      <c r="M1659" s="152">
        <v>42626.731678240743</v>
      </c>
      <c r="N1659" s="151" t="s">
        <v>2451</v>
      </c>
      <c r="O1659" s="151"/>
      <c r="P1659" s="151"/>
      <c r="Q1659" s="7" t="str">
        <f>IF(ISBLANK(patch[[#This Row],[OwnerEmail]]),Q1658,patch[[#This Row],[OwnerEmail]])</f>
        <v>liang.l.yang@intel.com</v>
      </c>
      <c r="R1659" s="7" t="str">
        <f>_xlfn.IFNA(VLOOKUP(patch[[#This Row],[tmp-owner.email]],OrgTree!$A:$K, 11, 0), "not ICG SWFW")</f>
        <v>BJ And dev</v>
      </c>
      <c r="S1659" s="7" t="str">
        <f>IF(patch[[#This Row],[reviewer]]=patch[[#This Row],[tmp-owner.email]], "author", _xlfn.IFNA(VLOOKUP(patch[[#This Row],[reviewer]],OrgTree!$A:$K, 11, 0), "not ICG SWFW"))</f>
        <v>author</v>
      </c>
      <c r="T1659" s="7" t="str">
        <f>IF(ISBLANK(patch[[#This Row],[mergeDate]]), "", MID(YEAR(patch[[#This Row],[mergeDate]]), 3,2)&amp;"'ww"&amp;WEEKNUM(patch[[#This Row],[mergeDate]]))</f>
        <v>16'ww38</v>
      </c>
      <c r="U1659" s="7" t="str">
        <f>IF(ISBLANK(patch[[#This Row],[mergeDate]]), U1658, MID(YEAR(patch[[#This Row],[mergeDate]]), 3,2)&amp;"'m"&amp;MONTH(patch[[#This Row],[mergeDate]]))</f>
        <v>16'm9</v>
      </c>
      <c r="V1659" s="7" t="str">
        <f>IF(ISBLANK(patch[[#This Row],[project]]), "",SUM(patch[[#This Row],[BJ -1 num]:[SH -1 num]]))</f>
        <v/>
      </c>
      <c r="W1659" s="7" t="str">
        <f>IF(ISBLANK(patch[[#This Row],[project]]), "",COUNTIFS($A:$A,patch[[#This Row],[number]],$S:$S, "BJ And dev",$AC:$AC, "Review-1"))</f>
        <v/>
      </c>
      <c r="X1659" s="7" t="str">
        <f>IF(ISBLANK(patch[[#This Row],[project]]), "",COUNTIFS($A:$A,patch[[#This Row],[number]],$S:$S, "FL And dev",$AC:$AC, "Review-1"))</f>
        <v/>
      </c>
      <c r="Y1659" s="7" t="str">
        <f>IF(ISBLANK(patch[[#This Row],[project]]), "",COUNTIFS($A:$A,patch[[#This Row],[number]],$S:$S, "SH And dev",$AC:$AC, "Review-1"))</f>
        <v/>
      </c>
      <c r="Z1659" s="7" t="str">
        <f>IF(ISBLANK(patch[[#This Row],[project]]), "",COUNTIFS($A:$A,patch[[#This Row],[number]],$S:$S, "BJ And dev",$AD:$AD, "&lt;&gt;IntegratorValidationComment"))</f>
        <v/>
      </c>
      <c r="AA1659" s="7" t="str">
        <f>IF(ISBLANK(patch[[#This Row],[project]]), "",COUNTIFS($A:$A,patch[[#This Row],[number]],$S:$S, "FL And dev",$AD:$AD, "&lt;&gt;IntegratorValidationComment"))</f>
        <v/>
      </c>
      <c r="AB1659" s="7" t="str">
        <f>IF(ISBLANK(patch[[#This Row],[project]]), "",COUNTIFS($A:$A,patch[[#This Row],[number]],$S:$S, "SH And dev",$AD:$AD, "&lt;&gt;IntegratorValidationComment"))</f>
        <v/>
      </c>
      <c r="AC1659" s="7" t="str">
        <f>IF(OR(ISNUMBER(FIND("Review-1", patch[[#This Row],[comments]])), ISNUMBER(FIND("Approver-1", patch[[#This Row],[comments]]))), "Review-1", "")</f>
        <v/>
      </c>
      <c r="AD16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59" s="7">
        <f>IF(ISBLANK(patch[[#This Row],[number]]),AE1658,patch[[#This Row],[ifCommon]])</f>
        <v>0</v>
      </c>
    </row>
    <row r="1660" spans="1:31">
      <c r="A1660" s="151">
        <v>144766</v>
      </c>
      <c r="B1660" s="151"/>
      <c r="C1660" s="151"/>
      <c r="D1660" s="151"/>
      <c r="E1660" s="151"/>
      <c r="F1660" s="151"/>
      <c r="G1660" s="151"/>
      <c r="H1660" s="151"/>
      <c r="I1660" s="151"/>
      <c r="J1660" s="152">
        <v>42627.659791666672</v>
      </c>
      <c r="K1660" s="151"/>
      <c r="L1660" s="151" t="s">
        <v>55</v>
      </c>
      <c r="M1660" s="152">
        <v>42626.731678240743</v>
      </c>
      <c r="N1660" s="151" t="s">
        <v>49</v>
      </c>
      <c r="O1660" s="151"/>
      <c r="P1660" s="151"/>
      <c r="Q1660" s="7" t="str">
        <f>IF(ISBLANK(patch[[#This Row],[OwnerEmail]]),Q1659,patch[[#This Row],[OwnerEmail]])</f>
        <v>liang.l.yang@intel.com</v>
      </c>
      <c r="R1660" s="7" t="str">
        <f>_xlfn.IFNA(VLOOKUP(patch[[#This Row],[tmp-owner.email]],OrgTree!$A:$K, 11, 0), "not ICG SWFW")</f>
        <v>BJ And dev</v>
      </c>
      <c r="S1660" s="7" t="str">
        <f>IF(patch[[#This Row],[reviewer]]=patch[[#This Row],[tmp-owner.email]], "author", _xlfn.IFNA(VLOOKUP(patch[[#This Row],[reviewer]],OrgTree!$A:$K, 11, 0), "not ICG SWFW"))</f>
        <v>author</v>
      </c>
      <c r="T1660" s="7" t="str">
        <f>IF(ISBLANK(patch[[#This Row],[mergeDate]]), "", MID(YEAR(patch[[#This Row],[mergeDate]]), 3,2)&amp;"'ww"&amp;WEEKNUM(patch[[#This Row],[mergeDate]]))</f>
        <v>16'ww38</v>
      </c>
      <c r="U1660" s="7" t="str">
        <f>IF(ISBLANK(patch[[#This Row],[mergeDate]]), U1659, MID(YEAR(patch[[#This Row],[mergeDate]]), 3,2)&amp;"'m"&amp;MONTH(patch[[#This Row],[mergeDate]]))</f>
        <v>16'm9</v>
      </c>
      <c r="V1660" s="7" t="str">
        <f>IF(ISBLANK(patch[[#This Row],[project]]), "",SUM(patch[[#This Row],[BJ -1 num]:[SH -1 num]]))</f>
        <v/>
      </c>
      <c r="W1660" s="7" t="str">
        <f>IF(ISBLANK(patch[[#This Row],[project]]), "",COUNTIFS($A:$A,patch[[#This Row],[number]],$S:$S, "BJ And dev",$AC:$AC, "Review-1"))</f>
        <v/>
      </c>
      <c r="X1660" s="7" t="str">
        <f>IF(ISBLANK(patch[[#This Row],[project]]), "",COUNTIFS($A:$A,patch[[#This Row],[number]],$S:$S, "FL And dev",$AC:$AC, "Review-1"))</f>
        <v/>
      </c>
      <c r="Y1660" s="7" t="str">
        <f>IF(ISBLANK(patch[[#This Row],[project]]), "",COUNTIFS($A:$A,patch[[#This Row],[number]],$S:$S, "SH And dev",$AC:$AC, "Review-1"))</f>
        <v/>
      </c>
      <c r="Z1660" s="7" t="str">
        <f>IF(ISBLANK(patch[[#This Row],[project]]), "",COUNTIFS($A:$A,patch[[#This Row],[number]],$S:$S, "BJ And dev",$AD:$AD, "&lt;&gt;IntegratorValidationComment"))</f>
        <v/>
      </c>
      <c r="AA1660" s="7" t="str">
        <f>IF(ISBLANK(patch[[#This Row],[project]]), "",COUNTIFS($A:$A,patch[[#This Row],[number]],$S:$S, "FL And dev",$AD:$AD, "&lt;&gt;IntegratorValidationComment"))</f>
        <v/>
      </c>
      <c r="AB1660" s="7" t="str">
        <f>IF(ISBLANK(patch[[#This Row],[project]]), "",COUNTIFS($A:$A,patch[[#This Row],[number]],$S:$S, "SH And dev",$AD:$AD, "&lt;&gt;IntegratorValidationComment"))</f>
        <v/>
      </c>
      <c r="AC1660" s="7" t="str">
        <f>IF(OR(ISNUMBER(FIND("Review-1", patch[[#This Row],[comments]])), ISNUMBER(FIND("Approver-1", patch[[#This Row],[comments]]))), "Review-1", "")</f>
        <v/>
      </c>
      <c r="AD16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60" s="7">
        <f>IF(ISBLANK(patch[[#This Row],[number]]),AE1659,patch[[#This Row],[ifCommon]])</f>
        <v>0</v>
      </c>
    </row>
    <row r="1661" spans="1:31">
      <c r="A1661" s="151">
        <v>144766</v>
      </c>
      <c r="B1661" s="151"/>
      <c r="C1661" s="151"/>
      <c r="D1661" s="151"/>
      <c r="E1661" s="151"/>
      <c r="F1661" s="151"/>
      <c r="G1661" s="151"/>
      <c r="H1661" s="151"/>
      <c r="I1661" s="151"/>
      <c r="J1661" s="152">
        <v>42627.659791666672</v>
      </c>
      <c r="K1661" s="151"/>
      <c r="L1661" s="151" t="s">
        <v>55</v>
      </c>
      <c r="M1661" s="152">
        <v>42626.732002314813</v>
      </c>
      <c r="N1661" s="151" t="s">
        <v>31</v>
      </c>
      <c r="O1661" s="151"/>
      <c r="P1661" s="151"/>
      <c r="Q1661" s="7" t="str">
        <f>IF(ISBLANK(patch[[#This Row],[OwnerEmail]]),Q1660,patch[[#This Row],[OwnerEmail]])</f>
        <v>liang.l.yang@intel.com</v>
      </c>
      <c r="R1661" s="7" t="str">
        <f>_xlfn.IFNA(VLOOKUP(patch[[#This Row],[tmp-owner.email]],OrgTree!$A:$K, 11, 0), "not ICG SWFW")</f>
        <v>BJ And dev</v>
      </c>
      <c r="S1661" s="7" t="str">
        <f>IF(patch[[#This Row],[reviewer]]=patch[[#This Row],[tmp-owner.email]], "author", _xlfn.IFNA(VLOOKUP(patch[[#This Row],[reviewer]],OrgTree!$A:$K, 11, 0), "not ICG SWFW"))</f>
        <v>author</v>
      </c>
      <c r="T1661" s="7" t="str">
        <f>IF(ISBLANK(patch[[#This Row],[mergeDate]]), "", MID(YEAR(patch[[#This Row],[mergeDate]]), 3,2)&amp;"'ww"&amp;WEEKNUM(patch[[#This Row],[mergeDate]]))</f>
        <v>16'ww38</v>
      </c>
      <c r="U1661" s="7" t="str">
        <f>IF(ISBLANK(patch[[#This Row],[mergeDate]]), U1660, MID(YEAR(patch[[#This Row],[mergeDate]]), 3,2)&amp;"'m"&amp;MONTH(patch[[#This Row],[mergeDate]]))</f>
        <v>16'm9</v>
      </c>
      <c r="V1661" s="7" t="str">
        <f>IF(ISBLANK(patch[[#This Row],[project]]), "",SUM(patch[[#This Row],[BJ -1 num]:[SH -1 num]]))</f>
        <v/>
      </c>
      <c r="W1661" s="7" t="str">
        <f>IF(ISBLANK(patch[[#This Row],[project]]), "",COUNTIFS($A:$A,patch[[#This Row],[number]],$S:$S, "BJ And dev",$AC:$AC, "Review-1"))</f>
        <v/>
      </c>
      <c r="X1661" s="7" t="str">
        <f>IF(ISBLANK(patch[[#This Row],[project]]), "",COUNTIFS($A:$A,patch[[#This Row],[number]],$S:$S, "FL And dev",$AC:$AC, "Review-1"))</f>
        <v/>
      </c>
      <c r="Y1661" s="7" t="str">
        <f>IF(ISBLANK(patch[[#This Row],[project]]), "",COUNTIFS($A:$A,patch[[#This Row],[number]],$S:$S, "SH And dev",$AC:$AC, "Review-1"))</f>
        <v/>
      </c>
      <c r="Z1661" s="7" t="str">
        <f>IF(ISBLANK(patch[[#This Row],[project]]), "",COUNTIFS($A:$A,patch[[#This Row],[number]],$S:$S, "BJ And dev",$AD:$AD, "&lt;&gt;IntegratorValidationComment"))</f>
        <v/>
      </c>
      <c r="AA1661" s="7" t="str">
        <f>IF(ISBLANK(patch[[#This Row],[project]]), "",COUNTIFS($A:$A,patch[[#This Row],[number]],$S:$S, "FL And dev",$AD:$AD, "&lt;&gt;IntegratorValidationComment"))</f>
        <v/>
      </c>
      <c r="AB1661" s="7" t="str">
        <f>IF(ISBLANK(patch[[#This Row],[project]]), "",COUNTIFS($A:$A,patch[[#This Row],[number]],$S:$S, "SH And dev",$AD:$AD, "&lt;&gt;IntegratorValidationComment"))</f>
        <v/>
      </c>
      <c r="AC1661" s="7" t="str">
        <f>IF(OR(ISNUMBER(FIND("Review-1", patch[[#This Row],[comments]])), ISNUMBER(FIND("Approver-1", patch[[#This Row],[comments]]))), "Review-1", "")</f>
        <v/>
      </c>
      <c r="AD16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61" s="7">
        <f>IF(ISBLANK(patch[[#This Row],[number]]),AE1660,patch[[#This Row],[ifCommon]])</f>
        <v>0</v>
      </c>
    </row>
    <row r="1662" spans="1:31">
      <c r="A1662" s="151">
        <v>144766</v>
      </c>
      <c r="B1662" s="151"/>
      <c r="C1662" s="151"/>
      <c r="D1662" s="151"/>
      <c r="E1662" s="151"/>
      <c r="F1662" s="151"/>
      <c r="G1662" s="151"/>
      <c r="H1662" s="151"/>
      <c r="I1662" s="151"/>
      <c r="J1662" s="152">
        <v>42627.659791666672</v>
      </c>
      <c r="K1662" s="151"/>
      <c r="L1662" s="151" t="s">
        <v>59</v>
      </c>
      <c r="M1662" s="152">
        <v>42626.733240740738</v>
      </c>
      <c r="N1662" s="151" t="s">
        <v>3412</v>
      </c>
      <c r="O1662" s="151"/>
      <c r="P1662" s="151"/>
      <c r="Q1662" s="7" t="str">
        <f>IF(ISBLANK(patch[[#This Row],[OwnerEmail]]),Q1661,patch[[#This Row],[OwnerEmail]])</f>
        <v>liang.l.yang@intel.com</v>
      </c>
      <c r="R1662" s="7" t="str">
        <f>_xlfn.IFNA(VLOOKUP(patch[[#This Row],[tmp-owner.email]],OrgTree!$A:$K, 11, 0), "not ICG SWFW")</f>
        <v>BJ And dev</v>
      </c>
      <c r="S1662" s="7" t="str">
        <f>IF(patch[[#This Row],[reviewer]]=patch[[#This Row],[tmp-owner.email]], "author", _xlfn.IFNA(VLOOKUP(patch[[#This Row],[reviewer]],OrgTree!$A:$K, 11, 0), "not ICG SWFW"))</f>
        <v>BJ And dev</v>
      </c>
      <c r="T1662" s="7" t="str">
        <f>IF(ISBLANK(patch[[#This Row],[mergeDate]]), "", MID(YEAR(patch[[#This Row],[mergeDate]]), 3,2)&amp;"'ww"&amp;WEEKNUM(patch[[#This Row],[mergeDate]]))</f>
        <v>16'ww38</v>
      </c>
      <c r="U1662" s="7" t="str">
        <f>IF(ISBLANK(patch[[#This Row],[mergeDate]]), U1661, MID(YEAR(patch[[#This Row],[mergeDate]]), 3,2)&amp;"'m"&amp;MONTH(patch[[#This Row],[mergeDate]]))</f>
        <v>16'm9</v>
      </c>
      <c r="V1662" s="7" t="str">
        <f>IF(ISBLANK(patch[[#This Row],[project]]), "",SUM(patch[[#This Row],[BJ -1 num]:[SH -1 num]]))</f>
        <v/>
      </c>
      <c r="W1662" s="7" t="str">
        <f>IF(ISBLANK(patch[[#This Row],[project]]), "",COUNTIFS($A:$A,patch[[#This Row],[number]],$S:$S, "BJ And dev",$AC:$AC, "Review-1"))</f>
        <v/>
      </c>
      <c r="X1662" s="7" t="str">
        <f>IF(ISBLANK(patch[[#This Row],[project]]), "",COUNTIFS($A:$A,patch[[#This Row],[number]],$S:$S, "FL And dev",$AC:$AC, "Review-1"))</f>
        <v/>
      </c>
      <c r="Y1662" s="7" t="str">
        <f>IF(ISBLANK(patch[[#This Row],[project]]), "",COUNTIFS($A:$A,patch[[#This Row],[number]],$S:$S, "SH And dev",$AC:$AC, "Review-1"))</f>
        <v/>
      </c>
      <c r="Z1662" s="7" t="str">
        <f>IF(ISBLANK(patch[[#This Row],[project]]), "",COUNTIFS($A:$A,patch[[#This Row],[number]],$S:$S, "BJ And dev",$AD:$AD, "&lt;&gt;IntegratorValidationComment"))</f>
        <v/>
      </c>
      <c r="AA1662" s="7" t="str">
        <f>IF(ISBLANK(patch[[#This Row],[project]]), "",COUNTIFS($A:$A,patch[[#This Row],[number]],$S:$S, "FL And dev",$AD:$AD, "&lt;&gt;IntegratorValidationComment"))</f>
        <v/>
      </c>
      <c r="AB1662" s="7" t="str">
        <f>IF(ISBLANK(patch[[#This Row],[project]]), "",COUNTIFS($A:$A,patch[[#This Row],[number]],$S:$S, "SH And dev",$AD:$AD, "&lt;&gt;IntegratorValidationComment"))</f>
        <v/>
      </c>
      <c r="AC1662" s="7" t="str">
        <f>IF(OR(ISNUMBER(FIND("Review-1", patch[[#This Row],[comments]])), ISNUMBER(FIND("Approver-1", patch[[#This Row],[comments]]))), "Review-1", "")</f>
        <v/>
      </c>
      <c r="AD16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62" s="7">
        <f>IF(ISBLANK(patch[[#This Row],[number]]),AE1661,patch[[#This Row],[ifCommon]])</f>
        <v>0</v>
      </c>
    </row>
    <row r="1663" spans="1:31">
      <c r="A1663" s="151">
        <v>144766</v>
      </c>
      <c r="B1663" s="151"/>
      <c r="C1663" s="151"/>
      <c r="D1663" s="151"/>
      <c r="E1663" s="151"/>
      <c r="F1663" s="151"/>
      <c r="G1663" s="151"/>
      <c r="H1663" s="151"/>
      <c r="I1663" s="151"/>
      <c r="J1663" s="152">
        <v>42627.659791666672</v>
      </c>
      <c r="K1663" s="151"/>
      <c r="L1663" s="151" t="s">
        <v>59</v>
      </c>
      <c r="M1663" s="152">
        <v>42626.733344907407</v>
      </c>
      <c r="N1663" s="151" t="s">
        <v>31</v>
      </c>
      <c r="O1663" s="151"/>
      <c r="P1663" s="151"/>
      <c r="Q1663" s="7" t="str">
        <f>IF(ISBLANK(patch[[#This Row],[OwnerEmail]]),Q1662,patch[[#This Row],[OwnerEmail]])</f>
        <v>liang.l.yang@intel.com</v>
      </c>
      <c r="R1663" s="7" t="str">
        <f>_xlfn.IFNA(VLOOKUP(patch[[#This Row],[tmp-owner.email]],OrgTree!$A:$K, 11, 0), "not ICG SWFW")</f>
        <v>BJ And dev</v>
      </c>
      <c r="S1663" s="7" t="str">
        <f>IF(patch[[#This Row],[reviewer]]=patch[[#This Row],[tmp-owner.email]], "author", _xlfn.IFNA(VLOOKUP(patch[[#This Row],[reviewer]],OrgTree!$A:$K, 11, 0), "not ICG SWFW"))</f>
        <v>BJ And dev</v>
      </c>
      <c r="T1663" s="7" t="str">
        <f>IF(ISBLANK(patch[[#This Row],[mergeDate]]), "", MID(YEAR(patch[[#This Row],[mergeDate]]), 3,2)&amp;"'ww"&amp;WEEKNUM(patch[[#This Row],[mergeDate]]))</f>
        <v>16'ww38</v>
      </c>
      <c r="U1663" s="7" t="str">
        <f>IF(ISBLANK(patch[[#This Row],[mergeDate]]), U1662, MID(YEAR(patch[[#This Row],[mergeDate]]), 3,2)&amp;"'m"&amp;MONTH(patch[[#This Row],[mergeDate]]))</f>
        <v>16'm9</v>
      </c>
      <c r="V1663" s="7" t="str">
        <f>IF(ISBLANK(patch[[#This Row],[project]]), "",SUM(patch[[#This Row],[BJ -1 num]:[SH -1 num]]))</f>
        <v/>
      </c>
      <c r="W1663" s="7" t="str">
        <f>IF(ISBLANK(patch[[#This Row],[project]]), "",COUNTIFS($A:$A,patch[[#This Row],[number]],$S:$S, "BJ And dev",$AC:$AC, "Review-1"))</f>
        <v/>
      </c>
      <c r="X1663" s="7" t="str">
        <f>IF(ISBLANK(patch[[#This Row],[project]]), "",COUNTIFS($A:$A,patch[[#This Row],[number]],$S:$S, "FL And dev",$AC:$AC, "Review-1"))</f>
        <v/>
      </c>
      <c r="Y1663" s="7" t="str">
        <f>IF(ISBLANK(patch[[#This Row],[project]]), "",COUNTIFS($A:$A,patch[[#This Row],[number]],$S:$S, "SH And dev",$AC:$AC, "Review-1"))</f>
        <v/>
      </c>
      <c r="Z1663" s="7" t="str">
        <f>IF(ISBLANK(patch[[#This Row],[project]]), "",COUNTIFS($A:$A,patch[[#This Row],[number]],$S:$S, "BJ And dev",$AD:$AD, "&lt;&gt;IntegratorValidationComment"))</f>
        <v/>
      </c>
      <c r="AA1663" s="7" t="str">
        <f>IF(ISBLANK(patch[[#This Row],[project]]), "",COUNTIFS($A:$A,patch[[#This Row],[number]],$S:$S, "FL And dev",$AD:$AD, "&lt;&gt;IntegratorValidationComment"))</f>
        <v/>
      </c>
      <c r="AB1663" s="7" t="str">
        <f>IF(ISBLANK(patch[[#This Row],[project]]), "",COUNTIFS($A:$A,patch[[#This Row],[number]],$S:$S, "SH And dev",$AD:$AD, "&lt;&gt;IntegratorValidationComment"))</f>
        <v/>
      </c>
      <c r="AC1663" s="7" t="str">
        <f>IF(OR(ISNUMBER(FIND("Review-1", patch[[#This Row],[comments]])), ISNUMBER(FIND("Approver-1", patch[[#This Row],[comments]]))), "Review-1", "")</f>
        <v/>
      </c>
      <c r="AD16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63" s="7">
        <f>IF(ISBLANK(patch[[#This Row],[number]]),AE1662,patch[[#This Row],[ifCommon]])</f>
        <v>0</v>
      </c>
    </row>
    <row r="1664" spans="1:31">
      <c r="A1664" s="151">
        <v>144766</v>
      </c>
      <c r="B1664" s="151"/>
      <c r="C1664" s="151"/>
      <c r="D1664" s="151"/>
      <c r="E1664" s="151"/>
      <c r="F1664" s="151"/>
      <c r="G1664" s="151"/>
      <c r="H1664" s="151"/>
      <c r="I1664" s="151"/>
      <c r="J1664" s="152">
        <v>42627.659791666672</v>
      </c>
      <c r="K1664" s="151"/>
      <c r="L1664" s="151" t="s">
        <v>59</v>
      </c>
      <c r="M1664" s="152">
        <v>42626.734189814822</v>
      </c>
      <c r="N1664" s="151" t="s">
        <v>1898</v>
      </c>
      <c r="O1664" s="151"/>
      <c r="P1664" s="151"/>
      <c r="Q1664" s="7" t="str">
        <f>IF(ISBLANK(patch[[#This Row],[OwnerEmail]]),Q1663,patch[[#This Row],[OwnerEmail]])</f>
        <v>liang.l.yang@intel.com</v>
      </c>
      <c r="R1664" s="7" t="str">
        <f>_xlfn.IFNA(VLOOKUP(patch[[#This Row],[tmp-owner.email]],OrgTree!$A:$K, 11, 0), "not ICG SWFW")</f>
        <v>BJ And dev</v>
      </c>
      <c r="S1664" s="7" t="str">
        <f>IF(patch[[#This Row],[reviewer]]=patch[[#This Row],[tmp-owner.email]], "author", _xlfn.IFNA(VLOOKUP(patch[[#This Row],[reviewer]],OrgTree!$A:$K, 11, 0), "not ICG SWFW"))</f>
        <v>BJ And dev</v>
      </c>
      <c r="T1664" s="7" t="str">
        <f>IF(ISBLANK(patch[[#This Row],[mergeDate]]), "", MID(YEAR(patch[[#This Row],[mergeDate]]), 3,2)&amp;"'ww"&amp;WEEKNUM(patch[[#This Row],[mergeDate]]))</f>
        <v>16'ww38</v>
      </c>
      <c r="U1664" s="7" t="str">
        <f>IF(ISBLANK(patch[[#This Row],[mergeDate]]), U1663, MID(YEAR(patch[[#This Row],[mergeDate]]), 3,2)&amp;"'m"&amp;MONTH(patch[[#This Row],[mergeDate]]))</f>
        <v>16'm9</v>
      </c>
      <c r="V1664" s="7" t="str">
        <f>IF(ISBLANK(patch[[#This Row],[project]]), "",SUM(patch[[#This Row],[BJ -1 num]:[SH -1 num]]))</f>
        <v/>
      </c>
      <c r="W1664" s="7" t="str">
        <f>IF(ISBLANK(patch[[#This Row],[project]]), "",COUNTIFS($A:$A,patch[[#This Row],[number]],$S:$S, "BJ And dev",$AC:$AC, "Review-1"))</f>
        <v/>
      </c>
      <c r="X1664" s="7" t="str">
        <f>IF(ISBLANK(patch[[#This Row],[project]]), "",COUNTIFS($A:$A,patch[[#This Row],[number]],$S:$S, "FL And dev",$AC:$AC, "Review-1"))</f>
        <v/>
      </c>
      <c r="Y1664" s="7" t="str">
        <f>IF(ISBLANK(patch[[#This Row],[project]]), "",COUNTIFS($A:$A,patch[[#This Row],[number]],$S:$S, "SH And dev",$AC:$AC, "Review-1"))</f>
        <v/>
      </c>
      <c r="Z1664" s="7" t="str">
        <f>IF(ISBLANK(patch[[#This Row],[project]]), "",COUNTIFS($A:$A,patch[[#This Row],[number]],$S:$S, "BJ And dev",$AD:$AD, "&lt;&gt;IntegratorValidationComment"))</f>
        <v/>
      </c>
      <c r="AA1664" s="7" t="str">
        <f>IF(ISBLANK(patch[[#This Row],[project]]), "",COUNTIFS($A:$A,patch[[#This Row],[number]],$S:$S, "FL And dev",$AD:$AD, "&lt;&gt;IntegratorValidationComment"))</f>
        <v/>
      </c>
      <c r="AB1664" s="7" t="str">
        <f>IF(ISBLANK(patch[[#This Row],[project]]), "",COUNTIFS($A:$A,patch[[#This Row],[number]],$S:$S, "SH And dev",$AD:$AD, "&lt;&gt;IntegratorValidationComment"))</f>
        <v/>
      </c>
      <c r="AC1664" s="7" t="str">
        <f>IF(OR(ISNUMBER(FIND("Review-1", patch[[#This Row],[comments]])), ISNUMBER(FIND("Approver-1", patch[[#This Row],[comments]]))), "Review-1", "")</f>
        <v/>
      </c>
      <c r="AD16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64" s="7">
        <f>IF(ISBLANK(patch[[#This Row],[number]]),AE1663,patch[[#This Row],[ifCommon]])</f>
        <v>0</v>
      </c>
    </row>
    <row r="1665" spans="1:31">
      <c r="A1665" s="151">
        <v>144766</v>
      </c>
      <c r="B1665" s="151"/>
      <c r="C1665" s="151"/>
      <c r="D1665" s="151"/>
      <c r="E1665" s="151"/>
      <c r="F1665" s="151"/>
      <c r="G1665" s="151"/>
      <c r="H1665" s="151"/>
      <c r="I1665" s="151"/>
      <c r="J1665" s="152">
        <v>42627.659791666672</v>
      </c>
      <c r="K1665" s="151"/>
      <c r="L1665" s="151" t="s">
        <v>59</v>
      </c>
      <c r="M1665" s="152">
        <v>42626.737870370373</v>
      </c>
      <c r="N1665" s="151" t="s">
        <v>3413</v>
      </c>
      <c r="O1665" s="151"/>
      <c r="P1665" s="151"/>
      <c r="Q1665" s="7" t="str">
        <f>IF(ISBLANK(patch[[#This Row],[OwnerEmail]]),Q1664,patch[[#This Row],[OwnerEmail]])</f>
        <v>liang.l.yang@intel.com</v>
      </c>
      <c r="R1665" s="7" t="str">
        <f>_xlfn.IFNA(VLOOKUP(patch[[#This Row],[tmp-owner.email]],OrgTree!$A:$K, 11, 0), "not ICG SWFW")</f>
        <v>BJ And dev</v>
      </c>
      <c r="S1665" s="7" t="str">
        <f>IF(patch[[#This Row],[reviewer]]=patch[[#This Row],[tmp-owner.email]], "author", _xlfn.IFNA(VLOOKUP(patch[[#This Row],[reviewer]],OrgTree!$A:$K, 11, 0), "not ICG SWFW"))</f>
        <v>BJ And dev</v>
      </c>
      <c r="T1665" s="7" t="str">
        <f>IF(ISBLANK(patch[[#This Row],[mergeDate]]), "", MID(YEAR(patch[[#This Row],[mergeDate]]), 3,2)&amp;"'ww"&amp;WEEKNUM(patch[[#This Row],[mergeDate]]))</f>
        <v>16'ww38</v>
      </c>
      <c r="U1665" s="7" t="str">
        <f>IF(ISBLANK(patch[[#This Row],[mergeDate]]), U1664, MID(YEAR(patch[[#This Row],[mergeDate]]), 3,2)&amp;"'m"&amp;MONTH(patch[[#This Row],[mergeDate]]))</f>
        <v>16'm9</v>
      </c>
      <c r="V1665" s="7" t="str">
        <f>IF(ISBLANK(patch[[#This Row],[project]]), "",SUM(patch[[#This Row],[BJ -1 num]:[SH -1 num]]))</f>
        <v/>
      </c>
      <c r="W1665" s="7" t="str">
        <f>IF(ISBLANK(patch[[#This Row],[project]]), "",COUNTIFS($A:$A,patch[[#This Row],[number]],$S:$S, "BJ And dev",$AC:$AC, "Review-1"))</f>
        <v/>
      </c>
      <c r="X1665" s="7" t="str">
        <f>IF(ISBLANK(patch[[#This Row],[project]]), "",COUNTIFS($A:$A,patch[[#This Row],[number]],$S:$S, "FL And dev",$AC:$AC, "Review-1"))</f>
        <v/>
      </c>
      <c r="Y1665" s="7" t="str">
        <f>IF(ISBLANK(patch[[#This Row],[project]]), "",COUNTIFS($A:$A,patch[[#This Row],[number]],$S:$S, "SH And dev",$AC:$AC, "Review-1"))</f>
        <v/>
      </c>
      <c r="Z1665" s="7" t="str">
        <f>IF(ISBLANK(patch[[#This Row],[project]]), "",COUNTIFS($A:$A,patch[[#This Row],[number]],$S:$S, "BJ And dev",$AD:$AD, "&lt;&gt;IntegratorValidationComment"))</f>
        <v/>
      </c>
      <c r="AA1665" s="7" t="str">
        <f>IF(ISBLANK(patch[[#This Row],[project]]), "",COUNTIFS($A:$A,patch[[#This Row],[number]],$S:$S, "FL And dev",$AD:$AD, "&lt;&gt;IntegratorValidationComment"))</f>
        <v/>
      </c>
      <c r="AB1665" s="7" t="str">
        <f>IF(ISBLANK(patch[[#This Row],[project]]), "",COUNTIFS($A:$A,patch[[#This Row],[number]],$S:$S, "SH And dev",$AD:$AD, "&lt;&gt;IntegratorValidationComment"))</f>
        <v/>
      </c>
      <c r="AC1665" s="7" t="str">
        <f>IF(OR(ISNUMBER(FIND("Review-1", patch[[#This Row],[comments]])), ISNUMBER(FIND("Approver-1", patch[[#This Row],[comments]]))), "Review-1", "")</f>
        <v/>
      </c>
      <c r="AD16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65" s="7">
        <f>IF(ISBLANK(patch[[#This Row],[number]]),AE1664,patch[[#This Row],[ifCommon]])</f>
        <v>0</v>
      </c>
    </row>
    <row r="1666" spans="1:31">
      <c r="A1666" s="151">
        <v>144766</v>
      </c>
      <c r="B1666" s="151"/>
      <c r="C1666" s="151"/>
      <c r="D1666" s="151"/>
      <c r="E1666" s="151"/>
      <c r="F1666" s="151"/>
      <c r="G1666" s="151"/>
      <c r="H1666" s="151"/>
      <c r="I1666" s="151"/>
      <c r="J1666" s="152">
        <v>42627.659791666672</v>
      </c>
      <c r="K1666" s="151"/>
      <c r="L1666" s="151" t="s">
        <v>59</v>
      </c>
      <c r="M1666" s="152">
        <v>42626.740624999999</v>
      </c>
      <c r="N1666" s="151" t="s">
        <v>3414</v>
      </c>
      <c r="O1666" s="151"/>
      <c r="P1666" s="151"/>
      <c r="Q1666" s="7" t="str">
        <f>IF(ISBLANK(patch[[#This Row],[OwnerEmail]]),Q1665,patch[[#This Row],[OwnerEmail]])</f>
        <v>liang.l.yang@intel.com</v>
      </c>
      <c r="R1666" s="7" t="str">
        <f>_xlfn.IFNA(VLOOKUP(patch[[#This Row],[tmp-owner.email]],OrgTree!$A:$K, 11, 0), "not ICG SWFW")</f>
        <v>BJ And dev</v>
      </c>
      <c r="S1666" s="7" t="str">
        <f>IF(patch[[#This Row],[reviewer]]=patch[[#This Row],[tmp-owner.email]], "author", _xlfn.IFNA(VLOOKUP(patch[[#This Row],[reviewer]],OrgTree!$A:$K, 11, 0), "not ICG SWFW"))</f>
        <v>BJ And dev</v>
      </c>
      <c r="T1666" s="7" t="str">
        <f>IF(ISBLANK(patch[[#This Row],[mergeDate]]), "", MID(YEAR(patch[[#This Row],[mergeDate]]), 3,2)&amp;"'ww"&amp;WEEKNUM(patch[[#This Row],[mergeDate]]))</f>
        <v>16'ww38</v>
      </c>
      <c r="U1666" s="7" t="str">
        <f>IF(ISBLANK(patch[[#This Row],[mergeDate]]), U1665, MID(YEAR(patch[[#This Row],[mergeDate]]), 3,2)&amp;"'m"&amp;MONTH(patch[[#This Row],[mergeDate]]))</f>
        <v>16'm9</v>
      </c>
      <c r="V1666" s="7" t="str">
        <f>IF(ISBLANK(patch[[#This Row],[project]]), "",SUM(patch[[#This Row],[BJ -1 num]:[SH -1 num]]))</f>
        <v/>
      </c>
      <c r="W1666" s="7" t="str">
        <f>IF(ISBLANK(patch[[#This Row],[project]]), "",COUNTIFS($A:$A,patch[[#This Row],[number]],$S:$S, "BJ And dev",$AC:$AC, "Review-1"))</f>
        <v/>
      </c>
      <c r="X1666" s="7" t="str">
        <f>IF(ISBLANK(patch[[#This Row],[project]]), "",COUNTIFS($A:$A,patch[[#This Row],[number]],$S:$S, "FL And dev",$AC:$AC, "Review-1"))</f>
        <v/>
      </c>
      <c r="Y1666" s="7" t="str">
        <f>IF(ISBLANK(patch[[#This Row],[project]]), "",COUNTIFS($A:$A,patch[[#This Row],[number]],$S:$S, "SH And dev",$AC:$AC, "Review-1"))</f>
        <v/>
      </c>
      <c r="Z1666" s="7" t="str">
        <f>IF(ISBLANK(patch[[#This Row],[project]]), "",COUNTIFS($A:$A,patch[[#This Row],[number]],$S:$S, "BJ And dev",$AD:$AD, "&lt;&gt;IntegratorValidationComment"))</f>
        <v/>
      </c>
      <c r="AA1666" s="7" t="str">
        <f>IF(ISBLANK(patch[[#This Row],[project]]), "",COUNTIFS($A:$A,patch[[#This Row],[number]],$S:$S, "FL And dev",$AD:$AD, "&lt;&gt;IntegratorValidationComment"))</f>
        <v/>
      </c>
      <c r="AB1666" s="7" t="str">
        <f>IF(ISBLANK(patch[[#This Row],[project]]), "",COUNTIFS($A:$A,patch[[#This Row],[number]],$S:$S, "SH And dev",$AD:$AD, "&lt;&gt;IntegratorValidationComment"))</f>
        <v/>
      </c>
      <c r="AC1666" s="7" t="str">
        <f>IF(OR(ISNUMBER(FIND("Review-1", patch[[#This Row],[comments]])), ISNUMBER(FIND("Approver-1", patch[[#This Row],[comments]]))), "Review-1", "")</f>
        <v/>
      </c>
      <c r="AD16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66" s="7">
        <f>IF(ISBLANK(patch[[#This Row],[number]]),AE1665,patch[[#This Row],[ifCommon]])</f>
        <v>0</v>
      </c>
    </row>
    <row r="1667" spans="1:31">
      <c r="A1667" s="151">
        <v>144766</v>
      </c>
      <c r="B1667" s="151"/>
      <c r="C1667" s="151"/>
      <c r="D1667" s="151"/>
      <c r="E1667" s="151"/>
      <c r="F1667" s="151"/>
      <c r="G1667" s="151"/>
      <c r="H1667" s="151"/>
      <c r="I1667" s="151"/>
      <c r="J1667" s="152">
        <v>42627.659791666672</v>
      </c>
      <c r="K1667" s="151"/>
      <c r="L1667" s="151" t="s">
        <v>55</v>
      </c>
      <c r="M1667" s="152">
        <v>42626.741319444453</v>
      </c>
      <c r="N1667" s="151" t="s">
        <v>2452</v>
      </c>
      <c r="O1667" s="151"/>
      <c r="P1667" s="151"/>
      <c r="Q1667" s="7" t="str">
        <f>IF(ISBLANK(patch[[#This Row],[OwnerEmail]]),Q1666,patch[[#This Row],[OwnerEmail]])</f>
        <v>liang.l.yang@intel.com</v>
      </c>
      <c r="R1667" s="7" t="str">
        <f>_xlfn.IFNA(VLOOKUP(patch[[#This Row],[tmp-owner.email]],OrgTree!$A:$K, 11, 0), "not ICG SWFW")</f>
        <v>BJ And dev</v>
      </c>
      <c r="S1667" s="7" t="str">
        <f>IF(patch[[#This Row],[reviewer]]=patch[[#This Row],[tmp-owner.email]], "author", _xlfn.IFNA(VLOOKUP(patch[[#This Row],[reviewer]],OrgTree!$A:$K, 11, 0), "not ICG SWFW"))</f>
        <v>author</v>
      </c>
      <c r="T1667" s="7" t="str">
        <f>IF(ISBLANK(patch[[#This Row],[mergeDate]]), "", MID(YEAR(patch[[#This Row],[mergeDate]]), 3,2)&amp;"'ww"&amp;WEEKNUM(patch[[#This Row],[mergeDate]]))</f>
        <v>16'ww38</v>
      </c>
      <c r="U1667" s="7" t="str">
        <f>IF(ISBLANK(patch[[#This Row],[mergeDate]]), U1666, MID(YEAR(patch[[#This Row],[mergeDate]]), 3,2)&amp;"'m"&amp;MONTH(patch[[#This Row],[mergeDate]]))</f>
        <v>16'm9</v>
      </c>
      <c r="V1667" s="7" t="str">
        <f>IF(ISBLANK(patch[[#This Row],[project]]), "",SUM(patch[[#This Row],[BJ -1 num]:[SH -1 num]]))</f>
        <v/>
      </c>
      <c r="W1667" s="7" t="str">
        <f>IF(ISBLANK(patch[[#This Row],[project]]), "",COUNTIFS($A:$A,patch[[#This Row],[number]],$S:$S, "BJ And dev",$AC:$AC, "Review-1"))</f>
        <v/>
      </c>
      <c r="X1667" s="7" t="str">
        <f>IF(ISBLANK(patch[[#This Row],[project]]), "",COUNTIFS($A:$A,patch[[#This Row],[number]],$S:$S, "FL And dev",$AC:$AC, "Review-1"))</f>
        <v/>
      </c>
      <c r="Y1667" s="7" t="str">
        <f>IF(ISBLANK(patch[[#This Row],[project]]), "",COUNTIFS($A:$A,patch[[#This Row],[number]],$S:$S, "SH And dev",$AC:$AC, "Review-1"))</f>
        <v/>
      </c>
      <c r="Z1667" s="7" t="str">
        <f>IF(ISBLANK(patch[[#This Row],[project]]), "",COUNTIFS($A:$A,patch[[#This Row],[number]],$S:$S, "BJ And dev",$AD:$AD, "&lt;&gt;IntegratorValidationComment"))</f>
        <v/>
      </c>
      <c r="AA1667" s="7" t="str">
        <f>IF(ISBLANK(patch[[#This Row],[project]]), "",COUNTIFS($A:$A,patch[[#This Row],[number]],$S:$S, "FL And dev",$AD:$AD, "&lt;&gt;IntegratorValidationComment"))</f>
        <v/>
      </c>
      <c r="AB1667" s="7" t="str">
        <f>IF(ISBLANK(patch[[#This Row],[project]]), "",COUNTIFS($A:$A,patch[[#This Row],[number]],$S:$S, "SH And dev",$AD:$AD, "&lt;&gt;IntegratorValidationComment"))</f>
        <v/>
      </c>
      <c r="AC1667" s="7" t="str">
        <f>IF(OR(ISNUMBER(FIND("Review-1", patch[[#This Row],[comments]])), ISNUMBER(FIND("Approver-1", patch[[#This Row],[comments]]))), "Review-1", "")</f>
        <v/>
      </c>
      <c r="AD16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67" s="7">
        <f>IF(ISBLANK(patch[[#This Row],[number]]),AE1666,patch[[#This Row],[ifCommon]])</f>
        <v>0</v>
      </c>
    </row>
    <row r="1668" spans="1:31">
      <c r="A1668" s="151">
        <v>144766</v>
      </c>
      <c r="B1668" s="151"/>
      <c r="C1668" s="151"/>
      <c r="D1668" s="151"/>
      <c r="E1668" s="151"/>
      <c r="F1668" s="151"/>
      <c r="G1668" s="151"/>
      <c r="H1668" s="151"/>
      <c r="I1668" s="151"/>
      <c r="J1668" s="152">
        <v>42627.659791666672</v>
      </c>
      <c r="K1668" s="151"/>
      <c r="L1668" s="151" t="s">
        <v>55</v>
      </c>
      <c r="M1668" s="152">
        <v>42626.741319444453</v>
      </c>
      <c r="N1668" s="151" t="s">
        <v>2453</v>
      </c>
      <c r="O1668" s="151"/>
      <c r="P1668" s="151"/>
      <c r="Q1668" s="7" t="str">
        <f>IF(ISBLANK(patch[[#This Row],[OwnerEmail]]),Q1667,patch[[#This Row],[OwnerEmail]])</f>
        <v>liang.l.yang@intel.com</v>
      </c>
      <c r="R1668" s="7" t="str">
        <f>_xlfn.IFNA(VLOOKUP(patch[[#This Row],[tmp-owner.email]],OrgTree!$A:$K, 11, 0), "not ICG SWFW")</f>
        <v>BJ And dev</v>
      </c>
      <c r="S1668" s="7" t="str">
        <f>IF(patch[[#This Row],[reviewer]]=patch[[#This Row],[tmp-owner.email]], "author", _xlfn.IFNA(VLOOKUP(patch[[#This Row],[reviewer]],OrgTree!$A:$K, 11, 0), "not ICG SWFW"))</f>
        <v>author</v>
      </c>
      <c r="T1668" s="7" t="str">
        <f>IF(ISBLANK(patch[[#This Row],[mergeDate]]), "", MID(YEAR(patch[[#This Row],[mergeDate]]), 3,2)&amp;"'ww"&amp;WEEKNUM(patch[[#This Row],[mergeDate]]))</f>
        <v>16'ww38</v>
      </c>
      <c r="U1668" s="7" t="str">
        <f>IF(ISBLANK(patch[[#This Row],[mergeDate]]), U1667, MID(YEAR(patch[[#This Row],[mergeDate]]), 3,2)&amp;"'m"&amp;MONTH(patch[[#This Row],[mergeDate]]))</f>
        <v>16'm9</v>
      </c>
      <c r="V1668" s="7" t="str">
        <f>IF(ISBLANK(patch[[#This Row],[project]]), "",SUM(patch[[#This Row],[BJ -1 num]:[SH -1 num]]))</f>
        <v/>
      </c>
      <c r="W1668" s="7" t="str">
        <f>IF(ISBLANK(patch[[#This Row],[project]]), "",COUNTIFS($A:$A,patch[[#This Row],[number]],$S:$S, "BJ And dev",$AC:$AC, "Review-1"))</f>
        <v/>
      </c>
      <c r="X1668" s="7" t="str">
        <f>IF(ISBLANK(patch[[#This Row],[project]]), "",COUNTIFS($A:$A,patch[[#This Row],[number]],$S:$S, "FL And dev",$AC:$AC, "Review-1"))</f>
        <v/>
      </c>
      <c r="Y1668" s="7" t="str">
        <f>IF(ISBLANK(patch[[#This Row],[project]]), "",COUNTIFS($A:$A,patch[[#This Row],[number]],$S:$S, "SH And dev",$AC:$AC, "Review-1"))</f>
        <v/>
      </c>
      <c r="Z1668" s="7" t="str">
        <f>IF(ISBLANK(patch[[#This Row],[project]]), "",COUNTIFS($A:$A,patch[[#This Row],[number]],$S:$S, "BJ And dev",$AD:$AD, "&lt;&gt;IntegratorValidationComment"))</f>
        <v/>
      </c>
      <c r="AA1668" s="7" t="str">
        <f>IF(ISBLANK(patch[[#This Row],[project]]), "",COUNTIFS($A:$A,patch[[#This Row],[number]],$S:$S, "FL And dev",$AD:$AD, "&lt;&gt;IntegratorValidationComment"))</f>
        <v/>
      </c>
      <c r="AB1668" s="7" t="str">
        <f>IF(ISBLANK(patch[[#This Row],[project]]), "",COUNTIFS($A:$A,patch[[#This Row],[number]],$S:$S, "SH And dev",$AD:$AD, "&lt;&gt;IntegratorValidationComment"))</f>
        <v/>
      </c>
      <c r="AC1668" s="7" t="str">
        <f>IF(OR(ISNUMBER(FIND("Review-1", patch[[#This Row],[comments]])), ISNUMBER(FIND("Approver-1", patch[[#This Row],[comments]]))), "Review-1", "")</f>
        <v/>
      </c>
      <c r="AD16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68" s="7">
        <f>IF(ISBLANK(patch[[#This Row],[number]]),AE1667,patch[[#This Row],[ifCommon]])</f>
        <v>0</v>
      </c>
    </row>
    <row r="1669" spans="1:31">
      <c r="A1669" s="151">
        <v>144766</v>
      </c>
      <c r="B1669" s="151"/>
      <c r="C1669" s="151"/>
      <c r="D1669" s="151"/>
      <c r="E1669" s="151"/>
      <c r="F1669" s="151"/>
      <c r="G1669" s="151"/>
      <c r="H1669" s="151"/>
      <c r="I1669" s="151"/>
      <c r="J1669" s="152">
        <v>42627.659791666672</v>
      </c>
      <c r="K1669" s="151"/>
      <c r="L1669" s="151" t="s">
        <v>59</v>
      </c>
      <c r="M1669" s="152">
        <v>42626.744525462957</v>
      </c>
      <c r="N1669" s="151" t="s">
        <v>3415</v>
      </c>
      <c r="O1669" s="151"/>
      <c r="P1669" s="151"/>
      <c r="Q1669" s="7" t="str">
        <f>IF(ISBLANK(patch[[#This Row],[OwnerEmail]]),Q1668,patch[[#This Row],[OwnerEmail]])</f>
        <v>liang.l.yang@intel.com</v>
      </c>
      <c r="R1669" s="7" t="str">
        <f>_xlfn.IFNA(VLOOKUP(patch[[#This Row],[tmp-owner.email]],OrgTree!$A:$K, 11, 0), "not ICG SWFW")</f>
        <v>BJ And dev</v>
      </c>
      <c r="S1669" s="7" t="str">
        <f>IF(patch[[#This Row],[reviewer]]=patch[[#This Row],[tmp-owner.email]], "author", _xlfn.IFNA(VLOOKUP(patch[[#This Row],[reviewer]],OrgTree!$A:$K, 11, 0), "not ICG SWFW"))</f>
        <v>BJ And dev</v>
      </c>
      <c r="T1669" s="7" t="str">
        <f>IF(ISBLANK(patch[[#This Row],[mergeDate]]), "", MID(YEAR(patch[[#This Row],[mergeDate]]), 3,2)&amp;"'ww"&amp;WEEKNUM(patch[[#This Row],[mergeDate]]))</f>
        <v>16'ww38</v>
      </c>
      <c r="U1669" s="7" t="str">
        <f>IF(ISBLANK(patch[[#This Row],[mergeDate]]), U1668, MID(YEAR(patch[[#This Row],[mergeDate]]), 3,2)&amp;"'m"&amp;MONTH(patch[[#This Row],[mergeDate]]))</f>
        <v>16'm9</v>
      </c>
      <c r="V1669" s="7" t="str">
        <f>IF(ISBLANK(patch[[#This Row],[project]]), "",SUM(patch[[#This Row],[BJ -1 num]:[SH -1 num]]))</f>
        <v/>
      </c>
      <c r="W1669" s="7" t="str">
        <f>IF(ISBLANK(patch[[#This Row],[project]]), "",COUNTIFS($A:$A,patch[[#This Row],[number]],$S:$S, "BJ And dev",$AC:$AC, "Review-1"))</f>
        <v/>
      </c>
      <c r="X1669" s="7" t="str">
        <f>IF(ISBLANK(patch[[#This Row],[project]]), "",COUNTIFS($A:$A,patch[[#This Row],[number]],$S:$S, "FL And dev",$AC:$AC, "Review-1"))</f>
        <v/>
      </c>
      <c r="Y1669" s="7" t="str">
        <f>IF(ISBLANK(patch[[#This Row],[project]]), "",COUNTIFS($A:$A,patch[[#This Row],[number]],$S:$S, "SH And dev",$AC:$AC, "Review-1"))</f>
        <v/>
      </c>
      <c r="Z1669" s="7" t="str">
        <f>IF(ISBLANK(patch[[#This Row],[project]]), "",COUNTIFS($A:$A,patch[[#This Row],[number]],$S:$S, "BJ And dev",$AD:$AD, "&lt;&gt;IntegratorValidationComment"))</f>
        <v/>
      </c>
      <c r="AA1669" s="7" t="str">
        <f>IF(ISBLANK(patch[[#This Row],[project]]), "",COUNTIFS($A:$A,patch[[#This Row],[number]],$S:$S, "FL And dev",$AD:$AD, "&lt;&gt;IntegratorValidationComment"))</f>
        <v/>
      </c>
      <c r="AB1669" s="7" t="str">
        <f>IF(ISBLANK(patch[[#This Row],[project]]), "",COUNTIFS($A:$A,patch[[#This Row],[number]],$S:$S, "SH And dev",$AD:$AD, "&lt;&gt;IntegratorValidationComment"))</f>
        <v/>
      </c>
      <c r="AC1669" s="7" t="str">
        <f>IF(OR(ISNUMBER(FIND("Review-1", patch[[#This Row],[comments]])), ISNUMBER(FIND("Approver-1", patch[[#This Row],[comments]]))), "Review-1", "")</f>
        <v/>
      </c>
      <c r="AD16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69" s="7">
        <f>IF(ISBLANK(patch[[#This Row],[number]]),AE1668,patch[[#This Row],[ifCommon]])</f>
        <v>0</v>
      </c>
    </row>
    <row r="1670" spans="1:31">
      <c r="A1670" s="151">
        <v>144766</v>
      </c>
      <c r="B1670" s="151"/>
      <c r="C1670" s="151"/>
      <c r="D1670" s="151"/>
      <c r="E1670" s="151"/>
      <c r="F1670" s="151"/>
      <c r="G1670" s="151"/>
      <c r="H1670" s="151"/>
      <c r="I1670" s="151"/>
      <c r="J1670" s="152">
        <v>42627.659791666672</v>
      </c>
      <c r="K1670" s="151"/>
      <c r="L1670" s="151" t="s">
        <v>59</v>
      </c>
      <c r="M1670" s="152">
        <v>42626.746979166674</v>
      </c>
      <c r="N1670" s="151" t="s">
        <v>3416</v>
      </c>
      <c r="O1670" s="151"/>
      <c r="P1670" s="151"/>
      <c r="Q1670" s="7" t="str">
        <f>IF(ISBLANK(patch[[#This Row],[OwnerEmail]]),Q1669,patch[[#This Row],[OwnerEmail]])</f>
        <v>liang.l.yang@intel.com</v>
      </c>
      <c r="R1670" s="7" t="str">
        <f>_xlfn.IFNA(VLOOKUP(patch[[#This Row],[tmp-owner.email]],OrgTree!$A:$K, 11, 0), "not ICG SWFW")</f>
        <v>BJ And dev</v>
      </c>
      <c r="S1670" s="7" t="str">
        <f>IF(patch[[#This Row],[reviewer]]=patch[[#This Row],[tmp-owner.email]], "author", _xlfn.IFNA(VLOOKUP(patch[[#This Row],[reviewer]],OrgTree!$A:$K, 11, 0), "not ICG SWFW"))</f>
        <v>BJ And dev</v>
      </c>
      <c r="T1670" s="7" t="str">
        <f>IF(ISBLANK(patch[[#This Row],[mergeDate]]), "", MID(YEAR(patch[[#This Row],[mergeDate]]), 3,2)&amp;"'ww"&amp;WEEKNUM(patch[[#This Row],[mergeDate]]))</f>
        <v>16'ww38</v>
      </c>
      <c r="U1670" s="7" t="str">
        <f>IF(ISBLANK(patch[[#This Row],[mergeDate]]), U1669, MID(YEAR(patch[[#This Row],[mergeDate]]), 3,2)&amp;"'m"&amp;MONTH(patch[[#This Row],[mergeDate]]))</f>
        <v>16'm9</v>
      </c>
      <c r="V1670" s="7" t="str">
        <f>IF(ISBLANK(patch[[#This Row],[project]]), "",SUM(patch[[#This Row],[BJ -1 num]:[SH -1 num]]))</f>
        <v/>
      </c>
      <c r="W1670" s="7" t="str">
        <f>IF(ISBLANK(patch[[#This Row],[project]]), "",COUNTIFS($A:$A,patch[[#This Row],[number]],$S:$S, "BJ And dev",$AC:$AC, "Review-1"))</f>
        <v/>
      </c>
      <c r="X1670" s="7" t="str">
        <f>IF(ISBLANK(patch[[#This Row],[project]]), "",COUNTIFS($A:$A,patch[[#This Row],[number]],$S:$S, "FL And dev",$AC:$AC, "Review-1"))</f>
        <v/>
      </c>
      <c r="Y1670" s="7" t="str">
        <f>IF(ISBLANK(patch[[#This Row],[project]]), "",COUNTIFS($A:$A,patch[[#This Row],[number]],$S:$S, "SH And dev",$AC:$AC, "Review-1"))</f>
        <v/>
      </c>
      <c r="Z1670" s="7" t="str">
        <f>IF(ISBLANK(patch[[#This Row],[project]]), "",COUNTIFS($A:$A,patch[[#This Row],[number]],$S:$S, "BJ And dev",$AD:$AD, "&lt;&gt;IntegratorValidationComment"))</f>
        <v/>
      </c>
      <c r="AA1670" s="7" t="str">
        <f>IF(ISBLANK(patch[[#This Row],[project]]), "",COUNTIFS($A:$A,patch[[#This Row],[number]],$S:$S, "FL And dev",$AD:$AD, "&lt;&gt;IntegratorValidationComment"))</f>
        <v/>
      </c>
      <c r="AB1670" s="7" t="str">
        <f>IF(ISBLANK(patch[[#This Row],[project]]), "",COUNTIFS($A:$A,patch[[#This Row],[number]],$S:$S, "SH And dev",$AD:$AD, "&lt;&gt;IntegratorValidationComment"))</f>
        <v/>
      </c>
      <c r="AC1670" s="7" t="str">
        <f>IF(OR(ISNUMBER(FIND("Review-1", patch[[#This Row],[comments]])), ISNUMBER(FIND("Approver-1", patch[[#This Row],[comments]]))), "Review-1", "")</f>
        <v/>
      </c>
      <c r="AD16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70" s="7">
        <f>IF(ISBLANK(patch[[#This Row],[number]]),AE1669,patch[[#This Row],[ifCommon]])</f>
        <v>0</v>
      </c>
    </row>
    <row r="1671" spans="1:31">
      <c r="A1671" s="151">
        <v>144766</v>
      </c>
      <c r="B1671" s="151"/>
      <c r="C1671" s="151"/>
      <c r="D1671" s="151"/>
      <c r="E1671" s="151"/>
      <c r="F1671" s="151"/>
      <c r="G1671" s="151"/>
      <c r="H1671" s="151"/>
      <c r="I1671" s="151"/>
      <c r="J1671" s="152">
        <v>42627.659791666672</v>
      </c>
      <c r="K1671" s="151"/>
      <c r="L1671" s="151" t="s">
        <v>115</v>
      </c>
      <c r="M1671" s="152">
        <v>42627.417615740742</v>
      </c>
      <c r="N1671" s="151" t="s">
        <v>2492</v>
      </c>
      <c r="O1671" s="151"/>
      <c r="P1671" s="151"/>
      <c r="Q1671" s="7" t="str">
        <f>IF(ISBLANK(patch[[#This Row],[OwnerEmail]]),Q1670,patch[[#This Row],[OwnerEmail]])</f>
        <v>liang.l.yang@intel.com</v>
      </c>
      <c r="R1671" s="7" t="str">
        <f>_xlfn.IFNA(VLOOKUP(patch[[#This Row],[tmp-owner.email]],OrgTree!$A:$K, 11, 0), "not ICG SWFW")</f>
        <v>BJ And dev</v>
      </c>
      <c r="S1671" s="7" t="str">
        <f>IF(patch[[#This Row],[reviewer]]=patch[[#This Row],[tmp-owner.email]], "author", _xlfn.IFNA(VLOOKUP(patch[[#This Row],[reviewer]],OrgTree!$A:$K, 11, 0), "not ICG SWFW"))</f>
        <v>Val</v>
      </c>
      <c r="T1671" s="7" t="str">
        <f>IF(ISBLANK(patch[[#This Row],[mergeDate]]), "", MID(YEAR(patch[[#This Row],[mergeDate]]), 3,2)&amp;"'ww"&amp;WEEKNUM(patch[[#This Row],[mergeDate]]))</f>
        <v>16'ww38</v>
      </c>
      <c r="U1671" s="7" t="str">
        <f>IF(ISBLANK(patch[[#This Row],[mergeDate]]), U1670, MID(YEAR(patch[[#This Row],[mergeDate]]), 3,2)&amp;"'m"&amp;MONTH(patch[[#This Row],[mergeDate]]))</f>
        <v>16'm9</v>
      </c>
      <c r="V1671" s="7" t="str">
        <f>IF(ISBLANK(patch[[#This Row],[project]]), "",SUM(patch[[#This Row],[BJ -1 num]:[SH -1 num]]))</f>
        <v/>
      </c>
      <c r="W1671" s="7" t="str">
        <f>IF(ISBLANK(patch[[#This Row],[project]]), "",COUNTIFS($A:$A,patch[[#This Row],[number]],$S:$S, "BJ And dev",$AC:$AC, "Review-1"))</f>
        <v/>
      </c>
      <c r="X1671" s="7" t="str">
        <f>IF(ISBLANK(patch[[#This Row],[project]]), "",COUNTIFS($A:$A,patch[[#This Row],[number]],$S:$S, "FL And dev",$AC:$AC, "Review-1"))</f>
        <v/>
      </c>
      <c r="Y1671" s="7" t="str">
        <f>IF(ISBLANK(patch[[#This Row],[project]]), "",COUNTIFS($A:$A,patch[[#This Row],[number]],$S:$S, "SH And dev",$AC:$AC, "Review-1"))</f>
        <v/>
      </c>
      <c r="Z1671" s="7" t="str">
        <f>IF(ISBLANK(patch[[#This Row],[project]]), "",COUNTIFS($A:$A,patch[[#This Row],[number]],$S:$S, "BJ And dev",$AD:$AD, "&lt;&gt;IntegratorValidationComment"))</f>
        <v/>
      </c>
      <c r="AA1671" s="7" t="str">
        <f>IF(ISBLANK(patch[[#This Row],[project]]), "",COUNTIFS($A:$A,patch[[#This Row],[number]],$S:$S, "FL And dev",$AD:$AD, "&lt;&gt;IntegratorValidationComment"))</f>
        <v/>
      </c>
      <c r="AB1671" s="7" t="str">
        <f>IF(ISBLANK(patch[[#This Row],[project]]), "",COUNTIFS($A:$A,patch[[#This Row],[number]],$S:$S, "SH And dev",$AD:$AD, "&lt;&gt;IntegratorValidationComment"))</f>
        <v/>
      </c>
      <c r="AC1671" s="7" t="str">
        <f>IF(OR(ISNUMBER(FIND("Review-1", patch[[#This Row],[comments]])), ISNUMBER(FIND("Approver-1", patch[[#This Row],[comments]]))), "Review-1", "")</f>
        <v/>
      </c>
      <c r="AD16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671" s="7">
        <f>IF(ISBLANK(patch[[#This Row],[number]]),AE1670,patch[[#This Row],[ifCommon]])</f>
        <v>0</v>
      </c>
    </row>
    <row r="1672" spans="1:31">
      <c r="A1672" s="151">
        <v>144434</v>
      </c>
      <c r="B1672" s="151" t="s">
        <v>2490</v>
      </c>
      <c r="C1672" s="151" t="s">
        <v>2491</v>
      </c>
      <c r="D1672" s="151" t="s">
        <v>3360</v>
      </c>
      <c r="E1672" s="151" t="s">
        <v>72</v>
      </c>
      <c r="F1672" s="151" t="s">
        <v>23</v>
      </c>
      <c r="G1672" s="151" t="s">
        <v>3361</v>
      </c>
      <c r="H1672" s="151" t="s">
        <v>3362</v>
      </c>
      <c r="I1672" s="152">
        <v>42623.43377314815</v>
      </c>
      <c r="J1672" s="152">
        <v>42627.659745370373</v>
      </c>
      <c r="K1672" s="151" t="s">
        <v>2445</v>
      </c>
      <c r="L1672" s="151" t="s">
        <v>72</v>
      </c>
      <c r="M1672" s="152">
        <v>42623.43377314815</v>
      </c>
      <c r="N1672" s="151" t="s">
        <v>2458</v>
      </c>
      <c r="O1672" s="151"/>
      <c r="P1672" s="151" t="s">
        <v>2547</v>
      </c>
      <c r="Q1672" s="7" t="str">
        <f>IF(ISBLANK(patch[[#This Row],[OwnerEmail]]),Q1671,patch[[#This Row],[OwnerEmail]])</f>
        <v>bin.b.yang@intel.com</v>
      </c>
      <c r="R1672" s="7" t="str">
        <f>_xlfn.IFNA(VLOOKUP(patch[[#This Row],[tmp-owner.email]],OrgTree!$A:$K, 11, 0), "not ICG SWFW")</f>
        <v>BJ And dev</v>
      </c>
      <c r="S1672" s="7" t="str">
        <f>IF(patch[[#This Row],[reviewer]]=patch[[#This Row],[tmp-owner.email]], "author", _xlfn.IFNA(VLOOKUP(patch[[#This Row],[reviewer]],OrgTree!$A:$K, 11, 0), "not ICG SWFW"))</f>
        <v>author</v>
      </c>
      <c r="T1672" s="7" t="str">
        <f>IF(ISBLANK(patch[[#This Row],[mergeDate]]), "", MID(YEAR(patch[[#This Row],[mergeDate]]), 3,2)&amp;"'ww"&amp;WEEKNUM(patch[[#This Row],[mergeDate]]))</f>
        <v>16'ww38</v>
      </c>
      <c r="U1672" s="7" t="str">
        <f>IF(ISBLANK(patch[[#This Row],[mergeDate]]), U1671, MID(YEAR(patch[[#This Row],[mergeDate]]), 3,2)&amp;"'m"&amp;MONTH(patch[[#This Row],[mergeDate]]))</f>
        <v>16'm9</v>
      </c>
      <c r="V1672" s="7">
        <f>IF(ISBLANK(patch[[#This Row],[project]]), "",SUM(patch[[#This Row],[BJ -1 num]:[SH -1 num]]))</f>
        <v>0</v>
      </c>
      <c r="W1672" s="7">
        <f>IF(ISBLANK(patch[[#This Row],[project]]), "",COUNTIFS($A:$A,patch[[#This Row],[number]],$S:$S, "BJ And dev",$AC:$AC, "Review-1"))</f>
        <v>0</v>
      </c>
      <c r="X1672" s="7">
        <f>IF(ISBLANK(patch[[#This Row],[project]]), "",COUNTIFS($A:$A,patch[[#This Row],[number]],$S:$S, "FL And dev",$AC:$AC, "Review-1"))</f>
        <v>0</v>
      </c>
      <c r="Y1672" s="7">
        <f>IF(ISBLANK(patch[[#This Row],[project]]), "",COUNTIFS($A:$A,patch[[#This Row],[number]],$S:$S, "SH And dev",$AC:$AC, "Review-1"))</f>
        <v>0</v>
      </c>
      <c r="Z1672" s="7">
        <f>IF(ISBLANK(patch[[#This Row],[project]]), "",COUNTIFS($A:$A,patch[[#This Row],[number]],$S:$S, "BJ And dev",$AD:$AD, "&lt;&gt;IntegratorValidationComment"))</f>
        <v>14</v>
      </c>
      <c r="AA1672" s="7">
        <f>IF(ISBLANK(patch[[#This Row],[project]]), "",COUNTIFS($A:$A,patch[[#This Row],[number]],$S:$S, "FL And dev",$AD:$AD, "&lt;&gt;IntegratorValidationComment"))</f>
        <v>0</v>
      </c>
      <c r="AB1672" s="7">
        <f>IF(ISBLANK(patch[[#This Row],[project]]), "",COUNTIFS($A:$A,patch[[#This Row],[number]],$S:$S, "SH And dev",$AD:$AD, "&lt;&gt;IntegratorValidationComment"))</f>
        <v>0</v>
      </c>
      <c r="AC1672" s="7" t="str">
        <f>IF(OR(ISNUMBER(FIND("Review-1", patch[[#This Row],[comments]])), ISNUMBER(FIND("Approver-1", patch[[#This Row],[comments]]))), "Review-1", "")</f>
        <v/>
      </c>
      <c r="AD16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72" s="7" t="str">
        <f>IF(ISBLANK(patch[[#This Row],[number]]),AE1671,patch[[#This Row],[ifCommon]])</f>
        <v>not AndrHAL</v>
      </c>
    </row>
    <row r="1673" spans="1:31">
      <c r="A1673" s="151">
        <v>144434</v>
      </c>
      <c r="B1673" s="151"/>
      <c r="C1673" s="151"/>
      <c r="D1673" s="151"/>
      <c r="E1673" s="151"/>
      <c r="F1673" s="151"/>
      <c r="G1673" s="151"/>
      <c r="H1673" s="151"/>
      <c r="I1673" s="151"/>
      <c r="J1673" s="152">
        <v>42627.659745370373</v>
      </c>
      <c r="K1673" s="151"/>
      <c r="L1673" s="151" t="s">
        <v>72</v>
      </c>
      <c r="M1673" s="152">
        <v>42623.43377314815</v>
      </c>
      <c r="N1673" s="151" t="s">
        <v>25</v>
      </c>
      <c r="O1673" s="151"/>
      <c r="P1673" s="151"/>
      <c r="Q1673" s="7" t="str">
        <f>IF(ISBLANK(patch[[#This Row],[OwnerEmail]]),Q1672,patch[[#This Row],[OwnerEmail]])</f>
        <v>bin.b.yang@intel.com</v>
      </c>
      <c r="R1673" s="7" t="str">
        <f>_xlfn.IFNA(VLOOKUP(patch[[#This Row],[tmp-owner.email]],OrgTree!$A:$K, 11, 0), "not ICG SWFW")</f>
        <v>BJ And dev</v>
      </c>
      <c r="S1673" s="7" t="str">
        <f>IF(patch[[#This Row],[reviewer]]=patch[[#This Row],[tmp-owner.email]], "author", _xlfn.IFNA(VLOOKUP(patch[[#This Row],[reviewer]],OrgTree!$A:$K, 11, 0), "not ICG SWFW"))</f>
        <v>author</v>
      </c>
      <c r="T1673" s="7" t="str">
        <f>IF(ISBLANK(patch[[#This Row],[mergeDate]]), "", MID(YEAR(patch[[#This Row],[mergeDate]]), 3,2)&amp;"'ww"&amp;WEEKNUM(patch[[#This Row],[mergeDate]]))</f>
        <v>16'ww38</v>
      </c>
      <c r="U1673" s="7" t="str">
        <f>IF(ISBLANK(patch[[#This Row],[mergeDate]]), U1672, MID(YEAR(patch[[#This Row],[mergeDate]]), 3,2)&amp;"'m"&amp;MONTH(patch[[#This Row],[mergeDate]]))</f>
        <v>16'm9</v>
      </c>
      <c r="V1673" s="7" t="str">
        <f>IF(ISBLANK(patch[[#This Row],[project]]), "",SUM(patch[[#This Row],[BJ -1 num]:[SH -1 num]]))</f>
        <v/>
      </c>
      <c r="W1673" s="7" t="str">
        <f>IF(ISBLANK(patch[[#This Row],[project]]), "",COUNTIFS($A:$A,patch[[#This Row],[number]],$S:$S, "BJ And dev",$AC:$AC, "Review-1"))</f>
        <v/>
      </c>
      <c r="X1673" s="7" t="str">
        <f>IF(ISBLANK(patch[[#This Row],[project]]), "",COUNTIFS($A:$A,patch[[#This Row],[number]],$S:$S, "FL And dev",$AC:$AC, "Review-1"))</f>
        <v/>
      </c>
      <c r="Y1673" s="7" t="str">
        <f>IF(ISBLANK(patch[[#This Row],[project]]), "",COUNTIFS($A:$A,patch[[#This Row],[number]],$S:$S, "SH And dev",$AC:$AC, "Review-1"))</f>
        <v/>
      </c>
      <c r="Z1673" s="7" t="str">
        <f>IF(ISBLANK(patch[[#This Row],[project]]), "",COUNTIFS($A:$A,patch[[#This Row],[number]],$S:$S, "BJ And dev",$AD:$AD, "&lt;&gt;IntegratorValidationComment"))</f>
        <v/>
      </c>
      <c r="AA1673" s="7" t="str">
        <f>IF(ISBLANK(patch[[#This Row],[project]]), "",COUNTIFS($A:$A,patch[[#This Row],[number]],$S:$S, "FL And dev",$AD:$AD, "&lt;&gt;IntegratorValidationComment"))</f>
        <v/>
      </c>
      <c r="AB1673" s="7" t="str">
        <f>IF(ISBLANK(patch[[#This Row],[project]]), "",COUNTIFS($A:$A,patch[[#This Row],[number]],$S:$S, "SH And dev",$AD:$AD, "&lt;&gt;IntegratorValidationComment"))</f>
        <v/>
      </c>
      <c r="AC1673" s="7" t="str">
        <f>IF(OR(ISNUMBER(FIND("Review-1", patch[[#This Row],[comments]])), ISNUMBER(FIND("Approver-1", patch[[#This Row],[comments]]))), "Review-1", "")</f>
        <v/>
      </c>
      <c r="AD16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73" s="7">
        <f>IF(ISBLANK(patch[[#This Row],[number]]),AE1672,patch[[#This Row],[ifCommon]])</f>
        <v>0</v>
      </c>
    </row>
    <row r="1674" spans="1:31">
      <c r="A1674" s="151">
        <v>144434</v>
      </c>
      <c r="B1674" s="151"/>
      <c r="C1674" s="151"/>
      <c r="D1674" s="151"/>
      <c r="E1674" s="151"/>
      <c r="F1674" s="151"/>
      <c r="G1674" s="151"/>
      <c r="H1674" s="151"/>
      <c r="I1674" s="151"/>
      <c r="J1674" s="152">
        <v>42627.659745370373</v>
      </c>
      <c r="K1674" s="151"/>
      <c r="L1674" s="151" t="s">
        <v>72</v>
      </c>
      <c r="M1674" s="152">
        <v>42624.124699074076</v>
      </c>
      <c r="N1674" s="151" t="s">
        <v>2429</v>
      </c>
      <c r="O1674" s="151"/>
      <c r="P1674" s="151"/>
      <c r="Q1674" s="7" t="str">
        <f>IF(ISBLANK(patch[[#This Row],[OwnerEmail]]),Q1673,patch[[#This Row],[OwnerEmail]])</f>
        <v>bin.b.yang@intel.com</v>
      </c>
      <c r="R1674" s="7" t="str">
        <f>_xlfn.IFNA(VLOOKUP(patch[[#This Row],[tmp-owner.email]],OrgTree!$A:$K, 11, 0), "not ICG SWFW")</f>
        <v>BJ And dev</v>
      </c>
      <c r="S1674" s="7" t="str">
        <f>IF(patch[[#This Row],[reviewer]]=patch[[#This Row],[tmp-owner.email]], "author", _xlfn.IFNA(VLOOKUP(patch[[#This Row],[reviewer]],OrgTree!$A:$K, 11, 0), "not ICG SWFW"))</f>
        <v>author</v>
      </c>
      <c r="T1674" s="7" t="str">
        <f>IF(ISBLANK(patch[[#This Row],[mergeDate]]), "", MID(YEAR(patch[[#This Row],[mergeDate]]), 3,2)&amp;"'ww"&amp;WEEKNUM(patch[[#This Row],[mergeDate]]))</f>
        <v>16'ww38</v>
      </c>
      <c r="U1674" s="7" t="str">
        <f>IF(ISBLANK(patch[[#This Row],[mergeDate]]), U1673, MID(YEAR(patch[[#This Row],[mergeDate]]), 3,2)&amp;"'m"&amp;MONTH(patch[[#This Row],[mergeDate]]))</f>
        <v>16'm9</v>
      </c>
      <c r="V1674" s="7" t="str">
        <f>IF(ISBLANK(patch[[#This Row],[project]]), "",SUM(patch[[#This Row],[BJ -1 num]:[SH -1 num]]))</f>
        <v/>
      </c>
      <c r="W1674" s="7" t="str">
        <f>IF(ISBLANK(patch[[#This Row],[project]]), "",COUNTIFS($A:$A,patch[[#This Row],[number]],$S:$S, "BJ And dev",$AC:$AC, "Review-1"))</f>
        <v/>
      </c>
      <c r="X1674" s="7" t="str">
        <f>IF(ISBLANK(patch[[#This Row],[project]]), "",COUNTIFS($A:$A,patch[[#This Row],[number]],$S:$S, "FL And dev",$AC:$AC, "Review-1"))</f>
        <v/>
      </c>
      <c r="Y1674" s="7" t="str">
        <f>IF(ISBLANK(patch[[#This Row],[project]]), "",COUNTIFS($A:$A,patch[[#This Row],[number]],$S:$S, "SH And dev",$AC:$AC, "Review-1"))</f>
        <v/>
      </c>
      <c r="Z1674" s="7" t="str">
        <f>IF(ISBLANK(patch[[#This Row],[project]]), "",COUNTIFS($A:$A,patch[[#This Row],[number]],$S:$S, "BJ And dev",$AD:$AD, "&lt;&gt;IntegratorValidationComment"))</f>
        <v/>
      </c>
      <c r="AA1674" s="7" t="str">
        <f>IF(ISBLANK(patch[[#This Row],[project]]), "",COUNTIFS($A:$A,patch[[#This Row],[number]],$S:$S, "FL And dev",$AD:$AD, "&lt;&gt;IntegratorValidationComment"))</f>
        <v/>
      </c>
      <c r="AB1674" s="7" t="str">
        <f>IF(ISBLANK(patch[[#This Row],[project]]), "",COUNTIFS($A:$A,patch[[#This Row],[number]],$S:$S, "SH And dev",$AD:$AD, "&lt;&gt;IntegratorValidationComment"))</f>
        <v/>
      </c>
      <c r="AC1674" s="7" t="str">
        <f>IF(OR(ISNUMBER(FIND("Review-1", patch[[#This Row],[comments]])), ISNUMBER(FIND("Approver-1", patch[[#This Row],[comments]]))), "Review-1", "")</f>
        <v/>
      </c>
      <c r="AD16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74" s="7">
        <f>IF(ISBLANK(patch[[#This Row],[number]]),AE1673,patch[[#This Row],[ifCommon]])</f>
        <v>0</v>
      </c>
    </row>
    <row r="1675" spans="1:31">
      <c r="A1675" s="151">
        <v>144434</v>
      </c>
      <c r="B1675" s="151"/>
      <c r="C1675" s="151"/>
      <c r="D1675" s="151"/>
      <c r="E1675" s="151"/>
      <c r="F1675" s="151"/>
      <c r="G1675" s="151"/>
      <c r="H1675" s="151"/>
      <c r="I1675" s="151"/>
      <c r="J1675" s="152">
        <v>42627.659745370373</v>
      </c>
      <c r="K1675" s="151"/>
      <c r="L1675" s="151" t="s">
        <v>72</v>
      </c>
      <c r="M1675" s="152">
        <v>42624.124699074076</v>
      </c>
      <c r="N1675" s="151" t="s">
        <v>29</v>
      </c>
      <c r="O1675" s="151"/>
      <c r="P1675" s="151"/>
      <c r="Q1675" s="7" t="str">
        <f>IF(ISBLANK(patch[[#This Row],[OwnerEmail]]),Q1674,patch[[#This Row],[OwnerEmail]])</f>
        <v>bin.b.yang@intel.com</v>
      </c>
      <c r="R1675" s="7" t="str">
        <f>_xlfn.IFNA(VLOOKUP(patch[[#This Row],[tmp-owner.email]],OrgTree!$A:$K, 11, 0), "not ICG SWFW")</f>
        <v>BJ And dev</v>
      </c>
      <c r="S1675" s="7" t="str">
        <f>IF(patch[[#This Row],[reviewer]]=patch[[#This Row],[tmp-owner.email]], "author", _xlfn.IFNA(VLOOKUP(patch[[#This Row],[reviewer]],OrgTree!$A:$K, 11, 0), "not ICG SWFW"))</f>
        <v>author</v>
      </c>
      <c r="T1675" s="7" t="str">
        <f>IF(ISBLANK(patch[[#This Row],[mergeDate]]), "", MID(YEAR(patch[[#This Row],[mergeDate]]), 3,2)&amp;"'ww"&amp;WEEKNUM(patch[[#This Row],[mergeDate]]))</f>
        <v>16'ww38</v>
      </c>
      <c r="U1675" s="7" t="str">
        <f>IF(ISBLANK(patch[[#This Row],[mergeDate]]), U1674, MID(YEAR(patch[[#This Row],[mergeDate]]), 3,2)&amp;"'m"&amp;MONTH(patch[[#This Row],[mergeDate]]))</f>
        <v>16'm9</v>
      </c>
      <c r="V1675" s="7" t="str">
        <f>IF(ISBLANK(patch[[#This Row],[project]]), "",SUM(patch[[#This Row],[BJ -1 num]:[SH -1 num]]))</f>
        <v/>
      </c>
      <c r="W1675" s="7" t="str">
        <f>IF(ISBLANK(patch[[#This Row],[project]]), "",COUNTIFS($A:$A,patch[[#This Row],[number]],$S:$S, "BJ And dev",$AC:$AC, "Review-1"))</f>
        <v/>
      </c>
      <c r="X1675" s="7" t="str">
        <f>IF(ISBLANK(patch[[#This Row],[project]]), "",COUNTIFS($A:$A,patch[[#This Row],[number]],$S:$S, "FL And dev",$AC:$AC, "Review-1"))</f>
        <v/>
      </c>
      <c r="Y1675" s="7" t="str">
        <f>IF(ISBLANK(patch[[#This Row],[project]]), "",COUNTIFS($A:$A,patch[[#This Row],[number]],$S:$S, "SH And dev",$AC:$AC, "Review-1"))</f>
        <v/>
      </c>
      <c r="Z1675" s="7" t="str">
        <f>IF(ISBLANK(patch[[#This Row],[project]]), "",COUNTIFS($A:$A,patch[[#This Row],[number]],$S:$S, "BJ And dev",$AD:$AD, "&lt;&gt;IntegratorValidationComment"))</f>
        <v/>
      </c>
      <c r="AA1675" s="7" t="str">
        <f>IF(ISBLANK(patch[[#This Row],[project]]), "",COUNTIFS($A:$A,patch[[#This Row],[number]],$S:$S, "FL And dev",$AD:$AD, "&lt;&gt;IntegratorValidationComment"))</f>
        <v/>
      </c>
      <c r="AB1675" s="7" t="str">
        <f>IF(ISBLANK(patch[[#This Row],[project]]), "",COUNTIFS($A:$A,patch[[#This Row],[number]],$S:$S, "SH And dev",$AD:$AD, "&lt;&gt;IntegratorValidationComment"))</f>
        <v/>
      </c>
      <c r="AC1675" s="7" t="str">
        <f>IF(OR(ISNUMBER(FIND("Review-1", patch[[#This Row],[comments]])), ISNUMBER(FIND("Approver-1", patch[[#This Row],[comments]]))), "Review-1", "")</f>
        <v/>
      </c>
      <c r="AD16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75" s="7">
        <f>IF(ISBLANK(patch[[#This Row],[number]]),AE1674,patch[[#This Row],[ifCommon]])</f>
        <v>0</v>
      </c>
    </row>
    <row r="1676" spans="1:31">
      <c r="A1676" s="151">
        <v>144434</v>
      </c>
      <c r="B1676" s="151"/>
      <c r="C1676" s="151"/>
      <c r="D1676" s="151"/>
      <c r="E1676" s="151"/>
      <c r="F1676" s="151"/>
      <c r="G1676" s="151"/>
      <c r="H1676" s="151"/>
      <c r="I1676" s="151"/>
      <c r="J1676" s="152">
        <v>42627.659745370373</v>
      </c>
      <c r="K1676" s="151"/>
      <c r="L1676" s="151" t="s">
        <v>72</v>
      </c>
      <c r="M1676" s="152">
        <v>42624.128692129627</v>
      </c>
      <c r="N1676" s="151" t="s">
        <v>27</v>
      </c>
      <c r="O1676" s="151"/>
      <c r="P1676" s="151"/>
      <c r="Q1676" s="7" t="str">
        <f>IF(ISBLANK(patch[[#This Row],[OwnerEmail]]),Q1675,patch[[#This Row],[OwnerEmail]])</f>
        <v>bin.b.yang@intel.com</v>
      </c>
      <c r="R1676" s="7" t="str">
        <f>_xlfn.IFNA(VLOOKUP(patch[[#This Row],[tmp-owner.email]],OrgTree!$A:$K, 11, 0), "not ICG SWFW")</f>
        <v>BJ And dev</v>
      </c>
      <c r="S1676" s="7" t="str">
        <f>IF(patch[[#This Row],[reviewer]]=patch[[#This Row],[tmp-owner.email]], "author", _xlfn.IFNA(VLOOKUP(patch[[#This Row],[reviewer]],OrgTree!$A:$K, 11, 0), "not ICG SWFW"))</f>
        <v>author</v>
      </c>
      <c r="T1676" s="7" t="str">
        <f>IF(ISBLANK(patch[[#This Row],[mergeDate]]), "", MID(YEAR(patch[[#This Row],[mergeDate]]), 3,2)&amp;"'ww"&amp;WEEKNUM(patch[[#This Row],[mergeDate]]))</f>
        <v>16'ww38</v>
      </c>
      <c r="U1676" s="7" t="str">
        <f>IF(ISBLANK(patch[[#This Row],[mergeDate]]), U1675, MID(YEAR(patch[[#This Row],[mergeDate]]), 3,2)&amp;"'m"&amp;MONTH(patch[[#This Row],[mergeDate]]))</f>
        <v>16'm9</v>
      </c>
      <c r="V1676" s="7" t="str">
        <f>IF(ISBLANK(patch[[#This Row],[project]]), "",SUM(patch[[#This Row],[BJ -1 num]:[SH -1 num]]))</f>
        <v/>
      </c>
      <c r="W1676" s="7" t="str">
        <f>IF(ISBLANK(patch[[#This Row],[project]]), "",COUNTIFS($A:$A,patch[[#This Row],[number]],$S:$S, "BJ And dev",$AC:$AC, "Review-1"))</f>
        <v/>
      </c>
      <c r="X1676" s="7" t="str">
        <f>IF(ISBLANK(patch[[#This Row],[project]]), "",COUNTIFS($A:$A,patch[[#This Row],[number]],$S:$S, "FL And dev",$AC:$AC, "Review-1"))</f>
        <v/>
      </c>
      <c r="Y1676" s="7" t="str">
        <f>IF(ISBLANK(patch[[#This Row],[project]]), "",COUNTIFS($A:$A,patch[[#This Row],[number]],$S:$S, "SH And dev",$AC:$AC, "Review-1"))</f>
        <v/>
      </c>
      <c r="Z1676" s="7" t="str">
        <f>IF(ISBLANK(patch[[#This Row],[project]]), "",COUNTIFS($A:$A,patch[[#This Row],[number]],$S:$S, "BJ And dev",$AD:$AD, "&lt;&gt;IntegratorValidationComment"))</f>
        <v/>
      </c>
      <c r="AA1676" s="7" t="str">
        <f>IF(ISBLANK(patch[[#This Row],[project]]), "",COUNTIFS($A:$A,patch[[#This Row],[number]],$S:$S, "FL And dev",$AD:$AD, "&lt;&gt;IntegratorValidationComment"))</f>
        <v/>
      </c>
      <c r="AB1676" s="7" t="str">
        <f>IF(ISBLANK(patch[[#This Row],[project]]), "",COUNTIFS($A:$A,patch[[#This Row],[number]],$S:$S, "SH And dev",$AD:$AD, "&lt;&gt;IntegratorValidationComment"))</f>
        <v/>
      </c>
      <c r="AC1676" s="7" t="str">
        <f>IF(OR(ISNUMBER(FIND("Review-1", patch[[#This Row],[comments]])), ISNUMBER(FIND("Approver-1", patch[[#This Row],[comments]]))), "Review-1", "")</f>
        <v/>
      </c>
      <c r="AD16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76" s="7">
        <f>IF(ISBLANK(patch[[#This Row],[number]]),AE1675,patch[[#This Row],[ifCommon]])</f>
        <v>0</v>
      </c>
    </row>
    <row r="1677" spans="1:31">
      <c r="A1677" s="151">
        <v>144434</v>
      </c>
      <c r="B1677" s="151"/>
      <c r="C1677" s="151"/>
      <c r="D1677" s="151"/>
      <c r="E1677" s="151"/>
      <c r="F1677" s="151"/>
      <c r="G1677" s="151"/>
      <c r="H1677" s="151"/>
      <c r="I1677" s="151"/>
      <c r="J1677" s="152">
        <v>42627.659745370373</v>
      </c>
      <c r="K1677" s="151"/>
      <c r="L1677" s="151" t="s">
        <v>59</v>
      </c>
      <c r="M1677" s="152">
        <v>42625.376701388886</v>
      </c>
      <c r="N1677" s="151" t="s">
        <v>3417</v>
      </c>
      <c r="O1677" s="151"/>
      <c r="P1677" s="151"/>
      <c r="Q1677" s="7" t="str">
        <f>IF(ISBLANK(patch[[#This Row],[OwnerEmail]]),Q1676,patch[[#This Row],[OwnerEmail]])</f>
        <v>bin.b.yang@intel.com</v>
      </c>
      <c r="R1677" s="7" t="str">
        <f>_xlfn.IFNA(VLOOKUP(patch[[#This Row],[tmp-owner.email]],OrgTree!$A:$K, 11, 0), "not ICG SWFW")</f>
        <v>BJ And dev</v>
      </c>
      <c r="S1677" s="7" t="str">
        <f>IF(patch[[#This Row],[reviewer]]=patch[[#This Row],[tmp-owner.email]], "author", _xlfn.IFNA(VLOOKUP(patch[[#This Row],[reviewer]],OrgTree!$A:$K, 11, 0), "not ICG SWFW"))</f>
        <v>BJ And dev</v>
      </c>
      <c r="T1677" s="7" t="str">
        <f>IF(ISBLANK(patch[[#This Row],[mergeDate]]), "", MID(YEAR(patch[[#This Row],[mergeDate]]), 3,2)&amp;"'ww"&amp;WEEKNUM(patch[[#This Row],[mergeDate]]))</f>
        <v>16'ww38</v>
      </c>
      <c r="U1677" s="7" t="str">
        <f>IF(ISBLANK(patch[[#This Row],[mergeDate]]), U1676, MID(YEAR(patch[[#This Row],[mergeDate]]), 3,2)&amp;"'m"&amp;MONTH(patch[[#This Row],[mergeDate]]))</f>
        <v>16'm9</v>
      </c>
      <c r="V1677" s="7" t="str">
        <f>IF(ISBLANK(patch[[#This Row],[project]]), "",SUM(patch[[#This Row],[BJ -1 num]:[SH -1 num]]))</f>
        <v/>
      </c>
      <c r="W1677" s="7" t="str">
        <f>IF(ISBLANK(patch[[#This Row],[project]]), "",COUNTIFS($A:$A,patch[[#This Row],[number]],$S:$S, "BJ And dev",$AC:$AC, "Review-1"))</f>
        <v/>
      </c>
      <c r="X1677" s="7" t="str">
        <f>IF(ISBLANK(patch[[#This Row],[project]]), "",COUNTIFS($A:$A,patch[[#This Row],[number]],$S:$S, "FL And dev",$AC:$AC, "Review-1"))</f>
        <v/>
      </c>
      <c r="Y1677" s="7" t="str">
        <f>IF(ISBLANK(patch[[#This Row],[project]]), "",COUNTIFS($A:$A,patch[[#This Row],[number]],$S:$S, "SH And dev",$AC:$AC, "Review-1"))</f>
        <v/>
      </c>
      <c r="Z1677" s="7" t="str">
        <f>IF(ISBLANK(patch[[#This Row],[project]]), "",COUNTIFS($A:$A,patch[[#This Row],[number]],$S:$S, "BJ And dev",$AD:$AD, "&lt;&gt;IntegratorValidationComment"))</f>
        <v/>
      </c>
      <c r="AA1677" s="7" t="str">
        <f>IF(ISBLANK(patch[[#This Row],[project]]), "",COUNTIFS($A:$A,patch[[#This Row],[number]],$S:$S, "FL And dev",$AD:$AD, "&lt;&gt;IntegratorValidationComment"))</f>
        <v/>
      </c>
      <c r="AB1677" s="7" t="str">
        <f>IF(ISBLANK(patch[[#This Row],[project]]), "",COUNTIFS($A:$A,patch[[#This Row],[number]],$S:$S, "SH And dev",$AD:$AD, "&lt;&gt;IntegratorValidationComment"))</f>
        <v/>
      </c>
      <c r="AC1677" s="7" t="str">
        <f>IF(OR(ISNUMBER(FIND("Review-1", patch[[#This Row],[comments]])), ISNUMBER(FIND("Approver-1", patch[[#This Row],[comments]]))), "Review-1", "")</f>
        <v/>
      </c>
      <c r="AD16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77" s="7">
        <f>IF(ISBLANK(patch[[#This Row],[number]]),AE1676,patch[[#This Row],[ifCommon]])</f>
        <v>0</v>
      </c>
    </row>
    <row r="1678" spans="1:31">
      <c r="A1678" s="151">
        <v>144434</v>
      </c>
      <c r="B1678" s="151"/>
      <c r="C1678" s="151"/>
      <c r="D1678" s="151"/>
      <c r="E1678" s="151"/>
      <c r="F1678" s="151"/>
      <c r="G1678" s="151"/>
      <c r="H1678" s="151"/>
      <c r="I1678" s="151"/>
      <c r="J1678" s="152">
        <v>42627.659745370373</v>
      </c>
      <c r="K1678" s="151"/>
      <c r="L1678" s="151" t="s">
        <v>59</v>
      </c>
      <c r="M1678" s="152">
        <v>42625.382013888891</v>
      </c>
      <c r="N1678" s="151" t="s">
        <v>3418</v>
      </c>
      <c r="O1678" s="151"/>
      <c r="P1678" s="151"/>
      <c r="Q1678" s="7" t="str">
        <f>IF(ISBLANK(patch[[#This Row],[OwnerEmail]]),Q1677,patch[[#This Row],[OwnerEmail]])</f>
        <v>bin.b.yang@intel.com</v>
      </c>
      <c r="R1678" s="7" t="str">
        <f>_xlfn.IFNA(VLOOKUP(patch[[#This Row],[tmp-owner.email]],OrgTree!$A:$K, 11, 0), "not ICG SWFW")</f>
        <v>BJ And dev</v>
      </c>
      <c r="S1678" s="7" t="str">
        <f>IF(patch[[#This Row],[reviewer]]=patch[[#This Row],[tmp-owner.email]], "author", _xlfn.IFNA(VLOOKUP(patch[[#This Row],[reviewer]],OrgTree!$A:$K, 11, 0), "not ICG SWFW"))</f>
        <v>BJ And dev</v>
      </c>
      <c r="T1678" s="7" t="str">
        <f>IF(ISBLANK(patch[[#This Row],[mergeDate]]), "", MID(YEAR(patch[[#This Row],[mergeDate]]), 3,2)&amp;"'ww"&amp;WEEKNUM(patch[[#This Row],[mergeDate]]))</f>
        <v>16'ww38</v>
      </c>
      <c r="U1678" s="7" t="str">
        <f>IF(ISBLANK(patch[[#This Row],[mergeDate]]), U1677, MID(YEAR(patch[[#This Row],[mergeDate]]), 3,2)&amp;"'m"&amp;MONTH(patch[[#This Row],[mergeDate]]))</f>
        <v>16'm9</v>
      </c>
      <c r="V1678" s="7" t="str">
        <f>IF(ISBLANK(patch[[#This Row],[project]]), "",SUM(patch[[#This Row],[BJ -1 num]:[SH -1 num]]))</f>
        <v/>
      </c>
      <c r="W1678" s="7" t="str">
        <f>IF(ISBLANK(patch[[#This Row],[project]]), "",COUNTIFS($A:$A,patch[[#This Row],[number]],$S:$S, "BJ And dev",$AC:$AC, "Review-1"))</f>
        <v/>
      </c>
      <c r="X1678" s="7" t="str">
        <f>IF(ISBLANK(patch[[#This Row],[project]]), "",COUNTIFS($A:$A,patch[[#This Row],[number]],$S:$S, "FL And dev",$AC:$AC, "Review-1"))</f>
        <v/>
      </c>
      <c r="Y1678" s="7" t="str">
        <f>IF(ISBLANK(patch[[#This Row],[project]]), "",COUNTIFS($A:$A,patch[[#This Row],[number]],$S:$S, "SH And dev",$AC:$AC, "Review-1"))</f>
        <v/>
      </c>
      <c r="Z1678" s="7" t="str">
        <f>IF(ISBLANK(patch[[#This Row],[project]]), "",COUNTIFS($A:$A,patch[[#This Row],[number]],$S:$S, "BJ And dev",$AD:$AD, "&lt;&gt;IntegratorValidationComment"))</f>
        <v/>
      </c>
      <c r="AA1678" s="7" t="str">
        <f>IF(ISBLANK(patch[[#This Row],[project]]), "",COUNTIFS($A:$A,patch[[#This Row],[number]],$S:$S, "FL And dev",$AD:$AD, "&lt;&gt;IntegratorValidationComment"))</f>
        <v/>
      </c>
      <c r="AB1678" s="7" t="str">
        <f>IF(ISBLANK(patch[[#This Row],[project]]), "",COUNTIFS($A:$A,patch[[#This Row],[number]],$S:$S, "SH And dev",$AD:$AD, "&lt;&gt;IntegratorValidationComment"))</f>
        <v/>
      </c>
      <c r="AC1678" s="7" t="str">
        <f>IF(OR(ISNUMBER(FIND("Review-1", patch[[#This Row],[comments]])), ISNUMBER(FIND("Approver-1", patch[[#This Row],[comments]]))), "Review-1", "")</f>
        <v/>
      </c>
      <c r="AD16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78" s="7">
        <f>IF(ISBLANK(patch[[#This Row],[number]]),AE1677,patch[[#This Row],[ifCommon]])</f>
        <v>0</v>
      </c>
    </row>
    <row r="1679" spans="1:31">
      <c r="A1679" s="151">
        <v>144434</v>
      </c>
      <c r="B1679" s="151"/>
      <c r="C1679" s="151"/>
      <c r="D1679" s="151"/>
      <c r="E1679" s="151"/>
      <c r="F1679" s="151"/>
      <c r="G1679" s="151"/>
      <c r="H1679" s="151"/>
      <c r="I1679" s="151"/>
      <c r="J1679" s="152">
        <v>42627.659745370373</v>
      </c>
      <c r="K1679" s="151"/>
      <c r="L1679" s="151" t="s">
        <v>1237</v>
      </c>
      <c r="M1679" s="152">
        <v>42625.462395833332</v>
      </c>
      <c r="N1679" s="151" t="s">
        <v>27</v>
      </c>
      <c r="O1679" s="151"/>
      <c r="P1679" s="151"/>
      <c r="Q1679" s="7" t="str">
        <f>IF(ISBLANK(patch[[#This Row],[OwnerEmail]]),Q1678,patch[[#This Row],[OwnerEmail]])</f>
        <v>bin.b.yang@intel.com</v>
      </c>
      <c r="R1679" s="7" t="str">
        <f>_xlfn.IFNA(VLOOKUP(patch[[#This Row],[tmp-owner.email]],OrgTree!$A:$K, 11, 0), "not ICG SWFW")</f>
        <v>BJ And dev</v>
      </c>
      <c r="S1679" s="7" t="str">
        <f>IF(patch[[#This Row],[reviewer]]=patch[[#This Row],[tmp-owner.email]], "author", _xlfn.IFNA(VLOOKUP(patch[[#This Row],[reviewer]],OrgTree!$A:$K, 11, 0), "not ICG SWFW"))</f>
        <v>BJ And dev</v>
      </c>
      <c r="T1679" s="7" t="str">
        <f>IF(ISBLANK(patch[[#This Row],[mergeDate]]), "", MID(YEAR(patch[[#This Row],[mergeDate]]), 3,2)&amp;"'ww"&amp;WEEKNUM(patch[[#This Row],[mergeDate]]))</f>
        <v>16'ww38</v>
      </c>
      <c r="U1679" s="7" t="str">
        <f>IF(ISBLANK(patch[[#This Row],[mergeDate]]), U1678, MID(YEAR(patch[[#This Row],[mergeDate]]), 3,2)&amp;"'m"&amp;MONTH(patch[[#This Row],[mergeDate]]))</f>
        <v>16'm9</v>
      </c>
      <c r="V1679" s="7" t="str">
        <f>IF(ISBLANK(patch[[#This Row],[project]]), "",SUM(patch[[#This Row],[BJ -1 num]:[SH -1 num]]))</f>
        <v/>
      </c>
      <c r="W1679" s="7" t="str">
        <f>IF(ISBLANK(patch[[#This Row],[project]]), "",COUNTIFS($A:$A,patch[[#This Row],[number]],$S:$S, "BJ And dev",$AC:$AC, "Review-1"))</f>
        <v/>
      </c>
      <c r="X1679" s="7" t="str">
        <f>IF(ISBLANK(patch[[#This Row],[project]]), "",COUNTIFS($A:$A,patch[[#This Row],[number]],$S:$S, "FL And dev",$AC:$AC, "Review-1"))</f>
        <v/>
      </c>
      <c r="Y1679" s="7" t="str">
        <f>IF(ISBLANK(patch[[#This Row],[project]]), "",COUNTIFS($A:$A,patch[[#This Row],[number]],$S:$S, "SH And dev",$AC:$AC, "Review-1"))</f>
        <v/>
      </c>
      <c r="Z1679" s="7" t="str">
        <f>IF(ISBLANK(patch[[#This Row],[project]]), "",COUNTIFS($A:$A,patch[[#This Row],[number]],$S:$S, "BJ And dev",$AD:$AD, "&lt;&gt;IntegratorValidationComment"))</f>
        <v/>
      </c>
      <c r="AA1679" s="7" t="str">
        <f>IF(ISBLANK(patch[[#This Row],[project]]), "",COUNTIFS($A:$A,patch[[#This Row],[number]],$S:$S, "FL And dev",$AD:$AD, "&lt;&gt;IntegratorValidationComment"))</f>
        <v/>
      </c>
      <c r="AB1679" s="7" t="str">
        <f>IF(ISBLANK(patch[[#This Row],[project]]), "",COUNTIFS($A:$A,patch[[#This Row],[number]],$S:$S, "SH And dev",$AD:$AD, "&lt;&gt;IntegratorValidationComment"))</f>
        <v/>
      </c>
      <c r="AC1679" s="7" t="str">
        <f>IF(OR(ISNUMBER(FIND("Review-1", patch[[#This Row],[comments]])), ISNUMBER(FIND("Approver-1", patch[[#This Row],[comments]]))), "Review-1", "")</f>
        <v/>
      </c>
      <c r="AD16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79" s="7">
        <f>IF(ISBLANK(patch[[#This Row],[number]]),AE1678,patch[[#This Row],[ifCommon]])</f>
        <v>0</v>
      </c>
    </row>
    <row r="1680" spans="1:31">
      <c r="A1680" s="151">
        <v>144434</v>
      </c>
      <c r="B1680" s="151"/>
      <c r="C1680" s="151"/>
      <c r="D1680" s="151"/>
      <c r="E1680" s="151"/>
      <c r="F1680" s="151"/>
      <c r="G1680" s="151"/>
      <c r="H1680" s="151"/>
      <c r="I1680" s="151"/>
      <c r="J1680" s="152">
        <v>42627.659745370373</v>
      </c>
      <c r="K1680" s="151"/>
      <c r="L1680" s="151" t="s">
        <v>68</v>
      </c>
      <c r="M1680" s="152">
        <v>42625.482881944437</v>
      </c>
      <c r="N1680" s="151" t="s">
        <v>3419</v>
      </c>
      <c r="O1680" s="151" t="s">
        <v>3420</v>
      </c>
      <c r="P1680" s="151"/>
      <c r="Q1680" s="7" t="str">
        <f>IF(ISBLANK(patch[[#This Row],[OwnerEmail]]),Q1679,patch[[#This Row],[OwnerEmail]])</f>
        <v>bin.b.yang@intel.com</v>
      </c>
      <c r="R1680" s="7" t="str">
        <f>_xlfn.IFNA(VLOOKUP(patch[[#This Row],[tmp-owner.email]],OrgTree!$A:$K, 11, 0), "not ICG SWFW")</f>
        <v>BJ And dev</v>
      </c>
      <c r="S1680" s="7" t="str">
        <f>IF(patch[[#This Row],[reviewer]]=patch[[#This Row],[tmp-owner.email]], "author", _xlfn.IFNA(VLOOKUP(patch[[#This Row],[reviewer]],OrgTree!$A:$K, 11, 0), "not ICG SWFW"))</f>
        <v>BJ And dev</v>
      </c>
      <c r="T1680" s="7" t="str">
        <f>IF(ISBLANK(patch[[#This Row],[mergeDate]]), "", MID(YEAR(patch[[#This Row],[mergeDate]]), 3,2)&amp;"'ww"&amp;WEEKNUM(patch[[#This Row],[mergeDate]]))</f>
        <v>16'ww38</v>
      </c>
      <c r="U1680" s="7" t="str">
        <f>IF(ISBLANK(patch[[#This Row],[mergeDate]]), U1679, MID(YEAR(patch[[#This Row],[mergeDate]]), 3,2)&amp;"'m"&amp;MONTH(patch[[#This Row],[mergeDate]]))</f>
        <v>16'm9</v>
      </c>
      <c r="V1680" s="7" t="str">
        <f>IF(ISBLANK(patch[[#This Row],[project]]), "",SUM(patch[[#This Row],[BJ -1 num]:[SH -1 num]]))</f>
        <v/>
      </c>
      <c r="W1680" s="7" t="str">
        <f>IF(ISBLANK(patch[[#This Row],[project]]), "",COUNTIFS($A:$A,patch[[#This Row],[number]],$S:$S, "BJ And dev",$AC:$AC, "Review-1"))</f>
        <v/>
      </c>
      <c r="X1680" s="7" t="str">
        <f>IF(ISBLANK(patch[[#This Row],[project]]), "",COUNTIFS($A:$A,patch[[#This Row],[number]],$S:$S, "FL And dev",$AC:$AC, "Review-1"))</f>
        <v/>
      </c>
      <c r="Y1680" s="7" t="str">
        <f>IF(ISBLANK(patch[[#This Row],[project]]), "",COUNTIFS($A:$A,patch[[#This Row],[number]],$S:$S, "SH And dev",$AC:$AC, "Review-1"))</f>
        <v/>
      </c>
      <c r="Z1680" s="7" t="str">
        <f>IF(ISBLANK(patch[[#This Row],[project]]), "",COUNTIFS($A:$A,patch[[#This Row],[number]],$S:$S, "BJ And dev",$AD:$AD, "&lt;&gt;IntegratorValidationComment"))</f>
        <v/>
      </c>
      <c r="AA1680" s="7" t="str">
        <f>IF(ISBLANK(patch[[#This Row],[project]]), "",COUNTIFS($A:$A,patch[[#This Row],[number]],$S:$S, "FL And dev",$AD:$AD, "&lt;&gt;IntegratorValidationComment"))</f>
        <v/>
      </c>
      <c r="AB1680" s="7" t="str">
        <f>IF(ISBLANK(patch[[#This Row],[project]]), "",COUNTIFS($A:$A,patch[[#This Row],[number]],$S:$S, "SH And dev",$AD:$AD, "&lt;&gt;IntegratorValidationComment"))</f>
        <v/>
      </c>
      <c r="AC1680" s="7" t="str">
        <f>IF(OR(ISNUMBER(FIND("Review-1", patch[[#This Row],[comments]])), ISNUMBER(FIND("Approver-1", patch[[#This Row],[comments]]))), "Review-1", "")</f>
        <v/>
      </c>
      <c r="AD16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80" s="7">
        <f>IF(ISBLANK(patch[[#This Row],[number]]),AE1679,patch[[#This Row],[ifCommon]])</f>
        <v>0</v>
      </c>
    </row>
    <row r="1681" spans="1:31">
      <c r="A1681" s="151">
        <v>144434</v>
      </c>
      <c r="B1681" s="151"/>
      <c r="C1681" s="151"/>
      <c r="D1681" s="151"/>
      <c r="E1681" s="151"/>
      <c r="F1681" s="151"/>
      <c r="G1681" s="151"/>
      <c r="H1681" s="151"/>
      <c r="I1681" s="151"/>
      <c r="J1681" s="152">
        <v>42627.659745370373</v>
      </c>
      <c r="K1681" s="151"/>
      <c r="L1681" s="151" t="s">
        <v>68</v>
      </c>
      <c r="M1681" s="152">
        <v>42625.493171296293</v>
      </c>
      <c r="N1681" s="151" t="s">
        <v>3421</v>
      </c>
      <c r="O1681" s="151"/>
      <c r="P1681" s="151"/>
      <c r="Q1681" s="7" t="str">
        <f>IF(ISBLANK(patch[[#This Row],[OwnerEmail]]),Q1680,patch[[#This Row],[OwnerEmail]])</f>
        <v>bin.b.yang@intel.com</v>
      </c>
      <c r="R1681" s="7" t="str">
        <f>_xlfn.IFNA(VLOOKUP(patch[[#This Row],[tmp-owner.email]],OrgTree!$A:$K, 11, 0), "not ICG SWFW")</f>
        <v>BJ And dev</v>
      </c>
      <c r="S1681" s="7" t="str">
        <f>IF(patch[[#This Row],[reviewer]]=patch[[#This Row],[tmp-owner.email]], "author", _xlfn.IFNA(VLOOKUP(patch[[#This Row],[reviewer]],OrgTree!$A:$K, 11, 0), "not ICG SWFW"))</f>
        <v>BJ And dev</v>
      </c>
      <c r="T1681" s="7" t="str">
        <f>IF(ISBLANK(patch[[#This Row],[mergeDate]]), "", MID(YEAR(patch[[#This Row],[mergeDate]]), 3,2)&amp;"'ww"&amp;WEEKNUM(patch[[#This Row],[mergeDate]]))</f>
        <v>16'ww38</v>
      </c>
      <c r="U1681" s="7" t="str">
        <f>IF(ISBLANK(patch[[#This Row],[mergeDate]]), U1680, MID(YEAR(patch[[#This Row],[mergeDate]]), 3,2)&amp;"'m"&amp;MONTH(patch[[#This Row],[mergeDate]]))</f>
        <v>16'm9</v>
      </c>
      <c r="V1681" s="7" t="str">
        <f>IF(ISBLANK(patch[[#This Row],[project]]), "",SUM(patch[[#This Row],[BJ -1 num]:[SH -1 num]]))</f>
        <v/>
      </c>
      <c r="W1681" s="7" t="str">
        <f>IF(ISBLANK(patch[[#This Row],[project]]), "",COUNTIFS($A:$A,patch[[#This Row],[number]],$S:$S, "BJ And dev",$AC:$AC, "Review-1"))</f>
        <v/>
      </c>
      <c r="X1681" s="7" t="str">
        <f>IF(ISBLANK(patch[[#This Row],[project]]), "",COUNTIFS($A:$A,patch[[#This Row],[number]],$S:$S, "FL And dev",$AC:$AC, "Review-1"))</f>
        <v/>
      </c>
      <c r="Y1681" s="7" t="str">
        <f>IF(ISBLANK(patch[[#This Row],[project]]), "",COUNTIFS($A:$A,patch[[#This Row],[number]],$S:$S, "SH And dev",$AC:$AC, "Review-1"))</f>
        <v/>
      </c>
      <c r="Z1681" s="7" t="str">
        <f>IF(ISBLANK(patch[[#This Row],[project]]), "",COUNTIFS($A:$A,patch[[#This Row],[number]],$S:$S, "BJ And dev",$AD:$AD, "&lt;&gt;IntegratorValidationComment"))</f>
        <v/>
      </c>
      <c r="AA1681" s="7" t="str">
        <f>IF(ISBLANK(patch[[#This Row],[project]]), "",COUNTIFS($A:$A,patch[[#This Row],[number]],$S:$S, "FL And dev",$AD:$AD, "&lt;&gt;IntegratorValidationComment"))</f>
        <v/>
      </c>
      <c r="AB1681" s="7" t="str">
        <f>IF(ISBLANK(patch[[#This Row],[project]]), "",COUNTIFS($A:$A,patch[[#This Row],[number]],$S:$S, "SH And dev",$AD:$AD, "&lt;&gt;IntegratorValidationComment"))</f>
        <v/>
      </c>
      <c r="AC1681" s="7" t="str">
        <f>IF(OR(ISNUMBER(FIND("Review-1", patch[[#This Row],[comments]])), ISNUMBER(FIND("Approver-1", patch[[#This Row],[comments]]))), "Review-1", "")</f>
        <v/>
      </c>
      <c r="AD16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81" s="7">
        <f>IF(ISBLANK(patch[[#This Row],[number]]),AE1680,patch[[#This Row],[ifCommon]])</f>
        <v>0</v>
      </c>
    </row>
    <row r="1682" spans="1:31">
      <c r="A1682" s="151">
        <v>144434</v>
      </c>
      <c r="B1682" s="151"/>
      <c r="C1682" s="151"/>
      <c r="D1682" s="151"/>
      <c r="E1682" s="151"/>
      <c r="F1682" s="151"/>
      <c r="G1682" s="151"/>
      <c r="H1682" s="151"/>
      <c r="I1682" s="151"/>
      <c r="J1682" s="152">
        <v>42627.659745370373</v>
      </c>
      <c r="K1682" s="151"/>
      <c r="L1682" s="151" t="s">
        <v>68</v>
      </c>
      <c r="M1682" s="152">
        <v>42625.493217592593</v>
      </c>
      <c r="N1682" s="151" t="s">
        <v>42</v>
      </c>
      <c r="O1682" s="151"/>
      <c r="P1682" s="151"/>
      <c r="Q1682" s="7" t="str">
        <f>IF(ISBLANK(patch[[#This Row],[OwnerEmail]]),Q1681,patch[[#This Row],[OwnerEmail]])</f>
        <v>bin.b.yang@intel.com</v>
      </c>
      <c r="R1682" s="7" t="str">
        <f>_xlfn.IFNA(VLOOKUP(patch[[#This Row],[tmp-owner.email]],OrgTree!$A:$K, 11, 0), "not ICG SWFW")</f>
        <v>BJ And dev</v>
      </c>
      <c r="S1682" s="7" t="str">
        <f>IF(patch[[#This Row],[reviewer]]=patch[[#This Row],[tmp-owner.email]], "author", _xlfn.IFNA(VLOOKUP(patch[[#This Row],[reviewer]],OrgTree!$A:$K, 11, 0), "not ICG SWFW"))</f>
        <v>BJ And dev</v>
      </c>
      <c r="T1682" s="7" t="str">
        <f>IF(ISBLANK(patch[[#This Row],[mergeDate]]), "", MID(YEAR(patch[[#This Row],[mergeDate]]), 3,2)&amp;"'ww"&amp;WEEKNUM(patch[[#This Row],[mergeDate]]))</f>
        <v>16'ww38</v>
      </c>
      <c r="U1682" s="7" t="str">
        <f>IF(ISBLANK(patch[[#This Row],[mergeDate]]), U1681, MID(YEAR(patch[[#This Row],[mergeDate]]), 3,2)&amp;"'m"&amp;MONTH(patch[[#This Row],[mergeDate]]))</f>
        <v>16'm9</v>
      </c>
      <c r="V1682" s="7" t="str">
        <f>IF(ISBLANK(patch[[#This Row],[project]]), "",SUM(patch[[#This Row],[BJ -1 num]:[SH -1 num]]))</f>
        <v/>
      </c>
      <c r="W1682" s="7" t="str">
        <f>IF(ISBLANK(patch[[#This Row],[project]]), "",COUNTIFS($A:$A,patch[[#This Row],[number]],$S:$S, "BJ And dev",$AC:$AC, "Review-1"))</f>
        <v/>
      </c>
      <c r="X1682" s="7" t="str">
        <f>IF(ISBLANK(patch[[#This Row],[project]]), "",COUNTIFS($A:$A,patch[[#This Row],[number]],$S:$S, "FL And dev",$AC:$AC, "Review-1"))</f>
        <v/>
      </c>
      <c r="Y1682" s="7" t="str">
        <f>IF(ISBLANK(patch[[#This Row],[project]]), "",COUNTIFS($A:$A,patch[[#This Row],[number]],$S:$S, "SH And dev",$AC:$AC, "Review-1"))</f>
        <v/>
      </c>
      <c r="Z1682" s="7" t="str">
        <f>IF(ISBLANK(patch[[#This Row],[project]]), "",COUNTIFS($A:$A,patch[[#This Row],[number]],$S:$S, "BJ And dev",$AD:$AD, "&lt;&gt;IntegratorValidationComment"))</f>
        <v/>
      </c>
      <c r="AA1682" s="7" t="str">
        <f>IF(ISBLANK(patch[[#This Row],[project]]), "",COUNTIFS($A:$A,patch[[#This Row],[number]],$S:$S, "FL And dev",$AD:$AD, "&lt;&gt;IntegratorValidationComment"))</f>
        <v/>
      </c>
      <c r="AB1682" s="7" t="str">
        <f>IF(ISBLANK(patch[[#This Row],[project]]), "",COUNTIFS($A:$A,patch[[#This Row],[number]],$S:$S, "SH And dev",$AD:$AD, "&lt;&gt;IntegratorValidationComment"))</f>
        <v/>
      </c>
      <c r="AC1682" s="7" t="str">
        <f>IF(OR(ISNUMBER(FIND("Review-1", patch[[#This Row],[comments]])), ISNUMBER(FIND("Approver-1", patch[[#This Row],[comments]]))), "Review-1", "")</f>
        <v/>
      </c>
      <c r="AD16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82" s="7">
        <f>IF(ISBLANK(patch[[#This Row],[number]]),AE1681,patch[[#This Row],[ifCommon]])</f>
        <v>0</v>
      </c>
    </row>
    <row r="1683" spans="1:31">
      <c r="A1683" s="151">
        <v>144434</v>
      </c>
      <c r="B1683" s="151"/>
      <c r="C1683" s="151"/>
      <c r="D1683" s="151"/>
      <c r="E1683" s="151"/>
      <c r="F1683" s="151"/>
      <c r="G1683" s="151"/>
      <c r="H1683" s="151"/>
      <c r="I1683" s="151"/>
      <c r="J1683" s="152">
        <v>42627.659745370373</v>
      </c>
      <c r="K1683" s="151"/>
      <c r="L1683" s="151" t="s">
        <v>72</v>
      </c>
      <c r="M1683" s="152">
        <v>42626.188842592594</v>
      </c>
      <c r="N1683" s="151" t="s">
        <v>2450</v>
      </c>
      <c r="O1683" s="151"/>
      <c r="P1683" s="151"/>
      <c r="Q1683" s="7" t="str">
        <f>IF(ISBLANK(patch[[#This Row],[OwnerEmail]]),Q1682,patch[[#This Row],[OwnerEmail]])</f>
        <v>bin.b.yang@intel.com</v>
      </c>
      <c r="R1683" s="7" t="str">
        <f>_xlfn.IFNA(VLOOKUP(patch[[#This Row],[tmp-owner.email]],OrgTree!$A:$K, 11, 0), "not ICG SWFW")</f>
        <v>BJ And dev</v>
      </c>
      <c r="S1683" s="7" t="str">
        <f>IF(patch[[#This Row],[reviewer]]=patch[[#This Row],[tmp-owner.email]], "author", _xlfn.IFNA(VLOOKUP(patch[[#This Row],[reviewer]],OrgTree!$A:$K, 11, 0), "not ICG SWFW"))</f>
        <v>author</v>
      </c>
      <c r="T1683" s="7" t="str">
        <f>IF(ISBLANK(patch[[#This Row],[mergeDate]]), "", MID(YEAR(patch[[#This Row],[mergeDate]]), 3,2)&amp;"'ww"&amp;WEEKNUM(patch[[#This Row],[mergeDate]]))</f>
        <v>16'ww38</v>
      </c>
      <c r="U1683" s="7" t="str">
        <f>IF(ISBLANK(patch[[#This Row],[mergeDate]]), U1682, MID(YEAR(patch[[#This Row],[mergeDate]]), 3,2)&amp;"'m"&amp;MONTH(patch[[#This Row],[mergeDate]]))</f>
        <v>16'm9</v>
      </c>
      <c r="V1683" s="7" t="str">
        <f>IF(ISBLANK(patch[[#This Row],[project]]), "",SUM(patch[[#This Row],[BJ -1 num]:[SH -1 num]]))</f>
        <v/>
      </c>
      <c r="W1683" s="7" t="str">
        <f>IF(ISBLANK(patch[[#This Row],[project]]), "",COUNTIFS($A:$A,patch[[#This Row],[number]],$S:$S, "BJ And dev",$AC:$AC, "Review-1"))</f>
        <v/>
      </c>
      <c r="X1683" s="7" t="str">
        <f>IF(ISBLANK(patch[[#This Row],[project]]), "",COUNTIFS($A:$A,patch[[#This Row],[number]],$S:$S, "FL And dev",$AC:$AC, "Review-1"))</f>
        <v/>
      </c>
      <c r="Y1683" s="7" t="str">
        <f>IF(ISBLANK(patch[[#This Row],[project]]), "",COUNTIFS($A:$A,patch[[#This Row],[number]],$S:$S, "SH And dev",$AC:$AC, "Review-1"))</f>
        <v/>
      </c>
      <c r="Z1683" s="7" t="str">
        <f>IF(ISBLANK(patch[[#This Row],[project]]), "",COUNTIFS($A:$A,patch[[#This Row],[number]],$S:$S, "BJ And dev",$AD:$AD, "&lt;&gt;IntegratorValidationComment"))</f>
        <v/>
      </c>
      <c r="AA1683" s="7" t="str">
        <f>IF(ISBLANK(patch[[#This Row],[project]]), "",COUNTIFS($A:$A,patch[[#This Row],[number]],$S:$S, "FL And dev",$AD:$AD, "&lt;&gt;IntegratorValidationComment"))</f>
        <v/>
      </c>
      <c r="AB1683" s="7" t="str">
        <f>IF(ISBLANK(patch[[#This Row],[project]]), "",COUNTIFS($A:$A,patch[[#This Row],[number]],$S:$S, "SH And dev",$AD:$AD, "&lt;&gt;IntegratorValidationComment"))</f>
        <v/>
      </c>
      <c r="AC1683" s="7" t="str">
        <f>IF(OR(ISNUMBER(FIND("Review-1", patch[[#This Row],[comments]])), ISNUMBER(FIND("Approver-1", patch[[#This Row],[comments]]))), "Review-1", "")</f>
        <v/>
      </c>
      <c r="AD16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83" s="7">
        <f>IF(ISBLANK(patch[[#This Row],[number]]),AE1682,patch[[#This Row],[ifCommon]])</f>
        <v>0</v>
      </c>
    </row>
    <row r="1684" spans="1:31">
      <c r="A1684" s="151">
        <v>144434</v>
      </c>
      <c r="B1684" s="151"/>
      <c r="C1684" s="151"/>
      <c r="D1684" s="151"/>
      <c r="E1684" s="151"/>
      <c r="F1684" s="151"/>
      <c r="G1684" s="151"/>
      <c r="H1684" s="151"/>
      <c r="I1684" s="151"/>
      <c r="J1684" s="152">
        <v>42627.659745370373</v>
      </c>
      <c r="K1684" s="151"/>
      <c r="L1684" s="151" t="s">
        <v>72</v>
      </c>
      <c r="M1684" s="152">
        <v>42626.188842592594</v>
      </c>
      <c r="N1684" s="151" t="s">
        <v>1829</v>
      </c>
      <c r="O1684" s="151"/>
      <c r="P1684" s="151"/>
      <c r="Q1684" s="7" t="str">
        <f>IF(ISBLANK(patch[[#This Row],[OwnerEmail]]),Q1683,patch[[#This Row],[OwnerEmail]])</f>
        <v>bin.b.yang@intel.com</v>
      </c>
      <c r="R1684" s="7" t="str">
        <f>_xlfn.IFNA(VLOOKUP(patch[[#This Row],[tmp-owner.email]],OrgTree!$A:$K, 11, 0), "not ICG SWFW")</f>
        <v>BJ And dev</v>
      </c>
      <c r="S1684" s="7" t="str">
        <f>IF(patch[[#This Row],[reviewer]]=patch[[#This Row],[tmp-owner.email]], "author", _xlfn.IFNA(VLOOKUP(patch[[#This Row],[reviewer]],OrgTree!$A:$K, 11, 0), "not ICG SWFW"))</f>
        <v>author</v>
      </c>
      <c r="T1684" s="7" t="str">
        <f>IF(ISBLANK(patch[[#This Row],[mergeDate]]), "", MID(YEAR(patch[[#This Row],[mergeDate]]), 3,2)&amp;"'ww"&amp;WEEKNUM(patch[[#This Row],[mergeDate]]))</f>
        <v>16'ww38</v>
      </c>
      <c r="U1684" s="7" t="str">
        <f>IF(ISBLANK(patch[[#This Row],[mergeDate]]), U1683, MID(YEAR(patch[[#This Row],[mergeDate]]), 3,2)&amp;"'m"&amp;MONTH(patch[[#This Row],[mergeDate]]))</f>
        <v>16'm9</v>
      </c>
      <c r="V1684" s="7" t="str">
        <f>IF(ISBLANK(patch[[#This Row],[project]]), "",SUM(patch[[#This Row],[BJ -1 num]:[SH -1 num]]))</f>
        <v/>
      </c>
      <c r="W1684" s="7" t="str">
        <f>IF(ISBLANK(patch[[#This Row],[project]]), "",COUNTIFS($A:$A,patch[[#This Row],[number]],$S:$S, "BJ And dev",$AC:$AC, "Review-1"))</f>
        <v/>
      </c>
      <c r="X1684" s="7" t="str">
        <f>IF(ISBLANK(patch[[#This Row],[project]]), "",COUNTIFS($A:$A,patch[[#This Row],[number]],$S:$S, "FL And dev",$AC:$AC, "Review-1"))</f>
        <v/>
      </c>
      <c r="Y1684" s="7" t="str">
        <f>IF(ISBLANK(patch[[#This Row],[project]]), "",COUNTIFS($A:$A,patch[[#This Row],[number]],$S:$S, "SH And dev",$AC:$AC, "Review-1"))</f>
        <v/>
      </c>
      <c r="Z1684" s="7" t="str">
        <f>IF(ISBLANK(patch[[#This Row],[project]]), "",COUNTIFS($A:$A,patch[[#This Row],[number]],$S:$S, "BJ And dev",$AD:$AD, "&lt;&gt;IntegratorValidationComment"))</f>
        <v/>
      </c>
      <c r="AA1684" s="7" t="str">
        <f>IF(ISBLANK(patch[[#This Row],[project]]), "",COUNTIFS($A:$A,patch[[#This Row],[number]],$S:$S, "FL And dev",$AD:$AD, "&lt;&gt;IntegratorValidationComment"))</f>
        <v/>
      </c>
      <c r="AB1684" s="7" t="str">
        <f>IF(ISBLANK(patch[[#This Row],[project]]), "",COUNTIFS($A:$A,patch[[#This Row],[number]],$S:$S, "SH And dev",$AD:$AD, "&lt;&gt;IntegratorValidationComment"))</f>
        <v/>
      </c>
      <c r="AC1684" s="7" t="str">
        <f>IF(OR(ISNUMBER(FIND("Review-1", patch[[#This Row],[comments]])), ISNUMBER(FIND("Approver-1", patch[[#This Row],[comments]]))), "Review-1", "")</f>
        <v/>
      </c>
      <c r="AD16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84" s="7">
        <f>IF(ISBLANK(patch[[#This Row],[number]]),AE1683,patch[[#This Row],[ifCommon]])</f>
        <v>0</v>
      </c>
    </row>
    <row r="1685" spans="1:31">
      <c r="A1685" s="151">
        <v>144434</v>
      </c>
      <c r="B1685" s="151"/>
      <c r="C1685" s="151"/>
      <c r="D1685" s="151"/>
      <c r="E1685" s="151"/>
      <c r="F1685" s="151"/>
      <c r="G1685" s="151"/>
      <c r="H1685" s="151"/>
      <c r="I1685" s="151"/>
      <c r="J1685" s="152">
        <v>42627.659745370373</v>
      </c>
      <c r="K1685" s="151"/>
      <c r="L1685" s="151" t="s">
        <v>72</v>
      </c>
      <c r="M1685" s="152">
        <v>42626.190439814818</v>
      </c>
      <c r="N1685" s="151" t="s">
        <v>48</v>
      </c>
      <c r="O1685" s="151"/>
      <c r="P1685" s="151"/>
      <c r="Q1685" s="7" t="str">
        <f>IF(ISBLANK(patch[[#This Row],[OwnerEmail]]),Q1684,patch[[#This Row],[OwnerEmail]])</f>
        <v>bin.b.yang@intel.com</v>
      </c>
      <c r="R1685" s="7" t="str">
        <f>_xlfn.IFNA(VLOOKUP(patch[[#This Row],[tmp-owner.email]],OrgTree!$A:$K, 11, 0), "not ICG SWFW")</f>
        <v>BJ And dev</v>
      </c>
      <c r="S1685" s="7" t="str">
        <f>IF(patch[[#This Row],[reviewer]]=patch[[#This Row],[tmp-owner.email]], "author", _xlfn.IFNA(VLOOKUP(patch[[#This Row],[reviewer]],OrgTree!$A:$K, 11, 0), "not ICG SWFW"))</f>
        <v>author</v>
      </c>
      <c r="T1685" s="7" t="str">
        <f>IF(ISBLANK(patch[[#This Row],[mergeDate]]), "", MID(YEAR(patch[[#This Row],[mergeDate]]), 3,2)&amp;"'ww"&amp;WEEKNUM(patch[[#This Row],[mergeDate]]))</f>
        <v>16'ww38</v>
      </c>
      <c r="U1685" s="7" t="str">
        <f>IF(ISBLANK(patch[[#This Row],[mergeDate]]), U1684, MID(YEAR(patch[[#This Row],[mergeDate]]), 3,2)&amp;"'m"&amp;MONTH(patch[[#This Row],[mergeDate]]))</f>
        <v>16'm9</v>
      </c>
      <c r="V1685" s="7" t="str">
        <f>IF(ISBLANK(patch[[#This Row],[project]]), "",SUM(patch[[#This Row],[BJ -1 num]:[SH -1 num]]))</f>
        <v/>
      </c>
      <c r="W1685" s="7" t="str">
        <f>IF(ISBLANK(patch[[#This Row],[project]]), "",COUNTIFS($A:$A,patch[[#This Row],[number]],$S:$S, "BJ And dev",$AC:$AC, "Review-1"))</f>
        <v/>
      </c>
      <c r="X1685" s="7" t="str">
        <f>IF(ISBLANK(patch[[#This Row],[project]]), "",COUNTIFS($A:$A,patch[[#This Row],[number]],$S:$S, "FL And dev",$AC:$AC, "Review-1"))</f>
        <v/>
      </c>
      <c r="Y1685" s="7" t="str">
        <f>IF(ISBLANK(patch[[#This Row],[project]]), "",COUNTIFS($A:$A,patch[[#This Row],[number]],$S:$S, "SH And dev",$AC:$AC, "Review-1"))</f>
        <v/>
      </c>
      <c r="Z1685" s="7" t="str">
        <f>IF(ISBLANK(patch[[#This Row],[project]]), "",COUNTIFS($A:$A,patch[[#This Row],[number]],$S:$S, "BJ And dev",$AD:$AD, "&lt;&gt;IntegratorValidationComment"))</f>
        <v/>
      </c>
      <c r="AA1685" s="7" t="str">
        <f>IF(ISBLANK(patch[[#This Row],[project]]), "",COUNTIFS($A:$A,patch[[#This Row],[number]],$S:$S, "FL And dev",$AD:$AD, "&lt;&gt;IntegratorValidationComment"))</f>
        <v/>
      </c>
      <c r="AB1685" s="7" t="str">
        <f>IF(ISBLANK(patch[[#This Row],[project]]), "",COUNTIFS($A:$A,patch[[#This Row],[number]],$S:$S, "SH And dev",$AD:$AD, "&lt;&gt;IntegratorValidationComment"))</f>
        <v/>
      </c>
      <c r="AC1685" s="7" t="str">
        <f>IF(OR(ISNUMBER(FIND("Review-1", patch[[#This Row],[comments]])), ISNUMBER(FIND("Approver-1", patch[[#This Row],[comments]]))), "Review-1", "")</f>
        <v/>
      </c>
      <c r="AD16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85" s="7">
        <f>IF(ISBLANK(patch[[#This Row],[number]]),AE1684,patch[[#This Row],[ifCommon]])</f>
        <v>0</v>
      </c>
    </row>
    <row r="1686" spans="1:31">
      <c r="A1686" s="151">
        <v>144434</v>
      </c>
      <c r="B1686" s="151"/>
      <c r="C1686" s="151"/>
      <c r="D1686" s="151"/>
      <c r="E1686" s="151"/>
      <c r="F1686" s="151"/>
      <c r="G1686" s="151"/>
      <c r="H1686" s="151"/>
      <c r="I1686" s="151"/>
      <c r="J1686" s="152">
        <v>42627.659745370373</v>
      </c>
      <c r="K1686" s="151"/>
      <c r="L1686" s="151" t="s">
        <v>72</v>
      </c>
      <c r="M1686" s="152">
        <v>42626.273773148147</v>
      </c>
      <c r="N1686" s="151" t="s">
        <v>49</v>
      </c>
      <c r="O1686" s="151"/>
      <c r="P1686" s="151"/>
      <c r="Q1686" s="7" t="str">
        <f>IF(ISBLANK(patch[[#This Row],[OwnerEmail]]),Q1685,patch[[#This Row],[OwnerEmail]])</f>
        <v>bin.b.yang@intel.com</v>
      </c>
      <c r="R1686" s="7" t="str">
        <f>_xlfn.IFNA(VLOOKUP(patch[[#This Row],[tmp-owner.email]],OrgTree!$A:$K, 11, 0), "not ICG SWFW")</f>
        <v>BJ And dev</v>
      </c>
      <c r="S1686" s="7" t="str">
        <f>IF(patch[[#This Row],[reviewer]]=patch[[#This Row],[tmp-owner.email]], "author", _xlfn.IFNA(VLOOKUP(patch[[#This Row],[reviewer]],OrgTree!$A:$K, 11, 0), "not ICG SWFW"))</f>
        <v>author</v>
      </c>
      <c r="T1686" s="7" t="str">
        <f>IF(ISBLANK(patch[[#This Row],[mergeDate]]), "", MID(YEAR(patch[[#This Row],[mergeDate]]), 3,2)&amp;"'ww"&amp;WEEKNUM(patch[[#This Row],[mergeDate]]))</f>
        <v>16'ww38</v>
      </c>
      <c r="U1686" s="7" t="str">
        <f>IF(ISBLANK(patch[[#This Row],[mergeDate]]), U1685, MID(YEAR(patch[[#This Row],[mergeDate]]), 3,2)&amp;"'m"&amp;MONTH(patch[[#This Row],[mergeDate]]))</f>
        <v>16'm9</v>
      </c>
      <c r="V1686" s="7" t="str">
        <f>IF(ISBLANK(patch[[#This Row],[project]]), "",SUM(patch[[#This Row],[BJ -1 num]:[SH -1 num]]))</f>
        <v/>
      </c>
      <c r="W1686" s="7" t="str">
        <f>IF(ISBLANK(patch[[#This Row],[project]]), "",COUNTIFS($A:$A,patch[[#This Row],[number]],$S:$S, "BJ And dev",$AC:$AC, "Review-1"))</f>
        <v/>
      </c>
      <c r="X1686" s="7" t="str">
        <f>IF(ISBLANK(patch[[#This Row],[project]]), "",COUNTIFS($A:$A,patch[[#This Row],[number]],$S:$S, "FL And dev",$AC:$AC, "Review-1"))</f>
        <v/>
      </c>
      <c r="Y1686" s="7" t="str">
        <f>IF(ISBLANK(patch[[#This Row],[project]]), "",COUNTIFS($A:$A,patch[[#This Row],[number]],$S:$S, "SH And dev",$AC:$AC, "Review-1"))</f>
        <v/>
      </c>
      <c r="Z1686" s="7" t="str">
        <f>IF(ISBLANK(patch[[#This Row],[project]]), "",COUNTIFS($A:$A,patch[[#This Row],[number]],$S:$S, "BJ And dev",$AD:$AD, "&lt;&gt;IntegratorValidationComment"))</f>
        <v/>
      </c>
      <c r="AA1686" s="7" t="str">
        <f>IF(ISBLANK(patch[[#This Row],[project]]), "",COUNTIFS($A:$A,patch[[#This Row],[number]],$S:$S, "FL And dev",$AD:$AD, "&lt;&gt;IntegratorValidationComment"))</f>
        <v/>
      </c>
      <c r="AB1686" s="7" t="str">
        <f>IF(ISBLANK(patch[[#This Row],[project]]), "",COUNTIFS($A:$A,patch[[#This Row],[number]],$S:$S, "SH And dev",$AD:$AD, "&lt;&gt;IntegratorValidationComment"))</f>
        <v/>
      </c>
      <c r="AC1686" s="7" t="str">
        <f>IF(OR(ISNUMBER(FIND("Review-1", patch[[#This Row],[comments]])), ISNUMBER(FIND("Approver-1", patch[[#This Row],[comments]]))), "Review-1", "")</f>
        <v/>
      </c>
      <c r="AD16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86" s="7">
        <f>IF(ISBLANK(patch[[#This Row],[number]]),AE1685,patch[[#This Row],[ifCommon]])</f>
        <v>0</v>
      </c>
    </row>
    <row r="1687" spans="1:31">
      <c r="A1687" s="151">
        <v>144434</v>
      </c>
      <c r="B1687" s="151"/>
      <c r="C1687" s="151"/>
      <c r="D1687" s="151"/>
      <c r="E1687" s="151"/>
      <c r="F1687" s="151"/>
      <c r="G1687" s="151"/>
      <c r="H1687" s="151"/>
      <c r="I1687" s="152"/>
      <c r="J1687" s="152">
        <v>42627.659745370373</v>
      </c>
      <c r="K1687" s="151"/>
      <c r="L1687" s="151" t="s">
        <v>72</v>
      </c>
      <c r="M1687" s="152">
        <v>42626.273773148147</v>
      </c>
      <c r="N1687" s="151" t="s">
        <v>2451</v>
      </c>
      <c r="O1687" s="151"/>
      <c r="P1687" s="151"/>
      <c r="Q1687" s="7" t="str">
        <f>IF(ISBLANK(patch[[#This Row],[OwnerEmail]]),Q1686,patch[[#This Row],[OwnerEmail]])</f>
        <v>bin.b.yang@intel.com</v>
      </c>
      <c r="R1687" s="7" t="str">
        <f>_xlfn.IFNA(VLOOKUP(patch[[#This Row],[tmp-owner.email]],OrgTree!$A:$K, 11, 0), "not ICG SWFW")</f>
        <v>BJ And dev</v>
      </c>
      <c r="S1687" s="7" t="str">
        <f>IF(patch[[#This Row],[reviewer]]=patch[[#This Row],[tmp-owner.email]], "author", _xlfn.IFNA(VLOOKUP(patch[[#This Row],[reviewer]],OrgTree!$A:$K, 11, 0), "not ICG SWFW"))</f>
        <v>author</v>
      </c>
      <c r="T1687" s="7" t="str">
        <f>IF(ISBLANK(patch[[#This Row],[mergeDate]]), "", MID(YEAR(patch[[#This Row],[mergeDate]]), 3,2)&amp;"'ww"&amp;WEEKNUM(patch[[#This Row],[mergeDate]]))</f>
        <v>16'ww38</v>
      </c>
      <c r="U1687" s="7" t="str">
        <f>IF(ISBLANK(patch[[#This Row],[mergeDate]]), U1686, MID(YEAR(patch[[#This Row],[mergeDate]]), 3,2)&amp;"'m"&amp;MONTH(patch[[#This Row],[mergeDate]]))</f>
        <v>16'm9</v>
      </c>
      <c r="V1687" s="7" t="str">
        <f>IF(ISBLANK(patch[[#This Row],[project]]), "",SUM(patch[[#This Row],[BJ -1 num]:[SH -1 num]]))</f>
        <v/>
      </c>
      <c r="W1687" s="7" t="str">
        <f>IF(ISBLANK(patch[[#This Row],[project]]), "",COUNTIFS($A:$A,patch[[#This Row],[number]],$S:$S, "BJ And dev",$AC:$AC, "Review-1"))</f>
        <v/>
      </c>
      <c r="X1687" s="7" t="str">
        <f>IF(ISBLANK(patch[[#This Row],[project]]), "",COUNTIFS($A:$A,patch[[#This Row],[number]],$S:$S, "FL And dev",$AC:$AC, "Review-1"))</f>
        <v/>
      </c>
      <c r="Y1687" s="7" t="str">
        <f>IF(ISBLANK(patch[[#This Row],[project]]), "",COUNTIFS($A:$A,patch[[#This Row],[number]],$S:$S, "SH And dev",$AC:$AC, "Review-1"))</f>
        <v/>
      </c>
      <c r="Z1687" s="7" t="str">
        <f>IF(ISBLANK(patch[[#This Row],[project]]), "",COUNTIFS($A:$A,patch[[#This Row],[number]],$S:$S, "BJ And dev",$AD:$AD, "&lt;&gt;IntegratorValidationComment"))</f>
        <v/>
      </c>
      <c r="AA1687" s="7" t="str">
        <f>IF(ISBLANK(patch[[#This Row],[project]]), "",COUNTIFS($A:$A,patch[[#This Row],[number]],$S:$S, "FL And dev",$AD:$AD, "&lt;&gt;IntegratorValidationComment"))</f>
        <v/>
      </c>
      <c r="AB1687" s="7" t="str">
        <f>IF(ISBLANK(patch[[#This Row],[project]]), "",COUNTIFS($A:$A,patch[[#This Row],[number]],$S:$S, "SH And dev",$AD:$AD, "&lt;&gt;IntegratorValidationComment"))</f>
        <v/>
      </c>
      <c r="AC1687" s="7" t="str">
        <f>IF(OR(ISNUMBER(FIND("Review-1", patch[[#This Row],[comments]])), ISNUMBER(FIND("Approver-1", patch[[#This Row],[comments]]))), "Review-1", "")</f>
        <v/>
      </c>
      <c r="AD16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87" s="7">
        <f>IF(ISBLANK(patch[[#This Row],[number]]),AE1686,patch[[#This Row],[ifCommon]])</f>
        <v>0</v>
      </c>
    </row>
    <row r="1688" spans="1:31">
      <c r="A1688" s="151">
        <v>144434</v>
      </c>
      <c r="B1688" s="151"/>
      <c r="C1688" s="151"/>
      <c r="D1688" s="151"/>
      <c r="E1688" s="151"/>
      <c r="F1688" s="151"/>
      <c r="G1688" s="151"/>
      <c r="H1688" s="151"/>
      <c r="I1688" s="151"/>
      <c r="J1688" s="152">
        <v>42627.659745370373</v>
      </c>
      <c r="K1688" s="151"/>
      <c r="L1688" s="151" t="s">
        <v>72</v>
      </c>
      <c r="M1688" s="152">
        <v>42626.274363425917</v>
      </c>
      <c r="N1688" s="151" t="s">
        <v>31</v>
      </c>
      <c r="O1688" s="151"/>
      <c r="P1688" s="151"/>
      <c r="Q1688" s="7" t="str">
        <f>IF(ISBLANK(patch[[#This Row],[OwnerEmail]]),Q1687,patch[[#This Row],[OwnerEmail]])</f>
        <v>bin.b.yang@intel.com</v>
      </c>
      <c r="R1688" s="7" t="str">
        <f>_xlfn.IFNA(VLOOKUP(patch[[#This Row],[tmp-owner.email]],OrgTree!$A:$K, 11, 0), "not ICG SWFW")</f>
        <v>BJ And dev</v>
      </c>
      <c r="S1688" s="7" t="str">
        <f>IF(patch[[#This Row],[reviewer]]=patch[[#This Row],[tmp-owner.email]], "author", _xlfn.IFNA(VLOOKUP(patch[[#This Row],[reviewer]],OrgTree!$A:$K, 11, 0), "not ICG SWFW"))</f>
        <v>author</v>
      </c>
      <c r="T1688" s="7" t="str">
        <f>IF(ISBLANK(patch[[#This Row],[mergeDate]]), "", MID(YEAR(patch[[#This Row],[mergeDate]]), 3,2)&amp;"'ww"&amp;WEEKNUM(patch[[#This Row],[mergeDate]]))</f>
        <v>16'ww38</v>
      </c>
      <c r="U1688" s="7" t="str">
        <f>IF(ISBLANK(patch[[#This Row],[mergeDate]]), U1687, MID(YEAR(patch[[#This Row],[mergeDate]]), 3,2)&amp;"'m"&amp;MONTH(patch[[#This Row],[mergeDate]]))</f>
        <v>16'm9</v>
      </c>
      <c r="V1688" s="7" t="str">
        <f>IF(ISBLANK(patch[[#This Row],[project]]), "",SUM(patch[[#This Row],[BJ -1 num]:[SH -1 num]]))</f>
        <v/>
      </c>
      <c r="W1688" s="7" t="str">
        <f>IF(ISBLANK(patch[[#This Row],[project]]), "",COUNTIFS($A:$A,patch[[#This Row],[number]],$S:$S, "BJ And dev",$AC:$AC, "Review-1"))</f>
        <v/>
      </c>
      <c r="X1688" s="7" t="str">
        <f>IF(ISBLANK(patch[[#This Row],[project]]), "",COUNTIFS($A:$A,patch[[#This Row],[number]],$S:$S, "FL And dev",$AC:$AC, "Review-1"))</f>
        <v/>
      </c>
      <c r="Y1688" s="7" t="str">
        <f>IF(ISBLANK(patch[[#This Row],[project]]), "",COUNTIFS($A:$A,patch[[#This Row],[number]],$S:$S, "SH And dev",$AC:$AC, "Review-1"))</f>
        <v/>
      </c>
      <c r="Z1688" s="7" t="str">
        <f>IF(ISBLANK(patch[[#This Row],[project]]), "",COUNTIFS($A:$A,patch[[#This Row],[number]],$S:$S, "BJ And dev",$AD:$AD, "&lt;&gt;IntegratorValidationComment"))</f>
        <v/>
      </c>
      <c r="AA1688" s="7" t="str">
        <f>IF(ISBLANK(patch[[#This Row],[project]]), "",COUNTIFS($A:$A,patch[[#This Row],[number]],$S:$S, "FL And dev",$AD:$AD, "&lt;&gt;IntegratorValidationComment"))</f>
        <v/>
      </c>
      <c r="AB1688" s="7" t="str">
        <f>IF(ISBLANK(patch[[#This Row],[project]]), "",COUNTIFS($A:$A,patch[[#This Row],[number]],$S:$S, "SH And dev",$AD:$AD, "&lt;&gt;IntegratorValidationComment"))</f>
        <v/>
      </c>
      <c r="AC1688" s="7" t="str">
        <f>IF(OR(ISNUMBER(FIND("Review-1", patch[[#This Row],[comments]])), ISNUMBER(FIND("Approver-1", patch[[#This Row],[comments]]))), "Review-1", "")</f>
        <v/>
      </c>
      <c r="AD16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88" s="7">
        <f>IF(ISBLANK(patch[[#This Row],[number]]),AE1687,patch[[#This Row],[ifCommon]])</f>
        <v>0</v>
      </c>
    </row>
    <row r="1689" spans="1:31">
      <c r="A1689" s="151">
        <v>144434</v>
      </c>
      <c r="B1689" s="151"/>
      <c r="C1689" s="151"/>
      <c r="D1689" s="151"/>
      <c r="E1689" s="151"/>
      <c r="F1689" s="151"/>
      <c r="G1689" s="151"/>
      <c r="H1689" s="151"/>
      <c r="I1689" s="151"/>
      <c r="J1689" s="152">
        <v>42627.659745370373</v>
      </c>
      <c r="K1689" s="151"/>
      <c r="L1689" s="151" t="s">
        <v>59</v>
      </c>
      <c r="M1689" s="152">
        <v>42626.377164351848</v>
      </c>
      <c r="N1689" s="151" t="s">
        <v>3422</v>
      </c>
      <c r="O1689" s="151"/>
      <c r="P1689" s="151"/>
      <c r="Q1689" s="7" t="str">
        <f>IF(ISBLANK(patch[[#This Row],[OwnerEmail]]),Q1688,patch[[#This Row],[OwnerEmail]])</f>
        <v>bin.b.yang@intel.com</v>
      </c>
      <c r="R1689" s="7" t="str">
        <f>_xlfn.IFNA(VLOOKUP(patch[[#This Row],[tmp-owner.email]],OrgTree!$A:$K, 11, 0), "not ICG SWFW")</f>
        <v>BJ And dev</v>
      </c>
      <c r="S1689" s="7" t="str">
        <f>IF(patch[[#This Row],[reviewer]]=patch[[#This Row],[tmp-owner.email]], "author", _xlfn.IFNA(VLOOKUP(patch[[#This Row],[reviewer]],OrgTree!$A:$K, 11, 0), "not ICG SWFW"))</f>
        <v>BJ And dev</v>
      </c>
      <c r="T1689" s="7" t="str">
        <f>IF(ISBLANK(patch[[#This Row],[mergeDate]]), "", MID(YEAR(patch[[#This Row],[mergeDate]]), 3,2)&amp;"'ww"&amp;WEEKNUM(patch[[#This Row],[mergeDate]]))</f>
        <v>16'ww38</v>
      </c>
      <c r="U1689" s="7" t="str">
        <f>IF(ISBLANK(patch[[#This Row],[mergeDate]]), U1688, MID(YEAR(patch[[#This Row],[mergeDate]]), 3,2)&amp;"'m"&amp;MONTH(patch[[#This Row],[mergeDate]]))</f>
        <v>16'm9</v>
      </c>
      <c r="V1689" s="7" t="str">
        <f>IF(ISBLANK(patch[[#This Row],[project]]), "",SUM(patch[[#This Row],[BJ -1 num]:[SH -1 num]]))</f>
        <v/>
      </c>
      <c r="W1689" s="7" t="str">
        <f>IF(ISBLANK(patch[[#This Row],[project]]), "",COUNTIFS($A:$A,patch[[#This Row],[number]],$S:$S, "BJ And dev",$AC:$AC, "Review-1"))</f>
        <v/>
      </c>
      <c r="X1689" s="7" t="str">
        <f>IF(ISBLANK(patch[[#This Row],[project]]), "",COUNTIFS($A:$A,patch[[#This Row],[number]],$S:$S, "FL And dev",$AC:$AC, "Review-1"))</f>
        <v/>
      </c>
      <c r="Y1689" s="7" t="str">
        <f>IF(ISBLANK(patch[[#This Row],[project]]), "",COUNTIFS($A:$A,patch[[#This Row],[number]],$S:$S, "SH And dev",$AC:$AC, "Review-1"))</f>
        <v/>
      </c>
      <c r="Z1689" s="7" t="str">
        <f>IF(ISBLANK(patch[[#This Row],[project]]), "",COUNTIFS($A:$A,patch[[#This Row],[number]],$S:$S, "BJ And dev",$AD:$AD, "&lt;&gt;IntegratorValidationComment"))</f>
        <v/>
      </c>
      <c r="AA1689" s="7" t="str">
        <f>IF(ISBLANK(patch[[#This Row],[project]]), "",COUNTIFS($A:$A,patch[[#This Row],[number]],$S:$S, "FL And dev",$AD:$AD, "&lt;&gt;IntegratorValidationComment"))</f>
        <v/>
      </c>
      <c r="AB1689" s="7" t="str">
        <f>IF(ISBLANK(patch[[#This Row],[project]]), "",COUNTIFS($A:$A,patch[[#This Row],[number]],$S:$S, "SH And dev",$AD:$AD, "&lt;&gt;IntegratorValidationComment"))</f>
        <v/>
      </c>
      <c r="AC1689" s="7" t="str">
        <f>IF(OR(ISNUMBER(FIND("Review-1", patch[[#This Row],[comments]])), ISNUMBER(FIND("Approver-1", patch[[#This Row],[comments]]))), "Review-1", "")</f>
        <v/>
      </c>
      <c r="AD16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89" s="7">
        <f>IF(ISBLANK(patch[[#This Row],[number]]),AE1688,patch[[#This Row],[ifCommon]])</f>
        <v>0</v>
      </c>
    </row>
    <row r="1690" spans="1:31">
      <c r="A1690" s="151">
        <v>144434</v>
      </c>
      <c r="B1690" s="151"/>
      <c r="C1690" s="151"/>
      <c r="D1690" s="151"/>
      <c r="E1690" s="151"/>
      <c r="F1690" s="151"/>
      <c r="G1690" s="151"/>
      <c r="H1690" s="151"/>
      <c r="I1690" s="152"/>
      <c r="J1690" s="152">
        <v>42627.659745370373</v>
      </c>
      <c r="K1690" s="151"/>
      <c r="L1690" s="151" t="s">
        <v>59</v>
      </c>
      <c r="M1690" s="152">
        <v>42626.382314814808</v>
      </c>
      <c r="N1690" s="151" t="s">
        <v>3423</v>
      </c>
      <c r="O1690" s="151"/>
      <c r="P1690" s="151"/>
      <c r="Q1690" s="7" t="str">
        <f>IF(ISBLANK(patch[[#This Row],[OwnerEmail]]),Q1689,patch[[#This Row],[OwnerEmail]])</f>
        <v>bin.b.yang@intel.com</v>
      </c>
      <c r="R1690" s="7" t="str">
        <f>_xlfn.IFNA(VLOOKUP(patch[[#This Row],[tmp-owner.email]],OrgTree!$A:$K, 11, 0), "not ICG SWFW")</f>
        <v>BJ And dev</v>
      </c>
      <c r="S1690" s="7" t="str">
        <f>IF(patch[[#This Row],[reviewer]]=patch[[#This Row],[tmp-owner.email]], "author", _xlfn.IFNA(VLOOKUP(patch[[#This Row],[reviewer]],OrgTree!$A:$K, 11, 0), "not ICG SWFW"))</f>
        <v>BJ And dev</v>
      </c>
      <c r="T1690" s="7" t="str">
        <f>IF(ISBLANK(patch[[#This Row],[mergeDate]]), "", MID(YEAR(patch[[#This Row],[mergeDate]]), 3,2)&amp;"'ww"&amp;WEEKNUM(patch[[#This Row],[mergeDate]]))</f>
        <v>16'ww38</v>
      </c>
      <c r="U1690" s="7" t="str">
        <f>IF(ISBLANK(patch[[#This Row],[mergeDate]]), U1689, MID(YEAR(patch[[#This Row],[mergeDate]]), 3,2)&amp;"'m"&amp;MONTH(patch[[#This Row],[mergeDate]]))</f>
        <v>16'm9</v>
      </c>
      <c r="V1690" s="7" t="str">
        <f>IF(ISBLANK(patch[[#This Row],[project]]), "",SUM(patch[[#This Row],[BJ -1 num]:[SH -1 num]]))</f>
        <v/>
      </c>
      <c r="W1690" s="7" t="str">
        <f>IF(ISBLANK(patch[[#This Row],[project]]), "",COUNTIFS($A:$A,patch[[#This Row],[number]],$S:$S, "BJ And dev",$AC:$AC, "Review-1"))</f>
        <v/>
      </c>
      <c r="X1690" s="7" t="str">
        <f>IF(ISBLANK(patch[[#This Row],[project]]), "",COUNTIFS($A:$A,patch[[#This Row],[number]],$S:$S, "FL And dev",$AC:$AC, "Review-1"))</f>
        <v/>
      </c>
      <c r="Y1690" s="7" t="str">
        <f>IF(ISBLANK(patch[[#This Row],[project]]), "",COUNTIFS($A:$A,patch[[#This Row],[number]],$S:$S, "SH And dev",$AC:$AC, "Review-1"))</f>
        <v/>
      </c>
      <c r="Z1690" s="7" t="str">
        <f>IF(ISBLANK(patch[[#This Row],[project]]), "",COUNTIFS($A:$A,patch[[#This Row],[number]],$S:$S, "BJ And dev",$AD:$AD, "&lt;&gt;IntegratorValidationComment"))</f>
        <v/>
      </c>
      <c r="AA1690" s="7" t="str">
        <f>IF(ISBLANK(patch[[#This Row],[project]]), "",COUNTIFS($A:$A,patch[[#This Row],[number]],$S:$S, "FL And dev",$AD:$AD, "&lt;&gt;IntegratorValidationComment"))</f>
        <v/>
      </c>
      <c r="AB1690" s="7" t="str">
        <f>IF(ISBLANK(patch[[#This Row],[project]]), "",COUNTIFS($A:$A,patch[[#This Row],[number]],$S:$S, "SH And dev",$AD:$AD, "&lt;&gt;IntegratorValidationComment"))</f>
        <v/>
      </c>
      <c r="AC1690" s="7" t="str">
        <f>IF(OR(ISNUMBER(FIND("Review-1", patch[[#This Row],[comments]])), ISNUMBER(FIND("Approver-1", patch[[#This Row],[comments]]))), "Review-1", "")</f>
        <v/>
      </c>
      <c r="AD16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90" s="7">
        <f>IF(ISBLANK(patch[[#This Row],[number]]),AE1689,patch[[#This Row],[ifCommon]])</f>
        <v>0</v>
      </c>
    </row>
    <row r="1691" spans="1:31">
      <c r="A1691" s="151">
        <v>144434</v>
      </c>
      <c r="B1691" s="151"/>
      <c r="C1691" s="151"/>
      <c r="D1691" s="151"/>
      <c r="E1691" s="151"/>
      <c r="F1691" s="151"/>
      <c r="G1691" s="151"/>
      <c r="H1691" s="151"/>
      <c r="I1691" s="151"/>
      <c r="J1691" s="152">
        <v>42627.659745370373</v>
      </c>
      <c r="K1691" s="151"/>
      <c r="L1691" s="151" t="s">
        <v>72</v>
      </c>
      <c r="M1691" s="152">
        <v>42626.409097222233</v>
      </c>
      <c r="N1691" s="151" t="s">
        <v>1855</v>
      </c>
      <c r="O1691" s="151"/>
      <c r="P1691" s="151"/>
      <c r="Q1691" s="7" t="str">
        <f>IF(ISBLANK(patch[[#This Row],[OwnerEmail]]),Q1690,patch[[#This Row],[OwnerEmail]])</f>
        <v>bin.b.yang@intel.com</v>
      </c>
      <c r="R1691" s="7" t="str">
        <f>_xlfn.IFNA(VLOOKUP(patch[[#This Row],[tmp-owner.email]],OrgTree!$A:$K, 11, 0), "not ICG SWFW")</f>
        <v>BJ And dev</v>
      </c>
      <c r="S1691" s="7" t="str">
        <f>IF(patch[[#This Row],[reviewer]]=patch[[#This Row],[tmp-owner.email]], "author", _xlfn.IFNA(VLOOKUP(patch[[#This Row],[reviewer]],OrgTree!$A:$K, 11, 0), "not ICG SWFW"))</f>
        <v>author</v>
      </c>
      <c r="T1691" s="7" t="str">
        <f>IF(ISBLANK(patch[[#This Row],[mergeDate]]), "", MID(YEAR(patch[[#This Row],[mergeDate]]), 3,2)&amp;"'ww"&amp;WEEKNUM(patch[[#This Row],[mergeDate]]))</f>
        <v>16'ww38</v>
      </c>
      <c r="U1691" s="7" t="str">
        <f>IF(ISBLANK(patch[[#This Row],[mergeDate]]), U1690, MID(YEAR(patch[[#This Row],[mergeDate]]), 3,2)&amp;"'m"&amp;MONTH(patch[[#This Row],[mergeDate]]))</f>
        <v>16'm9</v>
      </c>
      <c r="V1691" s="7" t="str">
        <f>IF(ISBLANK(patch[[#This Row],[project]]), "",SUM(patch[[#This Row],[BJ -1 num]:[SH -1 num]]))</f>
        <v/>
      </c>
      <c r="W1691" s="7" t="str">
        <f>IF(ISBLANK(patch[[#This Row],[project]]), "",COUNTIFS($A:$A,patch[[#This Row],[number]],$S:$S, "BJ And dev",$AC:$AC, "Review-1"))</f>
        <v/>
      </c>
      <c r="X1691" s="7" t="str">
        <f>IF(ISBLANK(patch[[#This Row],[project]]), "",COUNTIFS($A:$A,patch[[#This Row],[number]],$S:$S, "FL And dev",$AC:$AC, "Review-1"))</f>
        <v/>
      </c>
      <c r="Y1691" s="7" t="str">
        <f>IF(ISBLANK(patch[[#This Row],[project]]), "",COUNTIFS($A:$A,patch[[#This Row],[number]],$S:$S, "SH And dev",$AC:$AC, "Review-1"))</f>
        <v/>
      </c>
      <c r="Z1691" s="7" t="str">
        <f>IF(ISBLANK(patch[[#This Row],[project]]), "",COUNTIFS($A:$A,patch[[#This Row],[number]],$S:$S, "BJ And dev",$AD:$AD, "&lt;&gt;IntegratorValidationComment"))</f>
        <v/>
      </c>
      <c r="AA1691" s="7" t="str">
        <f>IF(ISBLANK(patch[[#This Row],[project]]), "",COUNTIFS($A:$A,patch[[#This Row],[number]],$S:$S, "FL And dev",$AD:$AD, "&lt;&gt;IntegratorValidationComment"))</f>
        <v/>
      </c>
      <c r="AB1691" s="7" t="str">
        <f>IF(ISBLANK(patch[[#This Row],[project]]), "",COUNTIFS($A:$A,patch[[#This Row],[number]],$S:$S, "SH And dev",$AD:$AD, "&lt;&gt;IntegratorValidationComment"))</f>
        <v/>
      </c>
      <c r="AC1691" s="7" t="str">
        <f>IF(OR(ISNUMBER(FIND("Review-1", patch[[#This Row],[comments]])), ISNUMBER(FIND("Approver-1", patch[[#This Row],[comments]]))), "Review-1", "")</f>
        <v/>
      </c>
      <c r="AD16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91" s="7">
        <f>IF(ISBLANK(patch[[#This Row],[number]]),AE1690,patch[[#This Row],[ifCommon]])</f>
        <v>0</v>
      </c>
    </row>
    <row r="1692" spans="1:31">
      <c r="A1692" s="151">
        <v>144434</v>
      </c>
      <c r="B1692" s="151"/>
      <c r="C1692" s="151"/>
      <c r="D1692" s="151"/>
      <c r="E1692" s="151"/>
      <c r="F1692" s="151"/>
      <c r="G1692" s="151"/>
      <c r="H1692" s="151"/>
      <c r="I1692" s="151"/>
      <c r="J1692" s="152">
        <v>42627.659745370373</v>
      </c>
      <c r="K1692" s="151"/>
      <c r="L1692" s="151" t="s">
        <v>72</v>
      </c>
      <c r="M1692" s="152">
        <v>42626.409108796302</v>
      </c>
      <c r="N1692" s="151" t="s">
        <v>2453</v>
      </c>
      <c r="O1692" s="151"/>
      <c r="P1692" s="151"/>
      <c r="Q1692" s="7" t="str">
        <f>IF(ISBLANK(patch[[#This Row],[OwnerEmail]]),Q1691,patch[[#This Row],[OwnerEmail]])</f>
        <v>bin.b.yang@intel.com</v>
      </c>
      <c r="R1692" s="7" t="str">
        <f>_xlfn.IFNA(VLOOKUP(patch[[#This Row],[tmp-owner.email]],OrgTree!$A:$K, 11, 0), "not ICG SWFW")</f>
        <v>BJ And dev</v>
      </c>
      <c r="S1692" s="7" t="str">
        <f>IF(patch[[#This Row],[reviewer]]=patch[[#This Row],[tmp-owner.email]], "author", _xlfn.IFNA(VLOOKUP(patch[[#This Row],[reviewer]],OrgTree!$A:$K, 11, 0), "not ICG SWFW"))</f>
        <v>author</v>
      </c>
      <c r="T1692" s="7" t="str">
        <f>IF(ISBLANK(patch[[#This Row],[mergeDate]]), "", MID(YEAR(patch[[#This Row],[mergeDate]]), 3,2)&amp;"'ww"&amp;WEEKNUM(patch[[#This Row],[mergeDate]]))</f>
        <v>16'ww38</v>
      </c>
      <c r="U1692" s="7" t="str">
        <f>IF(ISBLANK(patch[[#This Row],[mergeDate]]), U1691, MID(YEAR(patch[[#This Row],[mergeDate]]), 3,2)&amp;"'m"&amp;MONTH(patch[[#This Row],[mergeDate]]))</f>
        <v>16'm9</v>
      </c>
      <c r="V1692" s="7" t="str">
        <f>IF(ISBLANK(patch[[#This Row],[project]]), "",SUM(patch[[#This Row],[BJ -1 num]:[SH -1 num]]))</f>
        <v/>
      </c>
      <c r="W1692" s="7" t="str">
        <f>IF(ISBLANK(patch[[#This Row],[project]]), "",COUNTIFS($A:$A,patch[[#This Row],[number]],$S:$S, "BJ And dev",$AC:$AC, "Review-1"))</f>
        <v/>
      </c>
      <c r="X1692" s="7" t="str">
        <f>IF(ISBLANK(patch[[#This Row],[project]]), "",COUNTIFS($A:$A,patch[[#This Row],[number]],$S:$S, "FL And dev",$AC:$AC, "Review-1"))</f>
        <v/>
      </c>
      <c r="Y1692" s="7" t="str">
        <f>IF(ISBLANK(patch[[#This Row],[project]]), "",COUNTIFS($A:$A,patch[[#This Row],[number]],$S:$S, "SH And dev",$AC:$AC, "Review-1"))</f>
        <v/>
      </c>
      <c r="Z1692" s="7" t="str">
        <f>IF(ISBLANK(patch[[#This Row],[project]]), "",COUNTIFS($A:$A,patch[[#This Row],[number]],$S:$S, "BJ And dev",$AD:$AD, "&lt;&gt;IntegratorValidationComment"))</f>
        <v/>
      </c>
      <c r="AA1692" s="7" t="str">
        <f>IF(ISBLANK(patch[[#This Row],[project]]), "",COUNTIFS($A:$A,patch[[#This Row],[number]],$S:$S, "FL And dev",$AD:$AD, "&lt;&gt;IntegratorValidationComment"))</f>
        <v/>
      </c>
      <c r="AB1692" s="7" t="str">
        <f>IF(ISBLANK(patch[[#This Row],[project]]), "",COUNTIFS($A:$A,patch[[#This Row],[number]],$S:$S, "SH And dev",$AD:$AD, "&lt;&gt;IntegratorValidationComment"))</f>
        <v/>
      </c>
      <c r="AC1692" s="7" t="str">
        <f>IF(OR(ISNUMBER(FIND("Review-1", patch[[#This Row],[comments]])), ISNUMBER(FIND("Approver-1", patch[[#This Row],[comments]]))), "Review-1", "")</f>
        <v/>
      </c>
      <c r="AD16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92" s="7">
        <f>IF(ISBLANK(patch[[#This Row],[number]]),AE1691,patch[[#This Row],[ifCommon]])</f>
        <v>0</v>
      </c>
    </row>
    <row r="1693" spans="1:31">
      <c r="A1693" s="151">
        <v>144434</v>
      </c>
      <c r="B1693" s="151"/>
      <c r="C1693" s="151"/>
      <c r="D1693" s="151"/>
      <c r="E1693" s="151"/>
      <c r="F1693" s="151"/>
      <c r="G1693" s="151"/>
      <c r="H1693" s="151"/>
      <c r="I1693" s="151"/>
      <c r="J1693" s="152">
        <v>42627.659745370373</v>
      </c>
      <c r="K1693" s="151"/>
      <c r="L1693" s="151" t="s">
        <v>59</v>
      </c>
      <c r="M1693" s="152">
        <v>42626.411064814813</v>
      </c>
      <c r="N1693" s="151" t="s">
        <v>3424</v>
      </c>
      <c r="O1693" s="151"/>
      <c r="P1693" s="151"/>
      <c r="Q1693" s="7" t="str">
        <f>IF(ISBLANK(patch[[#This Row],[OwnerEmail]]),Q1692,patch[[#This Row],[OwnerEmail]])</f>
        <v>bin.b.yang@intel.com</v>
      </c>
      <c r="R1693" s="7" t="str">
        <f>_xlfn.IFNA(VLOOKUP(patch[[#This Row],[tmp-owner.email]],OrgTree!$A:$K, 11, 0), "not ICG SWFW")</f>
        <v>BJ And dev</v>
      </c>
      <c r="S1693" s="7" t="str">
        <f>IF(patch[[#This Row],[reviewer]]=patch[[#This Row],[tmp-owner.email]], "author", _xlfn.IFNA(VLOOKUP(patch[[#This Row],[reviewer]],OrgTree!$A:$K, 11, 0), "not ICG SWFW"))</f>
        <v>BJ And dev</v>
      </c>
      <c r="T1693" s="7" t="str">
        <f>IF(ISBLANK(patch[[#This Row],[mergeDate]]), "", MID(YEAR(patch[[#This Row],[mergeDate]]), 3,2)&amp;"'ww"&amp;WEEKNUM(patch[[#This Row],[mergeDate]]))</f>
        <v>16'ww38</v>
      </c>
      <c r="U1693" s="7" t="str">
        <f>IF(ISBLANK(patch[[#This Row],[mergeDate]]), U1692, MID(YEAR(patch[[#This Row],[mergeDate]]), 3,2)&amp;"'m"&amp;MONTH(patch[[#This Row],[mergeDate]]))</f>
        <v>16'm9</v>
      </c>
      <c r="V1693" s="7" t="str">
        <f>IF(ISBLANK(patch[[#This Row],[project]]), "",SUM(patch[[#This Row],[BJ -1 num]:[SH -1 num]]))</f>
        <v/>
      </c>
      <c r="W1693" s="7" t="str">
        <f>IF(ISBLANK(patch[[#This Row],[project]]), "",COUNTIFS($A:$A,patch[[#This Row],[number]],$S:$S, "BJ And dev",$AC:$AC, "Review-1"))</f>
        <v/>
      </c>
      <c r="X1693" s="7" t="str">
        <f>IF(ISBLANK(patch[[#This Row],[project]]), "",COUNTIFS($A:$A,patch[[#This Row],[number]],$S:$S, "FL And dev",$AC:$AC, "Review-1"))</f>
        <v/>
      </c>
      <c r="Y1693" s="7" t="str">
        <f>IF(ISBLANK(patch[[#This Row],[project]]), "",COUNTIFS($A:$A,patch[[#This Row],[number]],$S:$S, "SH And dev",$AC:$AC, "Review-1"))</f>
        <v/>
      </c>
      <c r="Z1693" s="7" t="str">
        <f>IF(ISBLANK(patch[[#This Row],[project]]), "",COUNTIFS($A:$A,patch[[#This Row],[number]],$S:$S, "BJ And dev",$AD:$AD, "&lt;&gt;IntegratorValidationComment"))</f>
        <v/>
      </c>
      <c r="AA1693" s="7" t="str">
        <f>IF(ISBLANK(patch[[#This Row],[project]]), "",COUNTIFS($A:$A,patch[[#This Row],[number]],$S:$S, "FL And dev",$AD:$AD, "&lt;&gt;IntegratorValidationComment"))</f>
        <v/>
      </c>
      <c r="AB1693" s="7" t="str">
        <f>IF(ISBLANK(patch[[#This Row],[project]]), "",COUNTIFS($A:$A,patch[[#This Row],[number]],$S:$S, "SH And dev",$AD:$AD, "&lt;&gt;IntegratorValidationComment"))</f>
        <v/>
      </c>
      <c r="AC1693" s="7" t="str">
        <f>IF(OR(ISNUMBER(FIND("Review-1", patch[[#This Row],[comments]])), ISNUMBER(FIND("Approver-1", patch[[#This Row],[comments]]))), "Review-1", "")</f>
        <v/>
      </c>
      <c r="AD16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93" s="7">
        <f>IF(ISBLANK(patch[[#This Row],[number]]),AE1692,patch[[#This Row],[ifCommon]])</f>
        <v>0</v>
      </c>
    </row>
    <row r="1694" spans="1:31">
      <c r="A1694" s="151">
        <v>144434</v>
      </c>
      <c r="B1694" s="151"/>
      <c r="C1694" s="151"/>
      <c r="D1694" s="151"/>
      <c r="E1694" s="151"/>
      <c r="F1694" s="151"/>
      <c r="G1694" s="151"/>
      <c r="H1694" s="151"/>
      <c r="I1694" s="151"/>
      <c r="J1694" s="152">
        <v>42627.659745370373</v>
      </c>
      <c r="K1694" s="151"/>
      <c r="L1694" s="151" t="s">
        <v>59</v>
      </c>
      <c r="M1694" s="152">
        <v>42626.413738425923</v>
      </c>
      <c r="N1694" s="151" t="s">
        <v>3425</v>
      </c>
      <c r="O1694" s="151"/>
      <c r="P1694" s="151"/>
      <c r="Q1694" s="7" t="str">
        <f>IF(ISBLANK(patch[[#This Row],[OwnerEmail]]),Q1693,patch[[#This Row],[OwnerEmail]])</f>
        <v>bin.b.yang@intel.com</v>
      </c>
      <c r="R1694" s="7" t="str">
        <f>_xlfn.IFNA(VLOOKUP(patch[[#This Row],[tmp-owner.email]],OrgTree!$A:$K, 11, 0), "not ICG SWFW")</f>
        <v>BJ And dev</v>
      </c>
      <c r="S1694" s="7" t="str">
        <f>IF(patch[[#This Row],[reviewer]]=patch[[#This Row],[tmp-owner.email]], "author", _xlfn.IFNA(VLOOKUP(patch[[#This Row],[reviewer]],OrgTree!$A:$K, 11, 0), "not ICG SWFW"))</f>
        <v>BJ And dev</v>
      </c>
      <c r="T1694" s="7" t="str">
        <f>IF(ISBLANK(patch[[#This Row],[mergeDate]]), "", MID(YEAR(patch[[#This Row],[mergeDate]]), 3,2)&amp;"'ww"&amp;WEEKNUM(patch[[#This Row],[mergeDate]]))</f>
        <v>16'ww38</v>
      </c>
      <c r="U1694" s="7" t="str">
        <f>IF(ISBLANK(patch[[#This Row],[mergeDate]]), U1693, MID(YEAR(patch[[#This Row],[mergeDate]]), 3,2)&amp;"'m"&amp;MONTH(patch[[#This Row],[mergeDate]]))</f>
        <v>16'm9</v>
      </c>
      <c r="V1694" s="7" t="str">
        <f>IF(ISBLANK(patch[[#This Row],[project]]), "",SUM(patch[[#This Row],[BJ -1 num]:[SH -1 num]]))</f>
        <v/>
      </c>
      <c r="W1694" s="7" t="str">
        <f>IF(ISBLANK(patch[[#This Row],[project]]), "",COUNTIFS($A:$A,patch[[#This Row],[number]],$S:$S, "BJ And dev",$AC:$AC, "Review-1"))</f>
        <v/>
      </c>
      <c r="X1694" s="7" t="str">
        <f>IF(ISBLANK(patch[[#This Row],[project]]), "",COUNTIFS($A:$A,patch[[#This Row],[number]],$S:$S, "FL And dev",$AC:$AC, "Review-1"))</f>
        <v/>
      </c>
      <c r="Y1694" s="7" t="str">
        <f>IF(ISBLANK(patch[[#This Row],[project]]), "",COUNTIFS($A:$A,patch[[#This Row],[number]],$S:$S, "SH And dev",$AC:$AC, "Review-1"))</f>
        <v/>
      </c>
      <c r="Z1694" s="7" t="str">
        <f>IF(ISBLANK(patch[[#This Row],[project]]), "",COUNTIFS($A:$A,patch[[#This Row],[number]],$S:$S, "BJ And dev",$AD:$AD, "&lt;&gt;IntegratorValidationComment"))</f>
        <v/>
      </c>
      <c r="AA1694" s="7" t="str">
        <f>IF(ISBLANK(patch[[#This Row],[project]]), "",COUNTIFS($A:$A,patch[[#This Row],[number]],$S:$S, "FL And dev",$AD:$AD, "&lt;&gt;IntegratorValidationComment"))</f>
        <v/>
      </c>
      <c r="AB1694" s="7" t="str">
        <f>IF(ISBLANK(patch[[#This Row],[project]]), "",COUNTIFS($A:$A,patch[[#This Row],[number]],$S:$S, "SH And dev",$AD:$AD, "&lt;&gt;IntegratorValidationComment"))</f>
        <v/>
      </c>
      <c r="AC1694" s="7" t="str">
        <f>IF(OR(ISNUMBER(FIND("Review-1", patch[[#This Row],[comments]])), ISNUMBER(FIND("Approver-1", patch[[#This Row],[comments]]))), "Review-1", "")</f>
        <v/>
      </c>
      <c r="AD16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94" s="7">
        <f>IF(ISBLANK(patch[[#This Row],[number]]),AE1693,patch[[#This Row],[ifCommon]])</f>
        <v>0</v>
      </c>
    </row>
    <row r="1695" spans="1:31">
      <c r="A1695" s="151">
        <v>144434</v>
      </c>
      <c r="B1695" s="151"/>
      <c r="C1695" s="151"/>
      <c r="D1695" s="151"/>
      <c r="E1695" s="151"/>
      <c r="F1695" s="151"/>
      <c r="G1695" s="151"/>
      <c r="H1695" s="151"/>
      <c r="I1695" s="152"/>
      <c r="J1695" s="152">
        <v>42627.659745370373</v>
      </c>
      <c r="K1695" s="151"/>
      <c r="L1695" s="151" t="s">
        <v>72</v>
      </c>
      <c r="M1695" s="152">
        <v>42626.493298611109</v>
      </c>
      <c r="N1695" s="151" t="s">
        <v>1853</v>
      </c>
      <c r="O1695" s="151"/>
      <c r="P1695" s="151"/>
      <c r="Q1695" s="7" t="str">
        <f>IF(ISBLANK(patch[[#This Row],[OwnerEmail]]),Q1694,patch[[#This Row],[OwnerEmail]])</f>
        <v>bin.b.yang@intel.com</v>
      </c>
      <c r="R1695" s="7" t="str">
        <f>_xlfn.IFNA(VLOOKUP(patch[[#This Row],[tmp-owner.email]],OrgTree!$A:$K, 11, 0), "not ICG SWFW")</f>
        <v>BJ And dev</v>
      </c>
      <c r="S1695" s="7" t="str">
        <f>IF(patch[[#This Row],[reviewer]]=patch[[#This Row],[tmp-owner.email]], "author", _xlfn.IFNA(VLOOKUP(patch[[#This Row],[reviewer]],OrgTree!$A:$K, 11, 0), "not ICG SWFW"))</f>
        <v>author</v>
      </c>
      <c r="T1695" s="7" t="str">
        <f>IF(ISBLANK(patch[[#This Row],[mergeDate]]), "", MID(YEAR(patch[[#This Row],[mergeDate]]), 3,2)&amp;"'ww"&amp;WEEKNUM(patch[[#This Row],[mergeDate]]))</f>
        <v>16'ww38</v>
      </c>
      <c r="U1695" s="7" t="str">
        <f>IF(ISBLANK(patch[[#This Row],[mergeDate]]), U1694, MID(YEAR(patch[[#This Row],[mergeDate]]), 3,2)&amp;"'m"&amp;MONTH(patch[[#This Row],[mergeDate]]))</f>
        <v>16'm9</v>
      </c>
      <c r="V1695" s="7" t="str">
        <f>IF(ISBLANK(patch[[#This Row],[project]]), "",SUM(patch[[#This Row],[BJ -1 num]:[SH -1 num]]))</f>
        <v/>
      </c>
      <c r="W1695" s="7" t="str">
        <f>IF(ISBLANK(patch[[#This Row],[project]]), "",COUNTIFS($A:$A,patch[[#This Row],[number]],$S:$S, "BJ And dev",$AC:$AC, "Review-1"))</f>
        <v/>
      </c>
      <c r="X1695" s="7" t="str">
        <f>IF(ISBLANK(patch[[#This Row],[project]]), "",COUNTIFS($A:$A,patch[[#This Row],[number]],$S:$S, "FL And dev",$AC:$AC, "Review-1"))</f>
        <v/>
      </c>
      <c r="Y1695" s="7" t="str">
        <f>IF(ISBLANK(patch[[#This Row],[project]]), "",COUNTIFS($A:$A,patch[[#This Row],[number]],$S:$S, "SH And dev",$AC:$AC, "Review-1"))</f>
        <v/>
      </c>
      <c r="Z1695" s="7" t="str">
        <f>IF(ISBLANK(patch[[#This Row],[project]]), "",COUNTIFS($A:$A,patch[[#This Row],[number]],$S:$S, "BJ And dev",$AD:$AD, "&lt;&gt;IntegratorValidationComment"))</f>
        <v/>
      </c>
      <c r="AA1695" s="7" t="str">
        <f>IF(ISBLANK(patch[[#This Row],[project]]), "",COUNTIFS($A:$A,patch[[#This Row],[number]],$S:$S, "FL And dev",$AD:$AD, "&lt;&gt;IntegratorValidationComment"))</f>
        <v/>
      </c>
      <c r="AB1695" s="7" t="str">
        <f>IF(ISBLANK(patch[[#This Row],[project]]), "",COUNTIFS($A:$A,patch[[#This Row],[number]],$S:$S, "SH And dev",$AD:$AD, "&lt;&gt;IntegratorValidationComment"))</f>
        <v/>
      </c>
      <c r="AC1695" s="7" t="str">
        <f>IF(OR(ISNUMBER(FIND("Review-1", patch[[#This Row],[comments]])), ISNUMBER(FIND("Approver-1", patch[[#This Row],[comments]]))), "Review-1", "")</f>
        <v/>
      </c>
      <c r="AD16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95" s="7">
        <f>IF(ISBLANK(patch[[#This Row],[number]]),AE1694,patch[[#This Row],[ifCommon]])</f>
        <v>0</v>
      </c>
    </row>
    <row r="1696" spans="1:31">
      <c r="A1696" s="151">
        <v>144434</v>
      </c>
      <c r="B1696" s="151"/>
      <c r="C1696" s="151"/>
      <c r="D1696" s="151"/>
      <c r="E1696" s="151"/>
      <c r="F1696" s="151"/>
      <c r="G1696" s="151"/>
      <c r="H1696" s="151"/>
      <c r="I1696" s="151"/>
      <c r="J1696" s="152">
        <v>42627.659745370373</v>
      </c>
      <c r="K1696" s="151"/>
      <c r="L1696" s="151" t="s">
        <v>24</v>
      </c>
      <c r="M1696" s="152">
        <v>42626.522499999999</v>
      </c>
      <c r="N1696" s="151" t="s">
        <v>3426</v>
      </c>
      <c r="O1696" s="151" t="s">
        <v>3427</v>
      </c>
      <c r="P1696" s="151"/>
      <c r="Q1696" s="7" t="str">
        <f>IF(ISBLANK(patch[[#This Row],[OwnerEmail]]),Q1695,patch[[#This Row],[OwnerEmail]])</f>
        <v>bin.b.yang@intel.com</v>
      </c>
      <c r="R1696" s="7" t="str">
        <f>_xlfn.IFNA(VLOOKUP(patch[[#This Row],[tmp-owner.email]],OrgTree!$A:$K, 11, 0), "not ICG SWFW")</f>
        <v>BJ And dev</v>
      </c>
      <c r="S1696" s="7" t="str">
        <f>IF(patch[[#This Row],[reviewer]]=patch[[#This Row],[tmp-owner.email]], "author", _xlfn.IFNA(VLOOKUP(patch[[#This Row],[reviewer]],OrgTree!$A:$K, 11, 0), "not ICG SWFW"))</f>
        <v>BJ And dev</v>
      </c>
      <c r="T1696" s="7" t="str">
        <f>IF(ISBLANK(patch[[#This Row],[mergeDate]]), "", MID(YEAR(patch[[#This Row],[mergeDate]]), 3,2)&amp;"'ww"&amp;WEEKNUM(patch[[#This Row],[mergeDate]]))</f>
        <v>16'ww38</v>
      </c>
      <c r="U1696" s="7" t="str">
        <f>IF(ISBLANK(patch[[#This Row],[mergeDate]]), U1695, MID(YEAR(patch[[#This Row],[mergeDate]]), 3,2)&amp;"'m"&amp;MONTH(patch[[#This Row],[mergeDate]]))</f>
        <v>16'm9</v>
      </c>
      <c r="V1696" s="7" t="str">
        <f>IF(ISBLANK(patch[[#This Row],[project]]), "",SUM(patch[[#This Row],[BJ -1 num]:[SH -1 num]]))</f>
        <v/>
      </c>
      <c r="W1696" s="7" t="str">
        <f>IF(ISBLANK(patch[[#This Row],[project]]), "",COUNTIFS($A:$A,patch[[#This Row],[number]],$S:$S, "BJ And dev",$AC:$AC, "Review-1"))</f>
        <v/>
      </c>
      <c r="X1696" s="7" t="str">
        <f>IF(ISBLANK(patch[[#This Row],[project]]), "",COUNTIFS($A:$A,patch[[#This Row],[number]],$S:$S, "FL And dev",$AC:$AC, "Review-1"))</f>
        <v/>
      </c>
      <c r="Y1696" s="7" t="str">
        <f>IF(ISBLANK(patch[[#This Row],[project]]), "",COUNTIFS($A:$A,patch[[#This Row],[number]],$S:$S, "SH And dev",$AC:$AC, "Review-1"))</f>
        <v/>
      </c>
      <c r="Z1696" s="7" t="str">
        <f>IF(ISBLANK(patch[[#This Row],[project]]), "",COUNTIFS($A:$A,patch[[#This Row],[number]],$S:$S, "BJ And dev",$AD:$AD, "&lt;&gt;IntegratorValidationComment"))</f>
        <v/>
      </c>
      <c r="AA1696" s="7" t="str">
        <f>IF(ISBLANK(patch[[#This Row],[project]]), "",COUNTIFS($A:$A,patch[[#This Row],[number]],$S:$S, "FL And dev",$AD:$AD, "&lt;&gt;IntegratorValidationComment"))</f>
        <v/>
      </c>
      <c r="AB1696" s="7" t="str">
        <f>IF(ISBLANK(patch[[#This Row],[project]]), "",COUNTIFS($A:$A,patch[[#This Row],[number]],$S:$S, "SH And dev",$AD:$AD, "&lt;&gt;IntegratorValidationComment"))</f>
        <v/>
      </c>
      <c r="AC1696" s="7" t="str">
        <f>IF(OR(ISNUMBER(FIND("Review-1", patch[[#This Row],[comments]])), ISNUMBER(FIND("Approver-1", patch[[#This Row],[comments]]))), "Review-1", "")</f>
        <v/>
      </c>
      <c r="AD16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96" s="7">
        <f>IF(ISBLANK(patch[[#This Row],[number]]),AE1695,patch[[#This Row],[ifCommon]])</f>
        <v>0</v>
      </c>
    </row>
    <row r="1697" spans="1:31">
      <c r="A1697" s="151">
        <v>144434</v>
      </c>
      <c r="B1697" s="151"/>
      <c r="C1697" s="151"/>
      <c r="D1697" s="151"/>
      <c r="E1697" s="151"/>
      <c r="F1697" s="151"/>
      <c r="G1697" s="151"/>
      <c r="H1697" s="151"/>
      <c r="I1697" s="151"/>
      <c r="J1697" s="152">
        <v>42627.659745370373</v>
      </c>
      <c r="K1697" s="151"/>
      <c r="L1697" s="151" t="s">
        <v>59</v>
      </c>
      <c r="M1697" s="152">
        <v>42626.565335648149</v>
      </c>
      <c r="N1697" s="151" t="s">
        <v>2486</v>
      </c>
      <c r="O1697" s="151"/>
      <c r="P1697" s="151"/>
      <c r="Q1697" s="7" t="str">
        <f>IF(ISBLANK(patch[[#This Row],[OwnerEmail]]),Q1696,patch[[#This Row],[OwnerEmail]])</f>
        <v>bin.b.yang@intel.com</v>
      </c>
      <c r="R1697" s="7" t="str">
        <f>_xlfn.IFNA(VLOOKUP(patch[[#This Row],[tmp-owner.email]],OrgTree!$A:$K, 11, 0), "not ICG SWFW")</f>
        <v>BJ And dev</v>
      </c>
      <c r="S1697" s="7" t="str">
        <f>IF(patch[[#This Row],[reviewer]]=patch[[#This Row],[tmp-owner.email]], "author", _xlfn.IFNA(VLOOKUP(patch[[#This Row],[reviewer]],OrgTree!$A:$K, 11, 0), "not ICG SWFW"))</f>
        <v>BJ And dev</v>
      </c>
      <c r="T1697" s="7" t="str">
        <f>IF(ISBLANK(patch[[#This Row],[mergeDate]]), "", MID(YEAR(patch[[#This Row],[mergeDate]]), 3,2)&amp;"'ww"&amp;WEEKNUM(patch[[#This Row],[mergeDate]]))</f>
        <v>16'ww38</v>
      </c>
      <c r="U1697" s="7" t="str">
        <f>IF(ISBLANK(patch[[#This Row],[mergeDate]]), U1696, MID(YEAR(patch[[#This Row],[mergeDate]]), 3,2)&amp;"'m"&amp;MONTH(patch[[#This Row],[mergeDate]]))</f>
        <v>16'm9</v>
      </c>
      <c r="V1697" s="7" t="str">
        <f>IF(ISBLANK(patch[[#This Row],[project]]), "",SUM(patch[[#This Row],[BJ -1 num]:[SH -1 num]]))</f>
        <v/>
      </c>
      <c r="W1697" s="7" t="str">
        <f>IF(ISBLANK(patch[[#This Row],[project]]), "",COUNTIFS($A:$A,patch[[#This Row],[number]],$S:$S, "BJ And dev",$AC:$AC, "Review-1"))</f>
        <v/>
      </c>
      <c r="X1697" s="7" t="str">
        <f>IF(ISBLANK(patch[[#This Row],[project]]), "",COUNTIFS($A:$A,patch[[#This Row],[number]],$S:$S, "FL And dev",$AC:$AC, "Review-1"))</f>
        <v/>
      </c>
      <c r="Y1697" s="7" t="str">
        <f>IF(ISBLANK(patch[[#This Row],[project]]), "",COUNTIFS($A:$A,patch[[#This Row],[number]],$S:$S, "SH And dev",$AC:$AC, "Review-1"))</f>
        <v/>
      </c>
      <c r="Z1697" s="7" t="str">
        <f>IF(ISBLANK(patch[[#This Row],[project]]), "",COUNTIFS($A:$A,patch[[#This Row],[number]],$S:$S, "BJ And dev",$AD:$AD, "&lt;&gt;IntegratorValidationComment"))</f>
        <v/>
      </c>
      <c r="AA1697" s="7" t="str">
        <f>IF(ISBLANK(patch[[#This Row],[project]]), "",COUNTIFS($A:$A,patch[[#This Row],[number]],$S:$S, "FL And dev",$AD:$AD, "&lt;&gt;IntegratorValidationComment"))</f>
        <v/>
      </c>
      <c r="AB1697" s="7" t="str">
        <f>IF(ISBLANK(patch[[#This Row],[project]]), "",COUNTIFS($A:$A,patch[[#This Row],[number]],$S:$S, "SH And dev",$AD:$AD, "&lt;&gt;IntegratorValidationComment"))</f>
        <v/>
      </c>
      <c r="AC1697" s="7" t="str">
        <f>IF(OR(ISNUMBER(FIND("Review-1", patch[[#This Row],[comments]])), ISNUMBER(FIND("Approver-1", patch[[#This Row],[comments]]))), "Review-1", "")</f>
        <v/>
      </c>
      <c r="AD16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97" s="7">
        <f>IF(ISBLANK(patch[[#This Row],[number]]),AE1696,patch[[#This Row],[ifCommon]])</f>
        <v>0</v>
      </c>
    </row>
    <row r="1698" spans="1:31">
      <c r="A1698" s="151">
        <v>144434</v>
      </c>
      <c r="B1698" s="151"/>
      <c r="C1698" s="151"/>
      <c r="D1698" s="151"/>
      <c r="E1698" s="151"/>
      <c r="F1698" s="151"/>
      <c r="G1698" s="151"/>
      <c r="H1698" s="151"/>
      <c r="I1698" s="151"/>
      <c r="J1698" s="152">
        <v>42627.659745370373</v>
      </c>
      <c r="K1698" s="151"/>
      <c r="L1698" s="151" t="s">
        <v>72</v>
      </c>
      <c r="M1698" s="152">
        <v>42626.994710648149</v>
      </c>
      <c r="N1698" s="151" t="s">
        <v>2512</v>
      </c>
      <c r="O1698" s="151"/>
      <c r="P1698" s="151"/>
      <c r="Q1698" s="7" t="str">
        <f>IF(ISBLANK(patch[[#This Row],[OwnerEmail]]),Q1697,patch[[#This Row],[OwnerEmail]])</f>
        <v>bin.b.yang@intel.com</v>
      </c>
      <c r="R1698" s="7" t="str">
        <f>_xlfn.IFNA(VLOOKUP(patch[[#This Row],[tmp-owner.email]],OrgTree!$A:$K, 11, 0), "not ICG SWFW")</f>
        <v>BJ And dev</v>
      </c>
      <c r="S1698" s="7" t="str">
        <f>IF(patch[[#This Row],[reviewer]]=patch[[#This Row],[tmp-owner.email]], "author", _xlfn.IFNA(VLOOKUP(patch[[#This Row],[reviewer]],OrgTree!$A:$K, 11, 0), "not ICG SWFW"))</f>
        <v>author</v>
      </c>
      <c r="T1698" s="7" t="str">
        <f>IF(ISBLANK(patch[[#This Row],[mergeDate]]), "", MID(YEAR(patch[[#This Row],[mergeDate]]), 3,2)&amp;"'ww"&amp;WEEKNUM(patch[[#This Row],[mergeDate]]))</f>
        <v>16'ww38</v>
      </c>
      <c r="U1698" s="7" t="str">
        <f>IF(ISBLANK(patch[[#This Row],[mergeDate]]), U1697, MID(YEAR(patch[[#This Row],[mergeDate]]), 3,2)&amp;"'m"&amp;MONTH(patch[[#This Row],[mergeDate]]))</f>
        <v>16'm9</v>
      </c>
      <c r="V1698" s="7" t="str">
        <f>IF(ISBLANK(patch[[#This Row],[project]]), "",SUM(patch[[#This Row],[BJ -1 num]:[SH -1 num]]))</f>
        <v/>
      </c>
      <c r="W1698" s="7" t="str">
        <f>IF(ISBLANK(patch[[#This Row],[project]]), "",COUNTIFS($A:$A,patch[[#This Row],[number]],$S:$S, "BJ And dev",$AC:$AC, "Review-1"))</f>
        <v/>
      </c>
      <c r="X1698" s="7" t="str">
        <f>IF(ISBLANK(patch[[#This Row],[project]]), "",COUNTIFS($A:$A,patch[[#This Row],[number]],$S:$S, "FL And dev",$AC:$AC, "Review-1"))</f>
        <v/>
      </c>
      <c r="Y1698" s="7" t="str">
        <f>IF(ISBLANK(patch[[#This Row],[project]]), "",COUNTIFS($A:$A,patch[[#This Row],[number]],$S:$S, "SH And dev",$AC:$AC, "Review-1"))</f>
        <v/>
      </c>
      <c r="Z1698" s="7" t="str">
        <f>IF(ISBLANK(patch[[#This Row],[project]]), "",COUNTIFS($A:$A,patch[[#This Row],[number]],$S:$S, "BJ And dev",$AD:$AD, "&lt;&gt;IntegratorValidationComment"))</f>
        <v/>
      </c>
      <c r="AA1698" s="7" t="str">
        <f>IF(ISBLANK(patch[[#This Row],[project]]), "",COUNTIFS($A:$A,patch[[#This Row],[number]],$S:$S, "FL And dev",$AD:$AD, "&lt;&gt;IntegratorValidationComment"))</f>
        <v/>
      </c>
      <c r="AB1698" s="7" t="str">
        <f>IF(ISBLANK(patch[[#This Row],[project]]), "",COUNTIFS($A:$A,patch[[#This Row],[number]],$S:$S, "SH And dev",$AD:$AD, "&lt;&gt;IntegratorValidationComment"))</f>
        <v/>
      </c>
      <c r="AC1698" s="7" t="str">
        <f>IF(OR(ISNUMBER(FIND("Review-1", patch[[#This Row],[comments]])), ISNUMBER(FIND("Approver-1", patch[[#This Row],[comments]]))), "Review-1", "")</f>
        <v/>
      </c>
      <c r="AD16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98" s="7">
        <f>IF(ISBLANK(patch[[#This Row],[number]]),AE1697,patch[[#This Row],[ifCommon]])</f>
        <v>0</v>
      </c>
    </row>
    <row r="1699" spans="1:31">
      <c r="A1699" s="151">
        <v>144434</v>
      </c>
      <c r="B1699" s="151"/>
      <c r="C1699" s="151"/>
      <c r="D1699" s="151"/>
      <c r="E1699" s="151"/>
      <c r="F1699" s="151"/>
      <c r="G1699" s="151"/>
      <c r="H1699" s="151"/>
      <c r="I1699" s="151"/>
      <c r="J1699" s="152">
        <v>42627.659745370373</v>
      </c>
      <c r="K1699" s="151"/>
      <c r="L1699" s="151" t="s">
        <v>72</v>
      </c>
      <c r="M1699" s="152">
        <v>42626.994710648149</v>
      </c>
      <c r="N1699" s="151" t="s">
        <v>2465</v>
      </c>
      <c r="O1699" s="151"/>
      <c r="P1699" s="151"/>
      <c r="Q1699" s="7" t="str">
        <f>IF(ISBLANK(patch[[#This Row],[OwnerEmail]]),Q1698,patch[[#This Row],[OwnerEmail]])</f>
        <v>bin.b.yang@intel.com</v>
      </c>
      <c r="R1699" s="7" t="str">
        <f>_xlfn.IFNA(VLOOKUP(patch[[#This Row],[tmp-owner.email]],OrgTree!$A:$K, 11, 0), "not ICG SWFW")</f>
        <v>BJ And dev</v>
      </c>
      <c r="S1699" s="7" t="str">
        <f>IF(patch[[#This Row],[reviewer]]=patch[[#This Row],[tmp-owner.email]], "author", _xlfn.IFNA(VLOOKUP(patch[[#This Row],[reviewer]],OrgTree!$A:$K, 11, 0), "not ICG SWFW"))</f>
        <v>author</v>
      </c>
      <c r="T1699" s="7" t="str">
        <f>IF(ISBLANK(patch[[#This Row],[mergeDate]]), "", MID(YEAR(patch[[#This Row],[mergeDate]]), 3,2)&amp;"'ww"&amp;WEEKNUM(patch[[#This Row],[mergeDate]]))</f>
        <v>16'ww38</v>
      </c>
      <c r="U1699" s="7" t="str">
        <f>IF(ISBLANK(patch[[#This Row],[mergeDate]]), U1698, MID(YEAR(patch[[#This Row],[mergeDate]]), 3,2)&amp;"'m"&amp;MONTH(patch[[#This Row],[mergeDate]]))</f>
        <v>16'm9</v>
      </c>
      <c r="V1699" s="7" t="str">
        <f>IF(ISBLANK(patch[[#This Row],[project]]), "",SUM(patch[[#This Row],[BJ -1 num]:[SH -1 num]]))</f>
        <v/>
      </c>
      <c r="W1699" s="7" t="str">
        <f>IF(ISBLANK(patch[[#This Row],[project]]), "",COUNTIFS($A:$A,patch[[#This Row],[number]],$S:$S, "BJ And dev",$AC:$AC, "Review-1"))</f>
        <v/>
      </c>
      <c r="X1699" s="7" t="str">
        <f>IF(ISBLANK(patch[[#This Row],[project]]), "",COUNTIFS($A:$A,patch[[#This Row],[number]],$S:$S, "FL And dev",$AC:$AC, "Review-1"))</f>
        <v/>
      </c>
      <c r="Y1699" s="7" t="str">
        <f>IF(ISBLANK(patch[[#This Row],[project]]), "",COUNTIFS($A:$A,patch[[#This Row],[number]],$S:$S, "SH And dev",$AC:$AC, "Review-1"))</f>
        <v/>
      </c>
      <c r="Z1699" s="7" t="str">
        <f>IF(ISBLANK(patch[[#This Row],[project]]), "",COUNTIFS($A:$A,patch[[#This Row],[number]],$S:$S, "BJ And dev",$AD:$AD, "&lt;&gt;IntegratorValidationComment"))</f>
        <v/>
      </c>
      <c r="AA1699" s="7" t="str">
        <f>IF(ISBLANK(patch[[#This Row],[project]]), "",COUNTIFS($A:$A,patch[[#This Row],[number]],$S:$S, "FL And dev",$AD:$AD, "&lt;&gt;IntegratorValidationComment"))</f>
        <v/>
      </c>
      <c r="AB1699" s="7" t="str">
        <f>IF(ISBLANK(patch[[#This Row],[project]]), "",COUNTIFS($A:$A,patch[[#This Row],[number]],$S:$S, "SH And dev",$AD:$AD, "&lt;&gt;IntegratorValidationComment"))</f>
        <v/>
      </c>
      <c r="AC1699" s="7" t="str">
        <f>IF(OR(ISNUMBER(FIND("Review-1", patch[[#This Row],[comments]])), ISNUMBER(FIND("Approver-1", patch[[#This Row],[comments]]))), "Review-1", "")</f>
        <v/>
      </c>
      <c r="AD16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699" s="7">
        <f>IF(ISBLANK(patch[[#This Row],[number]]),AE1698,patch[[#This Row],[ifCommon]])</f>
        <v>0</v>
      </c>
    </row>
    <row r="1700" spans="1:31">
      <c r="A1700" s="151">
        <v>144434</v>
      </c>
      <c r="B1700" s="151"/>
      <c r="C1700" s="151"/>
      <c r="D1700" s="151"/>
      <c r="E1700" s="151"/>
      <c r="F1700" s="151"/>
      <c r="G1700" s="151"/>
      <c r="H1700" s="151"/>
      <c r="I1700" s="151"/>
      <c r="J1700" s="152">
        <v>42627.659745370373</v>
      </c>
      <c r="K1700" s="151"/>
      <c r="L1700" s="151" t="s">
        <v>59</v>
      </c>
      <c r="M1700" s="152">
        <v>42627.377546296288</v>
      </c>
      <c r="N1700" s="151" t="s">
        <v>3428</v>
      </c>
      <c r="O1700" s="151"/>
      <c r="P1700" s="151"/>
      <c r="Q1700" s="7" t="str">
        <f>IF(ISBLANK(patch[[#This Row],[OwnerEmail]]),Q1699,patch[[#This Row],[OwnerEmail]])</f>
        <v>bin.b.yang@intel.com</v>
      </c>
      <c r="R1700" s="7" t="str">
        <f>_xlfn.IFNA(VLOOKUP(patch[[#This Row],[tmp-owner.email]],OrgTree!$A:$K, 11, 0), "not ICG SWFW")</f>
        <v>BJ And dev</v>
      </c>
      <c r="S1700" s="7" t="str">
        <f>IF(patch[[#This Row],[reviewer]]=patch[[#This Row],[tmp-owner.email]], "author", _xlfn.IFNA(VLOOKUP(patch[[#This Row],[reviewer]],OrgTree!$A:$K, 11, 0), "not ICG SWFW"))</f>
        <v>BJ And dev</v>
      </c>
      <c r="T1700" s="7" t="str">
        <f>IF(ISBLANK(patch[[#This Row],[mergeDate]]), "", MID(YEAR(patch[[#This Row],[mergeDate]]), 3,2)&amp;"'ww"&amp;WEEKNUM(patch[[#This Row],[mergeDate]]))</f>
        <v>16'ww38</v>
      </c>
      <c r="U1700" s="7" t="str">
        <f>IF(ISBLANK(patch[[#This Row],[mergeDate]]), U1699, MID(YEAR(patch[[#This Row],[mergeDate]]), 3,2)&amp;"'m"&amp;MONTH(patch[[#This Row],[mergeDate]]))</f>
        <v>16'm9</v>
      </c>
      <c r="V1700" s="7" t="str">
        <f>IF(ISBLANK(patch[[#This Row],[project]]), "",SUM(patch[[#This Row],[BJ -1 num]:[SH -1 num]]))</f>
        <v/>
      </c>
      <c r="W1700" s="7" t="str">
        <f>IF(ISBLANK(patch[[#This Row],[project]]), "",COUNTIFS($A:$A,patch[[#This Row],[number]],$S:$S, "BJ And dev",$AC:$AC, "Review-1"))</f>
        <v/>
      </c>
      <c r="X1700" s="7" t="str">
        <f>IF(ISBLANK(patch[[#This Row],[project]]), "",COUNTIFS($A:$A,patch[[#This Row],[number]],$S:$S, "FL And dev",$AC:$AC, "Review-1"))</f>
        <v/>
      </c>
      <c r="Y1700" s="7" t="str">
        <f>IF(ISBLANK(patch[[#This Row],[project]]), "",COUNTIFS($A:$A,patch[[#This Row],[number]],$S:$S, "SH And dev",$AC:$AC, "Review-1"))</f>
        <v/>
      </c>
      <c r="Z1700" s="7" t="str">
        <f>IF(ISBLANK(patch[[#This Row],[project]]), "",COUNTIFS($A:$A,patch[[#This Row],[number]],$S:$S, "BJ And dev",$AD:$AD, "&lt;&gt;IntegratorValidationComment"))</f>
        <v/>
      </c>
      <c r="AA1700" s="7" t="str">
        <f>IF(ISBLANK(patch[[#This Row],[project]]), "",COUNTIFS($A:$A,patch[[#This Row],[number]],$S:$S, "FL And dev",$AD:$AD, "&lt;&gt;IntegratorValidationComment"))</f>
        <v/>
      </c>
      <c r="AB1700" s="7" t="str">
        <f>IF(ISBLANK(patch[[#This Row],[project]]), "",COUNTIFS($A:$A,patch[[#This Row],[number]],$S:$S, "SH And dev",$AD:$AD, "&lt;&gt;IntegratorValidationComment"))</f>
        <v/>
      </c>
      <c r="AC1700" s="7" t="str">
        <f>IF(OR(ISNUMBER(FIND("Review-1", patch[[#This Row],[comments]])), ISNUMBER(FIND("Approver-1", patch[[#This Row],[comments]]))), "Review-1", "")</f>
        <v/>
      </c>
      <c r="AD17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00" s="7">
        <f>IF(ISBLANK(patch[[#This Row],[number]]),AE1699,patch[[#This Row],[ifCommon]])</f>
        <v>0</v>
      </c>
    </row>
    <row r="1701" spans="1:31">
      <c r="A1701" s="151">
        <v>144434</v>
      </c>
      <c r="B1701" s="151"/>
      <c r="C1701" s="151"/>
      <c r="D1701" s="151"/>
      <c r="E1701" s="151"/>
      <c r="F1701" s="151"/>
      <c r="G1701" s="151"/>
      <c r="H1701" s="151"/>
      <c r="I1701" s="151"/>
      <c r="J1701" s="152">
        <v>42627.659745370373</v>
      </c>
      <c r="K1701" s="151"/>
      <c r="L1701" s="151" t="s">
        <v>59</v>
      </c>
      <c r="M1701" s="152">
        <v>42627.384097222217</v>
      </c>
      <c r="N1701" s="151" t="s">
        <v>3429</v>
      </c>
      <c r="O1701" s="151"/>
      <c r="P1701" s="151"/>
      <c r="Q1701" s="7" t="str">
        <f>IF(ISBLANK(patch[[#This Row],[OwnerEmail]]),Q1700,patch[[#This Row],[OwnerEmail]])</f>
        <v>bin.b.yang@intel.com</v>
      </c>
      <c r="R1701" s="7" t="str">
        <f>_xlfn.IFNA(VLOOKUP(patch[[#This Row],[tmp-owner.email]],OrgTree!$A:$K, 11, 0), "not ICG SWFW")</f>
        <v>BJ And dev</v>
      </c>
      <c r="S1701" s="7" t="str">
        <f>IF(patch[[#This Row],[reviewer]]=patch[[#This Row],[tmp-owner.email]], "author", _xlfn.IFNA(VLOOKUP(patch[[#This Row],[reviewer]],OrgTree!$A:$K, 11, 0), "not ICG SWFW"))</f>
        <v>BJ And dev</v>
      </c>
      <c r="T1701" s="7" t="str">
        <f>IF(ISBLANK(patch[[#This Row],[mergeDate]]), "", MID(YEAR(patch[[#This Row],[mergeDate]]), 3,2)&amp;"'ww"&amp;WEEKNUM(patch[[#This Row],[mergeDate]]))</f>
        <v>16'ww38</v>
      </c>
      <c r="U1701" s="7" t="str">
        <f>IF(ISBLANK(patch[[#This Row],[mergeDate]]), U1700, MID(YEAR(patch[[#This Row],[mergeDate]]), 3,2)&amp;"'m"&amp;MONTH(patch[[#This Row],[mergeDate]]))</f>
        <v>16'm9</v>
      </c>
      <c r="V1701" s="7" t="str">
        <f>IF(ISBLANK(patch[[#This Row],[project]]), "",SUM(patch[[#This Row],[BJ -1 num]:[SH -1 num]]))</f>
        <v/>
      </c>
      <c r="W1701" s="7" t="str">
        <f>IF(ISBLANK(patch[[#This Row],[project]]), "",COUNTIFS($A:$A,patch[[#This Row],[number]],$S:$S, "BJ And dev",$AC:$AC, "Review-1"))</f>
        <v/>
      </c>
      <c r="X1701" s="7" t="str">
        <f>IF(ISBLANK(patch[[#This Row],[project]]), "",COUNTIFS($A:$A,patch[[#This Row],[number]],$S:$S, "FL And dev",$AC:$AC, "Review-1"))</f>
        <v/>
      </c>
      <c r="Y1701" s="7" t="str">
        <f>IF(ISBLANK(patch[[#This Row],[project]]), "",COUNTIFS($A:$A,patch[[#This Row],[number]],$S:$S, "SH And dev",$AC:$AC, "Review-1"))</f>
        <v/>
      </c>
      <c r="Z1701" s="7" t="str">
        <f>IF(ISBLANK(patch[[#This Row],[project]]), "",COUNTIFS($A:$A,patch[[#This Row],[number]],$S:$S, "BJ And dev",$AD:$AD, "&lt;&gt;IntegratorValidationComment"))</f>
        <v/>
      </c>
      <c r="AA1701" s="7" t="str">
        <f>IF(ISBLANK(patch[[#This Row],[project]]), "",COUNTIFS($A:$A,patch[[#This Row],[number]],$S:$S, "FL And dev",$AD:$AD, "&lt;&gt;IntegratorValidationComment"))</f>
        <v/>
      </c>
      <c r="AB1701" s="7" t="str">
        <f>IF(ISBLANK(patch[[#This Row],[project]]), "",COUNTIFS($A:$A,patch[[#This Row],[number]],$S:$S, "SH And dev",$AD:$AD, "&lt;&gt;IntegratorValidationComment"))</f>
        <v/>
      </c>
      <c r="AC1701" s="7" t="str">
        <f>IF(OR(ISNUMBER(FIND("Review-1", patch[[#This Row],[comments]])), ISNUMBER(FIND("Approver-1", patch[[#This Row],[comments]]))), "Review-1", "")</f>
        <v/>
      </c>
      <c r="AD17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01" s="7">
        <f>IF(ISBLANK(patch[[#This Row],[number]]),AE1700,patch[[#This Row],[ifCommon]])</f>
        <v>0</v>
      </c>
    </row>
    <row r="1702" spans="1:31">
      <c r="A1702" s="151">
        <v>144434</v>
      </c>
      <c r="B1702" s="151"/>
      <c r="C1702" s="151"/>
      <c r="D1702" s="151"/>
      <c r="E1702" s="151"/>
      <c r="F1702" s="151"/>
      <c r="G1702" s="151"/>
      <c r="H1702" s="151"/>
      <c r="I1702" s="151"/>
      <c r="J1702" s="152">
        <v>42627.659745370373</v>
      </c>
      <c r="K1702" s="151"/>
      <c r="L1702" s="151" t="s">
        <v>115</v>
      </c>
      <c r="M1702" s="152">
        <v>42627.417546296303</v>
      </c>
      <c r="N1702" s="151" t="s">
        <v>2513</v>
      </c>
      <c r="O1702" s="151"/>
      <c r="P1702" s="151"/>
      <c r="Q1702" s="7" t="str">
        <f>IF(ISBLANK(patch[[#This Row],[OwnerEmail]]),Q1701,patch[[#This Row],[OwnerEmail]])</f>
        <v>bin.b.yang@intel.com</v>
      </c>
      <c r="R1702" s="7" t="str">
        <f>_xlfn.IFNA(VLOOKUP(patch[[#This Row],[tmp-owner.email]],OrgTree!$A:$K, 11, 0), "not ICG SWFW")</f>
        <v>BJ And dev</v>
      </c>
      <c r="S1702" s="7" t="str">
        <f>IF(patch[[#This Row],[reviewer]]=patch[[#This Row],[tmp-owner.email]], "author", _xlfn.IFNA(VLOOKUP(patch[[#This Row],[reviewer]],OrgTree!$A:$K, 11, 0), "not ICG SWFW"))</f>
        <v>Val</v>
      </c>
      <c r="T1702" s="7" t="str">
        <f>IF(ISBLANK(patch[[#This Row],[mergeDate]]), "", MID(YEAR(patch[[#This Row],[mergeDate]]), 3,2)&amp;"'ww"&amp;WEEKNUM(patch[[#This Row],[mergeDate]]))</f>
        <v>16'ww38</v>
      </c>
      <c r="U1702" s="7" t="str">
        <f>IF(ISBLANK(patch[[#This Row],[mergeDate]]), U1701, MID(YEAR(patch[[#This Row],[mergeDate]]), 3,2)&amp;"'m"&amp;MONTH(patch[[#This Row],[mergeDate]]))</f>
        <v>16'm9</v>
      </c>
      <c r="V1702" s="7" t="str">
        <f>IF(ISBLANK(patch[[#This Row],[project]]), "",SUM(patch[[#This Row],[BJ -1 num]:[SH -1 num]]))</f>
        <v/>
      </c>
      <c r="W1702" s="7" t="str">
        <f>IF(ISBLANK(patch[[#This Row],[project]]), "",COUNTIFS($A:$A,patch[[#This Row],[number]],$S:$S, "BJ And dev",$AC:$AC, "Review-1"))</f>
        <v/>
      </c>
      <c r="X1702" s="7" t="str">
        <f>IF(ISBLANK(patch[[#This Row],[project]]), "",COUNTIFS($A:$A,patch[[#This Row],[number]],$S:$S, "FL And dev",$AC:$AC, "Review-1"))</f>
        <v/>
      </c>
      <c r="Y1702" s="7" t="str">
        <f>IF(ISBLANK(patch[[#This Row],[project]]), "",COUNTIFS($A:$A,patch[[#This Row],[number]],$S:$S, "SH And dev",$AC:$AC, "Review-1"))</f>
        <v/>
      </c>
      <c r="Z1702" s="7" t="str">
        <f>IF(ISBLANK(patch[[#This Row],[project]]), "",COUNTIFS($A:$A,patch[[#This Row],[number]],$S:$S, "BJ And dev",$AD:$AD, "&lt;&gt;IntegratorValidationComment"))</f>
        <v/>
      </c>
      <c r="AA1702" s="7" t="str">
        <f>IF(ISBLANK(patch[[#This Row],[project]]), "",COUNTIFS($A:$A,patch[[#This Row],[number]],$S:$S, "FL And dev",$AD:$AD, "&lt;&gt;IntegratorValidationComment"))</f>
        <v/>
      </c>
      <c r="AB1702" s="7" t="str">
        <f>IF(ISBLANK(patch[[#This Row],[project]]), "",COUNTIFS($A:$A,patch[[#This Row],[number]],$S:$S, "SH And dev",$AD:$AD, "&lt;&gt;IntegratorValidationComment"))</f>
        <v/>
      </c>
      <c r="AC1702" s="7" t="str">
        <f>IF(OR(ISNUMBER(FIND("Review-1", patch[[#This Row],[comments]])), ISNUMBER(FIND("Approver-1", patch[[#This Row],[comments]]))), "Review-1", "")</f>
        <v/>
      </c>
      <c r="AD17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702" s="7">
        <f>IF(ISBLANK(patch[[#This Row],[number]]),AE1701,patch[[#This Row],[ifCommon]])</f>
        <v>0</v>
      </c>
    </row>
    <row r="1703" spans="1:31">
      <c r="A1703" s="151">
        <v>145013</v>
      </c>
      <c r="B1703" s="151" t="s">
        <v>2490</v>
      </c>
      <c r="C1703" s="151" t="s">
        <v>2491</v>
      </c>
      <c r="D1703" s="151" t="s">
        <v>3365</v>
      </c>
      <c r="E1703" s="151" t="s">
        <v>72</v>
      </c>
      <c r="F1703" s="151" t="s">
        <v>23</v>
      </c>
      <c r="G1703" s="151" t="s">
        <v>3366</v>
      </c>
      <c r="H1703" s="151" t="s">
        <v>3367</v>
      </c>
      <c r="I1703" s="152">
        <v>42627.308715277781</v>
      </c>
      <c r="J1703" s="152">
        <v>42627.659687500003</v>
      </c>
      <c r="K1703" s="151" t="s">
        <v>2445</v>
      </c>
      <c r="L1703" s="151" t="s">
        <v>72</v>
      </c>
      <c r="M1703" s="152">
        <v>42627.308715277781</v>
      </c>
      <c r="N1703" s="151" t="s">
        <v>2428</v>
      </c>
      <c r="O1703" s="151"/>
      <c r="P1703" s="151" t="s">
        <v>3430</v>
      </c>
      <c r="Q1703" s="7" t="str">
        <f>IF(ISBLANK(patch[[#This Row],[OwnerEmail]]),Q1702,patch[[#This Row],[OwnerEmail]])</f>
        <v>bin.b.yang@intel.com</v>
      </c>
      <c r="R1703" s="7" t="str">
        <f>_xlfn.IFNA(VLOOKUP(patch[[#This Row],[tmp-owner.email]],OrgTree!$A:$K, 11, 0), "not ICG SWFW")</f>
        <v>BJ And dev</v>
      </c>
      <c r="S1703" s="7" t="str">
        <f>IF(patch[[#This Row],[reviewer]]=patch[[#This Row],[tmp-owner.email]], "author", _xlfn.IFNA(VLOOKUP(patch[[#This Row],[reviewer]],OrgTree!$A:$K, 11, 0), "not ICG SWFW"))</f>
        <v>author</v>
      </c>
      <c r="T1703" s="7" t="str">
        <f>IF(ISBLANK(patch[[#This Row],[mergeDate]]), "", MID(YEAR(patch[[#This Row],[mergeDate]]), 3,2)&amp;"'ww"&amp;WEEKNUM(patch[[#This Row],[mergeDate]]))</f>
        <v>16'ww38</v>
      </c>
      <c r="U1703" s="7" t="str">
        <f>IF(ISBLANK(patch[[#This Row],[mergeDate]]), U1702, MID(YEAR(patch[[#This Row],[mergeDate]]), 3,2)&amp;"'m"&amp;MONTH(patch[[#This Row],[mergeDate]]))</f>
        <v>16'm9</v>
      </c>
      <c r="V1703" s="7">
        <f>IF(ISBLANK(patch[[#This Row],[project]]), "",SUM(patch[[#This Row],[BJ -1 num]:[SH -1 num]]))</f>
        <v>0</v>
      </c>
      <c r="W1703" s="7">
        <f>IF(ISBLANK(patch[[#This Row],[project]]), "",COUNTIFS($A:$A,patch[[#This Row],[number]],$S:$S, "BJ And dev",$AC:$AC, "Review-1"))</f>
        <v>0</v>
      </c>
      <c r="X1703" s="7">
        <f>IF(ISBLANK(patch[[#This Row],[project]]), "",COUNTIFS($A:$A,patch[[#This Row],[number]],$S:$S, "FL And dev",$AC:$AC, "Review-1"))</f>
        <v>0</v>
      </c>
      <c r="Y1703" s="7">
        <f>IF(ISBLANK(patch[[#This Row],[project]]), "",COUNTIFS($A:$A,patch[[#This Row],[number]],$S:$S, "SH And dev",$AC:$AC, "Review-1"))</f>
        <v>0</v>
      </c>
      <c r="Z1703" s="7">
        <f>IF(ISBLANK(patch[[#This Row],[project]]), "",COUNTIFS($A:$A,patch[[#This Row],[number]],$S:$S, "BJ And dev",$AD:$AD, "&lt;&gt;IntegratorValidationComment"))</f>
        <v>5</v>
      </c>
      <c r="AA1703" s="7">
        <f>IF(ISBLANK(patch[[#This Row],[project]]), "",COUNTIFS($A:$A,patch[[#This Row],[number]],$S:$S, "FL And dev",$AD:$AD, "&lt;&gt;IntegratorValidationComment"))</f>
        <v>0</v>
      </c>
      <c r="AB1703" s="7">
        <f>IF(ISBLANK(patch[[#This Row],[project]]), "",COUNTIFS($A:$A,patch[[#This Row],[number]],$S:$S, "SH And dev",$AD:$AD, "&lt;&gt;IntegratorValidationComment"))</f>
        <v>0</v>
      </c>
      <c r="AC1703" s="7" t="str">
        <f>IF(OR(ISNUMBER(FIND("Review-1", patch[[#This Row],[comments]])), ISNUMBER(FIND("Approver-1", patch[[#This Row],[comments]]))), "Review-1", "")</f>
        <v/>
      </c>
      <c r="AD17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03" s="7" t="str">
        <f>IF(ISBLANK(patch[[#This Row],[number]]),AE1702,patch[[#This Row],[ifCommon]])</f>
        <v>not AndrHAL</v>
      </c>
    </row>
    <row r="1704" spans="1:31">
      <c r="A1704" s="151">
        <v>145013</v>
      </c>
      <c r="B1704" s="151"/>
      <c r="C1704" s="151"/>
      <c r="D1704" s="151"/>
      <c r="E1704" s="151"/>
      <c r="F1704" s="151"/>
      <c r="G1704" s="151"/>
      <c r="H1704" s="151"/>
      <c r="I1704" s="151"/>
      <c r="J1704" s="152">
        <v>42627.659687500003</v>
      </c>
      <c r="K1704" s="151"/>
      <c r="L1704" s="151" t="s">
        <v>72</v>
      </c>
      <c r="M1704" s="152">
        <v>42627.308715277781</v>
      </c>
      <c r="N1704" s="151" t="s">
        <v>25</v>
      </c>
      <c r="O1704" s="151"/>
      <c r="P1704" s="151"/>
      <c r="Q1704" s="7" t="str">
        <f>IF(ISBLANK(patch[[#This Row],[OwnerEmail]]),Q1703,patch[[#This Row],[OwnerEmail]])</f>
        <v>bin.b.yang@intel.com</v>
      </c>
      <c r="R1704" s="7" t="str">
        <f>_xlfn.IFNA(VLOOKUP(patch[[#This Row],[tmp-owner.email]],OrgTree!$A:$K, 11, 0), "not ICG SWFW")</f>
        <v>BJ And dev</v>
      </c>
      <c r="S1704" s="7" t="str">
        <f>IF(patch[[#This Row],[reviewer]]=patch[[#This Row],[tmp-owner.email]], "author", _xlfn.IFNA(VLOOKUP(patch[[#This Row],[reviewer]],OrgTree!$A:$K, 11, 0), "not ICG SWFW"))</f>
        <v>author</v>
      </c>
      <c r="T1704" s="7" t="str">
        <f>IF(ISBLANK(patch[[#This Row],[mergeDate]]), "", MID(YEAR(patch[[#This Row],[mergeDate]]), 3,2)&amp;"'ww"&amp;WEEKNUM(patch[[#This Row],[mergeDate]]))</f>
        <v>16'ww38</v>
      </c>
      <c r="U1704" s="7" t="str">
        <f>IF(ISBLANK(patch[[#This Row],[mergeDate]]), U1703, MID(YEAR(patch[[#This Row],[mergeDate]]), 3,2)&amp;"'m"&amp;MONTH(patch[[#This Row],[mergeDate]]))</f>
        <v>16'm9</v>
      </c>
      <c r="V1704" s="7" t="str">
        <f>IF(ISBLANK(patch[[#This Row],[project]]), "",SUM(patch[[#This Row],[BJ -1 num]:[SH -1 num]]))</f>
        <v/>
      </c>
      <c r="W1704" s="7" t="str">
        <f>IF(ISBLANK(patch[[#This Row],[project]]), "",COUNTIFS($A:$A,patch[[#This Row],[number]],$S:$S, "BJ And dev",$AC:$AC, "Review-1"))</f>
        <v/>
      </c>
      <c r="X1704" s="7" t="str">
        <f>IF(ISBLANK(patch[[#This Row],[project]]), "",COUNTIFS($A:$A,patch[[#This Row],[number]],$S:$S, "FL And dev",$AC:$AC, "Review-1"))</f>
        <v/>
      </c>
      <c r="Y1704" s="7" t="str">
        <f>IF(ISBLANK(patch[[#This Row],[project]]), "",COUNTIFS($A:$A,patch[[#This Row],[number]],$S:$S, "SH And dev",$AC:$AC, "Review-1"))</f>
        <v/>
      </c>
      <c r="Z1704" s="7" t="str">
        <f>IF(ISBLANK(patch[[#This Row],[project]]), "",COUNTIFS($A:$A,patch[[#This Row],[number]],$S:$S, "BJ And dev",$AD:$AD, "&lt;&gt;IntegratorValidationComment"))</f>
        <v/>
      </c>
      <c r="AA1704" s="7" t="str">
        <f>IF(ISBLANK(patch[[#This Row],[project]]), "",COUNTIFS($A:$A,patch[[#This Row],[number]],$S:$S, "FL And dev",$AD:$AD, "&lt;&gt;IntegratorValidationComment"))</f>
        <v/>
      </c>
      <c r="AB1704" s="7" t="str">
        <f>IF(ISBLANK(patch[[#This Row],[project]]), "",COUNTIFS($A:$A,patch[[#This Row],[number]],$S:$S, "SH And dev",$AD:$AD, "&lt;&gt;IntegratorValidationComment"))</f>
        <v/>
      </c>
      <c r="AC1704" s="7" t="str">
        <f>IF(OR(ISNUMBER(FIND("Review-1", patch[[#This Row],[comments]])), ISNUMBER(FIND("Approver-1", patch[[#This Row],[comments]]))), "Review-1", "")</f>
        <v/>
      </c>
      <c r="AD17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04" s="7">
        <f>IF(ISBLANK(patch[[#This Row],[number]]),AE1703,patch[[#This Row],[ifCommon]])</f>
        <v>0</v>
      </c>
    </row>
    <row r="1705" spans="1:31">
      <c r="A1705" s="151">
        <v>145013</v>
      </c>
      <c r="B1705" s="151"/>
      <c r="C1705" s="151"/>
      <c r="D1705" s="151"/>
      <c r="E1705" s="151"/>
      <c r="F1705" s="151"/>
      <c r="G1705" s="151"/>
      <c r="H1705" s="151"/>
      <c r="I1705" s="151"/>
      <c r="J1705" s="152">
        <v>42627.659687500003</v>
      </c>
      <c r="K1705" s="151"/>
      <c r="L1705" s="151" t="s">
        <v>72</v>
      </c>
      <c r="M1705" s="152">
        <v>42627.310578703713</v>
      </c>
      <c r="N1705" s="151" t="s">
        <v>40</v>
      </c>
      <c r="O1705" s="151"/>
      <c r="P1705" s="151"/>
      <c r="Q1705" s="7" t="str">
        <f>IF(ISBLANK(patch[[#This Row],[OwnerEmail]]),Q1704,patch[[#This Row],[OwnerEmail]])</f>
        <v>bin.b.yang@intel.com</v>
      </c>
      <c r="R1705" s="7" t="str">
        <f>_xlfn.IFNA(VLOOKUP(patch[[#This Row],[tmp-owner.email]],OrgTree!$A:$K, 11, 0), "not ICG SWFW")</f>
        <v>BJ And dev</v>
      </c>
      <c r="S1705" s="7" t="str">
        <f>IF(patch[[#This Row],[reviewer]]=patch[[#This Row],[tmp-owner.email]], "author", _xlfn.IFNA(VLOOKUP(patch[[#This Row],[reviewer]],OrgTree!$A:$K, 11, 0), "not ICG SWFW"))</f>
        <v>author</v>
      </c>
      <c r="T1705" s="7" t="str">
        <f>IF(ISBLANK(patch[[#This Row],[mergeDate]]), "", MID(YEAR(patch[[#This Row],[mergeDate]]), 3,2)&amp;"'ww"&amp;WEEKNUM(patch[[#This Row],[mergeDate]]))</f>
        <v>16'ww38</v>
      </c>
      <c r="U1705" s="7" t="str">
        <f>IF(ISBLANK(patch[[#This Row],[mergeDate]]), U1704, MID(YEAR(patch[[#This Row],[mergeDate]]), 3,2)&amp;"'m"&amp;MONTH(patch[[#This Row],[mergeDate]]))</f>
        <v>16'm9</v>
      </c>
      <c r="V1705" s="7" t="str">
        <f>IF(ISBLANK(patch[[#This Row],[project]]), "",SUM(patch[[#This Row],[BJ -1 num]:[SH -1 num]]))</f>
        <v/>
      </c>
      <c r="W1705" s="7" t="str">
        <f>IF(ISBLANK(patch[[#This Row],[project]]), "",COUNTIFS($A:$A,patch[[#This Row],[number]],$S:$S, "BJ And dev",$AC:$AC, "Review-1"))</f>
        <v/>
      </c>
      <c r="X1705" s="7" t="str">
        <f>IF(ISBLANK(patch[[#This Row],[project]]), "",COUNTIFS($A:$A,patch[[#This Row],[number]],$S:$S, "FL And dev",$AC:$AC, "Review-1"))</f>
        <v/>
      </c>
      <c r="Y1705" s="7" t="str">
        <f>IF(ISBLANK(patch[[#This Row],[project]]), "",COUNTIFS($A:$A,patch[[#This Row],[number]],$S:$S, "SH And dev",$AC:$AC, "Review-1"))</f>
        <v/>
      </c>
      <c r="Z1705" s="7" t="str">
        <f>IF(ISBLANK(patch[[#This Row],[project]]), "",COUNTIFS($A:$A,patch[[#This Row],[number]],$S:$S, "BJ And dev",$AD:$AD, "&lt;&gt;IntegratorValidationComment"))</f>
        <v/>
      </c>
      <c r="AA1705" s="7" t="str">
        <f>IF(ISBLANK(patch[[#This Row],[project]]), "",COUNTIFS($A:$A,patch[[#This Row],[number]],$S:$S, "FL And dev",$AD:$AD, "&lt;&gt;IntegratorValidationComment"))</f>
        <v/>
      </c>
      <c r="AB1705" s="7" t="str">
        <f>IF(ISBLANK(patch[[#This Row],[project]]), "",COUNTIFS($A:$A,patch[[#This Row],[number]],$S:$S, "SH And dev",$AD:$AD, "&lt;&gt;IntegratorValidationComment"))</f>
        <v/>
      </c>
      <c r="AC1705" s="7" t="str">
        <f>IF(OR(ISNUMBER(FIND("Review-1", patch[[#This Row],[comments]])), ISNUMBER(FIND("Approver-1", patch[[#This Row],[comments]]))), "Review-1", "")</f>
        <v/>
      </c>
      <c r="AD17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05" s="7">
        <f>IF(ISBLANK(patch[[#This Row],[number]]),AE1704,patch[[#This Row],[ifCommon]])</f>
        <v>0</v>
      </c>
    </row>
    <row r="1706" spans="1:31">
      <c r="A1706" s="151">
        <v>145013</v>
      </c>
      <c r="B1706" s="151"/>
      <c r="C1706" s="151"/>
      <c r="D1706" s="151"/>
      <c r="E1706" s="151"/>
      <c r="F1706" s="151"/>
      <c r="G1706" s="151"/>
      <c r="H1706" s="151"/>
      <c r="I1706" s="151"/>
      <c r="J1706" s="152">
        <v>42627.659687500003</v>
      </c>
      <c r="K1706" s="151"/>
      <c r="L1706" s="151" t="s">
        <v>32</v>
      </c>
      <c r="M1706" s="152">
        <v>42627.322870370372</v>
      </c>
      <c r="N1706" s="151" t="s">
        <v>40</v>
      </c>
      <c r="O1706" s="151"/>
      <c r="P1706" s="151"/>
      <c r="Q1706" s="7" t="str">
        <f>IF(ISBLANK(patch[[#This Row],[OwnerEmail]]),Q1705,patch[[#This Row],[OwnerEmail]])</f>
        <v>bin.b.yang@intel.com</v>
      </c>
      <c r="R1706" s="7" t="str">
        <f>_xlfn.IFNA(VLOOKUP(patch[[#This Row],[tmp-owner.email]],OrgTree!$A:$K, 11, 0), "not ICG SWFW")</f>
        <v>BJ And dev</v>
      </c>
      <c r="S1706" s="7" t="str">
        <f>IF(patch[[#This Row],[reviewer]]=patch[[#This Row],[tmp-owner.email]], "author", _xlfn.IFNA(VLOOKUP(patch[[#This Row],[reviewer]],OrgTree!$A:$K, 11, 0), "not ICG SWFW"))</f>
        <v>BJ And dev</v>
      </c>
      <c r="T1706" s="7" t="str">
        <f>IF(ISBLANK(patch[[#This Row],[mergeDate]]), "", MID(YEAR(patch[[#This Row],[mergeDate]]), 3,2)&amp;"'ww"&amp;WEEKNUM(patch[[#This Row],[mergeDate]]))</f>
        <v>16'ww38</v>
      </c>
      <c r="U1706" s="7" t="str">
        <f>IF(ISBLANK(patch[[#This Row],[mergeDate]]), U1705, MID(YEAR(patch[[#This Row],[mergeDate]]), 3,2)&amp;"'m"&amp;MONTH(patch[[#This Row],[mergeDate]]))</f>
        <v>16'm9</v>
      </c>
      <c r="V1706" s="7" t="str">
        <f>IF(ISBLANK(patch[[#This Row],[project]]), "",SUM(patch[[#This Row],[BJ -1 num]:[SH -1 num]]))</f>
        <v/>
      </c>
      <c r="W1706" s="7" t="str">
        <f>IF(ISBLANK(patch[[#This Row],[project]]), "",COUNTIFS($A:$A,patch[[#This Row],[number]],$S:$S, "BJ And dev",$AC:$AC, "Review-1"))</f>
        <v/>
      </c>
      <c r="X1706" s="7" t="str">
        <f>IF(ISBLANK(patch[[#This Row],[project]]), "",COUNTIFS($A:$A,patch[[#This Row],[number]],$S:$S, "FL And dev",$AC:$AC, "Review-1"))</f>
        <v/>
      </c>
      <c r="Y1706" s="7" t="str">
        <f>IF(ISBLANK(patch[[#This Row],[project]]), "",COUNTIFS($A:$A,patch[[#This Row],[number]],$S:$S, "SH And dev",$AC:$AC, "Review-1"))</f>
        <v/>
      </c>
      <c r="Z1706" s="7" t="str">
        <f>IF(ISBLANK(patch[[#This Row],[project]]), "",COUNTIFS($A:$A,patch[[#This Row],[number]],$S:$S, "BJ And dev",$AD:$AD, "&lt;&gt;IntegratorValidationComment"))</f>
        <v/>
      </c>
      <c r="AA1706" s="7" t="str">
        <f>IF(ISBLANK(patch[[#This Row],[project]]), "",COUNTIFS($A:$A,patch[[#This Row],[number]],$S:$S, "FL And dev",$AD:$AD, "&lt;&gt;IntegratorValidationComment"))</f>
        <v/>
      </c>
      <c r="AB1706" s="7" t="str">
        <f>IF(ISBLANK(patch[[#This Row],[project]]), "",COUNTIFS($A:$A,patch[[#This Row],[number]],$S:$S, "SH And dev",$AD:$AD, "&lt;&gt;IntegratorValidationComment"))</f>
        <v/>
      </c>
      <c r="AC1706" s="7" t="str">
        <f>IF(OR(ISNUMBER(FIND("Review-1", patch[[#This Row],[comments]])), ISNUMBER(FIND("Approver-1", patch[[#This Row],[comments]]))), "Review-1", "")</f>
        <v/>
      </c>
      <c r="AD17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06" s="7">
        <f>IF(ISBLANK(patch[[#This Row],[number]]),AE1705,patch[[#This Row],[ifCommon]])</f>
        <v>0</v>
      </c>
    </row>
    <row r="1707" spans="1:31">
      <c r="A1707" s="151">
        <v>145013</v>
      </c>
      <c r="B1707" s="151"/>
      <c r="C1707" s="151"/>
      <c r="D1707" s="151"/>
      <c r="E1707" s="151"/>
      <c r="F1707" s="151"/>
      <c r="G1707" s="151"/>
      <c r="H1707" s="151"/>
      <c r="I1707" s="151"/>
      <c r="J1707" s="152">
        <v>42627.659687500003</v>
      </c>
      <c r="K1707" s="151"/>
      <c r="L1707" s="151" t="s">
        <v>72</v>
      </c>
      <c r="M1707" s="152">
        <v>42627.366319444453</v>
      </c>
      <c r="N1707" s="151" t="s">
        <v>2449</v>
      </c>
      <c r="O1707" s="151"/>
      <c r="P1707" s="151"/>
      <c r="Q1707" s="7" t="str">
        <f>IF(ISBLANK(patch[[#This Row],[OwnerEmail]]),Q1706,patch[[#This Row],[OwnerEmail]])</f>
        <v>bin.b.yang@intel.com</v>
      </c>
      <c r="R1707" s="7" t="str">
        <f>_xlfn.IFNA(VLOOKUP(patch[[#This Row],[tmp-owner.email]],OrgTree!$A:$K, 11, 0), "not ICG SWFW")</f>
        <v>BJ And dev</v>
      </c>
      <c r="S1707" s="7" t="str">
        <f>IF(patch[[#This Row],[reviewer]]=patch[[#This Row],[tmp-owner.email]], "author", _xlfn.IFNA(VLOOKUP(patch[[#This Row],[reviewer]],OrgTree!$A:$K, 11, 0), "not ICG SWFW"))</f>
        <v>author</v>
      </c>
      <c r="T1707" s="7" t="str">
        <f>IF(ISBLANK(patch[[#This Row],[mergeDate]]), "", MID(YEAR(patch[[#This Row],[mergeDate]]), 3,2)&amp;"'ww"&amp;WEEKNUM(patch[[#This Row],[mergeDate]]))</f>
        <v>16'ww38</v>
      </c>
      <c r="U1707" s="7" t="str">
        <f>IF(ISBLANK(patch[[#This Row],[mergeDate]]), U1706, MID(YEAR(patch[[#This Row],[mergeDate]]), 3,2)&amp;"'m"&amp;MONTH(patch[[#This Row],[mergeDate]]))</f>
        <v>16'm9</v>
      </c>
      <c r="V1707" s="7" t="str">
        <f>IF(ISBLANK(patch[[#This Row],[project]]), "",SUM(patch[[#This Row],[BJ -1 num]:[SH -1 num]]))</f>
        <v/>
      </c>
      <c r="W1707" s="7" t="str">
        <f>IF(ISBLANK(patch[[#This Row],[project]]), "",COUNTIFS($A:$A,patch[[#This Row],[number]],$S:$S, "BJ And dev",$AC:$AC, "Review-1"))</f>
        <v/>
      </c>
      <c r="X1707" s="7" t="str">
        <f>IF(ISBLANK(patch[[#This Row],[project]]), "",COUNTIFS($A:$A,patch[[#This Row],[number]],$S:$S, "FL And dev",$AC:$AC, "Review-1"))</f>
        <v/>
      </c>
      <c r="Y1707" s="7" t="str">
        <f>IF(ISBLANK(patch[[#This Row],[project]]), "",COUNTIFS($A:$A,patch[[#This Row],[number]],$S:$S, "SH And dev",$AC:$AC, "Review-1"))</f>
        <v/>
      </c>
      <c r="Z1707" s="7" t="str">
        <f>IF(ISBLANK(patch[[#This Row],[project]]), "",COUNTIFS($A:$A,patch[[#This Row],[number]],$S:$S, "BJ And dev",$AD:$AD, "&lt;&gt;IntegratorValidationComment"))</f>
        <v/>
      </c>
      <c r="AA1707" s="7" t="str">
        <f>IF(ISBLANK(patch[[#This Row],[project]]), "",COUNTIFS($A:$A,patch[[#This Row],[number]],$S:$S, "FL And dev",$AD:$AD, "&lt;&gt;IntegratorValidationComment"))</f>
        <v/>
      </c>
      <c r="AB1707" s="7" t="str">
        <f>IF(ISBLANK(patch[[#This Row],[project]]), "",COUNTIFS($A:$A,patch[[#This Row],[number]],$S:$S, "SH And dev",$AD:$AD, "&lt;&gt;IntegratorValidationComment"))</f>
        <v/>
      </c>
      <c r="AC1707" s="7" t="str">
        <f>IF(OR(ISNUMBER(FIND("Review-1", patch[[#This Row],[comments]])), ISNUMBER(FIND("Approver-1", patch[[#This Row],[comments]]))), "Review-1", "")</f>
        <v/>
      </c>
      <c r="AD17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07" s="7">
        <f>IF(ISBLANK(patch[[#This Row],[number]]),AE1706,patch[[#This Row],[ifCommon]])</f>
        <v>0</v>
      </c>
    </row>
    <row r="1708" spans="1:31">
      <c r="A1708" s="151">
        <v>145013</v>
      </c>
      <c r="B1708" s="151"/>
      <c r="C1708" s="151"/>
      <c r="D1708" s="151"/>
      <c r="E1708" s="151"/>
      <c r="F1708" s="151"/>
      <c r="G1708" s="151"/>
      <c r="H1708" s="151"/>
      <c r="I1708" s="151"/>
      <c r="J1708" s="152">
        <v>42627.659687500003</v>
      </c>
      <c r="K1708" s="151"/>
      <c r="L1708" s="151" t="s">
        <v>73</v>
      </c>
      <c r="M1708" s="152">
        <v>42627.369780092587</v>
      </c>
      <c r="N1708" s="151" t="s">
        <v>58</v>
      </c>
      <c r="O1708" s="151"/>
      <c r="P1708" s="151"/>
      <c r="Q1708" s="7" t="str">
        <f>IF(ISBLANK(patch[[#This Row],[OwnerEmail]]),Q1707,patch[[#This Row],[OwnerEmail]])</f>
        <v>bin.b.yang@intel.com</v>
      </c>
      <c r="R1708" s="7" t="str">
        <f>_xlfn.IFNA(VLOOKUP(patch[[#This Row],[tmp-owner.email]],OrgTree!$A:$K, 11, 0), "not ICG SWFW")</f>
        <v>BJ And dev</v>
      </c>
      <c r="S1708" s="7" t="str">
        <f>IF(patch[[#This Row],[reviewer]]=patch[[#This Row],[tmp-owner.email]], "author", _xlfn.IFNA(VLOOKUP(patch[[#This Row],[reviewer]],OrgTree!$A:$K, 11, 0), "not ICG SWFW"))</f>
        <v>BJ And dev</v>
      </c>
      <c r="T1708" s="7" t="str">
        <f>IF(ISBLANK(patch[[#This Row],[mergeDate]]), "", MID(YEAR(patch[[#This Row],[mergeDate]]), 3,2)&amp;"'ww"&amp;WEEKNUM(patch[[#This Row],[mergeDate]]))</f>
        <v>16'ww38</v>
      </c>
      <c r="U1708" s="7" t="str">
        <f>IF(ISBLANK(patch[[#This Row],[mergeDate]]), U1707, MID(YEAR(patch[[#This Row],[mergeDate]]), 3,2)&amp;"'m"&amp;MONTH(patch[[#This Row],[mergeDate]]))</f>
        <v>16'm9</v>
      </c>
      <c r="V1708" s="7" t="str">
        <f>IF(ISBLANK(patch[[#This Row],[project]]), "",SUM(patch[[#This Row],[BJ -1 num]:[SH -1 num]]))</f>
        <v/>
      </c>
      <c r="W1708" s="7" t="str">
        <f>IF(ISBLANK(patch[[#This Row],[project]]), "",COUNTIFS($A:$A,patch[[#This Row],[number]],$S:$S, "BJ And dev",$AC:$AC, "Review-1"))</f>
        <v/>
      </c>
      <c r="X1708" s="7" t="str">
        <f>IF(ISBLANK(patch[[#This Row],[project]]), "",COUNTIFS($A:$A,patch[[#This Row],[number]],$S:$S, "FL And dev",$AC:$AC, "Review-1"))</f>
        <v/>
      </c>
      <c r="Y1708" s="7" t="str">
        <f>IF(ISBLANK(patch[[#This Row],[project]]), "",COUNTIFS($A:$A,patch[[#This Row],[number]],$S:$S, "SH And dev",$AC:$AC, "Review-1"))</f>
        <v/>
      </c>
      <c r="Z1708" s="7" t="str">
        <f>IF(ISBLANK(patch[[#This Row],[project]]), "",COUNTIFS($A:$A,patch[[#This Row],[number]],$S:$S, "BJ And dev",$AD:$AD, "&lt;&gt;IntegratorValidationComment"))</f>
        <v/>
      </c>
      <c r="AA1708" s="7" t="str">
        <f>IF(ISBLANK(patch[[#This Row],[project]]), "",COUNTIFS($A:$A,patch[[#This Row],[number]],$S:$S, "FL And dev",$AD:$AD, "&lt;&gt;IntegratorValidationComment"))</f>
        <v/>
      </c>
      <c r="AB1708" s="7" t="str">
        <f>IF(ISBLANK(patch[[#This Row],[project]]), "",COUNTIFS($A:$A,patch[[#This Row],[number]],$S:$S, "SH And dev",$AD:$AD, "&lt;&gt;IntegratorValidationComment"))</f>
        <v/>
      </c>
      <c r="AC1708" s="7" t="str">
        <f>IF(OR(ISNUMBER(FIND("Review-1", patch[[#This Row],[comments]])), ISNUMBER(FIND("Approver-1", patch[[#This Row],[comments]]))), "Review-1", "")</f>
        <v/>
      </c>
      <c r="AD17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08" s="7">
        <f>IF(ISBLANK(patch[[#This Row],[number]]),AE1707,patch[[#This Row],[ifCommon]])</f>
        <v>0</v>
      </c>
    </row>
    <row r="1709" spans="1:31">
      <c r="A1709" s="151">
        <v>145013</v>
      </c>
      <c r="B1709" s="151"/>
      <c r="C1709" s="151"/>
      <c r="D1709" s="151"/>
      <c r="E1709" s="151"/>
      <c r="F1709" s="151"/>
      <c r="G1709" s="151"/>
      <c r="H1709" s="151"/>
      <c r="I1709" s="151"/>
      <c r="J1709" s="152">
        <v>42627.659687500003</v>
      </c>
      <c r="K1709" s="151"/>
      <c r="L1709" s="151" t="s">
        <v>59</v>
      </c>
      <c r="M1709" s="152">
        <v>42627.377384259264</v>
      </c>
      <c r="N1709" s="151" t="s">
        <v>3431</v>
      </c>
      <c r="O1709" s="151"/>
      <c r="P1709" s="151"/>
      <c r="Q1709" s="7" t="str">
        <f>IF(ISBLANK(patch[[#This Row],[OwnerEmail]]),Q1708,patch[[#This Row],[OwnerEmail]])</f>
        <v>bin.b.yang@intel.com</v>
      </c>
      <c r="R1709" s="7" t="str">
        <f>_xlfn.IFNA(VLOOKUP(patch[[#This Row],[tmp-owner.email]],OrgTree!$A:$K, 11, 0), "not ICG SWFW")</f>
        <v>BJ And dev</v>
      </c>
      <c r="S1709" s="7" t="str">
        <f>IF(patch[[#This Row],[reviewer]]=patch[[#This Row],[tmp-owner.email]], "author", _xlfn.IFNA(VLOOKUP(patch[[#This Row],[reviewer]],OrgTree!$A:$K, 11, 0), "not ICG SWFW"))</f>
        <v>BJ And dev</v>
      </c>
      <c r="T1709" s="7" t="str">
        <f>IF(ISBLANK(patch[[#This Row],[mergeDate]]), "", MID(YEAR(patch[[#This Row],[mergeDate]]), 3,2)&amp;"'ww"&amp;WEEKNUM(patch[[#This Row],[mergeDate]]))</f>
        <v>16'ww38</v>
      </c>
      <c r="U1709" s="7" t="str">
        <f>IF(ISBLANK(patch[[#This Row],[mergeDate]]), U1708, MID(YEAR(patch[[#This Row],[mergeDate]]), 3,2)&amp;"'m"&amp;MONTH(patch[[#This Row],[mergeDate]]))</f>
        <v>16'm9</v>
      </c>
      <c r="V1709" s="7" t="str">
        <f>IF(ISBLANK(patch[[#This Row],[project]]), "",SUM(patch[[#This Row],[BJ -1 num]:[SH -1 num]]))</f>
        <v/>
      </c>
      <c r="W1709" s="7" t="str">
        <f>IF(ISBLANK(patch[[#This Row],[project]]), "",COUNTIFS($A:$A,patch[[#This Row],[number]],$S:$S, "BJ And dev",$AC:$AC, "Review-1"))</f>
        <v/>
      </c>
      <c r="X1709" s="7" t="str">
        <f>IF(ISBLANK(patch[[#This Row],[project]]), "",COUNTIFS($A:$A,patch[[#This Row],[number]],$S:$S, "FL And dev",$AC:$AC, "Review-1"))</f>
        <v/>
      </c>
      <c r="Y1709" s="7" t="str">
        <f>IF(ISBLANK(patch[[#This Row],[project]]), "",COUNTIFS($A:$A,patch[[#This Row],[number]],$S:$S, "SH And dev",$AC:$AC, "Review-1"))</f>
        <v/>
      </c>
      <c r="Z1709" s="7" t="str">
        <f>IF(ISBLANK(patch[[#This Row],[project]]), "",COUNTIFS($A:$A,patch[[#This Row],[number]],$S:$S, "BJ And dev",$AD:$AD, "&lt;&gt;IntegratorValidationComment"))</f>
        <v/>
      </c>
      <c r="AA1709" s="7" t="str">
        <f>IF(ISBLANK(patch[[#This Row],[project]]), "",COUNTIFS($A:$A,patch[[#This Row],[number]],$S:$S, "FL And dev",$AD:$AD, "&lt;&gt;IntegratorValidationComment"))</f>
        <v/>
      </c>
      <c r="AB1709" s="7" t="str">
        <f>IF(ISBLANK(patch[[#This Row],[project]]), "",COUNTIFS($A:$A,patch[[#This Row],[number]],$S:$S, "SH And dev",$AD:$AD, "&lt;&gt;IntegratorValidationComment"))</f>
        <v/>
      </c>
      <c r="AC1709" s="7" t="str">
        <f>IF(OR(ISNUMBER(FIND("Review-1", patch[[#This Row],[comments]])), ISNUMBER(FIND("Approver-1", patch[[#This Row],[comments]]))), "Review-1", "")</f>
        <v/>
      </c>
      <c r="AD17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09" s="7">
        <f>IF(ISBLANK(patch[[#This Row],[number]]),AE1708,patch[[#This Row],[ifCommon]])</f>
        <v>0</v>
      </c>
    </row>
    <row r="1710" spans="1:31">
      <c r="A1710" s="151">
        <v>145013</v>
      </c>
      <c r="B1710" s="151"/>
      <c r="C1710" s="151"/>
      <c r="D1710" s="151"/>
      <c r="E1710" s="151"/>
      <c r="F1710" s="151"/>
      <c r="G1710" s="151"/>
      <c r="H1710" s="151"/>
      <c r="I1710" s="151"/>
      <c r="J1710" s="152">
        <v>42627.659687500003</v>
      </c>
      <c r="K1710" s="151"/>
      <c r="L1710" s="151" t="s">
        <v>1237</v>
      </c>
      <c r="M1710" s="152">
        <v>42627.384988425933</v>
      </c>
      <c r="N1710" s="151" t="s">
        <v>40</v>
      </c>
      <c r="O1710" s="151"/>
      <c r="P1710" s="151"/>
      <c r="Q1710" s="7" t="str">
        <f>IF(ISBLANK(patch[[#This Row],[OwnerEmail]]),Q1709,patch[[#This Row],[OwnerEmail]])</f>
        <v>bin.b.yang@intel.com</v>
      </c>
      <c r="R1710" s="7" t="str">
        <f>_xlfn.IFNA(VLOOKUP(patch[[#This Row],[tmp-owner.email]],OrgTree!$A:$K, 11, 0), "not ICG SWFW")</f>
        <v>BJ And dev</v>
      </c>
      <c r="S1710" s="7" t="str">
        <f>IF(patch[[#This Row],[reviewer]]=patch[[#This Row],[tmp-owner.email]], "author", _xlfn.IFNA(VLOOKUP(patch[[#This Row],[reviewer]],OrgTree!$A:$K, 11, 0), "not ICG SWFW"))</f>
        <v>BJ And dev</v>
      </c>
      <c r="T1710" s="7" t="str">
        <f>IF(ISBLANK(patch[[#This Row],[mergeDate]]), "", MID(YEAR(patch[[#This Row],[mergeDate]]), 3,2)&amp;"'ww"&amp;WEEKNUM(patch[[#This Row],[mergeDate]]))</f>
        <v>16'ww38</v>
      </c>
      <c r="U1710" s="7" t="str">
        <f>IF(ISBLANK(patch[[#This Row],[mergeDate]]), U1709, MID(YEAR(patch[[#This Row],[mergeDate]]), 3,2)&amp;"'m"&amp;MONTH(patch[[#This Row],[mergeDate]]))</f>
        <v>16'm9</v>
      </c>
      <c r="V1710" s="7" t="str">
        <f>IF(ISBLANK(patch[[#This Row],[project]]), "",SUM(patch[[#This Row],[BJ -1 num]:[SH -1 num]]))</f>
        <v/>
      </c>
      <c r="W1710" s="7" t="str">
        <f>IF(ISBLANK(patch[[#This Row],[project]]), "",COUNTIFS($A:$A,patch[[#This Row],[number]],$S:$S, "BJ And dev",$AC:$AC, "Review-1"))</f>
        <v/>
      </c>
      <c r="X1710" s="7" t="str">
        <f>IF(ISBLANK(patch[[#This Row],[project]]), "",COUNTIFS($A:$A,patch[[#This Row],[number]],$S:$S, "FL And dev",$AC:$AC, "Review-1"))</f>
        <v/>
      </c>
      <c r="Y1710" s="7" t="str">
        <f>IF(ISBLANK(patch[[#This Row],[project]]), "",COUNTIFS($A:$A,patch[[#This Row],[number]],$S:$S, "SH And dev",$AC:$AC, "Review-1"))</f>
        <v/>
      </c>
      <c r="Z1710" s="7" t="str">
        <f>IF(ISBLANK(patch[[#This Row],[project]]), "",COUNTIFS($A:$A,patch[[#This Row],[number]],$S:$S, "BJ And dev",$AD:$AD, "&lt;&gt;IntegratorValidationComment"))</f>
        <v/>
      </c>
      <c r="AA1710" s="7" t="str">
        <f>IF(ISBLANK(patch[[#This Row],[project]]), "",COUNTIFS($A:$A,patch[[#This Row],[number]],$S:$S, "FL And dev",$AD:$AD, "&lt;&gt;IntegratorValidationComment"))</f>
        <v/>
      </c>
      <c r="AB1710" s="7" t="str">
        <f>IF(ISBLANK(patch[[#This Row],[project]]), "",COUNTIFS($A:$A,patch[[#This Row],[number]],$S:$S, "SH And dev",$AD:$AD, "&lt;&gt;IntegratorValidationComment"))</f>
        <v/>
      </c>
      <c r="AC1710" s="7" t="str">
        <f>IF(OR(ISNUMBER(FIND("Review-1", patch[[#This Row],[comments]])), ISNUMBER(FIND("Approver-1", patch[[#This Row],[comments]]))), "Review-1", "")</f>
        <v/>
      </c>
      <c r="AD17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10" s="7">
        <f>IF(ISBLANK(patch[[#This Row],[number]]),AE1709,patch[[#This Row],[ifCommon]])</f>
        <v>0</v>
      </c>
    </row>
    <row r="1711" spans="1:31">
      <c r="A1711" s="151">
        <v>145013</v>
      </c>
      <c r="B1711" s="151"/>
      <c r="C1711" s="151"/>
      <c r="D1711" s="151"/>
      <c r="E1711" s="151"/>
      <c r="F1711" s="151"/>
      <c r="G1711" s="151"/>
      <c r="H1711" s="151"/>
      <c r="I1711" s="151"/>
      <c r="J1711" s="152">
        <v>42627.659687500003</v>
      </c>
      <c r="K1711" s="151"/>
      <c r="L1711" s="151" t="s">
        <v>59</v>
      </c>
      <c r="M1711" s="152">
        <v>42627.386087962957</v>
      </c>
      <c r="N1711" s="151" t="s">
        <v>3432</v>
      </c>
      <c r="O1711" s="151"/>
      <c r="P1711" s="151"/>
      <c r="Q1711" s="7" t="str">
        <f>IF(ISBLANK(patch[[#This Row],[OwnerEmail]]),Q1710,patch[[#This Row],[OwnerEmail]])</f>
        <v>bin.b.yang@intel.com</v>
      </c>
      <c r="R1711" s="7" t="str">
        <f>_xlfn.IFNA(VLOOKUP(patch[[#This Row],[tmp-owner.email]],OrgTree!$A:$K, 11, 0), "not ICG SWFW")</f>
        <v>BJ And dev</v>
      </c>
      <c r="S1711" s="7" t="str">
        <f>IF(patch[[#This Row],[reviewer]]=patch[[#This Row],[tmp-owner.email]], "author", _xlfn.IFNA(VLOOKUP(patch[[#This Row],[reviewer]],OrgTree!$A:$K, 11, 0), "not ICG SWFW"))</f>
        <v>BJ And dev</v>
      </c>
      <c r="T1711" s="7" t="str">
        <f>IF(ISBLANK(patch[[#This Row],[mergeDate]]), "", MID(YEAR(patch[[#This Row],[mergeDate]]), 3,2)&amp;"'ww"&amp;WEEKNUM(patch[[#This Row],[mergeDate]]))</f>
        <v>16'ww38</v>
      </c>
      <c r="U1711" s="7" t="str">
        <f>IF(ISBLANK(patch[[#This Row],[mergeDate]]), U1710, MID(YEAR(patch[[#This Row],[mergeDate]]), 3,2)&amp;"'m"&amp;MONTH(patch[[#This Row],[mergeDate]]))</f>
        <v>16'm9</v>
      </c>
      <c r="V1711" s="7" t="str">
        <f>IF(ISBLANK(patch[[#This Row],[project]]), "",SUM(patch[[#This Row],[BJ -1 num]:[SH -1 num]]))</f>
        <v/>
      </c>
      <c r="W1711" s="7" t="str">
        <f>IF(ISBLANK(patch[[#This Row],[project]]), "",COUNTIFS($A:$A,patch[[#This Row],[number]],$S:$S, "BJ And dev",$AC:$AC, "Review-1"))</f>
        <v/>
      </c>
      <c r="X1711" s="7" t="str">
        <f>IF(ISBLANK(patch[[#This Row],[project]]), "",COUNTIFS($A:$A,patch[[#This Row],[number]],$S:$S, "FL And dev",$AC:$AC, "Review-1"))</f>
        <v/>
      </c>
      <c r="Y1711" s="7" t="str">
        <f>IF(ISBLANK(patch[[#This Row],[project]]), "",COUNTIFS($A:$A,patch[[#This Row],[number]],$S:$S, "SH And dev",$AC:$AC, "Review-1"))</f>
        <v/>
      </c>
      <c r="Z1711" s="7" t="str">
        <f>IF(ISBLANK(patch[[#This Row],[project]]), "",COUNTIFS($A:$A,patch[[#This Row],[number]],$S:$S, "BJ And dev",$AD:$AD, "&lt;&gt;IntegratorValidationComment"))</f>
        <v/>
      </c>
      <c r="AA1711" s="7" t="str">
        <f>IF(ISBLANK(patch[[#This Row],[project]]), "",COUNTIFS($A:$A,patch[[#This Row],[number]],$S:$S, "FL And dev",$AD:$AD, "&lt;&gt;IntegratorValidationComment"))</f>
        <v/>
      </c>
      <c r="AB1711" s="7" t="str">
        <f>IF(ISBLANK(patch[[#This Row],[project]]), "",COUNTIFS($A:$A,patch[[#This Row],[number]],$S:$S, "SH And dev",$AD:$AD, "&lt;&gt;IntegratorValidationComment"))</f>
        <v/>
      </c>
      <c r="AC1711" s="7" t="str">
        <f>IF(OR(ISNUMBER(FIND("Review-1", patch[[#This Row],[comments]])), ISNUMBER(FIND("Approver-1", patch[[#This Row],[comments]]))), "Review-1", "")</f>
        <v/>
      </c>
      <c r="AD17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11" s="7">
        <f>IF(ISBLANK(patch[[#This Row],[number]]),AE1710,patch[[#This Row],[ifCommon]])</f>
        <v>0</v>
      </c>
    </row>
    <row r="1712" spans="1:31">
      <c r="A1712" s="151">
        <v>145013</v>
      </c>
      <c r="B1712" s="151"/>
      <c r="C1712" s="151"/>
      <c r="D1712" s="151"/>
      <c r="E1712" s="151"/>
      <c r="F1712" s="151"/>
      <c r="G1712" s="151"/>
      <c r="H1712" s="151"/>
      <c r="I1712" s="151"/>
      <c r="J1712" s="152">
        <v>42627.659687500003</v>
      </c>
      <c r="K1712" s="151"/>
      <c r="L1712" s="151" t="s">
        <v>72</v>
      </c>
      <c r="M1712" s="152">
        <v>42627.416238425933</v>
      </c>
      <c r="N1712" s="151" t="s">
        <v>2449</v>
      </c>
      <c r="O1712" s="151"/>
      <c r="P1712" s="151"/>
      <c r="Q1712" s="7" t="str">
        <f>IF(ISBLANK(patch[[#This Row],[OwnerEmail]]),Q1711,patch[[#This Row],[OwnerEmail]])</f>
        <v>bin.b.yang@intel.com</v>
      </c>
      <c r="R1712" s="7" t="str">
        <f>_xlfn.IFNA(VLOOKUP(patch[[#This Row],[tmp-owner.email]],OrgTree!$A:$K, 11, 0), "not ICG SWFW")</f>
        <v>BJ And dev</v>
      </c>
      <c r="S1712" s="7" t="str">
        <f>IF(patch[[#This Row],[reviewer]]=patch[[#This Row],[tmp-owner.email]], "author", _xlfn.IFNA(VLOOKUP(patch[[#This Row],[reviewer]],OrgTree!$A:$K, 11, 0), "not ICG SWFW"))</f>
        <v>author</v>
      </c>
      <c r="T1712" s="7" t="str">
        <f>IF(ISBLANK(patch[[#This Row],[mergeDate]]), "", MID(YEAR(patch[[#This Row],[mergeDate]]), 3,2)&amp;"'ww"&amp;WEEKNUM(patch[[#This Row],[mergeDate]]))</f>
        <v>16'ww38</v>
      </c>
      <c r="U1712" s="7" t="str">
        <f>IF(ISBLANK(patch[[#This Row],[mergeDate]]), U1711, MID(YEAR(patch[[#This Row],[mergeDate]]), 3,2)&amp;"'m"&amp;MONTH(patch[[#This Row],[mergeDate]]))</f>
        <v>16'm9</v>
      </c>
      <c r="V1712" s="7" t="str">
        <f>IF(ISBLANK(patch[[#This Row],[project]]), "",SUM(patch[[#This Row],[BJ -1 num]:[SH -1 num]]))</f>
        <v/>
      </c>
      <c r="W1712" s="7" t="str">
        <f>IF(ISBLANK(patch[[#This Row],[project]]), "",COUNTIFS($A:$A,patch[[#This Row],[number]],$S:$S, "BJ And dev",$AC:$AC, "Review-1"))</f>
        <v/>
      </c>
      <c r="X1712" s="7" t="str">
        <f>IF(ISBLANK(patch[[#This Row],[project]]), "",COUNTIFS($A:$A,patch[[#This Row],[number]],$S:$S, "FL And dev",$AC:$AC, "Review-1"))</f>
        <v/>
      </c>
      <c r="Y1712" s="7" t="str">
        <f>IF(ISBLANK(patch[[#This Row],[project]]), "",COUNTIFS($A:$A,patch[[#This Row],[number]],$S:$S, "SH And dev",$AC:$AC, "Review-1"))</f>
        <v/>
      </c>
      <c r="Z1712" s="7" t="str">
        <f>IF(ISBLANK(patch[[#This Row],[project]]), "",COUNTIFS($A:$A,patch[[#This Row],[number]],$S:$S, "BJ And dev",$AD:$AD, "&lt;&gt;IntegratorValidationComment"))</f>
        <v/>
      </c>
      <c r="AA1712" s="7" t="str">
        <f>IF(ISBLANK(patch[[#This Row],[project]]), "",COUNTIFS($A:$A,patch[[#This Row],[number]],$S:$S, "FL And dev",$AD:$AD, "&lt;&gt;IntegratorValidationComment"))</f>
        <v/>
      </c>
      <c r="AB1712" s="7" t="str">
        <f>IF(ISBLANK(patch[[#This Row],[project]]), "",COUNTIFS($A:$A,patch[[#This Row],[number]],$S:$S, "SH And dev",$AD:$AD, "&lt;&gt;IntegratorValidationComment"))</f>
        <v/>
      </c>
      <c r="AC1712" s="7" t="str">
        <f>IF(OR(ISNUMBER(FIND("Review-1", patch[[#This Row],[comments]])), ISNUMBER(FIND("Approver-1", patch[[#This Row],[comments]]))), "Review-1", "")</f>
        <v/>
      </c>
      <c r="AD17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12" s="7">
        <f>IF(ISBLANK(patch[[#This Row],[number]]),AE1711,patch[[#This Row],[ifCommon]])</f>
        <v>0</v>
      </c>
    </row>
    <row r="1713" spans="1:31">
      <c r="A1713" s="151">
        <v>145013</v>
      </c>
      <c r="B1713" s="151"/>
      <c r="C1713" s="151"/>
      <c r="D1713" s="151"/>
      <c r="E1713" s="151"/>
      <c r="F1713" s="151"/>
      <c r="G1713" s="151"/>
      <c r="H1713" s="151"/>
      <c r="I1713" s="151"/>
      <c r="J1713" s="152">
        <v>42627.659687500003</v>
      </c>
      <c r="K1713" s="151"/>
      <c r="L1713" s="151" t="s">
        <v>115</v>
      </c>
      <c r="M1713" s="152">
        <v>42627.41747685185</v>
      </c>
      <c r="N1713" s="151" t="s">
        <v>2494</v>
      </c>
      <c r="O1713" s="151"/>
      <c r="P1713" s="151"/>
      <c r="Q1713" s="7" t="str">
        <f>IF(ISBLANK(patch[[#This Row],[OwnerEmail]]),Q1712,patch[[#This Row],[OwnerEmail]])</f>
        <v>bin.b.yang@intel.com</v>
      </c>
      <c r="R1713" s="7" t="str">
        <f>_xlfn.IFNA(VLOOKUP(patch[[#This Row],[tmp-owner.email]],OrgTree!$A:$K, 11, 0), "not ICG SWFW")</f>
        <v>BJ And dev</v>
      </c>
      <c r="S1713" s="7" t="str">
        <f>IF(patch[[#This Row],[reviewer]]=patch[[#This Row],[tmp-owner.email]], "author", _xlfn.IFNA(VLOOKUP(patch[[#This Row],[reviewer]],OrgTree!$A:$K, 11, 0), "not ICG SWFW"))</f>
        <v>Val</v>
      </c>
      <c r="T1713" s="7" t="str">
        <f>IF(ISBLANK(patch[[#This Row],[mergeDate]]), "", MID(YEAR(patch[[#This Row],[mergeDate]]), 3,2)&amp;"'ww"&amp;WEEKNUM(patch[[#This Row],[mergeDate]]))</f>
        <v>16'ww38</v>
      </c>
      <c r="U1713" s="7" t="str">
        <f>IF(ISBLANK(patch[[#This Row],[mergeDate]]), U1712, MID(YEAR(patch[[#This Row],[mergeDate]]), 3,2)&amp;"'m"&amp;MONTH(patch[[#This Row],[mergeDate]]))</f>
        <v>16'm9</v>
      </c>
      <c r="V1713" s="7" t="str">
        <f>IF(ISBLANK(patch[[#This Row],[project]]), "",SUM(patch[[#This Row],[BJ -1 num]:[SH -1 num]]))</f>
        <v/>
      </c>
      <c r="W1713" s="7" t="str">
        <f>IF(ISBLANK(patch[[#This Row],[project]]), "",COUNTIFS($A:$A,patch[[#This Row],[number]],$S:$S, "BJ And dev",$AC:$AC, "Review-1"))</f>
        <v/>
      </c>
      <c r="X1713" s="7" t="str">
        <f>IF(ISBLANK(patch[[#This Row],[project]]), "",COUNTIFS($A:$A,patch[[#This Row],[number]],$S:$S, "FL And dev",$AC:$AC, "Review-1"))</f>
        <v/>
      </c>
      <c r="Y1713" s="7" t="str">
        <f>IF(ISBLANK(patch[[#This Row],[project]]), "",COUNTIFS($A:$A,patch[[#This Row],[number]],$S:$S, "SH And dev",$AC:$AC, "Review-1"))</f>
        <v/>
      </c>
      <c r="Z1713" s="7" t="str">
        <f>IF(ISBLANK(patch[[#This Row],[project]]), "",COUNTIFS($A:$A,patch[[#This Row],[number]],$S:$S, "BJ And dev",$AD:$AD, "&lt;&gt;IntegratorValidationComment"))</f>
        <v/>
      </c>
      <c r="AA1713" s="7" t="str">
        <f>IF(ISBLANK(patch[[#This Row],[project]]), "",COUNTIFS($A:$A,patch[[#This Row],[number]],$S:$S, "FL And dev",$AD:$AD, "&lt;&gt;IntegratorValidationComment"))</f>
        <v/>
      </c>
      <c r="AB1713" s="7" t="str">
        <f>IF(ISBLANK(patch[[#This Row],[project]]), "",COUNTIFS($A:$A,patch[[#This Row],[number]],$S:$S, "SH And dev",$AD:$AD, "&lt;&gt;IntegratorValidationComment"))</f>
        <v/>
      </c>
      <c r="AC1713" s="7" t="str">
        <f>IF(OR(ISNUMBER(FIND("Review-1", patch[[#This Row],[comments]])), ISNUMBER(FIND("Approver-1", patch[[#This Row],[comments]]))), "Review-1", "")</f>
        <v/>
      </c>
      <c r="AD17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713" s="7">
        <f>IF(ISBLANK(patch[[#This Row],[number]]),AE1712,patch[[#This Row],[ifCommon]])</f>
        <v>0</v>
      </c>
    </row>
    <row r="1714" spans="1:31">
      <c r="A1714" s="151">
        <v>144165</v>
      </c>
      <c r="B1714" s="151" t="s">
        <v>2490</v>
      </c>
      <c r="C1714" s="151" t="s">
        <v>2491</v>
      </c>
      <c r="D1714" s="151" t="s">
        <v>3330</v>
      </c>
      <c r="E1714" s="151" t="s">
        <v>32</v>
      </c>
      <c r="F1714" s="151" t="s">
        <v>23</v>
      </c>
      <c r="G1714" s="151" t="s">
        <v>3331</v>
      </c>
      <c r="H1714" s="151" t="s">
        <v>3332</v>
      </c>
      <c r="I1714" s="152">
        <v>42621.992789351847</v>
      </c>
      <c r="J1714" s="152">
        <v>42627.659537037027</v>
      </c>
      <c r="K1714" s="151" t="s">
        <v>2445</v>
      </c>
      <c r="L1714" s="151" t="s">
        <v>32</v>
      </c>
      <c r="M1714" s="152">
        <v>42621.992789351847</v>
      </c>
      <c r="N1714" s="151" t="s">
        <v>25</v>
      </c>
      <c r="O1714" s="151"/>
      <c r="P1714" s="151" t="s">
        <v>3279</v>
      </c>
      <c r="Q1714" s="7" t="str">
        <f>IF(ISBLANK(patch[[#This Row],[OwnerEmail]]),Q1713,patch[[#This Row],[OwnerEmail]])</f>
        <v>gang.a.hu@intel.com</v>
      </c>
      <c r="R1714" s="7" t="str">
        <f>_xlfn.IFNA(VLOOKUP(patch[[#This Row],[tmp-owner.email]],OrgTree!$A:$K, 11, 0), "not ICG SWFW")</f>
        <v>BJ And dev</v>
      </c>
      <c r="S1714" s="7" t="str">
        <f>IF(patch[[#This Row],[reviewer]]=patch[[#This Row],[tmp-owner.email]], "author", _xlfn.IFNA(VLOOKUP(patch[[#This Row],[reviewer]],OrgTree!$A:$K, 11, 0), "not ICG SWFW"))</f>
        <v>author</v>
      </c>
      <c r="T1714" s="7" t="str">
        <f>IF(ISBLANK(patch[[#This Row],[mergeDate]]), "", MID(YEAR(patch[[#This Row],[mergeDate]]), 3,2)&amp;"'ww"&amp;WEEKNUM(patch[[#This Row],[mergeDate]]))</f>
        <v>16'ww38</v>
      </c>
      <c r="U1714" s="7" t="str">
        <f>IF(ISBLANK(patch[[#This Row],[mergeDate]]), U1713, MID(YEAR(patch[[#This Row],[mergeDate]]), 3,2)&amp;"'m"&amp;MONTH(patch[[#This Row],[mergeDate]]))</f>
        <v>16'm9</v>
      </c>
      <c r="V1714" s="7">
        <f>IF(ISBLANK(patch[[#This Row],[project]]), "",SUM(patch[[#This Row],[BJ -1 num]:[SH -1 num]]))</f>
        <v>1</v>
      </c>
      <c r="W1714" s="7">
        <f>IF(ISBLANK(patch[[#This Row],[project]]), "",COUNTIFS($A:$A,patch[[#This Row],[number]],$S:$S, "BJ And dev",$AC:$AC, "Review-1"))</f>
        <v>1</v>
      </c>
      <c r="X1714" s="7">
        <f>IF(ISBLANK(patch[[#This Row],[project]]), "",COUNTIFS($A:$A,patch[[#This Row],[number]],$S:$S, "FL And dev",$AC:$AC, "Review-1"))</f>
        <v>0</v>
      </c>
      <c r="Y1714" s="7">
        <f>IF(ISBLANK(patch[[#This Row],[project]]), "",COUNTIFS($A:$A,patch[[#This Row],[number]],$S:$S, "SH And dev",$AC:$AC, "Review-1"))</f>
        <v>0</v>
      </c>
      <c r="Z1714" s="7">
        <f>IF(ISBLANK(patch[[#This Row],[project]]), "",COUNTIFS($A:$A,patch[[#This Row],[number]],$S:$S, "BJ And dev",$AD:$AD, "&lt;&gt;IntegratorValidationComment"))</f>
        <v>14</v>
      </c>
      <c r="AA1714" s="7">
        <f>IF(ISBLANK(patch[[#This Row],[project]]), "",COUNTIFS($A:$A,patch[[#This Row],[number]],$S:$S, "FL And dev",$AD:$AD, "&lt;&gt;IntegratorValidationComment"))</f>
        <v>0</v>
      </c>
      <c r="AB1714" s="7">
        <f>IF(ISBLANK(patch[[#This Row],[project]]), "",COUNTIFS($A:$A,patch[[#This Row],[number]],$S:$S, "SH And dev",$AD:$AD, "&lt;&gt;IntegratorValidationComment"))</f>
        <v>0</v>
      </c>
      <c r="AC1714" s="7" t="str">
        <f>IF(OR(ISNUMBER(FIND("Review-1", patch[[#This Row],[comments]])), ISNUMBER(FIND("Approver-1", patch[[#This Row],[comments]]))), "Review-1", "")</f>
        <v/>
      </c>
      <c r="AD17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14" s="7" t="str">
        <f>IF(ISBLANK(patch[[#This Row],[number]]),AE1713,patch[[#This Row],[ifCommon]])</f>
        <v>not AndrHAL</v>
      </c>
    </row>
    <row r="1715" spans="1:31">
      <c r="A1715" s="151">
        <v>144165</v>
      </c>
      <c r="B1715" s="151"/>
      <c r="C1715" s="151"/>
      <c r="D1715" s="151"/>
      <c r="E1715" s="151"/>
      <c r="F1715" s="151"/>
      <c r="G1715" s="151"/>
      <c r="H1715" s="151"/>
      <c r="I1715" s="151"/>
      <c r="J1715" s="152">
        <v>42627.659537037027</v>
      </c>
      <c r="K1715" s="151"/>
      <c r="L1715" s="151" t="s">
        <v>32</v>
      </c>
      <c r="M1715" s="152">
        <v>42621.992835648147</v>
      </c>
      <c r="N1715" s="151" t="s">
        <v>2428</v>
      </c>
      <c r="O1715" s="151"/>
      <c r="P1715" s="151"/>
      <c r="Q1715" s="7" t="str">
        <f>IF(ISBLANK(patch[[#This Row],[OwnerEmail]]),Q1714,patch[[#This Row],[OwnerEmail]])</f>
        <v>gang.a.hu@intel.com</v>
      </c>
      <c r="R1715" s="7" t="str">
        <f>_xlfn.IFNA(VLOOKUP(patch[[#This Row],[tmp-owner.email]],OrgTree!$A:$K, 11, 0), "not ICG SWFW")</f>
        <v>BJ And dev</v>
      </c>
      <c r="S1715" s="7" t="str">
        <f>IF(patch[[#This Row],[reviewer]]=patch[[#This Row],[tmp-owner.email]], "author", _xlfn.IFNA(VLOOKUP(patch[[#This Row],[reviewer]],OrgTree!$A:$K, 11, 0), "not ICG SWFW"))</f>
        <v>author</v>
      </c>
      <c r="T1715" s="7" t="str">
        <f>IF(ISBLANK(patch[[#This Row],[mergeDate]]), "", MID(YEAR(patch[[#This Row],[mergeDate]]), 3,2)&amp;"'ww"&amp;WEEKNUM(patch[[#This Row],[mergeDate]]))</f>
        <v>16'ww38</v>
      </c>
      <c r="U1715" s="7" t="str">
        <f>IF(ISBLANK(patch[[#This Row],[mergeDate]]), U1714, MID(YEAR(patch[[#This Row],[mergeDate]]), 3,2)&amp;"'m"&amp;MONTH(patch[[#This Row],[mergeDate]]))</f>
        <v>16'm9</v>
      </c>
      <c r="V1715" s="7" t="str">
        <f>IF(ISBLANK(patch[[#This Row],[project]]), "",SUM(patch[[#This Row],[BJ -1 num]:[SH -1 num]]))</f>
        <v/>
      </c>
      <c r="W1715" s="7" t="str">
        <f>IF(ISBLANK(patch[[#This Row],[project]]), "",COUNTIFS($A:$A,patch[[#This Row],[number]],$S:$S, "BJ And dev",$AC:$AC, "Review-1"))</f>
        <v/>
      </c>
      <c r="X1715" s="7" t="str">
        <f>IF(ISBLANK(patch[[#This Row],[project]]), "",COUNTIFS($A:$A,patch[[#This Row],[number]],$S:$S, "FL And dev",$AC:$AC, "Review-1"))</f>
        <v/>
      </c>
      <c r="Y1715" s="7" t="str">
        <f>IF(ISBLANK(patch[[#This Row],[project]]), "",COUNTIFS($A:$A,patch[[#This Row],[number]],$S:$S, "SH And dev",$AC:$AC, "Review-1"))</f>
        <v/>
      </c>
      <c r="Z1715" s="7" t="str">
        <f>IF(ISBLANK(patch[[#This Row],[project]]), "",COUNTIFS($A:$A,patch[[#This Row],[number]],$S:$S, "BJ And dev",$AD:$AD, "&lt;&gt;IntegratorValidationComment"))</f>
        <v/>
      </c>
      <c r="AA1715" s="7" t="str">
        <f>IF(ISBLANK(patch[[#This Row],[project]]), "",COUNTIFS($A:$A,patch[[#This Row],[number]],$S:$S, "FL And dev",$AD:$AD, "&lt;&gt;IntegratorValidationComment"))</f>
        <v/>
      </c>
      <c r="AB1715" s="7" t="str">
        <f>IF(ISBLANK(patch[[#This Row],[project]]), "",COUNTIFS($A:$A,patch[[#This Row],[number]],$S:$S, "SH And dev",$AD:$AD, "&lt;&gt;IntegratorValidationComment"))</f>
        <v/>
      </c>
      <c r="AC1715" s="7" t="str">
        <f>IF(OR(ISNUMBER(FIND("Review-1", patch[[#This Row],[comments]])), ISNUMBER(FIND("Approver-1", patch[[#This Row],[comments]]))), "Review-1", "")</f>
        <v/>
      </c>
      <c r="AD17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15" s="7">
        <f>IF(ISBLANK(patch[[#This Row],[number]]),AE1714,patch[[#This Row],[ifCommon]])</f>
        <v>0</v>
      </c>
    </row>
    <row r="1716" spans="1:31">
      <c r="A1716" s="151">
        <v>144165</v>
      </c>
      <c r="B1716" s="151"/>
      <c r="C1716" s="151"/>
      <c r="D1716" s="151"/>
      <c r="E1716" s="151"/>
      <c r="F1716" s="151"/>
      <c r="G1716" s="151"/>
      <c r="H1716" s="151"/>
      <c r="I1716" s="151"/>
      <c r="J1716" s="152">
        <v>42627.659537037027</v>
      </c>
      <c r="K1716" s="151"/>
      <c r="L1716" s="151" t="s">
        <v>32</v>
      </c>
      <c r="M1716" s="152">
        <v>42622.001087962963</v>
      </c>
      <c r="N1716" s="151" t="s">
        <v>40</v>
      </c>
      <c r="O1716" s="151"/>
      <c r="P1716" s="151"/>
      <c r="Q1716" s="7" t="str">
        <f>IF(ISBLANK(patch[[#This Row],[OwnerEmail]]),Q1715,patch[[#This Row],[OwnerEmail]])</f>
        <v>gang.a.hu@intel.com</v>
      </c>
      <c r="R1716" s="7" t="str">
        <f>_xlfn.IFNA(VLOOKUP(patch[[#This Row],[tmp-owner.email]],OrgTree!$A:$K, 11, 0), "not ICG SWFW")</f>
        <v>BJ And dev</v>
      </c>
      <c r="S1716" s="7" t="str">
        <f>IF(patch[[#This Row],[reviewer]]=patch[[#This Row],[tmp-owner.email]], "author", _xlfn.IFNA(VLOOKUP(patch[[#This Row],[reviewer]],OrgTree!$A:$K, 11, 0), "not ICG SWFW"))</f>
        <v>author</v>
      </c>
      <c r="T1716" s="7" t="str">
        <f>IF(ISBLANK(patch[[#This Row],[mergeDate]]), "", MID(YEAR(patch[[#This Row],[mergeDate]]), 3,2)&amp;"'ww"&amp;WEEKNUM(patch[[#This Row],[mergeDate]]))</f>
        <v>16'ww38</v>
      </c>
      <c r="U1716" s="7" t="str">
        <f>IF(ISBLANK(patch[[#This Row],[mergeDate]]), U1715, MID(YEAR(patch[[#This Row],[mergeDate]]), 3,2)&amp;"'m"&amp;MONTH(patch[[#This Row],[mergeDate]]))</f>
        <v>16'm9</v>
      </c>
      <c r="V1716" s="7" t="str">
        <f>IF(ISBLANK(patch[[#This Row],[project]]), "",SUM(patch[[#This Row],[BJ -1 num]:[SH -1 num]]))</f>
        <v/>
      </c>
      <c r="W1716" s="7" t="str">
        <f>IF(ISBLANK(patch[[#This Row],[project]]), "",COUNTIFS($A:$A,patch[[#This Row],[number]],$S:$S, "BJ And dev",$AC:$AC, "Review-1"))</f>
        <v/>
      </c>
      <c r="X1716" s="7" t="str">
        <f>IF(ISBLANK(patch[[#This Row],[project]]), "",COUNTIFS($A:$A,patch[[#This Row],[number]],$S:$S, "FL And dev",$AC:$AC, "Review-1"))</f>
        <v/>
      </c>
      <c r="Y1716" s="7" t="str">
        <f>IF(ISBLANK(patch[[#This Row],[project]]), "",COUNTIFS($A:$A,patch[[#This Row],[number]],$S:$S, "SH And dev",$AC:$AC, "Review-1"))</f>
        <v/>
      </c>
      <c r="Z1716" s="7" t="str">
        <f>IF(ISBLANK(patch[[#This Row],[project]]), "",COUNTIFS($A:$A,patch[[#This Row],[number]],$S:$S, "BJ And dev",$AD:$AD, "&lt;&gt;IntegratorValidationComment"))</f>
        <v/>
      </c>
      <c r="AA1716" s="7" t="str">
        <f>IF(ISBLANK(patch[[#This Row],[project]]), "",COUNTIFS($A:$A,patch[[#This Row],[number]],$S:$S, "FL And dev",$AD:$AD, "&lt;&gt;IntegratorValidationComment"))</f>
        <v/>
      </c>
      <c r="AB1716" s="7" t="str">
        <f>IF(ISBLANK(patch[[#This Row],[project]]), "",COUNTIFS($A:$A,patch[[#This Row],[number]],$S:$S, "SH And dev",$AD:$AD, "&lt;&gt;IntegratorValidationComment"))</f>
        <v/>
      </c>
      <c r="AC1716" s="7" t="str">
        <f>IF(OR(ISNUMBER(FIND("Review-1", patch[[#This Row],[comments]])), ISNUMBER(FIND("Approver-1", patch[[#This Row],[comments]]))), "Review-1", "")</f>
        <v/>
      </c>
      <c r="AD17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16" s="7">
        <f>IF(ISBLANK(patch[[#This Row],[number]]),AE1715,patch[[#This Row],[ifCommon]])</f>
        <v>0</v>
      </c>
    </row>
    <row r="1717" spans="1:31">
      <c r="A1717" s="151">
        <v>144165</v>
      </c>
      <c r="B1717" s="151"/>
      <c r="C1717" s="151"/>
      <c r="D1717" s="151"/>
      <c r="E1717" s="151"/>
      <c r="F1717" s="151"/>
      <c r="G1717" s="151"/>
      <c r="H1717" s="151"/>
      <c r="I1717" s="151"/>
      <c r="J1717" s="152">
        <v>42627.659537037027</v>
      </c>
      <c r="K1717" s="151"/>
      <c r="L1717" s="151" t="s">
        <v>59</v>
      </c>
      <c r="M1717" s="152">
        <v>42622.377418981479</v>
      </c>
      <c r="N1717" s="151" t="s">
        <v>3433</v>
      </c>
      <c r="O1717" s="151"/>
      <c r="P1717" s="151"/>
      <c r="Q1717" s="7" t="str">
        <f>IF(ISBLANK(patch[[#This Row],[OwnerEmail]]),Q1716,patch[[#This Row],[OwnerEmail]])</f>
        <v>gang.a.hu@intel.com</v>
      </c>
      <c r="R1717" s="7" t="str">
        <f>_xlfn.IFNA(VLOOKUP(patch[[#This Row],[tmp-owner.email]],OrgTree!$A:$K, 11, 0), "not ICG SWFW")</f>
        <v>BJ And dev</v>
      </c>
      <c r="S1717" s="7" t="str">
        <f>IF(patch[[#This Row],[reviewer]]=patch[[#This Row],[tmp-owner.email]], "author", _xlfn.IFNA(VLOOKUP(patch[[#This Row],[reviewer]],OrgTree!$A:$K, 11, 0), "not ICG SWFW"))</f>
        <v>BJ And dev</v>
      </c>
      <c r="T1717" s="7" t="str">
        <f>IF(ISBLANK(patch[[#This Row],[mergeDate]]), "", MID(YEAR(patch[[#This Row],[mergeDate]]), 3,2)&amp;"'ww"&amp;WEEKNUM(patch[[#This Row],[mergeDate]]))</f>
        <v>16'ww38</v>
      </c>
      <c r="U1717" s="7" t="str">
        <f>IF(ISBLANK(patch[[#This Row],[mergeDate]]), U1716, MID(YEAR(patch[[#This Row],[mergeDate]]), 3,2)&amp;"'m"&amp;MONTH(patch[[#This Row],[mergeDate]]))</f>
        <v>16'm9</v>
      </c>
      <c r="V1717" s="7" t="str">
        <f>IF(ISBLANK(patch[[#This Row],[project]]), "",SUM(patch[[#This Row],[BJ -1 num]:[SH -1 num]]))</f>
        <v/>
      </c>
      <c r="W1717" s="7" t="str">
        <f>IF(ISBLANK(patch[[#This Row],[project]]), "",COUNTIFS($A:$A,patch[[#This Row],[number]],$S:$S, "BJ And dev",$AC:$AC, "Review-1"))</f>
        <v/>
      </c>
      <c r="X1717" s="7" t="str">
        <f>IF(ISBLANK(patch[[#This Row],[project]]), "",COUNTIFS($A:$A,patch[[#This Row],[number]],$S:$S, "FL And dev",$AC:$AC, "Review-1"))</f>
        <v/>
      </c>
      <c r="Y1717" s="7" t="str">
        <f>IF(ISBLANK(patch[[#This Row],[project]]), "",COUNTIFS($A:$A,patch[[#This Row],[number]],$S:$S, "SH And dev",$AC:$AC, "Review-1"))</f>
        <v/>
      </c>
      <c r="Z1717" s="7" t="str">
        <f>IF(ISBLANK(patch[[#This Row],[project]]), "",COUNTIFS($A:$A,patch[[#This Row],[number]],$S:$S, "BJ And dev",$AD:$AD, "&lt;&gt;IntegratorValidationComment"))</f>
        <v/>
      </c>
      <c r="AA1717" s="7" t="str">
        <f>IF(ISBLANK(patch[[#This Row],[project]]), "",COUNTIFS($A:$A,patch[[#This Row],[number]],$S:$S, "FL And dev",$AD:$AD, "&lt;&gt;IntegratorValidationComment"))</f>
        <v/>
      </c>
      <c r="AB1717" s="7" t="str">
        <f>IF(ISBLANK(patch[[#This Row],[project]]), "",COUNTIFS($A:$A,patch[[#This Row],[number]],$S:$S, "SH And dev",$AD:$AD, "&lt;&gt;IntegratorValidationComment"))</f>
        <v/>
      </c>
      <c r="AC1717" s="7" t="str">
        <f>IF(OR(ISNUMBER(FIND("Review-1", patch[[#This Row],[comments]])), ISNUMBER(FIND("Approver-1", patch[[#This Row],[comments]]))), "Review-1", "")</f>
        <v/>
      </c>
      <c r="AD17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17" s="7">
        <f>IF(ISBLANK(patch[[#This Row],[number]]),AE1716,patch[[#This Row],[ifCommon]])</f>
        <v>0</v>
      </c>
    </row>
    <row r="1718" spans="1:31">
      <c r="A1718" s="151">
        <v>144165</v>
      </c>
      <c r="B1718" s="151"/>
      <c r="C1718" s="151"/>
      <c r="D1718" s="151"/>
      <c r="E1718" s="151"/>
      <c r="F1718" s="151"/>
      <c r="G1718" s="151"/>
      <c r="H1718" s="151"/>
      <c r="I1718" s="151"/>
      <c r="J1718" s="152">
        <v>42627.659537037027</v>
      </c>
      <c r="K1718" s="151"/>
      <c r="L1718" s="151" t="s">
        <v>59</v>
      </c>
      <c r="M1718" s="152">
        <v>42622.381840277783</v>
      </c>
      <c r="N1718" s="151" t="s">
        <v>3434</v>
      </c>
      <c r="O1718" s="151"/>
      <c r="P1718" s="151"/>
      <c r="Q1718" s="7" t="str">
        <f>IF(ISBLANK(patch[[#This Row],[OwnerEmail]]),Q1717,patch[[#This Row],[OwnerEmail]])</f>
        <v>gang.a.hu@intel.com</v>
      </c>
      <c r="R1718" s="7" t="str">
        <f>_xlfn.IFNA(VLOOKUP(patch[[#This Row],[tmp-owner.email]],OrgTree!$A:$K, 11, 0), "not ICG SWFW")</f>
        <v>BJ And dev</v>
      </c>
      <c r="S1718" s="7" t="str">
        <f>IF(patch[[#This Row],[reviewer]]=patch[[#This Row],[tmp-owner.email]], "author", _xlfn.IFNA(VLOOKUP(patch[[#This Row],[reviewer]],OrgTree!$A:$K, 11, 0), "not ICG SWFW"))</f>
        <v>BJ And dev</v>
      </c>
      <c r="T1718" s="7" t="str">
        <f>IF(ISBLANK(patch[[#This Row],[mergeDate]]), "", MID(YEAR(patch[[#This Row],[mergeDate]]), 3,2)&amp;"'ww"&amp;WEEKNUM(patch[[#This Row],[mergeDate]]))</f>
        <v>16'ww38</v>
      </c>
      <c r="U1718" s="7" t="str">
        <f>IF(ISBLANK(patch[[#This Row],[mergeDate]]), U1717, MID(YEAR(patch[[#This Row],[mergeDate]]), 3,2)&amp;"'m"&amp;MONTH(patch[[#This Row],[mergeDate]]))</f>
        <v>16'm9</v>
      </c>
      <c r="V1718" s="7" t="str">
        <f>IF(ISBLANK(patch[[#This Row],[project]]), "",SUM(patch[[#This Row],[BJ -1 num]:[SH -1 num]]))</f>
        <v/>
      </c>
      <c r="W1718" s="7" t="str">
        <f>IF(ISBLANK(patch[[#This Row],[project]]), "",COUNTIFS($A:$A,patch[[#This Row],[number]],$S:$S, "BJ And dev",$AC:$AC, "Review-1"))</f>
        <v/>
      </c>
      <c r="X1718" s="7" t="str">
        <f>IF(ISBLANK(patch[[#This Row],[project]]), "",COUNTIFS($A:$A,patch[[#This Row],[number]],$S:$S, "FL And dev",$AC:$AC, "Review-1"))</f>
        <v/>
      </c>
      <c r="Y1718" s="7" t="str">
        <f>IF(ISBLANK(patch[[#This Row],[project]]), "",COUNTIFS($A:$A,patch[[#This Row],[number]],$S:$S, "SH And dev",$AC:$AC, "Review-1"))</f>
        <v/>
      </c>
      <c r="Z1718" s="7" t="str">
        <f>IF(ISBLANK(patch[[#This Row],[project]]), "",COUNTIFS($A:$A,patch[[#This Row],[number]],$S:$S, "BJ And dev",$AD:$AD, "&lt;&gt;IntegratorValidationComment"))</f>
        <v/>
      </c>
      <c r="AA1718" s="7" t="str">
        <f>IF(ISBLANK(patch[[#This Row],[project]]), "",COUNTIFS($A:$A,patch[[#This Row],[number]],$S:$S, "FL And dev",$AD:$AD, "&lt;&gt;IntegratorValidationComment"))</f>
        <v/>
      </c>
      <c r="AB1718" s="7" t="str">
        <f>IF(ISBLANK(patch[[#This Row],[project]]), "",COUNTIFS($A:$A,patch[[#This Row],[number]],$S:$S, "SH And dev",$AD:$AD, "&lt;&gt;IntegratorValidationComment"))</f>
        <v/>
      </c>
      <c r="AC1718" s="7" t="str">
        <f>IF(OR(ISNUMBER(FIND("Review-1", patch[[#This Row],[comments]])), ISNUMBER(FIND("Approver-1", patch[[#This Row],[comments]]))), "Review-1", "")</f>
        <v/>
      </c>
      <c r="AD17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18" s="7">
        <f>IF(ISBLANK(patch[[#This Row],[number]]),AE1717,patch[[#This Row],[ifCommon]])</f>
        <v>0</v>
      </c>
    </row>
    <row r="1719" spans="1:31">
      <c r="A1719" s="151">
        <v>144165</v>
      </c>
      <c r="B1719" s="151"/>
      <c r="C1719" s="151"/>
      <c r="D1719" s="151"/>
      <c r="E1719" s="151"/>
      <c r="F1719" s="151"/>
      <c r="G1719" s="151"/>
      <c r="H1719" s="151"/>
      <c r="I1719" s="151"/>
      <c r="J1719" s="152">
        <v>42627.659537037027</v>
      </c>
      <c r="K1719" s="151"/>
      <c r="L1719" s="151" t="s">
        <v>55</v>
      </c>
      <c r="M1719" s="152">
        <v>42622.449386574073</v>
      </c>
      <c r="N1719" s="151" t="s">
        <v>40</v>
      </c>
      <c r="O1719" s="151"/>
      <c r="P1719" s="151"/>
      <c r="Q1719" s="7" t="str">
        <f>IF(ISBLANK(patch[[#This Row],[OwnerEmail]]),Q1718,patch[[#This Row],[OwnerEmail]])</f>
        <v>gang.a.hu@intel.com</v>
      </c>
      <c r="R1719" s="7" t="str">
        <f>_xlfn.IFNA(VLOOKUP(patch[[#This Row],[tmp-owner.email]],OrgTree!$A:$K, 11, 0), "not ICG SWFW")</f>
        <v>BJ And dev</v>
      </c>
      <c r="S1719" s="7" t="str">
        <f>IF(patch[[#This Row],[reviewer]]=patch[[#This Row],[tmp-owner.email]], "author", _xlfn.IFNA(VLOOKUP(patch[[#This Row],[reviewer]],OrgTree!$A:$K, 11, 0), "not ICG SWFW"))</f>
        <v>BJ And dev</v>
      </c>
      <c r="T1719" s="7" t="str">
        <f>IF(ISBLANK(patch[[#This Row],[mergeDate]]), "", MID(YEAR(patch[[#This Row],[mergeDate]]), 3,2)&amp;"'ww"&amp;WEEKNUM(patch[[#This Row],[mergeDate]]))</f>
        <v>16'ww38</v>
      </c>
      <c r="U1719" s="7" t="str">
        <f>IF(ISBLANK(patch[[#This Row],[mergeDate]]), U1718, MID(YEAR(patch[[#This Row],[mergeDate]]), 3,2)&amp;"'m"&amp;MONTH(patch[[#This Row],[mergeDate]]))</f>
        <v>16'm9</v>
      </c>
      <c r="V1719" s="7" t="str">
        <f>IF(ISBLANK(patch[[#This Row],[project]]), "",SUM(patch[[#This Row],[BJ -1 num]:[SH -1 num]]))</f>
        <v/>
      </c>
      <c r="W1719" s="7" t="str">
        <f>IF(ISBLANK(patch[[#This Row],[project]]), "",COUNTIFS($A:$A,patch[[#This Row],[number]],$S:$S, "BJ And dev",$AC:$AC, "Review-1"))</f>
        <v/>
      </c>
      <c r="X1719" s="7" t="str">
        <f>IF(ISBLANK(patch[[#This Row],[project]]), "",COUNTIFS($A:$A,patch[[#This Row],[number]],$S:$S, "FL And dev",$AC:$AC, "Review-1"))</f>
        <v/>
      </c>
      <c r="Y1719" s="7" t="str">
        <f>IF(ISBLANK(patch[[#This Row],[project]]), "",COUNTIFS($A:$A,patch[[#This Row],[number]],$S:$S, "SH And dev",$AC:$AC, "Review-1"))</f>
        <v/>
      </c>
      <c r="Z1719" s="7" t="str">
        <f>IF(ISBLANK(patch[[#This Row],[project]]), "",COUNTIFS($A:$A,patch[[#This Row],[number]],$S:$S, "BJ And dev",$AD:$AD, "&lt;&gt;IntegratorValidationComment"))</f>
        <v/>
      </c>
      <c r="AA1719" s="7" t="str">
        <f>IF(ISBLANK(patch[[#This Row],[project]]), "",COUNTIFS($A:$A,patch[[#This Row],[number]],$S:$S, "FL And dev",$AD:$AD, "&lt;&gt;IntegratorValidationComment"))</f>
        <v/>
      </c>
      <c r="AB1719" s="7" t="str">
        <f>IF(ISBLANK(patch[[#This Row],[project]]), "",COUNTIFS($A:$A,patch[[#This Row],[number]],$S:$S, "SH And dev",$AD:$AD, "&lt;&gt;IntegratorValidationComment"))</f>
        <v/>
      </c>
      <c r="AC1719" s="7" t="str">
        <f>IF(OR(ISNUMBER(FIND("Review-1", patch[[#This Row],[comments]])), ISNUMBER(FIND("Approver-1", patch[[#This Row],[comments]]))), "Review-1", "")</f>
        <v/>
      </c>
      <c r="AD17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19" s="7">
        <f>IF(ISBLANK(patch[[#This Row],[number]]),AE1718,patch[[#This Row],[ifCommon]])</f>
        <v>0</v>
      </c>
    </row>
    <row r="1720" spans="1:31">
      <c r="A1720" s="151">
        <v>144165</v>
      </c>
      <c r="B1720" s="151"/>
      <c r="C1720" s="151"/>
      <c r="D1720" s="151"/>
      <c r="E1720" s="151"/>
      <c r="F1720" s="151"/>
      <c r="G1720" s="151"/>
      <c r="H1720" s="151"/>
      <c r="I1720" s="151"/>
      <c r="J1720" s="152">
        <v>42627.659537037027</v>
      </c>
      <c r="K1720" s="151"/>
      <c r="L1720" s="151" t="s">
        <v>59</v>
      </c>
      <c r="M1720" s="152">
        <v>42622.450868055559</v>
      </c>
      <c r="N1720" s="151" t="s">
        <v>40</v>
      </c>
      <c r="O1720" s="151"/>
      <c r="P1720" s="151"/>
      <c r="Q1720" s="7" t="str">
        <f>IF(ISBLANK(patch[[#This Row],[OwnerEmail]]),Q1719,patch[[#This Row],[OwnerEmail]])</f>
        <v>gang.a.hu@intel.com</v>
      </c>
      <c r="R1720" s="7" t="str">
        <f>_xlfn.IFNA(VLOOKUP(patch[[#This Row],[tmp-owner.email]],OrgTree!$A:$K, 11, 0), "not ICG SWFW")</f>
        <v>BJ And dev</v>
      </c>
      <c r="S1720" s="7" t="str">
        <f>IF(patch[[#This Row],[reviewer]]=patch[[#This Row],[tmp-owner.email]], "author", _xlfn.IFNA(VLOOKUP(patch[[#This Row],[reviewer]],OrgTree!$A:$K, 11, 0), "not ICG SWFW"))</f>
        <v>BJ And dev</v>
      </c>
      <c r="T1720" s="7" t="str">
        <f>IF(ISBLANK(patch[[#This Row],[mergeDate]]), "", MID(YEAR(patch[[#This Row],[mergeDate]]), 3,2)&amp;"'ww"&amp;WEEKNUM(patch[[#This Row],[mergeDate]]))</f>
        <v>16'ww38</v>
      </c>
      <c r="U1720" s="7" t="str">
        <f>IF(ISBLANK(patch[[#This Row],[mergeDate]]), U1719, MID(YEAR(patch[[#This Row],[mergeDate]]), 3,2)&amp;"'m"&amp;MONTH(patch[[#This Row],[mergeDate]]))</f>
        <v>16'm9</v>
      </c>
      <c r="V1720" s="7" t="str">
        <f>IF(ISBLANK(patch[[#This Row],[project]]), "",SUM(patch[[#This Row],[BJ -1 num]:[SH -1 num]]))</f>
        <v/>
      </c>
      <c r="W1720" s="7" t="str">
        <f>IF(ISBLANK(patch[[#This Row],[project]]), "",COUNTIFS($A:$A,patch[[#This Row],[number]],$S:$S, "BJ And dev",$AC:$AC, "Review-1"))</f>
        <v/>
      </c>
      <c r="X1720" s="7" t="str">
        <f>IF(ISBLANK(patch[[#This Row],[project]]), "",COUNTIFS($A:$A,patch[[#This Row],[number]],$S:$S, "FL And dev",$AC:$AC, "Review-1"))</f>
        <v/>
      </c>
      <c r="Y1720" s="7" t="str">
        <f>IF(ISBLANK(patch[[#This Row],[project]]), "",COUNTIFS($A:$A,patch[[#This Row],[number]],$S:$S, "SH And dev",$AC:$AC, "Review-1"))</f>
        <v/>
      </c>
      <c r="Z1720" s="7" t="str">
        <f>IF(ISBLANK(patch[[#This Row],[project]]), "",COUNTIFS($A:$A,patch[[#This Row],[number]],$S:$S, "BJ And dev",$AD:$AD, "&lt;&gt;IntegratorValidationComment"))</f>
        <v/>
      </c>
      <c r="AA1720" s="7" t="str">
        <f>IF(ISBLANK(patch[[#This Row],[project]]), "",COUNTIFS($A:$A,patch[[#This Row],[number]],$S:$S, "FL And dev",$AD:$AD, "&lt;&gt;IntegratorValidationComment"))</f>
        <v/>
      </c>
      <c r="AB1720" s="7" t="str">
        <f>IF(ISBLANK(patch[[#This Row],[project]]), "",COUNTIFS($A:$A,patch[[#This Row],[number]],$S:$S, "SH And dev",$AD:$AD, "&lt;&gt;IntegratorValidationComment"))</f>
        <v/>
      </c>
      <c r="AC1720" s="7" t="str">
        <f>IF(OR(ISNUMBER(FIND("Review-1", patch[[#This Row],[comments]])), ISNUMBER(FIND("Approver-1", patch[[#This Row],[comments]]))), "Review-1", "")</f>
        <v/>
      </c>
      <c r="AD17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20" s="7">
        <f>IF(ISBLANK(patch[[#This Row],[number]]),AE1719,patch[[#This Row],[ifCommon]])</f>
        <v>0</v>
      </c>
    </row>
    <row r="1721" spans="1:31">
      <c r="A1721" s="151">
        <v>144165</v>
      </c>
      <c r="B1721" s="151"/>
      <c r="C1721" s="151"/>
      <c r="D1721" s="151"/>
      <c r="E1721" s="151"/>
      <c r="F1721" s="151"/>
      <c r="G1721" s="151"/>
      <c r="H1721" s="151"/>
      <c r="I1721" s="151"/>
      <c r="J1721" s="152">
        <v>42627.659537037027</v>
      </c>
      <c r="K1721" s="151"/>
      <c r="L1721" s="151" t="s">
        <v>59</v>
      </c>
      <c r="M1721" s="152">
        <v>42622.452453703707</v>
      </c>
      <c r="N1721" s="151" t="s">
        <v>3435</v>
      </c>
      <c r="O1721" s="151"/>
      <c r="P1721" s="151"/>
      <c r="Q1721" s="7" t="str">
        <f>IF(ISBLANK(patch[[#This Row],[OwnerEmail]]),Q1720,patch[[#This Row],[OwnerEmail]])</f>
        <v>gang.a.hu@intel.com</v>
      </c>
      <c r="R1721" s="7" t="str">
        <f>_xlfn.IFNA(VLOOKUP(patch[[#This Row],[tmp-owner.email]],OrgTree!$A:$K, 11, 0), "not ICG SWFW")</f>
        <v>BJ And dev</v>
      </c>
      <c r="S1721" s="7" t="str">
        <f>IF(patch[[#This Row],[reviewer]]=patch[[#This Row],[tmp-owner.email]], "author", _xlfn.IFNA(VLOOKUP(patch[[#This Row],[reviewer]],OrgTree!$A:$K, 11, 0), "not ICG SWFW"))</f>
        <v>BJ And dev</v>
      </c>
      <c r="T1721" s="7" t="str">
        <f>IF(ISBLANK(patch[[#This Row],[mergeDate]]), "", MID(YEAR(patch[[#This Row],[mergeDate]]), 3,2)&amp;"'ww"&amp;WEEKNUM(patch[[#This Row],[mergeDate]]))</f>
        <v>16'ww38</v>
      </c>
      <c r="U1721" s="7" t="str">
        <f>IF(ISBLANK(patch[[#This Row],[mergeDate]]), U1720, MID(YEAR(patch[[#This Row],[mergeDate]]), 3,2)&amp;"'m"&amp;MONTH(patch[[#This Row],[mergeDate]]))</f>
        <v>16'm9</v>
      </c>
      <c r="V1721" s="7" t="str">
        <f>IF(ISBLANK(patch[[#This Row],[project]]), "",SUM(patch[[#This Row],[BJ -1 num]:[SH -1 num]]))</f>
        <v/>
      </c>
      <c r="W1721" s="7" t="str">
        <f>IF(ISBLANK(patch[[#This Row],[project]]), "",COUNTIFS($A:$A,patch[[#This Row],[number]],$S:$S, "BJ And dev",$AC:$AC, "Review-1"))</f>
        <v/>
      </c>
      <c r="X1721" s="7" t="str">
        <f>IF(ISBLANK(patch[[#This Row],[project]]), "",COUNTIFS($A:$A,patch[[#This Row],[number]],$S:$S, "FL And dev",$AC:$AC, "Review-1"))</f>
        <v/>
      </c>
      <c r="Y1721" s="7" t="str">
        <f>IF(ISBLANK(patch[[#This Row],[project]]), "",COUNTIFS($A:$A,patch[[#This Row],[number]],$S:$S, "SH And dev",$AC:$AC, "Review-1"))</f>
        <v/>
      </c>
      <c r="Z1721" s="7" t="str">
        <f>IF(ISBLANK(patch[[#This Row],[project]]), "",COUNTIFS($A:$A,patch[[#This Row],[number]],$S:$S, "BJ And dev",$AD:$AD, "&lt;&gt;IntegratorValidationComment"))</f>
        <v/>
      </c>
      <c r="AA1721" s="7" t="str">
        <f>IF(ISBLANK(patch[[#This Row],[project]]), "",COUNTIFS($A:$A,patch[[#This Row],[number]],$S:$S, "FL And dev",$AD:$AD, "&lt;&gt;IntegratorValidationComment"))</f>
        <v/>
      </c>
      <c r="AB1721" s="7" t="str">
        <f>IF(ISBLANK(patch[[#This Row],[project]]), "",COUNTIFS($A:$A,patch[[#This Row],[number]],$S:$S, "SH And dev",$AD:$AD, "&lt;&gt;IntegratorValidationComment"))</f>
        <v/>
      </c>
      <c r="AC1721" s="7" t="str">
        <f>IF(OR(ISNUMBER(FIND("Review-1", patch[[#This Row],[comments]])), ISNUMBER(FIND("Approver-1", patch[[#This Row],[comments]]))), "Review-1", "")</f>
        <v/>
      </c>
      <c r="AD17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21" s="7">
        <f>IF(ISBLANK(patch[[#This Row],[number]]),AE1720,patch[[#This Row],[ifCommon]])</f>
        <v>0</v>
      </c>
    </row>
    <row r="1722" spans="1:31">
      <c r="A1722" s="151">
        <v>144165</v>
      </c>
      <c r="B1722" s="151"/>
      <c r="C1722" s="151"/>
      <c r="D1722" s="151"/>
      <c r="E1722" s="151"/>
      <c r="F1722" s="151"/>
      <c r="G1722" s="151"/>
      <c r="H1722" s="151"/>
      <c r="I1722" s="151"/>
      <c r="J1722" s="152">
        <v>42627.659537037027</v>
      </c>
      <c r="K1722" s="151"/>
      <c r="L1722" s="151" t="s">
        <v>59</v>
      </c>
      <c r="M1722" s="152">
        <v>42622.454398148147</v>
      </c>
      <c r="N1722" s="151" t="s">
        <v>3436</v>
      </c>
      <c r="O1722" s="151"/>
      <c r="P1722" s="151"/>
      <c r="Q1722" s="7" t="str">
        <f>IF(ISBLANK(patch[[#This Row],[OwnerEmail]]),Q1721,patch[[#This Row],[OwnerEmail]])</f>
        <v>gang.a.hu@intel.com</v>
      </c>
      <c r="R1722" s="7" t="str">
        <f>_xlfn.IFNA(VLOOKUP(patch[[#This Row],[tmp-owner.email]],OrgTree!$A:$K, 11, 0), "not ICG SWFW")</f>
        <v>BJ And dev</v>
      </c>
      <c r="S1722" s="7" t="str">
        <f>IF(patch[[#This Row],[reviewer]]=patch[[#This Row],[tmp-owner.email]], "author", _xlfn.IFNA(VLOOKUP(patch[[#This Row],[reviewer]],OrgTree!$A:$K, 11, 0), "not ICG SWFW"))</f>
        <v>BJ And dev</v>
      </c>
      <c r="T1722" s="7" t="str">
        <f>IF(ISBLANK(patch[[#This Row],[mergeDate]]), "", MID(YEAR(patch[[#This Row],[mergeDate]]), 3,2)&amp;"'ww"&amp;WEEKNUM(patch[[#This Row],[mergeDate]]))</f>
        <v>16'ww38</v>
      </c>
      <c r="U1722" s="7" t="str">
        <f>IF(ISBLANK(patch[[#This Row],[mergeDate]]), U1721, MID(YEAR(patch[[#This Row],[mergeDate]]), 3,2)&amp;"'m"&amp;MONTH(patch[[#This Row],[mergeDate]]))</f>
        <v>16'm9</v>
      </c>
      <c r="V1722" s="7" t="str">
        <f>IF(ISBLANK(patch[[#This Row],[project]]), "",SUM(patch[[#This Row],[BJ -1 num]:[SH -1 num]]))</f>
        <v/>
      </c>
      <c r="W1722" s="7" t="str">
        <f>IF(ISBLANK(patch[[#This Row],[project]]), "",COUNTIFS($A:$A,patch[[#This Row],[number]],$S:$S, "BJ And dev",$AC:$AC, "Review-1"))</f>
        <v/>
      </c>
      <c r="X1722" s="7" t="str">
        <f>IF(ISBLANK(patch[[#This Row],[project]]), "",COUNTIFS($A:$A,patch[[#This Row],[number]],$S:$S, "FL And dev",$AC:$AC, "Review-1"))</f>
        <v/>
      </c>
      <c r="Y1722" s="7" t="str">
        <f>IF(ISBLANK(patch[[#This Row],[project]]), "",COUNTIFS($A:$A,patch[[#This Row],[number]],$S:$S, "SH And dev",$AC:$AC, "Review-1"))</f>
        <v/>
      </c>
      <c r="Z1722" s="7" t="str">
        <f>IF(ISBLANK(patch[[#This Row],[project]]), "",COUNTIFS($A:$A,patch[[#This Row],[number]],$S:$S, "BJ And dev",$AD:$AD, "&lt;&gt;IntegratorValidationComment"))</f>
        <v/>
      </c>
      <c r="AA1722" s="7" t="str">
        <f>IF(ISBLANK(patch[[#This Row],[project]]), "",COUNTIFS($A:$A,patch[[#This Row],[number]],$S:$S, "FL And dev",$AD:$AD, "&lt;&gt;IntegratorValidationComment"))</f>
        <v/>
      </c>
      <c r="AB1722" s="7" t="str">
        <f>IF(ISBLANK(patch[[#This Row],[project]]), "",COUNTIFS($A:$A,patch[[#This Row],[number]],$S:$S, "SH And dev",$AD:$AD, "&lt;&gt;IntegratorValidationComment"))</f>
        <v/>
      </c>
      <c r="AC1722" s="7" t="str">
        <f>IF(OR(ISNUMBER(FIND("Review-1", patch[[#This Row],[comments]])), ISNUMBER(FIND("Approver-1", patch[[#This Row],[comments]]))), "Review-1", "")</f>
        <v>Review-1</v>
      </c>
      <c r="AD17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22" s="7">
        <f>IF(ISBLANK(patch[[#This Row],[number]]),AE1721,patch[[#This Row],[ifCommon]])</f>
        <v>0</v>
      </c>
    </row>
    <row r="1723" spans="1:31">
      <c r="A1723" s="151">
        <v>144165</v>
      </c>
      <c r="B1723" s="151"/>
      <c r="C1723" s="151"/>
      <c r="D1723" s="151"/>
      <c r="E1723" s="151"/>
      <c r="F1723" s="151"/>
      <c r="G1723" s="151"/>
      <c r="H1723" s="151"/>
      <c r="I1723" s="151"/>
      <c r="J1723" s="152">
        <v>42627.659537037027</v>
      </c>
      <c r="K1723" s="151"/>
      <c r="L1723" s="151" t="s">
        <v>32</v>
      </c>
      <c r="M1723" s="152">
        <v>42622.501469907409</v>
      </c>
      <c r="N1723" s="151" t="s">
        <v>2505</v>
      </c>
      <c r="O1723" s="151"/>
      <c r="P1723" s="151"/>
      <c r="Q1723" s="7" t="str">
        <f>IF(ISBLANK(patch[[#This Row],[OwnerEmail]]),Q1722,patch[[#This Row],[OwnerEmail]])</f>
        <v>gang.a.hu@intel.com</v>
      </c>
      <c r="R1723" s="7" t="str">
        <f>_xlfn.IFNA(VLOOKUP(patch[[#This Row],[tmp-owner.email]],OrgTree!$A:$K, 11, 0), "not ICG SWFW")</f>
        <v>BJ And dev</v>
      </c>
      <c r="S1723" s="7" t="str">
        <f>IF(patch[[#This Row],[reviewer]]=patch[[#This Row],[tmp-owner.email]], "author", _xlfn.IFNA(VLOOKUP(patch[[#This Row],[reviewer]],OrgTree!$A:$K, 11, 0), "not ICG SWFW"))</f>
        <v>author</v>
      </c>
      <c r="T1723" s="7" t="str">
        <f>IF(ISBLANK(patch[[#This Row],[mergeDate]]), "", MID(YEAR(patch[[#This Row],[mergeDate]]), 3,2)&amp;"'ww"&amp;WEEKNUM(patch[[#This Row],[mergeDate]]))</f>
        <v>16'ww38</v>
      </c>
      <c r="U1723" s="7" t="str">
        <f>IF(ISBLANK(patch[[#This Row],[mergeDate]]), U1722, MID(YEAR(patch[[#This Row],[mergeDate]]), 3,2)&amp;"'m"&amp;MONTH(patch[[#This Row],[mergeDate]]))</f>
        <v>16'm9</v>
      </c>
      <c r="V1723" s="7" t="str">
        <f>IF(ISBLANK(patch[[#This Row],[project]]), "",SUM(patch[[#This Row],[BJ -1 num]:[SH -1 num]]))</f>
        <v/>
      </c>
      <c r="W1723" s="7" t="str">
        <f>IF(ISBLANK(patch[[#This Row],[project]]), "",COUNTIFS($A:$A,patch[[#This Row],[number]],$S:$S, "BJ And dev",$AC:$AC, "Review-1"))</f>
        <v/>
      </c>
      <c r="X1723" s="7" t="str">
        <f>IF(ISBLANK(patch[[#This Row],[project]]), "",COUNTIFS($A:$A,patch[[#This Row],[number]],$S:$S, "FL And dev",$AC:$AC, "Review-1"))</f>
        <v/>
      </c>
      <c r="Y1723" s="7" t="str">
        <f>IF(ISBLANK(patch[[#This Row],[project]]), "",COUNTIFS($A:$A,patch[[#This Row],[number]],$S:$S, "SH And dev",$AC:$AC, "Review-1"))</f>
        <v/>
      </c>
      <c r="Z1723" s="7" t="str">
        <f>IF(ISBLANK(patch[[#This Row],[project]]), "",COUNTIFS($A:$A,patch[[#This Row],[number]],$S:$S, "BJ And dev",$AD:$AD, "&lt;&gt;IntegratorValidationComment"))</f>
        <v/>
      </c>
      <c r="AA1723" s="7" t="str">
        <f>IF(ISBLANK(patch[[#This Row],[project]]), "",COUNTIFS($A:$A,patch[[#This Row],[number]],$S:$S, "FL And dev",$AD:$AD, "&lt;&gt;IntegratorValidationComment"))</f>
        <v/>
      </c>
      <c r="AB1723" s="7" t="str">
        <f>IF(ISBLANK(patch[[#This Row],[project]]), "",COUNTIFS($A:$A,patch[[#This Row],[number]],$S:$S, "SH And dev",$AD:$AD, "&lt;&gt;IntegratorValidationComment"))</f>
        <v/>
      </c>
      <c r="AC1723" s="7" t="str">
        <f>IF(OR(ISNUMBER(FIND("Review-1", patch[[#This Row],[comments]])), ISNUMBER(FIND("Approver-1", patch[[#This Row],[comments]]))), "Review-1", "")</f>
        <v/>
      </c>
      <c r="AD17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23" s="7">
        <f>IF(ISBLANK(patch[[#This Row],[number]]),AE1722,patch[[#This Row],[ifCommon]])</f>
        <v>0</v>
      </c>
    </row>
    <row r="1724" spans="1:31">
      <c r="A1724" s="151">
        <v>144165</v>
      </c>
      <c r="B1724" s="151"/>
      <c r="C1724" s="151"/>
      <c r="D1724" s="151"/>
      <c r="E1724" s="151"/>
      <c r="F1724" s="151"/>
      <c r="G1724" s="151"/>
      <c r="H1724" s="151"/>
      <c r="I1724" s="151"/>
      <c r="J1724" s="152">
        <v>42627.659537037027</v>
      </c>
      <c r="K1724" s="151"/>
      <c r="L1724" s="151" t="s">
        <v>32</v>
      </c>
      <c r="M1724" s="152">
        <v>42622.501504629632</v>
      </c>
      <c r="N1724" s="151" t="s">
        <v>2429</v>
      </c>
      <c r="O1724" s="151"/>
      <c r="P1724" s="151"/>
      <c r="Q1724" s="7" t="str">
        <f>IF(ISBLANK(patch[[#This Row],[OwnerEmail]]),Q1723,patch[[#This Row],[OwnerEmail]])</f>
        <v>gang.a.hu@intel.com</v>
      </c>
      <c r="R1724" s="7" t="str">
        <f>_xlfn.IFNA(VLOOKUP(patch[[#This Row],[tmp-owner.email]],OrgTree!$A:$K, 11, 0), "not ICG SWFW")</f>
        <v>BJ And dev</v>
      </c>
      <c r="S1724" s="7" t="str">
        <f>IF(patch[[#This Row],[reviewer]]=patch[[#This Row],[tmp-owner.email]], "author", _xlfn.IFNA(VLOOKUP(patch[[#This Row],[reviewer]],OrgTree!$A:$K, 11, 0), "not ICG SWFW"))</f>
        <v>author</v>
      </c>
      <c r="T1724" s="7" t="str">
        <f>IF(ISBLANK(patch[[#This Row],[mergeDate]]), "", MID(YEAR(patch[[#This Row],[mergeDate]]), 3,2)&amp;"'ww"&amp;WEEKNUM(patch[[#This Row],[mergeDate]]))</f>
        <v>16'ww38</v>
      </c>
      <c r="U1724" s="7" t="str">
        <f>IF(ISBLANK(patch[[#This Row],[mergeDate]]), U1723, MID(YEAR(patch[[#This Row],[mergeDate]]), 3,2)&amp;"'m"&amp;MONTH(patch[[#This Row],[mergeDate]]))</f>
        <v>16'm9</v>
      </c>
      <c r="V1724" s="7" t="str">
        <f>IF(ISBLANK(patch[[#This Row],[project]]), "",SUM(patch[[#This Row],[BJ -1 num]:[SH -1 num]]))</f>
        <v/>
      </c>
      <c r="W1724" s="7" t="str">
        <f>IF(ISBLANK(patch[[#This Row],[project]]), "",COUNTIFS($A:$A,patch[[#This Row],[number]],$S:$S, "BJ And dev",$AC:$AC, "Review-1"))</f>
        <v/>
      </c>
      <c r="X1724" s="7" t="str">
        <f>IF(ISBLANK(patch[[#This Row],[project]]), "",COUNTIFS($A:$A,patch[[#This Row],[number]],$S:$S, "FL And dev",$AC:$AC, "Review-1"))</f>
        <v/>
      </c>
      <c r="Y1724" s="7" t="str">
        <f>IF(ISBLANK(patch[[#This Row],[project]]), "",COUNTIFS($A:$A,patch[[#This Row],[number]],$S:$S, "SH And dev",$AC:$AC, "Review-1"))</f>
        <v/>
      </c>
      <c r="Z1724" s="7" t="str">
        <f>IF(ISBLANK(patch[[#This Row],[project]]), "",COUNTIFS($A:$A,patch[[#This Row],[number]],$S:$S, "BJ And dev",$AD:$AD, "&lt;&gt;IntegratorValidationComment"))</f>
        <v/>
      </c>
      <c r="AA1724" s="7" t="str">
        <f>IF(ISBLANK(patch[[#This Row],[project]]), "",COUNTIFS($A:$A,patch[[#This Row],[number]],$S:$S, "FL And dev",$AD:$AD, "&lt;&gt;IntegratorValidationComment"))</f>
        <v/>
      </c>
      <c r="AB1724" s="7" t="str">
        <f>IF(ISBLANK(patch[[#This Row],[project]]), "",COUNTIFS($A:$A,patch[[#This Row],[number]],$S:$S, "SH And dev",$AD:$AD, "&lt;&gt;IntegratorValidationComment"))</f>
        <v/>
      </c>
      <c r="AC1724" s="7" t="str">
        <f>IF(OR(ISNUMBER(FIND("Review-1", patch[[#This Row],[comments]])), ISNUMBER(FIND("Approver-1", patch[[#This Row],[comments]]))), "Review-1", "")</f>
        <v/>
      </c>
      <c r="AD17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24" s="7">
        <f>IF(ISBLANK(patch[[#This Row],[number]]),AE1723,patch[[#This Row],[ifCommon]])</f>
        <v>0</v>
      </c>
    </row>
    <row r="1725" spans="1:31">
      <c r="A1725" s="151">
        <v>144165</v>
      </c>
      <c r="B1725" s="151"/>
      <c r="C1725" s="151"/>
      <c r="D1725" s="151"/>
      <c r="E1725" s="151"/>
      <c r="F1725" s="151"/>
      <c r="G1725" s="151"/>
      <c r="H1725" s="151"/>
      <c r="I1725" s="151"/>
      <c r="J1725" s="152">
        <v>42627.659537037027</v>
      </c>
      <c r="K1725" s="151"/>
      <c r="L1725" s="151" t="s">
        <v>59</v>
      </c>
      <c r="M1725" s="152">
        <v>42622.509120370371</v>
      </c>
      <c r="N1725" s="151" t="s">
        <v>3437</v>
      </c>
      <c r="O1725" s="151"/>
      <c r="P1725" s="151"/>
      <c r="Q1725" s="7" t="str">
        <f>IF(ISBLANK(patch[[#This Row],[OwnerEmail]]),Q1724,patch[[#This Row],[OwnerEmail]])</f>
        <v>gang.a.hu@intel.com</v>
      </c>
      <c r="R1725" s="7" t="str">
        <f>_xlfn.IFNA(VLOOKUP(patch[[#This Row],[tmp-owner.email]],OrgTree!$A:$K, 11, 0), "not ICG SWFW")</f>
        <v>BJ And dev</v>
      </c>
      <c r="S1725" s="7" t="str">
        <f>IF(patch[[#This Row],[reviewer]]=patch[[#This Row],[tmp-owner.email]], "author", _xlfn.IFNA(VLOOKUP(patch[[#This Row],[reviewer]],OrgTree!$A:$K, 11, 0), "not ICG SWFW"))</f>
        <v>BJ And dev</v>
      </c>
      <c r="T1725" s="7" t="str">
        <f>IF(ISBLANK(patch[[#This Row],[mergeDate]]), "", MID(YEAR(patch[[#This Row],[mergeDate]]), 3,2)&amp;"'ww"&amp;WEEKNUM(patch[[#This Row],[mergeDate]]))</f>
        <v>16'ww38</v>
      </c>
      <c r="U1725" s="7" t="str">
        <f>IF(ISBLANK(patch[[#This Row],[mergeDate]]), U1724, MID(YEAR(patch[[#This Row],[mergeDate]]), 3,2)&amp;"'m"&amp;MONTH(patch[[#This Row],[mergeDate]]))</f>
        <v>16'm9</v>
      </c>
      <c r="V1725" s="7" t="str">
        <f>IF(ISBLANK(patch[[#This Row],[project]]), "",SUM(patch[[#This Row],[BJ -1 num]:[SH -1 num]]))</f>
        <v/>
      </c>
      <c r="W1725" s="7" t="str">
        <f>IF(ISBLANK(patch[[#This Row],[project]]), "",COUNTIFS($A:$A,patch[[#This Row],[number]],$S:$S, "BJ And dev",$AC:$AC, "Review-1"))</f>
        <v/>
      </c>
      <c r="X1725" s="7" t="str">
        <f>IF(ISBLANK(patch[[#This Row],[project]]), "",COUNTIFS($A:$A,patch[[#This Row],[number]],$S:$S, "FL And dev",$AC:$AC, "Review-1"))</f>
        <v/>
      </c>
      <c r="Y1725" s="7" t="str">
        <f>IF(ISBLANK(patch[[#This Row],[project]]), "",COUNTIFS($A:$A,patch[[#This Row],[number]],$S:$S, "SH And dev",$AC:$AC, "Review-1"))</f>
        <v/>
      </c>
      <c r="Z1725" s="7" t="str">
        <f>IF(ISBLANK(patch[[#This Row],[project]]), "",COUNTIFS($A:$A,patch[[#This Row],[number]],$S:$S, "BJ And dev",$AD:$AD, "&lt;&gt;IntegratorValidationComment"))</f>
        <v/>
      </c>
      <c r="AA1725" s="7" t="str">
        <f>IF(ISBLANK(patch[[#This Row],[project]]), "",COUNTIFS($A:$A,patch[[#This Row],[number]],$S:$S, "FL And dev",$AD:$AD, "&lt;&gt;IntegratorValidationComment"))</f>
        <v/>
      </c>
      <c r="AB1725" s="7" t="str">
        <f>IF(ISBLANK(patch[[#This Row],[project]]), "",COUNTIFS($A:$A,patch[[#This Row],[number]],$S:$S, "SH And dev",$AD:$AD, "&lt;&gt;IntegratorValidationComment"))</f>
        <v/>
      </c>
      <c r="AC1725" s="7" t="str">
        <f>IF(OR(ISNUMBER(FIND("Review-1", patch[[#This Row],[comments]])), ISNUMBER(FIND("Approver-1", patch[[#This Row],[comments]]))), "Review-1", "")</f>
        <v/>
      </c>
      <c r="AD17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25" s="7">
        <f>IF(ISBLANK(patch[[#This Row],[number]]),AE1724,patch[[#This Row],[ifCommon]])</f>
        <v>0</v>
      </c>
    </row>
    <row r="1726" spans="1:31">
      <c r="A1726" s="151">
        <v>144165</v>
      </c>
      <c r="B1726" s="151"/>
      <c r="C1726" s="151"/>
      <c r="D1726" s="151"/>
      <c r="E1726" s="151"/>
      <c r="F1726" s="151"/>
      <c r="G1726" s="151"/>
      <c r="H1726" s="151"/>
      <c r="I1726" s="151"/>
      <c r="J1726" s="152">
        <v>42627.659537037027</v>
      </c>
      <c r="K1726" s="151"/>
      <c r="L1726" s="151" t="s">
        <v>59</v>
      </c>
      <c r="M1726" s="152">
        <v>42622.511087962957</v>
      </c>
      <c r="N1726" s="151" t="s">
        <v>1828</v>
      </c>
      <c r="O1726" s="151"/>
      <c r="P1726" s="151"/>
      <c r="Q1726" s="7" t="str">
        <f>IF(ISBLANK(patch[[#This Row],[OwnerEmail]]),Q1725,patch[[#This Row],[OwnerEmail]])</f>
        <v>gang.a.hu@intel.com</v>
      </c>
      <c r="R1726" s="7" t="str">
        <f>_xlfn.IFNA(VLOOKUP(patch[[#This Row],[tmp-owner.email]],OrgTree!$A:$K, 11, 0), "not ICG SWFW")</f>
        <v>BJ And dev</v>
      </c>
      <c r="S1726" s="7" t="str">
        <f>IF(patch[[#This Row],[reviewer]]=patch[[#This Row],[tmp-owner.email]], "author", _xlfn.IFNA(VLOOKUP(patch[[#This Row],[reviewer]],OrgTree!$A:$K, 11, 0), "not ICG SWFW"))</f>
        <v>BJ And dev</v>
      </c>
      <c r="T1726" s="7" t="str">
        <f>IF(ISBLANK(patch[[#This Row],[mergeDate]]), "", MID(YEAR(patch[[#This Row],[mergeDate]]), 3,2)&amp;"'ww"&amp;WEEKNUM(patch[[#This Row],[mergeDate]]))</f>
        <v>16'ww38</v>
      </c>
      <c r="U1726" s="7" t="str">
        <f>IF(ISBLANK(patch[[#This Row],[mergeDate]]), U1725, MID(YEAR(patch[[#This Row],[mergeDate]]), 3,2)&amp;"'m"&amp;MONTH(patch[[#This Row],[mergeDate]]))</f>
        <v>16'm9</v>
      </c>
      <c r="V1726" s="7" t="str">
        <f>IF(ISBLANK(patch[[#This Row],[project]]), "",SUM(patch[[#This Row],[BJ -1 num]:[SH -1 num]]))</f>
        <v/>
      </c>
      <c r="W1726" s="7" t="str">
        <f>IF(ISBLANK(patch[[#This Row],[project]]), "",COUNTIFS($A:$A,patch[[#This Row],[number]],$S:$S, "BJ And dev",$AC:$AC, "Review-1"))</f>
        <v/>
      </c>
      <c r="X1726" s="7" t="str">
        <f>IF(ISBLANK(patch[[#This Row],[project]]), "",COUNTIFS($A:$A,patch[[#This Row],[number]],$S:$S, "FL And dev",$AC:$AC, "Review-1"))</f>
        <v/>
      </c>
      <c r="Y1726" s="7" t="str">
        <f>IF(ISBLANK(patch[[#This Row],[project]]), "",COUNTIFS($A:$A,patch[[#This Row],[number]],$S:$S, "SH And dev",$AC:$AC, "Review-1"))</f>
        <v/>
      </c>
      <c r="Z1726" s="7" t="str">
        <f>IF(ISBLANK(patch[[#This Row],[project]]), "",COUNTIFS($A:$A,patch[[#This Row],[number]],$S:$S, "BJ And dev",$AD:$AD, "&lt;&gt;IntegratorValidationComment"))</f>
        <v/>
      </c>
      <c r="AA1726" s="7" t="str">
        <f>IF(ISBLANK(patch[[#This Row],[project]]), "",COUNTIFS($A:$A,patch[[#This Row],[number]],$S:$S, "FL And dev",$AD:$AD, "&lt;&gt;IntegratorValidationComment"))</f>
        <v/>
      </c>
      <c r="AB1726" s="7" t="str">
        <f>IF(ISBLANK(patch[[#This Row],[project]]), "",COUNTIFS($A:$A,patch[[#This Row],[number]],$S:$S, "SH And dev",$AD:$AD, "&lt;&gt;IntegratorValidationComment"))</f>
        <v/>
      </c>
      <c r="AC1726" s="7" t="str">
        <f>IF(OR(ISNUMBER(FIND("Review-1", patch[[#This Row],[comments]])), ISNUMBER(FIND("Approver-1", patch[[#This Row],[comments]]))), "Review-1", "")</f>
        <v/>
      </c>
      <c r="AD17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26" s="7">
        <f>IF(ISBLANK(patch[[#This Row],[number]]),AE1725,patch[[#This Row],[ifCommon]])</f>
        <v>0</v>
      </c>
    </row>
    <row r="1727" spans="1:31">
      <c r="A1727" s="151">
        <v>144165</v>
      </c>
      <c r="B1727" s="151"/>
      <c r="C1727" s="151"/>
      <c r="D1727" s="151"/>
      <c r="E1727" s="151"/>
      <c r="F1727" s="151"/>
      <c r="G1727" s="151"/>
      <c r="H1727" s="151"/>
      <c r="I1727" s="151"/>
      <c r="J1727" s="152">
        <v>42627.659537037027</v>
      </c>
      <c r="K1727" s="151"/>
      <c r="L1727" s="151" t="s">
        <v>59</v>
      </c>
      <c r="M1727" s="152">
        <v>42622.513252314813</v>
      </c>
      <c r="N1727" s="151" t="s">
        <v>27</v>
      </c>
      <c r="O1727" s="151"/>
      <c r="P1727" s="151"/>
      <c r="Q1727" s="7" t="str">
        <f>IF(ISBLANK(patch[[#This Row],[OwnerEmail]]),Q1726,patch[[#This Row],[OwnerEmail]])</f>
        <v>gang.a.hu@intel.com</v>
      </c>
      <c r="R1727" s="7" t="str">
        <f>_xlfn.IFNA(VLOOKUP(patch[[#This Row],[tmp-owner.email]],OrgTree!$A:$K, 11, 0), "not ICG SWFW")</f>
        <v>BJ And dev</v>
      </c>
      <c r="S1727" s="7" t="str">
        <f>IF(patch[[#This Row],[reviewer]]=patch[[#This Row],[tmp-owner.email]], "author", _xlfn.IFNA(VLOOKUP(patch[[#This Row],[reviewer]],OrgTree!$A:$K, 11, 0), "not ICG SWFW"))</f>
        <v>BJ And dev</v>
      </c>
      <c r="T1727" s="7" t="str">
        <f>IF(ISBLANK(patch[[#This Row],[mergeDate]]), "", MID(YEAR(patch[[#This Row],[mergeDate]]), 3,2)&amp;"'ww"&amp;WEEKNUM(patch[[#This Row],[mergeDate]]))</f>
        <v>16'ww38</v>
      </c>
      <c r="U1727" s="7" t="str">
        <f>IF(ISBLANK(patch[[#This Row],[mergeDate]]), U1726, MID(YEAR(patch[[#This Row],[mergeDate]]), 3,2)&amp;"'m"&amp;MONTH(patch[[#This Row],[mergeDate]]))</f>
        <v>16'm9</v>
      </c>
      <c r="V1727" s="7" t="str">
        <f>IF(ISBLANK(patch[[#This Row],[project]]), "",SUM(patch[[#This Row],[BJ -1 num]:[SH -1 num]]))</f>
        <v/>
      </c>
      <c r="W1727" s="7" t="str">
        <f>IF(ISBLANK(patch[[#This Row],[project]]), "",COUNTIFS($A:$A,patch[[#This Row],[number]],$S:$S, "BJ And dev",$AC:$AC, "Review-1"))</f>
        <v/>
      </c>
      <c r="X1727" s="7" t="str">
        <f>IF(ISBLANK(patch[[#This Row],[project]]), "",COUNTIFS($A:$A,patch[[#This Row],[number]],$S:$S, "FL And dev",$AC:$AC, "Review-1"))</f>
        <v/>
      </c>
      <c r="Y1727" s="7" t="str">
        <f>IF(ISBLANK(patch[[#This Row],[project]]), "",COUNTIFS($A:$A,patch[[#This Row],[number]],$S:$S, "SH And dev",$AC:$AC, "Review-1"))</f>
        <v/>
      </c>
      <c r="Z1727" s="7" t="str">
        <f>IF(ISBLANK(patch[[#This Row],[project]]), "",COUNTIFS($A:$A,patch[[#This Row],[number]],$S:$S, "BJ And dev",$AD:$AD, "&lt;&gt;IntegratorValidationComment"))</f>
        <v/>
      </c>
      <c r="AA1727" s="7" t="str">
        <f>IF(ISBLANK(patch[[#This Row],[project]]), "",COUNTIFS($A:$A,patch[[#This Row],[number]],$S:$S, "FL And dev",$AD:$AD, "&lt;&gt;IntegratorValidationComment"))</f>
        <v/>
      </c>
      <c r="AB1727" s="7" t="str">
        <f>IF(ISBLANK(patch[[#This Row],[project]]), "",COUNTIFS($A:$A,patch[[#This Row],[number]],$S:$S, "SH And dev",$AD:$AD, "&lt;&gt;IntegratorValidationComment"))</f>
        <v/>
      </c>
      <c r="AC1727" s="7" t="str">
        <f>IF(OR(ISNUMBER(FIND("Review-1", patch[[#This Row],[comments]])), ISNUMBER(FIND("Approver-1", patch[[#This Row],[comments]]))), "Review-1", "")</f>
        <v/>
      </c>
      <c r="AD17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27" s="7">
        <f>IF(ISBLANK(patch[[#This Row],[number]]),AE1726,patch[[#This Row],[ifCommon]])</f>
        <v>0</v>
      </c>
    </row>
    <row r="1728" spans="1:31">
      <c r="A1728" s="151">
        <v>144165</v>
      </c>
      <c r="B1728" s="151"/>
      <c r="C1728" s="151"/>
      <c r="D1728" s="151"/>
      <c r="E1728" s="151"/>
      <c r="F1728" s="151"/>
      <c r="G1728" s="151"/>
      <c r="H1728" s="151"/>
      <c r="I1728" s="152"/>
      <c r="J1728" s="152">
        <v>42627.659537037027</v>
      </c>
      <c r="K1728" s="151"/>
      <c r="L1728" s="151" t="s">
        <v>59</v>
      </c>
      <c r="M1728" s="152">
        <v>42622.514479166668</v>
      </c>
      <c r="N1728" s="151" t="s">
        <v>3438</v>
      </c>
      <c r="O1728" s="151"/>
      <c r="P1728" s="151"/>
      <c r="Q1728" s="7" t="str">
        <f>IF(ISBLANK(patch[[#This Row],[OwnerEmail]]),Q1727,patch[[#This Row],[OwnerEmail]])</f>
        <v>gang.a.hu@intel.com</v>
      </c>
      <c r="R1728" s="7" t="str">
        <f>_xlfn.IFNA(VLOOKUP(patch[[#This Row],[tmp-owner.email]],OrgTree!$A:$K, 11, 0), "not ICG SWFW")</f>
        <v>BJ And dev</v>
      </c>
      <c r="S1728" s="7" t="str">
        <f>IF(patch[[#This Row],[reviewer]]=patch[[#This Row],[tmp-owner.email]], "author", _xlfn.IFNA(VLOOKUP(patch[[#This Row],[reviewer]],OrgTree!$A:$K, 11, 0), "not ICG SWFW"))</f>
        <v>BJ And dev</v>
      </c>
      <c r="T1728" s="7" t="str">
        <f>IF(ISBLANK(patch[[#This Row],[mergeDate]]), "", MID(YEAR(patch[[#This Row],[mergeDate]]), 3,2)&amp;"'ww"&amp;WEEKNUM(patch[[#This Row],[mergeDate]]))</f>
        <v>16'ww38</v>
      </c>
      <c r="U1728" s="7" t="str">
        <f>IF(ISBLANK(patch[[#This Row],[mergeDate]]), U1727, MID(YEAR(patch[[#This Row],[mergeDate]]), 3,2)&amp;"'m"&amp;MONTH(patch[[#This Row],[mergeDate]]))</f>
        <v>16'm9</v>
      </c>
      <c r="V1728" s="7" t="str">
        <f>IF(ISBLANK(patch[[#This Row],[project]]), "",SUM(patch[[#This Row],[BJ -1 num]:[SH -1 num]]))</f>
        <v/>
      </c>
      <c r="W1728" s="7" t="str">
        <f>IF(ISBLANK(patch[[#This Row],[project]]), "",COUNTIFS($A:$A,patch[[#This Row],[number]],$S:$S, "BJ And dev",$AC:$AC, "Review-1"))</f>
        <v/>
      </c>
      <c r="X1728" s="7" t="str">
        <f>IF(ISBLANK(patch[[#This Row],[project]]), "",COUNTIFS($A:$A,patch[[#This Row],[number]],$S:$S, "FL And dev",$AC:$AC, "Review-1"))</f>
        <v/>
      </c>
      <c r="Y1728" s="7" t="str">
        <f>IF(ISBLANK(patch[[#This Row],[project]]), "",COUNTIFS($A:$A,patch[[#This Row],[number]],$S:$S, "SH And dev",$AC:$AC, "Review-1"))</f>
        <v/>
      </c>
      <c r="Z1728" s="7" t="str">
        <f>IF(ISBLANK(patch[[#This Row],[project]]), "",COUNTIFS($A:$A,patch[[#This Row],[number]],$S:$S, "BJ And dev",$AD:$AD, "&lt;&gt;IntegratorValidationComment"))</f>
        <v/>
      </c>
      <c r="AA1728" s="7" t="str">
        <f>IF(ISBLANK(patch[[#This Row],[project]]), "",COUNTIFS($A:$A,patch[[#This Row],[number]],$S:$S, "FL And dev",$AD:$AD, "&lt;&gt;IntegratorValidationComment"))</f>
        <v/>
      </c>
      <c r="AB1728" s="7" t="str">
        <f>IF(ISBLANK(patch[[#This Row],[project]]), "",COUNTIFS($A:$A,patch[[#This Row],[number]],$S:$S, "SH And dev",$AD:$AD, "&lt;&gt;IntegratorValidationComment"))</f>
        <v/>
      </c>
      <c r="AC1728" s="7" t="str">
        <f>IF(OR(ISNUMBER(FIND("Review-1", patch[[#This Row],[comments]])), ISNUMBER(FIND("Approver-1", patch[[#This Row],[comments]]))), "Review-1", "")</f>
        <v/>
      </c>
      <c r="AD17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28" s="7">
        <f>IF(ISBLANK(patch[[#This Row],[number]]),AE1727,patch[[#This Row],[ifCommon]])</f>
        <v>0</v>
      </c>
    </row>
    <row r="1729" spans="1:31">
      <c r="A1729" s="151">
        <v>144165</v>
      </c>
      <c r="B1729" s="151"/>
      <c r="C1729" s="151"/>
      <c r="D1729" s="151"/>
      <c r="E1729" s="151"/>
      <c r="F1729" s="151"/>
      <c r="G1729" s="151"/>
      <c r="H1729" s="151"/>
      <c r="I1729" s="151"/>
      <c r="J1729" s="152">
        <v>42627.659537037027</v>
      </c>
      <c r="K1729" s="151"/>
      <c r="L1729" s="151" t="s">
        <v>55</v>
      </c>
      <c r="M1729" s="152">
        <v>42622.575532407413</v>
      </c>
      <c r="N1729" s="151" t="s">
        <v>42</v>
      </c>
      <c r="O1729" s="151"/>
      <c r="P1729" s="151"/>
      <c r="Q1729" s="7" t="str">
        <f>IF(ISBLANK(patch[[#This Row],[OwnerEmail]]),Q1728,patch[[#This Row],[OwnerEmail]])</f>
        <v>gang.a.hu@intel.com</v>
      </c>
      <c r="R1729" s="7" t="str">
        <f>_xlfn.IFNA(VLOOKUP(patch[[#This Row],[tmp-owner.email]],OrgTree!$A:$K, 11, 0), "not ICG SWFW")</f>
        <v>BJ And dev</v>
      </c>
      <c r="S1729" s="7" t="str">
        <f>IF(patch[[#This Row],[reviewer]]=patch[[#This Row],[tmp-owner.email]], "author", _xlfn.IFNA(VLOOKUP(patch[[#This Row],[reviewer]],OrgTree!$A:$K, 11, 0), "not ICG SWFW"))</f>
        <v>BJ And dev</v>
      </c>
      <c r="T1729" s="7" t="str">
        <f>IF(ISBLANK(patch[[#This Row],[mergeDate]]), "", MID(YEAR(patch[[#This Row],[mergeDate]]), 3,2)&amp;"'ww"&amp;WEEKNUM(patch[[#This Row],[mergeDate]]))</f>
        <v>16'ww38</v>
      </c>
      <c r="U1729" s="7" t="str">
        <f>IF(ISBLANK(patch[[#This Row],[mergeDate]]), U1728, MID(YEAR(patch[[#This Row],[mergeDate]]), 3,2)&amp;"'m"&amp;MONTH(patch[[#This Row],[mergeDate]]))</f>
        <v>16'm9</v>
      </c>
      <c r="V1729" s="7" t="str">
        <f>IF(ISBLANK(patch[[#This Row],[project]]), "",SUM(patch[[#This Row],[BJ -1 num]:[SH -1 num]]))</f>
        <v/>
      </c>
      <c r="W1729" s="7" t="str">
        <f>IF(ISBLANK(patch[[#This Row],[project]]), "",COUNTIFS($A:$A,patch[[#This Row],[number]],$S:$S, "BJ And dev",$AC:$AC, "Review-1"))</f>
        <v/>
      </c>
      <c r="X1729" s="7" t="str">
        <f>IF(ISBLANK(patch[[#This Row],[project]]), "",COUNTIFS($A:$A,patch[[#This Row],[number]],$S:$S, "FL And dev",$AC:$AC, "Review-1"))</f>
        <v/>
      </c>
      <c r="Y1729" s="7" t="str">
        <f>IF(ISBLANK(patch[[#This Row],[project]]), "",COUNTIFS($A:$A,patch[[#This Row],[number]],$S:$S, "SH And dev",$AC:$AC, "Review-1"))</f>
        <v/>
      </c>
      <c r="Z1729" s="7" t="str">
        <f>IF(ISBLANK(patch[[#This Row],[project]]), "",COUNTIFS($A:$A,patch[[#This Row],[number]],$S:$S, "BJ And dev",$AD:$AD, "&lt;&gt;IntegratorValidationComment"))</f>
        <v/>
      </c>
      <c r="AA1729" s="7" t="str">
        <f>IF(ISBLANK(patch[[#This Row],[project]]), "",COUNTIFS($A:$A,patch[[#This Row],[number]],$S:$S, "FL And dev",$AD:$AD, "&lt;&gt;IntegratorValidationComment"))</f>
        <v/>
      </c>
      <c r="AB1729" s="7" t="str">
        <f>IF(ISBLANK(patch[[#This Row],[project]]), "",COUNTIFS($A:$A,patch[[#This Row],[number]],$S:$S, "SH And dev",$AD:$AD, "&lt;&gt;IntegratorValidationComment"))</f>
        <v/>
      </c>
      <c r="AC1729" s="7" t="str">
        <f>IF(OR(ISNUMBER(FIND("Review-1", patch[[#This Row],[comments]])), ISNUMBER(FIND("Approver-1", patch[[#This Row],[comments]]))), "Review-1", "")</f>
        <v/>
      </c>
      <c r="AD17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29" s="7">
        <f>IF(ISBLANK(patch[[#This Row],[number]]),AE1728,patch[[#This Row],[ifCommon]])</f>
        <v>0</v>
      </c>
    </row>
    <row r="1730" spans="1:31">
      <c r="A1730" s="151">
        <v>144165</v>
      </c>
      <c r="B1730" s="151"/>
      <c r="C1730" s="151"/>
      <c r="D1730" s="151"/>
      <c r="E1730" s="151"/>
      <c r="F1730" s="151"/>
      <c r="G1730" s="151"/>
      <c r="H1730" s="151"/>
      <c r="I1730" s="151"/>
      <c r="J1730" s="152">
        <v>42627.659537037027</v>
      </c>
      <c r="K1730" s="151"/>
      <c r="L1730" s="151" t="s">
        <v>32</v>
      </c>
      <c r="M1730" s="152">
        <v>42622.584155092591</v>
      </c>
      <c r="N1730" s="151" t="s">
        <v>2704</v>
      </c>
      <c r="O1730" s="151"/>
      <c r="P1730" s="151"/>
      <c r="Q1730" s="7" t="str">
        <f>IF(ISBLANK(patch[[#This Row],[OwnerEmail]]),Q1729,patch[[#This Row],[OwnerEmail]])</f>
        <v>gang.a.hu@intel.com</v>
      </c>
      <c r="R1730" s="7" t="str">
        <f>_xlfn.IFNA(VLOOKUP(patch[[#This Row],[tmp-owner.email]],OrgTree!$A:$K, 11, 0), "not ICG SWFW")</f>
        <v>BJ And dev</v>
      </c>
      <c r="S1730" s="7" t="str">
        <f>IF(patch[[#This Row],[reviewer]]=patch[[#This Row],[tmp-owner.email]], "author", _xlfn.IFNA(VLOOKUP(patch[[#This Row],[reviewer]],OrgTree!$A:$K, 11, 0), "not ICG SWFW"))</f>
        <v>author</v>
      </c>
      <c r="T1730" s="7" t="str">
        <f>IF(ISBLANK(patch[[#This Row],[mergeDate]]), "", MID(YEAR(patch[[#This Row],[mergeDate]]), 3,2)&amp;"'ww"&amp;WEEKNUM(patch[[#This Row],[mergeDate]]))</f>
        <v>16'ww38</v>
      </c>
      <c r="U1730" s="7" t="str">
        <f>IF(ISBLANK(patch[[#This Row],[mergeDate]]), U1729, MID(YEAR(patch[[#This Row],[mergeDate]]), 3,2)&amp;"'m"&amp;MONTH(patch[[#This Row],[mergeDate]]))</f>
        <v>16'm9</v>
      </c>
      <c r="V1730" s="7" t="str">
        <f>IF(ISBLANK(patch[[#This Row],[project]]), "",SUM(patch[[#This Row],[BJ -1 num]:[SH -1 num]]))</f>
        <v/>
      </c>
      <c r="W1730" s="7" t="str">
        <f>IF(ISBLANK(patch[[#This Row],[project]]), "",COUNTIFS($A:$A,patch[[#This Row],[number]],$S:$S, "BJ And dev",$AC:$AC, "Review-1"))</f>
        <v/>
      </c>
      <c r="X1730" s="7" t="str">
        <f>IF(ISBLANK(patch[[#This Row],[project]]), "",COUNTIFS($A:$A,patch[[#This Row],[number]],$S:$S, "FL And dev",$AC:$AC, "Review-1"))</f>
        <v/>
      </c>
      <c r="Y1730" s="7" t="str">
        <f>IF(ISBLANK(patch[[#This Row],[project]]), "",COUNTIFS($A:$A,patch[[#This Row],[number]],$S:$S, "SH And dev",$AC:$AC, "Review-1"))</f>
        <v/>
      </c>
      <c r="Z1730" s="7" t="str">
        <f>IF(ISBLANK(patch[[#This Row],[project]]), "",COUNTIFS($A:$A,patch[[#This Row],[number]],$S:$S, "BJ And dev",$AD:$AD, "&lt;&gt;IntegratorValidationComment"))</f>
        <v/>
      </c>
      <c r="AA1730" s="7" t="str">
        <f>IF(ISBLANK(patch[[#This Row],[project]]), "",COUNTIFS($A:$A,patch[[#This Row],[number]],$S:$S, "FL And dev",$AD:$AD, "&lt;&gt;IntegratorValidationComment"))</f>
        <v/>
      </c>
      <c r="AB1730" s="7" t="str">
        <f>IF(ISBLANK(patch[[#This Row],[project]]), "",COUNTIFS($A:$A,patch[[#This Row],[number]],$S:$S, "SH And dev",$AD:$AD, "&lt;&gt;IntegratorValidationComment"))</f>
        <v/>
      </c>
      <c r="AC1730" s="7" t="str">
        <f>IF(OR(ISNUMBER(FIND("Review-1", patch[[#This Row],[comments]])), ISNUMBER(FIND("Approver-1", patch[[#This Row],[comments]]))), "Review-1", "")</f>
        <v/>
      </c>
      <c r="AD17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30" s="7">
        <f>IF(ISBLANK(patch[[#This Row],[number]]),AE1729,patch[[#This Row],[ifCommon]])</f>
        <v>0</v>
      </c>
    </row>
    <row r="1731" spans="1:31">
      <c r="A1731" s="151">
        <v>144165</v>
      </c>
      <c r="B1731" s="151"/>
      <c r="C1731" s="151"/>
      <c r="D1731" s="151"/>
      <c r="E1731" s="151"/>
      <c r="F1731" s="151"/>
      <c r="G1731" s="151"/>
      <c r="H1731" s="151"/>
      <c r="I1731" s="151"/>
      <c r="J1731" s="152">
        <v>42627.659537037027</v>
      </c>
      <c r="K1731" s="151"/>
      <c r="L1731" s="151" t="s">
        <v>32</v>
      </c>
      <c r="M1731" s="152">
        <v>42622.584270833337</v>
      </c>
      <c r="N1731" s="151" t="s">
        <v>2450</v>
      </c>
      <c r="O1731" s="151"/>
      <c r="P1731" s="151"/>
      <c r="Q1731" s="7" t="str">
        <f>IF(ISBLANK(patch[[#This Row],[OwnerEmail]]),Q1730,patch[[#This Row],[OwnerEmail]])</f>
        <v>gang.a.hu@intel.com</v>
      </c>
      <c r="R1731" s="7" t="str">
        <f>_xlfn.IFNA(VLOOKUP(patch[[#This Row],[tmp-owner.email]],OrgTree!$A:$K, 11, 0), "not ICG SWFW")</f>
        <v>BJ And dev</v>
      </c>
      <c r="S1731" s="7" t="str">
        <f>IF(patch[[#This Row],[reviewer]]=patch[[#This Row],[tmp-owner.email]], "author", _xlfn.IFNA(VLOOKUP(patch[[#This Row],[reviewer]],OrgTree!$A:$K, 11, 0), "not ICG SWFW"))</f>
        <v>author</v>
      </c>
      <c r="T1731" s="7" t="str">
        <f>IF(ISBLANK(patch[[#This Row],[mergeDate]]), "", MID(YEAR(patch[[#This Row],[mergeDate]]), 3,2)&amp;"'ww"&amp;WEEKNUM(patch[[#This Row],[mergeDate]]))</f>
        <v>16'ww38</v>
      </c>
      <c r="U1731" s="7" t="str">
        <f>IF(ISBLANK(patch[[#This Row],[mergeDate]]), U1730, MID(YEAR(patch[[#This Row],[mergeDate]]), 3,2)&amp;"'m"&amp;MONTH(patch[[#This Row],[mergeDate]]))</f>
        <v>16'm9</v>
      </c>
      <c r="V1731" s="7" t="str">
        <f>IF(ISBLANK(patch[[#This Row],[project]]), "",SUM(patch[[#This Row],[BJ -1 num]:[SH -1 num]]))</f>
        <v/>
      </c>
      <c r="W1731" s="7" t="str">
        <f>IF(ISBLANK(patch[[#This Row],[project]]), "",COUNTIFS($A:$A,patch[[#This Row],[number]],$S:$S, "BJ And dev",$AC:$AC, "Review-1"))</f>
        <v/>
      </c>
      <c r="X1731" s="7" t="str">
        <f>IF(ISBLANK(patch[[#This Row],[project]]), "",COUNTIFS($A:$A,patch[[#This Row],[number]],$S:$S, "FL And dev",$AC:$AC, "Review-1"))</f>
        <v/>
      </c>
      <c r="Y1731" s="7" t="str">
        <f>IF(ISBLANK(patch[[#This Row],[project]]), "",COUNTIFS($A:$A,patch[[#This Row],[number]],$S:$S, "SH And dev",$AC:$AC, "Review-1"))</f>
        <v/>
      </c>
      <c r="Z1731" s="7" t="str">
        <f>IF(ISBLANK(patch[[#This Row],[project]]), "",COUNTIFS($A:$A,patch[[#This Row],[number]],$S:$S, "BJ And dev",$AD:$AD, "&lt;&gt;IntegratorValidationComment"))</f>
        <v/>
      </c>
      <c r="AA1731" s="7" t="str">
        <f>IF(ISBLANK(patch[[#This Row],[project]]), "",COUNTIFS($A:$A,patch[[#This Row],[number]],$S:$S, "FL And dev",$AD:$AD, "&lt;&gt;IntegratorValidationComment"))</f>
        <v/>
      </c>
      <c r="AB1731" s="7" t="str">
        <f>IF(ISBLANK(patch[[#This Row],[project]]), "",COUNTIFS($A:$A,patch[[#This Row],[number]],$S:$S, "SH And dev",$AD:$AD, "&lt;&gt;IntegratorValidationComment"))</f>
        <v/>
      </c>
      <c r="AC1731" s="7" t="str">
        <f>IF(OR(ISNUMBER(FIND("Review-1", patch[[#This Row],[comments]])), ISNUMBER(FIND("Approver-1", patch[[#This Row],[comments]]))), "Review-1", "")</f>
        <v/>
      </c>
      <c r="AD17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31" s="7">
        <f>IF(ISBLANK(patch[[#This Row],[number]]),AE1730,patch[[#This Row],[ifCommon]])</f>
        <v>0</v>
      </c>
    </row>
    <row r="1732" spans="1:31">
      <c r="A1732" s="151">
        <v>144165</v>
      </c>
      <c r="B1732" s="151"/>
      <c r="C1732" s="151"/>
      <c r="D1732" s="151"/>
      <c r="E1732" s="151"/>
      <c r="F1732" s="151"/>
      <c r="G1732" s="151"/>
      <c r="H1732" s="151"/>
      <c r="I1732" s="151"/>
      <c r="J1732" s="152">
        <v>42627.659537037027</v>
      </c>
      <c r="K1732" s="151"/>
      <c r="L1732" s="151" t="s">
        <v>59</v>
      </c>
      <c r="M1732" s="152">
        <v>42622.592106481483</v>
      </c>
      <c r="N1732" s="151" t="s">
        <v>3439</v>
      </c>
      <c r="O1732" s="151"/>
      <c r="P1732" s="151"/>
      <c r="Q1732" s="7" t="str">
        <f>IF(ISBLANK(patch[[#This Row],[OwnerEmail]]),Q1731,patch[[#This Row],[OwnerEmail]])</f>
        <v>gang.a.hu@intel.com</v>
      </c>
      <c r="R1732" s="7" t="str">
        <f>_xlfn.IFNA(VLOOKUP(patch[[#This Row],[tmp-owner.email]],OrgTree!$A:$K, 11, 0), "not ICG SWFW")</f>
        <v>BJ And dev</v>
      </c>
      <c r="S1732" s="7" t="str">
        <f>IF(patch[[#This Row],[reviewer]]=patch[[#This Row],[tmp-owner.email]], "author", _xlfn.IFNA(VLOOKUP(patch[[#This Row],[reviewer]],OrgTree!$A:$K, 11, 0), "not ICG SWFW"))</f>
        <v>BJ And dev</v>
      </c>
      <c r="T1732" s="7" t="str">
        <f>IF(ISBLANK(patch[[#This Row],[mergeDate]]), "", MID(YEAR(patch[[#This Row],[mergeDate]]), 3,2)&amp;"'ww"&amp;WEEKNUM(patch[[#This Row],[mergeDate]]))</f>
        <v>16'ww38</v>
      </c>
      <c r="U1732" s="7" t="str">
        <f>IF(ISBLANK(patch[[#This Row],[mergeDate]]), U1731, MID(YEAR(patch[[#This Row],[mergeDate]]), 3,2)&amp;"'m"&amp;MONTH(patch[[#This Row],[mergeDate]]))</f>
        <v>16'm9</v>
      </c>
      <c r="V1732" s="7" t="str">
        <f>IF(ISBLANK(patch[[#This Row],[project]]), "",SUM(patch[[#This Row],[BJ -1 num]:[SH -1 num]]))</f>
        <v/>
      </c>
      <c r="W1732" s="7" t="str">
        <f>IF(ISBLANK(patch[[#This Row],[project]]), "",COUNTIFS($A:$A,patch[[#This Row],[number]],$S:$S, "BJ And dev",$AC:$AC, "Review-1"))</f>
        <v/>
      </c>
      <c r="X1732" s="7" t="str">
        <f>IF(ISBLANK(patch[[#This Row],[project]]), "",COUNTIFS($A:$A,patch[[#This Row],[number]],$S:$S, "FL And dev",$AC:$AC, "Review-1"))</f>
        <v/>
      </c>
      <c r="Y1732" s="7" t="str">
        <f>IF(ISBLANK(patch[[#This Row],[project]]), "",COUNTIFS($A:$A,patch[[#This Row],[number]],$S:$S, "SH And dev",$AC:$AC, "Review-1"))</f>
        <v/>
      </c>
      <c r="Z1732" s="7" t="str">
        <f>IF(ISBLANK(patch[[#This Row],[project]]), "",COUNTIFS($A:$A,patch[[#This Row],[number]],$S:$S, "BJ And dev",$AD:$AD, "&lt;&gt;IntegratorValidationComment"))</f>
        <v/>
      </c>
      <c r="AA1732" s="7" t="str">
        <f>IF(ISBLANK(patch[[#This Row],[project]]), "",COUNTIFS($A:$A,patch[[#This Row],[number]],$S:$S, "FL And dev",$AD:$AD, "&lt;&gt;IntegratorValidationComment"))</f>
        <v/>
      </c>
      <c r="AB1732" s="7" t="str">
        <f>IF(ISBLANK(patch[[#This Row],[project]]), "",COUNTIFS($A:$A,patch[[#This Row],[number]],$S:$S, "SH And dev",$AD:$AD, "&lt;&gt;IntegratorValidationComment"))</f>
        <v/>
      </c>
      <c r="AC1732" s="7" t="str">
        <f>IF(OR(ISNUMBER(FIND("Review-1", patch[[#This Row],[comments]])), ISNUMBER(FIND("Approver-1", patch[[#This Row],[comments]]))), "Review-1", "")</f>
        <v/>
      </c>
      <c r="AD17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32" s="7">
        <f>IF(ISBLANK(patch[[#This Row],[number]]),AE1731,patch[[#This Row],[ifCommon]])</f>
        <v>0</v>
      </c>
    </row>
    <row r="1733" spans="1:31">
      <c r="A1733" s="151">
        <v>144165</v>
      </c>
      <c r="B1733" s="151"/>
      <c r="C1733" s="151"/>
      <c r="D1733" s="151"/>
      <c r="E1733" s="151"/>
      <c r="F1733" s="151"/>
      <c r="G1733" s="151"/>
      <c r="H1733" s="151"/>
      <c r="I1733" s="151"/>
      <c r="J1733" s="152">
        <v>42627.659537037027</v>
      </c>
      <c r="K1733" s="151"/>
      <c r="L1733" s="151" t="s">
        <v>59</v>
      </c>
      <c r="M1733" s="152">
        <v>42622.595046296286</v>
      </c>
      <c r="N1733" s="151" t="s">
        <v>3440</v>
      </c>
      <c r="O1733" s="151"/>
      <c r="P1733" s="151"/>
      <c r="Q1733" s="7" t="str">
        <f>IF(ISBLANK(patch[[#This Row],[OwnerEmail]]),Q1732,patch[[#This Row],[OwnerEmail]])</f>
        <v>gang.a.hu@intel.com</v>
      </c>
      <c r="R1733" s="7" t="str">
        <f>_xlfn.IFNA(VLOOKUP(patch[[#This Row],[tmp-owner.email]],OrgTree!$A:$K, 11, 0), "not ICG SWFW")</f>
        <v>BJ And dev</v>
      </c>
      <c r="S1733" s="7" t="str">
        <f>IF(patch[[#This Row],[reviewer]]=patch[[#This Row],[tmp-owner.email]], "author", _xlfn.IFNA(VLOOKUP(patch[[#This Row],[reviewer]],OrgTree!$A:$K, 11, 0), "not ICG SWFW"))</f>
        <v>BJ And dev</v>
      </c>
      <c r="T1733" s="7" t="str">
        <f>IF(ISBLANK(patch[[#This Row],[mergeDate]]), "", MID(YEAR(patch[[#This Row],[mergeDate]]), 3,2)&amp;"'ww"&amp;WEEKNUM(patch[[#This Row],[mergeDate]]))</f>
        <v>16'ww38</v>
      </c>
      <c r="U1733" s="7" t="str">
        <f>IF(ISBLANK(patch[[#This Row],[mergeDate]]), U1732, MID(YEAR(patch[[#This Row],[mergeDate]]), 3,2)&amp;"'m"&amp;MONTH(patch[[#This Row],[mergeDate]]))</f>
        <v>16'm9</v>
      </c>
      <c r="V1733" s="7" t="str">
        <f>IF(ISBLANK(patch[[#This Row],[project]]), "",SUM(patch[[#This Row],[BJ -1 num]:[SH -1 num]]))</f>
        <v/>
      </c>
      <c r="W1733" s="7" t="str">
        <f>IF(ISBLANK(patch[[#This Row],[project]]), "",COUNTIFS($A:$A,patch[[#This Row],[number]],$S:$S, "BJ And dev",$AC:$AC, "Review-1"))</f>
        <v/>
      </c>
      <c r="X1733" s="7" t="str">
        <f>IF(ISBLANK(patch[[#This Row],[project]]), "",COUNTIFS($A:$A,patch[[#This Row],[number]],$S:$S, "FL And dev",$AC:$AC, "Review-1"))</f>
        <v/>
      </c>
      <c r="Y1733" s="7" t="str">
        <f>IF(ISBLANK(patch[[#This Row],[project]]), "",COUNTIFS($A:$A,patch[[#This Row],[number]],$S:$S, "SH And dev",$AC:$AC, "Review-1"))</f>
        <v/>
      </c>
      <c r="Z1733" s="7" t="str">
        <f>IF(ISBLANK(patch[[#This Row],[project]]), "",COUNTIFS($A:$A,patch[[#This Row],[number]],$S:$S, "BJ And dev",$AD:$AD, "&lt;&gt;IntegratorValidationComment"))</f>
        <v/>
      </c>
      <c r="AA1733" s="7" t="str">
        <f>IF(ISBLANK(patch[[#This Row],[project]]), "",COUNTIFS($A:$A,patch[[#This Row],[number]],$S:$S, "FL And dev",$AD:$AD, "&lt;&gt;IntegratorValidationComment"))</f>
        <v/>
      </c>
      <c r="AB1733" s="7" t="str">
        <f>IF(ISBLANK(patch[[#This Row],[project]]), "",COUNTIFS($A:$A,patch[[#This Row],[number]],$S:$S, "SH And dev",$AD:$AD, "&lt;&gt;IntegratorValidationComment"))</f>
        <v/>
      </c>
      <c r="AC1733" s="7" t="str">
        <f>IF(OR(ISNUMBER(FIND("Review-1", patch[[#This Row],[comments]])), ISNUMBER(FIND("Approver-1", patch[[#This Row],[comments]]))), "Review-1", "")</f>
        <v/>
      </c>
      <c r="AD17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33" s="7">
        <f>IF(ISBLANK(patch[[#This Row],[number]]),AE1732,patch[[#This Row],[ifCommon]])</f>
        <v>0</v>
      </c>
    </row>
    <row r="1734" spans="1:31">
      <c r="A1734" s="151">
        <v>144165</v>
      </c>
      <c r="B1734" s="151"/>
      <c r="C1734" s="151"/>
      <c r="D1734" s="151"/>
      <c r="E1734" s="151"/>
      <c r="F1734" s="151"/>
      <c r="G1734" s="151"/>
      <c r="H1734" s="151"/>
      <c r="I1734" s="151"/>
      <c r="J1734" s="152">
        <v>42627.659537037027</v>
      </c>
      <c r="K1734" s="151"/>
      <c r="L1734" s="151" t="s">
        <v>115</v>
      </c>
      <c r="M1734" s="152">
        <v>42625.425891203697</v>
      </c>
      <c r="N1734" s="151" t="s">
        <v>2497</v>
      </c>
      <c r="O1734" s="151"/>
      <c r="P1734" s="151"/>
      <c r="Q1734" s="7" t="str">
        <f>IF(ISBLANK(patch[[#This Row],[OwnerEmail]]),Q1733,patch[[#This Row],[OwnerEmail]])</f>
        <v>gang.a.hu@intel.com</v>
      </c>
      <c r="R1734" s="7" t="str">
        <f>_xlfn.IFNA(VLOOKUP(patch[[#This Row],[tmp-owner.email]],OrgTree!$A:$K, 11, 0), "not ICG SWFW")</f>
        <v>BJ And dev</v>
      </c>
      <c r="S1734" s="7" t="str">
        <f>IF(patch[[#This Row],[reviewer]]=patch[[#This Row],[tmp-owner.email]], "author", _xlfn.IFNA(VLOOKUP(patch[[#This Row],[reviewer]],OrgTree!$A:$K, 11, 0), "not ICG SWFW"))</f>
        <v>Val</v>
      </c>
      <c r="T1734" s="7" t="str">
        <f>IF(ISBLANK(patch[[#This Row],[mergeDate]]), "", MID(YEAR(patch[[#This Row],[mergeDate]]), 3,2)&amp;"'ww"&amp;WEEKNUM(patch[[#This Row],[mergeDate]]))</f>
        <v>16'ww38</v>
      </c>
      <c r="U1734" s="7" t="str">
        <f>IF(ISBLANK(patch[[#This Row],[mergeDate]]), U1733, MID(YEAR(patch[[#This Row],[mergeDate]]), 3,2)&amp;"'m"&amp;MONTH(patch[[#This Row],[mergeDate]]))</f>
        <v>16'm9</v>
      </c>
      <c r="V1734" s="7" t="str">
        <f>IF(ISBLANK(patch[[#This Row],[project]]), "",SUM(patch[[#This Row],[BJ -1 num]:[SH -1 num]]))</f>
        <v/>
      </c>
      <c r="W1734" s="7" t="str">
        <f>IF(ISBLANK(patch[[#This Row],[project]]), "",COUNTIFS($A:$A,patch[[#This Row],[number]],$S:$S, "BJ And dev",$AC:$AC, "Review-1"))</f>
        <v/>
      </c>
      <c r="X1734" s="7" t="str">
        <f>IF(ISBLANK(patch[[#This Row],[project]]), "",COUNTIFS($A:$A,patch[[#This Row],[number]],$S:$S, "FL And dev",$AC:$AC, "Review-1"))</f>
        <v/>
      </c>
      <c r="Y1734" s="7" t="str">
        <f>IF(ISBLANK(patch[[#This Row],[project]]), "",COUNTIFS($A:$A,patch[[#This Row],[number]],$S:$S, "SH And dev",$AC:$AC, "Review-1"))</f>
        <v/>
      </c>
      <c r="Z1734" s="7" t="str">
        <f>IF(ISBLANK(patch[[#This Row],[project]]), "",COUNTIFS($A:$A,patch[[#This Row],[number]],$S:$S, "BJ And dev",$AD:$AD, "&lt;&gt;IntegratorValidationComment"))</f>
        <v/>
      </c>
      <c r="AA1734" s="7" t="str">
        <f>IF(ISBLANK(patch[[#This Row],[project]]), "",COUNTIFS($A:$A,patch[[#This Row],[number]],$S:$S, "FL And dev",$AD:$AD, "&lt;&gt;IntegratorValidationComment"))</f>
        <v/>
      </c>
      <c r="AB1734" s="7" t="str">
        <f>IF(ISBLANK(patch[[#This Row],[project]]), "",COUNTIFS($A:$A,patch[[#This Row],[number]],$S:$S, "SH And dev",$AD:$AD, "&lt;&gt;IntegratorValidationComment"))</f>
        <v/>
      </c>
      <c r="AC1734" s="7" t="str">
        <f>IF(OR(ISNUMBER(FIND("Review-1", patch[[#This Row],[comments]])), ISNUMBER(FIND("Approver-1", patch[[#This Row],[comments]]))), "Review-1", "")</f>
        <v/>
      </c>
      <c r="AD17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734" s="7">
        <f>IF(ISBLANK(patch[[#This Row],[number]]),AE1733,patch[[#This Row],[ifCommon]])</f>
        <v>0</v>
      </c>
    </row>
    <row r="1735" spans="1:31">
      <c r="A1735" s="151">
        <v>144165</v>
      </c>
      <c r="B1735" s="151"/>
      <c r="C1735" s="151"/>
      <c r="D1735" s="151"/>
      <c r="E1735" s="151"/>
      <c r="F1735" s="151"/>
      <c r="G1735" s="151"/>
      <c r="H1735" s="151"/>
      <c r="I1735" s="151"/>
      <c r="J1735" s="152">
        <v>42627.659537037027</v>
      </c>
      <c r="K1735" s="151"/>
      <c r="L1735" s="151" t="s">
        <v>115</v>
      </c>
      <c r="M1735" s="152">
        <v>42626.371712962973</v>
      </c>
      <c r="N1735" s="151" t="s">
        <v>3441</v>
      </c>
      <c r="O1735" s="151"/>
      <c r="P1735" s="151"/>
      <c r="Q1735" s="7" t="str">
        <f>IF(ISBLANK(patch[[#This Row],[OwnerEmail]]),Q1734,patch[[#This Row],[OwnerEmail]])</f>
        <v>gang.a.hu@intel.com</v>
      </c>
      <c r="R1735" s="7" t="str">
        <f>_xlfn.IFNA(VLOOKUP(patch[[#This Row],[tmp-owner.email]],OrgTree!$A:$K, 11, 0), "not ICG SWFW")</f>
        <v>BJ And dev</v>
      </c>
      <c r="S1735" s="7" t="str">
        <f>IF(patch[[#This Row],[reviewer]]=patch[[#This Row],[tmp-owner.email]], "author", _xlfn.IFNA(VLOOKUP(patch[[#This Row],[reviewer]],OrgTree!$A:$K, 11, 0), "not ICG SWFW"))</f>
        <v>Val</v>
      </c>
      <c r="T1735" s="7" t="str">
        <f>IF(ISBLANK(patch[[#This Row],[mergeDate]]), "", MID(YEAR(patch[[#This Row],[mergeDate]]), 3,2)&amp;"'ww"&amp;WEEKNUM(patch[[#This Row],[mergeDate]]))</f>
        <v>16'ww38</v>
      </c>
      <c r="U1735" s="7" t="str">
        <f>IF(ISBLANK(patch[[#This Row],[mergeDate]]), U1734, MID(YEAR(patch[[#This Row],[mergeDate]]), 3,2)&amp;"'m"&amp;MONTH(patch[[#This Row],[mergeDate]]))</f>
        <v>16'm9</v>
      </c>
      <c r="V1735" s="7" t="str">
        <f>IF(ISBLANK(patch[[#This Row],[project]]), "",SUM(patch[[#This Row],[BJ -1 num]:[SH -1 num]]))</f>
        <v/>
      </c>
      <c r="W1735" s="7" t="str">
        <f>IF(ISBLANK(patch[[#This Row],[project]]), "",COUNTIFS($A:$A,patch[[#This Row],[number]],$S:$S, "BJ And dev",$AC:$AC, "Review-1"))</f>
        <v/>
      </c>
      <c r="X1735" s="7" t="str">
        <f>IF(ISBLANK(patch[[#This Row],[project]]), "",COUNTIFS($A:$A,patch[[#This Row],[number]],$S:$S, "FL And dev",$AC:$AC, "Review-1"))</f>
        <v/>
      </c>
      <c r="Y1735" s="7" t="str">
        <f>IF(ISBLANK(patch[[#This Row],[project]]), "",COUNTIFS($A:$A,patch[[#This Row],[number]],$S:$S, "SH And dev",$AC:$AC, "Review-1"))</f>
        <v/>
      </c>
      <c r="Z1735" s="7" t="str">
        <f>IF(ISBLANK(patch[[#This Row],[project]]), "",COUNTIFS($A:$A,patch[[#This Row],[number]],$S:$S, "BJ And dev",$AD:$AD, "&lt;&gt;IntegratorValidationComment"))</f>
        <v/>
      </c>
      <c r="AA1735" s="7" t="str">
        <f>IF(ISBLANK(patch[[#This Row],[project]]), "",COUNTIFS($A:$A,patch[[#This Row],[number]],$S:$S, "FL And dev",$AD:$AD, "&lt;&gt;IntegratorValidationComment"))</f>
        <v/>
      </c>
      <c r="AB1735" s="7" t="str">
        <f>IF(ISBLANK(patch[[#This Row],[project]]), "",COUNTIFS($A:$A,patch[[#This Row],[number]],$S:$S, "SH And dev",$AD:$AD, "&lt;&gt;IntegratorValidationComment"))</f>
        <v/>
      </c>
      <c r="AC1735" s="7" t="str">
        <f>IF(OR(ISNUMBER(FIND("Review-1", patch[[#This Row],[comments]])), ISNUMBER(FIND("Approver-1", patch[[#This Row],[comments]]))), "Review-1", "")</f>
        <v/>
      </c>
      <c r="AD17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735" s="7">
        <f>IF(ISBLANK(patch[[#This Row],[number]]),AE1734,patch[[#This Row],[ifCommon]])</f>
        <v>0</v>
      </c>
    </row>
    <row r="1736" spans="1:31">
      <c r="A1736" s="151">
        <v>144165</v>
      </c>
      <c r="B1736" s="151"/>
      <c r="C1736" s="151"/>
      <c r="D1736" s="151"/>
      <c r="E1736" s="151"/>
      <c r="F1736" s="151"/>
      <c r="G1736" s="151"/>
      <c r="H1736" s="151"/>
      <c r="I1736" s="151"/>
      <c r="J1736" s="152">
        <v>42627.659537037027</v>
      </c>
      <c r="K1736" s="151"/>
      <c r="L1736" s="151" t="s">
        <v>115</v>
      </c>
      <c r="M1736" s="152">
        <v>42626.666296296287</v>
      </c>
      <c r="N1736" s="151" t="s">
        <v>2497</v>
      </c>
      <c r="O1736" s="151"/>
      <c r="P1736" s="151"/>
      <c r="Q1736" s="7" t="str">
        <f>IF(ISBLANK(patch[[#This Row],[OwnerEmail]]),Q1735,patch[[#This Row],[OwnerEmail]])</f>
        <v>gang.a.hu@intel.com</v>
      </c>
      <c r="R1736" s="7" t="str">
        <f>_xlfn.IFNA(VLOOKUP(patch[[#This Row],[tmp-owner.email]],OrgTree!$A:$K, 11, 0), "not ICG SWFW")</f>
        <v>BJ And dev</v>
      </c>
      <c r="S1736" s="7" t="str">
        <f>IF(patch[[#This Row],[reviewer]]=patch[[#This Row],[tmp-owner.email]], "author", _xlfn.IFNA(VLOOKUP(patch[[#This Row],[reviewer]],OrgTree!$A:$K, 11, 0), "not ICG SWFW"))</f>
        <v>Val</v>
      </c>
      <c r="T1736" s="7" t="str">
        <f>IF(ISBLANK(patch[[#This Row],[mergeDate]]), "", MID(YEAR(patch[[#This Row],[mergeDate]]), 3,2)&amp;"'ww"&amp;WEEKNUM(patch[[#This Row],[mergeDate]]))</f>
        <v>16'ww38</v>
      </c>
      <c r="U1736" s="7" t="str">
        <f>IF(ISBLANK(patch[[#This Row],[mergeDate]]), U1735, MID(YEAR(patch[[#This Row],[mergeDate]]), 3,2)&amp;"'m"&amp;MONTH(patch[[#This Row],[mergeDate]]))</f>
        <v>16'm9</v>
      </c>
      <c r="V1736" s="7" t="str">
        <f>IF(ISBLANK(patch[[#This Row],[project]]), "",SUM(patch[[#This Row],[BJ -1 num]:[SH -1 num]]))</f>
        <v/>
      </c>
      <c r="W1736" s="7" t="str">
        <f>IF(ISBLANK(patch[[#This Row],[project]]), "",COUNTIFS($A:$A,patch[[#This Row],[number]],$S:$S, "BJ And dev",$AC:$AC, "Review-1"))</f>
        <v/>
      </c>
      <c r="X1736" s="7" t="str">
        <f>IF(ISBLANK(patch[[#This Row],[project]]), "",COUNTIFS($A:$A,patch[[#This Row],[number]],$S:$S, "FL And dev",$AC:$AC, "Review-1"))</f>
        <v/>
      </c>
      <c r="Y1736" s="7" t="str">
        <f>IF(ISBLANK(patch[[#This Row],[project]]), "",COUNTIFS($A:$A,patch[[#This Row],[number]],$S:$S, "SH And dev",$AC:$AC, "Review-1"))</f>
        <v/>
      </c>
      <c r="Z1736" s="7" t="str">
        <f>IF(ISBLANK(patch[[#This Row],[project]]), "",COUNTIFS($A:$A,patch[[#This Row],[number]],$S:$S, "BJ And dev",$AD:$AD, "&lt;&gt;IntegratorValidationComment"))</f>
        <v/>
      </c>
      <c r="AA1736" s="7" t="str">
        <f>IF(ISBLANK(patch[[#This Row],[project]]), "",COUNTIFS($A:$A,patch[[#This Row],[number]],$S:$S, "FL And dev",$AD:$AD, "&lt;&gt;IntegratorValidationComment"))</f>
        <v/>
      </c>
      <c r="AB1736" s="7" t="str">
        <f>IF(ISBLANK(patch[[#This Row],[project]]), "",COUNTIFS($A:$A,patch[[#This Row],[number]],$S:$S, "SH And dev",$AD:$AD, "&lt;&gt;IntegratorValidationComment"))</f>
        <v/>
      </c>
      <c r="AC1736" s="7" t="str">
        <f>IF(OR(ISNUMBER(FIND("Review-1", patch[[#This Row],[comments]])), ISNUMBER(FIND("Approver-1", patch[[#This Row],[comments]]))), "Review-1", "")</f>
        <v/>
      </c>
      <c r="AD17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736" s="7">
        <f>IF(ISBLANK(patch[[#This Row],[number]]),AE1735,patch[[#This Row],[ifCommon]])</f>
        <v>0</v>
      </c>
    </row>
    <row r="1737" spans="1:31">
      <c r="A1737" s="151">
        <v>144165</v>
      </c>
      <c r="B1737" s="151"/>
      <c r="C1737" s="151"/>
      <c r="D1737" s="151"/>
      <c r="E1737" s="151"/>
      <c r="F1737" s="151"/>
      <c r="G1737" s="151"/>
      <c r="H1737" s="151"/>
      <c r="I1737" s="151"/>
      <c r="J1737" s="152">
        <v>42627.659537037027</v>
      </c>
      <c r="K1737" s="151"/>
      <c r="L1737" s="151" t="s">
        <v>59</v>
      </c>
      <c r="M1737" s="152">
        <v>42626.755590277768</v>
      </c>
      <c r="N1737" s="151" t="s">
        <v>3396</v>
      </c>
      <c r="O1737" s="151"/>
      <c r="P1737" s="151"/>
      <c r="Q1737" s="7" t="str">
        <f>IF(ISBLANK(patch[[#This Row],[OwnerEmail]]),Q1736,patch[[#This Row],[OwnerEmail]])</f>
        <v>gang.a.hu@intel.com</v>
      </c>
      <c r="R1737" s="7" t="str">
        <f>_xlfn.IFNA(VLOOKUP(patch[[#This Row],[tmp-owner.email]],OrgTree!$A:$K, 11, 0), "not ICG SWFW")</f>
        <v>BJ And dev</v>
      </c>
      <c r="S1737" s="7" t="str">
        <f>IF(patch[[#This Row],[reviewer]]=patch[[#This Row],[tmp-owner.email]], "author", _xlfn.IFNA(VLOOKUP(patch[[#This Row],[reviewer]],OrgTree!$A:$K, 11, 0), "not ICG SWFW"))</f>
        <v>BJ And dev</v>
      </c>
      <c r="T1737" s="7" t="str">
        <f>IF(ISBLANK(patch[[#This Row],[mergeDate]]), "", MID(YEAR(patch[[#This Row],[mergeDate]]), 3,2)&amp;"'ww"&amp;WEEKNUM(patch[[#This Row],[mergeDate]]))</f>
        <v>16'ww38</v>
      </c>
      <c r="U1737" s="7" t="str">
        <f>IF(ISBLANK(patch[[#This Row],[mergeDate]]), U1736, MID(YEAR(patch[[#This Row],[mergeDate]]), 3,2)&amp;"'m"&amp;MONTH(patch[[#This Row],[mergeDate]]))</f>
        <v>16'm9</v>
      </c>
      <c r="V1737" s="7" t="str">
        <f>IF(ISBLANK(patch[[#This Row],[project]]), "",SUM(patch[[#This Row],[BJ -1 num]:[SH -1 num]]))</f>
        <v/>
      </c>
      <c r="W1737" s="7" t="str">
        <f>IF(ISBLANK(patch[[#This Row],[project]]), "",COUNTIFS($A:$A,patch[[#This Row],[number]],$S:$S, "BJ And dev",$AC:$AC, "Review-1"))</f>
        <v/>
      </c>
      <c r="X1737" s="7" t="str">
        <f>IF(ISBLANK(patch[[#This Row],[project]]), "",COUNTIFS($A:$A,patch[[#This Row],[number]],$S:$S, "FL And dev",$AC:$AC, "Review-1"))</f>
        <v/>
      </c>
      <c r="Y1737" s="7" t="str">
        <f>IF(ISBLANK(patch[[#This Row],[project]]), "",COUNTIFS($A:$A,patch[[#This Row],[number]],$S:$S, "SH And dev",$AC:$AC, "Review-1"))</f>
        <v/>
      </c>
      <c r="Z1737" s="7" t="str">
        <f>IF(ISBLANK(patch[[#This Row],[project]]), "",COUNTIFS($A:$A,patch[[#This Row],[number]],$S:$S, "BJ And dev",$AD:$AD, "&lt;&gt;IntegratorValidationComment"))</f>
        <v/>
      </c>
      <c r="AA1737" s="7" t="str">
        <f>IF(ISBLANK(patch[[#This Row],[project]]), "",COUNTIFS($A:$A,patch[[#This Row],[number]],$S:$S, "FL And dev",$AD:$AD, "&lt;&gt;IntegratorValidationComment"))</f>
        <v/>
      </c>
      <c r="AB1737" s="7" t="str">
        <f>IF(ISBLANK(patch[[#This Row],[project]]), "",COUNTIFS($A:$A,patch[[#This Row],[number]],$S:$S, "SH And dev",$AD:$AD, "&lt;&gt;IntegratorValidationComment"))</f>
        <v/>
      </c>
      <c r="AC1737" s="7" t="str">
        <f>IF(OR(ISNUMBER(FIND("Review-1", patch[[#This Row],[comments]])), ISNUMBER(FIND("Approver-1", patch[[#This Row],[comments]]))), "Review-1", "")</f>
        <v/>
      </c>
      <c r="AD17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37" s="7">
        <f>IF(ISBLANK(patch[[#This Row],[number]]),AE1736,patch[[#This Row],[ifCommon]])</f>
        <v>0</v>
      </c>
    </row>
    <row r="1738" spans="1:31">
      <c r="A1738" s="151">
        <v>144165</v>
      </c>
      <c r="B1738" s="151"/>
      <c r="C1738" s="151"/>
      <c r="D1738" s="151"/>
      <c r="E1738" s="151"/>
      <c r="F1738" s="151"/>
      <c r="G1738" s="151"/>
      <c r="H1738" s="151"/>
      <c r="I1738" s="151"/>
      <c r="J1738" s="152">
        <v>42627.659537037027</v>
      </c>
      <c r="K1738" s="151"/>
      <c r="L1738" s="151" t="s">
        <v>115</v>
      </c>
      <c r="M1738" s="152">
        <v>42627.427800925929</v>
      </c>
      <c r="N1738" s="151" t="s">
        <v>2576</v>
      </c>
      <c r="O1738" s="151"/>
      <c r="P1738" s="151"/>
      <c r="Q1738" s="7" t="str">
        <f>IF(ISBLANK(patch[[#This Row],[OwnerEmail]]),Q1737,patch[[#This Row],[OwnerEmail]])</f>
        <v>gang.a.hu@intel.com</v>
      </c>
      <c r="R1738" s="7" t="str">
        <f>_xlfn.IFNA(VLOOKUP(patch[[#This Row],[tmp-owner.email]],OrgTree!$A:$K, 11, 0), "not ICG SWFW")</f>
        <v>BJ And dev</v>
      </c>
      <c r="S1738" s="7" t="str">
        <f>IF(patch[[#This Row],[reviewer]]=patch[[#This Row],[tmp-owner.email]], "author", _xlfn.IFNA(VLOOKUP(patch[[#This Row],[reviewer]],OrgTree!$A:$K, 11, 0), "not ICG SWFW"))</f>
        <v>Val</v>
      </c>
      <c r="T1738" s="7" t="str">
        <f>IF(ISBLANK(patch[[#This Row],[mergeDate]]), "", MID(YEAR(patch[[#This Row],[mergeDate]]), 3,2)&amp;"'ww"&amp;WEEKNUM(patch[[#This Row],[mergeDate]]))</f>
        <v>16'ww38</v>
      </c>
      <c r="U1738" s="7" t="str">
        <f>IF(ISBLANK(patch[[#This Row],[mergeDate]]), U1737, MID(YEAR(patch[[#This Row],[mergeDate]]), 3,2)&amp;"'m"&amp;MONTH(patch[[#This Row],[mergeDate]]))</f>
        <v>16'm9</v>
      </c>
      <c r="V1738" s="7" t="str">
        <f>IF(ISBLANK(patch[[#This Row],[project]]), "",SUM(patch[[#This Row],[BJ -1 num]:[SH -1 num]]))</f>
        <v/>
      </c>
      <c r="W1738" s="7" t="str">
        <f>IF(ISBLANK(patch[[#This Row],[project]]), "",COUNTIFS($A:$A,patch[[#This Row],[number]],$S:$S, "BJ And dev",$AC:$AC, "Review-1"))</f>
        <v/>
      </c>
      <c r="X1738" s="7" t="str">
        <f>IF(ISBLANK(patch[[#This Row],[project]]), "",COUNTIFS($A:$A,patch[[#This Row],[number]],$S:$S, "FL And dev",$AC:$AC, "Review-1"))</f>
        <v/>
      </c>
      <c r="Y1738" s="7" t="str">
        <f>IF(ISBLANK(patch[[#This Row],[project]]), "",COUNTIFS($A:$A,patch[[#This Row],[number]],$S:$S, "SH And dev",$AC:$AC, "Review-1"))</f>
        <v/>
      </c>
      <c r="Z1738" s="7" t="str">
        <f>IF(ISBLANK(patch[[#This Row],[project]]), "",COUNTIFS($A:$A,patch[[#This Row],[number]],$S:$S, "BJ And dev",$AD:$AD, "&lt;&gt;IntegratorValidationComment"))</f>
        <v/>
      </c>
      <c r="AA1738" s="7" t="str">
        <f>IF(ISBLANK(patch[[#This Row],[project]]), "",COUNTIFS($A:$A,patch[[#This Row],[number]],$S:$S, "FL And dev",$AD:$AD, "&lt;&gt;IntegratorValidationComment"))</f>
        <v/>
      </c>
      <c r="AB1738" s="7" t="str">
        <f>IF(ISBLANK(patch[[#This Row],[project]]), "",COUNTIFS($A:$A,patch[[#This Row],[number]],$S:$S, "SH And dev",$AD:$AD, "&lt;&gt;IntegratorValidationComment"))</f>
        <v/>
      </c>
      <c r="AC1738" s="7" t="str">
        <f>IF(OR(ISNUMBER(FIND("Review-1", patch[[#This Row],[comments]])), ISNUMBER(FIND("Approver-1", patch[[#This Row],[comments]]))), "Review-1", "")</f>
        <v/>
      </c>
      <c r="AD17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738" s="7">
        <f>IF(ISBLANK(patch[[#This Row],[number]]),AE1737,patch[[#This Row],[ifCommon]])</f>
        <v>0</v>
      </c>
    </row>
    <row r="1739" spans="1:31">
      <c r="A1739" s="151">
        <v>144165</v>
      </c>
      <c r="B1739" s="151"/>
      <c r="C1739" s="151"/>
      <c r="D1739" s="151"/>
      <c r="E1739" s="151"/>
      <c r="F1739" s="151"/>
      <c r="G1739" s="151"/>
      <c r="H1739" s="151"/>
      <c r="I1739" s="151"/>
      <c r="J1739" s="152">
        <v>42627.659537037027</v>
      </c>
      <c r="K1739" s="151"/>
      <c r="L1739" s="151" t="s">
        <v>115</v>
      </c>
      <c r="M1739" s="152">
        <v>42627.427847222221</v>
      </c>
      <c r="N1739" s="151" t="s">
        <v>2497</v>
      </c>
      <c r="O1739" s="151"/>
      <c r="P1739" s="151"/>
      <c r="Q1739" s="7" t="str">
        <f>IF(ISBLANK(patch[[#This Row],[OwnerEmail]]),Q1738,patch[[#This Row],[OwnerEmail]])</f>
        <v>gang.a.hu@intel.com</v>
      </c>
      <c r="R1739" s="7" t="str">
        <f>_xlfn.IFNA(VLOOKUP(patch[[#This Row],[tmp-owner.email]],OrgTree!$A:$K, 11, 0), "not ICG SWFW")</f>
        <v>BJ And dev</v>
      </c>
      <c r="S1739" s="7" t="str">
        <f>IF(patch[[#This Row],[reviewer]]=patch[[#This Row],[tmp-owner.email]], "author", _xlfn.IFNA(VLOOKUP(patch[[#This Row],[reviewer]],OrgTree!$A:$K, 11, 0), "not ICG SWFW"))</f>
        <v>Val</v>
      </c>
      <c r="T1739" s="7" t="str">
        <f>IF(ISBLANK(patch[[#This Row],[mergeDate]]), "", MID(YEAR(patch[[#This Row],[mergeDate]]), 3,2)&amp;"'ww"&amp;WEEKNUM(patch[[#This Row],[mergeDate]]))</f>
        <v>16'ww38</v>
      </c>
      <c r="U1739" s="7" t="str">
        <f>IF(ISBLANK(patch[[#This Row],[mergeDate]]), U1738, MID(YEAR(patch[[#This Row],[mergeDate]]), 3,2)&amp;"'m"&amp;MONTH(patch[[#This Row],[mergeDate]]))</f>
        <v>16'm9</v>
      </c>
      <c r="V1739" s="7" t="str">
        <f>IF(ISBLANK(patch[[#This Row],[project]]), "",SUM(patch[[#This Row],[BJ -1 num]:[SH -1 num]]))</f>
        <v/>
      </c>
      <c r="W1739" s="7" t="str">
        <f>IF(ISBLANK(patch[[#This Row],[project]]), "",COUNTIFS($A:$A,patch[[#This Row],[number]],$S:$S, "BJ And dev",$AC:$AC, "Review-1"))</f>
        <v/>
      </c>
      <c r="X1739" s="7" t="str">
        <f>IF(ISBLANK(patch[[#This Row],[project]]), "",COUNTIFS($A:$A,patch[[#This Row],[number]],$S:$S, "FL And dev",$AC:$AC, "Review-1"))</f>
        <v/>
      </c>
      <c r="Y1739" s="7" t="str">
        <f>IF(ISBLANK(patch[[#This Row],[project]]), "",COUNTIFS($A:$A,patch[[#This Row],[number]],$S:$S, "SH And dev",$AC:$AC, "Review-1"))</f>
        <v/>
      </c>
      <c r="Z1739" s="7" t="str">
        <f>IF(ISBLANK(patch[[#This Row],[project]]), "",COUNTIFS($A:$A,patch[[#This Row],[number]],$S:$S, "BJ And dev",$AD:$AD, "&lt;&gt;IntegratorValidationComment"))</f>
        <v/>
      </c>
      <c r="AA1739" s="7" t="str">
        <f>IF(ISBLANK(patch[[#This Row],[project]]), "",COUNTIFS($A:$A,patch[[#This Row],[number]],$S:$S, "FL And dev",$AD:$AD, "&lt;&gt;IntegratorValidationComment"))</f>
        <v/>
      </c>
      <c r="AB1739" s="7" t="str">
        <f>IF(ISBLANK(patch[[#This Row],[project]]), "",COUNTIFS($A:$A,patch[[#This Row],[number]],$S:$S, "SH And dev",$AD:$AD, "&lt;&gt;IntegratorValidationComment"))</f>
        <v/>
      </c>
      <c r="AC1739" s="7" t="str">
        <f>IF(OR(ISNUMBER(FIND("Review-1", patch[[#This Row],[comments]])), ISNUMBER(FIND("Approver-1", patch[[#This Row],[comments]]))), "Review-1", "")</f>
        <v/>
      </c>
      <c r="AD17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739" s="7">
        <f>IF(ISBLANK(patch[[#This Row],[number]]),AE1738,patch[[#This Row],[ifCommon]])</f>
        <v>0</v>
      </c>
    </row>
    <row r="1740" spans="1:31">
      <c r="A1740" s="151">
        <v>144090</v>
      </c>
      <c r="B1740" s="151" t="s">
        <v>2490</v>
      </c>
      <c r="C1740" s="151" t="s">
        <v>2491</v>
      </c>
      <c r="D1740" s="151" t="s">
        <v>3335</v>
      </c>
      <c r="E1740" s="151" t="s">
        <v>32</v>
      </c>
      <c r="F1740" s="151" t="s">
        <v>23</v>
      </c>
      <c r="G1740" s="151" t="s">
        <v>3336</v>
      </c>
      <c r="H1740" s="151" t="s">
        <v>3337</v>
      </c>
      <c r="I1740" s="152">
        <v>42621.702430555553</v>
      </c>
      <c r="J1740" s="152">
        <v>42627.659432870372</v>
      </c>
      <c r="K1740" s="151" t="s">
        <v>2445</v>
      </c>
      <c r="L1740" s="151" t="s">
        <v>32</v>
      </c>
      <c r="M1740" s="152">
        <v>42621.702430555553</v>
      </c>
      <c r="N1740" s="151" t="s">
        <v>25</v>
      </c>
      <c r="O1740" s="151"/>
      <c r="P1740" s="151" t="s">
        <v>3279</v>
      </c>
      <c r="Q1740" s="7" t="str">
        <f>IF(ISBLANK(patch[[#This Row],[OwnerEmail]]),Q1739,patch[[#This Row],[OwnerEmail]])</f>
        <v>gang.a.hu@intel.com</v>
      </c>
      <c r="R1740" s="7" t="str">
        <f>_xlfn.IFNA(VLOOKUP(patch[[#This Row],[tmp-owner.email]],OrgTree!$A:$K, 11, 0), "not ICG SWFW")</f>
        <v>BJ And dev</v>
      </c>
      <c r="S1740" s="7" t="str">
        <f>IF(patch[[#This Row],[reviewer]]=patch[[#This Row],[tmp-owner.email]], "author", _xlfn.IFNA(VLOOKUP(patch[[#This Row],[reviewer]],OrgTree!$A:$K, 11, 0), "not ICG SWFW"))</f>
        <v>author</v>
      </c>
      <c r="T1740" s="7" t="str">
        <f>IF(ISBLANK(patch[[#This Row],[mergeDate]]), "", MID(YEAR(patch[[#This Row],[mergeDate]]), 3,2)&amp;"'ww"&amp;WEEKNUM(patch[[#This Row],[mergeDate]]))</f>
        <v>16'ww38</v>
      </c>
      <c r="U1740" s="7" t="str">
        <f>IF(ISBLANK(patch[[#This Row],[mergeDate]]), U1739, MID(YEAR(patch[[#This Row],[mergeDate]]), 3,2)&amp;"'m"&amp;MONTH(patch[[#This Row],[mergeDate]]))</f>
        <v>16'm9</v>
      </c>
      <c r="V1740" s="7">
        <f>IF(ISBLANK(patch[[#This Row],[project]]), "",SUM(patch[[#This Row],[BJ -1 num]:[SH -1 num]]))</f>
        <v>1</v>
      </c>
      <c r="W1740" s="7">
        <f>IF(ISBLANK(patch[[#This Row],[project]]), "",COUNTIFS($A:$A,patch[[#This Row],[number]],$S:$S, "BJ And dev",$AC:$AC, "Review-1"))</f>
        <v>1</v>
      </c>
      <c r="X1740" s="7">
        <f>IF(ISBLANK(patch[[#This Row],[project]]), "",COUNTIFS($A:$A,patch[[#This Row],[number]],$S:$S, "FL And dev",$AC:$AC, "Review-1"))</f>
        <v>0</v>
      </c>
      <c r="Y1740" s="7">
        <f>IF(ISBLANK(patch[[#This Row],[project]]), "",COUNTIFS($A:$A,patch[[#This Row],[number]],$S:$S, "SH And dev",$AC:$AC, "Review-1"))</f>
        <v>0</v>
      </c>
      <c r="Z1740" s="7">
        <f>IF(ISBLANK(patch[[#This Row],[project]]), "",COUNTIFS($A:$A,patch[[#This Row],[number]],$S:$S, "BJ And dev",$AD:$AD, "&lt;&gt;IntegratorValidationComment"))</f>
        <v>11</v>
      </c>
      <c r="AA1740" s="7">
        <f>IF(ISBLANK(patch[[#This Row],[project]]), "",COUNTIFS($A:$A,patch[[#This Row],[number]],$S:$S, "FL And dev",$AD:$AD, "&lt;&gt;IntegratorValidationComment"))</f>
        <v>0</v>
      </c>
      <c r="AB1740" s="7">
        <f>IF(ISBLANK(patch[[#This Row],[project]]), "",COUNTIFS($A:$A,patch[[#This Row],[number]],$S:$S, "SH And dev",$AD:$AD, "&lt;&gt;IntegratorValidationComment"))</f>
        <v>0</v>
      </c>
      <c r="AC1740" s="7" t="str">
        <f>IF(OR(ISNUMBER(FIND("Review-1", patch[[#This Row],[comments]])), ISNUMBER(FIND("Approver-1", patch[[#This Row],[comments]]))), "Review-1", "")</f>
        <v/>
      </c>
      <c r="AD17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40" s="7" t="str">
        <f>IF(ISBLANK(patch[[#This Row],[number]]),AE1739,patch[[#This Row],[ifCommon]])</f>
        <v>not AndrHAL</v>
      </c>
    </row>
    <row r="1741" spans="1:31">
      <c r="A1741" s="151">
        <v>144090</v>
      </c>
      <c r="B1741" s="151"/>
      <c r="C1741" s="151"/>
      <c r="D1741" s="151"/>
      <c r="E1741" s="151"/>
      <c r="F1741" s="151"/>
      <c r="G1741" s="151"/>
      <c r="H1741" s="151"/>
      <c r="I1741" s="151"/>
      <c r="J1741" s="152">
        <v>42627.659432870372</v>
      </c>
      <c r="K1741" s="151"/>
      <c r="L1741" s="151" t="s">
        <v>32</v>
      </c>
      <c r="M1741" s="152">
        <v>42621.702476851853</v>
      </c>
      <c r="N1741" s="151" t="s">
        <v>2428</v>
      </c>
      <c r="O1741" s="151"/>
      <c r="P1741" s="151"/>
      <c r="Q1741" s="7" t="str">
        <f>IF(ISBLANK(patch[[#This Row],[OwnerEmail]]),Q1740,patch[[#This Row],[OwnerEmail]])</f>
        <v>gang.a.hu@intel.com</v>
      </c>
      <c r="R1741" s="7" t="str">
        <f>_xlfn.IFNA(VLOOKUP(patch[[#This Row],[tmp-owner.email]],OrgTree!$A:$K, 11, 0), "not ICG SWFW")</f>
        <v>BJ And dev</v>
      </c>
      <c r="S1741" s="7" t="str">
        <f>IF(patch[[#This Row],[reviewer]]=patch[[#This Row],[tmp-owner.email]], "author", _xlfn.IFNA(VLOOKUP(patch[[#This Row],[reviewer]],OrgTree!$A:$K, 11, 0), "not ICG SWFW"))</f>
        <v>author</v>
      </c>
      <c r="T1741" s="7" t="str">
        <f>IF(ISBLANK(patch[[#This Row],[mergeDate]]), "", MID(YEAR(patch[[#This Row],[mergeDate]]), 3,2)&amp;"'ww"&amp;WEEKNUM(patch[[#This Row],[mergeDate]]))</f>
        <v>16'ww38</v>
      </c>
      <c r="U1741" s="7" t="str">
        <f>IF(ISBLANK(patch[[#This Row],[mergeDate]]), U1740, MID(YEAR(patch[[#This Row],[mergeDate]]), 3,2)&amp;"'m"&amp;MONTH(patch[[#This Row],[mergeDate]]))</f>
        <v>16'm9</v>
      </c>
      <c r="V1741" s="7" t="str">
        <f>IF(ISBLANK(patch[[#This Row],[project]]), "",SUM(patch[[#This Row],[BJ -1 num]:[SH -1 num]]))</f>
        <v/>
      </c>
      <c r="W1741" s="7" t="str">
        <f>IF(ISBLANK(patch[[#This Row],[project]]), "",COUNTIFS($A:$A,patch[[#This Row],[number]],$S:$S, "BJ And dev",$AC:$AC, "Review-1"))</f>
        <v/>
      </c>
      <c r="X1741" s="7" t="str">
        <f>IF(ISBLANK(patch[[#This Row],[project]]), "",COUNTIFS($A:$A,patch[[#This Row],[number]],$S:$S, "FL And dev",$AC:$AC, "Review-1"))</f>
        <v/>
      </c>
      <c r="Y1741" s="7" t="str">
        <f>IF(ISBLANK(patch[[#This Row],[project]]), "",COUNTIFS($A:$A,patch[[#This Row],[number]],$S:$S, "SH And dev",$AC:$AC, "Review-1"))</f>
        <v/>
      </c>
      <c r="Z1741" s="7" t="str">
        <f>IF(ISBLANK(patch[[#This Row],[project]]), "",COUNTIFS($A:$A,patch[[#This Row],[number]],$S:$S, "BJ And dev",$AD:$AD, "&lt;&gt;IntegratorValidationComment"))</f>
        <v/>
      </c>
      <c r="AA1741" s="7" t="str">
        <f>IF(ISBLANK(patch[[#This Row],[project]]), "",COUNTIFS($A:$A,patch[[#This Row],[number]],$S:$S, "FL And dev",$AD:$AD, "&lt;&gt;IntegratorValidationComment"))</f>
        <v/>
      </c>
      <c r="AB1741" s="7" t="str">
        <f>IF(ISBLANK(patch[[#This Row],[project]]), "",COUNTIFS($A:$A,patch[[#This Row],[number]],$S:$S, "SH And dev",$AD:$AD, "&lt;&gt;IntegratorValidationComment"))</f>
        <v/>
      </c>
      <c r="AC1741" s="7" t="str">
        <f>IF(OR(ISNUMBER(FIND("Review-1", patch[[#This Row],[comments]])), ISNUMBER(FIND("Approver-1", patch[[#This Row],[comments]]))), "Review-1", "")</f>
        <v/>
      </c>
      <c r="AD17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41" s="7">
        <f>IF(ISBLANK(patch[[#This Row],[number]]),AE1740,patch[[#This Row],[ifCommon]])</f>
        <v>0</v>
      </c>
    </row>
    <row r="1742" spans="1:31">
      <c r="A1742" s="151">
        <v>144090</v>
      </c>
      <c r="B1742" s="151"/>
      <c r="C1742" s="151"/>
      <c r="D1742" s="151"/>
      <c r="E1742" s="151"/>
      <c r="F1742" s="151"/>
      <c r="G1742" s="151"/>
      <c r="H1742" s="151"/>
      <c r="I1742" s="152"/>
      <c r="J1742" s="152">
        <v>42627.659432870372</v>
      </c>
      <c r="K1742" s="151"/>
      <c r="L1742" s="151" t="s">
        <v>32</v>
      </c>
      <c r="M1742" s="152">
        <v>42621.705868055556</v>
      </c>
      <c r="N1742" s="151" t="s">
        <v>40</v>
      </c>
      <c r="O1742" s="151"/>
      <c r="P1742" s="151"/>
      <c r="Q1742" s="7" t="str">
        <f>IF(ISBLANK(patch[[#This Row],[OwnerEmail]]),Q1741,patch[[#This Row],[OwnerEmail]])</f>
        <v>gang.a.hu@intel.com</v>
      </c>
      <c r="R1742" s="7" t="str">
        <f>_xlfn.IFNA(VLOOKUP(patch[[#This Row],[tmp-owner.email]],OrgTree!$A:$K, 11, 0), "not ICG SWFW")</f>
        <v>BJ And dev</v>
      </c>
      <c r="S1742" s="7" t="str">
        <f>IF(patch[[#This Row],[reviewer]]=patch[[#This Row],[tmp-owner.email]], "author", _xlfn.IFNA(VLOOKUP(patch[[#This Row],[reviewer]],OrgTree!$A:$K, 11, 0), "not ICG SWFW"))</f>
        <v>author</v>
      </c>
      <c r="T1742" s="7" t="str">
        <f>IF(ISBLANK(patch[[#This Row],[mergeDate]]), "", MID(YEAR(patch[[#This Row],[mergeDate]]), 3,2)&amp;"'ww"&amp;WEEKNUM(patch[[#This Row],[mergeDate]]))</f>
        <v>16'ww38</v>
      </c>
      <c r="U1742" s="7" t="str">
        <f>IF(ISBLANK(patch[[#This Row],[mergeDate]]), U1741, MID(YEAR(patch[[#This Row],[mergeDate]]), 3,2)&amp;"'m"&amp;MONTH(patch[[#This Row],[mergeDate]]))</f>
        <v>16'm9</v>
      </c>
      <c r="V1742" s="7" t="str">
        <f>IF(ISBLANK(patch[[#This Row],[project]]), "",SUM(patch[[#This Row],[BJ -1 num]:[SH -1 num]]))</f>
        <v/>
      </c>
      <c r="W1742" s="7" t="str">
        <f>IF(ISBLANK(patch[[#This Row],[project]]), "",COUNTIFS($A:$A,patch[[#This Row],[number]],$S:$S, "BJ And dev",$AC:$AC, "Review-1"))</f>
        <v/>
      </c>
      <c r="X1742" s="7" t="str">
        <f>IF(ISBLANK(patch[[#This Row],[project]]), "",COUNTIFS($A:$A,patch[[#This Row],[number]],$S:$S, "FL And dev",$AC:$AC, "Review-1"))</f>
        <v/>
      </c>
      <c r="Y1742" s="7" t="str">
        <f>IF(ISBLANK(patch[[#This Row],[project]]), "",COUNTIFS($A:$A,patch[[#This Row],[number]],$S:$S, "SH And dev",$AC:$AC, "Review-1"))</f>
        <v/>
      </c>
      <c r="Z1742" s="7" t="str">
        <f>IF(ISBLANK(patch[[#This Row],[project]]), "",COUNTIFS($A:$A,patch[[#This Row],[number]],$S:$S, "BJ And dev",$AD:$AD, "&lt;&gt;IntegratorValidationComment"))</f>
        <v/>
      </c>
      <c r="AA1742" s="7" t="str">
        <f>IF(ISBLANK(patch[[#This Row],[project]]), "",COUNTIFS($A:$A,patch[[#This Row],[number]],$S:$S, "FL And dev",$AD:$AD, "&lt;&gt;IntegratorValidationComment"))</f>
        <v/>
      </c>
      <c r="AB1742" s="7" t="str">
        <f>IF(ISBLANK(patch[[#This Row],[project]]), "",COUNTIFS($A:$A,patch[[#This Row],[number]],$S:$S, "SH And dev",$AD:$AD, "&lt;&gt;IntegratorValidationComment"))</f>
        <v/>
      </c>
      <c r="AC1742" s="7" t="str">
        <f>IF(OR(ISNUMBER(FIND("Review-1", patch[[#This Row],[comments]])), ISNUMBER(FIND("Approver-1", patch[[#This Row],[comments]]))), "Review-1", "")</f>
        <v/>
      </c>
      <c r="AD17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42" s="7">
        <f>IF(ISBLANK(patch[[#This Row],[number]]),AE1741,patch[[#This Row],[ifCommon]])</f>
        <v>0</v>
      </c>
    </row>
    <row r="1743" spans="1:31">
      <c r="A1743" s="151">
        <v>144090</v>
      </c>
      <c r="B1743" s="151"/>
      <c r="C1743" s="151"/>
      <c r="D1743" s="151"/>
      <c r="E1743" s="151"/>
      <c r="F1743" s="151"/>
      <c r="G1743" s="151"/>
      <c r="H1743" s="151"/>
      <c r="I1743" s="151"/>
      <c r="J1743" s="152">
        <v>42627.659432870372</v>
      </c>
      <c r="K1743" s="151"/>
      <c r="L1743" s="151" t="s">
        <v>59</v>
      </c>
      <c r="M1743" s="152">
        <v>42621.710497685177</v>
      </c>
      <c r="N1743" s="151" t="s">
        <v>3442</v>
      </c>
      <c r="O1743" s="151"/>
      <c r="P1743" s="151"/>
      <c r="Q1743" s="7" t="str">
        <f>IF(ISBLANK(patch[[#This Row],[OwnerEmail]]),Q1742,patch[[#This Row],[OwnerEmail]])</f>
        <v>gang.a.hu@intel.com</v>
      </c>
      <c r="R1743" s="7" t="str">
        <f>_xlfn.IFNA(VLOOKUP(patch[[#This Row],[tmp-owner.email]],OrgTree!$A:$K, 11, 0), "not ICG SWFW")</f>
        <v>BJ And dev</v>
      </c>
      <c r="S1743" s="7" t="str">
        <f>IF(patch[[#This Row],[reviewer]]=patch[[#This Row],[tmp-owner.email]], "author", _xlfn.IFNA(VLOOKUP(patch[[#This Row],[reviewer]],OrgTree!$A:$K, 11, 0), "not ICG SWFW"))</f>
        <v>BJ And dev</v>
      </c>
      <c r="T1743" s="7" t="str">
        <f>IF(ISBLANK(patch[[#This Row],[mergeDate]]), "", MID(YEAR(patch[[#This Row],[mergeDate]]), 3,2)&amp;"'ww"&amp;WEEKNUM(patch[[#This Row],[mergeDate]]))</f>
        <v>16'ww38</v>
      </c>
      <c r="U1743" s="7" t="str">
        <f>IF(ISBLANK(patch[[#This Row],[mergeDate]]), U1742, MID(YEAR(patch[[#This Row],[mergeDate]]), 3,2)&amp;"'m"&amp;MONTH(patch[[#This Row],[mergeDate]]))</f>
        <v>16'm9</v>
      </c>
      <c r="V1743" s="7" t="str">
        <f>IF(ISBLANK(patch[[#This Row],[project]]), "",SUM(patch[[#This Row],[BJ -1 num]:[SH -1 num]]))</f>
        <v/>
      </c>
      <c r="W1743" s="7" t="str">
        <f>IF(ISBLANK(patch[[#This Row],[project]]), "",COUNTIFS($A:$A,patch[[#This Row],[number]],$S:$S, "BJ And dev",$AC:$AC, "Review-1"))</f>
        <v/>
      </c>
      <c r="X1743" s="7" t="str">
        <f>IF(ISBLANK(patch[[#This Row],[project]]), "",COUNTIFS($A:$A,patch[[#This Row],[number]],$S:$S, "FL And dev",$AC:$AC, "Review-1"))</f>
        <v/>
      </c>
      <c r="Y1743" s="7" t="str">
        <f>IF(ISBLANK(patch[[#This Row],[project]]), "",COUNTIFS($A:$A,patch[[#This Row],[number]],$S:$S, "SH And dev",$AC:$AC, "Review-1"))</f>
        <v/>
      </c>
      <c r="Z1743" s="7" t="str">
        <f>IF(ISBLANK(patch[[#This Row],[project]]), "",COUNTIFS($A:$A,patch[[#This Row],[number]],$S:$S, "BJ And dev",$AD:$AD, "&lt;&gt;IntegratorValidationComment"))</f>
        <v/>
      </c>
      <c r="AA1743" s="7" t="str">
        <f>IF(ISBLANK(patch[[#This Row],[project]]), "",COUNTIFS($A:$A,patch[[#This Row],[number]],$S:$S, "FL And dev",$AD:$AD, "&lt;&gt;IntegratorValidationComment"))</f>
        <v/>
      </c>
      <c r="AB1743" s="7" t="str">
        <f>IF(ISBLANK(patch[[#This Row],[project]]), "",COUNTIFS($A:$A,patch[[#This Row],[number]],$S:$S, "SH And dev",$AD:$AD, "&lt;&gt;IntegratorValidationComment"))</f>
        <v/>
      </c>
      <c r="AC1743" s="7" t="str">
        <f>IF(OR(ISNUMBER(FIND("Review-1", patch[[#This Row],[comments]])), ISNUMBER(FIND("Approver-1", patch[[#This Row],[comments]]))), "Review-1", "")</f>
        <v/>
      </c>
      <c r="AD17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43" s="7">
        <f>IF(ISBLANK(patch[[#This Row],[number]]),AE1742,patch[[#This Row],[ifCommon]])</f>
        <v>0</v>
      </c>
    </row>
    <row r="1744" spans="1:31">
      <c r="A1744" s="151">
        <v>144090</v>
      </c>
      <c r="B1744" s="151"/>
      <c r="C1744" s="151"/>
      <c r="D1744" s="151"/>
      <c r="E1744" s="151"/>
      <c r="F1744" s="151"/>
      <c r="G1744" s="151"/>
      <c r="H1744" s="151"/>
      <c r="I1744" s="151"/>
      <c r="J1744" s="152">
        <v>42627.659432870372</v>
      </c>
      <c r="K1744" s="151"/>
      <c r="L1744" s="151" t="s">
        <v>32</v>
      </c>
      <c r="M1744" s="152">
        <v>42621.842291666668</v>
      </c>
      <c r="N1744" s="151" t="s">
        <v>29</v>
      </c>
      <c r="O1744" s="151"/>
      <c r="P1744" s="151"/>
      <c r="Q1744" s="7" t="str">
        <f>IF(ISBLANK(patch[[#This Row],[OwnerEmail]]),Q1743,patch[[#This Row],[OwnerEmail]])</f>
        <v>gang.a.hu@intel.com</v>
      </c>
      <c r="R1744" s="7" t="str">
        <f>_xlfn.IFNA(VLOOKUP(patch[[#This Row],[tmp-owner.email]],OrgTree!$A:$K, 11, 0), "not ICG SWFW")</f>
        <v>BJ And dev</v>
      </c>
      <c r="S1744" s="7" t="str">
        <f>IF(patch[[#This Row],[reviewer]]=patch[[#This Row],[tmp-owner.email]], "author", _xlfn.IFNA(VLOOKUP(patch[[#This Row],[reviewer]],OrgTree!$A:$K, 11, 0), "not ICG SWFW"))</f>
        <v>author</v>
      </c>
      <c r="T1744" s="7" t="str">
        <f>IF(ISBLANK(patch[[#This Row],[mergeDate]]), "", MID(YEAR(patch[[#This Row],[mergeDate]]), 3,2)&amp;"'ww"&amp;WEEKNUM(patch[[#This Row],[mergeDate]]))</f>
        <v>16'ww38</v>
      </c>
      <c r="U1744" s="7" t="str">
        <f>IF(ISBLANK(patch[[#This Row],[mergeDate]]), U1743, MID(YEAR(patch[[#This Row],[mergeDate]]), 3,2)&amp;"'m"&amp;MONTH(patch[[#This Row],[mergeDate]]))</f>
        <v>16'm9</v>
      </c>
      <c r="V1744" s="7" t="str">
        <f>IF(ISBLANK(patch[[#This Row],[project]]), "",SUM(patch[[#This Row],[BJ -1 num]:[SH -1 num]]))</f>
        <v/>
      </c>
      <c r="W1744" s="7" t="str">
        <f>IF(ISBLANK(patch[[#This Row],[project]]), "",COUNTIFS($A:$A,patch[[#This Row],[number]],$S:$S, "BJ And dev",$AC:$AC, "Review-1"))</f>
        <v/>
      </c>
      <c r="X1744" s="7" t="str">
        <f>IF(ISBLANK(patch[[#This Row],[project]]), "",COUNTIFS($A:$A,patch[[#This Row],[number]],$S:$S, "FL And dev",$AC:$AC, "Review-1"))</f>
        <v/>
      </c>
      <c r="Y1744" s="7" t="str">
        <f>IF(ISBLANK(patch[[#This Row],[project]]), "",COUNTIFS($A:$A,patch[[#This Row],[number]],$S:$S, "SH And dev",$AC:$AC, "Review-1"))</f>
        <v/>
      </c>
      <c r="Z1744" s="7" t="str">
        <f>IF(ISBLANK(patch[[#This Row],[project]]), "",COUNTIFS($A:$A,patch[[#This Row],[number]],$S:$S, "BJ And dev",$AD:$AD, "&lt;&gt;IntegratorValidationComment"))</f>
        <v/>
      </c>
      <c r="AA1744" s="7" t="str">
        <f>IF(ISBLANK(patch[[#This Row],[project]]), "",COUNTIFS($A:$A,patch[[#This Row],[number]],$S:$S, "FL And dev",$AD:$AD, "&lt;&gt;IntegratorValidationComment"))</f>
        <v/>
      </c>
      <c r="AB1744" s="7" t="str">
        <f>IF(ISBLANK(patch[[#This Row],[project]]), "",COUNTIFS($A:$A,patch[[#This Row],[number]],$S:$S, "SH And dev",$AD:$AD, "&lt;&gt;IntegratorValidationComment"))</f>
        <v/>
      </c>
      <c r="AC1744" s="7" t="str">
        <f>IF(OR(ISNUMBER(FIND("Review-1", patch[[#This Row],[comments]])), ISNUMBER(FIND("Approver-1", patch[[#This Row],[comments]]))), "Review-1", "")</f>
        <v/>
      </c>
      <c r="AD17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44" s="7">
        <f>IF(ISBLANK(patch[[#This Row],[number]]),AE1743,patch[[#This Row],[ifCommon]])</f>
        <v>0</v>
      </c>
    </row>
    <row r="1745" spans="1:31">
      <c r="A1745" s="151">
        <v>144090</v>
      </c>
      <c r="B1745" s="151"/>
      <c r="C1745" s="151"/>
      <c r="D1745" s="151"/>
      <c r="E1745" s="151"/>
      <c r="F1745" s="151"/>
      <c r="G1745" s="151"/>
      <c r="H1745" s="151"/>
      <c r="I1745" s="151"/>
      <c r="J1745" s="152">
        <v>42627.659432870372</v>
      </c>
      <c r="K1745" s="151"/>
      <c r="L1745" s="151" t="s">
        <v>32</v>
      </c>
      <c r="M1745" s="152">
        <v>42621.842303240737</v>
      </c>
      <c r="N1745" s="151" t="s">
        <v>2429</v>
      </c>
      <c r="O1745" s="151"/>
      <c r="P1745" s="151"/>
      <c r="Q1745" s="7" t="str">
        <f>IF(ISBLANK(patch[[#This Row],[OwnerEmail]]),Q1744,patch[[#This Row],[OwnerEmail]])</f>
        <v>gang.a.hu@intel.com</v>
      </c>
      <c r="R1745" s="7" t="str">
        <f>_xlfn.IFNA(VLOOKUP(patch[[#This Row],[tmp-owner.email]],OrgTree!$A:$K, 11, 0), "not ICG SWFW")</f>
        <v>BJ And dev</v>
      </c>
      <c r="S1745" s="7" t="str">
        <f>IF(patch[[#This Row],[reviewer]]=patch[[#This Row],[tmp-owner.email]], "author", _xlfn.IFNA(VLOOKUP(patch[[#This Row],[reviewer]],OrgTree!$A:$K, 11, 0), "not ICG SWFW"))</f>
        <v>author</v>
      </c>
      <c r="T1745" s="7" t="str">
        <f>IF(ISBLANK(patch[[#This Row],[mergeDate]]), "", MID(YEAR(patch[[#This Row],[mergeDate]]), 3,2)&amp;"'ww"&amp;WEEKNUM(patch[[#This Row],[mergeDate]]))</f>
        <v>16'ww38</v>
      </c>
      <c r="U1745" s="7" t="str">
        <f>IF(ISBLANK(patch[[#This Row],[mergeDate]]), U1744, MID(YEAR(patch[[#This Row],[mergeDate]]), 3,2)&amp;"'m"&amp;MONTH(patch[[#This Row],[mergeDate]]))</f>
        <v>16'm9</v>
      </c>
      <c r="V1745" s="7" t="str">
        <f>IF(ISBLANK(patch[[#This Row],[project]]), "",SUM(patch[[#This Row],[BJ -1 num]:[SH -1 num]]))</f>
        <v/>
      </c>
      <c r="W1745" s="7" t="str">
        <f>IF(ISBLANK(patch[[#This Row],[project]]), "",COUNTIFS($A:$A,patch[[#This Row],[number]],$S:$S, "BJ And dev",$AC:$AC, "Review-1"))</f>
        <v/>
      </c>
      <c r="X1745" s="7" t="str">
        <f>IF(ISBLANK(patch[[#This Row],[project]]), "",COUNTIFS($A:$A,patch[[#This Row],[number]],$S:$S, "FL And dev",$AC:$AC, "Review-1"))</f>
        <v/>
      </c>
      <c r="Y1745" s="7" t="str">
        <f>IF(ISBLANK(patch[[#This Row],[project]]), "",COUNTIFS($A:$A,patch[[#This Row],[number]],$S:$S, "SH And dev",$AC:$AC, "Review-1"))</f>
        <v/>
      </c>
      <c r="Z1745" s="7" t="str">
        <f>IF(ISBLANK(patch[[#This Row],[project]]), "",COUNTIFS($A:$A,patch[[#This Row],[number]],$S:$S, "BJ And dev",$AD:$AD, "&lt;&gt;IntegratorValidationComment"))</f>
        <v/>
      </c>
      <c r="AA1745" s="7" t="str">
        <f>IF(ISBLANK(patch[[#This Row],[project]]), "",COUNTIFS($A:$A,patch[[#This Row],[number]],$S:$S, "FL And dev",$AD:$AD, "&lt;&gt;IntegratorValidationComment"))</f>
        <v/>
      </c>
      <c r="AB1745" s="7" t="str">
        <f>IF(ISBLANK(patch[[#This Row],[project]]), "",COUNTIFS($A:$A,patch[[#This Row],[number]],$S:$S, "SH And dev",$AD:$AD, "&lt;&gt;IntegratorValidationComment"))</f>
        <v/>
      </c>
      <c r="AC1745" s="7" t="str">
        <f>IF(OR(ISNUMBER(FIND("Review-1", patch[[#This Row],[comments]])), ISNUMBER(FIND("Approver-1", patch[[#This Row],[comments]]))), "Review-1", "")</f>
        <v/>
      </c>
      <c r="AD17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45" s="7">
        <f>IF(ISBLANK(patch[[#This Row],[number]]),AE1744,patch[[#This Row],[ifCommon]])</f>
        <v>0</v>
      </c>
    </row>
    <row r="1746" spans="1:31">
      <c r="A1746" s="151">
        <v>144090</v>
      </c>
      <c r="B1746" s="151"/>
      <c r="C1746" s="151"/>
      <c r="D1746" s="151"/>
      <c r="E1746" s="151"/>
      <c r="F1746" s="151"/>
      <c r="G1746" s="151"/>
      <c r="H1746" s="151"/>
      <c r="I1746" s="151"/>
      <c r="J1746" s="152">
        <v>42627.659432870372</v>
      </c>
      <c r="K1746" s="151"/>
      <c r="L1746" s="151" t="s">
        <v>32</v>
      </c>
      <c r="M1746" s="152">
        <v>42621.842581018522</v>
      </c>
      <c r="N1746" s="151" t="s">
        <v>27</v>
      </c>
      <c r="O1746" s="151"/>
      <c r="P1746" s="151"/>
      <c r="Q1746" s="7" t="str">
        <f>IF(ISBLANK(patch[[#This Row],[OwnerEmail]]),Q1745,patch[[#This Row],[OwnerEmail]])</f>
        <v>gang.a.hu@intel.com</v>
      </c>
      <c r="R1746" s="7" t="str">
        <f>_xlfn.IFNA(VLOOKUP(patch[[#This Row],[tmp-owner.email]],OrgTree!$A:$K, 11, 0), "not ICG SWFW")</f>
        <v>BJ And dev</v>
      </c>
      <c r="S1746" s="7" t="str">
        <f>IF(patch[[#This Row],[reviewer]]=patch[[#This Row],[tmp-owner.email]], "author", _xlfn.IFNA(VLOOKUP(patch[[#This Row],[reviewer]],OrgTree!$A:$K, 11, 0), "not ICG SWFW"))</f>
        <v>author</v>
      </c>
      <c r="T1746" s="7" t="str">
        <f>IF(ISBLANK(patch[[#This Row],[mergeDate]]), "", MID(YEAR(patch[[#This Row],[mergeDate]]), 3,2)&amp;"'ww"&amp;WEEKNUM(patch[[#This Row],[mergeDate]]))</f>
        <v>16'ww38</v>
      </c>
      <c r="U1746" s="7" t="str">
        <f>IF(ISBLANK(patch[[#This Row],[mergeDate]]), U1745, MID(YEAR(patch[[#This Row],[mergeDate]]), 3,2)&amp;"'m"&amp;MONTH(patch[[#This Row],[mergeDate]]))</f>
        <v>16'm9</v>
      </c>
      <c r="V1746" s="7" t="str">
        <f>IF(ISBLANK(patch[[#This Row],[project]]), "",SUM(patch[[#This Row],[BJ -1 num]:[SH -1 num]]))</f>
        <v/>
      </c>
      <c r="W1746" s="7" t="str">
        <f>IF(ISBLANK(patch[[#This Row],[project]]), "",COUNTIFS($A:$A,patch[[#This Row],[number]],$S:$S, "BJ And dev",$AC:$AC, "Review-1"))</f>
        <v/>
      </c>
      <c r="X1746" s="7" t="str">
        <f>IF(ISBLANK(patch[[#This Row],[project]]), "",COUNTIFS($A:$A,patch[[#This Row],[number]],$S:$S, "FL And dev",$AC:$AC, "Review-1"))</f>
        <v/>
      </c>
      <c r="Y1746" s="7" t="str">
        <f>IF(ISBLANK(patch[[#This Row],[project]]), "",COUNTIFS($A:$A,patch[[#This Row],[number]],$S:$S, "SH And dev",$AC:$AC, "Review-1"))</f>
        <v/>
      </c>
      <c r="Z1746" s="7" t="str">
        <f>IF(ISBLANK(patch[[#This Row],[project]]), "",COUNTIFS($A:$A,patch[[#This Row],[number]],$S:$S, "BJ And dev",$AD:$AD, "&lt;&gt;IntegratorValidationComment"))</f>
        <v/>
      </c>
      <c r="AA1746" s="7" t="str">
        <f>IF(ISBLANK(patch[[#This Row],[project]]), "",COUNTIFS($A:$A,patch[[#This Row],[number]],$S:$S, "FL And dev",$AD:$AD, "&lt;&gt;IntegratorValidationComment"))</f>
        <v/>
      </c>
      <c r="AB1746" s="7" t="str">
        <f>IF(ISBLANK(patch[[#This Row],[project]]), "",COUNTIFS($A:$A,patch[[#This Row],[number]],$S:$S, "SH And dev",$AD:$AD, "&lt;&gt;IntegratorValidationComment"))</f>
        <v/>
      </c>
      <c r="AC1746" s="7" t="str">
        <f>IF(OR(ISNUMBER(FIND("Review-1", patch[[#This Row],[comments]])), ISNUMBER(FIND("Approver-1", patch[[#This Row],[comments]]))), "Review-1", "")</f>
        <v/>
      </c>
      <c r="AD17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46" s="7">
        <f>IF(ISBLANK(patch[[#This Row],[number]]),AE1745,patch[[#This Row],[ifCommon]])</f>
        <v>0</v>
      </c>
    </row>
    <row r="1747" spans="1:31">
      <c r="A1747" s="151">
        <v>144090</v>
      </c>
      <c r="B1747" s="151"/>
      <c r="C1747" s="151"/>
      <c r="D1747" s="151"/>
      <c r="E1747" s="151"/>
      <c r="F1747" s="151"/>
      <c r="G1747" s="151"/>
      <c r="H1747" s="151"/>
      <c r="I1747" s="151"/>
      <c r="J1747" s="152">
        <v>42627.659432870372</v>
      </c>
      <c r="K1747" s="151"/>
      <c r="L1747" s="151" t="s">
        <v>59</v>
      </c>
      <c r="M1747" s="152">
        <v>42622.37740740741</v>
      </c>
      <c r="N1747" s="151" t="s">
        <v>3443</v>
      </c>
      <c r="O1747" s="151"/>
      <c r="P1747" s="151"/>
      <c r="Q1747" s="7" t="str">
        <f>IF(ISBLANK(patch[[#This Row],[OwnerEmail]]),Q1746,patch[[#This Row],[OwnerEmail]])</f>
        <v>gang.a.hu@intel.com</v>
      </c>
      <c r="R1747" s="7" t="str">
        <f>_xlfn.IFNA(VLOOKUP(patch[[#This Row],[tmp-owner.email]],OrgTree!$A:$K, 11, 0), "not ICG SWFW")</f>
        <v>BJ And dev</v>
      </c>
      <c r="S1747" s="7" t="str">
        <f>IF(patch[[#This Row],[reviewer]]=patch[[#This Row],[tmp-owner.email]], "author", _xlfn.IFNA(VLOOKUP(patch[[#This Row],[reviewer]],OrgTree!$A:$K, 11, 0), "not ICG SWFW"))</f>
        <v>BJ And dev</v>
      </c>
      <c r="T1747" s="7" t="str">
        <f>IF(ISBLANK(patch[[#This Row],[mergeDate]]), "", MID(YEAR(patch[[#This Row],[mergeDate]]), 3,2)&amp;"'ww"&amp;WEEKNUM(patch[[#This Row],[mergeDate]]))</f>
        <v>16'ww38</v>
      </c>
      <c r="U1747" s="7" t="str">
        <f>IF(ISBLANK(patch[[#This Row],[mergeDate]]), U1746, MID(YEAR(patch[[#This Row],[mergeDate]]), 3,2)&amp;"'m"&amp;MONTH(patch[[#This Row],[mergeDate]]))</f>
        <v>16'm9</v>
      </c>
      <c r="V1747" s="7" t="str">
        <f>IF(ISBLANK(patch[[#This Row],[project]]), "",SUM(patch[[#This Row],[BJ -1 num]:[SH -1 num]]))</f>
        <v/>
      </c>
      <c r="W1747" s="7" t="str">
        <f>IF(ISBLANK(patch[[#This Row],[project]]), "",COUNTIFS($A:$A,patch[[#This Row],[number]],$S:$S, "BJ And dev",$AC:$AC, "Review-1"))</f>
        <v/>
      </c>
      <c r="X1747" s="7" t="str">
        <f>IF(ISBLANK(patch[[#This Row],[project]]), "",COUNTIFS($A:$A,patch[[#This Row],[number]],$S:$S, "FL And dev",$AC:$AC, "Review-1"))</f>
        <v/>
      </c>
      <c r="Y1747" s="7" t="str">
        <f>IF(ISBLANK(patch[[#This Row],[project]]), "",COUNTIFS($A:$A,patch[[#This Row],[number]],$S:$S, "SH And dev",$AC:$AC, "Review-1"))</f>
        <v/>
      </c>
      <c r="Z1747" s="7" t="str">
        <f>IF(ISBLANK(patch[[#This Row],[project]]), "",COUNTIFS($A:$A,patch[[#This Row],[number]],$S:$S, "BJ And dev",$AD:$AD, "&lt;&gt;IntegratorValidationComment"))</f>
        <v/>
      </c>
      <c r="AA1747" s="7" t="str">
        <f>IF(ISBLANK(patch[[#This Row],[project]]), "",COUNTIFS($A:$A,patch[[#This Row],[number]],$S:$S, "FL And dev",$AD:$AD, "&lt;&gt;IntegratorValidationComment"))</f>
        <v/>
      </c>
      <c r="AB1747" s="7" t="str">
        <f>IF(ISBLANK(patch[[#This Row],[project]]), "",COUNTIFS($A:$A,patch[[#This Row],[number]],$S:$S, "SH And dev",$AD:$AD, "&lt;&gt;IntegratorValidationComment"))</f>
        <v/>
      </c>
      <c r="AC1747" s="7" t="str">
        <f>IF(OR(ISNUMBER(FIND("Review-1", patch[[#This Row],[comments]])), ISNUMBER(FIND("Approver-1", patch[[#This Row],[comments]]))), "Review-1", "")</f>
        <v/>
      </c>
      <c r="AD17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47" s="7">
        <f>IF(ISBLANK(patch[[#This Row],[number]]),AE1746,patch[[#This Row],[ifCommon]])</f>
        <v>0</v>
      </c>
    </row>
    <row r="1748" spans="1:31">
      <c r="A1748" s="151">
        <v>144090</v>
      </c>
      <c r="B1748" s="151"/>
      <c r="C1748" s="151"/>
      <c r="D1748" s="151"/>
      <c r="E1748" s="151"/>
      <c r="F1748" s="151"/>
      <c r="G1748" s="151"/>
      <c r="H1748" s="151"/>
      <c r="I1748" s="151"/>
      <c r="J1748" s="152">
        <v>42627.659432870372</v>
      </c>
      <c r="K1748" s="151"/>
      <c r="L1748" s="151" t="s">
        <v>59</v>
      </c>
      <c r="M1748" s="152">
        <v>42622.38585648148</v>
      </c>
      <c r="N1748" s="151" t="s">
        <v>3444</v>
      </c>
      <c r="O1748" s="151"/>
      <c r="P1748" s="151"/>
      <c r="Q1748" s="7" t="str">
        <f>IF(ISBLANK(patch[[#This Row],[OwnerEmail]]),Q1747,patch[[#This Row],[OwnerEmail]])</f>
        <v>gang.a.hu@intel.com</v>
      </c>
      <c r="R1748" s="7" t="str">
        <f>_xlfn.IFNA(VLOOKUP(patch[[#This Row],[tmp-owner.email]],OrgTree!$A:$K, 11, 0), "not ICG SWFW")</f>
        <v>BJ And dev</v>
      </c>
      <c r="S1748" s="7" t="str">
        <f>IF(patch[[#This Row],[reviewer]]=patch[[#This Row],[tmp-owner.email]], "author", _xlfn.IFNA(VLOOKUP(patch[[#This Row],[reviewer]],OrgTree!$A:$K, 11, 0), "not ICG SWFW"))</f>
        <v>BJ And dev</v>
      </c>
      <c r="T1748" s="7" t="str">
        <f>IF(ISBLANK(patch[[#This Row],[mergeDate]]), "", MID(YEAR(patch[[#This Row],[mergeDate]]), 3,2)&amp;"'ww"&amp;WEEKNUM(patch[[#This Row],[mergeDate]]))</f>
        <v>16'ww38</v>
      </c>
      <c r="U1748" s="7" t="str">
        <f>IF(ISBLANK(patch[[#This Row],[mergeDate]]), U1747, MID(YEAR(patch[[#This Row],[mergeDate]]), 3,2)&amp;"'m"&amp;MONTH(patch[[#This Row],[mergeDate]]))</f>
        <v>16'm9</v>
      </c>
      <c r="V1748" s="7" t="str">
        <f>IF(ISBLANK(patch[[#This Row],[project]]), "",SUM(patch[[#This Row],[BJ -1 num]:[SH -1 num]]))</f>
        <v/>
      </c>
      <c r="W1748" s="7" t="str">
        <f>IF(ISBLANK(patch[[#This Row],[project]]), "",COUNTIFS($A:$A,patch[[#This Row],[number]],$S:$S, "BJ And dev",$AC:$AC, "Review-1"))</f>
        <v/>
      </c>
      <c r="X1748" s="7" t="str">
        <f>IF(ISBLANK(patch[[#This Row],[project]]), "",COUNTIFS($A:$A,patch[[#This Row],[number]],$S:$S, "FL And dev",$AC:$AC, "Review-1"))</f>
        <v/>
      </c>
      <c r="Y1748" s="7" t="str">
        <f>IF(ISBLANK(patch[[#This Row],[project]]), "",COUNTIFS($A:$A,patch[[#This Row],[number]],$S:$S, "SH And dev",$AC:$AC, "Review-1"))</f>
        <v/>
      </c>
      <c r="Z1748" s="7" t="str">
        <f>IF(ISBLANK(patch[[#This Row],[project]]), "",COUNTIFS($A:$A,patch[[#This Row],[number]],$S:$S, "BJ And dev",$AD:$AD, "&lt;&gt;IntegratorValidationComment"))</f>
        <v/>
      </c>
      <c r="AA1748" s="7" t="str">
        <f>IF(ISBLANK(patch[[#This Row],[project]]), "",COUNTIFS($A:$A,patch[[#This Row],[number]],$S:$S, "FL And dev",$AD:$AD, "&lt;&gt;IntegratorValidationComment"))</f>
        <v/>
      </c>
      <c r="AB1748" s="7" t="str">
        <f>IF(ISBLANK(patch[[#This Row],[project]]), "",COUNTIFS($A:$A,patch[[#This Row],[number]],$S:$S, "SH And dev",$AD:$AD, "&lt;&gt;IntegratorValidationComment"))</f>
        <v/>
      </c>
      <c r="AC1748" s="7" t="str">
        <f>IF(OR(ISNUMBER(FIND("Review-1", patch[[#This Row],[comments]])), ISNUMBER(FIND("Approver-1", patch[[#This Row],[comments]]))), "Review-1", "")</f>
        <v/>
      </c>
      <c r="AD17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48" s="7">
        <f>IF(ISBLANK(patch[[#This Row],[number]]),AE1747,patch[[#This Row],[ifCommon]])</f>
        <v>0</v>
      </c>
    </row>
    <row r="1749" spans="1:31">
      <c r="A1749" s="151">
        <v>144090</v>
      </c>
      <c r="B1749" s="151"/>
      <c r="C1749" s="151"/>
      <c r="D1749" s="151"/>
      <c r="E1749" s="151"/>
      <c r="F1749" s="151"/>
      <c r="G1749" s="151"/>
      <c r="H1749" s="151"/>
      <c r="I1749" s="151"/>
      <c r="J1749" s="152">
        <v>42627.659432870372</v>
      </c>
      <c r="K1749" s="151"/>
      <c r="L1749" s="151" t="s">
        <v>59</v>
      </c>
      <c r="M1749" s="152">
        <v>42622.481122685182</v>
      </c>
      <c r="N1749" s="151" t="s">
        <v>27</v>
      </c>
      <c r="O1749" s="151"/>
      <c r="P1749" s="151"/>
      <c r="Q1749" s="7" t="str">
        <f>IF(ISBLANK(patch[[#This Row],[OwnerEmail]]),Q1748,patch[[#This Row],[OwnerEmail]])</f>
        <v>gang.a.hu@intel.com</v>
      </c>
      <c r="R1749" s="7" t="str">
        <f>_xlfn.IFNA(VLOOKUP(patch[[#This Row],[tmp-owner.email]],OrgTree!$A:$K, 11, 0), "not ICG SWFW")</f>
        <v>BJ And dev</v>
      </c>
      <c r="S1749" s="7" t="str">
        <f>IF(patch[[#This Row],[reviewer]]=patch[[#This Row],[tmp-owner.email]], "author", _xlfn.IFNA(VLOOKUP(patch[[#This Row],[reviewer]],OrgTree!$A:$K, 11, 0), "not ICG SWFW"))</f>
        <v>BJ And dev</v>
      </c>
      <c r="T1749" s="7" t="str">
        <f>IF(ISBLANK(patch[[#This Row],[mergeDate]]), "", MID(YEAR(patch[[#This Row],[mergeDate]]), 3,2)&amp;"'ww"&amp;WEEKNUM(patch[[#This Row],[mergeDate]]))</f>
        <v>16'ww38</v>
      </c>
      <c r="U1749" s="7" t="str">
        <f>IF(ISBLANK(patch[[#This Row],[mergeDate]]), U1748, MID(YEAR(patch[[#This Row],[mergeDate]]), 3,2)&amp;"'m"&amp;MONTH(patch[[#This Row],[mergeDate]]))</f>
        <v>16'm9</v>
      </c>
      <c r="V1749" s="7" t="str">
        <f>IF(ISBLANK(patch[[#This Row],[project]]), "",SUM(patch[[#This Row],[BJ -1 num]:[SH -1 num]]))</f>
        <v/>
      </c>
      <c r="W1749" s="7" t="str">
        <f>IF(ISBLANK(patch[[#This Row],[project]]), "",COUNTIFS($A:$A,patch[[#This Row],[number]],$S:$S, "BJ And dev",$AC:$AC, "Review-1"))</f>
        <v/>
      </c>
      <c r="X1749" s="7" t="str">
        <f>IF(ISBLANK(patch[[#This Row],[project]]), "",COUNTIFS($A:$A,patch[[#This Row],[number]],$S:$S, "FL And dev",$AC:$AC, "Review-1"))</f>
        <v/>
      </c>
      <c r="Y1749" s="7" t="str">
        <f>IF(ISBLANK(patch[[#This Row],[project]]), "",COUNTIFS($A:$A,patch[[#This Row],[number]],$S:$S, "SH And dev",$AC:$AC, "Review-1"))</f>
        <v/>
      </c>
      <c r="Z1749" s="7" t="str">
        <f>IF(ISBLANK(patch[[#This Row],[project]]), "",COUNTIFS($A:$A,patch[[#This Row],[number]],$S:$S, "BJ And dev",$AD:$AD, "&lt;&gt;IntegratorValidationComment"))</f>
        <v/>
      </c>
      <c r="AA1749" s="7" t="str">
        <f>IF(ISBLANK(patch[[#This Row],[project]]), "",COUNTIFS($A:$A,patch[[#This Row],[number]],$S:$S, "FL And dev",$AD:$AD, "&lt;&gt;IntegratorValidationComment"))</f>
        <v/>
      </c>
      <c r="AB1749" s="7" t="str">
        <f>IF(ISBLANK(patch[[#This Row],[project]]), "",COUNTIFS($A:$A,patch[[#This Row],[number]],$S:$S, "SH And dev",$AD:$AD, "&lt;&gt;IntegratorValidationComment"))</f>
        <v/>
      </c>
      <c r="AC1749" s="7" t="str">
        <f>IF(OR(ISNUMBER(FIND("Review-1", patch[[#This Row],[comments]])), ISNUMBER(FIND("Approver-1", patch[[#This Row],[comments]]))), "Review-1", "")</f>
        <v/>
      </c>
      <c r="AD17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49" s="7">
        <f>IF(ISBLANK(patch[[#This Row],[number]]),AE1748,patch[[#This Row],[ifCommon]])</f>
        <v>0</v>
      </c>
    </row>
    <row r="1750" spans="1:31">
      <c r="A1750" s="151">
        <v>144090</v>
      </c>
      <c r="B1750" s="151"/>
      <c r="C1750" s="151"/>
      <c r="D1750" s="151"/>
      <c r="E1750" s="151"/>
      <c r="F1750" s="151"/>
      <c r="G1750" s="151"/>
      <c r="H1750" s="151"/>
      <c r="I1750" s="151"/>
      <c r="J1750" s="152">
        <v>42627.659432870372</v>
      </c>
      <c r="K1750" s="151"/>
      <c r="L1750" s="151" t="s">
        <v>32</v>
      </c>
      <c r="M1750" s="152">
        <v>42622.501319444447</v>
      </c>
      <c r="N1750" s="151" t="s">
        <v>2704</v>
      </c>
      <c r="O1750" s="151"/>
      <c r="P1750" s="151"/>
      <c r="Q1750" s="7" t="str">
        <f>IF(ISBLANK(patch[[#This Row],[OwnerEmail]]),Q1749,patch[[#This Row],[OwnerEmail]])</f>
        <v>gang.a.hu@intel.com</v>
      </c>
      <c r="R1750" s="7" t="str">
        <f>_xlfn.IFNA(VLOOKUP(patch[[#This Row],[tmp-owner.email]],OrgTree!$A:$K, 11, 0), "not ICG SWFW")</f>
        <v>BJ And dev</v>
      </c>
      <c r="S1750" s="7" t="str">
        <f>IF(patch[[#This Row],[reviewer]]=patch[[#This Row],[tmp-owner.email]], "author", _xlfn.IFNA(VLOOKUP(patch[[#This Row],[reviewer]],OrgTree!$A:$K, 11, 0), "not ICG SWFW"))</f>
        <v>author</v>
      </c>
      <c r="T1750" s="7" t="str">
        <f>IF(ISBLANK(patch[[#This Row],[mergeDate]]), "", MID(YEAR(patch[[#This Row],[mergeDate]]), 3,2)&amp;"'ww"&amp;WEEKNUM(patch[[#This Row],[mergeDate]]))</f>
        <v>16'ww38</v>
      </c>
      <c r="U1750" s="7" t="str">
        <f>IF(ISBLANK(patch[[#This Row],[mergeDate]]), U1749, MID(YEAR(patch[[#This Row],[mergeDate]]), 3,2)&amp;"'m"&amp;MONTH(patch[[#This Row],[mergeDate]]))</f>
        <v>16'm9</v>
      </c>
      <c r="V1750" s="7" t="str">
        <f>IF(ISBLANK(patch[[#This Row],[project]]), "",SUM(patch[[#This Row],[BJ -1 num]:[SH -1 num]]))</f>
        <v/>
      </c>
      <c r="W1750" s="7" t="str">
        <f>IF(ISBLANK(patch[[#This Row],[project]]), "",COUNTIFS($A:$A,patch[[#This Row],[number]],$S:$S, "BJ And dev",$AC:$AC, "Review-1"))</f>
        <v/>
      </c>
      <c r="X1750" s="7" t="str">
        <f>IF(ISBLANK(patch[[#This Row],[project]]), "",COUNTIFS($A:$A,patch[[#This Row],[number]],$S:$S, "FL And dev",$AC:$AC, "Review-1"))</f>
        <v/>
      </c>
      <c r="Y1750" s="7" t="str">
        <f>IF(ISBLANK(patch[[#This Row],[project]]), "",COUNTIFS($A:$A,patch[[#This Row],[number]],$S:$S, "SH And dev",$AC:$AC, "Review-1"))</f>
        <v/>
      </c>
      <c r="Z1750" s="7" t="str">
        <f>IF(ISBLANK(patch[[#This Row],[project]]), "",COUNTIFS($A:$A,patch[[#This Row],[number]],$S:$S, "BJ And dev",$AD:$AD, "&lt;&gt;IntegratorValidationComment"))</f>
        <v/>
      </c>
      <c r="AA1750" s="7" t="str">
        <f>IF(ISBLANK(patch[[#This Row],[project]]), "",COUNTIFS($A:$A,patch[[#This Row],[number]],$S:$S, "FL And dev",$AD:$AD, "&lt;&gt;IntegratorValidationComment"))</f>
        <v/>
      </c>
      <c r="AB1750" s="7" t="str">
        <f>IF(ISBLANK(patch[[#This Row],[project]]), "",COUNTIFS($A:$A,patch[[#This Row],[number]],$S:$S, "SH And dev",$AD:$AD, "&lt;&gt;IntegratorValidationComment"))</f>
        <v/>
      </c>
      <c r="AC1750" s="7" t="str">
        <f>IF(OR(ISNUMBER(FIND("Review-1", patch[[#This Row],[comments]])), ISNUMBER(FIND("Approver-1", patch[[#This Row],[comments]]))), "Review-1", "")</f>
        <v/>
      </c>
      <c r="AD17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50" s="7">
        <f>IF(ISBLANK(patch[[#This Row],[number]]),AE1749,patch[[#This Row],[ifCommon]])</f>
        <v>0</v>
      </c>
    </row>
    <row r="1751" spans="1:31">
      <c r="A1751" s="151">
        <v>144090</v>
      </c>
      <c r="B1751" s="151"/>
      <c r="C1751" s="151"/>
      <c r="D1751" s="151"/>
      <c r="E1751" s="151"/>
      <c r="F1751" s="151"/>
      <c r="G1751" s="151"/>
      <c r="H1751" s="151"/>
      <c r="I1751" s="151"/>
      <c r="J1751" s="152">
        <v>42627.659432870372</v>
      </c>
      <c r="K1751" s="151"/>
      <c r="L1751" s="151" t="s">
        <v>32</v>
      </c>
      <c r="M1751" s="152">
        <v>42622.501354166663</v>
      </c>
      <c r="N1751" s="151" t="s">
        <v>2450</v>
      </c>
      <c r="O1751" s="151"/>
      <c r="P1751" s="151"/>
      <c r="Q1751" s="7" t="str">
        <f>IF(ISBLANK(patch[[#This Row],[OwnerEmail]]),Q1750,patch[[#This Row],[OwnerEmail]])</f>
        <v>gang.a.hu@intel.com</v>
      </c>
      <c r="R1751" s="7" t="str">
        <f>_xlfn.IFNA(VLOOKUP(patch[[#This Row],[tmp-owner.email]],OrgTree!$A:$K, 11, 0), "not ICG SWFW")</f>
        <v>BJ And dev</v>
      </c>
      <c r="S1751" s="7" t="str">
        <f>IF(patch[[#This Row],[reviewer]]=patch[[#This Row],[tmp-owner.email]], "author", _xlfn.IFNA(VLOOKUP(patch[[#This Row],[reviewer]],OrgTree!$A:$K, 11, 0), "not ICG SWFW"))</f>
        <v>author</v>
      </c>
      <c r="T1751" s="7" t="str">
        <f>IF(ISBLANK(patch[[#This Row],[mergeDate]]), "", MID(YEAR(patch[[#This Row],[mergeDate]]), 3,2)&amp;"'ww"&amp;WEEKNUM(patch[[#This Row],[mergeDate]]))</f>
        <v>16'ww38</v>
      </c>
      <c r="U1751" s="7" t="str">
        <f>IF(ISBLANK(patch[[#This Row],[mergeDate]]), U1750, MID(YEAR(patch[[#This Row],[mergeDate]]), 3,2)&amp;"'m"&amp;MONTH(patch[[#This Row],[mergeDate]]))</f>
        <v>16'm9</v>
      </c>
      <c r="V1751" s="7" t="str">
        <f>IF(ISBLANK(patch[[#This Row],[project]]), "",SUM(patch[[#This Row],[BJ -1 num]:[SH -1 num]]))</f>
        <v/>
      </c>
      <c r="W1751" s="7" t="str">
        <f>IF(ISBLANK(patch[[#This Row],[project]]), "",COUNTIFS($A:$A,patch[[#This Row],[number]],$S:$S, "BJ And dev",$AC:$AC, "Review-1"))</f>
        <v/>
      </c>
      <c r="X1751" s="7" t="str">
        <f>IF(ISBLANK(patch[[#This Row],[project]]), "",COUNTIFS($A:$A,patch[[#This Row],[number]],$S:$S, "FL And dev",$AC:$AC, "Review-1"))</f>
        <v/>
      </c>
      <c r="Y1751" s="7" t="str">
        <f>IF(ISBLANK(patch[[#This Row],[project]]), "",COUNTIFS($A:$A,patch[[#This Row],[number]],$S:$S, "SH And dev",$AC:$AC, "Review-1"))</f>
        <v/>
      </c>
      <c r="Z1751" s="7" t="str">
        <f>IF(ISBLANK(patch[[#This Row],[project]]), "",COUNTIFS($A:$A,patch[[#This Row],[number]],$S:$S, "BJ And dev",$AD:$AD, "&lt;&gt;IntegratorValidationComment"))</f>
        <v/>
      </c>
      <c r="AA1751" s="7" t="str">
        <f>IF(ISBLANK(patch[[#This Row],[project]]), "",COUNTIFS($A:$A,patch[[#This Row],[number]],$S:$S, "FL And dev",$AD:$AD, "&lt;&gt;IntegratorValidationComment"))</f>
        <v/>
      </c>
      <c r="AB1751" s="7" t="str">
        <f>IF(ISBLANK(patch[[#This Row],[project]]), "",COUNTIFS($A:$A,patch[[#This Row],[number]],$S:$S, "SH And dev",$AD:$AD, "&lt;&gt;IntegratorValidationComment"))</f>
        <v/>
      </c>
      <c r="AC1751" s="7" t="str">
        <f>IF(OR(ISNUMBER(FIND("Review-1", patch[[#This Row],[comments]])), ISNUMBER(FIND("Approver-1", patch[[#This Row],[comments]]))), "Review-1", "")</f>
        <v/>
      </c>
      <c r="AD17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51" s="7">
        <f>IF(ISBLANK(patch[[#This Row],[number]]),AE1750,patch[[#This Row],[ifCommon]])</f>
        <v>0</v>
      </c>
    </row>
    <row r="1752" spans="1:31">
      <c r="A1752" s="151">
        <v>144090</v>
      </c>
      <c r="B1752" s="151"/>
      <c r="C1752" s="151"/>
      <c r="D1752" s="151"/>
      <c r="E1752" s="151"/>
      <c r="F1752" s="151"/>
      <c r="G1752" s="151"/>
      <c r="H1752" s="151"/>
      <c r="I1752" s="151"/>
      <c r="J1752" s="152">
        <v>42627.659432870372</v>
      </c>
      <c r="K1752" s="151"/>
      <c r="L1752" s="151" t="s">
        <v>59</v>
      </c>
      <c r="M1752" s="152">
        <v>42622.509108796286</v>
      </c>
      <c r="N1752" s="151" t="s">
        <v>3445</v>
      </c>
      <c r="O1752" s="151"/>
      <c r="P1752" s="151"/>
      <c r="Q1752" s="7" t="str">
        <f>IF(ISBLANK(patch[[#This Row],[OwnerEmail]]),Q1751,patch[[#This Row],[OwnerEmail]])</f>
        <v>gang.a.hu@intel.com</v>
      </c>
      <c r="R1752" s="7" t="str">
        <f>_xlfn.IFNA(VLOOKUP(patch[[#This Row],[tmp-owner.email]],OrgTree!$A:$K, 11, 0), "not ICG SWFW")</f>
        <v>BJ And dev</v>
      </c>
      <c r="S1752" s="7" t="str">
        <f>IF(patch[[#This Row],[reviewer]]=patch[[#This Row],[tmp-owner.email]], "author", _xlfn.IFNA(VLOOKUP(patch[[#This Row],[reviewer]],OrgTree!$A:$K, 11, 0), "not ICG SWFW"))</f>
        <v>BJ And dev</v>
      </c>
      <c r="T1752" s="7" t="str">
        <f>IF(ISBLANK(patch[[#This Row],[mergeDate]]), "", MID(YEAR(patch[[#This Row],[mergeDate]]), 3,2)&amp;"'ww"&amp;WEEKNUM(patch[[#This Row],[mergeDate]]))</f>
        <v>16'ww38</v>
      </c>
      <c r="U1752" s="7" t="str">
        <f>IF(ISBLANK(patch[[#This Row],[mergeDate]]), U1751, MID(YEAR(patch[[#This Row],[mergeDate]]), 3,2)&amp;"'m"&amp;MONTH(patch[[#This Row],[mergeDate]]))</f>
        <v>16'm9</v>
      </c>
      <c r="V1752" s="7" t="str">
        <f>IF(ISBLANK(patch[[#This Row],[project]]), "",SUM(patch[[#This Row],[BJ -1 num]:[SH -1 num]]))</f>
        <v/>
      </c>
      <c r="W1752" s="7" t="str">
        <f>IF(ISBLANK(patch[[#This Row],[project]]), "",COUNTIFS($A:$A,patch[[#This Row],[number]],$S:$S, "BJ And dev",$AC:$AC, "Review-1"))</f>
        <v/>
      </c>
      <c r="X1752" s="7" t="str">
        <f>IF(ISBLANK(patch[[#This Row],[project]]), "",COUNTIFS($A:$A,patch[[#This Row],[number]],$S:$S, "FL And dev",$AC:$AC, "Review-1"))</f>
        <v/>
      </c>
      <c r="Y1752" s="7" t="str">
        <f>IF(ISBLANK(patch[[#This Row],[project]]), "",COUNTIFS($A:$A,patch[[#This Row],[number]],$S:$S, "SH And dev",$AC:$AC, "Review-1"))</f>
        <v/>
      </c>
      <c r="Z1752" s="7" t="str">
        <f>IF(ISBLANK(patch[[#This Row],[project]]), "",COUNTIFS($A:$A,patch[[#This Row],[number]],$S:$S, "BJ And dev",$AD:$AD, "&lt;&gt;IntegratorValidationComment"))</f>
        <v/>
      </c>
      <c r="AA1752" s="7" t="str">
        <f>IF(ISBLANK(patch[[#This Row],[project]]), "",COUNTIFS($A:$A,patch[[#This Row],[number]],$S:$S, "FL And dev",$AD:$AD, "&lt;&gt;IntegratorValidationComment"))</f>
        <v/>
      </c>
      <c r="AB1752" s="7" t="str">
        <f>IF(ISBLANK(patch[[#This Row],[project]]), "",COUNTIFS($A:$A,patch[[#This Row],[number]],$S:$S, "SH And dev",$AD:$AD, "&lt;&gt;IntegratorValidationComment"))</f>
        <v/>
      </c>
      <c r="AC1752" s="7" t="str">
        <f>IF(OR(ISNUMBER(FIND("Review-1", patch[[#This Row],[comments]])), ISNUMBER(FIND("Approver-1", patch[[#This Row],[comments]]))), "Review-1", "")</f>
        <v/>
      </c>
      <c r="AD17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52" s="7">
        <f>IF(ISBLANK(patch[[#This Row],[number]]),AE1751,patch[[#This Row],[ifCommon]])</f>
        <v>0</v>
      </c>
    </row>
    <row r="1753" spans="1:31">
      <c r="A1753" s="151">
        <v>144090</v>
      </c>
      <c r="B1753" s="151"/>
      <c r="C1753" s="151"/>
      <c r="D1753" s="151"/>
      <c r="E1753" s="151"/>
      <c r="F1753" s="151"/>
      <c r="G1753" s="151"/>
      <c r="H1753" s="151"/>
      <c r="I1753" s="151"/>
      <c r="J1753" s="152">
        <v>42627.659432870372</v>
      </c>
      <c r="K1753" s="151"/>
      <c r="L1753" s="151" t="s">
        <v>59</v>
      </c>
      <c r="M1753" s="152">
        <v>42622.516597222217</v>
      </c>
      <c r="N1753" s="151" t="s">
        <v>3446</v>
      </c>
      <c r="O1753" s="151"/>
      <c r="P1753" s="151"/>
      <c r="Q1753" s="7" t="str">
        <f>IF(ISBLANK(patch[[#This Row],[OwnerEmail]]),Q1752,patch[[#This Row],[OwnerEmail]])</f>
        <v>gang.a.hu@intel.com</v>
      </c>
      <c r="R1753" s="7" t="str">
        <f>_xlfn.IFNA(VLOOKUP(patch[[#This Row],[tmp-owner.email]],OrgTree!$A:$K, 11, 0), "not ICG SWFW")</f>
        <v>BJ And dev</v>
      </c>
      <c r="S1753" s="7" t="str">
        <f>IF(patch[[#This Row],[reviewer]]=patch[[#This Row],[tmp-owner.email]], "author", _xlfn.IFNA(VLOOKUP(patch[[#This Row],[reviewer]],OrgTree!$A:$K, 11, 0), "not ICG SWFW"))</f>
        <v>BJ And dev</v>
      </c>
      <c r="T1753" s="7" t="str">
        <f>IF(ISBLANK(patch[[#This Row],[mergeDate]]), "", MID(YEAR(patch[[#This Row],[mergeDate]]), 3,2)&amp;"'ww"&amp;WEEKNUM(patch[[#This Row],[mergeDate]]))</f>
        <v>16'ww38</v>
      </c>
      <c r="U1753" s="7" t="str">
        <f>IF(ISBLANK(patch[[#This Row],[mergeDate]]), U1752, MID(YEAR(patch[[#This Row],[mergeDate]]), 3,2)&amp;"'m"&amp;MONTH(patch[[#This Row],[mergeDate]]))</f>
        <v>16'm9</v>
      </c>
      <c r="V1753" s="7" t="str">
        <f>IF(ISBLANK(patch[[#This Row],[project]]), "",SUM(patch[[#This Row],[BJ -1 num]:[SH -1 num]]))</f>
        <v/>
      </c>
      <c r="W1753" s="7" t="str">
        <f>IF(ISBLANK(patch[[#This Row],[project]]), "",COUNTIFS($A:$A,patch[[#This Row],[number]],$S:$S, "BJ And dev",$AC:$AC, "Review-1"))</f>
        <v/>
      </c>
      <c r="X1753" s="7" t="str">
        <f>IF(ISBLANK(patch[[#This Row],[project]]), "",COUNTIFS($A:$A,patch[[#This Row],[number]],$S:$S, "FL And dev",$AC:$AC, "Review-1"))</f>
        <v/>
      </c>
      <c r="Y1753" s="7" t="str">
        <f>IF(ISBLANK(patch[[#This Row],[project]]), "",COUNTIFS($A:$A,patch[[#This Row],[number]],$S:$S, "SH And dev",$AC:$AC, "Review-1"))</f>
        <v/>
      </c>
      <c r="Z1753" s="7" t="str">
        <f>IF(ISBLANK(patch[[#This Row],[project]]), "",COUNTIFS($A:$A,patch[[#This Row],[number]],$S:$S, "BJ And dev",$AD:$AD, "&lt;&gt;IntegratorValidationComment"))</f>
        <v/>
      </c>
      <c r="AA1753" s="7" t="str">
        <f>IF(ISBLANK(patch[[#This Row],[project]]), "",COUNTIFS($A:$A,patch[[#This Row],[number]],$S:$S, "FL And dev",$AD:$AD, "&lt;&gt;IntegratorValidationComment"))</f>
        <v/>
      </c>
      <c r="AB1753" s="7" t="str">
        <f>IF(ISBLANK(patch[[#This Row],[project]]), "",COUNTIFS($A:$A,patch[[#This Row],[number]],$S:$S, "SH And dev",$AD:$AD, "&lt;&gt;IntegratorValidationComment"))</f>
        <v/>
      </c>
      <c r="AC1753" s="7" t="str">
        <f>IF(OR(ISNUMBER(FIND("Review-1", patch[[#This Row],[comments]])), ISNUMBER(FIND("Approver-1", patch[[#This Row],[comments]]))), "Review-1", "")</f>
        <v/>
      </c>
      <c r="AD17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53" s="7">
        <f>IF(ISBLANK(patch[[#This Row],[number]]),AE1752,patch[[#This Row],[ifCommon]])</f>
        <v>0</v>
      </c>
    </row>
    <row r="1754" spans="1:31">
      <c r="A1754" s="151">
        <v>144090</v>
      </c>
      <c r="B1754" s="151"/>
      <c r="C1754" s="151"/>
      <c r="D1754" s="151"/>
      <c r="E1754" s="151"/>
      <c r="F1754" s="151"/>
      <c r="G1754" s="151"/>
      <c r="H1754" s="151"/>
      <c r="I1754" s="151"/>
      <c r="J1754" s="152">
        <v>42627.659432870372</v>
      </c>
      <c r="K1754" s="151"/>
      <c r="L1754" s="151" t="s">
        <v>55</v>
      </c>
      <c r="M1754" s="152">
        <v>42622.580972222233</v>
      </c>
      <c r="N1754" s="151" t="s">
        <v>2485</v>
      </c>
      <c r="O1754" s="151" t="s">
        <v>3447</v>
      </c>
      <c r="P1754" s="151"/>
      <c r="Q1754" s="7" t="str">
        <f>IF(ISBLANK(patch[[#This Row],[OwnerEmail]]),Q1753,patch[[#This Row],[OwnerEmail]])</f>
        <v>gang.a.hu@intel.com</v>
      </c>
      <c r="R1754" s="7" t="str">
        <f>_xlfn.IFNA(VLOOKUP(patch[[#This Row],[tmp-owner.email]],OrgTree!$A:$K, 11, 0), "not ICG SWFW")</f>
        <v>BJ And dev</v>
      </c>
      <c r="S1754" s="7" t="str">
        <f>IF(patch[[#This Row],[reviewer]]=patch[[#This Row],[tmp-owner.email]], "author", _xlfn.IFNA(VLOOKUP(patch[[#This Row],[reviewer]],OrgTree!$A:$K, 11, 0), "not ICG SWFW"))</f>
        <v>BJ And dev</v>
      </c>
      <c r="T1754" s="7" t="str">
        <f>IF(ISBLANK(patch[[#This Row],[mergeDate]]), "", MID(YEAR(patch[[#This Row],[mergeDate]]), 3,2)&amp;"'ww"&amp;WEEKNUM(patch[[#This Row],[mergeDate]]))</f>
        <v>16'ww38</v>
      </c>
      <c r="U1754" s="7" t="str">
        <f>IF(ISBLANK(patch[[#This Row],[mergeDate]]), U1753, MID(YEAR(patch[[#This Row],[mergeDate]]), 3,2)&amp;"'m"&amp;MONTH(patch[[#This Row],[mergeDate]]))</f>
        <v>16'm9</v>
      </c>
      <c r="V1754" s="7" t="str">
        <f>IF(ISBLANK(patch[[#This Row],[project]]), "",SUM(patch[[#This Row],[BJ -1 num]:[SH -1 num]]))</f>
        <v/>
      </c>
      <c r="W1754" s="7" t="str">
        <f>IF(ISBLANK(patch[[#This Row],[project]]), "",COUNTIFS($A:$A,patch[[#This Row],[number]],$S:$S, "BJ And dev",$AC:$AC, "Review-1"))</f>
        <v/>
      </c>
      <c r="X1754" s="7" t="str">
        <f>IF(ISBLANK(patch[[#This Row],[project]]), "",COUNTIFS($A:$A,patch[[#This Row],[number]],$S:$S, "FL And dev",$AC:$AC, "Review-1"))</f>
        <v/>
      </c>
      <c r="Y1754" s="7" t="str">
        <f>IF(ISBLANK(patch[[#This Row],[project]]), "",COUNTIFS($A:$A,patch[[#This Row],[number]],$S:$S, "SH And dev",$AC:$AC, "Review-1"))</f>
        <v/>
      </c>
      <c r="Z1754" s="7" t="str">
        <f>IF(ISBLANK(patch[[#This Row],[project]]), "",COUNTIFS($A:$A,patch[[#This Row],[number]],$S:$S, "BJ And dev",$AD:$AD, "&lt;&gt;IntegratorValidationComment"))</f>
        <v/>
      </c>
      <c r="AA1754" s="7" t="str">
        <f>IF(ISBLANK(patch[[#This Row],[project]]), "",COUNTIFS($A:$A,patch[[#This Row],[number]],$S:$S, "FL And dev",$AD:$AD, "&lt;&gt;IntegratorValidationComment"))</f>
        <v/>
      </c>
      <c r="AB1754" s="7" t="str">
        <f>IF(ISBLANK(patch[[#This Row],[project]]), "",COUNTIFS($A:$A,patch[[#This Row],[number]],$S:$S, "SH And dev",$AD:$AD, "&lt;&gt;IntegratorValidationComment"))</f>
        <v/>
      </c>
      <c r="AC1754" s="7" t="str">
        <f>IF(OR(ISNUMBER(FIND("Review-1", patch[[#This Row],[comments]])), ISNUMBER(FIND("Approver-1", patch[[#This Row],[comments]]))), "Review-1", "")</f>
        <v>Review-1</v>
      </c>
      <c r="AD17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54" s="7">
        <f>IF(ISBLANK(patch[[#This Row],[number]]),AE1753,patch[[#This Row],[ifCommon]])</f>
        <v>0</v>
      </c>
    </row>
    <row r="1755" spans="1:31">
      <c r="A1755" s="151">
        <v>144090</v>
      </c>
      <c r="B1755" s="151"/>
      <c r="C1755" s="151"/>
      <c r="D1755" s="151"/>
      <c r="E1755" s="151"/>
      <c r="F1755" s="151"/>
      <c r="G1755" s="151"/>
      <c r="H1755" s="151"/>
      <c r="I1755" s="151"/>
      <c r="J1755" s="152">
        <v>42627.659432870372</v>
      </c>
      <c r="K1755" s="151"/>
      <c r="L1755" s="151" t="s">
        <v>32</v>
      </c>
      <c r="M1755" s="152">
        <v>42622.58384259259</v>
      </c>
      <c r="N1755" s="151" t="s">
        <v>2537</v>
      </c>
      <c r="O1755" s="151"/>
      <c r="P1755" s="151"/>
      <c r="Q1755" s="7" t="str">
        <f>IF(ISBLANK(patch[[#This Row],[OwnerEmail]]),Q1754,patch[[#This Row],[OwnerEmail]])</f>
        <v>gang.a.hu@intel.com</v>
      </c>
      <c r="R1755" s="7" t="str">
        <f>_xlfn.IFNA(VLOOKUP(patch[[#This Row],[tmp-owner.email]],OrgTree!$A:$K, 11, 0), "not ICG SWFW")</f>
        <v>BJ And dev</v>
      </c>
      <c r="S1755" s="7" t="str">
        <f>IF(patch[[#This Row],[reviewer]]=patch[[#This Row],[tmp-owner.email]], "author", _xlfn.IFNA(VLOOKUP(patch[[#This Row],[reviewer]],OrgTree!$A:$K, 11, 0), "not ICG SWFW"))</f>
        <v>author</v>
      </c>
      <c r="T1755" s="7" t="str">
        <f>IF(ISBLANK(patch[[#This Row],[mergeDate]]), "", MID(YEAR(patch[[#This Row],[mergeDate]]), 3,2)&amp;"'ww"&amp;WEEKNUM(patch[[#This Row],[mergeDate]]))</f>
        <v>16'ww38</v>
      </c>
      <c r="U1755" s="7" t="str">
        <f>IF(ISBLANK(patch[[#This Row],[mergeDate]]), U1754, MID(YEAR(patch[[#This Row],[mergeDate]]), 3,2)&amp;"'m"&amp;MONTH(patch[[#This Row],[mergeDate]]))</f>
        <v>16'm9</v>
      </c>
      <c r="V1755" s="7" t="str">
        <f>IF(ISBLANK(patch[[#This Row],[project]]), "",SUM(patch[[#This Row],[BJ -1 num]:[SH -1 num]]))</f>
        <v/>
      </c>
      <c r="W1755" s="7" t="str">
        <f>IF(ISBLANK(patch[[#This Row],[project]]), "",COUNTIFS($A:$A,patch[[#This Row],[number]],$S:$S, "BJ And dev",$AC:$AC, "Review-1"))</f>
        <v/>
      </c>
      <c r="X1755" s="7" t="str">
        <f>IF(ISBLANK(patch[[#This Row],[project]]), "",COUNTIFS($A:$A,patch[[#This Row],[number]],$S:$S, "FL And dev",$AC:$AC, "Review-1"))</f>
        <v/>
      </c>
      <c r="Y1755" s="7" t="str">
        <f>IF(ISBLANK(patch[[#This Row],[project]]), "",COUNTIFS($A:$A,patch[[#This Row],[number]],$S:$S, "SH And dev",$AC:$AC, "Review-1"))</f>
        <v/>
      </c>
      <c r="Z1755" s="7" t="str">
        <f>IF(ISBLANK(patch[[#This Row],[project]]), "",COUNTIFS($A:$A,patch[[#This Row],[number]],$S:$S, "BJ And dev",$AD:$AD, "&lt;&gt;IntegratorValidationComment"))</f>
        <v/>
      </c>
      <c r="AA1755" s="7" t="str">
        <f>IF(ISBLANK(patch[[#This Row],[project]]), "",COUNTIFS($A:$A,patch[[#This Row],[number]],$S:$S, "FL And dev",$AD:$AD, "&lt;&gt;IntegratorValidationComment"))</f>
        <v/>
      </c>
      <c r="AB1755" s="7" t="str">
        <f>IF(ISBLANK(patch[[#This Row],[project]]), "",COUNTIFS($A:$A,patch[[#This Row],[number]],$S:$S, "SH And dev",$AD:$AD, "&lt;&gt;IntegratorValidationComment"))</f>
        <v/>
      </c>
      <c r="AC1755" s="7" t="str">
        <f>IF(OR(ISNUMBER(FIND("Review-1", patch[[#This Row],[comments]])), ISNUMBER(FIND("Approver-1", patch[[#This Row],[comments]]))), "Review-1", "")</f>
        <v/>
      </c>
      <c r="AD17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55" s="7">
        <f>IF(ISBLANK(patch[[#This Row],[number]]),AE1754,patch[[#This Row],[ifCommon]])</f>
        <v>0</v>
      </c>
    </row>
    <row r="1756" spans="1:31">
      <c r="A1756" s="151">
        <v>144090</v>
      </c>
      <c r="B1756" s="151"/>
      <c r="C1756" s="151"/>
      <c r="D1756" s="151"/>
      <c r="E1756" s="151"/>
      <c r="F1756" s="151"/>
      <c r="G1756" s="151"/>
      <c r="H1756" s="151"/>
      <c r="I1756" s="151"/>
      <c r="J1756" s="152">
        <v>42627.659432870372</v>
      </c>
      <c r="K1756" s="151"/>
      <c r="L1756" s="151" t="s">
        <v>32</v>
      </c>
      <c r="M1756" s="152">
        <v>42622.58390046296</v>
      </c>
      <c r="N1756" s="151" t="s">
        <v>2451</v>
      </c>
      <c r="O1756" s="151"/>
      <c r="P1756" s="151"/>
      <c r="Q1756" s="7" t="str">
        <f>IF(ISBLANK(patch[[#This Row],[OwnerEmail]]),Q1755,patch[[#This Row],[OwnerEmail]])</f>
        <v>gang.a.hu@intel.com</v>
      </c>
      <c r="R1756" s="7" t="str">
        <f>_xlfn.IFNA(VLOOKUP(patch[[#This Row],[tmp-owner.email]],OrgTree!$A:$K, 11, 0), "not ICG SWFW")</f>
        <v>BJ And dev</v>
      </c>
      <c r="S1756" s="7" t="str">
        <f>IF(patch[[#This Row],[reviewer]]=patch[[#This Row],[tmp-owner.email]], "author", _xlfn.IFNA(VLOOKUP(patch[[#This Row],[reviewer]],OrgTree!$A:$K, 11, 0), "not ICG SWFW"))</f>
        <v>author</v>
      </c>
      <c r="T1756" s="7" t="str">
        <f>IF(ISBLANK(patch[[#This Row],[mergeDate]]), "", MID(YEAR(patch[[#This Row],[mergeDate]]), 3,2)&amp;"'ww"&amp;WEEKNUM(patch[[#This Row],[mergeDate]]))</f>
        <v>16'ww38</v>
      </c>
      <c r="U1756" s="7" t="str">
        <f>IF(ISBLANK(patch[[#This Row],[mergeDate]]), U1755, MID(YEAR(patch[[#This Row],[mergeDate]]), 3,2)&amp;"'m"&amp;MONTH(patch[[#This Row],[mergeDate]]))</f>
        <v>16'm9</v>
      </c>
      <c r="V1756" s="7" t="str">
        <f>IF(ISBLANK(patch[[#This Row],[project]]), "",SUM(patch[[#This Row],[BJ -1 num]:[SH -1 num]]))</f>
        <v/>
      </c>
      <c r="W1756" s="7" t="str">
        <f>IF(ISBLANK(patch[[#This Row],[project]]), "",COUNTIFS($A:$A,patch[[#This Row],[number]],$S:$S, "BJ And dev",$AC:$AC, "Review-1"))</f>
        <v/>
      </c>
      <c r="X1756" s="7" t="str">
        <f>IF(ISBLANK(patch[[#This Row],[project]]), "",COUNTIFS($A:$A,patch[[#This Row],[number]],$S:$S, "FL And dev",$AC:$AC, "Review-1"))</f>
        <v/>
      </c>
      <c r="Y1756" s="7" t="str">
        <f>IF(ISBLANK(patch[[#This Row],[project]]), "",COUNTIFS($A:$A,patch[[#This Row],[number]],$S:$S, "SH And dev",$AC:$AC, "Review-1"))</f>
        <v/>
      </c>
      <c r="Z1756" s="7" t="str">
        <f>IF(ISBLANK(patch[[#This Row],[project]]), "",COUNTIFS($A:$A,patch[[#This Row],[number]],$S:$S, "BJ And dev",$AD:$AD, "&lt;&gt;IntegratorValidationComment"))</f>
        <v/>
      </c>
      <c r="AA1756" s="7" t="str">
        <f>IF(ISBLANK(patch[[#This Row],[project]]), "",COUNTIFS($A:$A,patch[[#This Row],[number]],$S:$S, "FL And dev",$AD:$AD, "&lt;&gt;IntegratorValidationComment"))</f>
        <v/>
      </c>
      <c r="AB1756" s="7" t="str">
        <f>IF(ISBLANK(patch[[#This Row],[project]]), "",COUNTIFS($A:$A,patch[[#This Row],[number]],$S:$S, "SH And dev",$AD:$AD, "&lt;&gt;IntegratorValidationComment"))</f>
        <v/>
      </c>
      <c r="AC1756" s="7" t="str">
        <f>IF(OR(ISNUMBER(FIND("Review-1", patch[[#This Row],[comments]])), ISNUMBER(FIND("Approver-1", patch[[#This Row],[comments]]))), "Review-1", "")</f>
        <v/>
      </c>
      <c r="AD17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56" s="7">
        <f>IF(ISBLANK(patch[[#This Row],[number]]),AE1755,patch[[#This Row],[ifCommon]])</f>
        <v>0</v>
      </c>
    </row>
    <row r="1757" spans="1:31">
      <c r="A1757" s="151">
        <v>144090</v>
      </c>
      <c r="B1757" s="151"/>
      <c r="C1757" s="151"/>
      <c r="D1757" s="151"/>
      <c r="E1757" s="151"/>
      <c r="F1757" s="151"/>
      <c r="G1757" s="151"/>
      <c r="H1757" s="151"/>
      <c r="I1757" s="151"/>
      <c r="J1757" s="152">
        <v>42627.659432870372</v>
      </c>
      <c r="K1757" s="151"/>
      <c r="L1757" s="151" t="s">
        <v>32</v>
      </c>
      <c r="M1757" s="152">
        <v>42622.583958333344</v>
      </c>
      <c r="N1757" s="151" t="s">
        <v>31</v>
      </c>
      <c r="O1757" s="151"/>
      <c r="P1757" s="151"/>
      <c r="Q1757" s="7" t="str">
        <f>IF(ISBLANK(patch[[#This Row],[OwnerEmail]]),Q1756,patch[[#This Row],[OwnerEmail]])</f>
        <v>gang.a.hu@intel.com</v>
      </c>
      <c r="R1757" s="7" t="str">
        <f>_xlfn.IFNA(VLOOKUP(patch[[#This Row],[tmp-owner.email]],OrgTree!$A:$K, 11, 0), "not ICG SWFW")</f>
        <v>BJ And dev</v>
      </c>
      <c r="S1757" s="7" t="str">
        <f>IF(patch[[#This Row],[reviewer]]=patch[[#This Row],[tmp-owner.email]], "author", _xlfn.IFNA(VLOOKUP(patch[[#This Row],[reviewer]],OrgTree!$A:$K, 11, 0), "not ICG SWFW"))</f>
        <v>author</v>
      </c>
      <c r="T1757" s="7" t="str">
        <f>IF(ISBLANK(patch[[#This Row],[mergeDate]]), "", MID(YEAR(patch[[#This Row],[mergeDate]]), 3,2)&amp;"'ww"&amp;WEEKNUM(patch[[#This Row],[mergeDate]]))</f>
        <v>16'ww38</v>
      </c>
      <c r="U1757" s="7" t="str">
        <f>IF(ISBLANK(patch[[#This Row],[mergeDate]]), U1756, MID(YEAR(patch[[#This Row],[mergeDate]]), 3,2)&amp;"'m"&amp;MONTH(patch[[#This Row],[mergeDate]]))</f>
        <v>16'm9</v>
      </c>
      <c r="V1757" s="7" t="str">
        <f>IF(ISBLANK(patch[[#This Row],[project]]), "",SUM(patch[[#This Row],[BJ -1 num]:[SH -1 num]]))</f>
        <v/>
      </c>
      <c r="W1757" s="7" t="str">
        <f>IF(ISBLANK(patch[[#This Row],[project]]), "",COUNTIFS($A:$A,patch[[#This Row],[number]],$S:$S, "BJ And dev",$AC:$AC, "Review-1"))</f>
        <v/>
      </c>
      <c r="X1757" s="7" t="str">
        <f>IF(ISBLANK(patch[[#This Row],[project]]), "",COUNTIFS($A:$A,patch[[#This Row],[number]],$S:$S, "FL And dev",$AC:$AC, "Review-1"))</f>
        <v/>
      </c>
      <c r="Y1757" s="7" t="str">
        <f>IF(ISBLANK(patch[[#This Row],[project]]), "",COUNTIFS($A:$A,patch[[#This Row],[number]],$S:$S, "SH And dev",$AC:$AC, "Review-1"))</f>
        <v/>
      </c>
      <c r="Z1757" s="7" t="str">
        <f>IF(ISBLANK(patch[[#This Row],[project]]), "",COUNTIFS($A:$A,patch[[#This Row],[number]],$S:$S, "BJ And dev",$AD:$AD, "&lt;&gt;IntegratorValidationComment"))</f>
        <v/>
      </c>
      <c r="AA1757" s="7" t="str">
        <f>IF(ISBLANK(patch[[#This Row],[project]]), "",COUNTIFS($A:$A,patch[[#This Row],[number]],$S:$S, "FL And dev",$AD:$AD, "&lt;&gt;IntegratorValidationComment"))</f>
        <v/>
      </c>
      <c r="AB1757" s="7" t="str">
        <f>IF(ISBLANK(patch[[#This Row],[project]]), "",COUNTIFS($A:$A,patch[[#This Row],[number]],$S:$S, "SH And dev",$AD:$AD, "&lt;&gt;IntegratorValidationComment"))</f>
        <v/>
      </c>
      <c r="AC1757" s="7" t="str">
        <f>IF(OR(ISNUMBER(FIND("Review-1", patch[[#This Row],[comments]])), ISNUMBER(FIND("Approver-1", patch[[#This Row],[comments]]))), "Review-1", "")</f>
        <v/>
      </c>
      <c r="AD17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57" s="7">
        <f>IF(ISBLANK(patch[[#This Row],[number]]),AE1756,patch[[#This Row],[ifCommon]])</f>
        <v>0</v>
      </c>
    </row>
    <row r="1758" spans="1:31">
      <c r="A1758" s="151">
        <v>144090</v>
      </c>
      <c r="B1758" s="151"/>
      <c r="C1758" s="151"/>
      <c r="D1758" s="151"/>
      <c r="E1758" s="151"/>
      <c r="F1758" s="151"/>
      <c r="G1758" s="151"/>
      <c r="H1758" s="151"/>
      <c r="I1758" s="151"/>
      <c r="J1758" s="152">
        <v>42627.659432870372</v>
      </c>
      <c r="K1758" s="151"/>
      <c r="L1758" s="151" t="s">
        <v>55</v>
      </c>
      <c r="M1758" s="152">
        <v>42622.584398148138</v>
      </c>
      <c r="N1758" s="151" t="s">
        <v>1890</v>
      </c>
      <c r="O1758" s="151"/>
      <c r="P1758" s="151"/>
      <c r="Q1758" s="7" t="str">
        <f>IF(ISBLANK(patch[[#This Row],[OwnerEmail]]),Q1757,patch[[#This Row],[OwnerEmail]])</f>
        <v>gang.a.hu@intel.com</v>
      </c>
      <c r="R1758" s="7" t="str">
        <f>_xlfn.IFNA(VLOOKUP(patch[[#This Row],[tmp-owner.email]],OrgTree!$A:$K, 11, 0), "not ICG SWFW")</f>
        <v>BJ And dev</v>
      </c>
      <c r="S1758" s="7" t="str">
        <f>IF(patch[[#This Row],[reviewer]]=patch[[#This Row],[tmp-owner.email]], "author", _xlfn.IFNA(VLOOKUP(patch[[#This Row],[reviewer]],OrgTree!$A:$K, 11, 0), "not ICG SWFW"))</f>
        <v>BJ And dev</v>
      </c>
      <c r="T1758" s="7" t="str">
        <f>IF(ISBLANK(patch[[#This Row],[mergeDate]]), "", MID(YEAR(patch[[#This Row],[mergeDate]]), 3,2)&amp;"'ww"&amp;WEEKNUM(patch[[#This Row],[mergeDate]]))</f>
        <v>16'ww38</v>
      </c>
      <c r="U1758" s="7" t="str">
        <f>IF(ISBLANK(patch[[#This Row],[mergeDate]]), U1757, MID(YEAR(patch[[#This Row],[mergeDate]]), 3,2)&amp;"'m"&amp;MONTH(patch[[#This Row],[mergeDate]]))</f>
        <v>16'm9</v>
      </c>
      <c r="V1758" s="7" t="str">
        <f>IF(ISBLANK(patch[[#This Row],[project]]), "",SUM(patch[[#This Row],[BJ -1 num]:[SH -1 num]]))</f>
        <v/>
      </c>
      <c r="W1758" s="7" t="str">
        <f>IF(ISBLANK(patch[[#This Row],[project]]), "",COUNTIFS($A:$A,patch[[#This Row],[number]],$S:$S, "BJ And dev",$AC:$AC, "Review-1"))</f>
        <v/>
      </c>
      <c r="X1758" s="7" t="str">
        <f>IF(ISBLANK(patch[[#This Row],[project]]), "",COUNTIFS($A:$A,patch[[#This Row],[number]],$S:$S, "FL And dev",$AC:$AC, "Review-1"))</f>
        <v/>
      </c>
      <c r="Y1758" s="7" t="str">
        <f>IF(ISBLANK(patch[[#This Row],[project]]), "",COUNTIFS($A:$A,patch[[#This Row],[number]],$S:$S, "SH And dev",$AC:$AC, "Review-1"))</f>
        <v/>
      </c>
      <c r="Z1758" s="7" t="str">
        <f>IF(ISBLANK(patch[[#This Row],[project]]), "",COUNTIFS($A:$A,patch[[#This Row],[number]],$S:$S, "BJ And dev",$AD:$AD, "&lt;&gt;IntegratorValidationComment"))</f>
        <v/>
      </c>
      <c r="AA1758" s="7" t="str">
        <f>IF(ISBLANK(patch[[#This Row],[project]]), "",COUNTIFS($A:$A,patch[[#This Row],[number]],$S:$S, "FL And dev",$AD:$AD, "&lt;&gt;IntegratorValidationComment"))</f>
        <v/>
      </c>
      <c r="AB1758" s="7" t="str">
        <f>IF(ISBLANK(patch[[#This Row],[project]]), "",COUNTIFS($A:$A,patch[[#This Row],[number]],$S:$S, "SH And dev",$AD:$AD, "&lt;&gt;IntegratorValidationComment"))</f>
        <v/>
      </c>
      <c r="AC1758" s="7" t="str">
        <f>IF(OR(ISNUMBER(FIND("Review-1", patch[[#This Row],[comments]])), ISNUMBER(FIND("Approver-1", patch[[#This Row],[comments]]))), "Review-1", "")</f>
        <v/>
      </c>
      <c r="AD17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58" s="7">
        <f>IF(ISBLANK(patch[[#This Row],[number]]),AE1757,patch[[#This Row],[ifCommon]])</f>
        <v>0</v>
      </c>
    </row>
    <row r="1759" spans="1:31">
      <c r="A1759" s="151">
        <v>144090</v>
      </c>
      <c r="B1759" s="151"/>
      <c r="C1759" s="151"/>
      <c r="D1759" s="151"/>
      <c r="E1759" s="151"/>
      <c r="F1759" s="151"/>
      <c r="G1759" s="151"/>
      <c r="H1759" s="151"/>
      <c r="I1759" s="151"/>
      <c r="J1759" s="152">
        <v>42627.659432870372</v>
      </c>
      <c r="K1759" s="151"/>
      <c r="L1759" s="151" t="s">
        <v>59</v>
      </c>
      <c r="M1759" s="152">
        <v>42622.592106481483</v>
      </c>
      <c r="N1759" s="151" t="s">
        <v>3448</v>
      </c>
      <c r="O1759" s="151"/>
      <c r="P1759" s="151"/>
      <c r="Q1759" s="7" t="str">
        <f>IF(ISBLANK(patch[[#This Row],[OwnerEmail]]),Q1758,patch[[#This Row],[OwnerEmail]])</f>
        <v>gang.a.hu@intel.com</v>
      </c>
      <c r="R1759" s="7" t="str">
        <f>_xlfn.IFNA(VLOOKUP(patch[[#This Row],[tmp-owner.email]],OrgTree!$A:$K, 11, 0), "not ICG SWFW")</f>
        <v>BJ And dev</v>
      </c>
      <c r="S1759" s="7" t="str">
        <f>IF(patch[[#This Row],[reviewer]]=patch[[#This Row],[tmp-owner.email]], "author", _xlfn.IFNA(VLOOKUP(patch[[#This Row],[reviewer]],OrgTree!$A:$K, 11, 0), "not ICG SWFW"))</f>
        <v>BJ And dev</v>
      </c>
      <c r="T1759" s="7" t="str">
        <f>IF(ISBLANK(patch[[#This Row],[mergeDate]]), "", MID(YEAR(patch[[#This Row],[mergeDate]]), 3,2)&amp;"'ww"&amp;WEEKNUM(patch[[#This Row],[mergeDate]]))</f>
        <v>16'ww38</v>
      </c>
      <c r="U1759" s="7" t="str">
        <f>IF(ISBLANK(patch[[#This Row],[mergeDate]]), U1758, MID(YEAR(patch[[#This Row],[mergeDate]]), 3,2)&amp;"'m"&amp;MONTH(patch[[#This Row],[mergeDate]]))</f>
        <v>16'm9</v>
      </c>
      <c r="V1759" s="7" t="str">
        <f>IF(ISBLANK(patch[[#This Row],[project]]), "",SUM(patch[[#This Row],[BJ -1 num]:[SH -1 num]]))</f>
        <v/>
      </c>
      <c r="W1759" s="7" t="str">
        <f>IF(ISBLANK(patch[[#This Row],[project]]), "",COUNTIFS($A:$A,patch[[#This Row],[number]],$S:$S, "BJ And dev",$AC:$AC, "Review-1"))</f>
        <v/>
      </c>
      <c r="X1759" s="7" t="str">
        <f>IF(ISBLANK(patch[[#This Row],[project]]), "",COUNTIFS($A:$A,patch[[#This Row],[number]],$S:$S, "FL And dev",$AC:$AC, "Review-1"))</f>
        <v/>
      </c>
      <c r="Y1759" s="7" t="str">
        <f>IF(ISBLANK(patch[[#This Row],[project]]), "",COUNTIFS($A:$A,patch[[#This Row],[number]],$S:$S, "SH And dev",$AC:$AC, "Review-1"))</f>
        <v/>
      </c>
      <c r="Z1759" s="7" t="str">
        <f>IF(ISBLANK(patch[[#This Row],[project]]), "",COUNTIFS($A:$A,patch[[#This Row],[number]],$S:$S, "BJ And dev",$AD:$AD, "&lt;&gt;IntegratorValidationComment"))</f>
        <v/>
      </c>
      <c r="AA1759" s="7" t="str">
        <f>IF(ISBLANK(patch[[#This Row],[project]]), "",COUNTIFS($A:$A,patch[[#This Row],[number]],$S:$S, "FL And dev",$AD:$AD, "&lt;&gt;IntegratorValidationComment"))</f>
        <v/>
      </c>
      <c r="AB1759" s="7" t="str">
        <f>IF(ISBLANK(patch[[#This Row],[project]]), "",COUNTIFS($A:$A,patch[[#This Row],[number]],$S:$S, "SH And dev",$AD:$AD, "&lt;&gt;IntegratorValidationComment"))</f>
        <v/>
      </c>
      <c r="AC1759" s="7" t="str">
        <f>IF(OR(ISNUMBER(FIND("Review-1", patch[[#This Row],[comments]])), ISNUMBER(FIND("Approver-1", patch[[#This Row],[comments]]))), "Review-1", "")</f>
        <v/>
      </c>
      <c r="AD17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59" s="7">
        <f>IF(ISBLANK(patch[[#This Row],[number]]),AE1758,patch[[#This Row],[ifCommon]])</f>
        <v>0</v>
      </c>
    </row>
    <row r="1760" spans="1:31">
      <c r="A1760" s="151">
        <v>144090</v>
      </c>
      <c r="B1760" s="151"/>
      <c r="C1760" s="151"/>
      <c r="D1760" s="151"/>
      <c r="E1760" s="151"/>
      <c r="F1760" s="151"/>
      <c r="G1760" s="151"/>
      <c r="H1760" s="151"/>
      <c r="I1760" s="151"/>
      <c r="J1760" s="152">
        <v>42627.659432870372</v>
      </c>
      <c r="K1760" s="151"/>
      <c r="L1760" s="151" t="s">
        <v>59</v>
      </c>
      <c r="M1760" s="152">
        <v>42622.597222222219</v>
      </c>
      <c r="N1760" s="151" t="s">
        <v>3449</v>
      </c>
      <c r="O1760" s="151"/>
      <c r="P1760" s="151"/>
      <c r="Q1760" s="7" t="str">
        <f>IF(ISBLANK(patch[[#This Row],[OwnerEmail]]),Q1759,patch[[#This Row],[OwnerEmail]])</f>
        <v>gang.a.hu@intel.com</v>
      </c>
      <c r="R1760" s="7" t="str">
        <f>_xlfn.IFNA(VLOOKUP(patch[[#This Row],[tmp-owner.email]],OrgTree!$A:$K, 11, 0), "not ICG SWFW")</f>
        <v>BJ And dev</v>
      </c>
      <c r="S1760" s="7" t="str">
        <f>IF(patch[[#This Row],[reviewer]]=patch[[#This Row],[tmp-owner.email]], "author", _xlfn.IFNA(VLOOKUP(patch[[#This Row],[reviewer]],OrgTree!$A:$K, 11, 0), "not ICG SWFW"))</f>
        <v>BJ And dev</v>
      </c>
      <c r="T1760" s="7" t="str">
        <f>IF(ISBLANK(patch[[#This Row],[mergeDate]]), "", MID(YEAR(patch[[#This Row],[mergeDate]]), 3,2)&amp;"'ww"&amp;WEEKNUM(patch[[#This Row],[mergeDate]]))</f>
        <v>16'ww38</v>
      </c>
      <c r="U1760" s="7" t="str">
        <f>IF(ISBLANK(patch[[#This Row],[mergeDate]]), U1759, MID(YEAR(patch[[#This Row],[mergeDate]]), 3,2)&amp;"'m"&amp;MONTH(patch[[#This Row],[mergeDate]]))</f>
        <v>16'm9</v>
      </c>
      <c r="V1760" s="7" t="str">
        <f>IF(ISBLANK(patch[[#This Row],[project]]), "",SUM(patch[[#This Row],[BJ -1 num]:[SH -1 num]]))</f>
        <v/>
      </c>
      <c r="W1760" s="7" t="str">
        <f>IF(ISBLANK(patch[[#This Row],[project]]), "",COUNTIFS($A:$A,patch[[#This Row],[number]],$S:$S, "BJ And dev",$AC:$AC, "Review-1"))</f>
        <v/>
      </c>
      <c r="X1760" s="7" t="str">
        <f>IF(ISBLANK(patch[[#This Row],[project]]), "",COUNTIFS($A:$A,patch[[#This Row],[number]],$S:$S, "FL And dev",$AC:$AC, "Review-1"))</f>
        <v/>
      </c>
      <c r="Y1760" s="7" t="str">
        <f>IF(ISBLANK(patch[[#This Row],[project]]), "",COUNTIFS($A:$A,patch[[#This Row],[number]],$S:$S, "SH And dev",$AC:$AC, "Review-1"))</f>
        <v/>
      </c>
      <c r="Z1760" s="7" t="str">
        <f>IF(ISBLANK(patch[[#This Row],[project]]), "",COUNTIFS($A:$A,patch[[#This Row],[number]],$S:$S, "BJ And dev",$AD:$AD, "&lt;&gt;IntegratorValidationComment"))</f>
        <v/>
      </c>
      <c r="AA1760" s="7" t="str">
        <f>IF(ISBLANK(patch[[#This Row],[project]]), "",COUNTIFS($A:$A,patch[[#This Row],[number]],$S:$S, "FL And dev",$AD:$AD, "&lt;&gt;IntegratorValidationComment"))</f>
        <v/>
      </c>
      <c r="AB1760" s="7" t="str">
        <f>IF(ISBLANK(patch[[#This Row],[project]]), "",COUNTIFS($A:$A,patch[[#This Row],[number]],$S:$S, "SH And dev",$AD:$AD, "&lt;&gt;IntegratorValidationComment"))</f>
        <v/>
      </c>
      <c r="AC1760" s="7" t="str">
        <f>IF(OR(ISNUMBER(FIND("Review-1", patch[[#This Row],[comments]])), ISNUMBER(FIND("Approver-1", patch[[#This Row],[comments]]))), "Review-1", "")</f>
        <v/>
      </c>
      <c r="AD17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60" s="7">
        <f>IF(ISBLANK(patch[[#This Row],[number]]),AE1759,patch[[#This Row],[ifCommon]])</f>
        <v>0</v>
      </c>
    </row>
    <row r="1761" spans="1:31">
      <c r="A1761" s="151">
        <v>144090</v>
      </c>
      <c r="B1761" s="151"/>
      <c r="C1761" s="151"/>
      <c r="D1761" s="151"/>
      <c r="E1761" s="151"/>
      <c r="F1761" s="151"/>
      <c r="G1761" s="151"/>
      <c r="H1761" s="151"/>
      <c r="I1761" s="151"/>
      <c r="J1761" s="152">
        <v>42627.659432870372</v>
      </c>
      <c r="K1761" s="151"/>
      <c r="L1761" s="151" t="s">
        <v>115</v>
      </c>
      <c r="M1761" s="152">
        <v>42625.42596064815</v>
      </c>
      <c r="N1761" s="151" t="s">
        <v>2496</v>
      </c>
      <c r="O1761" s="151"/>
      <c r="P1761" s="151"/>
      <c r="Q1761" s="7" t="str">
        <f>IF(ISBLANK(patch[[#This Row],[OwnerEmail]]),Q1760,patch[[#This Row],[OwnerEmail]])</f>
        <v>gang.a.hu@intel.com</v>
      </c>
      <c r="R1761" s="7" t="str">
        <f>_xlfn.IFNA(VLOOKUP(patch[[#This Row],[tmp-owner.email]],OrgTree!$A:$K, 11, 0), "not ICG SWFW")</f>
        <v>BJ And dev</v>
      </c>
      <c r="S1761" s="7" t="str">
        <f>IF(patch[[#This Row],[reviewer]]=patch[[#This Row],[tmp-owner.email]], "author", _xlfn.IFNA(VLOOKUP(patch[[#This Row],[reviewer]],OrgTree!$A:$K, 11, 0), "not ICG SWFW"))</f>
        <v>Val</v>
      </c>
      <c r="T1761" s="7" t="str">
        <f>IF(ISBLANK(patch[[#This Row],[mergeDate]]), "", MID(YEAR(patch[[#This Row],[mergeDate]]), 3,2)&amp;"'ww"&amp;WEEKNUM(patch[[#This Row],[mergeDate]]))</f>
        <v>16'ww38</v>
      </c>
      <c r="U1761" s="7" t="str">
        <f>IF(ISBLANK(patch[[#This Row],[mergeDate]]), U1760, MID(YEAR(patch[[#This Row],[mergeDate]]), 3,2)&amp;"'m"&amp;MONTH(patch[[#This Row],[mergeDate]]))</f>
        <v>16'm9</v>
      </c>
      <c r="V1761" s="7" t="str">
        <f>IF(ISBLANK(patch[[#This Row],[project]]), "",SUM(patch[[#This Row],[BJ -1 num]:[SH -1 num]]))</f>
        <v/>
      </c>
      <c r="W1761" s="7" t="str">
        <f>IF(ISBLANK(patch[[#This Row],[project]]), "",COUNTIFS($A:$A,patch[[#This Row],[number]],$S:$S, "BJ And dev",$AC:$AC, "Review-1"))</f>
        <v/>
      </c>
      <c r="X1761" s="7" t="str">
        <f>IF(ISBLANK(patch[[#This Row],[project]]), "",COUNTIFS($A:$A,patch[[#This Row],[number]],$S:$S, "FL And dev",$AC:$AC, "Review-1"))</f>
        <v/>
      </c>
      <c r="Y1761" s="7" t="str">
        <f>IF(ISBLANK(patch[[#This Row],[project]]), "",COUNTIFS($A:$A,patch[[#This Row],[number]],$S:$S, "SH And dev",$AC:$AC, "Review-1"))</f>
        <v/>
      </c>
      <c r="Z1761" s="7" t="str">
        <f>IF(ISBLANK(patch[[#This Row],[project]]), "",COUNTIFS($A:$A,patch[[#This Row],[number]],$S:$S, "BJ And dev",$AD:$AD, "&lt;&gt;IntegratorValidationComment"))</f>
        <v/>
      </c>
      <c r="AA1761" s="7" t="str">
        <f>IF(ISBLANK(patch[[#This Row],[project]]), "",COUNTIFS($A:$A,patch[[#This Row],[number]],$S:$S, "FL And dev",$AD:$AD, "&lt;&gt;IntegratorValidationComment"))</f>
        <v/>
      </c>
      <c r="AB1761" s="7" t="str">
        <f>IF(ISBLANK(patch[[#This Row],[project]]), "",COUNTIFS($A:$A,patch[[#This Row],[number]],$S:$S, "SH And dev",$AD:$AD, "&lt;&gt;IntegratorValidationComment"))</f>
        <v/>
      </c>
      <c r="AC1761" s="7" t="str">
        <f>IF(OR(ISNUMBER(FIND("Review-1", patch[[#This Row],[comments]])), ISNUMBER(FIND("Approver-1", patch[[#This Row],[comments]]))), "Review-1", "")</f>
        <v/>
      </c>
      <c r="AD17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761" s="7">
        <f>IF(ISBLANK(patch[[#This Row],[number]]),AE1760,patch[[#This Row],[ifCommon]])</f>
        <v>0</v>
      </c>
    </row>
    <row r="1762" spans="1:31">
      <c r="A1762" s="151">
        <v>144090</v>
      </c>
      <c r="B1762" s="151"/>
      <c r="C1762" s="151"/>
      <c r="D1762" s="151"/>
      <c r="E1762" s="151"/>
      <c r="F1762" s="151"/>
      <c r="G1762" s="151"/>
      <c r="H1762" s="151"/>
      <c r="I1762" s="151"/>
      <c r="J1762" s="152">
        <v>42627.659432870372</v>
      </c>
      <c r="K1762" s="151"/>
      <c r="L1762" s="151" t="s">
        <v>115</v>
      </c>
      <c r="M1762" s="152">
        <v>42626.371655092589</v>
      </c>
      <c r="N1762" s="151" t="s">
        <v>3450</v>
      </c>
      <c r="O1762" s="151"/>
      <c r="P1762" s="151"/>
      <c r="Q1762" s="7" t="str">
        <f>IF(ISBLANK(patch[[#This Row],[OwnerEmail]]),Q1761,patch[[#This Row],[OwnerEmail]])</f>
        <v>gang.a.hu@intel.com</v>
      </c>
      <c r="R1762" s="7" t="str">
        <f>_xlfn.IFNA(VLOOKUP(patch[[#This Row],[tmp-owner.email]],OrgTree!$A:$K, 11, 0), "not ICG SWFW")</f>
        <v>BJ And dev</v>
      </c>
      <c r="S1762" s="7" t="str">
        <f>IF(patch[[#This Row],[reviewer]]=patch[[#This Row],[tmp-owner.email]], "author", _xlfn.IFNA(VLOOKUP(patch[[#This Row],[reviewer]],OrgTree!$A:$K, 11, 0), "not ICG SWFW"))</f>
        <v>Val</v>
      </c>
      <c r="T1762" s="7" t="str">
        <f>IF(ISBLANK(patch[[#This Row],[mergeDate]]), "", MID(YEAR(patch[[#This Row],[mergeDate]]), 3,2)&amp;"'ww"&amp;WEEKNUM(patch[[#This Row],[mergeDate]]))</f>
        <v>16'ww38</v>
      </c>
      <c r="U1762" s="7" t="str">
        <f>IF(ISBLANK(patch[[#This Row],[mergeDate]]), U1761, MID(YEAR(patch[[#This Row],[mergeDate]]), 3,2)&amp;"'m"&amp;MONTH(patch[[#This Row],[mergeDate]]))</f>
        <v>16'm9</v>
      </c>
      <c r="V1762" s="7" t="str">
        <f>IF(ISBLANK(patch[[#This Row],[project]]), "",SUM(patch[[#This Row],[BJ -1 num]:[SH -1 num]]))</f>
        <v/>
      </c>
      <c r="W1762" s="7" t="str">
        <f>IF(ISBLANK(patch[[#This Row],[project]]), "",COUNTIFS($A:$A,patch[[#This Row],[number]],$S:$S, "BJ And dev",$AC:$AC, "Review-1"))</f>
        <v/>
      </c>
      <c r="X1762" s="7" t="str">
        <f>IF(ISBLANK(patch[[#This Row],[project]]), "",COUNTIFS($A:$A,patch[[#This Row],[number]],$S:$S, "FL And dev",$AC:$AC, "Review-1"))</f>
        <v/>
      </c>
      <c r="Y1762" s="7" t="str">
        <f>IF(ISBLANK(patch[[#This Row],[project]]), "",COUNTIFS($A:$A,patch[[#This Row],[number]],$S:$S, "SH And dev",$AC:$AC, "Review-1"))</f>
        <v/>
      </c>
      <c r="Z1762" s="7" t="str">
        <f>IF(ISBLANK(patch[[#This Row],[project]]), "",COUNTIFS($A:$A,patch[[#This Row],[number]],$S:$S, "BJ And dev",$AD:$AD, "&lt;&gt;IntegratorValidationComment"))</f>
        <v/>
      </c>
      <c r="AA1762" s="7" t="str">
        <f>IF(ISBLANK(patch[[#This Row],[project]]), "",COUNTIFS($A:$A,patch[[#This Row],[number]],$S:$S, "FL And dev",$AD:$AD, "&lt;&gt;IntegratorValidationComment"))</f>
        <v/>
      </c>
      <c r="AB1762" s="7" t="str">
        <f>IF(ISBLANK(patch[[#This Row],[project]]), "",COUNTIFS($A:$A,patch[[#This Row],[number]],$S:$S, "SH And dev",$AD:$AD, "&lt;&gt;IntegratorValidationComment"))</f>
        <v/>
      </c>
      <c r="AC1762" s="7" t="str">
        <f>IF(OR(ISNUMBER(FIND("Review-1", patch[[#This Row],[comments]])), ISNUMBER(FIND("Approver-1", patch[[#This Row],[comments]]))), "Review-1", "")</f>
        <v/>
      </c>
      <c r="AD17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762" s="7">
        <f>IF(ISBLANK(patch[[#This Row],[number]]),AE1761,patch[[#This Row],[ifCommon]])</f>
        <v>0</v>
      </c>
    </row>
    <row r="1763" spans="1:31">
      <c r="A1763" s="151">
        <v>144090</v>
      </c>
      <c r="B1763" s="151"/>
      <c r="C1763" s="151"/>
      <c r="D1763" s="151"/>
      <c r="E1763" s="151"/>
      <c r="F1763" s="151"/>
      <c r="G1763" s="151"/>
      <c r="H1763" s="151"/>
      <c r="I1763" s="151"/>
      <c r="J1763" s="152">
        <v>42627.659432870372</v>
      </c>
      <c r="K1763" s="151"/>
      <c r="L1763" s="151" t="s">
        <v>115</v>
      </c>
      <c r="M1763" s="152">
        <v>42626.666168981479</v>
      </c>
      <c r="N1763" s="151" t="s">
        <v>2496</v>
      </c>
      <c r="O1763" s="151"/>
      <c r="P1763" s="151"/>
      <c r="Q1763" s="7" t="str">
        <f>IF(ISBLANK(patch[[#This Row],[OwnerEmail]]),Q1762,patch[[#This Row],[OwnerEmail]])</f>
        <v>gang.a.hu@intel.com</v>
      </c>
      <c r="R1763" s="7" t="str">
        <f>_xlfn.IFNA(VLOOKUP(patch[[#This Row],[tmp-owner.email]],OrgTree!$A:$K, 11, 0), "not ICG SWFW")</f>
        <v>BJ And dev</v>
      </c>
      <c r="S1763" s="7" t="str">
        <f>IF(patch[[#This Row],[reviewer]]=patch[[#This Row],[tmp-owner.email]], "author", _xlfn.IFNA(VLOOKUP(patch[[#This Row],[reviewer]],OrgTree!$A:$K, 11, 0), "not ICG SWFW"))</f>
        <v>Val</v>
      </c>
      <c r="T1763" s="7" t="str">
        <f>IF(ISBLANK(patch[[#This Row],[mergeDate]]), "", MID(YEAR(patch[[#This Row],[mergeDate]]), 3,2)&amp;"'ww"&amp;WEEKNUM(patch[[#This Row],[mergeDate]]))</f>
        <v>16'ww38</v>
      </c>
      <c r="U1763" s="7" t="str">
        <f>IF(ISBLANK(patch[[#This Row],[mergeDate]]), U1762, MID(YEAR(patch[[#This Row],[mergeDate]]), 3,2)&amp;"'m"&amp;MONTH(patch[[#This Row],[mergeDate]]))</f>
        <v>16'm9</v>
      </c>
      <c r="V1763" s="7" t="str">
        <f>IF(ISBLANK(patch[[#This Row],[project]]), "",SUM(patch[[#This Row],[BJ -1 num]:[SH -1 num]]))</f>
        <v/>
      </c>
      <c r="W1763" s="7" t="str">
        <f>IF(ISBLANK(patch[[#This Row],[project]]), "",COUNTIFS($A:$A,patch[[#This Row],[number]],$S:$S, "BJ And dev",$AC:$AC, "Review-1"))</f>
        <v/>
      </c>
      <c r="X1763" s="7" t="str">
        <f>IF(ISBLANK(patch[[#This Row],[project]]), "",COUNTIFS($A:$A,patch[[#This Row],[number]],$S:$S, "FL And dev",$AC:$AC, "Review-1"))</f>
        <v/>
      </c>
      <c r="Y1763" s="7" t="str">
        <f>IF(ISBLANK(patch[[#This Row],[project]]), "",COUNTIFS($A:$A,patch[[#This Row],[number]],$S:$S, "SH And dev",$AC:$AC, "Review-1"))</f>
        <v/>
      </c>
      <c r="Z1763" s="7" t="str">
        <f>IF(ISBLANK(patch[[#This Row],[project]]), "",COUNTIFS($A:$A,patch[[#This Row],[number]],$S:$S, "BJ And dev",$AD:$AD, "&lt;&gt;IntegratorValidationComment"))</f>
        <v/>
      </c>
      <c r="AA1763" s="7" t="str">
        <f>IF(ISBLANK(patch[[#This Row],[project]]), "",COUNTIFS($A:$A,patch[[#This Row],[number]],$S:$S, "FL And dev",$AD:$AD, "&lt;&gt;IntegratorValidationComment"))</f>
        <v/>
      </c>
      <c r="AB1763" s="7" t="str">
        <f>IF(ISBLANK(patch[[#This Row],[project]]), "",COUNTIFS($A:$A,patch[[#This Row],[number]],$S:$S, "SH And dev",$AD:$AD, "&lt;&gt;IntegratorValidationComment"))</f>
        <v/>
      </c>
      <c r="AC1763" s="7" t="str">
        <f>IF(OR(ISNUMBER(FIND("Review-1", patch[[#This Row],[comments]])), ISNUMBER(FIND("Approver-1", patch[[#This Row],[comments]]))), "Review-1", "")</f>
        <v/>
      </c>
      <c r="AD17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763" s="7">
        <f>IF(ISBLANK(patch[[#This Row],[number]]),AE1762,patch[[#This Row],[ifCommon]])</f>
        <v>0</v>
      </c>
    </row>
    <row r="1764" spans="1:31">
      <c r="A1764" s="151">
        <v>144090</v>
      </c>
      <c r="B1764" s="151"/>
      <c r="C1764" s="151"/>
      <c r="D1764" s="151"/>
      <c r="E1764" s="151"/>
      <c r="F1764" s="151"/>
      <c r="G1764" s="151"/>
      <c r="H1764" s="151"/>
      <c r="I1764" s="151"/>
      <c r="J1764" s="152">
        <v>42627.659432870372</v>
      </c>
      <c r="K1764" s="151"/>
      <c r="L1764" s="151" t="s">
        <v>59</v>
      </c>
      <c r="M1764" s="152">
        <v>42626.755520833343</v>
      </c>
      <c r="N1764" s="151" t="s">
        <v>3451</v>
      </c>
      <c r="O1764" s="151"/>
      <c r="P1764" s="151"/>
      <c r="Q1764" s="7" t="str">
        <f>IF(ISBLANK(patch[[#This Row],[OwnerEmail]]),Q1763,patch[[#This Row],[OwnerEmail]])</f>
        <v>gang.a.hu@intel.com</v>
      </c>
      <c r="R1764" s="7" t="str">
        <f>_xlfn.IFNA(VLOOKUP(patch[[#This Row],[tmp-owner.email]],OrgTree!$A:$K, 11, 0), "not ICG SWFW")</f>
        <v>BJ And dev</v>
      </c>
      <c r="S1764" s="7" t="str">
        <f>IF(patch[[#This Row],[reviewer]]=patch[[#This Row],[tmp-owner.email]], "author", _xlfn.IFNA(VLOOKUP(patch[[#This Row],[reviewer]],OrgTree!$A:$K, 11, 0), "not ICG SWFW"))</f>
        <v>BJ And dev</v>
      </c>
      <c r="T1764" s="7" t="str">
        <f>IF(ISBLANK(patch[[#This Row],[mergeDate]]), "", MID(YEAR(patch[[#This Row],[mergeDate]]), 3,2)&amp;"'ww"&amp;WEEKNUM(patch[[#This Row],[mergeDate]]))</f>
        <v>16'ww38</v>
      </c>
      <c r="U1764" s="7" t="str">
        <f>IF(ISBLANK(patch[[#This Row],[mergeDate]]), U1763, MID(YEAR(patch[[#This Row],[mergeDate]]), 3,2)&amp;"'m"&amp;MONTH(patch[[#This Row],[mergeDate]]))</f>
        <v>16'm9</v>
      </c>
      <c r="V1764" s="7" t="str">
        <f>IF(ISBLANK(patch[[#This Row],[project]]), "",SUM(patch[[#This Row],[BJ -1 num]:[SH -1 num]]))</f>
        <v/>
      </c>
      <c r="W1764" s="7" t="str">
        <f>IF(ISBLANK(patch[[#This Row],[project]]), "",COUNTIFS($A:$A,patch[[#This Row],[number]],$S:$S, "BJ And dev",$AC:$AC, "Review-1"))</f>
        <v/>
      </c>
      <c r="X1764" s="7" t="str">
        <f>IF(ISBLANK(patch[[#This Row],[project]]), "",COUNTIFS($A:$A,patch[[#This Row],[number]],$S:$S, "FL And dev",$AC:$AC, "Review-1"))</f>
        <v/>
      </c>
      <c r="Y1764" s="7" t="str">
        <f>IF(ISBLANK(patch[[#This Row],[project]]), "",COUNTIFS($A:$A,patch[[#This Row],[number]],$S:$S, "SH And dev",$AC:$AC, "Review-1"))</f>
        <v/>
      </c>
      <c r="Z1764" s="7" t="str">
        <f>IF(ISBLANK(patch[[#This Row],[project]]), "",COUNTIFS($A:$A,patch[[#This Row],[number]],$S:$S, "BJ And dev",$AD:$AD, "&lt;&gt;IntegratorValidationComment"))</f>
        <v/>
      </c>
      <c r="AA1764" s="7" t="str">
        <f>IF(ISBLANK(patch[[#This Row],[project]]), "",COUNTIFS($A:$A,patch[[#This Row],[number]],$S:$S, "FL And dev",$AD:$AD, "&lt;&gt;IntegratorValidationComment"))</f>
        <v/>
      </c>
      <c r="AB1764" s="7" t="str">
        <f>IF(ISBLANK(patch[[#This Row],[project]]), "",COUNTIFS($A:$A,patch[[#This Row],[number]],$S:$S, "SH And dev",$AD:$AD, "&lt;&gt;IntegratorValidationComment"))</f>
        <v/>
      </c>
      <c r="AC1764" s="7" t="str">
        <f>IF(OR(ISNUMBER(FIND("Review-1", patch[[#This Row],[comments]])), ISNUMBER(FIND("Approver-1", patch[[#This Row],[comments]]))), "Review-1", "")</f>
        <v/>
      </c>
      <c r="AD17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64" s="7">
        <f>IF(ISBLANK(patch[[#This Row],[number]]),AE1763,patch[[#This Row],[ifCommon]])</f>
        <v>0</v>
      </c>
    </row>
    <row r="1765" spans="1:31">
      <c r="A1765" s="151">
        <v>144090</v>
      </c>
      <c r="B1765" s="151"/>
      <c r="C1765" s="151"/>
      <c r="D1765" s="151"/>
      <c r="E1765" s="151"/>
      <c r="F1765" s="151"/>
      <c r="G1765" s="151"/>
      <c r="H1765" s="151"/>
      <c r="I1765" s="151"/>
      <c r="J1765" s="152">
        <v>42627.659432870372</v>
      </c>
      <c r="K1765" s="151"/>
      <c r="L1765" s="151" t="s">
        <v>115</v>
      </c>
      <c r="M1765" s="152">
        <v>42627.427916666667</v>
      </c>
      <c r="N1765" s="151" t="s">
        <v>2532</v>
      </c>
      <c r="O1765" s="151"/>
      <c r="P1765" s="151"/>
      <c r="Q1765" s="7" t="str">
        <f>IF(ISBLANK(patch[[#This Row],[OwnerEmail]]),Q1764,patch[[#This Row],[OwnerEmail]])</f>
        <v>gang.a.hu@intel.com</v>
      </c>
      <c r="R1765" s="7" t="str">
        <f>_xlfn.IFNA(VLOOKUP(patch[[#This Row],[tmp-owner.email]],OrgTree!$A:$K, 11, 0), "not ICG SWFW")</f>
        <v>BJ And dev</v>
      </c>
      <c r="S1765" s="7" t="str">
        <f>IF(patch[[#This Row],[reviewer]]=patch[[#This Row],[tmp-owner.email]], "author", _xlfn.IFNA(VLOOKUP(patch[[#This Row],[reviewer]],OrgTree!$A:$K, 11, 0), "not ICG SWFW"))</f>
        <v>Val</v>
      </c>
      <c r="T1765" s="7" t="str">
        <f>IF(ISBLANK(patch[[#This Row],[mergeDate]]), "", MID(YEAR(patch[[#This Row],[mergeDate]]), 3,2)&amp;"'ww"&amp;WEEKNUM(patch[[#This Row],[mergeDate]]))</f>
        <v>16'ww38</v>
      </c>
      <c r="U1765" s="7" t="str">
        <f>IF(ISBLANK(patch[[#This Row],[mergeDate]]), U1764, MID(YEAR(patch[[#This Row],[mergeDate]]), 3,2)&amp;"'m"&amp;MONTH(patch[[#This Row],[mergeDate]]))</f>
        <v>16'm9</v>
      </c>
      <c r="V1765" s="7" t="str">
        <f>IF(ISBLANK(patch[[#This Row],[project]]), "",SUM(patch[[#This Row],[BJ -1 num]:[SH -1 num]]))</f>
        <v/>
      </c>
      <c r="W1765" s="7" t="str">
        <f>IF(ISBLANK(patch[[#This Row],[project]]), "",COUNTIFS($A:$A,patch[[#This Row],[number]],$S:$S, "BJ And dev",$AC:$AC, "Review-1"))</f>
        <v/>
      </c>
      <c r="X1765" s="7" t="str">
        <f>IF(ISBLANK(patch[[#This Row],[project]]), "",COUNTIFS($A:$A,patch[[#This Row],[number]],$S:$S, "FL And dev",$AC:$AC, "Review-1"))</f>
        <v/>
      </c>
      <c r="Y1765" s="7" t="str">
        <f>IF(ISBLANK(patch[[#This Row],[project]]), "",COUNTIFS($A:$A,patch[[#This Row],[number]],$S:$S, "SH And dev",$AC:$AC, "Review-1"))</f>
        <v/>
      </c>
      <c r="Z1765" s="7" t="str">
        <f>IF(ISBLANK(patch[[#This Row],[project]]), "",COUNTIFS($A:$A,patch[[#This Row],[number]],$S:$S, "BJ And dev",$AD:$AD, "&lt;&gt;IntegratorValidationComment"))</f>
        <v/>
      </c>
      <c r="AA1765" s="7" t="str">
        <f>IF(ISBLANK(patch[[#This Row],[project]]), "",COUNTIFS($A:$A,patch[[#This Row],[number]],$S:$S, "FL And dev",$AD:$AD, "&lt;&gt;IntegratorValidationComment"))</f>
        <v/>
      </c>
      <c r="AB1765" s="7" t="str">
        <f>IF(ISBLANK(patch[[#This Row],[project]]), "",COUNTIFS($A:$A,patch[[#This Row],[number]],$S:$S, "SH And dev",$AD:$AD, "&lt;&gt;IntegratorValidationComment"))</f>
        <v/>
      </c>
      <c r="AC1765" s="7" t="str">
        <f>IF(OR(ISNUMBER(FIND("Review-1", patch[[#This Row],[comments]])), ISNUMBER(FIND("Approver-1", patch[[#This Row],[comments]]))), "Review-1", "")</f>
        <v/>
      </c>
      <c r="AD17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765" s="7">
        <f>IF(ISBLANK(patch[[#This Row],[number]]),AE1764,patch[[#This Row],[ifCommon]])</f>
        <v>0</v>
      </c>
    </row>
    <row r="1766" spans="1:31">
      <c r="A1766" s="151">
        <v>144090</v>
      </c>
      <c r="B1766" s="151"/>
      <c r="C1766" s="151"/>
      <c r="D1766" s="151"/>
      <c r="E1766" s="151"/>
      <c r="F1766" s="151"/>
      <c r="G1766" s="151"/>
      <c r="H1766" s="151"/>
      <c r="I1766" s="151"/>
      <c r="J1766" s="152">
        <v>42627.659432870372</v>
      </c>
      <c r="K1766" s="151"/>
      <c r="L1766" s="151" t="s">
        <v>115</v>
      </c>
      <c r="M1766" s="152">
        <v>42627.42796296296</v>
      </c>
      <c r="N1766" s="151" t="s">
        <v>2496</v>
      </c>
      <c r="O1766" s="151"/>
      <c r="P1766" s="151"/>
      <c r="Q1766" s="7" t="str">
        <f>IF(ISBLANK(patch[[#This Row],[OwnerEmail]]),Q1765,patch[[#This Row],[OwnerEmail]])</f>
        <v>gang.a.hu@intel.com</v>
      </c>
      <c r="R1766" s="7" t="str">
        <f>_xlfn.IFNA(VLOOKUP(patch[[#This Row],[tmp-owner.email]],OrgTree!$A:$K, 11, 0), "not ICG SWFW")</f>
        <v>BJ And dev</v>
      </c>
      <c r="S1766" s="7" t="str">
        <f>IF(patch[[#This Row],[reviewer]]=patch[[#This Row],[tmp-owner.email]], "author", _xlfn.IFNA(VLOOKUP(patch[[#This Row],[reviewer]],OrgTree!$A:$K, 11, 0), "not ICG SWFW"))</f>
        <v>Val</v>
      </c>
      <c r="T1766" s="7" t="str">
        <f>IF(ISBLANK(patch[[#This Row],[mergeDate]]), "", MID(YEAR(patch[[#This Row],[mergeDate]]), 3,2)&amp;"'ww"&amp;WEEKNUM(patch[[#This Row],[mergeDate]]))</f>
        <v>16'ww38</v>
      </c>
      <c r="U1766" s="7" t="str">
        <f>IF(ISBLANK(patch[[#This Row],[mergeDate]]), U1765, MID(YEAR(patch[[#This Row],[mergeDate]]), 3,2)&amp;"'m"&amp;MONTH(patch[[#This Row],[mergeDate]]))</f>
        <v>16'm9</v>
      </c>
      <c r="V1766" s="7" t="str">
        <f>IF(ISBLANK(patch[[#This Row],[project]]), "",SUM(patch[[#This Row],[BJ -1 num]:[SH -1 num]]))</f>
        <v/>
      </c>
      <c r="W1766" s="7" t="str">
        <f>IF(ISBLANK(patch[[#This Row],[project]]), "",COUNTIFS($A:$A,patch[[#This Row],[number]],$S:$S, "BJ And dev",$AC:$AC, "Review-1"))</f>
        <v/>
      </c>
      <c r="X1766" s="7" t="str">
        <f>IF(ISBLANK(patch[[#This Row],[project]]), "",COUNTIFS($A:$A,patch[[#This Row],[number]],$S:$S, "FL And dev",$AC:$AC, "Review-1"))</f>
        <v/>
      </c>
      <c r="Y1766" s="7" t="str">
        <f>IF(ISBLANK(patch[[#This Row],[project]]), "",COUNTIFS($A:$A,patch[[#This Row],[number]],$S:$S, "SH And dev",$AC:$AC, "Review-1"))</f>
        <v/>
      </c>
      <c r="Z1766" s="7" t="str">
        <f>IF(ISBLANK(patch[[#This Row],[project]]), "",COUNTIFS($A:$A,patch[[#This Row],[number]],$S:$S, "BJ And dev",$AD:$AD, "&lt;&gt;IntegratorValidationComment"))</f>
        <v/>
      </c>
      <c r="AA1766" s="7" t="str">
        <f>IF(ISBLANK(patch[[#This Row],[project]]), "",COUNTIFS($A:$A,patch[[#This Row],[number]],$S:$S, "FL And dev",$AD:$AD, "&lt;&gt;IntegratorValidationComment"))</f>
        <v/>
      </c>
      <c r="AB1766" s="7" t="str">
        <f>IF(ISBLANK(patch[[#This Row],[project]]), "",COUNTIFS($A:$A,patch[[#This Row],[number]],$S:$S, "SH And dev",$AD:$AD, "&lt;&gt;IntegratorValidationComment"))</f>
        <v/>
      </c>
      <c r="AC1766" s="7" t="str">
        <f>IF(OR(ISNUMBER(FIND("Review-1", patch[[#This Row],[comments]])), ISNUMBER(FIND("Approver-1", patch[[#This Row],[comments]]))), "Review-1", "")</f>
        <v/>
      </c>
      <c r="AD17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766" s="7">
        <f>IF(ISBLANK(patch[[#This Row],[number]]),AE1765,patch[[#This Row],[ifCommon]])</f>
        <v>0</v>
      </c>
    </row>
    <row r="1767" spans="1:31">
      <c r="A1767" s="151">
        <v>142677</v>
      </c>
      <c r="B1767" s="151" t="s">
        <v>2490</v>
      </c>
      <c r="C1767" s="151" t="s">
        <v>2491</v>
      </c>
      <c r="D1767" s="151" t="s">
        <v>3340</v>
      </c>
      <c r="E1767" s="151" t="s">
        <v>32</v>
      </c>
      <c r="F1767" s="151" t="s">
        <v>23</v>
      </c>
      <c r="G1767" s="151" t="s">
        <v>3341</v>
      </c>
      <c r="H1767" s="151" t="s">
        <v>3342</v>
      </c>
      <c r="I1767" s="152">
        <v>42614.44222222222</v>
      </c>
      <c r="J1767" s="152">
        <v>42627.659317129634</v>
      </c>
      <c r="K1767" s="151" t="s">
        <v>2445</v>
      </c>
      <c r="L1767" s="151" t="s">
        <v>32</v>
      </c>
      <c r="M1767" s="152">
        <v>42614.44222222222</v>
      </c>
      <c r="N1767" s="151" t="s">
        <v>25</v>
      </c>
      <c r="O1767" s="151"/>
      <c r="P1767" s="151" t="s">
        <v>3452</v>
      </c>
      <c r="Q1767" s="7" t="str">
        <f>IF(ISBLANK(patch[[#This Row],[OwnerEmail]]),Q1766,patch[[#This Row],[OwnerEmail]])</f>
        <v>gang.a.hu@intel.com</v>
      </c>
      <c r="R1767" s="7" t="str">
        <f>_xlfn.IFNA(VLOOKUP(patch[[#This Row],[tmp-owner.email]],OrgTree!$A:$K, 11, 0), "not ICG SWFW")</f>
        <v>BJ And dev</v>
      </c>
      <c r="S1767" s="7" t="str">
        <f>IF(patch[[#This Row],[reviewer]]=patch[[#This Row],[tmp-owner.email]], "author", _xlfn.IFNA(VLOOKUP(patch[[#This Row],[reviewer]],OrgTree!$A:$K, 11, 0), "not ICG SWFW"))</f>
        <v>author</v>
      </c>
      <c r="T1767" s="7" t="str">
        <f>IF(ISBLANK(patch[[#This Row],[mergeDate]]), "", MID(YEAR(patch[[#This Row],[mergeDate]]), 3,2)&amp;"'ww"&amp;WEEKNUM(patch[[#This Row],[mergeDate]]))</f>
        <v>16'ww38</v>
      </c>
      <c r="U1767" s="7" t="str">
        <f>IF(ISBLANK(patch[[#This Row],[mergeDate]]), U1766, MID(YEAR(patch[[#This Row],[mergeDate]]), 3,2)&amp;"'m"&amp;MONTH(patch[[#This Row],[mergeDate]]))</f>
        <v>16'm9</v>
      </c>
      <c r="V1767" s="7">
        <f>IF(ISBLANK(patch[[#This Row],[project]]), "",SUM(patch[[#This Row],[BJ -1 num]:[SH -1 num]]))</f>
        <v>1</v>
      </c>
      <c r="W1767" s="7">
        <f>IF(ISBLANK(patch[[#This Row],[project]]), "",COUNTIFS($A:$A,patch[[#This Row],[number]],$S:$S, "BJ And dev",$AC:$AC, "Review-1"))</f>
        <v>1</v>
      </c>
      <c r="X1767" s="7">
        <f>IF(ISBLANK(patch[[#This Row],[project]]), "",COUNTIFS($A:$A,patch[[#This Row],[number]],$S:$S, "FL And dev",$AC:$AC, "Review-1"))</f>
        <v>0</v>
      </c>
      <c r="Y1767" s="7">
        <f>IF(ISBLANK(patch[[#This Row],[project]]), "",COUNTIFS($A:$A,patch[[#This Row],[number]],$S:$S, "SH And dev",$AC:$AC, "Review-1"))</f>
        <v>0</v>
      </c>
      <c r="Z1767" s="7">
        <f>IF(ISBLANK(patch[[#This Row],[project]]), "",COUNTIFS($A:$A,patch[[#This Row],[number]],$S:$S, "BJ And dev",$AD:$AD, "&lt;&gt;IntegratorValidationComment"))</f>
        <v>37</v>
      </c>
      <c r="AA1767" s="7">
        <f>IF(ISBLANK(patch[[#This Row],[project]]), "",COUNTIFS($A:$A,patch[[#This Row],[number]],$S:$S, "FL And dev",$AD:$AD, "&lt;&gt;IntegratorValidationComment"))</f>
        <v>0</v>
      </c>
      <c r="AB1767" s="7">
        <f>IF(ISBLANK(patch[[#This Row],[project]]), "",COUNTIFS($A:$A,patch[[#This Row],[number]],$S:$S, "SH And dev",$AD:$AD, "&lt;&gt;IntegratorValidationComment"))</f>
        <v>0</v>
      </c>
      <c r="AC1767" s="7" t="str">
        <f>IF(OR(ISNUMBER(FIND("Review-1", patch[[#This Row],[comments]])), ISNUMBER(FIND("Approver-1", patch[[#This Row],[comments]]))), "Review-1", "")</f>
        <v/>
      </c>
      <c r="AD17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67" s="7" t="str">
        <f>IF(ISBLANK(patch[[#This Row],[number]]),AE1766,patch[[#This Row],[ifCommon]])</f>
        <v>not AndrHAL</v>
      </c>
    </row>
    <row r="1768" spans="1:31">
      <c r="A1768" s="151">
        <v>142677</v>
      </c>
      <c r="B1768" s="151"/>
      <c r="C1768" s="151"/>
      <c r="D1768" s="151"/>
      <c r="E1768" s="151"/>
      <c r="F1768" s="151"/>
      <c r="G1768" s="151"/>
      <c r="H1768" s="151"/>
      <c r="I1768" s="151"/>
      <c r="J1768" s="152">
        <v>42627.659317129634</v>
      </c>
      <c r="K1768" s="151"/>
      <c r="L1768" s="151" t="s">
        <v>32</v>
      </c>
      <c r="M1768" s="152">
        <v>42614.442245370366</v>
      </c>
      <c r="N1768" s="151" t="s">
        <v>2428</v>
      </c>
      <c r="O1768" s="151"/>
      <c r="P1768" s="151"/>
      <c r="Q1768" s="7" t="str">
        <f>IF(ISBLANK(patch[[#This Row],[OwnerEmail]]),Q1767,patch[[#This Row],[OwnerEmail]])</f>
        <v>gang.a.hu@intel.com</v>
      </c>
      <c r="R1768" s="7" t="str">
        <f>_xlfn.IFNA(VLOOKUP(patch[[#This Row],[tmp-owner.email]],OrgTree!$A:$K, 11, 0), "not ICG SWFW")</f>
        <v>BJ And dev</v>
      </c>
      <c r="S1768" s="7" t="str">
        <f>IF(patch[[#This Row],[reviewer]]=patch[[#This Row],[tmp-owner.email]], "author", _xlfn.IFNA(VLOOKUP(patch[[#This Row],[reviewer]],OrgTree!$A:$K, 11, 0), "not ICG SWFW"))</f>
        <v>author</v>
      </c>
      <c r="T1768" s="7" t="str">
        <f>IF(ISBLANK(patch[[#This Row],[mergeDate]]), "", MID(YEAR(patch[[#This Row],[mergeDate]]), 3,2)&amp;"'ww"&amp;WEEKNUM(patch[[#This Row],[mergeDate]]))</f>
        <v>16'ww38</v>
      </c>
      <c r="U1768" s="7" t="str">
        <f>IF(ISBLANK(patch[[#This Row],[mergeDate]]), U1767, MID(YEAR(patch[[#This Row],[mergeDate]]), 3,2)&amp;"'m"&amp;MONTH(patch[[#This Row],[mergeDate]]))</f>
        <v>16'm9</v>
      </c>
      <c r="V1768" s="7" t="str">
        <f>IF(ISBLANK(patch[[#This Row],[project]]), "",SUM(patch[[#This Row],[BJ -1 num]:[SH -1 num]]))</f>
        <v/>
      </c>
      <c r="W1768" s="7" t="str">
        <f>IF(ISBLANK(patch[[#This Row],[project]]), "",COUNTIFS($A:$A,patch[[#This Row],[number]],$S:$S, "BJ And dev",$AC:$AC, "Review-1"))</f>
        <v/>
      </c>
      <c r="X1768" s="7" t="str">
        <f>IF(ISBLANK(patch[[#This Row],[project]]), "",COUNTIFS($A:$A,patch[[#This Row],[number]],$S:$S, "FL And dev",$AC:$AC, "Review-1"))</f>
        <v/>
      </c>
      <c r="Y1768" s="7" t="str">
        <f>IF(ISBLANK(patch[[#This Row],[project]]), "",COUNTIFS($A:$A,patch[[#This Row],[number]],$S:$S, "SH And dev",$AC:$AC, "Review-1"))</f>
        <v/>
      </c>
      <c r="Z1768" s="7" t="str">
        <f>IF(ISBLANK(patch[[#This Row],[project]]), "",COUNTIFS($A:$A,patch[[#This Row],[number]],$S:$S, "BJ And dev",$AD:$AD, "&lt;&gt;IntegratorValidationComment"))</f>
        <v/>
      </c>
      <c r="AA1768" s="7" t="str">
        <f>IF(ISBLANK(patch[[#This Row],[project]]), "",COUNTIFS($A:$A,patch[[#This Row],[number]],$S:$S, "FL And dev",$AD:$AD, "&lt;&gt;IntegratorValidationComment"))</f>
        <v/>
      </c>
      <c r="AB1768" s="7" t="str">
        <f>IF(ISBLANK(patch[[#This Row],[project]]), "",COUNTIFS($A:$A,patch[[#This Row],[number]],$S:$S, "SH And dev",$AD:$AD, "&lt;&gt;IntegratorValidationComment"))</f>
        <v/>
      </c>
      <c r="AC1768" s="7" t="str">
        <f>IF(OR(ISNUMBER(FIND("Review-1", patch[[#This Row],[comments]])), ISNUMBER(FIND("Approver-1", patch[[#This Row],[comments]]))), "Review-1", "")</f>
        <v/>
      </c>
      <c r="AD17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68" s="7">
        <f>IF(ISBLANK(patch[[#This Row],[number]]),AE1767,patch[[#This Row],[ifCommon]])</f>
        <v>0</v>
      </c>
    </row>
    <row r="1769" spans="1:31">
      <c r="A1769" s="151">
        <v>142677</v>
      </c>
      <c r="B1769" s="151"/>
      <c r="C1769" s="151"/>
      <c r="D1769" s="151"/>
      <c r="E1769" s="151"/>
      <c r="F1769" s="151"/>
      <c r="G1769" s="151"/>
      <c r="H1769" s="151"/>
      <c r="I1769" s="151"/>
      <c r="J1769" s="152">
        <v>42627.659317129634</v>
      </c>
      <c r="K1769" s="151"/>
      <c r="L1769" s="151" t="s">
        <v>59</v>
      </c>
      <c r="M1769" s="152">
        <v>42614.445300925923</v>
      </c>
      <c r="N1769" s="151" t="s">
        <v>3453</v>
      </c>
      <c r="O1769" s="151"/>
      <c r="P1769" s="151"/>
      <c r="Q1769" s="7" t="str">
        <f>IF(ISBLANK(patch[[#This Row],[OwnerEmail]]),Q1768,patch[[#This Row],[OwnerEmail]])</f>
        <v>gang.a.hu@intel.com</v>
      </c>
      <c r="R1769" s="7" t="str">
        <f>_xlfn.IFNA(VLOOKUP(patch[[#This Row],[tmp-owner.email]],OrgTree!$A:$K, 11, 0), "not ICG SWFW")</f>
        <v>BJ And dev</v>
      </c>
      <c r="S1769" s="7" t="str">
        <f>IF(patch[[#This Row],[reviewer]]=patch[[#This Row],[tmp-owner.email]], "author", _xlfn.IFNA(VLOOKUP(patch[[#This Row],[reviewer]],OrgTree!$A:$K, 11, 0), "not ICG SWFW"))</f>
        <v>BJ And dev</v>
      </c>
      <c r="T1769" s="7" t="str">
        <f>IF(ISBLANK(patch[[#This Row],[mergeDate]]), "", MID(YEAR(patch[[#This Row],[mergeDate]]), 3,2)&amp;"'ww"&amp;WEEKNUM(patch[[#This Row],[mergeDate]]))</f>
        <v>16'ww38</v>
      </c>
      <c r="U1769" s="7" t="str">
        <f>IF(ISBLANK(patch[[#This Row],[mergeDate]]), U1768, MID(YEAR(patch[[#This Row],[mergeDate]]), 3,2)&amp;"'m"&amp;MONTH(patch[[#This Row],[mergeDate]]))</f>
        <v>16'm9</v>
      </c>
      <c r="V1769" s="7" t="str">
        <f>IF(ISBLANK(patch[[#This Row],[project]]), "",SUM(patch[[#This Row],[BJ -1 num]:[SH -1 num]]))</f>
        <v/>
      </c>
      <c r="W1769" s="7" t="str">
        <f>IF(ISBLANK(patch[[#This Row],[project]]), "",COUNTIFS($A:$A,patch[[#This Row],[number]],$S:$S, "BJ And dev",$AC:$AC, "Review-1"))</f>
        <v/>
      </c>
      <c r="X1769" s="7" t="str">
        <f>IF(ISBLANK(patch[[#This Row],[project]]), "",COUNTIFS($A:$A,patch[[#This Row],[number]],$S:$S, "FL And dev",$AC:$AC, "Review-1"))</f>
        <v/>
      </c>
      <c r="Y1769" s="7" t="str">
        <f>IF(ISBLANK(patch[[#This Row],[project]]), "",COUNTIFS($A:$A,patch[[#This Row],[number]],$S:$S, "SH And dev",$AC:$AC, "Review-1"))</f>
        <v/>
      </c>
      <c r="Z1769" s="7" t="str">
        <f>IF(ISBLANK(patch[[#This Row],[project]]), "",COUNTIFS($A:$A,patch[[#This Row],[number]],$S:$S, "BJ And dev",$AD:$AD, "&lt;&gt;IntegratorValidationComment"))</f>
        <v/>
      </c>
      <c r="AA1769" s="7" t="str">
        <f>IF(ISBLANK(patch[[#This Row],[project]]), "",COUNTIFS($A:$A,patch[[#This Row],[number]],$S:$S, "FL And dev",$AD:$AD, "&lt;&gt;IntegratorValidationComment"))</f>
        <v/>
      </c>
      <c r="AB1769" s="7" t="str">
        <f>IF(ISBLANK(patch[[#This Row],[project]]), "",COUNTIFS($A:$A,patch[[#This Row],[number]],$S:$S, "SH And dev",$AD:$AD, "&lt;&gt;IntegratorValidationComment"))</f>
        <v/>
      </c>
      <c r="AC1769" s="7" t="str">
        <f>IF(OR(ISNUMBER(FIND("Review-1", patch[[#This Row],[comments]])), ISNUMBER(FIND("Approver-1", patch[[#This Row],[comments]]))), "Review-1", "")</f>
        <v/>
      </c>
      <c r="AD17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69" s="7">
        <f>IF(ISBLANK(patch[[#This Row],[number]]),AE1768,patch[[#This Row],[ifCommon]])</f>
        <v>0</v>
      </c>
    </row>
    <row r="1770" spans="1:31">
      <c r="A1770" s="151">
        <v>142677</v>
      </c>
      <c r="B1770" s="151"/>
      <c r="C1770" s="151"/>
      <c r="D1770" s="151"/>
      <c r="E1770" s="151"/>
      <c r="F1770" s="151"/>
      <c r="G1770" s="151"/>
      <c r="H1770" s="151"/>
      <c r="I1770" s="151"/>
      <c r="J1770" s="152">
        <v>42627.659317129634</v>
      </c>
      <c r="K1770" s="151"/>
      <c r="L1770" s="151" t="s">
        <v>59</v>
      </c>
      <c r="M1770" s="152">
        <v>42614.448564814818</v>
      </c>
      <c r="N1770" s="151" t="s">
        <v>3454</v>
      </c>
      <c r="O1770" s="151"/>
      <c r="P1770" s="151"/>
      <c r="Q1770" s="7" t="str">
        <f>IF(ISBLANK(patch[[#This Row],[OwnerEmail]]),Q1769,patch[[#This Row],[OwnerEmail]])</f>
        <v>gang.a.hu@intel.com</v>
      </c>
      <c r="R1770" s="7" t="str">
        <f>_xlfn.IFNA(VLOOKUP(patch[[#This Row],[tmp-owner.email]],OrgTree!$A:$K, 11, 0), "not ICG SWFW")</f>
        <v>BJ And dev</v>
      </c>
      <c r="S1770" s="7" t="str">
        <f>IF(patch[[#This Row],[reviewer]]=patch[[#This Row],[tmp-owner.email]], "author", _xlfn.IFNA(VLOOKUP(patch[[#This Row],[reviewer]],OrgTree!$A:$K, 11, 0), "not ICG SWFW"))</f>
        <v>BJ And dev</v>
      </c>
      <c r="T1770" s="7" t="str">
        <f>IF(ISBLANK(patch[[#This Row],[mergeDate]]), "", MID(YEAR(patch[[#This Row],[mergeDate]]), 3,2)&amp;"'ww"&amp;WEEKNUM(patch[[#This Row],[mergeDate]]))</f>
        <v>16'ww38</v>
      </c>
      <c r="U1770" s="7" t="str">
        <f>IF(ISBLANK(patch[[#This Row],[mergeDate]]), U1769, MID(YEAR(patch[[#This Row],[mergeDate]]), 3,2)&amp;"'m"&amp;MONTH(patch[[#This Row],[mergeDate]]))</f>
        <v>16'm9</v>
      </c>
      <c r="V1770" s="7" t="str">
        <f>IF(ISBLANK(patch[[#This Row],[project]]), "",SUM(patch[[#This Row],[BJ -1 num]:[SH -1 num]]))</f>
        <v/>
      </c>
      <c r="W1770" s="7" t="str">
        <f>IF(ISBLANK(patch[[#This Row],[project]]), "",COUNTIFS($A:$A,patch[[#This Row],[number]],$S:$S, "BJ And dev",$AC:$AC, "Review-1"))</f>
        <v/>
      </c>
      <c r="X1770" s="7" t="str">
        <f>IF(ISBLANK(patch[[#This Row],[project]]), "",COUNTIFS($A:$A,patch[[#This Row],[number]],$S:$S, "FL And dev",$AC:$AC, "Review-1"))</f>
        <v/>
      </c>
      <c r="Y1770" s="7" t="str">
        <f>IF(ISBLANK(patch[[#This Row],[project]]), "",COUNTIFS($A:$A,patch[[#This Row],[number]],$S:$S, "SH And dev",$AC:$AC, "Review-1"))</f>
        <v/>
      </c>
      <c r="Z1770" s="7" t="str">
        <f>IF(ISBLANK(patch[[#This Row],[project]]), "",COUNTIFS($A:$A,patch[[#This Row],[number]],$S:$S, "BJ And dev",$AD:$AD, "&lt;&gt;IntegratorValidationComment"))</f>
        <v/>
      </c>
      <c r="AA1770" s="7" t="str">
        <f>IF(ISBLANK(patch[[#This Row],[project]]), "",COUNTIFS($A:$A,patch[[#This Row],[number]],$S:$S, "FL And dev",$AD:$AD, "&lt;&gt;IntegratorValidationComment"))</f>
        <v/>
      </c>
      <c r="AB1770" s="7" t="str">
        <f>IF(ISBLANK(patch[[#This Row],[project]]), "",COUNTIFS($A:$A,patch[[#This Row],[number]],$S:$S, "SH And dev",$AD:$AD, "&lt;&gt;IntegratorValidationComment"))</f>
        <v/>
      </c>
      <c r="AC1770" s="7" t="str">
        <f>IF(OR(ISNUMBER(FIND("Review-1", patch[[#This Row],[comments]])), ISNUMBER(FIND("Approver-1", patch[[#This Row],[comments]]))), "Review-1", "")</f>
        <v/>
      </c>
      <c r="AD17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70" s="7">
        <f>IF(ISBLANK(patch[[#This Row],[number]]),AE1769,patch[[#This Row],[ifCommon]])</f>
        <v>0</v>
      </c>
    </row>
    <row r="1771" spans="1:31">
      <c r="A1771" s="151">
        <v>142677</v>
      </c>
      <c r="B1771" s="151"/>
      <c r="C1771" s="151"/>
      <c r="D1771" s="151"/>
      <c r="E1771" s="151"/>
      <c r="F1771" s="151"/>
      <c r="G1771" s="151"/>
      <c r="H1771" s="151"/>
      <c r="I1771" s="151"/>
      <c r="J1771" s="152">
        <v>42627.659317129634</v>
      </c>
      <c r="K1771" s="151"/>
      <c r="L1771" s="151" t="s">
        <v>32</v>
      </c>
      <c r="M1771" s="152">
        <v>42614.74931712963</v>
      </c>
      <c r="N1771" s="151" t="s">
        <v>29</v>
      </c>
      <c r="O1771" s="151"/>
      <c r="P1771" s="151"/>
      <c r="Q1771" s="7" t="str">
        <f>IF(ISBLANK(patch[[#This Row],[OwnerEmail]]),Q1770,patch[[#This Row],[OwnerEmail]])</f>
        <v>gang.a.hu@intel.com</v>
      </c>
      <c r="R1771" s="7" t="str">
        <f>_xlfn.IFNA(VLOOKUP(patch[[#This Row],[tmp-owner.email]],OrgTree!$A:$K, 11, 0), "not ICG SWFW")</f>
        <v>BJ And dev</v>
      </c>
      <c r="S1771" s="7" t="str">
        <f>IF(patch[[#This Row],[reviewer]]=patch[[#This Row],[tmp-owner.email]], "author", _xlfn.IFNA(VLOOKUP(patch[[#This Row],[reviewer]],OrgTree!$A:$K, 11, 0), "not ICG SWFW"))</f>
        <v>author</v>
      </c>
      <c r="T1771" s="7" t="str">
        <f>IF(ISBLANK(patch[[#This Row],[mergeDate]]), "", MID(YEAR(patch[[#This Row],[mergeDate]]), 3,2)&amp;"'ww"&amp;WEEKNUM(patch[[#This Row],[mergeDate]]))</f>
        <v>16'ww38</v>
      </c>
      <c r="U1771" s="7" t="str">
        <f>IF(ISBLANK(patch[[#This Row],[mergeDate]]), U1770, MID(YEAR(patch[[#This Row],[mergeDate]]), 3,2)&amp;"'m"&amp;MONTH(patch[[#This Row],[mergeDate]]))</f>
        <v>16'm9</v>
      </c>
      <c r="V1771" s="7" t="str">
        <f>IF(ISBLANK(patch[[#This Row],[project]]), "",SUM(patch[[#This Row],[BJ -1 num]:[SH -1 num]]))</f>
        <v/>
      </c>
      <c r="W1771" s="7" t="str">
        <f>IF(ISBLANK(patch[[#This Row],[project]]), "",COUNTIFS($A:$A,patch[[#This Row],[number]],$S:$S, "BJ And dev",$AC:$AC, "Review-1"))</f>
        <v/>
      </c>
      <c r="X1771" s="7" t="str">
        <f>IF(ISBLANK(patch[[#This Row],[project]]), "",COUNTIFS($A:$A,patch[[#This Row],[number]],$S:$S, "FL And dev",$AC:$AC, "Review-1"))</f>
        <v/>
      </c>
      <c r="Y1771" s="7" t="str">
        <f>IF(ISBLANK(patch[[#This Row],[project]]), "",COUNTIFS($A:$A,patch[[#This Row],[number]],$S:$S, "SH And dev",$AC:$AC, "Review-1"))</f>
        <v/>
      </c>
      <c r="Z1771" s="7" t="str">
        <f>IF(ISBLANK(patch[[#This Row],[project]]), "",COUNTIFS($A:$A,patch[[#This Row],[number]],$S:$S, "BJ And dev",$AD:$AD, "&lt;&gt;IntegratorValidationComment"))</f>
        <v/>
      </c>
      <c r="AA1771" s="7" t="str">
        <f>IF(ISBLANK(patch[[#This Row],[project]]), "",COUNTIFS($A:$A,patch[[#This Row],[number]],$S:$S, "FL And dev",$AD:$AD, "&lt;&gt;IntegratorValidationComment"))</f>
        <v/>
      </c>
      <c r="AB1771" s="7" t="str">
        <f>IF(ISBLANK(patch[[#This Row],[project]]), "",COUNTIFS($A:$A,patch[[#This Row],[number]],$S:$S, "SH And dev",$AD:$AD, "&lt;&gt;IntegratorValidationComment"))</f>
        <v/>
      </c>
      <c r="AC1771" s="7" t="str">
        <f>IF(OR(ISNUMBER(FIND("Review-1", patch[[#This Row],[comments]])), ISNUMBER(FIND("Approver-1", patch[[#This Row],[comments]]))), "Review-1", "")</f>
        <v/>
      </c>
      <c r="AD17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71" s="7">
        <f>IF(ISBLANK(patch[[#This Row],[number]]),AE1770,patch[[#This Row],[ifCommon]])</f>
        <v>0</v>
      </c>
    </row>
    <row r="1772" spans="1:31">
      <c r="A1772" s="151">
        <v>142677</v>
      </c>
      <c r="B1772" s="151"/>
      <c r="C1772" s="151"/>
      <c r="D1772" s="151"/>
      <c r="E1772" s="151"/>
      <c r="F1772" s="151"/>
      <c r="G1772" s="151"/>
      <c r="H1772" s="151"/>
      <c r="I1772" s="151"/>
      <c r="J1772" s="152">
        <v>42627.659317129634</v>
      </c>
      <c r="K1772" s="151"/>
      <c r="L1772" s="151" t="s">
        <v>32</v>
      </c>
      <c r="M1772" s="152">
        <v>42614.74931712963</v>
      </c>
      <c r="N1772" s="151" t="s">
        <v>2429</v>
      </c>
      <c r="O1772" s="151"/>
      <c r="P1772" s="151"/>
      <c r="Q1772" s="7" t="str">
        <f>IF(ISBLANK(patch[[#This Row],[OwnerEmail]]),Q1771,patch[[#This Row],[OwnerEmail]])</f>
        <v>gang.a.hu@intel.com</v>
      </c>
      <c r="R1772" s="7" t="str">
        <f>_xlfn.IFNA(VLOOKUP(patch[[#This Row],[tmp-owner.email]],OrgTree!$A:$K, 11, 0), "not ICG SWFW")</f>
        <v>BJ And dev</v>
      </c>
      <c r="S1772" s="7" t="str">
        <f>IF(patch[[#This Row],[reviewer]]=patch[[#This Row],[tmp-owner.email]], "author", _xlfn.IFNA(VLOOKUP(patch[[#This Row],[reviewer]],OrgTree!$A:$K, 11, 0), "not ICG SWFW"))</f>
        <v>author</v>
      </c>
      <c r="T1772" s="7" t="str">
        <f>IF(ISBLANK(patch[[#This Row],[mergeDate]]), "", MID(YEAR(patch[[#This Row],[mergeDate]]), 3,2)&amp;"'ww"&amp;WEEKNUM(patch[[#This Row],[mergeDate]]))</f>
        <v>16'ww38</v>
      </c>
      <c r="U1772" s="7" t="str">
        <f>IF(ISBLANK(patch[[#This Row],[mergeDate]]), U1771, MID(YEAR(patch[[#This Row],[mergeDate]]), 3,2)&amp;"'m"&amp;MONTH(patch[[#This Row],[mergeDate]]))</f>
        <v>16'm9</v>
      </c>
      <c r="V1772" s="7" t="str">
        <f>IF(ISBLANK(patch[[#This Row],[project]]), "",SUM(patch[[#This Row],[BJ -1 num]:[SH -1 num]]))</f>
        <v/>
      </c>
      <c r="W1772" s="7" t="str">
        <f>IF(ISBLANK(patch[[#This Row],[project]]), "",COUNTIFS($A:$A,patch[[#This Row],[number]],$S:$S, "BJ And dev",$AC:$AC, "Review-1"))</f>
        <v/>
      </c>
      <c r="X1772" s="7" t="str">
        <f>IF(ISBLANK(patch[[#This Row],[project]]), "",COUNTIFS($A:$A,patch[[#This Row],[number]],$S:$S, "FL And dev",$AC:$AC, "Review-1"))</f>
        <v/>
      </c>
      <c r="Y1772" s="7" t="str">
        <f>IF(ISBLANK(patch[[#This Row],[project]]), "",COUNTIFS($A:$A,patch[[#This Row],[number]],$S:$S, "SH And dev",$AC:$AC, "Review-1"))</f>
        <v/>
      </c>
      <c r="Z1772" s="7" t="str">
        <f>IF(ISBLANK(patch[[#This Row],[project]]), "",COUNTIFS($A:$A,patch[[#This Row],[number]],$S:$S, "BJ And dev",$AD:$AD, "&lt;&gt;IntegratorValidationComment"))</f>
        <v/>
      </c>
      <c r="AA1772" s="7" t="str">
        <f>IF(ISBLANK(patch[[#This Row],[project]]), "",COUNTIFS($A:$A,patch[[#This Row],[number]],$S:$S, "FL And dev",$AD:$AD, "&lt;&gt;IntegratorValidationComment"))</f>
        <v/>
      </c>
      <c r="AB1772" s="7" t="str">
        <f>IF(ISBLANK(patch[[#This Row],[project]]), "",COUNTIFS($A:$A,patch[[#This Row],[number]],$S:$S, "SH And dev",$AD:$AD, "&lt;&gt;IntegratorValidationComment"))</f>
        <v/>
      </c>
      <c r="AC1772" s="7" t="str">
        <f>IF(OR(ISNUMBER(FIND("Review-1", patch[[#This Row],[comments]])), ISNUMBER(FIND("Approver-1", patch[[#This Row],[comments]]))), "Review-1", "")</f>
        <v/>
      </c>
      <c r="AD17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72" s="7">
        <f>IF(ISBLANK(patch[[#This Row],[number]]),AE1771,patch[[#This Row],[ifCommon]])</f>
        <v>0</v>
      </c>
    </row>
    <row r="1773" spans="1:31">
      <c r="A1773" s="151">
        <v>142677</v>
      </c>
      <c r="B1773" s="151"/>
      <c r="C1773" s="151"/>
      <c r="D1773" s="151"/>
      <c r="E1773" s="151"/>
      <c r="F1773" s="151"/>
      <c r="G1773" s="151"/>
      <c r="H1773" s="151"/>
      <c r="I1773" s="151"/>
      <c r="J1773" s="152">
        <v>42627.659317129634</v>
      </c>
      <c r="K1773" s="151"/>
      <c r="L1773" s="151" t="s">
        <v>59</v>
      </c>
      <c r="M1773" s="152">
        <v>42614.750740740739</v>
      </c>
      <c r="N1773" s="151" t="s">
        <v>3455</v>
      </c>
      <c r="O1773" s="151"/>
      <c r="P1773" s="151"/>
      <c r="Q1773" s="7" t="str">
        <f>IF(ISBLANK(patch[[#This Row],[OwnerEmail]]),Q1772,patch[[#This Row],[OwnerEmail]])</f>
        <v>gang.a.hu@intel.com</v>
      </c>
      <c r="R1773" s="7" t="str">
        <f>_xlfn.IFNA(VLOOKUP(patch[[#This Row],[tmp-owner.email]],OrgTree!$A:$K, 11, 0), "not ICG SWFW")</f>
        <v>BJ And dev</v>
      </c>
      <c r="S1773" s="7" t="str">
        <f>IF(patch[[#This Row],[reviewer]]=patch[[#This Row],[tmp-owner.email]], "author", _xlfn.IFNA(VLOOKUP(patch[[#This Row],[reviewer]],OrgTree!$A:$K, 11, 0), "not ICG SWFW"))</f>
        <v>BJ And dev</v>
      </c>
      <c r="T1773" s="7" t="str">
        <f>IF(ISBLANK(patch[[#This Row],[mergeDate]]), "", MID(YEAR(patch[[#This Row],[mergeDate]]), 3,2)&amp;"'ww"&amp;WEEKNUM(patch[[#This Row],[mergeDate]]))</f>
        <v>16'ww38</v>
      </c>
      <c r="U1773" s="7" t="str">
        <f>IF(ISBLANK(patch[[#This Row],[mergeDate]]), U1772, MID(YEAR(patch[[#This Row],[mergeDate]]), 3,2)&amp;"'m"&amp;MONTH(patch[[#This Row],[mergeDate]]))</f>
        <v>16'm9</v>
      </c>
      <c r="V1773" s="7" t="str">
        <f>IF(ISBLANK(patch[[#This Row],[project]]), "",SUM(patch[[#This Row],[BJ -1 num]:[SH -1 num]]))</f>
        <v/>
      </c>
      <c r="W1773" s="7" t="str">
        <f>IF(ISBLANK(patch[[#This Row],[project]]), "",COUNTIFS($A:$A,patch[[#This Row],[number]],$S:$S, "BJ And dev",$AC:$AC, "Review-1"))</f>
        <v/>
      </c>
      <c r="X1773" s="7" t="str">
        <f>IF(ISBLANK(patch[[#This Row],[project]]), "",COUNTIFS($A:$A,patch[[#This Row],[number]],$S:$S, "FL And dev",$AC:$AC, "Review-1"))</f>
        <v/>
      </c>
      <c r="Y1773" s="7" t="str">
        <f>IF(ISBLANK(patch[[#This Row],[project]]), "",COUNTIFS($A:$A,patch[[#This Row],[number]],$S:$S, "SH And dev",$AC:$AC, "Review-1"))</f>
        <v/>
      </c>
      <c r="Z1773" s="7" t="str">
        <f>IF(ISBLANK(patch[[#This Row],[project]]), "",COUNTIFS($A:$A,patch[[#This Row],[number]],$S:$S, "BJ And dev",$AD:$AD, "&lt;&gt;IntegratorValidationComment"))</f>
        <v/>
      </c>
      <c r="AA1773" s="7" t="str">
        <f>IF(ISBLANK(patch[[#This Row],[project]]), "",COUNTIFS($A:$A,patch[[#This Row],[number]],$S:$S, "FL And dev",$AD:$AD, "&lt;&gt;IntegratorValidationComment"))</f>
        <v/>
      </c>
      <c r="AB1773" s="7" t="str">
        <f>IF(ISBLANK(patch[[#This Row],[project]]), "",COUNTIFS($A:$A,patch[[#This Row],[number]],$S:$S, "SH And dev",$AD:$AD, "&lt;&gt;IntegratorValidationComment"))</f>
        <v/>
      </c>
      <c r="AC1773" s="7" t="str">
        <f>IF(OR(ISNUMBER(FIND("Review-1", patch[[#This Row],[comments]])), ISNUMBER(FIND("Approver-1", patch[[#This Row],[comments]]))), "Review-1", "")</f>
        <v/>
      </c>
      <c r="AD17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73" s="7">
        <f>IF(ISBLANK(patch[[#This Row],[number]]),AE1772,patch[[#This Row],[ifCommon]])</f>
        <v>0</v>
      </c>
    </row>
    <row r="1774" spans="1:31">
      <c r="A1774" s="151">
        <v>142677</v>
      </c>
      <c r="B1774" s="151"/>
      <c r="C1774" s="151"/>
      <c r="D1774" s="151"/>
      <c r="E1774" s="151"/>
      <c r="F1774" s="151"/>
      <c r="G1774" s="151"/>
      <c r="H1774" s="151"/>
      <c r="I1774" s="152"/>
      <c r="J1774" s="152">
        <v>42627.659317129634</v>
      </c>
      <c r="K1774" s="151"/>
      <c r="L1774" s="151" t="s">
        <v>59</v>
      </c>
      <c r="M1774" s="152">
        <v>42614.751562500001</v>
      </c>
      <c r="N1774" s="151" t="s">
        <v>3456</v>
      </c>
      <c r="O1774" s="151"/>
      <c r="P1774" s="151"/>
      <c r="Q1774" s="7" t="str">
        <f>IF(ISBLANK(patch[[#This Row],[OwnerEmail]]),Q1773,patch[[#This Row],[OwnerEmail]])</f>
        <v>gang.a.hu@intel.com</v>
      </c>
      <c r="R1774" s="7" t="str">
        <f>_xlfn.IFNA(VLOOKUP(patch[[#This Row],[tmp-owner.email]],OrgTree!$A:$K, 11, 0), "not ICG SWFW")</f>
        <v>BJ And dev</v>
      </c>
      <c r="S1774" s="7" t="str">
        <f>IF(patch[[#This Row],[reviewer]]=patch[[#This Row],[tmp-owner.email]], "author", _xlfn.IFNA(VLOOKUP(patch[[#This Row],[reviewer]],OrgTree!$A:$K, 11, 0), "not ICG SWFW"))</f>
        <v>BJ And dev</v>
      </c>
      <c r="T1774" s="7" t="str">
        <f>IF(ISBLANK(patch[[#This Row],[mergeDate]]), "", MID(YEAR(patch[[#This Row],[mergeDate]]), 3,2)&amp;"'ww"&amp;WEEKNUM(patch[[#This Row],[mergeDate]]))</f>
        <v>16'ww38</v>
      </c>
      <c r="U1774" s="7" t="str">
        <f>IF(ISBLANK(patch[[#This Row],[mergeDate]]), U1773, MID(YEAR(patch[[#This Row],[mergeDate]]), 3,2)&amp;"'m"&amp;MONTH(patch[[#This Row],[mergeDate]]))</f>
        <v>16'm9</v>
      </c>
      <c r="V1774" s="7" t="str">
        <f>IF(ISBLANK(patch[[#This Row],[project]]), "",SUM(patch[[#This Row],[BJ -1 num]:[SH -1 num]]))</f>
        <v/>
      </c>
      <c r="W1774" s="7" t="str">
        <f>IF(ISBLANK(patch[[#This Row],[project]]), "",COUNTIFS($A:$A,patch[[#This Row],[number]],$S:$S, "BJ And dev",$AC:$AC, "Review-1"))</f>
        <v/>
      </c>
      <c r="X1774" s="7" t="str">
        <f>IF(ISBLANK(patch[[#This Row],[project]]), "",COUNTIFS($A:$A,patch[[#This Row],[number]],$S:$S, "FL And dev",$AC:$AC, "Review-1"))</f>
        <v/>
      </c>
      <c r="Y1774" s="7" t="str">
        <f>IF(ISBLANK(patch[[#This Row],[project]]), "",COUNTIFS($A:$A,patch[[#This Row],[number]],$S:$S, "SH And dev",$AC:$AC, "Review-1"))</f>
        <v/>
      </c>
      <c r="Z1774" s="7" t="str">
        <f>IF(ISBLANK(patch[[#This Row],[project]]), "",COUNTIFS($A:$A,patch[[#This Row],[number]],$S:$S, "BJ And dev",$AD:$AD, "&lt;&gt;IntegratorValidationComment"))</f>
        <v/>
      </c>
      <c r="AA1774" s="7" t="str">
        <f>IF(ISBLANK(patch[[#This Row],[project]]), "",COUNTIFS($A:$A,patch[[#This Row],[number]],$S:$S, "FL And dev",$AD:$AD, "&lt;&gt;IntegratorValidationComment"))</f>
        <v/>
      </c>
      <c r="AB1774" s="7" t="str">
        <f>IF(ISBLANK(patch[[#This Row],[project]]), "",COUNTIFS($A:$A,patch[[#This Row],[number]],$S:$S, "SH And dev",$AD:$AD, "&lt;&gt;IntegratorValidationComment"))</f>
        <v/>
      </c>
      <c r="AC1774" s="7" t="str">
        <f>IF(OR(ISNUMBER(FIND("Review-1", patch[[#This Row],[comments]])), ISNUMBER(FIND("Approver-1", patch[[#This Row],[comments]]))), "Review-1", "")</f>
        <v/>
      </c>
      <c r="AD17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74" s="7">
        <f>IF(ISBLANK(patch[[#This Row],[number]]),AE1773,patch[[#This Row],[ifCommon]])</f>
        <v>0</v>
      </c>
    </row>
    <row r="1775" spans="1:31">
      <c r="A1775" s="151">
        <v>142677</v>
      </c>
      <c r="B1775" s="151"/>
      <c r="C1775" s="151"/>
      <c r="D1775" s="151"/>
      <c r="E1775" s="151"/>
      <c r="F1775" s="151"/>
      <c r="G1775" s="151"/>
      <c r="H1775" s="151"/>
      <c r="I1775" s="151"/>
      <c r="J1775" s="152">
        <v>42627.659317129634</v>
      </c>
      <c r="K1775" s="151"/>
      <c r="L1775" s="151" t="s">
        <v>32</v>
      </c>
      <c r="M1775" s="152">
        <v>42614.856099537043</v>
      </c>
      <c r="N1775" s="151" t="s">
        <v>1829</v>
      </c>
      <c r="O1775" s="151"/>
      <c r="P1775" s="151"/>
      <c r="Q1775" s="7" t="str">
        <f>IF(ISBLANK(patch[[#This Row],[OwnerEmail]]),Q1774,patch[[#This Row],[OwnerEmail]])</f>
        <v>gang.a.hu@intel.com</v>
      </c>
      <c r="R1775" s="7" t="str">
        <f>_xlfn.IFNA(VLOOKUP(patch[[#This Row],[tmp-owner.email]],OrgTree!$A:$K, 11, 0), "not ICG SWFW")</f>
        <v>BJ And dev</v>
      </c>
      <c r="S1775" s="7" t="str">
        <f>IF(patch[[#This Row],[reviewer]]=patch[[#This Row],[tmp-owner.email]], "author", _xlfn.IFNA(VLOOKUP(patch[[#This Row],[reviewer]],OrgTree!$A:$K, 11, 0), "not ICG SWFW"))</f>
        <v>author</v>
      </c>
      <c r="T1775" s="7" t="str">
        <f>IF(ISBLANK(patch[[#This Row],[mergeDate]]), "", MID(YEAR(patch[[#This Row],[mergeDate]]), 3,2)&amp;"'ww"&amp;WEEKNUM(patch[[#This Row],[mergeDate]]))</f>
        <v>16'ww38</v>
      </c>
      <c r="U1775" s="7" t="str">
        <f>IF(ISBLANK(patch[[#This Row],[mergeDate]]), U1774, MID(YEAR(patch[[#This Row],[mergeDate]]), 3,2)&amp;"'m"&amp;MONTH(patch[[#This Row],[mergeDate]]))</f>
        <v>16'm9</v>
      </c>
      <c r="V1775" s="7" t="str">
        <f>IF(ISBLANK(patch[[#This Row],[project]]), "",SUM(patch[[#This Row],[BJ -1 num]:[SH -1 num]]))</f>
        <v/>
      </c>
      <c r="W1775" s="7" t="str">
        <f>IF(ISBLANK(patch[[#This Row],[project]]), "",COUNTIFS($A:$A,patch[[#This Row],[number]],$S:$S, "BJ And dev",$AC:$AC, "Review-1"))</f>
        <v/>
      </c>
      <c r="X1775" s="7" t="str">
        <f>IF(ISBLANK(patch[[#This Row],[project]]), "",COUNTIFS($A:$A,patch[[#This Row],[number]],$S:$S, "FL And dev",$AC:$AC, "Review-1"))</f>
        <v/>
      </c>
      <c r="Y1775" s="7" t="str">
        <f>IF(ISBLANK(patch[[#This Row],[project]]), "",COUNTIFS($A:$A,patch[[#This Row],[number]],$S:$S, "SH And dev",$AC:$AC, "Review-1"))</f>
        <v/>
      </c>
      <c r="Z1775" s="7" t="str">
        <f>IF(ISBLANK(patch[[#This Row],[project]]), "",COUNTIFS($A:$A,patch[[#This Row],[number]],$S:$S, "BJ And dev",$AD:$AD, "&lt;&gt;IntegratorValidationComment"))</f>
        <v/>
      </c>
      <c r="AA1775" s="7" t="str">
        <f>IF(ISBLANK(patch[[#This Row],[project]]), "",COUNTIFS($A:$A,patch[[#This Row],[number]],$S:$S, "FL And dev",$AD:$AD, "&lt;&gt;IntegratorValidationComment"))</f>
        <v/>
      </c>
      <c r="AB1775" s="7" t="str">
        <f>IF(ISBLANK(patch[[#This Row],[project]]), "",COUNTIFS($A:$A,patch[[#This Row],[number]],$S:$S, "SH And dev",$AD:$AD, "&lt;&gt;IntegratorValidationComment"))</f>
        <v/>
      </c>
      <c r="AC1775" s="7" t="str">
        <f>IF(OR(ISNUMBER(FIND("Review-1", patch[[#This Row],[comments]])), ISNUMBER(FIND("Approver-1", patch[[#This Row],[comments]]))), "Review-1", "")</f>
        <v/>
      </c>
      <c r="AD17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75" s="7">
        <f>IF(ISBLANK(patch[[#This Row],[number]]),AE1774,patch[[#This Row],[ifCommon]])</f>
        <v>0</v>
      </c>
    </row>
    <row r="1776" spans="1:31">
      <c r="A1776" s="151">
        <v>142677</v>
      </c>
      <c r="B1776" s="151"/>
      <c r="C1776" s="151"/>
      <c r="D1776" s="151"/>
      <c r="E1776" s="151"/>
      <c r="F1776" s="151"/>
      <c r="G1776" s="151"/>
      <c r="H1776" s="151"/>
      <c r="I1776" s="151"/>
      <c r="J1776" s="152">
        <v>42627.659317129634</v>
      </c>
      <c r="K1776" s="151"/>
      <c r="L1776" s="151" t="s">
        <v>32</v>
      </c>
      <c r="M1776" s="152">
        <v>42614.856099537043</v>
      </c>
      <c r="N1776" s="151" t="s">
        <v>2450</v>
      </c>
      <c r="O1776" s="151"/>
      <c r="P1776" s="151"/>
      <c r="Q1776" s="7" t="str">
        <f>IF(ISBLANK(patch[[#This Row],[OwnerEmail]]),Q1775,patch[[#This Row],[OwnerEmail]])</f>
        <v>gang.a.hu@intel.com</v>
      </c>
      <c r="R1776" s="7" t="str">
        <f>_xlfn.IFNA(VLOOKUP(patch[[#This Row],[tmp-owner.email]],OrgTree!$A:$K, 11, 0), "not ICG SWFW")</f>
        <v>BJ And dev</v>
      </c>
      <c r="S1776" s="7" t="str">
        <f>IF(patch[[#This Row],[reviewer]]=patch[[#This Row],[tmp-owner.email]], "author", _xlfn.IFNA(VLOOKUP(patch[[#This Row],[reviewer]],OrgTree!$A:$K, 11, 0), "not ICG SWFW"))</f>
        <v>author</v>
      </c>
      <c r="T1776" s="7" t="str">
        <f>IF(ISBLANK(patch[[#This Row],[mergeDate]]), "", MID(YEAR(patch[[#This Row],[mergeDate]]), 3,2)&amp;"'ww"&amp;WEEKNUM(patch[[#This Row],[mergeDate]]))</f>
        <v>16'ww38</v>
      </c>
      <c r="U1776" s="7" t="str">
        <f>IF(ISBLANK(patch[[#This Row],[mergeDate]]), U1775, MID(YEAR(patch[[#This Row],[mergeDate]]), 3,2)&amp;"'m"&amp;MONTH(patch[[#This Row],[mergeDate]]))</f>
        <v>16'm9</v>
      </c>
      <c r="V1776" s="7" t="str">
        <f>IF(ISBLANK(patch[[#This Row],[project]]), "",SUM(patch[[#This Row],[BJ -1 num]:[SH -1 num]]))</f>
        <v/>
      </c>
      <c r="W1776" s="7" t="str">
        <f>IF(ISBLANK(patch[[#This Row],[project]]), "",COUNTIFS($A:$A,patch[[#This Row],[number]],$S:$S, "BJ And dev",$AC:$AC, "Review-1"))</f>
        <v/>
      </c>
      <c r="X1776" s="7" t="str">
        <f>IF(ISBLANK(patch[[#This Row],[project]]), "",COUNTIFS($A:$A,patch[[#This Row],[number]],$S:$S, "FL And dev",$AC:$AC, "Review-1"))</f>
        <v/>
      </c>
      <c r="Y1776" s="7" t="str">
        <f>IF(ISBLANK(patch[[#This Row],[project]]), "",COUNTIFS($A:$A,patch[[#This Row],[number]],$S:$S, "SH And dev",$AC:$AC, "Review-1"))</f>
        <v/>
      </c>
      <c r="Z1776" s="7" t="str">
        <f>IF(ISBLANK(patch[[#This Row],[project]]), "",COUNTIFS($A:$A,patch[[#This Row],[number]],$S:$S, "BJ And dev",$AD:$AD, "&lt;&gt;IntegratorValidationComment"))</f>
        <v/>
      </c>
      <c r="AA1776" s="7" t="str">
        <f>IF(ISBLANK(patch[[#This Row],[project]]), "",COUNTIFS($A:$A,patch[[#This Row],[number]],$S:$S, "FL And dev",$AD:$AD, "&lt;&gt;IntegratorValidationComment"))</f>
        <v/>
      </c>
      <c r="AB1776" s="7" t="str">
        <f>IF(ISBLANK(patch[[#This Row],[project]]), "",COUNTIFS($A:$A,patch[[#This Row],[number]],$S:$S, "SH And dev",$AD:$AD, "&lt;&gt;IntegratorValidationComment"))</f>
        <v/>
      </c>
      <c r="AC1776" s="7" t="str">
        <f>IF(OR(ISNUMBER(FIND("Review-1", patch[[#This Row],[comments]])), ISNUMBER(FIND("Approver-1", patch[[#This Row],[comments]]))), "Review-1", "")</f>
        <v/>
      </c>
      <c r="AD17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76" s="7">
        <f>IF(ISBLANK(patch[[#This Row],[number]]),AE1775,patch[[#This Row],[ifCommon]])</f>
        <v>0</v>
      </c>
    </row>
    <row r="1777" spans="1:31">
      <c r="A1777" s="151">
        <v>142677</v>
      </c>
      <c r="B1777" s="151"/>
      <c r="C1777" s="151"/>
      <c r="D1777" s="151"/>
      <c r="E1777" s="151"/>
      <c r="F1777" s="151"/>
      <c r="G1777" s="151"/>
      <c r="H1777" s="151"/>
      <c r="I1777" s="151"/>
      <c r="J1777" s="152">
        <v>42627.659317129634</v>
      </c>
      <c r="K1777" s="151"/>
      <c r="L1777" s="151" t="s">
        <v>32</v>
      </c>
      <c r="M1777" s="152">
        <v>42614.861562500002</v>
      </c>
      <c r="N1777" s="151" t="s">
        <v>2451</v>
      </c>
      <c r="O1777" s="151"/>
      <c r="P1777" s="151"/>
      <c r="Q1777" s="7" t="str">
        <f>IF(ISBLANK(patch[[#This Row],[OwnerEmail]]),Q1776,patch[[#This Row],[OwnerEmail]])</f>
        <v>gang.a.hu@intel.com</v>
      </c>
      <c r="R1777" s="7" t="str">
        <f>_xlfn.IFNA(VLOOKUP(patch[[#This Row],[tmp-owner.email]],OrgTree!$A:$K, 11, 0), "not ICG SWFW")</f>
        <v>BJ And dev</v>
      </c>
      <c r="S1777" s="7" t="str">
        <f>IF(patch[[#This Row],[reviewer]]=patch[[#This Row],[tmp-owner.email]], "author", _xlfn.IFNA(VLOOKUP(patch[[#This Row],[reviewer]],OrgTree!$A:$K, 11, 0), "not ICG SWFW"))</f>
        <v>author</v>
      </c>
      <c r="T1777" s="7" t="str">
        <f>IF(ISBLANK(patch[[#This Row],[mergeDate]]), "", MID(YEAR(patch[[#This Row],[mergeDate]]), 3,2)&amp;"'ww"&amp;WEEKNUM(patch[[#This Row],[mergeDate]]))</f>
        <v>16'ww38</v>
      </c>
      <c r="U1777" s="7" t="str">
        <f>IF(ISBLANK(patch[[#This Row],[mergeDate]]), U1776, MID(YEAR(patch[[#This Row],[mergeDate]]), 3,2)&amp;"'m"&amp;MONTH(patch[[#This Row],[mergeDate]]))</f>
        <v>16'm9</v>
      </c>
      <c r="V1777" s="7" t="str">
        <f>IF(ISBLANK(patch[[#This Row],[project]]), "",SUM(patch[[#This Row],[BJ -1 num]:[SH -1 num]]))</f>
        <v/>
      </c>
      <c r="W1777" s="7" t="str">
        <f>IF(ISBLANK(patch[[#This Row],[project]]), "",COUNTIFS($A:$A,patch[[#This Row],[number]],$S:$S, "BJ And dev",$AC:$AC, "Review-1"))</f>
        <v/>
      </c>
      <c r="X1777" s="7" t="str">
        <f>IF(ISBLANK(patch[[#This Row],[project]]), "",COUNTIFS($A:$A,patch[[#This Row],[number]],$S:$S, "FL And dev",$AC:$AC, "Review-1"))</f>
        <v/>
      </c>
      <c r="Y1777" s="7" t="str">
        <f>IF(ISBLANK(patch[[#This Row],[project]]), "",COUNTIFS($A:$A,patch[[#This Row],[number]],$S:$S, "SH And dev",$AC:$AC, "Review-1"))</f>
        <v/>
      </c>
      <c r="Z1777" s="7" t="str">
        <f>IF(ISBLANK(patch[[#This Row],[project]]), "",COUNTIFS($A:$A,patch[[#This Row],[number]],$S:$S, "BJ And dev",$AD:$AD, "&lt;&gt;IntegratorValidationComment"))</f>
        <v/>
      </c>
      <c r="AA1777" s="7" t="str">
        <f>IF(ISBLANK(patch[[#This Row],[project]]), "",COUNTIFS($A:$A,patch[[#This Row],[number]],$S:$S, "FL And dev",$AD:$AD, "&lt;&gt;IntegratorValidationComment"))</f>
        <v/>
      </c>
      <c r="AB1777" s="7" t="str">
        <f>IF(ISBLANK(patch[[#This Row],[project]]), "",COUNTIFS($A:$A,patch[[#This Row],[number]],$S:$S, "SH And dev",$AD:$AD, "&lt;&gt;IntegratorValidationComment"))</f>
        <v/>
      </c>
      <c r="AC1777" s="7" t="str">
        <f>IF(OR(ISNUMBER(FIND("Review-1", patch[[#This Row],[comments]])), ISNUMBER(FIND("Approver-1", patch[[#This Row],[comments]]))), "Review-1", "")</f>
        <v/>
      </c>
      <c r="AD17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77" s="7">
        <f>IF(ISBLANK(patch[[#This Row],[number]]),AE1776,patch[[#This Row],[ifCommon]])</f>
        <v>0</v>
      </c>
    </row>
    <row r="1778" spans="1:31">
      <c r="A1778" s="151">
        <v>142677</v>
      </c>
      <c r="B1778" s="151"/>
      <c r="C1778" s="151"/>
      <c r="D1778" s="151"/>
      <c r="E1778" s="151"/>
      <c r="F1778" s="151"/>
      <c r="G1778" s="151"/>
      <c r="H1778" s="151"/>
      <c r="I1778" s="151"/>
      <c r="J1778" s="152">
        <v>42627.659317129634</v>
      </c>
      <c r="K1778" s="151"/>
      <c r="L1778" s="151" t="s">
        <v>32</v>
      </c>
      <c r="M1778" s="152">
        <v>42614.861562500002</v>
      </c>
      <c r="N1778" s="151" t="s">
        <v>49</v>
      </c>
      <c r="O1778" s="151"/>
      <c r="P1778" s="151"/>
      <c r="Q1778" s="7" t="str">
        <f>IF(ISBLANK(patch[[#This Row],[OwnerEmail]]),Q1777,patch[[#This Row],[OwnerEmail]])</f>
        <v>gang.a.hu@intel.com</v>
      </c>
      <c r="R1778" s="7" t="str">
        <f>_xlfn.IFNA(VLOOKUP(patch[[#This Row],[tmp-owner.email]],OrgTree!$A:$K, 11, 0), "not ICG SWFW")</f>
        <v>BJ And dev</v>
      </c>
      <c r="S1778" s="7" t="str">
        <f>IF(patch[[#This Row],[reviewer]]=patch[[#This Row],[tmp-owner.email]], "author", _xlfn.IFNA(VLOOKUP(patch[[#This Row],[reviewer]],OrgTree!$A:$K, 11, 0), "not ICG SWFW"))</f>
        <v>author</v>
      </c>
      <c r="T1778" s="7" t="str">
        <f>IF(ISBLANK(patch[[#This Row],[mergeDate]]), "", MID(YEAR(patch[[#This Row],[mergeDate]]), 3,2)&amp;"'ww"&amp;WEEKNUM(patch[[#This Row],[mergeDate]]))</f>
        <v>16'ww38</v>
      </c>
      <c r="U1778" s="7" t="str">
        <f>IF(ISBLANK(patch[[#This Row],[mergeDate]]), U1777, MID(YEAR(patch[[#This Row],[mergeDate]]), 3,2)&amp;"'m"&amp;MONTH(patch[[#This Row],[mergeDate]]))</f>
        <v>16'm9</v>
      </c>
      <c r="V1778" s="7" t="str">
        <f>IF(ISBLANK(patch[[#This Row],[project]]), "",SUM(patch[[#This Row],[BJ -1 num]:[SH -1 num]]))</f>
        <v/>
      </c>
      <c r="W1778" s="7" t="str">
        <f>IF(ISBLANK(patch[[#This Row],[project]]), "",COUNTIFS($A:$A,patch[[#This Row],[number]],$S:$S, "BJ And dev",$AC:$AC, "Review-1"))</f>
        <v/>
      </c>
      <c r="X1778" s="7" t="str">
        <f>IF(ISBLANK(patch[[#This Row],[project]]), "",COUNTIFS($A:$A,patch[[#This Row],[number]],$S:$S, "FL And dev",$AC:$AC, "Review-1"))</f>
        <v/>
      </c>
      <c r="Y1778" s="7" t="str">
        <f>IF(ISBLANK(patch[[#This Row],[project]]), "",COUNTIFS($A:$A,patch[[#This Row],[number]],$S:$S, "SH And dev",$AC:$AC, "Review-1"))</f>
        <v/>
      </c>
      <c r="Z1778" s="7" t="str">
        <f>IF(ISBLANK(patch[[#This Row],[project]]), "",COUNTIFS($A:$A,patch[[#This Row],[number]],$S:$S, "BJ And dev",$AD:$AD, "&lt;&gt;IntegratorValidationComment"))</f>
        <v/>
      </c>
      <c r="AA1778" s="7" t="str">
        <f>IF(ISBLANK(patch[[#This Row],[project]]), "",COUNTIFS($A:$A,patch[[#This Row],[number]],$S:$S, "FL And dev",$AD:$AD, "&lt;&gt;IntegratorValidationComment"))</f>
        <v/>
      </c>
      <c r="AB1778" s="7" t="str">
        <f>IF(ISBLANK(patch[[#This Row],[project]]), "",COUNTIFS($A:$A,patch[[#This Row],[number]],$S:$S, "SH And dev",$AD:$AD, "&lt;&gt;IntegratorValidationComment"))</f>
        <v/>
      </c>
      <c r="AC1778" s="7" t="str">
        <f>IF(OR(ISNUMBER(FIND("Review-1", patch[[#This Row],[comments]])), ISNUMBER(FIND("Approver-1", patch[[#This Row],[comments]]))), "Review-1", "")</f>
        <v/>
      </c>
      <c r="AD17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78" s="7">
        <f>IF(ISBLANK(patch[[#This Row],[number]]),AE1777,patch[[#This Row],[ifCommon]])</f>
        <v>0</v>
      </c>
    </row>
    <row r="1779" spans="1:31">
      <c r="A1779" s="151">
        <v>142677</v>
      </c>
      <c r="B1779" s="151"/>
      <c r="C1779" s="151"/>
      <c r="D1779" s="151"/>
      <c r="E1779" s="151"/>
      <c r="F1779" s="151"/>
      <c r="G1779" s="151"/>
      <c r="H1779" s="151"/>
      <c r="I1779" s="151"/>
      <c r="J1779" s="152">
        <v>42627.659317129634</v>
      </c>
      <c r="K1779" s="151"/>
      <c r="L1779" s="151" t="s">
        <v>32</v>
      </c>
      <c r="M1779" s="152">
        <v>42614.875636574077</v>
      </c>
      <c r="N1779" s="151" t="s">
        <v>31</v>
      </c>
      <c r="O1779" s="151"/>
      <c r="P1779" s="151"/>
      <c r="Q1779" s="7" t="str">
        <f>IF(ISBLANK(patch[[#This Row],[OwnerEmail]]),Q1778,patch[[#This Row],[OwnerEmail]])</f>
        <v>gang.a.hu@intel.com</v>
      </c>
      <c r="R1779" s="7" t="str">
        <f>_xlfn.IFNA(VLOOKUP(patch[[#This Row],[tmp-owner.email]],OrgTree!$A:$K, 11, 0), "not ICG SWFW")</f>
        <v>BJ And dev</v>
      </c>
      <c r="S1779" s="7" t="str">
        <f>IF(patch[[#This Row],[reviewer]]=patch[[#This Row],[tmp-owner.email]], "author", _xlfn.IFNA(VLOOKUP(patch[[#This Row],[reviewer]],OrgTree!$A:$K, 11, 0), "not ICG SWFW"))</f>
        <v>author</v>
      </c>
      <c r="T1779" s="7" t="str">
        <f>IF(ISBLANK(patch[[#This Row],[mergeDate]]), "", MID(YEAR(patch[[#This Row],[mergeDate]]), 3,2)&amp;"'ww"&amp;WEEKNUM(patch[[#This Row],[mergeDate]]))</f>
        <v>16'ww38</v>
      </c>
      <c r="U1779" s="7" t="str">
        <f>IF(ISBLANK(patch[[#This Row],[mergeDate]]), U1778, MID(YEAR(patch[[#This Row],[mergeDate]]), 3,2)&amp;"'m"&amp;MONTH(patch[[#This Row],[mergeDate]]))</f>
        <v>16'm9</v>
      </c>
      <c r="V1779" s="7" t="str">
        <f>IF(ISBLANK(patch[[#This Row],[project]]), "",SUM(patch[[#This Row],[BJ -1 num]:[SH -1 num]]))</f>
        <v/>
      </c>
      <c r="W1779" s="7" t="str">
        <f>IF(ISBLANK(patch[[#This Row],[project]]), "",COUNTIFS($A:$A,patch[[#This Row],[number]],$S:$S, "BJ And dev",$AC:$AC, "Review-1"))</f>
        <v/>
      </c>
      <c r="X1779" s="7" t="str">
        <f>IF(ISBLANK(patch[[#This Row],[project]]), "",COUNTIFS($A:$A,patch[[#This Row],[number]],$S:$S, "FL And dev",$AC:$AC, "Review-1"))</f>
        <v/>
      </c>
      <c r="Y1779" s="7" t="str">
        <f>IF(ISBLANK(patch[[#This Row],[project]]), "",COUNTIFS($A:$A,patch[[#This Row],[number]],$S:$S, "SH And dev",$AC:$AC, "Review-1"))</f>
        <v/>
      </c>
      <c r="Z1779" s="7" t="str">
        <f>IF(ISBLANK(patch[[#This Row],[project]]), "",COUNTIFS($A:$A,patch[[#This Row],[number]],$S:$S, "BJ And dev",$AD:$AD, "&lt;&gt;IntegratorValidationComment"))</f>
        <v/>
      </c>
      <c r="AA1779" s="7" t="str">
        <f>IF(ISBLANK(patch[[#This Row],[project]]), "",COUNTIFS($A:$A,patch[[#This Row],[number]],$S:$S, "FL And dev",$AD:$AD, "&lt;&gt;IntegratorValidationComment"))</f>
        <v/>
      </c>
      <c r="AB1779" s="7" t="str">
        <f>IF(ISBLANK(patch[[#This Row],[project]]), "",COUNTIFS($A:$A,patch[[#This Row],[number]],$S:$S, "SH And dev",$AD:$AD, "&lt;&gt;IntegratorValidationComment"))</f>
        <v/>
      </c>
      <c r="AC1779" s="7" t="str">
        <f>IF(OR(ISNUMBER(FIND("Review-1", patch[[#This Row],[comments]])), ISNUMBER(FIND("Approver-1", patch[[#This Row],[comments]]))), "Review-1", "")</f>
        <v/>
      </c>
      <c r="AD17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79" s="7">
        <f>IF(ISBLANK(patch[[#This Row],[number]]),AE1778,patch[[#This Row],[ifCommon]])</f>
        <v>0</v>
      </c>
    </row>
    <row r="1780" spans="1:31">
      <c r="A1780" s="151">
        <v>142677</v>
      </c>
      <c r="B1780" s="151"/>
      <c r="C1780" s="151"/>
      <c r="D1780" s="151"/>
      <c r="E1780" s="151"/>
      <c r="F1780" s="151"/>
      <c r="G1780" s="151"/>
      <c r="H1780" s="151"/>
      <c r="I1780" s="151"/>
      <c r="J1780" s="152">
        <v>42627.659317129634</v>
      </c>
      <c r="K1780" s="151"/>
      <c r="L1780" s="151" t="s">
        <v>32</v>
      </c>
      <c r="M1780" s="152">
        <v>42614.87605324074</v>
      </c>
      <c r="N1780" s="151" t="s">
        <v>1855</v>
      </c>
      <c r="O1780" s="151"/>
      <c r="P1780" s="151"/>
      <c r="Q1780" s="7" t="str">
        <f>IF(ISBLANK(patch[[#This Row],[OwnerEmail]]),Q1779,patch[[#This Row],[OwnerEmail]])</f>
        <v>gang.a.hu@intel.com</v>
      </c>
      <c r="R1780" s="7" t="str">
        <f>_xlfn.IFNA(VLOOKUP(patch[[#This Row],[tmp-owner.email]],OrgTree!$A:$K, 11, 0), "not ICG SWFW")</f>
        <v>BJ And dev</v>
      </c>
      <c r="S1780" s="7" t="str">
        <f>IF(patch[[#This Row],[reviewer]]=patch[[#This Row],[tmp-owner.email]], "author", _xlfn.IFNA(VLOOKUP(patch[[#This Row],[reviewer]],OrgTree!$A:$K, 11, 0), "not ICG SWFW"))</f>
        <v>author</v>
      </c>
      <c r="T1780" s="7" t="str">
        <f>IF(ISBLANK(patch[[#This Row],[mergeDate]]), "", MID(YEAR(patch[[#This Row],[mergeDate]]), 3,2)&amp;"'ww"&amp;WEEKNUM(patch[[#This Row],[mergeDate]]))</f>
        <v>16'ww38</v>
      </c>
      <c r="U1780" s="7" t="str">
        <f>IF(ISBLANK(patch[[#This Row],[mergeDate]]), U1779, MID(YEAR(patch[[#This Row],[mergeDate]]), 3,2)&amp;"'m"&amp;MONTH(patch[[#This Row],[mergeDate]]))</f>
        <v>16'm9</v>
      </c>
      <c r="V1780" s="7" t="str">
        <f>IF(ISBLANK(patch[[#This Row],[project]]), "",SUM(patch[[#This Row],[BJ -1 num]:[SH -1 num]]))</f>
        <v/>
      </c>
      <c r="W1780" s="7" t="str">
        <f>IF(ISBLANK(patch[[#This Row],[project]]), "",COUNTIFS($A:$A,patch[[#This Row],[number]],$S:$S, "BJ And dev",$AC:$AC, "Review-1"))</f>
        <v/>
      </c>
      <c r="X1780" s="7" t="str">
        <f>IF(ISBLANK(patch[[#This Row],[project]]), "",COUNTIFS($A:$A,patch[[#This Row],[number]],$S:$S, "FL And dev",$AC:$AC, "Review-1"))</f>
        <v/>
      </c>
      <c r="Y1780" s="7" t="str">
        <f>IF(ISBLANK(patch[[#This Row],[project]]), "",COUNTIFS($A:$A,patch[[#This Row],[number]],$S:$S, "SH And dev",$AC:$AC, "Review-1"))</f>
        <v/>
      </c>
      <c r="Z1780" s="7" t="str">
        <f>IF(ISBLANK(patch[[#This Row],[project]]), "",COUNTIFS($A:$A,patch[[#This Row],[number]],$S:$S, "BJ And dev",$AD:$AD, "&lt;&gt;IntegratorValidationComment"))</f>
        <v/>
      </c>
      <c r="AA1780" s="7" t="str">
        <f>IF(ISBLANK(patch[[#This Row],[project]]), "",COUNTIFS($A:$A,patch[[#This Row],[number]],$S:$S, "FL And dev",$AD:$AD, "&lt;&gt;IntegratorValidationComment"))</f>
        <v/>
      </c>
      <c r="AB1780" s="7" t="str">
        <f>IF(ISBLANK(patch[[#This Row],[project]]), "",COUNTIFS($A:$A,patch[[#This Row],[number]],$S:$S, "SH And dev",$AD:$AD, "&lt;&gt;IntegratorValidationComment"))</f>
        <v/>
      </c>
      <c r="AC1780" s="7" t="str">
        <f>IF(OR(ISNUMBER(FIND("Review-1", patch[[#This Row],[comments]])), ISNUMBER(FIND("Approver-1", patch[[#This Row],[comments]]))), "Review-1", "")</f>
        <v/>
      </c>
      <c r="AD17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80" s="7">
        <f>IF(ISBLANK(patch[[#This Row],[number]]),AE1779,patch[[#This Row],[ifCommon]])</f>
        <v>0</v>
      </c>
    </row>
    <row r="1781" spans="1:31">
      <c r="A1781" s="151">
        <v>142677</v>
      </c>
      <c r="B1781" s="151"/>
      <c r="C1781" s="151"/>
      <c r="D1781" s="151"/>
      <c r="E1781" s="151"/>
      <c r="F1781" s="151"/>
      <c r="G1781" s="151"/>
      <c r="H1781" s="151"/>
      <c r="I1781" s="151"/>
      <c r="J1781" s="152">
        <v>42627.659317129634</v>
      </c>
      <c r="K1781" s="151"/>
      <c r="L1781" s="151" t="s">
        <v>32</v>
      </c>
      <c r="M1781" s="152">
        <v>42614.876064814824</v>
      </c>
      <c r="N1781" s="151" t="s">
        <v>2453</v>
      </c>
      <c r="O1781" s="151"/>
      <c r="P1781" s="151"/>
      <c r="Q1781" s="7" t="str">
        <f>IF(ISBLANK(patch[[#This Row],[OwnerEmail]]),Q1780,patch[[#This Row],[OwnerEmail]])</f>
        <v>gang.a.hu@intel.com</v>
      </c>
      <c r="R1781" s="7" t="str">
        <f>_xlfn.IFNA(VLOOKUP(patch[[#This Row],[tmp-owner.email]],OrgTree!$A:$K, 11, 0), "not ICG SWFW")</f>
        <v>BJ And dev</v>
      </c>
      <c r="S1781" s="7" t="str">
        <f>IF(patch[[#This Row],[reviewer]]=patch[[#This Row],[tmp-owner.email]], "author", _xlfn.IFNA(VLOOKUP(patch[[#This Row],[reviewer]],OrgTree!$A:$K, 11, 0), "not ICG SWFW"))</f>
        <v>author</v>
      </c>
      <c r="T1781" s="7" t="str">
        <f>IF(ISBLANK(patch[[#This Row],[mergeDate]]), "", MID(YEAR(patch[[#This Row],[mergeDate]]), 3,2)&amp;"'ww"&amp;WEEKNUM(patch[[#This Row],[mergeDate]]))</f>
        <v>16'ww38</v>
      </c>
      <c r="U1781" s="7" t="str">
        <f>IF(ISBLANK(patch[[#This Row],[mergeDate]]), U1780, MID(YEAR(patch[[#This Row],[mergeDate]]), 3,2)&amp;"'m"&amp;MONTH(patch[[#This Row],[mergeDate]]))</f>
        <v>16'm9</v>
      </c>
      <c r="V1781" s="7" t="str">
        <f>IF(ISBLANK(patch[[#This Row],[project]]), "",SUM(patch[[#This Row],[BJ -1 num]:[SH -1 num]]))</f>
        <v/>
      </c>
      <c r="W1781" s="7" t="str">
        <f>IF(ISBLANK(patch[[#This Row],[project]]), "",COUNTIFS($A:$A,patch[[#This Row],[number]],$S:$S, "BJ And dev",$AC:$AC, "Review-1"))</f>
        <v/>
      </c>
      <c r="X1781" s="7" t="str">
        <f>IF(ISBLANK(patch[[#This Row],[project]]), "",COUNTIFS($A:$A,patch[[#This Row],[number]],$S:$S, "FL And dev",$AC:$AC, "Review-1"))</f>
        <v/>
      </c>
      <c r="Y1781" s="7" t="str">
        <f>IF(ISBLANK(patch[[#This Row],[project]]), "",COUNTIFS($A:$A,patch[[#This Row],[number]],$S:$S, "SH And dev",$AC:$AC, "Review-1"))</f>
        <v/>
      </c>
      <c r="Z1781" s="7" t="str">
        <f>IF(ISBLANK(patch[[#This Row],[project]]), "",COUNTIFS($A:$A,patch[[#This Row],[number]],$S:$S, "BJ And dev",$AD:$AD, "&lt;&gt;IntegratorValidationComment"))</f>
        <v/>
      </c>
      <c r="AA1781" s="7" t="str">
        <f>IF(ISBLANK(patch[[#This Row],[project]]), "",COUNTIFS($A:$A,patch[[#This Row],[number]],$S:$S, "FL And dev",$AD:$AD, "&lt;&gt;IntegratorValidationComment"))</f>
        <v/>
      </c>
      <c r="AB1781" s="7" t="str">
        <f>IF(ISBLANK(patch[[#This Row],[project]]), "",COUNTIFS($A:$A,patch[[#This Row],[number]],$S:$S, "SH And dev",$AD:$AD, "&lt;&gt;IntegratorValidationComment"))</f>
        <v/>
      </c>
      <c r="AC1781" s="7" t="str">
        <f>IF(OR(ISNUMBER(FIND("Review-1", patch[[#This Row],[comments]])), ISNUMBER(FIND("Approver-1", patch[[#This Row],[comments]]))), "Review-1", "")</f>
        <v/>
      </c>
      <c r="AD17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81" s="7">
        <f>IF(ISBLANK(patch[[#This Row],[number]]),AE1780,patch[[#This Row],[ifCommon]])</f>
        <v>0</v>
      </c>
    </row>
    <row r="1782" spans="1:31">
      <c r="A1782" s="151">
        <v>142677</v>
      </c>
      <c r="B1782" s="151"/>
      <c r="C1782" s="151"/>
      <c r="D1782" s="151"/>
      <c r="E1782" s="151"/>
      <c r="F1782" s="151"/>
      <c r="G1782" s="151"/>
      <c r="H1782" s="151"/>
      <c r="I1782" s="151"/>
      <c r="J1782" s="152">
        <v>42627.659317129634</v>
      </c>
      <c r="K1782" s="151"/>
      <c r="L1782" s="151" t="s">
        <v>59</v>
      </c>
      <c r="M1782" s="152">
        <v>42615.376759259263</v>
      </c>
      <c r="N1782" s="151" t="s">
        <v>3457</v>
      </c>
      <c r="O1782" s="151"/>
      <c r="P1782" s="151"/>
      <c r="Q1782" s="7" t="str">
        <f>IF(ISBLANK(patch[[#This Row],[OwnerEmail]]),Q1781,patch[[#This Row],[OwnerEmail]])</f>
        <v>gang.a.hu@intel.com</v>
      </c>
      <c r="R1782" s="7" t="str">
        <f>_xlfn.IFNA(VLOOKUP(patch[[#This Row],[tmp-owner.email]],OrgTree!$A:$K, 11, 0), "not ICG SWFW")</f>
        <v>BJ And dev</v>
      </c>
      <c r="S1782" s="7" t="str">
        <f>IF(patch[[#This Row],[reviewer]]=patch[[#This Row],[tmp-owner.email]], "author", _xlfn.IFNA(VLOOKUP(patch[[#This Row],[reviewer]],OrgTree!$A:$K, 11, 0), "not ICG SWFW"))</f>
        <v>BJ And dev</v>
      </c>
      <c r="T1782" s="7" t="str">
        <f>IF(ISBLANK(patch[[#This Row],[mergeDate]]), "", MID(YEAR(patch[[#This Row],[mergeDate]]), 3,2)&amp;"'ww"&amp;WEEKNUM(patch[[#This Row],[mergeDate]]))</f>
        <v>16'ww38</v>
      </c>
      <c r="U1782" s="7" t="str">
        <f>IF(ISBLANK(patch[[#This Row],[mergeDate]]), U1781, MID(YEAR(patch[[#This Row],[mergeDate]]), 3,2)&amp;"'m"&amp;MONTH(patch[[#This Row],[mergeDate]]))</f>
        <v>16'm9</v>
      </c>
      <c r="V1782" s="7" t="str">
        <f>IF(ISBLANK(patch[[#This Row],[project]]), "",SUM(patch[[#This Row],[BJ -1 num]:[SH -1 num]]))</f>
        <v/>
      </c>
      <c r="W1782" s="7" t="str">
        <f>IF(ISBLANK(patch[[#This Row],[project]]), "",COUNTIFS($A:$A,patch[[#This Row],[number]],$S:$S, "BJ And dev",$AC:$AC, "Review-1"))</f>
        <v/>
      </c>
      <c r="X1782" s="7" t="str">
        <f>IF(ISBLANK(patch[[#This Row],[project]]), "",COUNTIFS($A:$A,patch[[#This Row],[number]],$S:$S, "FL And dev",$AC:$AC, "Review-1"))</f>
        <v/>
      </c>
      <c r="Y1782" s="7" t="str">
        <f>IF(ISBLANK(patch[[#This Row],[project]]), "",COUNTIFS($A:$A,patch[[#This Row],[number]],$S:$S, "SH And dev",$AC:$AC, "Review-1"))</f>
        <v/>
      </c>
      <c r="Z1782" s="7" t="str">
        <f>IF(ISBLANK(patch[[#This Row],[project]]), "",COUNTIFS($A:$A,patch[[#This Row],[number]],$S:$S, "BJ And dev",$AD:$AD, "&lt;&gt;IntegratorValidationComment"))</f>
        <v/>
      </c>
      <c r="AA1782" s="7" t="str">
        <f>IF(ISBLANK(patch[[#This Row],[project]]), "",COUNTIFS($A:$A,patch[[#This Row],[number]],$S:$S, "FL And dev",$AD:$AD, "&lt;&gt;IntegratorValidationComment"))</f>
        <v/>
      </c>
      <c r="AB1782" s="7" t="str">
        <f>IF(ISBLANK(patch[[#This Row],[project]]), "",COUNTIFS($A:$A,patch[[#This Row],[number]],$S:$S, "SH And dev",$AD:$AD, "&lt;&gt;IntegratorValidationComment"))</f>
        <v/>
      </c>
      <c r="AC1782" s="7" t="str">
        <f>IF(OR(ISNUMBER(FIND("Review-1", patch[[#This Row],[comments]])), ISNUMBER(FIND("Approver-1", patch[[#This Row],[comments]]))), "Review-1", "")</f>
        <v/>
      </c>
      <c r="AD17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82" s="7">
        <f>IF(ISBLANK(patch[[#This Row],[number]]),AE1781,patch[[#This Row],[ifCommon]])</f>
        <v>0</v>
      </c>
    </row>
    <row r="1783" spans="1:31">
      <c r="A1783" s="151">
        <v>142677</v>
      </c>
      <c r="B1783" s="151"/>
      <c r="C1783" s="151"/>
      <c r="D1783" s="151"/>
      <c r="E1783" s="151"/>
      <c r="F1783" s="151"/>
      <c r="G1783" s="151"/>
      <c r="H1783" s="151"/>
      <c r="I1783" s="151"/>
      <c r="J1783" s="152">
        <v>42627.659317129634</v>
      </c>
      <c r="K1783" s="151"/>
      <c r="L1783" s="151" t="s">
        <v>59</v>
      </c>
      <c r="M1783" s="152">
        <v>42615.380601851852</v>
      </c>
      <c r="N1783" s="151" t="s">
        <v>3458</v>
      </c>
      <c r="O1783" s="151"/>
      <c r="P1783" s="151"/>
      <c r="Q1783" s="7" t="str">
        <f>IF(ISBLANK(patch[[#This Row],[OwnerEmail]]),Q1782,patch[[#This Row],[OwnerEmail]])</f>
        <v>gang.a.hu@intel.com</v>
      </c>
      <c r="R1783" s="7" t="str">
        <f>_xlfn.IFNA(VLOOKUP(patch[[#This Row],[tmp-owner.email]],OrgTree!$A:$K, 11, 0), "not ICG SWFW")</f>
        <v>BJ And dev</v>
      </c>
      <c r="S1783" s="7" t="str">
        <f>IF(patch[[#This Row],[reviewer]]=patch[[#This Row],[tmp-owner.email]], "author", _xlfn.IFNA(VLOOKUP(patch[[#This Row],[reviewer]],OrgTree!$A:$K, 11, 0), "not ICG SWFW"))</f>
        <v>BJ And dev</v>
      </c>
      <c r="T1783" s="7" t="str">
        <f>IF(ISBLANK(patch[[#This Row],[mergeDate]]), "", MID(YEAR(patch[[#This Row],[mergeDate]]), 3,2)&amp;"'ww"&amp;WEEKNUM(patch[[#This Row],[mergeDate]]))</f>
        <v>16'ww38</v>
      </c>
      <c r="U1783" s="7" t="str">
        <f>IF(ISBLANK(patch[[#This Row],[mergeDate]]), U1782, MID(YEAR(patch[[#This Row],[mergeDate]]), 3,2)&amp;"'m"&amp;MONTH(patch[[#This Row],[mergeDate]]))</f>
        <v>16'm9</v>
      </c>
      <c r="V1783" s="7" t="str">
        <f>IF(ISBLANK(patch[[#This Row],[project]]), "",SUM(patch[[#This Row],[BJ -1 num]:[SH -1 num]]))</f>
        <v/>
      </c>
      <c r="W1783" s="7" t="str">
        <f>IF(ISBLANK(patch[[#This Row],[project]]), "",COUNTIFS($A:$A,patch[[#This Row],[number]],$S:$S, "BJ And dev",$AC:$AC, "Review-1"))</f>
        <v/>
      </c>
      <c r="X1783" s="7" t="str">
        <f>IF(ISBLANK(patch[[#This Row],[project]]), "",COUNTIFS($A:$A,patch[[#This Row],[number]],$S:$S, "FL And dev",$AC:$AC, "Review-1"))</f>
        <v/>
      </c>
      <c r="Y1783" s="7" t="str">
        <f>IF(ISBLANK(patch[[#This Row],[project]]), "",COUNTIFS($A:$A,patch[[#This Row],[number]],$S:$S, "SH And dev",$AC:$AC, "Review-1"))</f>
        <v/>
      </c>
      <c r="Z1783" s="7" t="str">
        <f>IF(ISBLANK(patch[[#This Row],[project]]), "",COUNTIFS($A:$A,patch[[#This Row],[number]],$S:$S, "BJ And dev",$AD:$AD, "&lt;&gt;IntegratorValidationComment"))</f>
        <v/>
      </c>
      <c r="AA1783" s="7" t="str">
        <f>IF(ISBLANK(patch[[#This Row],[project]]), "",COUNTIFS($A:$A,patch[[#This Row],[number]],$S:$S, "FL And dev",$AD:$AD, "&lt;&gt;IntegratorValidationComment"))</f>
        <v/>
      </c>
      <c r="AB1783" s="7" t="str">
        <f>IF(ISBLANK(patch[[#This Row],[project]]), "",COUNTIFS($A:$A,patch[[#This Row],[number]],$S:$S, "SH And dev",$AD:$AD, "&lt;&gt;IntegratorValidationComment"))</f>
        <v/>
      </c>
      <c r="AC1783" s="7" t="str">
        <f>IF(OR(ISNUMBER(FIND("Review-1", patch[[#This Row],[comments]])), ISNUMBER(FIND("Approver-1", patch[[#This Row],[comments]]))), "Review-1", "")</f>
        <v/>
      </c>
      <c r="AD17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83" s="7">
        <f>IF(ISBLANK(patch[[#This Row],[number]]),AE1782,patch[[#This Row],[ifCommon]])</f>
        <v>0</v>
      </c>
    </row>
    <row r="1784" spans="1:31">
      <c r="A1784" s="151">
        <v>142677</v>
      </c>
      <c r="B1784" s="151"/>
      <c r="C1784" s="151"/>
      <c r="D1784" s="151"/>
      <c r="E1784" s="151"/>
      <c r="F1784" s="151"/>
      <c r="G1784" s="151"/>
      <c r="H1784" s="151"/>
      <c r="I1784" s="151"/>
      <c r="J1784" s="152">
        <v>42627.659317129634</v>
      </c>
      <c r="K1784" s="151"/>
      <c r="L1784" s="151" t="s">
        <v>32</v>
      </c>
      <c r="M1784" s="152">
        <v>42615.409351851849</v>
      </c>
      <c r="N1784" s="151" t="s">
        <v>2563</v>
      </c>
      <c r="O1784" s="151"/>
      <c r="P1784" s="151"/>
      <c r="Q1784" s="7" t="str">
        <f>IF(ISBLANK(patch[[#This Row],[OwnerEmail]]),Q1783,patch[[#This Row],[OwnerEmail]])</f>
        <v>gang.a.hu@intel.com</v>
      </c>
      <c r="R1784" s="7" t="str">
        <f>_xlfn.IFNA(VLOOKUP(patch[[#This Row],[tmp-owner.email]],OrgTree!$A:$K, 11, 0), "not ICG SWFW")</f>
        <v>BJ And dev</v>
      </c>
      <c r="S1784" s="7" t="str">
        <f>IF(patch[[#This Row],[reviewer]]=patch[[#This Row],[tmp-owner.email]], "author", _xlfn.IFNA(VLOOKUP(patch[[#This Row],[reviewer]],OrgTree!$A:$K, 11, 0), "not ICG SWFW"))</f>
        <v>author</v>
      </c>
      <c r="T1784" s="7" t="str">
        <f>IF(ISBLANK(patch[[#This Row],[mergeDate]]), "", MID(YEAR(patch[[#This Row],[mergeDate]]), 3,2)&amp;"'ww"&amp;WEEKNUM(patch[[#This Row],[mergeDate]]))</f>
        <v>16'ww38</v>
      </c>
      <c r="U1784" s="7" t="str">
        <f>IF(ISBLANK(patch[[#This Row],[mergeDate]]), U1783, MID(YEAR(patch[[#This Row],[mergeDate]]), 3,2)&amp;"'m"&amp;MONTH(patch[[#This Row],[mergeDate]]))</f>
        <v>16'm9</v>
      </c>
      <c r="V1784" s="7" t="str">
        <f>IF(ISBLANK(patch[[#This Row],[project]]), "",SUM(patch[[#This Row],[BJ -1 num]:[SH -1 num]]))</f>
        <v/>
      </c>
      <c r="W1784" s="7" t="str">
        <f>IF(ISBLANK(patch[[#This Row],[project]]), "",COUNTIFS($A:$A,patch[[#This Row],[number]],$S:$S, "BJ And dev",$AC:$AC, "Review-1"))</f>
        <v/>
      </c>
      <c r="X1784" s="7" t="str">
        <f>IF(ISBLANK(patch[[#This Row],[project]]), "",COUNTIFS($A:$A,patch[[#This Row],[number]],$S:$S, "FL And dev",$AC:$AC, "Review-1"))</f>
        <v/>
      </c>
      <c r="Y1784" s="7" t="str">
        <f>IF(ISBLANK(patch[[#This Row],[project]]), "",COUNTIFS($A:$A,patch[[#This Row],[number]],$S:$S, "SH And dev",$AC:$AC, "Review-1"))</f>
        <v/>
      </c>
      <c r="Z1784" s="7" t="str">
        <f>IF(ISBLANK(patch[[#This Row],[project]]), "",COUNTIFS($A:$A,patch[[#This Row],[number]],$S:$S, "BJ And dev",$AD:$AD, "&lt;&gt;IntegratorValidationComment"))</f>
        <v/>
      </c>
      <c r="AA1784" s="7" t="str">
        <f>IF(ISBLANK(patch[[#This Row],[project]]), "",COUNTIFS($A:$A,patch[[#This Row],[number]],$S:$S, "FL And dev",$AD:$AD, "&lt;&gt;IntegratorValidationComment"))</f>
        <v/>
      </c>
      <c r="AB1784" s="7" t="str">
        <f>IF(ISBLANK(patch[[#This Row],[project]]), "",COUNTIFS($A:$A,patch[[#This Row],[number]],$S:$S, "SH And dev",$AD:$AD, "&lt;&gt;IntegratorValidationComment"))</f>
        <v/>
      </c>
      <c r="AC1784" s="7" t="str">
        <f>IF(OR(ISNUMBER(FIND("Review-1", patch[[#This Row],[comments]])), ISNUMBER(FIND("Approver-1", patch[[#This Row],[comments]]))), "Review-1", "")</f>
        <v/>
      </c>
      <c r="AD17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84" s="7">
        <f>IF(ISBLANK(patch[[#This Row],[number]]),AE1783,patch[[#This Row],[ifCommon]])</f>
        <v>0</v>
      </c>
    </row>
    <row r="1785" spans="1:31">
      <c r="A1785" s="151">
        <v>142677</v>
      </c>
      <c r="B1785" s="151"/>
      <c r="C1785" s="151"/>
      <c r="D1785" s="151"/>
      <c r="E1785" s="151"/>
      <c r="F1785" s="151"/>
      <c r="G1785" s="151"/>
      <c r="H1785" s="151"/>
      <c r="I1785" s="151"/>
      <c r="J1785" s="152">
        <v>42627.659317129634</v>
      </c>
      <c r="K1785" s="151"/>
      <c r="L1785" s="151" t="s">
        <v>32</v>
      </c>
      <c r="M1785" s="152">
        <v>42615.436608796299</v>
      </c>
      <c r="N1785" s="151" t="s">
        <v>1853</v>
      </c>
      <c r="O1785" s="151"/>
      <c r="P1785" s="151"/>
      <c r="Q1785" s="7" t="str">
        <f>IF(ISBLANK(patch[[#This Row],[OwnerEmail]]),Q1784,patch[[#This Row],[OwnerEmail]])</f>
        <v>gang.a.hu@intel.com</v>
      </c>
      <c r="R1785" s="7" t="str">
        <f>_xlfn.IFNA(VLOOKUP(patch[[#This Row],[tmp-owner.email]],OrgTree!$A:$K, 11, 0), "not ICG SWFW")</f>
        <v>BJ And dev</v>
      </c>
      <c r="S1785" s="7" t="str">
        <f>IF(patch[[#This Row],[reviewer]]=patch[[#This Row],[tmp-owner.email]], "author", _xlfn.IFNA(VLOOKUP(patch[[#This Row],[reviewer]],OrgTree!$A:$K, 11, 0), "not ICG SWFW"))</f>
        <v>author</v>
      </c>
      <c r="T1785" s="7" t="str">
        <f>IF(ISBLANK(patch[[#This Row],[mergeDate]]), "", MID(YEAR(patch[[#This Row],[mergeDate]]), 3,2)&amp;"'ww"&amp;WEEKNUM(patch[[#This Row],[mergeDate]]))</f>
        <v>16'ww38</v>
      </c>
      <c r="U1785" s="7" t="str">
        <f>IF(ISBLANK(patch[[#This Row],[mergeDate]]), U1784, MID(YEAR(patch[[#This Row],[mergeDate]]), 3,2)&amp;"'m"&amp;MONTH(patch[[#This Row],[mergeDate]]))</f>
        <v>16'm9</v>
      </c>
      <c r="V1785" s="7" t="str">
        <f>IF(ISBLANK(patch[[#This Row],[project]]), "",SUM(patch[[#This Row],[BJ -1 num]:[SH -1 num]]))</f>
        <v/>
      </c>
      <c r="W1785" s="7" t="str">
        <f>IF(ISBLANK(patch[[#This Row],[project]]), "",COUNTIFS($A:$A,patch[[#This Row],[number]],$S:$S, "BJ And dev",$AC:$AC, "Review-1"))</f>
        <v/>
      </c>
      <c r="X1785" s="7" t="str">
        <f>IF(ISBLANK(patch[[#This Row],[project]]), "",COUNTIFS($A:$A,patch[[#This Row],[number]],$S:$S, "FL And dev",$AC:$AC, "Review-1"))</f>
        <v/>
      </c>
      <c r="Y1785" s="7" t="str">
        <f>IF(ISBLANK(patch[[#This Row],[project]]), "",COUNTIFS($A:$A,patch[[#This Row],[number]],$S:$S, "SH And dev",$AC:$AC, "Review-1"))</f>
        <v/>
      </c>
      <c r="Z1785" s="7" t="str">
        <f>IF(ISBLANK(patch[[#This Row],[project]]), "",COUNTIFS($A:$A,patch[[#This Row],[number]],$S:$S, "BJ And dev",$AD:$AD, "&lt;&gt;IntegratorValidationComment"))</f>
        <v/>
      </c>
      <c r="AA1785" s="7" t="str">
        <f>IF(ISBLANK(patch[[#This Row],[project]]), "",COUNTIFS($A:$A,patch[[#This Row],[number]],$S:$S, "FL And dev",$AD:$AD, "&lt;&gt;IntegratorValidationComment"))</f>
        <v/>
      </c>
      <c r="AB1785" s="7" t="str">
        <f>IF(ISBLANK(patch[[#This Row],[project]]), "",COUNTIFS($A:$A,patch[[#This Row],[number]],$S:$S, "SH And dev",$AD:$AD, "&lt;&gt;IntegratorValidationComment"))</f>
        <v/>
      </c>
      <c r="AC1785" s="7" t="str">
        <f>IF(OR(ISNUMBER(FIND("Review-1", patch[[#This Row],[comments]])), ISNUMBER(FIND("Approver-1", patch[[#This Row],[comments]]))), "Review-1", "")</f>
        <v/>
      </c>
      <c r="AD17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85" s="7">
        <f>IF(ISBLANK(patch[[#This Row],[number]]),AE1784,patch[[#This Row],[ifCommon]])</f>
        <v>0</v>
      </c>
    </row>
    <row r="1786" spans="1:31">
      <c r="A1786" s="151">
        <v>142677</v>
      </c>
      <c r="B1786" s="151"/>
      <c r="C1786" s="151"/>
      <c r="D1786" s="151"/>
      <c r="E1786" s="151"/>
      <c r="F1786" s="151"/>
      <c r="G1786" s="151"/>
      <c r="H1786" s="151"/>
      <c r="I1786" s="151"/>
      <c r="J1786" s="152">
        <v>42627.659317129634</v>
      </c>
      <c r="K1786" s="151"/>
      <c r="L1786" s="151" t="s">
        <v>32</v>
      </c>
      <c r="M1786" s="152">
        <v>42615.502002314817</v>
      </c>
      <c r="N1786" s="151" t="s">
        <v>2512</v>
      </c>
      <c r="O1786" s="151"/>
      <c r="P1786" s="151"/>
      <c r="Q1786" s="7" t="str">
        <f>IF(ISBLANK(patch[[#This Row],[OwnerEmail]]),Q1785,patch[[#This Row],[OwnerEmail]])</f>
        <v>gang.a.hu@intel.com</v>
      </c>
      <c r="R1786" s="7" t="str">
        <f>_xlfn.IFNA(VLOOKUP(patch[[#This Row],[tmp-owner.email]],OrgTree!$A:$K, 11, 0), "not ICG SWFW")</f>
        <v>BJ And dev</v>
      </c>
      <c r="S1786" s="7" t="str">
        <f>IF(patch[[#This Row],[reviewer]]=patch[[#This Row],[tmp-owner.email]], "author", _xlfn.IFNA(VLOOKUP(patch[[#This Row],[reviewer]],OrgTree!$A:$K, 11, 0), "not ICG SWFW"))</f>
        <v>author</v>
      </c>
      <c r="T1786" s="7" t="str">
        <f>IF(ISBLANK(patch[[#This Row],[mergeDate]]), "", MID(YEAR(patch[[#This Row],[mergeDate]]), 3,2)&amp;"'ww"&amp;WEEKNUM(patch[[#This Row],[mergeDate]]))</f>
        <v>16'ww38</v>
      </c>
      <c r="U1786" s="7" t="str">
        <f>IF(ISBLANK(patch[[#This Row],[mergeDate]]), U1785, MID(YEAR(patch[[#This Row],[mergeDate]]), 3,2)&amp;"'m"&amp;MONTH(patch[[#This Row],[mergeDate]]))</f>
        <v>16'm9</v>
      </c>
      <c r="V1786" s="7" t="str">
        <f>IF(ISBLANK(patch[[#This Row],[project]]), "",SUM(patch[[#This Row],[BJ -1 num]:[SH -1 num]]))</f>
        <v/>
      </c>
      <c r="W1786" s="7" t="str">
        <f>IF(ISBLANK(patch[[#This Row],[project]]), "",COUNTIFS($A:$A,patch[[#This Row],[number]],$S:$S, "BJ And dev",$AC:$AC, "Review-1"))</f>
        <v/>
      </c>
      <c r="X1786" s="7" t="str">
        <f>IF(ISBLANK(patch[[#This Row],[project]]), "",COUNTIFS($A:$A,patch[[#This Row],[number]],$S:$S, "FL And dev",$AC:$AC, "Review-1"))</f>
        <v/>
      </c>
      <c r="Y1786" s="7" t="str">
        <f>IF(ISBLANK(patch[[#This Row],[project]]), "",COUNTIFS($A:$A,patch[[#This Row],[number]],$S:$S, "SH And dev",$AC:$AC, "Review-1"))</f>
        <v/>
      </c>
      <c r="Z1786" s="7" t="str">
        <f>IF(ISBLANK(patch[[#This Row],[project]]), "",COUNTIFS($A:$A,patch[[#This Row],[number]],$S:$S, "BJ And dev",$AD:$AD, "&lt;&gt;IntegratorValidationComment"))</f>
        <v/>
      </c>
      <c r="AA1786" s="7" t="str">
        <f>IF(ISBLANK(patch[[#This Row],[project]]), "",COUNTIFS($A:$A,patch[[#This Row],[number]],$S:$S, "FL And dev",$AD:$AD, "&lt;&gt;IntegratorValidationComment"))</f>
        <v/>
      </c>
      <c r="AB1786" s="7" t="str">
        <f>IF(ISBLANK(patch[[#This Row],[project]]), "",COUNTIFS($A:$A,patch[[#This Row],[number]],$S:$S, "SH And dev",$AD:$AD, "&lt;&gt;IntegratorValidationComment"))</f>
        <v/>
      </c>
      <c r="AC1786" s="7" t="str">
        <f>IF(OR(ISNUMBER(FIND("Review-1", patch[[#This Row],[comments]])), ISNUMBER(FIND("Approver-1", patch[[#This Row],[comments]]))), "Review-1", "")</f>
        <v/>
      </c>
      <c r="AD17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86" s="7">
        <f>IF(ISBLANK(patch[[#This Row],[number]]),AE1785,patch[[#This Row],[ifCommon]])</f>
        <v>0</v>
      </c>
    </row>
    <row r="1787" spans="1:31">
      <c r="A1787" s="151">
        <v>142677</v>
      </c>
      <c r="B1787" s="151"/>
      <c r="C1787" s="151"/>
      <c r="D1787" s="151"/>
      <c r="E1787" s="151"/>
      <c r="F1787" s="151"/>
      <c r="G1787" s="151"/>
      <c r="H1787" s="151"/>
      <c r="I1787" s="152"/>
      <c r="J1787" s="152">
        <v>42627.659317129634</v>
      </c>
      <c r="K1787" s="151"/>
      <c r="L1787" s="151" t="s">
        <v>32</v>
      </c>
      <c r="M1787" s="152">
        <v>42615.502013888887</v>
      </c>
      <c r="N1787" s="151" t="s">
        <v>2465</v>
      </c>
      <c r="O1787" s="151"/>
      <c r="P1787" s="151"/>
      <c r="Q1787" s="7" t="str">
        <f>IF(ISBLANK(patch[[#This Row],[OwnerEmail]]),Q1786,patch[[#This Row],[OwnerEmail]])</f>
        <v>gang.a.hu@intel.com</v>
      </c>
      <c r="R1787" s="7" t="str">
        <f>_xlfn.IFNA(VLOOKUP(patch[[#This Row],[tmp-owner.email]],OrgTree!$A:$K, 11, 0), "not ICG SWFW")</f>
        <v>BJ And dev</v>
      </c>
      <c r="S1787" s="7" t="str">
        <f>IF(patch[[#This Row],[reviewer]]=patch[[#This Row],[tmp-owner.email]], "author", _xlfn.IFNA(VLOOKUP(patch[[#This Row],[reviewer]],OrgTree!$A:$K, 11, 0), "not ICG SWFW"))</f>
        <v>author</v>
      </c>
      <c r="T1787" s="7" t="str">
        <f>IF(ISBLANK(patch[[#This Row],[mergeDate]]), "", MID(YEAR(patch[[#This Row],[mergeDate]]), 3,2)&amp;"'ww"&amp;WEEKNUM(patch[[#This Row],[mergeDate]]))</f>
        <v>16'ww38</v>
      </c>
      <c r="U1787" s="7" t="str">
        <f>IF(ISBLANK(patch[[#This Row],[mergeDate]]), U1786, MID(YEAR(patch[[#This Row],[mergeDate]]), 3,2)&amp;"'m"&amp;MONTH(patch[[#This Row],[mergeDate]]))</f>
        <v>16'm9</v>
      </c>
      <c r="V1787" s="7" t="str">
        <f>IF(ISBLANK(patch[[#This Row],[project]]), "",SUM(patch[[#This Row],[BJ -1 num]:[SH -1 num]]))</f>
        <v/>
      </c>
      <c r="W1787" s="7" t="str">
        <f>IF(ISBLANK(patch[[#This Row],[project]]), "",COUNTIFS($A:$A,patch[[#This Row],[number]],$S:$S, "BJ And dev",$AC:$AC, "Review-1"))</f>
        <v/>
      </c>
      <c r="X1787" s="7" t="str">
        <f>IF(ISBLANK(patch[[#This Row],[project]]), "",COUNTIFS($A:$A,patch[[#This Row],[number]],$S:$S, "FL And dev",$AC:$AC, "Review-1"))</f>
        <v/>
      </c>
      <c r="Y1787" s="7" t="str">
        <f>IF(ISBLANK(patch[[#This Row],[project]]), "",COUNTIFS($A:$A,patch[[#This Row],[number]],$S:$S, "SH And dev",$AC:$AC, "Review-1"))</f>
        <v/>
      </c>
      <c r="Z1787" s="7" t="str">
        <f>IF(ISBLANK(patch[[#This Row],[project]]), "",COUNTIFS($A:$A,patch[[#This Row],[number]],$S:$S, "BJ And dev",$AD:$AD, "&lt;&gt;IntegratorValidationComment"))</f>
        <v/>
      </c>
      <c r="AA1787" s="7" t="str">
        <f>IF(ISBLANK(patch[[#This Row],[project]]), "",COUNTIFS($A:$A,patch[[#This Row],[number]],$S:$S, "FL And dev",$AD:$AD, "&lt;&gt;IntegratorValidationComment"))</f>
        <v/>
      </c>
      <c r="AB1787" s="7" t="str">
        <f>IF(ISBLANK(patch[[#This Row],[project]]), "",COUNTIFS($A:$A,patch[[#This Row],[number]],$S:$S, "SH And dev",$AD:$AD, "&lt;&gt;IntegratorValidationComment"))</f>
        <v/>
      </c>
      <c r="AC1787" s="7" t="str">
        <f>IF(OR(ISNUMBER(FIND("Review-1", patch[[#This Row],[comments]])), ISNUMBER(FIND("Approver-1", patch[[#This Row],[comments]]))), "Review-1", "")</f>
        <v/>
      </c>
      <c r="AD17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87" s="7">
        <f>IF(ISBLANK(patch[[#This Row],[number]]),AE1786,patch[[#This Row],[ifCommon]])</f>
        <v>0</v>
      </c>
    </row>
    <row r="1788" spans="1:31">
      <c r="A1788" s="151">
        <v>142677</v>
      </c>
      <c r="B1788" s="151"/>
      <c r="C1788" s="151"/>
      <c r="D1788" s="151"/>
      <c r="E1788" s="151"/>
      <c r="F1788" s="151"/>
      <c r="G1788" s="151"/>
      <c r="H1788" s="151"/>
      <c r="I1788" s="151"/>
      <c r="J1788" s="152">
        <v>42627.659317129634</v>
      </c>
      <c r="K1788" s="151"/>
      <c r="L1788" s="151" t="s">
        <v>59</v>
      </c>
      <c r="M1788" s="152">
        <v>42615.510023148148</v>
      </c>
      <c r="N1788" s="151" t="s">
        <v>3459</v>
      </c>
      <c r="O1788" s="151"/>
      <c r="P1788" s="151"/>
      <c r="Q1788" s="7" t="str">
        <f>IF(ISBLANK(patch[[#This Row],[OwnerEmail]]),Q1787,patch[[#This Row],[OwnerEmail]])</f>
        <v>gang.a.hu@intel.com</v>
      </c>
      <c r="R1788" s="7" t="str">
        <f>_xlfn.IFNA(VLOOKUP(patch[[#This Row],[tmp-owner.email]],OrgTree!$A:$K, 11, 0), "not ICG SWFW")</f>
        <v>BJ And dev</v>
      </c>
      <c r="S1788" s="7" t="str">
        <f>IF(patch[[#This Row],[reviewer]]=patch[[#This Row],[tmp-owner.email]], "author", _xlfn.IFNA(VLOOKUP(patch[[#This Row],[reviewer]],OrgTree!$A:$K, 11, 0), "not ICG SWFW"))</f>
        <v>BJ And dev</v>
      </c>
      <c r="T1788" s="7" t="str">
        <f>IF(ISBLANK(patch[[#This Row],[mergeDate]]), "", MID(YEAR(patch[[#This Row],[mergeDate]]), 3,2)&amp;"'ww"&amp;WEEKNUM(patch[[#This Row],[mergeDate]]))</f>
        <v>16'ww38</v>
      </c>
      <c r="U1788" s="7" t="str">
        <f>IF(ISBLANK(patch[[#This Row],[mergeDate]]), U1787, MID(YEAR(patch[[#This Row],[mergeDate]]), 3,2)&amp;"'m"&amp;MONTH(patch[[#This Row],[mergeDate]]))</f>
        <v>16'm9</v>
      </c>
      <c r="V1788" s="7" t="str">
        <f>IF(ISBLANK(patch[[#This Row],[project]]), "",SUM(patch[[#This Row],[BJ -1 num]:[SH -1 num]]))</f>
        <v/>
      </c>
      <c r="W1788" s="7" t="str">
        <f>IF(ISBLANK(patch[[#This Row],[project]]), "",COUNTIFS($A:$A,patch[[#This Row],[number]],$S:$S, "BJ And dev",$AC:$AC, "Review-1"))</f>
        <v/>
      </c>
      <c r="X1788" s="7" t="str">
        <f>IF(ISBLANK(patch[[#This Row],[project]]), "",COUNTIFS($A:$A,patch[[#This Row],[number]],$S:$S, "FL And dev",$AC:$AC, "Review-1"))</f>
        <v/>
      </c>
      <c r="Y1788" s="7" t="str">
        <f>IF(ISBLANK(patch[[#This Row],[project]]), "",COUNTIFS($A:$A,patch[[#This Row],[number]],$S:$S, "SH And dev",$AC:$AC, "Review-1"))</f>
        <v/>
      </c>
      <c r="Z1788" s="7" t="str">
        <f>IF(ISBLANK(patch[[#This Row],[project]]), "",COUNTIFS($A:$A,patch[[#This Row],[number]],$S:$S, "BJ And dev",$AD:$AD, "&lt;&gt;IntegratorValidationComment"))</f>
        <v/>
      </c>
      <c r="AA1788" s="7" t="str">
        <f>IF(ISBLANK(patch[[#This Row],[project]]), "",COUNTIFS($A:$A,patch[[#This Row],[number]],$S:$S, "FL And dev",$AD:$AD, "&lt;&gt;IntegratorValidationComment"))</f>
        <v/>
      </c>
      <c r="AB1788" s="7" t="str">
        <f>IF(ISBLANK(patch[[#This Row],[project]]), "",COUNTIFS($A:$A,patch[[#This Row],[number]],$S:$S, "SH And dev",$AD:$AD, "&lt;&gt;IntegratorValidationComment"))</f>
        <v/>
      </c>
      <c r="AC1788" s="7" t="str">
        <f>IF(OR(ISNUMBER(FIND("Review-1", patch[[#This Row],[comments]])), ISNUMBER(FIND("Approver-1", patch[[#This Row],[comments]]))), "Review-1", "")</f>
        <v/>
      </c>
      <c r="AD17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88" s="7">
        <f>IF(ISBLANK(patch[[#This Row],[number]]),AE1787,patch[[#This Row],[ifCommon]])</f>
        <v>0</v>
      </c>
    </row>
    <row r="1789" spans="1:31">
      <c r="A1789" s="151">
        <v>142677</v>
      </c>
      <c r="B1789" s="151"/>
      <c r="C1789" s="151"/>
      <c r="D1789" s="151"/>
      <c r="E1789" s="151"/>
      <c r="F1789" s="151"/>
      <c r="G1789" s="151"/>
      <c r="H1789" s="151"/>
      <c r="I1789" s="151"/>
      <c r="J1789" s="152">
        <v>42627.659317129634</v>
      </c>
      <c r="K1789" s="151"/>
      <c r="L1789" s="151" t="s">
        <v>59</v>
      </c>
      <c r="M1789" s="152">
        <v>42615.515775462962</v>
      </c>
      <c r="N1789" s="151" t="s">
        <v>3460</v>
      </c>
      <c r="O1789" s="151"/>
      <c r="P1789" s="151"/>
      <c r="Q1789" s="7" t="str">
        <f>IF(ISBLANK(patch[[#This Row],[OwnerEmail]]),Q1788,patch[[#This Row],[OwnerEmail]])</f>
        <v>gang.a.hu@intel.com</v>
      </c>
      <c r="R1789" s="7" t="str">
        <f>_xlfn.IFNA(VLOOKUP(patch[[#This Row],[tmp-owner.email]],OrgTree!$A:$K, 11, 0), "not ICG SWFW")</f>
        <v>BJ And dev</v>
      </c>
      <c r="S1789" s="7" t="str">
        <f>IF(patch[[#This Row],[reviewer]]=patch[[#This Row],[tmp-owner.email]], "author", _xlfn.IFNA(VLOOKUP(patch[[#This Row],[reviewer]],OrgTree!$A:$K, 11, 0), "not ICG SWFW"))</f>
        <v>BJ And dev</v>
      </c>
      <c r="T1789" s="7" t="str">
        <f>IF(ISBLANK(patch[[#This Row],[mergeDate]]), "", MID(YEAR(patch[[#This Row],[mergeDate]]), 3,2)&amp;"'ww"&amp;WEEKNUM(patch[[#This Row],[mergeDate]]))</f>
        <v>16'ww38</v>
      </c>
      <c r="U1789" s="7" t="str">
        <f>IF(ISBLANK(patch[[#This Row],[mergeDate]]), U1788, MID(YEAR(patch[[#This Row],[mergeDate]]), 3,2)&amp;"'m"&amp;MONTH(patch[[#This Row],[mergeDate]]))</f>
        <v>16'm9</v>
      </c>
      <c r="V1789" s="7" t="str">
        <f>IF(ISBLANK(patch[[#This Row],[project]]), "",SUM(patch[[#This Row],[BJ -1 num]:[SH -1 num]]))</f>
        <v/>
      </c>
      <c r="W1789" s="7" t="str">
        <f>IF(ISBLANK(patch[[#This Row],[project]]), "",COUNTIFS($A:$A,patch[[#This Row],[number]],$S:$S, "BJ And dev",$AC:$AC, "Review-1"))</f>
        <v/>
      </c>
      <c r="X1789" s="7" t="str">
        <f>IF(ISBLANK(patch[[#This Row],[project]]), "",COUNTIFS($A:$A,patch[[#This Row],[number]],$S:$S, "FL And dev",$AC:$AC, "Review-1"))</f>
        <v/>
      </c>
      <c r="Y1789" s="7" t="str">
        <f>IF(ISBLANK(patch[[#This Row],[project]]), "",COUNTIFS($A:$A,patch[[#This Row],[number]],$S:$S, "SH And dev",$AC:$AC, "Review-1"))</f>
        <v/>
      </c>
      <c r="Z1789" s="7" t="str">
        <f>IF(ISBLANK(patch[[#This Row],[project]]), "",COUNTIFS($A:$A,patch[[#This Row],[number]],$S:$S, "BJ And dev",$AD:$AD, "&lt;&gt;IntegratorValidationComment"))</f>
        <v/>
      </c>
      <c r="AA1789" s="7" t="str">
        <f>IF(ISBLANK(patch[[#This Row],[project]]), "",COUNTIFS($A:$A,patch[[#This Row],[number]],$S:$S, "FL And dev",$AD:$AD, "&lt;&gt;IntegratorValidationComment"))</f>
        <v/>
      </c>
      <c r="AB1789" s="7" t="str">
        <f>IF(ISBLANK(patch[[#This Row],[project]]), "",COUNTIFS($A:$A,patch[[#This Row],[number]],$S:$S, "SH And dev",$AD:$AD, "&lt;&gt;IntegratorValidationComment"))</f>
        <v/>
      </c>
      <c r="AC1789" s="7" t="str">
        <f>IF(OR(ISNUMBER(FIND("Review-1", patch[[#This Row],[comments]])), ISNUMBER(FIND("Approver-1", patch[[#This Row],[comments]]))), "Review-1", "")</f>
        <v/>
      </c>
      <c r="AD17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89" s="7">
        <f>IF(ISBLANK(patch[[#This Row],[number]]),AE1788,patch[[#This Row],[ifCommon]])</f>
        <v>0</v>
      </c>
    </row>
    <row r="1790" spans="1:31">
      <c r="A1790" s="151">
        <v>142677</v>
      </c>
      <c r="B1790" s="151"/>
      <c r="C1790" s="151"/>
      <c r="D1790" s="151"/>
      <c r="E1790" s="151"/>
      <c r="F1790" s="151"/>
      <c r="G1790" s="151"/>
      <c r="H1790" s="151"/>
      <c r="I1790" s="151"/>
      <c r="J1790" s="152">
        <v>42627.659317129634</v>
      </c>
      <c r="K1790" s="151"/>
      <c r="L1790" s="151" t="s">
        <v>32</v>
      </c>
      <c r="M1790" s="152">
        <v>42615.602581018517</v>
      </c>
      <c r="N1790" s="151" t="s">
        <v>2466</v>
      </c>
      <c r="O1790" s="151"/>
      <c r="P1790" s="151"/>
      <c r="Q1790" s="7" t="str">
        <f>IF(ISBLANK(patch[[#This Row],[OwnerEmail]]),Q1789,patch[[#This Row],[OwnerEmail]])</f>
        <v>gang.a.hu@intel.com</v>
      </c>
      <c r="R1790" s="7" t="str">
        <f>_xlfn.IFNA(VLOOKUP(patch[[#This Row],[tmp-owner.email]],OrgTree!$A:$K, 11, 0), "not ICG SWFW")</f>
        <v>BJ And dev</v>
      </c>
      <c r="S1790" s="7" t="str">
        <f>IF(patch[[#This Row],[reviewer]]=patch[[#This Row],[tmp-owner.email]], "author", _xlfn.IFNA(VLOOKUP(patch[[#This Row],[reviewer]],OrgTree!$A:$K, 11, 0), "not ICG SWFW"))</f>
        <v>author</v>
      </c>
      <c r="T1790" s="7" t="str">
        <f>IF(ISBLANK(patch[[#This Row],[mergeDate]]), "", MID(YEAR(patch[[#This Row],[mergeDate]]), 3,2)&amp;"'ww"&amp;WEEKNUM(patch[[#This Row],[mergeDate]]))</f>
        <v>16'ww38</v>
      </c>
      <c r="U1790" s="7" t="str">
        <f>IF(ISBLANK(patch[[#This Row],[mergeDate]]), U1789, MID(YEAR(patch[[#This Row],[mergeDate]]), 3,2)&amp;"'m"&amp;MONTH(patch[[#This Row],[mergeDate]]))</f>
        <v>16'm9</v>
      </c>
      <c r="V1790" s="7" t="str">
        <f>IF(ISBLANK(patch[[#This Row],[project]]), "",SUM(patch[[#This Row],[BJ -1 num]:[SH -1 num]]))</f>
        <v/>
      </c>
      <c r="W1790" s="7" t="str">
        <f>IF(ISBLANK(patch[[#This Row],[project]]), "",COUNTIFS($A:$A,patch[[#This Row],[number]],$S:$S, "BJ And dev",$AC:$AC, "Review-1"))</f>
        <v/>
      </c>
      <c r="X1790" s="7" t="str">
        <f>IF(ISBLANK(patch[[#This Row],[project]]), "",COUNTIFS($A:$A,patch[[#This Row],[number]],$S:$S, "FL And dev",$AC:$AC, "Review-1"))</f>
        <v/>
      </c>
      <c r="Y1790" s="7" t="str">
        <f>IF(ISBLANK(patch[[#This Row],[project]]), "",COUNTIFS($A:$A,patch[[#This Row],[number]],$S:$S, "SH And dev",$AC:$AC, "Review-1"))</f>
        <v/>
      </c>
      <c r="Z1790" s="7" t="str">
        <f>IF(ISBLANK(patch[[#This Row],[project]]), "",COUNTIFS($A:$A,patch[[#This Row],[number]],$S:$S, "BJ And dev",$AD:$AD, "&lt;&gt;IntegratorValidationComment"))</f>
        <v/>
      </c>
      <c r="AA1790" s="7" t="str">
        <f>IF(ISBLANK(patch[[#This Row],[project]]), "",COUNTIFS($A:$A,patch[[#This Row],[number]],$S:$S, "FL And dev",$AD:$AD, "&lt;&gt;IntegratorValidationComment"))</f>
        <v/>
      </c>
      <c r="AB1790" s="7" t="str">
        <f>IF(ISBLANK(patch[[#This Row],[project]]), "",COUNTIFS($A:$A,patch[[#This Row],[number]],$S:$S, "SH And dev",$AD:$AD, "&lt;&gt;IntegratorValidationComment"))</f>
        <v/>
      </c>
      <c r="AC1790" s="7" t="str">
        <f>IF(OR(ISNUMBER(FIND("Review-1", patch[[#This Row],[comments]])), ISNUMBER(FIND("Approver-1", patch[[#This Row],[comments]]))), "Review-1", "")</f>
        <v/>
      </c>
      <c r="AD17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90" s="7">
        <f>IF(ISBLANK(patch[[#This Row],[number]]),AE1789,patch[[#This Row],[ifCommon]])</f>
        <v>0</v>
      </c>
    </row>
    <row r="1791" spans="1:31">
      <c r="A1791" s="151">
        <v>142677</v>
      </c>
      <c r="B1791" s="151"/>
      <c r="C1791" s="151"/>
      <c r="D1791" s="151"/>
      <c r="E1791" s="151"/>
      <c r="F1791" s="151"/>
      <c r="G1791" s="151"/>
      <c r="H1791" s="151"/>
      <c r="I1791" s="151"/>
      <c r="J1791" s="152">
        <v>42627.659317129634</v>
      </c>
      <c r="K1791" s="151"/>
      <c r="L1791" s="151" t="s">
        <v>32</v>
      </c>
      <c r="M1791" s="152">
        <v>42615.602581018517</v>
      </c>
      <c r="N1791" s="151" t="s">
        <v>1862</v>
      </c>
      <c r="O1791" s="151"/>
      <c r="P1791" s="151"/>
      <c r="Q1791" s="7" t="str">
        <f>IF(ISBLANK(patch[[#This Row],[OwnerEmail]]),Q1790,patch[[#This Row],[OwnerEmail]])</f>
        <v>gang.a.hu@intel.com</v>
      </c>
      <c r="R1791" s="7" t="str">
        <f>_xlfn.IFNA(VLOOKUP(patch[[#This Row],[tmp-owner.email]],OrgTree!$A:$K, 11, 0), "not ICG SWFW")</f>
        <v>BJ And dev</v>
      </c>
      <c r="S1791" s="7" t="str">
        <f>IF(patch[[#This Row],[reviewer]]=patch[[#This Row],[tmp-owner.email]], "author", _xlfn.IFNA(VLOOKUP(patch[[#This Row],[reviewer]],OrgTree!$A:$K, 11, 0), "not ICG SWFW"))</f>
        <v>author</v>
      </c>
      <c r="T1791" s="7" t="str">
        <f>IF(ISBLANK(patch[[#This Row],[mergeDate]]), "", MID(YEAR(patch[[#This Row],[mergeDate]]), 3,2)&amp;"'ww"&amp;WEEKNUM(patch[[#This Row],[mergeDate]]))</f>
        <v>16'ww38</v>
      </c>
      <c r="U1791" s="7" t="str">
        <f>IF(ISBLANK(patch[[#This Row],[mergeDate]]), U1790, MID(YEAR(patch[[#This Row],[mergeDate]]), 3,2)&amp;"'m"&amp;MONTH(patch[[#This Row],[mergeDate]]))</f>
        <v>16'm9</v>
      </c>
      <c r="V1791" s="7" t="str">
        <f>IF(ISBLANK(patch[[#This Row],[project]]), "",SUM(patch[[#This Row],[BJ -1 num]:[SH -1 num]]))</f>
        <v/>
      </c>
      <c r="W1791" s="7" t="str">
        <f>IF(ISBLANK(patch[[#This Row],[project]]), "",COUNTIFS($A:$A,patch[[#This Row],[number]],$S:$S, "BJ And dev",$AC:$AC, "Review-1"))</f>
        <v/>
      </c>
      <c r="X1791" s="7" t="str">
        <f>IF(ISBLANK(patch[[#This Row],[project]]), "",COUNTIFS($A:$A,patch[[#This Row],[number]],$S:$S, "FL And dev",$AC:$AC, "Review-1"))</f>
        <v/>
      </c>
      <c r="Y1791" s="7" t="str">
        <f>IF(ISBLANK(patch[[#This Row],[project]]), "",COUNTIFS($A:$A,patch[[#This Row],[number]],$S:$S, "SH And dev",$AC:$AC, "Review-1"))</f>
        <v/>
      </c>
      <c r="Z1791" s="7" t="str">
        <f>IF(ISBLANK(patch[[#This Row],[project]]), "",COUNTIFS($A:$A,patch[[#This Row],[number]],$S:$S, "BJ And dev",$AD:$AD, "&lt;&gt;IntegratorValidationComment"))</f>
        <v/>
      </c>
      <c r="AA1791" s="7" t="str">
        <f>IF(ISBLANK(patch[[#This Row],[project]]), "",COUNTIFS($A:$A,patch[[#This Row],[number]],$S:$S, "FL And dev",$AD:$AD, "&lt;&gt;IntegratorValidationComment"))</f>
        <v/>
      </c>
      <c r="AB1791" s="7" t="str">
        <f>IF(ISBLANK(patch[[#This Row],[project]]), "",COUNTIFS($A:$A,patch[[#This Row],[number]],$S:$S, "SH And dev",$AD:$AD, "&lt;&gt;IntegratorValidationComment"))</f>
        <v/>
      </c>
      <c r="AC1791" s="7" t="str">
        <f>IF(OR(ISNUMBER(FIND("Review-1", patch[[#This Row],[comments]])), ISNUMBER(FIND("Approver-1", patch[[#This Row],[comments]]))), "Review-1", "")</f>
        <v/>
      </c>
      <c r="AD17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91" s="7">
        <f>IF(ISBLANK(patch[[#This Row],[number]]),AE1790,patch[[#This Row],[ifCommon]])</f>
        <v>0</v>
      </c>
    </row>
    <row r="1792" spans="1:31">
      <c r="A1792" s="151">
        <v>142677</v>
      </c>
      <c r="B1792" s="151"/>
      <c r="C1792" s="151"/>
      <c r="D1792" s="151"/>
      <c r="E1792" s="151"/>
      <c r="F1792" s="151"/>
      <c r="G1792" s="151"/>
      <c r="H1792" s="151"/>
      <c r="I1792" s="151"/>
      <c r="J1792" s="152">
        <v>42627.659317129634</v>
      </c>
      <c r="K1792" s="151"/>
      <c r="L1792" s="151" t="s">
        <v>59</v>
      </c>
      <c r="M1792" s="152">
        <v>42615.605474537027</v>
      </c>
      <c r="N1792" s="151" t="s">
        <v>3461</v>
      </c>
      <c r="O1792" s="151"/>
      <c r="P1792" s="151"/>
      <c r="Q1792" s="7" t="str">
        <f>IF(ISBLANK(patch[[#This Row],[OwnerEmail]]),Q1791,patch[[#This Row],[OwnerEmail]])</f>
        <v>gang.a.hu@intel.com</v>
      </c>
      <c r="R1792" s="7" t="str">
        <f>_xlfn.IFNA(VLOOKUP(patch[[#This Row],[tmp-owner.email]],OrgTree!$A:$K, 11, 0), "not ICG SWFW")</f>
        <v>BJ And dev</v>
      </c>
      <c r="S1792" s="7" t="str">
        <f>IF(patch[[#This Row],[reviewer]]=patch[[#This Row],[tmp-owner.email]], "author", _xlfn.IFNA(VLOOKUP(patch[[#This Row],[reviewer]],OrgTree!$A:$K, 11, 0), "not ICG SWFW"))</f>
        <v>BJ And dev</v>
      </c>
      <c r="T1792" s="7" t="str">
        <f>IF(ISBLANK(patch[[#This Row],[mergeDate]]), "", MID(YEAR(patch[[#This Row],[mergeDate]]), 3,2)&amp;"'ww"&amp;WEEKNUM(patch[[#This Row],[mergeDate]]))</f>
        <v>16'ww38</v>
      </c>
      <c r="U1792" s="7" t="str">
        <f>IF(ISBLANK(patch[[#This Row],[mergeDate]]), U1791, MID(YEAR(patch[[#This Row],[mergeDate]]), 3,2)&amp;"'m"&amp;MONTH(patch[[#This Row],[mergeDate]]))</f>
        <v>16'm9</v>
      </c>
      <c r="V1792" s="7" t="str">
        <f>IF(ISBLANK(patch[[#This Row],[project]]), "",SUM(patch[[#This Row],[BJ -1 num]:[SH -1 num]]))</f>
        <v/>
      </c>
      <c r="W1792" s="7" t="str">
        <f>IF(ISBLANK(patch[[#This Row],[project]]), "",COUNTIFS($A:$A,patch[[#This Row],[number]],$S:$S, "BJ And dev",$AC:$AC, "Review-1"))</f>
        <v/>
      </c>
      <c r="X1792" s="7" t="str">
        <f>IF(ISBLANK(patch[[#This Row],[project]]), "",COUNTIFS($A:$A,patch[[#This Row],[number]],$S:$S, "FL And dev",$AC:$AC, "Review-1"))</f>
        <v/>
      </c>
      <c r="Y1792" s="7" t="str">
        <f>IF(ISBLANK(patch[[#This Row],[project]]), "",COUNTIFS($A:$A,patch[[#This Row],[number]],$S:$S, "SH And dev",$AC:$AC, "Review-1"))</f>
        <v/>
      </c>
      <c r="Z1792" s="7" t="str">
        <f>IF(ISBLANK(patch[[#This Row],[project]]), "",COUNTIFS($A:$A,patch[[#This Row],[number]],$S:$S, "BJ And dev",$AD:$AD, "&lt;&gt;IntegratorValidationComment"))</f>
        <v/>
      </c>
      <c r="AA1792" s="7" t="str">
        <f>IF(ISBLANK(patch[[#This Row],[project]]), "",COUNTIFS($A:$A,patch[[#This Row],[number]],$S:$S, "FL And dev",$AD:$AD, "&lt;&gt;IntegratorValidationComment"))</f>
        <v/>
      </c>
      <c r="AB1792" s="7" t="str">
        <f>IF(ISBLANK(patch[[#This Row],[project]]), "",COUNTIFS($A:$A,patch[[#This Row],[number]],$S:$S, "SH And dev",$AD:$AD, "&lt;&gt;IntegratorValidationComment"))</f>
        <v/>
      </c>
      <c r="AC1792" s="7" t="str">
        <f>IF(OR(ISNUMBER(FIND("Review-1", patch[[#This Row],[comments]])), ISNUMBER(FIND("Approver-1", patch[[#This Row],[comments]]))), "Review-1", "")</f>
        <v/>
      </c>
      <c r="AD17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92" s="7">
        <f>IF(ISBLANK(patch[[#This Row],[number]]),AE1791,patch[[#This Row],[ifCommon]])</f>
        <v>0</v>
      </c>
    </row>
    <row r="1793" spans="1:31">
      <c r="A1793" s="151">
        <v>142677</v>
      </c>
      <c r="B1793" s="151"/>
      <c r="C1793" s="151"/>
      <c r="D1793" s="151"/>
      <c r="E1793" s="151"/>
      <c r="F1793" s="151"/>
      <c r="G1793" s="151"/>
      <c r="H1793" s="151"/>
      <c r="I1793" s="151"/>
      <c r="J1793" s="152">
        <v>42627.659317129634</v>
      </c>
      <c r="K1793" s="151"/>
      <c r="L1793" s="151" t="s">
        <v>59</v>
      </c>
      <c r="M1793" s="152">
        <v>42615.606585648151</v>
      </c>
      <c r="N1793" s="151" t="s">
        <v>3462</v>
      </c>
      <c r="O1793" s="151"/>
      <c r="P1793" s="151"/>
      <c r="Q1793" s="7" t="str">
        <f>IF(ISBLANK(patch[[#This Row],[OwnerEmail]]),Q1792,patch[[#This Row],[OwnerEmail]])</f>
        <v>gang.a.hu@intel.com</v>
      </c>
      <c r="R1793" s="7" t="str">
        <f>_xlfn.IFNA(VLOOKUP(patch[[#This Row],[tmp-owner.email]],OrgTree!$A:$K, 11, 0), "not ICG SWFW")</f>
        <v>BJ And dev</v>
      </c>
      <c r="S1793" s="7" t="str">
        <f>IF(patch[[#This Row],[reviewer]]=patch[[#This Row],[tmp-owner.email]], "author", _xlfn.IFNA(VLOOKUP(patch[[#This Row],[reviewer]],OrgTree!$A:$K, 11, 0), "not ICG SWFW"))</f>
        <v>BJ And dev</v>
      </c>
      <c r="T1793" s="7" t="str">
        <f>IF(ISBLANK(patch[[#This Row],[mergeDate]]), "", MID(YEAR(patch[[#This Row],[mergeDate]]), 3,2)&amp;"'ww"&amp;WEEKNUM(patch[[#This Row],[mergeDate]]))</f>
        <v>16'ww38</v>
      </c>
      <c r="U1793" s="7" t="str">
        <f>IF(ISBLANK(patch[[#This Row],[mergeDate]]), U1792, MID(YEAR(patch[[#This Row],[mergeDate]]), 3,2)&amp;"'m"&amp;MONTH(patch[[#This Row],[mergeDate]]))</f>
        <v>16'm9</v>
      </c>
      <c r="V1793" s="7" t="str">
        <f>IF(ISBLANK(patch[[#This Row],[project]]), "",SUM(patch[[#This Row],[BJ -1 num]:[SH -1 num]]))</f>
        <v/>
      </c>
      <c r="W1793" s="7" t="str">
        <f>IF(ISBLANK(patch[[#This Row],[project]]), "",COUNTIFS($A:$A,patch[[#This Row],[number]],$S:$S, "BJ And dev",$AC:$AC, "Review-1"))</f>
        <v/>
      </c>
      <c r="X1793" s="7" t="str">
        <f>IF(ISBLANK(patch[[#This Row],[project]]), "",COUNTIFS($A:$A,patch[[#This Row],[number]],$S:$S, "FL And dev",$AC:$AC, "Review-1"))</f>
        <v/>
      </c>
      <c r="Y1793" s="7" t="str">
        <f>IF(ISBLANK(patch[[#This Row],[project]]), "",COUNTIFS($A:$A,patch[[#This Row],[number]],$S:$S, "SH And dev",$AC:$AC, "Review-1"))</f>
        <v/>
      </c>
      <c r="Z1793" s="7" t="str">
        <f>IF(ISBLANK(patch[[#This Row],[project]]), "",COUNTIFS($A:$A,patch[[#This Row],[number]],$S:$S, "BJ And dev",$AD:$AD, "&lt;&gt;IntegratorValidationComment"))</f>
        <v/>
      </c>
      <c r="AA1793" s="7" t="str">
        <f>IF(ISBLANK(patch[[#This Row],[project]]), "",COUNTIFS($A:$A,patch[[#This Row],[number]],$S:$S, "FL And dev",$AD:$AD, "&lt;&gt;IntegratorValidationComment"))</f>
        <v/>
      </c>
      <c r="AB1793" s="7" t="str">
        <f>IF(ISBLANK(patch[[#This Row],[project]]), "",COUNTIFS($A:$A,patch[[#This Row],[number]],$S:$S, "SH And dev",$AD:$AD, "&lt;&gt;IntegratorValidationComment"))</f>
        <v/>
      </c>
      <c r="AC1793" s="7" t="str">
        <f>IF(OR(ISNUMBER(FIND("Review-1", patch[[#This Row],[comments]])), ISNUMBER(FIND("Approver-1", patch[[#This Row],[comments]]))), "Review-1", "")</f>
        <v/>
      </c>
      <c r="AD17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93" s="7">
        <f>IF(ISBLANK(patch[[#This Row],[number]]),AE1792,patch[[#This Row],[ifCommon]])</f>
        <v>0</v>
      </c>
    </row>
    <row r="1794" spans="1:31">
      <c r="A1794" s="151">
        <v>142677</v>
      </c>
      <c r="B1794" s="151"/>
      <c r="C1794" s="151"/>
      <c r="D1794" s="151"/>
      <c r="E1794" s="151"/>
      <c r="F1794" s="151"/>
      <c r="G1794" s="151"/>
      <c r="H1794" s="151"/>
      <c r="I1794" s="151"/>
      <c r="J1794" s="152">
        <v>42627.659317129634</v>
      </c>
      <c r="K1794" s="151"/>
      <c r="L1794" s="151" t="s">
        <v>59</v>
      </c>
      <c r="M1794" s="152">
        <v>42615.620532407411</v>
      </c>
      <c r="N1794" s="151" t="s">
        <v>3463</v>
      </c>
      <c r="O1794" s="151"/>
      <c r="P1794" s="151"/>
      <c r="Q1794" s="7" t="str">
        <f>IF(ISBLANK(patch[[#This Row],[OwnerEmail]]),Q1793,patch[[#This Row],[OwnerEmail]])</f>
        <v>gang.a.hu@intel.com</v>
      </c>
      <c r="R1794" s="7" t="str">
        <f>_xlfn.IFNA(VLOOKUP(patch[[#This Row],[tmp-owner.email]],OrgTree!$A:$K, 11, 0), "not ICG SWFW")</f>
        <v>BJ And dev</v>
      </c>
      <c r="S1794" s="7" t="str">
        <f>IF(patch[[#This Row],[reviewer]]=patch[[#This Row],[tmp-owner.email]], "author", _xlfn.IFNA(VLOOKUP(patch[[#This Row],[reviewer]],OrgTree!$A:$K, 11, 0), "not ICG SWFW"))</f>
        <v>BJ And dev</v>
      </c>
      <c r="T1794" s="7" t="str">
        <f>IF(ISBLANK(patch[[#This Row],[mergeDate]]), "", MID(YEAR(patch[[#This Row],[mergeDate]]), 3,2)&amp;"'ww"&amp;WEEKNUM(patch[[#This Row],[mergeDate]]))</f>
        <v>16'ww38</v>
      </c>
      <c r="U1794" s="7" t="str">
        <f>IF(ISBLANK(patch[[#This Row],[mergeDate]]), U1793, MID(YEAR(patch[[#This Row],[mergeDate]]), 3,2)&amp;"'m"&amp;MONTH(patch[[#This Row],[mergeDate]]))</f>
        <v>16'm9</v>
      </c>
      <c r="V1794" s="7" t="str">
        <f>IF(ISBLANK(patch[[#This Row],[project]]), "",SUM(patch[[#This Row],[BJ -1 num]:[SH -1 num]]))</f>
        <v/>
      </c>
      <c r="W1794" s="7" t="str">
        <f>IF(ISBLANK(patch[[#This Row],[project]]), "",COUNTIFS($A:$A,patch[[#This Row],[number]],$S:$S, "BJ And dev",$AC:$AC, "Review-1"))</f>
        <v/>
      </c>
      <c r="X1794" s="7" t="str">
        <f>IF(ISBLANK(patch[[#This Row],[project]]), "",COUNTIFS($A:$A,patch[[#This Row],[number]],$S:$S, "FL And dev",$AC:$AC, "Review-1"))</f>
        <v/>
      </c>
      <c r="Y1794" s="7" t="str">
        <f>IF(ISBLANK(patch[[#This Row],[project]]), "",COUNTIFS($A:$A,patch[[#This Row],[number]],$S:$S, "SH And dev",$AC:$AC, "Review-1"))</f>
        <v/>
      </c>
      <c r="Z1794" s="7" t="str">
        <f>IF(ISBLANK(patch[[#This Row],[project]]), "",COUNTIFS($A:$A,patch[[#This Row],[number]],$S:$S, "BJ And dev",$AD:$AD, "&lt;&gt;IntegratorValidationComment"))</f>
        <v/>
      </c>
      <c r="AA1794" s="7" t="str">
        <f>IF(ISBLANK(patch[[#This Row],[project]]), "",COUNTIFS($A:$A,patch[[#This Row],[number]],$S:$S, "FL And dev",$AD:$AD, "&lt;&gt;IntegratorValidationComment"))</f>
        <v/>
      </c>
      <c r="AB1794" s="7" t="str">
        <f>IF(ISBLANK(patch[[#This Row],[project]]), "",COUNTIFS($A:$A,patch[[#This Row],[number]],$S:$S, "SH And dev",$AD:$AD, "&lt;&gt;IntegratorValidationComment"))</f>
        <v/>
      </c>
      <c r="AC1794" s="7" t="str">
        <f>IF(OR(ISNUMBER(FIND("Review-1", patch[[#This Row],[comments]])), ISNUMBER(FIND("Approver-1", patch[[#This Row],[comments]]))), "Review-1", "")</f>
        <v/>
      </c>
      <c r="AD17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94" s="7">
        <f>IF(ISBLANK(patch[[#This Row],[number]]),AE1793,patch[[#This Row],[ifCommon]])</f>
        <v>0</v>
      </c>
    </row>
    <row r="1795" spans="1:31">
      <c r="A1795" s="151">
        <v>142677</v>
      </c>
      <c r="B1795" s="151"/>
      <c r="C1795" s="151"/>
      <c r="D1795" s="151"/>
      <c r="E1795" s="151"/>
      <c r="F1795" s="151"/>
      <c r="G1795" s="151"/>
      <c r="H1795" s="151"/>
      <c r="I1795" s="151"/>
      <c r="J1795" s="152">
        <v>42627.659317129634</v>
      </c>
      <c r="K1795" s="151"/>
      <c r="L1795" s="151" t="s">
        <v>32</v>
      </c>
      <c r="M1795" s="152">
        <v>42615.620949074073</v>
      </c>
      <c r="N1795" s="151" t="s">
        <v>2467</v>
      </c>
      <c r="O1795" s="151"/>
      <c r="P1795" s="151"/>
      <c r="Q1795" s="7" t="str">
        <f>IF(ISBLANK(patch[[#This Row],[OwnerEmail]]),Q1794,patch[[#This Row],[OwnerEmail]])</f>
        <v>gang.a.hu@intel.com</v>
      </c>
      <c r="R1795" s="7" t="str">
        <f>_xlfn.IFNA(VLOOKUP(patch[[#This Row],[tmp-owner.email]],OrgTree!$A:$K, 11, 0), "not ICG SWFW")</f>
        <v>BJ And dev</v>
      </c>
      <c r="S1795" s="7" t="str">
        <f>IF(patch[[#This Row],[reviewer]]=patch[[#This Row],[tmp-owner.email]], "author", _xlfn.IFNA(VLOOKUP(patch[[#This Row],[reviewer]],OrgTree!$A:$K, 11, 0), "not ICG SWFW"))</f>
        <v>author</v>
      </c>
      <c r="T1795" s="7" t="str">
        <f>IF(ISBLANK(patch[[#This Row],[mergeDate]]), "", MID(YEAR(patch[[#This Row],[mergeDate]]), 3,2)&amp;"'ww"&amp;WEEKNUM(patch[[#This Row],[mergeDate]]))</f>
        <v>16'ww38</v>
      </c>
      <c r="U1795" s="7" t="str">
        <f>IF(ISBLANK(patch[[#This Row],[mergeDate]]), U1794, MID(YEAR(patch[[#This Row],[mergeDate]]), 3,2)&amp;"'m"&amp;MONTH(patch[[#This Row],[mergeDate]]))</f>
        <v>16'm9</v>
      </c>
      <c r="V1795" s="7" t="str">
        <f>IF(ISBLANK(patch[[#This Row],[project]]), "",SUM(patch[[#This Row],[BJ -1 num]:[SH -1 num]]))</f>
        <v/>
      </c>
      <c r="W1795" s="7" t="str">
        <f>IF(ISBLANK(patch[[#This Row],[project]]), "",COUNTIFS($A:$A,patch[[#This Row],[number]],$S:$S, "BJ And dev",$AC:$AC, "Review-1"))</f>
        <v/>
      </c>
      <c r="X1795" s="7" t="str">
        <f>IF(ISBLANK(patch[[#This Row],[project]]), "",COUNTIFS($A:$A,patch[[#This Row],[number]],$S:$S, "FL And dev",$AC:$AC, "Review-1"))</f>
        <v/>
      </c>
      <c r="Y1795" s="7" t="str">
        <f>IF(ISBLANK(patch[[#This Row],[project]]), "",COUNTIFS($A:$A,patch[[#This Row],[number]],$S:$S, "SH And dev",$AC:$AC, "Review-1"))</f>
        <v/>
      </c>
      <c r="Z1795" s="7" t="str">
        <f>IF(ISBLANK(patch[[#This Row],[project]]), "",COUNTIFS($A:$A,patch[[#This Row],[number]],$S:$S, "BJ And dev",$AD:$AD, "&lt;&gt;IntegratorValidationComment"))</f>
        <v/>
      </c>
      <c r="AA1795" s="7" t="str">
        <f>IF(ISBLANK(patch[[#This Row],[project]]), "",COUNTIFS($A:$A,patch[[#This Row],[number]],$S:$S, "FL And dev",$AD:$AD, "&lt;&gt;IntegratorValidationComment"))</f>
        <v/>
      </c>
      <c r="AB1795" s="7" t="str">
        <f>IF(ISBLANK(patch[[#This Row],[project]]), "",COUNTIFS($A:$A,patch[[#This Row],[number]],$S:$S, "SH And dev",$AD:$AD, "&lt;&gt;IntegratorValidationComment"))</f>
        <v/>
      </c>
      <c r="AC1795" s="7" t="str">
        <f>IF(OR(ISNUMBER(FIND("Review-1", patch[[#This Row],[comments]])), ISNUMBER(FIND("Approver-1", patch[[#This Row],[comments]]))), "Review-1", "")</f>
        <v/>
      </c>
      <c r="AD17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95" s="7">
        <f>IF(ISBLANK(patch[[#This Row],[number]]),AE1794,patch[[#This Row],[ifCommon]])</f>
        <v>0</v>
      </c>
    </row>
    <row r="1796" spans="1:31">
      <c r="A1796" s="151">
        <v>142677</v>
      </c>
      <c r="B1796" s="151"/>
      <c r="C1796" s="151"/>
      <c r="D1796" s="151"/>
      <c r="E1796" s="151"/>
      <c r="F1796" s="151"/>
      <c r="G1796" s="151"/>
      <c r="H1796" s="151"/>
      <c r="I1796" s="151"/>
      <c r="J1796" s="152">
        <v>42627.659317129634</v>
      </c>
      <c r="K1796" s="151"/>
      <c r="L1796" s="151" t="s">
        <v>32</v>
      </c>
      <c r="M1796" s="152">
        <v>42615.620949074073</v>
      </c>
      <c r="N1796" s="151" t="s">
        <v>1866</v>
      </c>
      <c r="O1796" s="151"/>
      <c r="P1796" s="151"/>
      <c r="Q1796" s="7" t="str">
        <f>IF(ISBLANK(patch[[#This Row],[OwnerEmail]]),Q1795,patch[[#This Row],[OwnerEmail]])</f>
        <v>gang.a.hu@intel.com</v>
      </c>
      <c r="R1796" s="7" t="str">
        <f>_xlfn.IFNA(VLOOKUP(patch[[#This Row],[tmp-owner.email]],OrgTree!$A:$K, 11, 0), "not ICG SWFW")</f>
        <v>BJ And dev</v>
      </c>
      <c r="S1796" s="7" t="str">
        <f>IF(patch[[#This Row],[reviewer]]=patch[[#This Row],[tmp-owner.email]], "author", _xlfn.IFNA(VLOOKUP(patch[[#This Row],[reviewer]],OrgTree!$A:$K, 11, 0), "not ICG SWFW"))</f>
        <v>author</v>
      </c>
      <c r="T1796" s="7" t="str">
        <f>IF(ISBLANK(patch[[#This Row],[mergeDate]]), "", MID(YEAR(patch[[#This Row],[mergeDate]]), 3,2)&amp;"'ww"&amp;WEEKNUM(patch[[#This Row],[mergeDate]]))</f>
        <v>16'ww38</v>
      </c>
      <c r="U1796" s="7" t="str">
        <f>IF(ISBLANK(patch[[#This Row],[mergeDate]]), U1795, MID(YEAR(patch[[#This Row],[mergeDate]]), 3,2)&amp;"'m"&amp;MONTH(patch[[#This Row],[mergeDate]]))</f>
        <v>16'm9</v>
      </c>
      <c r="V1796" s="7" t="str">
        <f>IF(ISBLANK(patch[[#This Row],[project]]), "",SUM(patch[[#This Row],[BJ -1 num]:[SH -1 num]]))</f>
        <v/>
      </c>
      <c r="W1796" s="7" t="str">
        <f>IF(ISBLANK(patch[[#This Row],[project]]), "",COUNTIFS($A:$A,patch[[#This Row],[number]],$S:$S, "BJ And dev",$AC:$AC, "Review-1"))</f>
        <v/>
      </c>
      <c r="X1796" s="7" t="str">
        <f>IF(ISBLANK(patch[[#This Row],[project]]), "",COUNTIFS($A:$A,patch[[#This Row],[number]],$S:$S, "FL And dev",$AC:$AC, "Review-1"))</f>
        <v/>
      </c>
      <c r="Y1796" s="7" t="str">
        <f>IF(ISBLANK(patch[[#This Row],[project]]), "",COUNTIFS($A:$A,patch[[#This Row],[number]],$S:$S, "SH And dev",$AC:$AC, "Review-1"))</f>
        <v/>
      </c>
      <c r="Z1796" s="7" t="str">
        <f>IF(ISBLANK(patch[[#This Row],[project]]), "",COUNTIFS($A:$A,patch[[#This Row],[number]],$S:$S, "BJ And dev",$AD:$AD, "&lt;&gt;IntegratorValidationComment"))</f>
        <v/>
      </c>
      <c r="AA1796" s="7" t="str">
        <f>IF(ISBLANK(patch[[#This Row],[project]]), "",COUNTIFS($A:$A,patch[[#This Row],[number]],$S:$S, "FL And dev",$AD:$AD, "&lt;&gt;IntegratorValidationComment"))</f>
        <v/>
      </c>
      <c r="AB1796" s="7" t="str">
        <f>IF(ISBLANK(patch[[#This Row],[project]]), "",COUNTIFS($A:$A,patch[[#This Row],[number]],$S:$S, "SH And dev",$AD:$AD, "&lt;&gt;IntegratorValidationComment"))</f>
        <v/>
      </c>
      <c r="AC1796" s="7" t="str">
        <f>IF(OR(ISNUMBER(FIND("Review-1", patch[[#This Row],[comments]])), ISNUMBER(FIND("Approver-1", patch[[#This Row],[comments]]))), "Review-1", "")</f>
        <v/>
      </c>
      <c r="AD17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96" s="7">
        <f>IF(ISBLANK(patch[[#This Row],[number]]),AE1795,patch[[#This Row],[ifCommon]])</f>
        <v>0</v>
      </c>
    </row>
    <row r="1797" spans="1:31">
      <c r="A1797" s="151">
        <v>142677</v>
      </c>
      <c r="B1797" s="151"/>
      <c r="C1797" s="151"/>
      <c r="D1797" s="151"/>
      <c r="E1797" s="151"/>
      <c r="F1797" s="151"/>
      <c r="G1797" s="151"/>
      <c r="H1797" s="151"/>
      <c r="I1797" s="151"/>
      <c r="J1797" s="152">
        <v>42627.659317129634</v>
      </c>
      <c r="K1797" s="151"/>
      <c r="L1797" s="151" t="s">
        <v>59</v>
      </c>
      <c r="M1797" s="152">
        <v>42615.62667824074</v>
      </c>
      <c r="N1797" s="151" t="s">
        <v>3464</v>
      </c>
      <c r="O1797" s="151"/>
      <c r="P1797" s="151"/>
      <c r="Q1797" s="7" t="str">
        <f>IF(ISBLANK(patch[[#This Row],[OwnerEmail]]),Q1796,patch[[#This Row],[OwnerEmail]])</f>
        <v>gang.a.hu@intel.com</v>
      </c>
      <c r="R1797" s="7" t="str">
        <f>_xlfn.IFNA(VLOOKUP(patch[[#This Row],[tmp-owner.email]],OrgTree!$A:$K, 11, 0), "not ICG SWFW")</f>
        <v>BJ And dev</v>
      </c>
      <c r="S1797" s="7" t="str">
        <f>IF(patch[[#This Row],[reviewer]]=patch[[#This Row],[tmp-owner.email]], "author", _xlfn.IFNA(VLOOKUP(patch[[#This Row],[reviewer]],OrgTree!$A:$K, 11, 0), "not ICG SWFW"))</f>
        <v>BJ And dev</v>
      </c>
      <c r="T1797" s="7" t="str">
        <f>IF(ISBLANK(patch[[#This Row],[mergeDate]]), "", MID(YEAR(patch[[#This Row],[mergeDate]]), 3,2)&amp;"'ww"&amp;WEEKNUM(patch[[#This Row],[mergeDate]]))</f>
        <v>16'ww38</v>
      </c>
      <c r="U1797" s="7" t="str">
        <f>IF(ISBLANK(patch[[#This Row],[mergeDate]]), U1796, MID(YEAR(patch[[#This Row],[mergeDate]]), 3,2)&amp;"'m"&amp;MONTH(patch[[#This Row],[mergeDate]]))</f>
        <v>16'm9</v>
      </c>
      <c r="V1797" s="7" t="str">
        <f>IF(ISBLANK(patch[[#This Row],[project]]), "",SUM(patch[[#This Row],[BJ -1 num]:[SH -1 num]]))</f>
        <v/>
      </c>
      <c r="W1797" s="7" t="str">
        <f>IF(ISBLANK(patch[[#This Row],[project]]), "",COUNTIFS($A:$A,patch[[#This Row],[number]],$S:$S, "BJ And dev",$AC:$AC, "Review-1"))</f>
        <v/>
      </c>
      <c r="X1797" s="7" t="str">
        <f>IF(ISBLANK(patch[[#This Row],[project]]), "",COUNTIFS($A:$A,patch[[#This Row],[number]],$S:$S, "FL And dev",$AC:$AC, "Review-1"))</f>
        <v/>
      </c>
      <c r="Y1797" s="7" t="str">
        <f>IF(ISBLANK(patch[[#This Row],[project]]), "",COUNTIFS($A:$A,patch[[#This Row],[number]],$S:$S, "SH And dev",$AC:$AC, "Review-1"))</f>
        <v/>
      </c>
      <c r="Z1797" s="7" t="str">
        <f>IF(ISBLANK(patch[[#This Row],[project]]), "",COUNTIFS($A:$A,patch[[#This Row],[number]],$S:$S, "BJ And dev",$AD:$AD, "&lt;&gt;IntegratorValidationComment"))</f>
        <v/>
      </c>
      <c r="AA1797" s="7" t="str">
        <f>IF(ISBLANK(patch[[#This Row],[project]]), "",COUNTIFS($A:$A,patch[[#This Row],[number]],$S:$S, "FL And dev",$AD:$AD, "&lt;&gt;IntegratorValidationComment"))</f>
        <v/>
      </c>
      <c r="AB1797" s="7" t="str">
        <f>IF(ISBLANK(patch[[#This Row],[project]]), "",COUNTIFS($A:$A,patch[[#This Row],[number]],$S:$S, "SH And dev",$AD:$AD, "&lt;&gt;IntegratorValidationComment"))</f>
        <v/>
      </c>
      <c r="AC1797" s="7" t="str">
        <f>IF(OR(ISNUMBER(FIND("Review-1", patch[[#This Row],[comments]])), ISNUMBER(FIND("Approver-1", patch[[#This Row],[comments]]))), "Review-1", "")</f>
        <v/>
      </c>
      <c r="AD17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97" s="7">
        <f>IF(ISBLANK(patch[[#This Row],[number]]),AE1796,patch[[#This Row],[ifCommon]])</f>
        <v>0</v>
      </c>
    </row>
    <row r="1798" spans="1:31">
      <c r="A1798" s="151">
        <v>142677</v>
      </c>
      <c r="B1798" s="151"/>
      <c r="C1798" s="151"/>
      <c r="D1798" s="151"/>
      <c r="E1798" s="151"/>
      <c r="F1798" s="151"/>
      <c r="G1798" s="151"/>
      <c r="H1798" s="151"/>
      <c r="I1798" s="151"/>
      <c r="J1798" s="152">
        <v>42627.659317129634</v>
      </c>
      <c r="K1798" s="151"/>
      <c r="L1798" s="151" t="s">
        <v>59</v>
      </c>
      <c r="M1798" s="152">
        <v>42615.627974537027</v>
      </c>
      <c r="N1798" s="151" t="s">
        <v>3465</v>
      </c>
      <c r="O1798" s="151"/>
      <c r="P1798" s="151"/>
      <c r="Q1798" s="7" t="str">
        <f>IF(ISBLANK(patch[[#This Row],[OwnerEmail]]),Q1797,patch[[#This Row],[OwnerEmail]])</f>
        <v>gang.a.hu@intel.com</v>
      </c>
      <c r="R1798" s="7" t="str">
        <f>_xlfn.IFNA(VLOOKUP(patch[[#This Row],[tmp-owner.email]],OrgTree!$A:$K, 11, 0), "not ICG SWFW")</f>
        <v>BJ And dev</v>
      </c>
      <c r="S1798" s="7" t="str">
        <f>IF(patch[[#This Row],[reviewer]]=patch[[#This Row],[tmp-owner.email]], "author", _xlfn.IFNA(VLOOKUP(patch[[#This Row],[reviewer]],OrgTree!$A:$K, 11, 0), "not ICG SWFW"))</f>
        <v>BJ And dev</v>
      </c>
      <c r="T1798" s="7" t="str">
        <f>IF(ISBLANK(patch[[#This Row],[mergeDate]]), "", MID(YEAR(patch[[#This Row],[mergeDate]]), 3,2)&amp;"'ww"&amp;WEEKNUM(patch[[#This Row],[mergeDate]]))</f>
        <v>16'ww38</v>
      </c>
      <c r="U1798" s="7" t="str">
        <f>IF(ISBLANK(patch[[#This Row],[mergeDate]]), U1797, MID(YEAR(patch[[#This Row],[mergeDate]]), 3,2)&amp;"'m"&amp;MONTH(patch[[#This Row],[mergeDate]]))</f>
        <v>16'm9</v>
      </c>
      <c r="V1798" s="7" t="str">
        <f>IF(ISBLANK(patch[[#This Row],[project]]), "",SUM(patch[[#This Row],[BJ -1 num]:[SH -1 num]]))</f>
        <v/>
      </c>
      <c r="W1798" s="7" t="str">
        <f>IF(ISBLANK(patch[[#This Row],[project]]), "",COUNTIFS($A:$A,patch[[#This Row],[number]],$S:$S, "BJ And dev",$AC:$AC, "Review-1"))</f>
        <v/>
      </c>
      <c r="X1798" s="7" t="str">
        <f>IF(ISBLANK(patch[[#This Row],[project]]), "",COUNTIFS($A:$A,patch[[#This Row],[number]],$S:$S, "FL And dev",$AC:$AC, "Review-1"))</f>
        <v/>
      </c>
      <c r="Y1798" s="7" t="str">
        <f>IF(ISBLANK(patch[[#This Row],[project]]), "",COUNTIFS($A:$A,patch[[#This Row],[number]],$S:$S, "SH And dev",$AC:$AC, "Review-1"))</f>
        <v/>
      </c>
      <c r="Z1798" s="7" t="str">
        <f>IF(ISBLANK(patch[[#This Row],[project]]), "",COUNTIFS($A:$A,patch[[#This Row],[number]],$S:$S, "BJ And dev",$AD:$AD, "&lt;&gt;IntegratorValidationComment"))</f>
        <v/>
      </c>
      <c r="AA1798" s="7" t="str">
        <f>IF(ISBLANK(patch[[#This Row],[project]]), "",COUNTIFS($A:$A,patch[[#This Row],[number]],$S:$S, "FL And dev",$AD:$AD, "&lt;&gt;IntegratorValidationComment"))</f>
        <v/>
      </c>
      <c r="AB1798" s="7" t="str">
        <f>IF(ISBLANK(patch[[#This Row],[project]]), "",COUNTIFS($A:$A,patch[[#This Row],[number]],$S:$S, "SH And dev",$AD:$AD, "&lt;&gt;IntegratorValidationComment"))</f>
        <v/>
      </c>
      <c r="AC1798" s="7" t="str">
        <f>IF(OR(ISNUMBER(FIND("Review-1", patch[[#This Row],[comments]])), ISNUMBER(FIND("Approver-1", patch[[#This Row],[comments]]))), "Review-1", "")</f>
        <v/>
      </c>
      <c r="AD17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98" s="7">
        <f>IF(ISBLANK(patch[[#This Row],[number]]),AE1797,patch[[#This Row],[ifCommon]])</f>
        <v>0</v>
      </c>
    </row>
    <row r="1799" spans="1:31">
      <c r="A1799" s="151">
        <v>142677</v>
      </c>
      <c r="B1799" s="151"/>
      <c r="C1799" s="151"/>
      <c r="D1799" s="151"/>
      <c r="E1799" s="151"/>
      <c r="F1799" s="151"/>
      <c r="G1799" s="151"/>
      <c r="H1799" s="151"/>
      <c r="I1799" s="151"/>
      <c r="J1799" s="152">
        <v>42627.659317129634</v>
      </c>
      <c r="K1799" s="151"/>
      <c r="L1799" s="151" t="s">
        <v>32</v>
      </c>
      <c r="M1799" s="152">
        <v>42615.697754629633</v>
      </c>
      <c r="N1799" s="151" t="s">
        <v>2468</v>
      </c>
      <c r="O1799" s="151"/>
      <c r="P1799" s="151"/>
      <c r="Q1799" s="7" t="str">
        <f>IF(ISBLANK(patch[[#This Row],[OwnerEmail]]),Q1798,patch[[#This Row],[OwnerEmail]])</f>
        <v>gang.a.hu@intel.com</v>
      </c>
      <c r="R1799" s="7" t="str">
        <f>_xlfn.IFNA(VLOOKUP(patch[[#This Row],[tmp-owner.email]],OrgTree!$A:$K, 11, 0), "not ICG SWFW")</f>
        <v>BJ And dev</v>
      </c>
      <c r="S1799" s="7" t="str">
        <f>IF(patch[[#This Row],[reviewer]]=patch[[#This Row],[tmp-owner.email]], "author", _xlfn.IFNA(VLOOKUP(patch[[#This Row],[reviewer]],OrgTree!$A:$K, 11, 0), "not ICG SWFW"))</f>
        <v>author</v>
      </c>
      <c r="T1799" s="7" t="str">
        <f>IF(ISBLANK(patch[[#This Row],[mergeDate]]), "", MID(YEAR(patch[[#This Row],[mergeDate]]), 3,2)&amp;"'ww"&amp;WEEKNUM(patch[[#This Row],[mergeDate]]))</f>
        <v>16'ww38</v>
      </c>
      <c r="U1799" s="7" t="str">
        <f>IF(ISBLANK(patch[[#This Row],[mergeDate]]), U1798, MID(YEAR(patch[[#This Row],[mergeDate]]), 3,2)&amp;"'m"&amp;MONTH(patch[[#This Row],[mergeDate]]))</f>
        <v>16'm9</v>
      </c>
      <c r="V1799" s="7" t="str">
        <f>IF(ISBLANK(patch[[#This Row],[project]]), "",SUM(patch[[#This Row],[BJ -1 num]:[SH -1 num]]))</f>
        <v/>
      </c>
      <c r="W1799" s="7" t="str">
        <f>IF(ISBLANK(patch[[#This Row],[project]]), "",COUNTIFS($A:$A,patch[[#This Row],[number]],$S:$S, "BJ And dev",$AC:$AC, "Review-1"))</f>
        <v/>
      </c>
      <c r="X1799" s="7" t="str">
        <f>IF(ISBLANK(patch[[#This Row],[project]]), "",COUNTIFS($A:$A,patch[[#This Row],[number]],$S:$S, "FL And dev",$AC:$AC, "Review-1"))</f>
        <v/>
      </c>
      <c r="Y1799" s="7" t="str">
        <f>IF(ISBLANK(patch[[#This Row],[project]]), "",COUNTIFS($A:$A,patch[[#This Row],[number]],$S:$S, "SH And dev",$AC:$AC, "Review-1"))</f>
        <v/>
      </c>
      <c r="Z1799" s="7" t="str">
        <f>IF(ISBLANK(patch[[#This Row],[project]]), "",COUNTIFS($A:$A,patch[[#This Row],[number]],$S:$S, "BJ And dev",$AD:$AD, "&lt;&gt;IntegratorValidationComment"))</f>
        <v/>
      </c>
      <c r="AA1799" s="7" t="str">
        <f>IF(ISBLANK(patch[[#This Row],[project]]), "",COUNTIFS($A:$A,patch[[#This Row],[number]],$S:$S, "FL And dev",$AD:$AD, "&lt;&gt;IntegratorValidationComment"))</f>
        <v/>
      </c>
      <c r="AB1799" s="7" t="str">
        <f>IF(ISBLANK(patch[[#This Row],[project]]), "",COUNTIFS($A:$A,patch[[#This Row],[number]],$S:$S, "SH And dev",$AD:$AD, "&lt;&gt;IntegratorValidationComment"))</f>
        <v/>
      </c>
      <c r="AC1799" s="7" t="str">
        <f>IF(OR(ISNUMBER(FIND("Review-1", patch[[#This Row],[comments]])), ISNUMBER(FIND("Approver-1", patch[[#This Row],[comments]]))), "Review-1", "")</f>
        <v/>
      </c>
      <c r="AD17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799" s="7">
        <f>IF(ISBLANK(patch[[#This Row],[number]]),AE1798,patch[[#This Row],[ifCommon]])</f>
        <v>0</v>
      </c>
    </row>
    <row r="1800" spans="1:31">
      <c r="A1800" s="151">
        <v>142677</v>
      </c>
      <c r="B1800" s="151"/>
      <c r="C1800" s="151"/>
      <c r="D1800" s="151"/>
      <c r="E1800" s="151"/>
      <c r="F1800" s="151"/>
      <c r="G1800" s="151"/>
      <c r="H1800" s="151"/>
      <c r="I1800" s="151"/>
      <c r="J1800" s="152">
        <v>42627.659317129634</v>
      </c>
      <c r="K1800" s="151"/>
      <c r="L1800" s="151" t="s">
        <v>32</v>
      </c>
      <c r="M1800" s="152">
        <v>42615.697754629633</v>
      </c>
      <c r="N1800" s="151" t="s">
        <v>1896</v>
      </c>
      <c r="O1800" s="151"/>
      <c r="P1800" s="151"/>
      <c r="Q1800" s="7" t="str">
        <f>IF(ISBLANK(patch[[#This Row],[OwnerEmail]]),Q1799,patch[[#This Row],[OwnerEmail]])</f>
        <v>gang.a.hu@intel.com</v>
      </c>
      <c r="R1800" s="7" t="str">
        <f>_xlfn.IFNA(VLOOKUP(patch[[#This Row],[tmp-owner.email]],OrgTree!$A:$K, 11, 0), "not ICG SWFW")</f>
        <v>BJ And dev</v>
      </c>
      <c r="S1800" s="7" t="str">
        <f>IF(patch[[#This Row],[reviewer]]=patch[[#This Row],[tmp-owner.email]], "author", _xlfn.IFNA(VLOOKUP(patch[[#This Row],[reviewer]],OrgTree!$A:$K, 11, 0), "not ICG SWFW"))</f>
        <v>author</v>
      </c>
      <c r="T1800" s="7" t="str">
        <f>IF(ISBLANK(patch[[#This Row],[mergeDate]]), "", MID(YEAR(patch[[#This Row],[mergeDate]]), 3,2)&amp;"'ww"&amp;WEEKNUM(patch[[#This Row],[mergeDate]]))</f>
        <v>16'ww38</v>
      </c>
      <c r="U1800" s="7" t="str">
        <f>IF(ISBLANK(patch[[#This Row],[mergeDate]]), U1799, MID(YEAR(patch[[#This Row],[mergeDate]]), 3,2)&amp;"'m"&amp;MONTH(patch[[#This Row],[mergeDate]]))</f>
        <v>16'm9</v>
      </c>
      <c r="V1800" s="7" t="str">
        <f>IF(ISBLANK(patch[[#This Row],[project]]), "",SUM(patch[[#This Row],[BJ -1 num]:[SH -1 num]]))</f>
        <v/>
      </c>
      <c r="W1800" s="7" t="str">
        <f>IF(ISBLANK(patch[[#This Row],[project]]), "",COUNTIFS($A:$A,patch[[#This Row],[number]],$S:$S, "BJ And dev",$AC:$AC, "Review-1"))</f>
        <v/>
      </c>
      <c r="X1800" s="7" t="str">
        <f>IF(ISBLANK(patch[[#This Row],[project]]), "",COUNTIFS($A:$A,patch[[#This Row],[number]],$S:$S, "FL And dev",$AC:$AC, "Review-1"))</f>
        <v/>
      </c>
      <c r="Y1800" s="7" t="str">
        <f>IF(ISBLANK(patch[[#This Row],[project]]), "",COUNTIFS($A:$A,patch[[#This Row],[number]],$S:$S, "SH And dev",$AC:$AC, "Review-1"))</f>
        <v/>
      </c>
      <c r="Z1800" s="7" t="str">
        <f>IF(ISBLANK(patch[[#This Row],[project]]), "",COUNTIFS($A:$A,patch[[#This Row],[number]],$S:$S, "BJ And dev",$AD:$AD, "&lt;&gt;IntegratorValidationComment"))</f>
        <v/>
      </c>
      <c r="AA1800" s="7" t="str">
        <f>IF(ISBLANK(patch[[#This Row],[project]]), "",COUNTIFS($A:$A,patch[[#This Row],[number]],$S:$S, "FL And dev",$AD:$AD, "&lt;&gt;IntegratorValidationComment"))</f>
        <v/>
      </c>
      <c r="AB1800" s="7" t="str">
        <f>IF(ISBLANK(patch[[#This Row],[project]]), "",COUNTIFS($A:$A,patch[[#This Row],[number]],$S:$S, "SH And dev",$AD:$AD, "&lt;&gt;IntegratorValidationComment"))</f>
        <v/>
      </c>
      <c r="AC1800" s="7" t="str">
        <f>IF(OR(ISNUMBER(FIND("Review-1", patch[[#This Row],[comments]])), ISNUMBER(FIND("Approver-1", patch[[#This Row],[comments]]))), "Review-1", "")</f>
        <v/>
      </c>
      <c r="AD18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00" s="7">
        <f>IF(ISBLANK(patch[[#This Row],[number]]),AE1799,patch[[#This Row],[ifCommon]])</f>
        <v>0</v>
      </c>
    </row>
    <row r="1801" spans="1:31">
      <c r="A1801" s="151">
        <v>142677</v>
      </c>
      <c r="B1801" s="151"/>
      <c r="C1801" s="151"/>
      <c r="D1801" s="151"/>
      <c r="E1801" s="151"/>
      <c r="F1801" s="151"/>
      <c r="G1801" s="151"/>
      <c r="H1801" s="151"/>
      <c r="I1801" s="151"/>
      <c r="J1801" s="152">
        <v>42627.659317129634</v>
      </c>
      <c r="K1801" s="151"/>
      <c r="L1801" s="151" t="s">
        <v>59</v>
      </c>
      <c r="M1801" s="152">
        <v>42615.702685185177</v>
      </c>
      <c r="N1801" s="151" t="s">
        <v>3466</v>
      </c>
      <c r="O1801" s="151"/>
      <c r="P1801" s="151"/>
      <c r="Q1801" s="7" t="str">
        <f>IF(ISBLANK(patch[[#This Row],[OwnerEmail]]),Q1800,patch[[#This Row],[OwnerEmail]])</f>
        <v>gang.a.hu@intel.com</v>
      </c>
      <c r="R1801" s="7" t="str">
        <f>_xlfn.IFNA(VLOOKUP(patch[[#This Row],[tmp-owner.email]],OrgTree!$A:$K, 11, 0), "not ICG SWFW")</f>
        <v>BJ And dev</v>
      </c>
      <c r="S1801" s="7" t="str">
        <f>IF(patch[[#This Row],[reviewer]]=patch[[#This Row],[tmp-owner.email]], "author", _xlfn.IFNA(VLOOKUP(patch[[#This Row],[reviewer]],OrgTree!$A:$K, 11, 0), "not ICG SWFW"))</f>
        <v>BJ And dev</v>
      </c>
      <c r="T1801" s="7" t="str">
        <f>IF(ISBLANK(patch[[#This Row],[mergeDate]]), "", MID(YEAR(patch[[#This Row],[mergeDate]]), 3,2)&amp;"'ww"&amp;WEEKNUM(patch[[#This Row],[mergeDate]]))</f>
        <v>16'ww38</v>
      </c>
      <c r="U1801" s="7" t="str">
        <f>IF(ISBLANK(patch[[#This Row],[mergeDate]]), U1800, MID(YEAR(patch[[#This Row],[mergeDate]]), 3,2)&amp;"'m"&amp;MONTH(patch[[#This Row],[mergeDate]]))</f>
        <v>16'm9</v>
      </c>
      <c r="V1801" s="7" t="str">
        <f>IF(ISBLANK(patch[[#This Row],[project]]), "",SUM(patch[[#This Row],[BJ -1 num]:[SH -1 num]]))</f>
        <v/>
      </c>
      <c r="W1801" s="7" t="str">
        <f>IF(ISBLANK(patch[[#This Row],[project]]), "",COUNTIFS($A:$A,patch[[#This Row],[number]],$S:$S, "BJ And dev",$AC:$AC, "Review-1"))</f>
        <v/>
      </c>
      <c r="X1801" s="7" t="str">
        <f>IF(ISBLANK(patch[[#This Row],[project]]), "",COUNTIFS($A:$A,patch[[#This Row],[number]],$S:$S, "FL And dev",$AC:$AC, "Review-1"))</f>
        <v/>
      </c>
      <c r="Y1801" s="7" t="str">
        <f>IF(ISBLANK(patch[[#This Row],[project]]), "",COUNTIFS($A:$A,patch[[#This Row],[number]],$S:$S, "SH And dev",$AC:$AC, "Review-1"))</f>
        <v/>
      </c>
      <c r="Z1801" s="7" t="str">
        <f>IF(ISBLANK(patch[[#This Row],[project]]), "",COUNTIFS($A:$A,patch[[#This Row],[number]],$S:$S, "BJ And dev",$AD:$AD, "&lt;&gt;IntegratorValidationComment"))</f>
        <v/>
      </c>
      <c r="AA1801" s="7" t="str">
        <f>IF(ISBLANK(patch[[#This Row],[project]]), "",COUNTIFS($A:$A,patch[[#This Row],[number]],$S:$S, "FL And dev",$AD:$AD, "&lt;&gt;IntegratorValidationComment"))</f>
        <v/>
      </c>
      <c r="AB1801" s="7" t="str">
        <f>IF(ISBLANK(patch[[#This Row],[project]]), "",COUNTIFS($A:$A,patch[[#This Row],[number]],$S:$S, "SH And dev",$AD:$AD, "&lt;&gt;IntegratorValidationComment"))</f>
        <v/>
      </c>
      <c r="AC1801" s="7" t="str">
        <f>IF(OR(ISNUMBER(FIND("Review-1", patch[[#This Row],[comments]])), ISNUMBER(FIND("Approver-1", patch[[#This Row],[comments]]))), "Review-1", "")</f>
        <v/>
      </c>
      <c r="AD18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01" s="7">
        <f>IF(ISBLANK(patch[[#This Row],[number]]),AE1800,patch[[#This Row],[ifCommon]])</f>
        <v>0</v>
      </c>
    </row>
    <row r="1802" spans="1:31">
      <c r="A1802" s="151">
        <v>142677</v>
      </c>
      <c r="B1802" s="151"/>
      <c r="C1802" s="151"/>
      <c r="D1802" s="151"/>
      <c r="E1802" s="151"/>
      <c r="F1802" s="151"/>
      <c r="G1802" s="151"/>
      <c r="H1802" s="151"/>
      <c r="I1802" s="151"/>
      <c r="J1802" s="152">
        <v>42627.659317129634</v>
      </c>
      <c r="K1802" s="151"/>
      <c r="L1802" s="151" t="s">
        <v>59</v>
      </c>
      <c r="M1802" s="152">
        <v>42615.704317129632</v>
      </c>
      <c r="N1802" s="151" t="s">
        <v>3467</v>
      </c>
      <c r="O1802" s="151"/>
      <c r="P1802" s="151"/>
      <c r="Q1802" s="7" t="str">
        <f>IF(ISBLANK(patch[[#This Row],[OwnerEmail]]),Q1801,patch[[#This Row],[OwnerEmail]])</f>
        <v>gang.a.hu@intel.com</v>
      </c>
      <c r="R1802" s="7" t="str">
        <f>_xlfn.IFNA(VLOOKUP(patch[[#This Row],[tmp-owner.email]],OrgTree!$A:$K, 11, 0), "not ICG SWFW")</f>
        <v>BJ And dev</v>
      </c>
      <c r="S1802" s="7" t="str">
        <f>IF(patch[[#This Row],[reviewer]]=patch[[#This Row],[tmp-owner.email]], "author", _xlfn.IFNA(VLOOKUP(patch[[#This Row],[reviewer]],OrgTree!$A:$K, 11, 0), "not ICG SWFW"))</f>
        <v>BJ And dev</v>
      </c>
      <c r="T1802" s="7" t="str">
        <f>IF(ISBLANK(patch[[#This Row],[mergeDate]]), "", MID(YEAR(patch[[#This Row],[mergeDate]]), 3,2)&amp;"'ww"&amp;WEEKNUM(patch[[#This Row],[mergeDate]]))</f>
        <v>16'ww38</v>
      </c>
      <c r="U1802" s="7" t="str">
        <f>IF(ISBLANK(patch[[#This Row],[mergeDate]]), U1801, MID(YEAR(patch[[#This Row],[mergeDate]]), 3,2)&amp;"'m"&amp;MONTH(patch[[#This Row],[mergeDate]]))</f>
        <v>16'm9</v>
      </c>
      <c r="V1802" s="7" t="str">
        <f>IF(ISBLANK(patch[[#This Row],[project]]), "",SUM(patch[[#This Row],[BJ -1 num]:[SH -1 num]]))</f>
        <v/>
      </c>
      <c r="W1802" s="7" t="str">
        <f>IF(ISBLANK(patch[[#This Row],[project]]), "",COUNTIFS($A:$A,patch[[#This Row],[number]],$S:$S, "BJ And dev",$AC:$AC, "Review-1"))</f>
        <v/>
      </c>
      <c r="X1802" s="7" t="str">
        <f>IF(ISBLANK(patch[[#This Row],[project]]), "",COUNTIFS($A:$A,patch[[#This Row],[number]],$S:$S, "FL And dev",$AC:$AC, "Review-1"))</f>
        <v/>
      </c>
      <c r="Y1802" s="7" t="str">
        <f>IF(ISBLANK(patch[[#This Row],[project]]), "",COUNTIFS($A:$A,patch[[#This Row],[number]],$S:$S, "SH And dev",$AC:$AC, "Review-1"))</f>
        <v/>
      </c>
      <c r="Z1802" s="7" t="str">
        <f>IF(ISBLANK(patch[[#This Row],[project]]), "",COUNTIFS($A:$A,patch[[#This Row],[number]],$S:$S, "BJ And dev",$AD:$AD, "&lt;&gt;IntegratorValidationComment"))</f>
        <v/>
      </c>
      <c r="AA1802" s="7" t="str">
        <f>IF(ISBLANK(patch[[#This Row],[project]]), "",COUNTIFS($A:$A,patch[[#This Row],[number]],$S:$S, "FL And dev",$AD:$AD, "&lt;&gt;IntegratorValidationComment"))</f>
        <v/>
      </c>
      <c r="AB1802" s="7" t="str">
        <f>IF(ISBLANK(patch[[#This Row],[project]]), "",COUNTIFS($A:$A,patch[[#This Row],[number]],$S:$S, "SH And dev",$AD:$AD, "&lt;&gt;IntegratorValidationComment"))</f>
        <v/>
      </c>
      <c r="AC1802" s="7" t="str">
        <f>IF(OR(ISNUMBER(FIND("Review-1", patch[[#This Row],[comments]])), ISNUMBER(FIND("Approver-1", patch[[#This Row],[comments]]))), "Review-1", "")</f>
        <v/>
      </c>
      <c r="AD18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02" s="7">
        <f>IF(ISBLANK(patch[[#This Row],[number]]),AE1801,patch[[#This Row],[ifCommon]])</f>
        <v>0</v>
      </c>
    </row>
    <row r="1803" spans="1:31">
      <c r="A1803" s="151">
        <v>142677</v>
      </c>
      <c r="B1803" s="151"/>
      <c r="C1803" s="151"/>
      <c r="D1803" s="151"/>
      <c r="E1803" s="151"/>
      <c r="F1803" s="151"/>
      <c r="G1803" s="151"/>
      <c r="H1803" s="151"/>
      <c r="I1803" s="151"/>
      <c r="J1803" s="152">
        <v>42627.659317129634</v>
      </c>
      <c r="K1803" s="151"/>
      <c r="L1803" s="151" t="s">
        <v>32</v>
      </c>
      <c r="M1803" s="152">
        <v>42615.727719907409</v>
      </c>
      <c r="N1803" s="151" t="s">
        <v>2469</v>
      </c>
      <c r="O1803" s="151"/>
      <c r="P1803" s="151"/>
      <c r="Q1803" s="7" t="str">
        <f>IF(ISBLANK(patch[[#This Row],[OwnerEmail]]),Q1802,patch[[#This Row],[OwnerEmail]])</f>
        <v>gang.a.hu@intel.com</v>
      </c>
      <c r="R1803" s="7" t="str">
        <f>_xlfn.IFNA(VLOOKUP(patch[[#This Row],[tmp-owner.email]],OrgTree!$A:$K, 11, 0), "not ICG SWFW")</f>
        <v>BJ And dev</v>
      </c>
      <c r="S1803" s="7" t="str">
        <f>IF(patch[[#This Row],[reviewer]]=patch[[#This Row],[tmp-owner.email]], "author", _xlfn.IFNA(VLOOKUP(patch[[#This Row],[reviewer]],OrgTree!$A:$K, 11, 0), "not ICG SWFW"))</f>
        <v>author</v>
      </c>
      <c r="T1803" s="7" t="str">
        <f>IF(ISBLANK(patch[[#This Row],[mergeDate]]), "", MID(YEAR(patch[[#This Row],[mergeDate]]), 3,2)&amp;"'ww"&amp;WEEKNUM(patch[[#This Row],[mergeDate]]))</f>
        <v>16'ww38</v>
      </c>
      <c r="U1803" s="7" t="str">
        <f>IF(ISBLANK(patch[[#This Row],[mergeDate]]), U1802, MID(YEAR(patch[[#This Row],[mergeDate]]), 3,2)&amp;"'m"&amp;MONTH(patch[[#This Row],[mergeDate]]))</f>
        <v>16'm9</v>
      </c>
      <c r="V1803" s="7" t="str">
        <f>IF(ISBLANK(patch[[#This Row],[project]]), "",SUM(patch[[#This Row],[BJ -1 num]:[SH -1 num]]))</f>
        <v/>
      </c>
      <c r="W1803" s="7" t="str">
        <f>IF(ISBLANK(patch[[#This Row],[project]]), "",COUNTIFS($A:$A,patch[[#This Row],[number]],$S:$S, "BJ And dev",$AC:$AC, "Review-1"))</f>
        <v/>
      </c>
      <c r="X1803" s="7" t="str">
        <f>IF(ISBLANK(patch[[#This Row],[project]]), "",COUNTIFS($A:$A,patch[[#This Row],[number]],$S:$S, "FL And dev",$AC:$AC, "Review-1"))</f>
        <v/>
      </c>
      <c r="Y1803" s="7" t="str">
        <f>IF(ISBLANK(patch[[#This Row],[project]]), "",COUNTIFS($A:$A,patch[[#This Row],[number]],$S:$S, "SH And dev",$AC:$AC, "Review-1"))</f>
        <v/>
      </c>
      <c r="Z1803" s="7" t="str">
        <f>IF(ISBLANK(patch[[#This Row],[project]]), "",COUNTIFS($A:$A,patch[[#This Row],[number]],$S:$S, "BJ And dev",$AD:$AD, "&lt;&gt;IntegratorValidationComment"))</f>
        <v/>
      </c>
      <c r="AA1803" s="7" t="str">
        <f>IF(ISBLANK(patch[[#This Row],[project]]), "",COUNTIFS($A:$A,patch[[#This Row],[number]],$S:$S, "FL And dev",$AD:$AD, "&lt;&gt;IntegratorValidationComment"))</f>
        <v/>
      </c>
      <c r="AB1803" s="7" t="str">
        <f>IF(ISBLANK(patch[[#This Row],[project]]), "",COUNTIFS($A:$A,patch[[#This Row],[number]],$S:$S, "SH And dev",$AD:$AD, "&lt;&gt;IntegratorValidationComment"))</f>
        <v/>
      </c>
      <c r="AC1803" s="7" t="str">
        <f>IF(OR(ISNUMBER(FIND("Review-1", patch[[#This Row],[comments]])), ISNUMBER(FIND("Approver-1", patch[[#This Row],[comments]]))), "Review-1", "")</f>
        <v/>
      </c>
      <c r="AD18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03" s="7">
        <f>IF(ISBLANK(patch[[#This Row],[number]]),AE1802,patch[[#This Row],[ifCommon]])</f>
        <v>0</v>
      </c>
    </row>
    <row r="1804" spans="1:31">
      <c r="A1804" s="151">
        <v>142677</v>
      </c>
      <c r="B1804" s="151"/>
      <c r="C1804" s="151"/>
      <c r="D1804" s="151"/>
      <c r="E1804" s="151"/>
      <c r="F1804" s="151"/>
      <c r="G1804" s="151"/>
      <c r="H1804" s="151"/>
      <c r="I1804" s="151"/>
      <c r="J1804" s="152">
        <v>42627.659317129634</v>
      </c>
      <c r="K1804" s="151"/>
      <c r="L1804" s="151" t="s">
        <v>32</v>
      </c>
      <c r="M1804" s="152">
        <v>42615.727719907409</v>
      </c>
      <c r="N1804" s="151" t="s">
        <v>1912</v>
      </c>
      <c r="O1804" s="151"/>
      <c r="P1804" s="151"/>
      <c r="Q1804" s="7" t="str">
        <f>IF(ISBLANK(patch[[#This Row],[OwnerEmail]]),Q1803,patch[[#This Row],[OwnerEmail]])</f>
        <v>gang.a.hu@intel.com</v>
      </c>
      <c r="R1804" s="7" t="str">
        <f>_xlfn.IFNA(VLOOKUP(patch[[#This Row],[tmp-owner.email]],OrgTree!$A:$K, 11, 0), "not ICG SWFW")</f>
        <v>BJ And dev</v>
      </c>
      <c r="S1804" s="7" t="str">
        <f>IF(patch[[#This Row],[reviewer]]=patch[[#This Row],[tmp-owner.email]], "author", _xlfn.IFNA(VLOOKUP(patch[[#This Row],[reviewer]],OrgTree!$A:$K, 11, 0), "not ICG SWFW"))</f>
        <v>author</v>
      </c>
      <c r="T1804" s="7" t="str">
        <f>IF(ISBLANK(patch[[#This Row],[mergeDate]]), "", MID(YEAR(patch[[#This Row],[mergeDate]]), 3,2)&amp;"'ww"&amp;WEEKNUM(patch[[#This Row],[mergeDate]]))</f>
        <v>16'ww38</v>
      </c>
      <c r="U1804" s="7" t="str">
        <f>IF(ISBLANK(patch[[#This Row],[mergeDate]]), U1803, MID(YEAR(patch[[#This Row],[mergeDate]]), 3,2)&amp;"'m"&amp;MONTH(patch[[#This Row],[mergeDate]]))</f>
        <v>16'm9</v>
      </c>
      <c r="V1804" s="7" t="str">
        <f>IF(ISBLANK(patch[[#This Row],[project]]), "",SUM(patch[[#This Row],[BJ -1 num]:[SH -1 num]]))</f>
        <v/>
      </c>
      <c r="W1804" s="7" t="str">
        <f>IF(ISBLANK(patch[[#This Row],[project]]), "",COUNTIFS($A:$A,patch[[#This Row],[number]],$S:$S, "BJ And dev",$AC:$AC, "Review-1"))</f>
        <v/>
      </c>
      <c r="X1804" s="7" t="str">
        <f>IF(ISBLANK(patch[[#This Row],[project]]), "",COUNTIFS($A:$A,patch[[#This Row],[number]],$S:$S, "FL And dev",$AC:$AC, "Review-1"))</f>
        <v/>
      </c>
      <c r="Y1804" s="7" t="str">
        <f>IF(ISBLANK(patch[[#This Row],[project]]), "",COUNTIFS($A:$A,patch[[#This Row],[number]],$S:$S, "SH And dev",$AC:$AC, "Review-1"))</f>
        <v/>
      </c>
      <c r="Z1804" s="7" t="str">
        <f>IF(ISBLANK(patch[[#This Row],[project]]), "",COUNTIFS($A:$A,patch[[#This Row],[number]],$S:$S, "BJ And dev",$AD:$AD, "&lt;&gt;IntegratorValidationComment"))</f>
        <v/>
      </c>
      <c r="AA1804" s="7" t="str">
        <f>IF(ISBLANK(patch[[#This Row],[project]]), "",COUNTIFS($A:$A,patch[[#This Row],[number]],$S:$S, "FL And dev",$AD:$AD, "&lt;&gt;IntegratorValidationComment"))</f>
        <v/>
      </c>
      <c r="AB1804" s="7" t="str">
        <f>IF(ISBLANK(patch[[#This Row],[project]]), "",COUNTIFS($A:$A,patch[[#This Row],[number]],$S:$S, "SH And dev",$AD:$AD, "&lt;&gt;IntegratorValidationComment"))</f>
        <v/>
      </c>
      <c r="AC1804" s="7" t="str">
        <f>IF(OR(ISNUMBER(FIND("Review-1", patch[[#This Row],[comments]])), ISNUMBER(FIND("Approver-1", patch[[#This Row],[comments]]))), "Review-1", "")</f>
        <v/>
      </c>
      <c r="AD18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04" s="7">
        <f>IF(ISBLANK(patch[[#This Row],[number]]),AE1803,patch[[#This Row],[ifCommon]])</f>
        <v>0</v>
      </c>
    </row>
    <row r="1805" spans="1:31">
      <c r="A1805" s="151">
        <v>142677</v>
      </c>
      <c r="B1805" s="151"/>
      <c r="C1805" s="151"/>
      <c r="D1805" s="151"/>
      <c r="E1805" s="151"/>
      <c r="F1805" s="151"/>
      <c r="G1805" s="151"/>
      <c r="H1805" s="151"/>
      <c r="I1805" s="151"/>
      <c r="J1805" s="152">
        <v>42627.659317129634</v>
      </c>
      <c r="K1805" s="151"/>
      <c r="L1805" s="151" t="s">
        <v>59</v>
      </c>
      <c r="M1805" s="152">
        <v>42615.730532407397</v>
      </c>
      <c r="N1805" s="151" t="s">
        <v>3468</v>
      </c>
      <c r="O1805" s="151"/>
      <c r="P1805" s="151"/>
      <c r="Q1805" s="7" t="str">
        <f>IF(ISBLANK(patch[[#This Row],[OwnerEmail]]),Q1804,patch[[#This Row],[OwnerEmail]])</f>
        <v>gang.a.hu@intel.com</v>
      </c>
      <c r="R1805" s="7" t="str">
        <f>_xlfn.IFNA(VLOOKUP(patch[[#This Row],[tmp-owner.email]],OrgTree!$A:$K, 11, 0), "not ICG SWFW")</f>
        <v>BJ And dev</v>
      </c>
      <c r="S1805" s="7" t="str">
        <f>IF(patch[[#This Row],[reviewer]]=patch[[#This Row],[tmp-owner.email]], "author", _xlfn.IFNA(VLOOKUP(patch[[#This Row],[reviewer]],OrgTree!$A:$K, 11, 0), "not ICG SWFW"))</f>
        <v>BJ And dev</v>
      </c>
      <c r="T1805" s="7" t="str">
        <f>IF(ISBLANK(patch[[#This Row],[mergeDate]]), "", MID(YEAR(patch[[#This Row],[mergeDate]]), 3,2)&amp;"'ww"&amp;WEEKNUM(patch[[#This Row],[mergeDate]]))</f>
        <v>16'ww38</v>
      </c>
      <c r="U1805" s="7" t="str">
        <f>IF(ISBLANK(patch[[#This Row],[mergeDate]]), U1804, MID(YEAR(patch[[#This Row],[mergeDate]]), 3,2)&amp;"'m"&amp;MONTH(patch[[#This Row],[mergeDate]]))</f>
        <v>16'm9</v>
      </c>
      <c r="V1805" s="7" t="str">
        <f>IF(ISBLANK(patch[[#This Row],[project]]), "",SUM(patch[[#This Row],[BJ -1 num]:[SH -1 num]]))</f>
        <v/>
      </c>
      <c r="W1805" s="7" t="str">
        <f>IF(ISBLANK(patch[[#This Row],[project]]), "",COUNTIFS($A:$A,patch[[#This Row],[number]],$S:$S, "BJ And dev",$AC:$AC, "Review-1"))</f>
        <v/>
      </c>
      <c r="X1805" s="7" t="str">
        <f>IF(ISBLANK(patch[[#This Row],[project]]), "",COUNTIFS($A:$A,patch[[#This Row],[number]],$S:$S, "FL And dev",$AC:$AC, "Review-1"))</f>
        <v/>
      </c>
      <c r="Y1805" s="7" t="str">
        <f>IF(ISBLANK(patch[[#This Row],[project]]), "",COUNTIFS($A:$A,patch[[#This Row],[number]],$S:$S, "SH And dev",$AC:$AC, "Review-1"))</f>
        <v/>
      </c>
      <c r="Z1805" s="7" t="str">
        <f>IF(ISBLANK(patch[[#This Row],[project]]), "",COUNTIFS($A:$A,patch[[#This Row],[number]],$S:$S, "BJ And dev",$AD:$AD, "&lt;&gt;IntegratorValidationComment"))</f>
        <v/>
      </c>
      <c r="AA1805" s="7" t="str">
        <f>IF(ISBLANK(patch[[#This Row],[project]]), "",COUNTIFS($A:$A,patch[[#This Row],[number]],$S:$S, "FL And dev",$AD:$AD, "&lt;&gt;IntegratorValidationComment"))</f>
        <v/>
      </c>
      <c r="AB1805" s="7" t="str">
        <f>IF(ISBLANK(patch[[#This Row],[project]]), "",COUNTIFS($A:$A,patch[[#This Row],[number]],$S:$S, "SH And dev",$AD:$AD, "&lt;&gt;IntegratorValidationComment"))</f>
        <v/>
      </c>
      <c r="AC1805" s="7" t="str">
        <f>IF(OR(ISNUMBER(FIND("Review-1", patch[[#This Row],[comments]])), ISNUMBER(FIND("Approver-1", patch[[#This Row],[comments]]))), "Review-1", "")</f>
        <v/>
      </c>
      <c r="AD18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05" s="7">
        <f>IF(ISBLANK(patch[[#This Row],[number]]),AE1804,patch[[#This Row],[ifCommon]])</f>
        <v>0</v>
      </c>
    </row>
    <row r="1806" spans="1:31">
      <c r="A1806" s="151">
        <v>142677</v>
      </c>
      <c r="B1806" s="151"/>
      <c r="C1806" s="151"/>
      <c r="D1806" s="151"/>
      <c r="E1806" s="151"/>
      <c r="F1806" s="151"/>
      <c r="G1806" s="151"/>
      <c r="H1806" s="151"/>
      <c r="I1806" s="151"/>
      <c r="J1806" s="152">
        <v>42627.659317129634</v>
      </c>
      <c r="K1806" s="151"/>
      <c r="L1806" s="151" t="s">
        <v>32</v>
      </c>
      <c r="M1806" s="152">
        <v>42615.823611111111</v>
      </c>
      <c r="N1806" s="151" t="s">
        <v>1963</v>
      </c>
      <c r="O1806" s="151"/>
      <c r="P1806" s="151"/>
      <c r="Q1806" s="7" t="str">
        <f>IF(ISBLANK(patch[[#This Row],[OwnerEmail]]),Q1805,patch[[#This Row],[OwnerEmail]])</f>
        <v>gang.a.hu@intel.com</v>
      </c>
      <c r="R1806" s="7" t="str">
        <f>_xlfn.IFNA(VLOOKUP(patch[[#This Row],[tmp-owner.email]],OrgTree!$A:$K, 11, 0), "not ICG SWFW")</f>
        <v>BJ And dev</v>
      </c>
      <c r="S1806" s="7" t="str">
        <f>IF(patch[[#This Row],[reviewer]]=patch[[#This Row],[tmp-owner.email]], "author", _xlfn.IFNA(VLOOKUP(patch[[#This Row],[reviewer]],OrgTree!$A:$K, 11, 0), "not ICG SWFW"))</f>
        <v>author</v>
      </c>
      <c r="T1806" s="7" t="str">
        <f>IF(ISBLANK(patch[[#This Row],[mergeDate]]), "", MID(YEAR(patch[[#This Row],[mergeDate]]), 3,2)&amp;"'ww"&amp;WEEKNUM(patch[[#This Row],[mergeDate]]))</f>
        <v>16'ww38</v>
      </c>
      <c r="U1806" s="7" t="str">
        <f>IF(ISBLANK(patch[[#This Row],[mergeDate]]), U1805, MID(YEAR(patch[[#This Row],[mergeDate]]), 3,2)&amp;"'m"&amp;MONTH(patch[[#This Row],[mergeDate]]))</f>
        <v>16'm9</v>
      </c>
      <c r="V1806" s="7" t="str">
        <f>IF(ISBLANK(patch[[#This Row],[project]]), "",SUM(patch[[#This Row],[BJ -1 num]:[SH -1 num]]))</f>
        <v/>
      </c>
      <c r="W1806" s="7" t="str">
        <f>IF(ISBLANK(patch[[#This Row],[project]]), "",COUNTIFS($A:$A,patch[[#This Row],[number]],$S:$S, "BJ And dev",$AC:$AC, "Review-1"))</f>
        <v/>
      </c>
      <c r="X1806" s="7" t="str">
        <f>IF(ISBLANK(patch[[#This Row],[project]]), "",COUNTIFS($A:$A,patch[[#This Row],[number]],$S:$S, "FL And dev",$AC:$AC, "Review-1"))</f>
        <v/>
      </c>
      <c r="Y1806" s="7" t="str">
        <f>IF(ISBLANK(patch[[#This Row],[project]]), "",COUNTIFS($A:$A,patch[[#This Row],[number]],$S:$S, "SH And dev",$AC:$AC, "Review-1"))</f>
        <v/>
      </c>
      <c r="Z1806" s="7" t="str">
        <f>IF(ISBLANK(patch[[#This Row],[project]]), "",COUNTIFS($A:$A,patch[[#This Row],[number]],$S:$S, "BJ And dev",$AD:$AD, "&lt;&gt;IntegratorValidationComment"))</f>
        <v/>
      </c>
      <c r="AA1806" s="7" t="str">
        <f>IF(ISBLANK(patch[[#This Row],[project]]), "",COUNTIFS($A:$A,patch[[#This Row],[number]],$S:$S, "FL And dev",$AD:$AD, "&lt;&gt;IntegratorValidationComment"))</f>
        <v/>
      </c>
      <c r="AB1806" s="7" t="str">
        <f>IF(ISBLANK(patch[[#This Row],[project]]), "",COUNTIFS($A:$A,patch[[#This Row],[number]],$S:$S, "SH And dev",$AD:$AD, "&lt;&gt;IntegratorValidationComment"))</f>
        <v/>
      </c>
      <c r="AC1806" s="7" t="str">
        <f>IF(OR(ISNUMBER(FIND("Review-1", patch[[#This Row],[comments]])), ISNUMBER(FIND("Approver-1", patch[[#This Row],[comments]]))), "Review-1", "")</f>
        <v/>
      </c>
      <c r="AD18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06" s="7">
        <f>IF(ISBLANK(patch[[#This Row],[number]]),AE1805,patch[[#This Row],[ifCommon]])</f>
        <v>0</v>
      </c>
    </row>
    <row r="1807" spans="1:31">
      <c r="A1807" s="151">
        <v>142677</v>
      </c>
      <c r="B1807" s="151"/>
      <c r="C1807" s="151"/>
      <c r="D1807" s="151"/>
      <c r="E1807" s="151"/>
      <c r="F1807" s="151"/>
      <c r="G1807" s="151"/>
      <c r="H1807" s="151"/>
      <c r="I1807" s="151"/>
      <c r="J1807" s="152">
        <v>42627.659317129634</v>
      </c>
      <c r="K1807" s="151"/>
      <c r="L1807" s="151" t="s">
        <v>32</v>
      </c>
      <c r="M1807" s="152">
        <v>42615.823611111111</v>
      </c>
      <c r="N1807" s="151" t="s">
        <v>2472</v>
      </c>
      <c r="O1807" s="151"/>
      <c r="P1807" s="151"/>
      <c r="Q1807" s="7" t="str">
        <f>IF(ISBLANK(patch[[#This Row],[OwnerEmail]]),Q1806,patch[[#This Row],[OwnerEmail]])</f>
        <v>gang.a.hu@intel.com</v>
      </c>
      <c r="R1807" s="7" t="str">
        <f>_xlfn.IFNA(VLOOKUP(patch[[#This Row],[tmp-owner.email]],OrgTree!$A:$K, 11, 0), "not ICG SWFW")</f>
        <v>BJ And dev</v>
      </c>
      <c r="S1807" s="7" t="str">
        <f>IF(patch[[#This Row],[reviewer]]=patch[[#This Row],[tmp-owner.email]], "author", _xlfn.IFNA(VLOOKUP(patch[[#This Row],[reviewer]],OrgTree!$A:$K, 11, 0), "not ICG SWFW"))</f>
        <v>author</v>
      </c>
      <c r="T1807" s="7" t="str">
        <f>IF(ISBLANK(patch[[#This Row],[mergeDate]]), "", MID(YEAR(patch[[#This Row],[mergeDate]]), 3,2)&amp;"'ww"&amp;WEEKNUM(patch[[#This Row],[mergeDate]]))</f>
        <v>16'ww38</v>
      </c>
      <c r="U1807" s="7" t="str">
        <f>IF(ISBLANK(patch[[#This Row],[mergeDate]]), U1806, MID(YEAR(patch[[#This Row],[mergeDate]]), 3,2)&amp;"'m"&amp;MONTH(patch[[#This Row],[mergeDate]]))</f>
        <v>16'm9</v>
      </c>
      <c r="V1807" s="7" t="str">
        <f>IF(ISBLANK(patch[[#This Row],[project]]), "",SUM(patch[[#This Row],[BJ -1 num]:[SH -1 num]]))</f>
        <v/>
      </c>
      <c r="W1807" s="7" t="str">
        <f>IF(ISBLANK(patch[[#This Row],[project]]), "",COUNTIFS($A:$A,patch[[#This Row],[number]],$S:$S, "BJ And dev",$AC:$AC, "Review-1"))</f>
        <v/>
      </c>
      <c r="X1807" s="7" t="str">
        <f>IF(ISBLANK(patch[[#This Row],[project]]), "",COUNTIFS($A:$A,patch[[#This Row],[number]],$S:$S, "FL And dev",$AC:$AC, "Review-1"))</f>
        <v/>
      </c>
      <c r="Y1807" s="7" t="str">
        <f>IF(ISBLANK(patch[[#This Row],[project]]), "",COUNTIFS($A:$A,patch[[#This Row],[number]],$S:$S, "SH And dev",$AC:$AC, "Review-1"))</f>
        <v/>
      </c>
      <c r="Z1807" s="7" t="str">
        <f>IF(ISBLANK(patch[[#This Row],[project]]), "",COUNTIFS($A:$A,patch[[#This Row],[number]],$S:$S, "BJ And dev",$AD:$AD, "&lt;&gt;IntegratorValidationComment"))</f>
        <v/>
      </c>
      <c r="AA1807" s="7" t="str">
        <f>IF(ISBLANK(patch[[#This Row],[project]]), "",COUNTIFS($A:$A,patch[[#This Row],[number]],$S:$S, "FL And dev",$AD:$AD, "&lt;&gt;IntegratorValidationComment"))</f>
        <v/>
      </c>
      <c r="AB1807" s="7" t="str">
        <f>IF(ISBLANK(patch[[#This Row],[project]]), "",COUNTIFS($A:$A,patch[[#This Row],[number]],$S:$S, "SH And dev",$AD:$AD, "&lt;&gt;IntegratorValidationComment"))</f>
        <v/>
      </c>
      <c r="AC1807" s="7" t="str">
        <f>IF(OR(ISNUMBER(FIND("Review-1", patch[[#This Row],[comments]])), ISNUMBER(FIND("Approver-1", patch[[#This Row],[comments]]))), "Review-1", "")</f>
        <v/>
      </c>
      <c r="AD18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07" s="7">
        <f>IF(ISBLANK(patch[[#This Row],[number]]),AE1806,patch[[#This Row],[ifCommon]])</f>
        <v>0</v>
      </c>
    </row>
    <row r="1808" spans="1:31">
      <c r="A1808" s="151">
        <v>142677</v>
      </c>
      <c r="B1808" s="151"/>
      <c r="C1808" s="151"/>
      <c r="D1808" s="151"/>
      <c r="E1808" s="151"/>
      <c r="F1808" s="151"/>
      <c r="G1808" s="151"/>
      <c r="H1808" s="151"/>
      <c r="I1808" s="151"/>
      <c r="J1808" s="152">
        <v>42627.659317129634</v>
      </c>
      <c r="K1808" s="151"/>
      <c r="L1808" s="151" t="s">
        <v>59</v>
      </c>
      <c r="M1808" s="152">
        <v>42615.827372685177</v>
      </c>
      <c r="N1808" s="151" t="s">
        <v>3469</v>
      </c>
      <c r="O1808" s="151"/>
      <c r="P1808" s="151"/>
      <c r="Q1808" s="7" t="str">
        <f>IF(ISBLANK(patch[[#This Row],[OwnerEmail]]),Q1807,patch[[#This Row],[OwnerEmail]])</f>
        <v>gang.a.hu@intel.com</v>
      </c>
      <c r="R1808" s="7" t="str">
        <f>_xlfn.IFNA(VLOOKUP(patch[[#This Row],[tmp-owner.email]],OrgTree!$A:$K, 11, 0), "not ICG SWFW")</f>
        <v>BJ And dev</v>
      </c>
      <c r="S1808" s="7" t="str">
        <f>IF(patch[[#This Row],[reviewer]]=patch[[#This Row],[tmp-owner.email]], "author", _xlfn.IFNA(VLOOKUP(patch[[#This Row],[reviewer]],OrgTree!$A:$K, 11, 0), "not ICG SWFW"))</f>
        <v>BJ And dev</v>
      </c>
      <c r="T1808" s="7" t="str">
        <f>IF(ISBLANK(patch[[#This Row],[mergeDate]]), "", MID(YEAR(patch[[#This Row],[mergeDate]]), 3,2)&amp;"'ww"&amp;WEEKNUM(patch[[#This Row],[mergeDate]]))</f>
        <v>16'ww38</v>
      </c>
      <c r="U1808" s="7" t="str">
        <f>IF(ISBLANK(patch[[#This Row],[mergeDate]]), U1807, MID(YEAR(patch[[#This Row],[mergeDate]]), 3,2)&amp;"'m"&amp;MONTH(patch[[#This Row],[mergeDate]]))</f>
        <v>16'm9</v>
      </c>
      <c r="V1808" s="7" t="str">
        <f>IF(ISBLANK(patch[[#This Row],[project]]), "",SUM(patch[[#This Row],[BJ -1 num]:[SH -1 num]]))</f>
        <v/>
      </c>
      <c r="W1808" s="7" t="str">
        <f>IF(ISBLANK(patch[[#This Row],[project]]), "",COUNTIFS($A:$A,patch[[#This Row],[number]],$S:$S, "BJ And dev",$AC:$AC, "Review-1"))</f>
        <v/>
      </c>
      <c r="X1808" s="7" t="str">
        <f>IF(ISBLANK(patch[[#This Row],[project]]), "",COUNTIFS($A:$A,patch[[#This Row],[number]],$S:$S, "FL And dev",$AC:$AC, "Review-1"))</f>
        <v/>
      </c>
      <c r="Y1808" s="7" t="str">
        <f>IF(ISBLANK(patch[[#This Row],[project]]), "",COUNTIFS($A:$A,patch[[#This Row],[number]],$S:$S, "SH And dev",$AC:$AC, "Review-1"))</f>
        <v/>
      </c>
      <c r="Z1808" s="7" t="str">
        <f>IF(ISBLANK(patch[[#This Row],[project]]), "",COUNTIFS($A:$A,patch[[#This Row],[number]],$S:$S, "BJ And dev",$AD:$AD, "&lt;&gt;IntegratorValidationComment"))</f>
        <v/>
      </c>
      <c r="AA1808" s="7" t="str">
        <f>IF(ISBLANK(patch[[#This Row],[project]]), "",COUNTIFS($A:$A,patch[[#This Row],[number]],$S:$S, "FL And dev",$AD:$AD, "&lt;&gt;IntegratorValidationComment"))</f>
        <v/>
      </c>
      <c r="AB1808" s="7" t="str">
        <f>IF(ISBLANK(patch[[#This Row],[project]]), "",COUNTIFS($A:$A,patch[[#This Row],[number]],$S:$S, "SH And dev",$AD:$AD, "&lt;&gt;IntegratorValidationComment"))</f>
        <v/>
      </c>
      <c r="AC1808" s="7" t="str">
        <f>IF(OR(ISNUMBER(FIND("Review-1", patch[[#This Row],[comments]])), ISNUMBER(FIND("Approver-1", patch[[#This Row],[comments]]))), "Review-1", "")</f>
        <v/>
      </c>
      <c r="AD18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08" s="7">
        <f>IF(ISBLANK(patch[[#This Row],[number]]),AE1807,patch[[#This Row],[ifCommon]])</f>
        <v>0</v>
      </c>
    </row>
    <row r="1809" spans="1:31">
      <c r="A1809" s="151">
        <v>142677</v>
      </c>
      <c r="B1809" s="151"/>
      <c r="C1809" s="151"/>
      <c r="D1809" s="151"/>
      <c r="E1809" s="151"/>
      <c r="F1809" s="151"/>
      <c r="G1809" s="151"/>
      <c r="H1809" s="151"/>
      <c r="I1809" s="151"/>
      <c r="J1809" s="152">
        <v>42627.659317129634</v>
      </c>
      <c r="K1809" s="151"/>
      <c r="L1809" s="151" t="s">
        <v>59</v>
      </c>
      <c r="M1809" s="152">
        <v>42615.842534722222</v>
      </c>
      <c r="N1809" s="151" t="s">
        <v>3470</v>
      </c>
      <c r="O1809" s="151"/>
      <c r="P1809" s="151"/>
      <c r="Q1809" s="7" t="str">
        <f>IF(ISBLANK(patch[[#This Row],[OwnerEmail]]),Q1808,patch[[#This Row],[OwnerEmail]])</f>
        <v>gang.a.hu@intel.com</v>
      </c>
      <c r="R1809" s="7" t="str">
        <f>_xlfn.IFNA(VLOOKUP(patch[[#This Row],[tmp-owner.email]],OrgTree!$A:$K, 11, 0), "not ICG SWFW")</f>
        <v>BJ And dev</v>
      </c>
      <c r="S1809" s="7" t="str">
        <f>IF(patch[[#This Row],[reviewer]]=patch[[#This Row],[tmp-owner.email]], "author", _xlfn.IFNA(VLOOKUP(patch[[#This Row],[reviewer]],OrgTree!$A:$K, 11, 0), "not ICG SWFW"))</f>
        <v>BJ And dev</v>
      </c>
      <c r="T1809" s="7" t="str">
        <f>IF(ISBLANK(patch[[#This Row],[mergeDate]]), "", MID(YEAR(patch[[#This Row],[mergeDate]]), 3,2)&amp;"'ww"&amp;WEEKNUM(patch[[#This Row],[mergeDate]]))</f>
        <v>16'ww38</v>
      </c>
      <c r="U1809" s="7" t="str">
        <f>IF(ISBLANK(patch[[#This Row],[mergeDate]]), U1808, MID(YEAR(patch[[#This Row],[mergeDate]]), 3,2)&amp;"'m"&amp;MONTH(patch[[#This Row],[mergeDate]]))</f>
        <v>16'm9</v>
      </c>
      <c r="V1809" s="7" t="str">
        <f>IF(ISBLANK(patch[[#This Row],[project]]), "",SUM(patch[[#This Row],[BJ -1 num]:[SH -1 num]]))</f>
        <v/>
      </c>
      <c r="W1809" s="7" t="str">
        <f>IF(ISBLANK(patch[[#This Row],[project]]), "",COUNTIFS($A:$A,patch[[#This Row],[number]],$S:$S, "BJ And dev",$AC:$AC, "Review-1"))</f>
        <v/>
      </c>
      <c r="X1809" s="7" t="str">
        <f>IF(ISBLANK(patch[[#This Row],[project]]), "",COUNTIFS($A:$A,patch[[#This Row],[number]],$S:$S, "FL And dev",$AC:$AC, "Review-1"))</f>
        <v/>
      </c>
      <c r="Y1809" s="7" t="str">
        <f>IF(ISBLANK(patch[[#This Row],[project]]), "",COUNTIFS($A:$A,patch[[#This Row],[number]],$S:$S, "SH And dev",$AC:$AC, "Review-1"))</f>
        <v/>
      </c>
      <c r="Z1809" s="7" t="str">
        <f>IF(ISBLANK(patch[[#This Row],[project]]), "",COUNTIFS($A:$A,patch[[#This Row],[number]],$S:$S, "BJ And dev",$AD:$AD, "&lt;&gt;IntegratorValidationComment"))</f>
        <v/>
      </c>
      <c r="AA1809" s="7" t="str">
        <f>IF(ISBLANK(patch[[#This Row],[project]]), "",COUNTIFS($A:$A,patch[[#This Row],[number]],$S:$S, "FL And dev",$AD:$AD, "&lt;&gt;IntegratorValidationComment"))</f>
        <v/>
      </c>
      <c r="AB1809" s="7" t="str">
        <f>IF(ISBLANK(patch[[#This Row],[project]]), "",COUNTIFS($A:$A,patch[[#This Row],[number]],$S:$S, "SH And dev",$AD:$AD, "&lt;&gt;IntegratorValidationComment"))</f>
        <v/>
      </c>
      <c r="AC1809" s="7" t="str">
        <f>IF(OR(ISNUMBER(FIND("Review-1", patch[[#This Row],[comments]])), ISNUMBER(FIND("Approver-1", patch[[#This Row],[comments]]))), "Review-1", "")</f>
        <v/>
      </c>
      <c r="AD18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09" s="7">
        <f>IF(ISBLANK(patch[[#This Row],[number]]),AE1808,patch[[#This Row],[ifCommon]])</f>
        <v>0</v>
      </c>
    </row>
    <row r="1810" spans="1:31">
      <c r="A1810" s="151">
        <v>142677</v>
      </c>
      <c r="B1810" s="151"/>
      <c r="C1810" s="151"/>
      <c r="D1810" s="151"/>
      <c r="E1810" s="151"/>
      <c r="F1810" s="151"/>
      <c r="G1810" s="151"/>
      <c r="H1810" s="151"/>
      <c r="I1810" s="151"/>
      <c r="J1810" s="152">
        <v>42627.659317129634</v>
      </c>
      <c r="K1810" s="151"/>
      <c r="L1810" s="151" t="s">
        <v>32</v>
      </c>
      <c r="M1810" s="152">
        <v>42619.569687499999</v>
      </c>
      <c r="N1810" s="151" t="s">
        <v>1967</v>
      </c>
      <c r="O1810" s="151"/>
      <c r="P1810" s="151"/>
      <c r="Q1810" s="7" t="str">
        <f>IF(ISBLANK(patch[[#This Row],[OwnerEmail]]),Q1809,patch[[#This Row],[OwnerEmail]])</f>
        <v>gang.a.hu@intel.com</v>
      </c>
      <c r="R1810" s="7" t="str">
        <f>_xlfn.IFNA(VLOOKUP(patch[[#This Row],[tmp-owner.email]],OrgTree!$A:$K, 11, 0), "not ICG SWFW")</f>
        <v>BJ And dev</v>
      </c>
      <c r="S1810" s="7" t="str">
        <f>IF(patch[[#This Row],[reviewer]]=patch[[#This Row],[tmp-owner.email]], "author", _xlfn.IFNA(VLOOKUP(patch[[#This Row],[reviewer]],OrgTree!$A:$K, 11, 0), "not ICG SWFW"))</f>
        <v>author</v>
      </c>
      <c r="T1810" s="7" t="str">
        <f>IF(ISBLANK(patch[[#This Row],[mergeDate]]), "", MID(YEAR(patch[[#This Row],[mergeDate]]), 3,2)&amp;"'ww"&amp;WEEKNUM(patch[[#This Row],[mergeDate]]))</f>
        <v>16'ww38</v>
      </c>
      <c r="U1810" s="7" t="str">
        <f>IF(ISBLANK(patch[[#This Row],[mergeDate]]), U1809, MID(YEAR(patch[[#This Row],[mergeDate]]), 3,2)&amp;"'m"&amp;MONTH(patch[[#This Row],[mergeDate]]))</f>
        <v>16'm9</v>
      </c>
      <c r="V1810" s="7" t="str">
        <f>IF(ISBLANK(patch[[#This Row],[project]]), "",SUM(patch[[#This Row],[BJ -1 num]:[SH -1 num]]))</f>
        <v/>
      </c>
      <c r="W1810" s="7" t="str">
        <f>IF(ISBLANK(patch[[#This Row],[project]]), "",COUNTIFS($A:$A,patch[[#This Row],[number]],$S:$S, "BJ And dev",$AC:$AC, "Review-1"))</f>
        <v/>
      </c>
      <c r="X1810" s="7" t="str">
        <f>IF(ISBLANK(patch[[#This Row],[project]]), "",COUNTIFS($A:$A,patch[[#This Row],[number]],$S:$S, "FL And dev",$AC:$AC, "Review-1"))</f>
        <v/>
      </c>
      <c r="Y1810" s="7" t="str">
        <f>IF(ISBLANK(patch[[#This Row],[project]]), "",COUNTIFS($A:$A,patch[[#This Row],[number]],$S:$S, "SH And dev",$AC:$AC, "Review-1"))</f>
        <v/>
      </c>
      <c r="Z1810" s="7" t="str">
        <f>IF(ISBLANK(patch[[#This Row],[project]]), "",COUNTIFS($A:$A,patch[[#This Row],[number]],$S:$S, "BJ And dev",$AD:$AD, "&lt;&gt;IntegratorValidationComment"))</f>
        <v/>
      </c>
      <c r="AA1810" s="7" t="str">
        <f>IF(ISBLANK(patch[[#This Row],[project]]), "",COUNTIFS($A:$A,patch[[#This Row],[number]],$S:$S, "FL And dev",$AD:$AD, "&lt;&gt;IntegratorValidationComment"))</f>
        <v/>
      </c>
      <c r="AB1810" s="7" t="str">
        <f>IF(ISBLANK(patch[[#This Row],[project]]), "",COUNTIFS($A:$A,patch[[#This Row],[number]],$S:$S, "SH And dev",$AD:$AD, "&lt;&gt;IntegratorValidationComment"))</f>
        <v/>
      </c>
      <c r="AC1810" s="7" t="str">
        <f>IF(OR(ISNUMBER(FIND("Review-1", patch[[#This Row],[comments]])), ISNUMBER(FIND("Approver-1", patch[[#This Row],[comments]]))), "Review-1", "")</f>
        <v/>
      </c>
      <c r="AD18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10" s="7">
        <f>IF(ISBLANK(patch[[#This Row],[number]]),AE1809,patch[[#This Row],[ifCommon]])</f>
        <v>0</v>
      </c>
    </row>
    <row r="1811" spans="1:31">
      <c r="A1811" s="151">
        <v>142677</v>
      </c>
      <c r="B1811" s="151"/>
      <c r="C1811" s="151"/>
      <c r="D1811" s="151"/>
      <c r="E1811" s="151"/>
      <c r="F1811" s="151"/>
      <c r="G1811" s="151"/>
      <c r="H1811" s="151"/>
      <c r="I1811" s="151"/>
      <c r="J1811" s="152">
        <v>42627.659317129634</v>
      </c>
      <c r="K1811" s="151"/>
      <c r="L1811" s="151" t="s">
        <v>32</v>
      </c>
      <c r="M1811" s="152">
        <v>42619.569699074083</v>
      </c>
      <c r="N1811" s="151" t="s">
        <v>2473</v>
      </c>
      <c r="O1811" s="151"/>
      <c r="P1811" s="151"/>
      <c r="Q1811" s="7" t="str">
        <f>IF(ISBLANK(patch[[#This Row],[OwnerEmail]]),Q1810,patch[[#This Row],[OwnerEmail]])</f>
        <v>gang.a.hu@intel.com</v>
      </c>
      <c r="R1811" s="7" t="str">
        <f>_xlfn.IFNA(VLOOKUP(patch[[#This Row],[tmp-owner.email]],OrgTree!$A:$K, 11, 0), "not ICG SWFW")</f>
        <v>BJ And dev</v>
      </c>
      <c r="S1811" s="7" t="str">
        <f>IF(patch[[#This Row],[reviewer]]=patch[[#This Row],[tmp-owner.email]], "author", _xlfn.IFNA(VLOOKUP(patch[[#This Row],[reviewer]],OrgTree!$A:$K, 11, 0), "not ICG SWFW"))</f>
        <v>author</v>
      </c>
      <c r="T1811" s="7" t="str">
        <f>IF(ISBLANK(patch[[#This Row],[mergeDate]]), "", MID(YEAR(patch[[#This Row],[mergeDate]]), 3,2)&amp;"'ww"&amp;WEEKNUM(patch[[#This Row],[mergeDate]]))</f>
        <v>16'ww38</v>
      </c>
      <c r="U1811" s="7" t="str">
        <f>IF(ISBLANK(patch[[#This Row],[mergeDate]]), U1810, MID(YEAR(patch[[#This Row],[mergeDate]]), 3,2)&amp;"'m"&amp;MONTH(patch[[#This Row],[mergeDate]]))</f>
        <v>16'm9</v>
      </c>
      <c r="V1811" s="7" t="str">
        <f>IF(ISBLANK(patch[[#This Row],[project]]), "",SUM(patch[[#This Row],[BJ -1 num]:[SH -1 num]]))</f>
        <v/>
      </c>
      <c r="W1811" s="7" t="str">
        <f>IF(ISBLANK(patch[[#This Row],[project]]), "",COUNTIFS($A:$A,patch[[#This Row],[number]],$S:$S, "BJ And dev",$AC:$AC, "Review-1"))</f>
        <v/>
      </c>
      <c r="X1811" s="7" t="str">
        <f>IF(ISBLANK(patch[[#This Row],[project]]), "",COUNTIFS($A:$A,patch[[#This Row],[number]],$S:$S, "FL And dev",$AC:$AC, "Review-1"))</f>
        <v/>
      </c>
      <c r="Y1811" s="7" t="str">
        <f>IF(ISBLANK(patch[[#This Row],[project]]), "",COUNTIFS($A:$A,patch[[#This Row],[number]],$S:$S, "SH And dev",$AC:$AC, "Review-1"))</f>
        <v/>
      </c>
      <c r="Z1811" s="7" t="str">
        <f>IF(ISBLANK(patch[[#This Row],[project]]), "",COUNTIFS($A:$A,patch[[#This Row],[number]],$S:$S, "BJ And dev",$AD:$AD, "&lt;&gt;IntegratorValidationComment"))</f>
        <v/>
      </c>
      <c r="AA1811" s="7" t="str">
        <f>IF(ISBLANK(patch[[#This Row],[project]]), "",COUNTIFS($A:$A,patch[[#This Row],[number]],$S:$S, "FL And dev",$AD:$AD, "&lt;&gt;IntegratorValidationComment"))</f>
        <v/>
      </c>
      <c r="AB1811" s="7" t="str">
        <f>IF(ISBLANK(patch[[#This Row],[project]]), "",COUNTIFS($A:$A,patch[[#This Row],[number]],$S:$S, "SH And dev",$AD:$AD, "&lt;&gt;IntegratorValidationComment"))</f>
        <v/>
      </c>
      <c r="AC1811" s="7" t="str">
        <f>IF(OR(ISNUMBER(FIND("Review-1", patch[[#This Row],[comments]])), ISNUMBER(FIND("Approver-1", patch[[#This Row],[comments]]))), "Review-1", "")</f>
        <v/>
      </c>
      <c r="AD18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11" s="7">
        <f>IF(ISBLANK(patch[[#This Row],[number]]),AE1810,patch[[#This Row],[ifCommon]])</f>
        <v>0</v>
      </c>
    </row>
    <row r="1812" spans="1:31">
      <c r="A1812" s="151">
        <v>142677</v>
      </c>
      <c r="B1812" s="151"/>
      <c r="C1812" s="151"/>
      <c r="D1812" s="151"/>
      <c r="E1812" s="151"/>
      <c r="F1812" s="151"/>
      <c r="G1812" s="151"/>
      <c r="H1812" s="151"/>
      <c r="I1812" s="151"/>
      <c r="J1812" s="152">
        <v>42627.659317129634</v>
      </c>
      <c r="K1812" s="151"/>
      <c r="L1812" s="151" t="s">
        <v>59</v>
      </c>
      <c r="M1812" s="152">
        <v>42619.5778125</v>
      </c>
      <c r="N1812" s="151" t="s">
        <v>3471</v>
      </c>
      <c r="O1812" s="151"/>
      <c r="P1812" s="151"/>
      <c r="Q1812" s="7" t="str">
        <f>IF(ISBLANK(patch[[#This Row],[OwnerEmail]]),Q1811,patch[[#This Row],[OwnerEmail]])</f>
        <v>gang.a.hu@intel.com</v>
      </c>
      <c r="R1812" s="7" t="str">
        <f>_xlfn.IFNA(VLOOKUP(patch[[#This Row],[tmp-owner.email]],OrgTree!$A:$K, 11, 0), "not ICG SWFW")</f>
        <v>BJ And dev</v>
      </c>
      <c r="S1812" s="7" t="str">
        <f>IF(patch[[#This Row],[reviewer]]=patch[[#This Row],[tmp-owner.email]], "author", _xlfn.IFNA(VLOOKUP(patch[[#This Row],[reviewer]],OrgTree!$A:$K, 11, 0), "not ICG SWFW"))</f>
        <v>BJ And dev</v>
      </c>
      <c r="T1812" s="7" t="str">
        <f>IF(ISBLANK(patch[[#This Row],[mergeDate]]), "", MID(YEAR(patch[[#This Row],[mergeDate]]), 3,2)&amp;"'ww"&amp;WEEKNUM(patch[[#This Row],[mergeDate]]))</f>
        <v>16'ww38</v>
      </c>
      <c r="U1812" s="7" t="str">
        <f>IF(ISBLANK(patch[[#This Row],[mergeDate]]), U1811, MID(YEAR(patch[[#This Row],[mergeDate]]), 3,2)&amp;"'m"&amp;MONTH(patch[[#This Row],[mergeDate]]))</f>
        <v>16'm9</v>
      </c>
      <c r="V1812" s="7" t="str">
        <f>IF(ISBLANK(patch[[#This Row],[project]]), "",SUM(patch[[#This Row],[BJ -1 num]:[SH -1 num]]))</f>
        <v/>
      </c>
      <c r="W1812" s="7" t="str">
        <f>IF(ISBLANK(patch[[#This Row],[project]]), "",COUNTIFS($A:$A,patch[[#This Row],[number]],$S:$S, "BJ And dev",$AC:$AC, "Review-1"))</f>
        <v/>
      </c>
      <c r="X1812" s="7" t="str">
        <f>IF(ISBLANK(patch[[#This Row],[project]]), "",COUNTIFS($A:$A,patch[[#This Row],[number]],$S:$S, "FL And dev",$AC:$AC, "Review-1"))</f>
        <v/>
      </c>
      <c r="Y1812" s="7" t="str">
        <f>IF(ISBLANK(patch[[#This Row],[project]]), "",COUNTIFS($A:$A,patch[[#This Row],[number]],$S:$S, "SH And dev",$AC:$AC, "Review-1"))</f>
        <v/>
      </c>
      <c r="Z1812" s="7" t="str">
        <f>IF(ISBLANK(patch[[#This Row],[project]]), "",COUNTIFS($A:$A,patch[[#This Row],[number]],$S:$S, "BJ And dev",$AD:$AD, "&lt;&gt;IntegratorValidationComment"))</f>
        <v/>
      </c>
      <c r="AA1812" s="7" t="str">
        <f>IF(ISBLANK(patch[[#This Row],[project]]), "",COUNTIFS($A:$A,patch[[#This Row],[number]],$S:$S, "FL And dev",$AD:$AD, "&lt;&gt;IntegratorValidationComment"))</f>
        <v/>
      </c>
      <c r="AB1812" s="7" t="str">
        <f>IF(ISBLANK(patch[[#This Row],[project]]), "",COUNTIFS($A:$A,patch[[#This Row],[number]],$S:$S, "SH And dev",$AD:$AD, "&lt;&gt;IntegratorValidationComment"))</f>
        <v/>
      </c>
      <c r="AC1812" s="7" t="str">
        <f>IF(OR(ISNUMBER(FIND("Review-1", patch[[#This Row],[comments]])), ISNUMBER(FIND("Approver-1", patch[[#This Row],[comments]]))), "Review-1", "")</f>
        <v/>
      </c>
      <c r="AD18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12" s="7">
        <f>IF(ISBLANK(patch[[#This Row],[number]]),AE1811,patch[[#This Row],[ifCommon]])</f>
        <v>0</v>
      </c>
    </row>
    <row r="1813" spans="1:31">
      <c r="A1813" s="151">
        <v>142677</v>
      </c>
      <c r="B1813" s="151"/>
      <c r="C1813" s="151"/>
      <c r="D1813" s="151"/>
      <c r="E1813" s="151"/>
      <c r="F1813" s="151"/>
      <c r="G1813" s="151"/>
      <c r="H1813" s="151"/>
      <c r="I1813" s="151"/>
      <c r="J1813" s="152">
        <v>42627.659317129634</v>
      </c>
      <c r="K1813" s="151"/>
      <c r="L1813" s="151" t="s">
        <v>59</v>
      </c>
      <c r="M1813" s="152">
        <v>42619.578761574077</v>
      </c>
      <c r="N1813" s="151" t="s">
        <v>3472</v>
      </c>
      <c r="O1813" s="151"/>
      <c r="P1813" s="151"/>
      <c r="Q1813" s="7" t="str">
        <f>IF(ISBLANK(patch[[#This Row],[OwnerEmail]]),Q1812,patch[[#This Row],[OwnerEmail]])</f>
        <v>gang.a.hu@intel.com</v>
      </c>
      <c r="R1813" s="7" t="str">
        <f>_xlfn.IFNA(VLOOKUP(patch[[#This Row],[tmp-owner.email]],OrgTree!$A:$K, 11, 0), "not ICG SWFW")</f>
        <v>BJ And dev</v>
      </c>
      <c r="S1813" s="7" t="str">
        <f>IF(patch[[#This Row],[reviewer]]=patch[[#This Row],[tmp-owner.email]], "author", _xlfn.IFNA(VLOOKUP(patch[[#This Row],[reviewer]],OrgTree!$A:$K, 11, 0), "not ICG SWFW"))</f>
        <v>BJ And dev</v>
      </c>
      <c r="T1813" s="7" t="str">
        <f>IF(ISBLANK(patch[[#This Row],[mergeDate]]), "", MID(YEAR(patch[[#This Row],[mergeDate]]), 3,2)&amp;"'ww"&amp;WEEKNUM(patch[[#This Row],[mergeDate]]))</f>
        <v>16'ww38</v>
      </c>
      <c r="U1813" s="7" t="str">
        <f>IF(ISBLANK(patch[[#This Row],[mergeDate]]), U1812, MID(YEAR(patch[[#This Row],[mergeDate]]), 3,2)&amp;"'m"&amp;MONTH(patch[[#This Row],[mergeDate]]))</f>
        <v>16'm9</v>
      </c>
      <c r="V1813" s="7" t="str">
        <f>IF(ISBLANK(patch[[#This Row],[project]]), "",SUM(patch[[#This Row],[BJ -1 num]:[SH -1 num]]))</f>
        <v/>
      </c>
      <c r="W1813" s="7" t="str">
        <f>IF(ISBLANK(patch[[#This Row],[project]]), "",COUNTIFS($A:$A,patch[[#This Row],[number]],$S:$S, "BJ And dev",$AC:$AC, "Review-1"))</f>
        <v/>
      </c>
      <c r="X1813" s="7" t="str">
        <f>IF(ISBLANK(patch[[#This Row],[project]]), "",COUNTIFS($A:$A,patch[[#This Row],[number]],$S:$S, "FL And dev",$AC:$AC, "Review-1"))</f>
        <v/>
      </c>
      <c r="Y1813" s="7" t="str">
        <f>IF(ISBLANK(patch[[#This Row],[project]]), "",COUNTIFS($A:$A,patch[[#This Row],[number]],$S:$S, "SH And dev",$AC:$AC, "Review-1"))</f>
        <v/>
      </c>
      <c r="Z1813" s="7" t="str">
        <f>IF(ISBLANK(patch[[#This Row],[project]]), "",COUNTIFS($A:$A,patch[[#This Row],[number]],$S:$S, "BJ And dev",$AD:$AD, "&lt;&gt;IntegratorValidationComment"))</f>
        <v/>
      </c>
      <c r="AA1813" s="7" t="str">
        <f>IF(ISBLANK(patch[[#This Row],[project]]), "",COUNTIFS($A:$A,patch[[#This Row],[number]],$S:$S, "FL And dev",$AD:$AD, "&lt;&gt;IntegratorValidationComment"))</f>
        <v/>
      </c>
      <c r="AB1813" s="7" t="str">
        <f>IF(ISBLANK(patch[[#This Row],[project]]), "",COUNTIFS($A:$A,patch[[#This Row],[number]],$S:$S, "SH And dev",$AD:$AD, "&lt;&gt;IntegratorValidationComment"))</f>
        <v/>
      </c>
      <c r="AC1813" s="7" t="str">
        <f>IF(OR(ISNUMBER(FIND("Review-1", patch[[#This Row],[comments]])), ISNUMBER(FIND("Approver-1", patch[[#This Row],[comments]]))), "Review-1", "")</f>
        <v/>
      </c>
      <c r="AD18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13" s="7">
        <f>IF(ISBLANK(patch[[#This Row],[number]]),AE1812,patch[[#This Row],[ifCommon]])</f>
        <v>0</v>
      </c>
    </row>
    <row r="1814" spans="1:31">
      <c r="A1814" s="151">
        <v>142677</v>
      </c>
      <c r="B1814" s="151"/>
      <c r="C1814" s="151"/>
      <c r="D1814" s="151"/>
      <c r="E1814" s="151"/>
      <c r="F1814" s="151"/>
      <c r="G1814" s="151"/>
      <c r="H1814" s="151"/>
      <c r="I1814" s="151"/>
      <c r="J1814" s="152">
        <v>42627.659317129634</v>
      </c>
      <c r="K1814" s="151"/>
      <c r="L1814" s="151" t="s">
        <v>32</v>
      </c>
      <c r="M1814" s="152">
        <v>42619.830706018518</v>
      </c>
      <c r="N1814" s="151" t="s">
        <v>2474</v>
      </c>
      <c r="O1814" s="151"/>
      <c r="P1814" s="151"/>
      <c r="Q1814" s="7" t="str">
        <f>IF(ISBLANK(patch[[#This Row],[OwnerEmail]]),Q1813,patch[[#This Row],[OwnerEmail]])</f>
        <v>gang.a.hu@intel.com</v>
      </c>
      <c r="R1814" s="7" t="str">
        <f>_xlfn.IFNA(VLOOKUP(patch[[#This Row],[tmp-owner.email]],OrgTree!$A:$K, 11, 0), "not ICG SWFW")</f>
        <v>BJ And dev</v>
      </c>
      <c r="S1814" s="7" t="str">
        <f>IF(patch[[#This Row],[reviewer]]=patch[[#This Row],[tmp-owner.email]], "author", _xlfn.IFNA(VLOOKUP(patch[[#This Row],[reviewer]],OrgTree!$A:$K, 11, 0), "not ICG SWFW"))</f>
        <v>author</v>
      </c>
      <c r="T1814" s="7" t="str">
        <f>IF(ISBLANK(patch[[#This Row],[mergeDate]]), "", MID(YEAR(patch[[#This Row],[mergeDate]]), 3,2)&amp;"'ww"&amp;WEEKNUM(patch[[#This Row],[mergeDate]]))</f>
        <v>16'ww38</v>
      </c>
      <c r="U1814" s="7" t="str">
        <f>IF(ISBLANK(patch[[#This Row],[mergeDate]]), U1813, MID(YEAR(patch[[#This Row],[mergeDate]]), 3,2)&amp;"'m"&amp;MONTH(patch[[#This Row],[mergeDate]]))</f>
        <v>16'm9</v>
      </c>
      <c r="V1814" s="7" t="str">
        <f>IF(ISBLANK(patch[[#This Row],[project]]), "",SUM(patch[[#This Row],[BJ -1 num]:[SH -1 num]]))</f>
        <v/>
      </c>
      <c r="W1814" s="7" t="str">
        <f>IF(ISBLANK(patch[[#This Row],[project]]), "",COUNTIFS($A:$A,patch[[#This Row],[number]],$S:$S, "BJ And dev",$AC:$AC, "Review-1"))</f>
        <v/>
      </c>
      <c r="X1814" s="7" t="str">
        <f>IF(ISBLANK(patch[[#This Row],[project]]), "",COUNTIFS($A:$A,patch[[#This Row],[number]],$S:$S, "FL And dev",$AC:$AC, "Review-1"))</f>
        <v/>
      </c>
      <c r="Y1814" s="7" t="str">
        <f>IF(ISBLANK(patch[[#This Row],[project]]), "",COUNTIFS($A:$A,patch[[#This Row],[number]],$S:$S, "SH And dev",$AC:$AC, "Review-1"))</f>
        <v/>
      </c>
      <c r="Z1814" s="7" t="str">
        <f>IF(ISBLANK(patch[[#This Row],[project]]), "",COUNTIFS($A:$A,patch[[#This Row],[number]],$S:$S, "BJ And dev",$AD:$AD, "&lt;&gt;IntegratorValidationComment"))</f>
        <v/>
      </c>
      <c r="AA1814" s="7" t="str">
        <f>IF(ISBLANK(patch[[#This Row],[project]]), "",COUNTIFS($A:$A,patch[[#This Row],[number]],$S:$S, "FL And dev",$AD:$AD, "&lt;&gt;IntegratorValidationComment"))</f>
        <v/>
      </c>
      <c r="AB1814" s="7" t="str">
        <f>IF(ISBLANK(patch[[#This Row],[project]]), "",COUNTIFS($A:$A,patch[[#This Row],[number]],$S:$S, "SH And dev",$AD:$AD, "&lt;&gt;IntegratorValidationComment"))</f>
        <v/>
      </c>
      <c r="AC1814" s="7" t="str">
        <f>IF(OR(ISNUMBER(FIND("Review-1", patch[[#This Row],[comments]])), ISNUMBER(FIND("Approver-1", patch[[#This Row],[comments]]))), "Review-1", "")</f>
        <v/>
      </c>
      <c r="AD18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14" s="7">
        <f>IF(ISBLANK(patch[[#This Row],[number]]),AE1813,patch[[#This Row],[ifCommon]])</f>
        <v>0</v>
      </c>
    </row>
    <row r="1815" spans="1:31">
      <c r="A1815" s="151">
        <v>142677</v>
      </c>
      <c r="B1815" s="151"/>
      <c r="C1815" s="151"/>
      <c r="D1815" s="151"/>
      <c r="E1815" s="151"/>
      <c r="F1815" s="151"/>
      <c r="G1815" s="151"/>
      <c r="H1815" s="151"/>
      <c r="I1815" s="151"/>
      <c r="J1815" s="152">
        <v>42627.659317129634</v>
      </c>
      <c r="K1815" s="151"/>
      <c r="L1815" s="151" t="s">
        <v>32</v>
      </c>
      <c r="M1815" s="152">
        <v>42619.830706018518</v>
      </c>
      <c r="N1815" s="151" t="s">
        <v>2517</v>
      </c>
      <c r="O1815" s="151"/>
      <c r="P1815" s="151"/>
      <c r="Q1815" s="7" t="str">
        <f>IF(ISBLANK(patch[[#This Row],[OwnerEmail]]),Q1814,patch[[#This Row],[OwnerEmail]])</f>
        <v>gang.a.hu@intel.com</v>
      </c>
      <c r="R1815" s="7" t="str">
        <f>_xlfn.IFNA(VLOOKUP(patch[[#This Row],[tmp-owner.email]],OrgTree!$A:$K, 11, 0), "not ICG SWFW")</f>
        <v>BJ And dev</v>
      </c>
      <c r="S1815" s="7" t="str">
        <f>IF(patch[[#This Row],[reviewer]]=patch[[#This Row],[tmp-owner.email]], "author", _xlfn.IFNA(VLOOKUP(patch[[#This Row],[reviewer]],OrgTree!$A:$K, 11, 0), "not ICG SWFW"))</f>
        <v>author</v>
      </c>
      <c r="T1815" s="7" t="str">
        <f>IF(ISBLANK(patch[[#This Row],[mergeDate]]), "", MID(YEAR(patch[[#This Row],[mergeDate]]), 3,2)&amp;"'ww"&amp;WEEKNUM(patch[[#This Row],[mergeDate]]))</f>
        <v>16'ww38</v>
      </c>
      <c r="U1815" s="7" t="str">
        <f>IF(ISBLANK(patch[[#This Row],[mergeDate]]), U1814, MID(YEAR(patch[[#This Row],[mergeDate]]), 3,2)&amp;"'m"&amp;MONTH(patch[[#This Row],[mergeDate]]))</f>
        <v>16'm9</v>
      </c>
      <c r="V1815" s="7" t="str">
        <f>IF(ISBLANK(patch[[#This Row],[project]]), "",SUM(patch[[#This Row],[BJ -1 num]:[SH -1 num]]))</f>
        <v/>
      </c>
      <c r="W1815" s="7" t="str">
        <f>IF(ISBLANK(patch[[#This Row],[project]]), "",COUNTIFS($A:$A,patch[[#This Row],[number]],$S:$S, "BJ And dev",$AC:$AC, "Review-1"))</f>
        <v/>
      </c>
      <c r="X1815" s="7" t="str">
        <f>IF(ISBLANK(patch[[#This Row],[project]]), "",COUNTIFS($A:$A,patch[[#This Row],[number]],$S:$S, "FL And dev",$AC:$AC, "Review-1"))</f>
        <v/>
      </c>
      <c r="Y1815" s="7" t="str">
        <f>IF(ISBLANK(patch[[#This Row],[project]]), "",COUNTIFS($A:$A,patch[[#This Row],[number]],$S:$S, "SH And dev",$AC:$AC, "Review-1"))</f>
        <v/>
      </c>
      <c r="Z1815" s="7" t="str">
        <f>IF(ISBLANK(patch[[#This Row],[project]]), "",COUNTIFS($A:$A,patch[[#This Row],[number]],$S:$S, "BJ And dev",$AD:$AD, "&lt;&gt;IntegratorValidationComment"))</f>
        <v/>
      </c>
      <c r="AA1815" s="7" t="str">
        <f>IF(ISBLANK(patch[[#This Row],[project]]), "",COUNTIFS($A:$A,patch[[#This Row],[number]],$S:$S, "FL And dev",$AD:$AD, "&lt;&gt;IntegratorValidationComment"))</f>
        <v/>
      </c>
      <c r="AB1815" s="7" t="str">
        <f>IF(ISBLANK(patch[[#This Row],[project]]), "",COUNTIFS($A:$A,patch[[#This Row],[number]],$S:$S, "SH And dev",$AD:$AD, "&lt;&gt;IntegratorValidationComment"))</f>
        <v/>
      </c>
      <c r="AC1815" s="7" t="str">
        <f>IF(OR(ISNUMBER(FIND("Review-1", patch[[#This Row],[comments]])), ISNUMBER(FIND("Approver-1", patch[[#This Row],[comments]]))), "Review-1", "")</f>
        <v/>
      </c>
      <c r="AD18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15" s="7">
        <f>IF(ISBLANK(patch[[#This Row],[number]]),AE1814,patch[[#This Row],[ifCommon]])</f>
        <v>0</v>
      </c>
    </row>
    <row r="1816" spans="1:31">
      <c r="A1816" s="151">
        <v>142677</v>
      </c>
      <c r="B1816" s="151"/>
      <c r="C1816" s="151"/>
      <c r="D1816" s="151"/>
      <c r="E1816" s="151"/>
      <c r="F1816" s="151"/>
      <c r="G1816" s="151"/>
      <c r="H1816" s="151"/>
      <c r="I1816" s="151"/>
      <c r="J1816" s="152">
        <v>42627.659317129634</v>
      </c>
      <c r="K1816" s="151"/>
      <c r="L1816" s="151" t="s">
        <v>59</v>
      </c>
      <c r="M1816" s="152">
        <v>42620.376388888893</v>
      </c>
      <c r="N1816" s="151" t="s">
        <v>3473</v>
      </c>
      <c r="O1816" s="151"/>
      <c r="P1816" s="151"/>
      <c r="Q1816" s="7" t="str">
        <f>IF(ISBLANK(patch[[#This Row],[OwnerEmail]]),Q1815,patch[[#This Row],[OwnerEmail]])</f>
        <v>gang.a.hu@intel.com</v>
      </c>
      <c r="R1816" s="7" t="str">
        <f>_xlfn.IFNA(VLOOKUP(patch[[#This Row],[tmp-owner.email]],OrgTree!$A:$K, 11, 0), "not ICG SWFW")</f>
        <v>BJ And dev</v>
      </c>
      <c r="S1816" s="7" t="str">
        <f>IF(patch[[#This Row],[reviewer]]=patch[[#This Row],[tmp-owner.email]], "author", _xlfn.IFNA(VLOOKUP(patch[[#This Row],[reviewer]],OrgTree!$A:$K, 11, 0), "not ICG SWFW"))</f>
        <v>BJ And dev</v>
      </c>
      <c r="T1816" s="7" t="str">
        <f>IF(ISBLANK(patch[[#This Row],[mergeDate]]), "", MID(YEAR(patch[[#This Row],[mergeDate]]), 3,2)&amp;"'ww"&amp;WEEKNUM(patch[[#This Row],[mergeDate]]))</f>
        <v>16'ww38</v>
      </c>
      <c r="U1816" s="7" t="str">
        <f>IF(ISBLANK(patch[[#This Row],[mergeDate]]), U1815, MID(YEAR(patch[[#This Row],[mergeDate]]), 3,2)&amp;"'m"&amp;MONTH(patch[[#This Row],[mergeDate]]))</f>
        <v>16'm9</v>
      </c>
      <c r="V1816" s="7" t="str">
        <f>IF(ISBLANK(patch[[#This Row],[project]]), "",SUM(patch[[#This Row],[BJ -1 num]:[SH -1 num]]))</f>
        <v/>
      </c>
      <c r="W1816" s="7" t="str">
        <f>IF(ISBLANK(patch[[#This Row],[project]]), "",COUNTIFS($A:$A,patch[[#This Row],[number]],$S:$S, "BJ And dev",$AC:$AC, "Review-1"))</f>
        <v/>
      </c>
      <c r="X1816" s="7" t="str">
        <f>IF(ISBLANK(patch[[#This Row],[project]]), "",COUNTIFS($A:$A,patch[[#This Row],[number]],$S:$S, "FL And dev",$AC:$AC, "Review-1"))</f>
        <v/>
      </c>
      <c r="Y1816" s="7" t="str">
        <f>IF(ISBLANK(patch[[#This Row],[project]]), "",COUNTIFS($A:$A,patch[[#This Row],[number]],$S:$S, "SH And dev",$AC:$AC, "Review-1"))</f>
        <v/>
      </c>
      <c r="Z1816" s="7" t="str">
        <f>IF(ISBLANK(patch[[#This Row],[project]]), "",COUNTIFS($A:$A,patch[[#This Row],[number]],$S:$S, "BJ And dev",$AD:$AD, "&lt;&gt;IntegratorValidationComment"))</f>
        <v/>
      </c>
      <c r="AA1816" s="7" t="str">
        <f>IF(ISBLANK(patch[[#This Row],[project]]), "",COUNTIFS($A:$A,patch[[#This Row],[number]],$S:$S, "FL And dev",$AD:$AD, "&lt;&gt;IntegratorValidationComment"))</f>
        <v/>
      </c>
      <c r="AB1816" s="7" t="str">
        <f>IF(ISBLANK(patch[[#This Row],[project]]), "",COUNTIFS($A:$A,patch[[#This Row],[number]],$S:$S, "SH And dev",$AD:$AD, "&lt;&gt;IntegratorValidationComment"))</f>
        <v/>
      </c>
      <c r="AC1816" s="7" t="str">
        <f>IF(OR(ISNUMBER(FIND("Review-1", patch[[#This Row],[comments]])), ISNUMBER(FIND("Approver-1", patch[[#This Row],[comments]]))), "Review-1", "")</f>
        <v/>
      </c>
      <c r="AD18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16" s="7">
        <f>IF(ISBLANK(patch[[#This Row],[number]]),AE1815,patch[[#This Row],[ifCommon]])</f>
        <v>0</v>
      </c>
    </row>
    <row r="1817" spans="1:31">
      <c r="A1817" s="151">
        <v>142677</v>
      </c>
      <c r="B1817" s="151"/>
      <c r="C1817" s="151"/>
      <c r="D1817" s="151"/>
      <c r="E1817" s="151"/>
      <c r="F1817" s="151"/>
      <c r="G1817" s="151"/>
      <c r="H1817" s="151"/>
      <c r="I1817" s="151"/>
      <c r="J1817" s="152">
        <v>42627.659317129634</v>
      </c>
      <c r="K1817" s="151"/>
      <c r="L1817" s="151" t="s">
        <v>59</v>
      </c>
      <c r="M1817" s="152">
        <v>42620.377326388887</v>
      </c>
      <c r="N1817" s="151" t="s">
        <v>3474</v>
      </c>
      <c r="O1817" s="151"/>
      <c r="P1817" s="151"/>
      <c r="Q1817" s="7" t="str">
        <f>IF(ISBLANK(patch[[#This Row],[OwnerEmail]]),Q1816,patch[[#This Row],[OwnerEmail]])</f>
        <v>gang.a.hu@intel.com</v>
      </c>
      <c r="R1817" s="7" t="str">
        <f>_xlfn.IFNA(VLOOKUP(patch[[#This Row],[tmp-owner.email]],OrgTree!$A:$K, 11, 0), "not ICG SWFW")</f>
        <v>BJ And dev</v>
      </c>
      <c r="S1817" s="7" t="str">
        <f>IF(patch[[#This Row],[reviewer]]=patch[[#This Row],[tmp-owner.email]], "author", _xlfn.IFNA(VLOOKUP(patch[[#This Row],[reviewer]],OrgTree!$A:$K, 11, 0), "not ICG SWFW"))</f>
        <v>BJ And dev</v>
      </c>
      <c r="T1817" s="7" t="str">
        <f>IF(ISBLANK(patch[[#This Row],[mergeDate]]), "", MID(YEAR(patch[[#This Row],[mergeDate]]), 3,2)&amp;"'ww"&amp;WEEKNUM(patch[[#This Row],[mergeDate]]))</f>
        <v>16'ww38</v>
      </c>
      <c r="U1817" s="7" t="str">
        <f>IF(ISBLANK(patch[[#This Row],[mergeDate]]), U1816, MID(YEAR(patch[[#This Row],[mergeDate]]), 3,2)&amp;"'m"&amp;MONTH(patch[[#This Row],[mergeDate]]))</f>
        <v>16'm9</v>
      </c>
      <c r="V1817" s="7" t="str">
        <f>IF(ISBLANK(patch[[#This Row],[project]]), "",SUM(patch[[#This Row],[BJ -1 num]:[SH -1 num]]))</f>
        <v/>
      </c>
      <c r="W1817" s="7" t="str">
        <f>IF(ISBLANK(patch[[#This Row],[project]]), "",COUNTIFS($A:$A,patch[[#This Row],[number]],$S:$S, "BJ And dev",$AC:$AC, "Review-1"))</f>
        <v/>
      </c>
      <c r="X1817" s="7" t="str">
        <f>IF(ISBLANK(patch[[#This Row],[project]]), "",COUNTIFS($A:$A,patch[[#This Row],[number]],$S:$S, "FL And dev",$AC:$AC, "Review-1"))</f>
        <v/>
      </c>
      <c r="Y1817" s="7" t="str">
        <f>IF(ISBLANK(patch[[#This Row],[project]]), "",COUNTIFS($A:$A,patch[[#This Row],[number]],$S:$S, "SH And dev",$AC:$AC, "Review-1"))</f>
        <v/>
      </c>
      <c r="Z1817" s="7" t="str">
        <f>IF(ISBLANK(patch[[#This Row],[project]]), "",COUNTIFS($A:$A,patch[[#This Row],[number]],$S:$S, "BJ And dev",$AD:$AD, "&lt;&gt;IntegratorValidationComment"))</f>
        <v/>
      </c>
      <c r="AA1817" s="7" t="str">
        <f>IF(ISBLANK(patch[[#This Row],[project]]), "",COUNTIFS($A:$A,patch[[#This Row],[number]],$S:$S, "FL And dev",$AD:$AD, "&lt;&gt;IntegratorValidationComment"))</f>
        <v/>
      </c>
      <c r="AB1817" s="7" t="str">
        <f>IF(ISBLANK(patch[[#This Row],[project]]), "",COUNTIFS($A:$A,patch[[#This Row],[number]],$S:$S, "SH And dev",$AD:$AD, "&lt;&gt;IntegratorValidationComment"))</f>
        <v/>
      </c>
      <c r="AC1817" s="7" t="str">
        <f>IF(OR(ISNUMBER(FIND("Review-1", patch[[#This Row],[comments]])), ISNUMBER(FIND("Approver-1", patch[[#This Row],[comments]]))), "Review-1", "")</f>
        <v/>
      </c>
      <c r="AD18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17" s="7">
        <f>IF(ISBLANK(patch[[#This Row],[number]]),AE1816,patch[[#This Row],[ifCommon]])</f>
        <v>0</v>
      </c>
    </row>
    <row r="1818" spans="1:31">
      <c r="A1818" s="151">
        <v>142677</v>
      </c>
      <c r="B1818" s="151"/>
      <c r="C1818" s="151"/>
      <c r="D1818" s="151"/>
      <c r="E1818" s="151"/>
      <c r="F1818" s="151"/>
      <c r="G1818" s="151"/>
      <c r="H1818" s="151"/>
      <c r="I1818" s="152"/>
      <c r="J1818" s="152">
        <v>42627.659317129634</v>
      </c>
      <c r="K1818" s="151"/>
      <c r="L1818" s="151" t="s">
        <v>32</v>
      </c>
      <c r="M1818" s="152">
        <v>42621.635752314818</v>
      </c>
      <c r="N1818" s="151" t="s">
        <v>1973</v>
      </c>
      <c r="O1818" s="151"/>
      <c r="P1818" s="151"/>
      <c r="Q1818" s="7" t="str">
        <f>IF(ISBLANK(patch[[#This Row],[OwnerEmail]]),Q1817,patch[[#This Row],[OwnerEmail]])</f>
        <v>gang.a.hu@intel.com</v>
      </c>
      <c r="R1818" s="7" t="str">
        <f>_xlfn.IFNA(VLOOKUP(patch[[#This Row],[tmp-owner.email]],OrgTree!$A:$K, 11, 0), "not ICG SWFW")</f>
        <v>BJ And dev</v>
      </c>
      <c r="S1818" s="7" t="str">
        <f>IF(patch[[#This Row],[reviewer]]=patch[[#This Row],[tmp-owner.email]], "author", _xlfn.IFNA(VLOOKUP(patch[[#This Row],[reviewer]],OrgTree!$A:$K, 11, 0), "not ICG SWFW"))</f>
        <v>author</v>
      </c>
      <c r="T1818" s="7" t="str">
        <f>IF(ISBLANK(patch[[#This Row],[mergeDate]]), "", MID(YEAR(patch[[#This Row],[mergeDate]]), 3,2)&amp;"'ww"&amp;WEEKNUM(patch[[#This Row],[mergeDate]]))</f>
        <v>16'ww38</v>
      </c>
      <c r="U1818" s="7" t="str">
        <f>IF(ISBLANK(patch[[#This Row],[mergeDate]]), U1817, MID(YEAR(patch[[#This Row],[mergeDate]]), 3,2)&amp;"'m"&amp;MONTH(patch[[#This Row],[mergeDate]]))</f>
        <v>16'm9</v>
      </c>
      <c r="V1818" s="7" t="str">
        <f>IF(ISBLANK(patch[[#This Row],[project]]), "",SUM(patch[[#This Row],[BJ -1 num]:[SH -1 num]]))</f>
        <v/>
      </c>
      <c r="W1818" s="7" t="str">
        <f>IF(ISBLANK(patch[[#This Row],[project]]), "",COUNTIFS($A:$A,patch[[#This Row],[number]],$S:$S, "BJ And dev",$AC:$AC, "Review-1"))</f>
        <v/>
      </c>
      <c r="X1818" s="7" t="str">
        <f>IF(ISBLANK(patch[[#This Row],[project]]), "",COUNTIFS($A:$A,patch[[#This Row],[number]],$S:$S, "FL And dev",$AC:$AC, "Review-1"))</f>
        <v/>
      </c>
      <c r="Y1818" s="7" t="str">
        <f>IF(ISBLANK(patch[[#This Row],[project]]), "",COUNTIFS($A:$A,patch[[#This Row],[number]],$S:$S, "SH And dev",$AC:$AC, "Review-1"))</f>
        <v/>
      </c>
      <c r="Z1818" s="7" t="str">
        <f>IF(ISBLANK(patch[[#This Row],[project]]), "",COUNTIFS($A:$A,patch[[#This Row],[number]],$S:$S, "BJ And dev",$AD:$AD, "&lt;&gt;IntegratorValidationComment"))</f>
        <v/>
      </c>
      <c r="AA1818" s="7" t="str">
        <f>IF(ISBLANK(patch[[#This Row],[project]]), "",COUNTIFS($A:$A,patch[[#This Row],[number]],$S:$S, "FL And dev",$AD:$AD, "&lt;&gt;IntegratorValidationComment"))</f>
        <v/>
      </c>
      <c r="AB1818" s="7" t="str">
        <f>IF(ISBLANK(patch[[#This Row],[project]]), "",COUNTIFS($A:$A,patch[[#This Row],[number]],$S:$S, "SH And dev",$AD:$AD, "&lt;&gt;IntegratorValidationComment"))</f>
        <v/>
      </c>
      <c r="AC1818" s="7" t="str">
        <f>IF(OR(ISNUMBER(FIND("Review-1", patch[[#This Row],[comments]])), ISNUMBER(FIND("Approver-1", patch[[#This Row],[comments]]))), "Review-1", "")</f>
        <v/>
      </c>
      <c r="AD18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18" s="7">
        <f>IF(ISBLANK(patch[[#This Row],[number]]),AE1817,patch[[#This Row],[ifCommon]])</f>
        <v>0</v>
      </c>
    </row>
    <row r="1819" spans="1:31">
      <c r="A1819" s="151">
        <v>142677</v>
      </c>
      <c r="B1819" s="151"/>
      <c r="C1819" s="151"/>
      <c r="D1819" s="151"/>
      <c r="E1819" s="151"/>
      <c r="F1819" s="151"/>
      <c r="G1819" s="151"/>
      <c r="H1819" s="151"/>
      <c r="I1819" s="151"/>
      <c r="J1819" s="152">
        <v>42627.659317129634</v>
      </c>
      <c r="K1819" s="151"/>
      <c r="L1819" s="151" t="s">
        <v>32</v>
      </c>
      <c r="M1819" s="152">
        <v>42621.635763888888</v>
      </c>
      <c r="N1819" s="151" t="s">
        <v>2476</v>
      </c>
      <c r="O1819" s="151"/>
      <c r="P1819" s="151"/>
      <c r="Q1819" s="7" t="str">
        <f>IF(ISBLANK(patch[[#This Row],[OwnerEmail]]),Q1818,patch[[#This Row],[OwnerEmail]])</f>
        <v>gang.a.hu@intel.com</v>
      </c>
      <c r="R1819" s="7" t="str">
        <f>_xlfn.IFNA(VLOOKUP(patch[[#This Row],[tmp-owner.email]],OrgTree!$A:$K, 11, 0), "not ICG SWFW")</f>
        <v>BJ And dev</v>
      </c>
      <c r="S1819" s="7" t="str">
        <f>IF(patch[[#This Row],[reviewer]]=patch[[#This Row],[tmp-owner.email]], "author", _xlfn.IFNA(VLOOKUP(patch[[#This Row],[reviewer]],OrgTree!$A:$K, 11, 0), "not ICG SWFW"))</f>
        <v>author</v>
      </c>
      <c r="T1819" s="7" t="str">
        <f>IF(ISBLANK(patch[[#This Row],[mergeDate]]), "", MID(YEAR(patch[[#This Row],[mergeDate]]), 3,2)&amp;"'ww"&amp;WEEKNUM(patch[[#This Row],[mergeDate]]))</f>
        <v>16'ww38</v>
      </c>
      <c r="U1819" s="7" t="str">
        <f>IF(ISBLANK(patch[[#This Row],[mergeDate]]), U1818, MID(YEAR(patch[[#This Row],[mergeDate]]), 3,2)&amp;"'m"&amp;MONTH(patch[[#This Row],[mergeDate]]))</f>
        <v>16'm9</v>
      </c>
      <c r="V1819" s="7" t="str">
        <f>IF(ISBLANK(patch[[#This Row],[project]]), "",SUM(patch[[#This Row],[BJ -1 num]:[SH -1 num]]))</f>
        <v/>
      </c>
      <c r="W1819" s="7" t="str">
        <f>IF(ISBLANK(patch[[#This Row],[project]]), "",COUNTIFS($A:$A,patch[[#This Row],[number]],$S:$S, "BJ And dev",$AC:$AC, "Review-1"))</f>
        <v/>
      </c>
      <c r="X1819" s="7" t="str">
        <f>IF(ISBLANK(patch[[#This Row],[project]]), "",COUNTIFS($A:$A,patch[[#This Row],[number]],$S:$S, "FL And dev",$AC:$AC, "Review-1"))</f>
        <v/>
      </c>
      <c r="Y1819" s="7" t="str">
        <f>IF(ISBLANK(patch[[#This Row],[project]]), "",COUNTIFS($A:$A,patch[[#This Row],[number]],$S:$S, "SH And dev",$AC:$AC, "Review-1"))</f>
        <v/>
      </c>
      <c r="Z1819" s="7" t="str">
        <f>IF(ISBLANK(patch[[#This Row],[project]]), "",COUNTIFS($A:$A,patch[[#This Row],[number]],$S:$S, "BJ And dev",$AD:$AD, "&lt;&gt;IntegratorValidationComment"))</f>
        <v/>
      </c>
      <c r="AA1819" s="7" t="str">
        <f>IF(ISBLANK(patch[[#This Row],[project]]), "",COUNTIFS($A:$A,patch[[#This Row],[number]],$S:$S, "FL And dev",$AD:$AD, "&lt;&gt;IntegratorValidationComment"))</f>
        <v/>
      </c>
      <c r="AB1819" s="7" t="str">
        <f>IF(ISBLANK(patch[[#This Row],[project]]), "",COUNTIFS($A:$A,patch[[#This Row],[number]],$S:$S, "SH And dev",$AD:$AD, "&lt;&gt;IntegratorValidationComment"))</f>
        <v/>
      </c>
      <c r="AC1819" s="7" t="str">
        <f>IF(OR(ISNUMBER(FIND("Review-1", patch[[#This Row],[comments]])), ISNUMBER(FIND("Approver-1", patch[[#This Row],[comments]]))), "Review-1", "")</f>
        <v/>
      </c>
      <c r="AD18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19" s="7">
        <f>IF(ISBLANK(patch[[#This Row],[number]]),AE1818,patch[[#This Row],[ifCommon]])</f>
        <v>0</v>
      </c>
    </row>
    <row r="1820" spans="1:31">
      <c r="A1820" s="151">
        <v>142677</v>
      </c>
      <c r="B1820" s="151"/>
      <c r="C1820" s="151"/>
      <c r="D1820" s="151"/>
      <c r="E1820" s="151"/>
      <c r="F1820" s="151"/>
      <c r="G1820" s="151"/>
      <c r="H1820" s="151"/>
      <c r="I1820" s="151"/>
      <c r="J1820" s="152">
        <v>42627.659317129634</v>
      </c>
      <c r="K1820" s="151"/>
      <c r="L1820" s="151" t="s">
        <v>59</v>
      </c>
      <c r="M1820" s="152">
        <v>42621.640370370369</v>
      </c>
      <c r="N1820" s="151" t="s">
        <v>3475</v>
      </c>
      <c r="O1820" s="151"/>
      <c r="P1820" s="151"/>
      <c r="Q1820" s="7" t="str">
        <f>IF(ISBLANK(patch[[#This Row],[OwnerEmail]]),Q1819,patch[[#This Row],[OwnerEmail]])</f>
        <v>gang.a.hu@intel.com</v>
      </c>
      <c r="R1820" s="7" t="str">
        <f>_xlfn.IFNA(VLOOKUP(patch[[#This Row],[tmp-owner.email]],OrgTree!$A:$K, 11, 0), "not ICG SWFW")</f>
        <v>BJ And dev</v>
      </c>
      <c r="S1820" s="7" t="str">
        <f>IF(patch[[#This Row],[reviewer]]=patch[[#This Row],[tmp-owner.email]], "author", _xlfn.IFNA(VLOOKUP(patch[[#This Row],[reviewer]],OrgTree!$A:$K, 11, 0), "not ICG SWFW"))</f>
        <v>BJ And dev</v>
      </c>
      <c r="T1820" s="7" t="str">
        <f>IF(ISBLANK(patch[[#This Row],[mergeDate]]), "", MID(YEAR(patch[[#This Row],[mergeDate]]), 3,2)&amp;"'ww"&amp;WEEKNUM(patch[[#This Row],[mergeDate]]))</f>
        <v>16'ww38</v>
      </c>
      <c r="U1820" s="7" t="str">
        <f>IF(ISBLANK(patch[[#This Row],[mergeDate]]), U1819, MID(YEAR(patch[[#This Row],[mergeDate]]), 3,2)&amp;"'m"&amp;MONTH(patch[[#This Row],[mergeDate]]))</f>
        <v>16'm9</v>
      </c>
      <c r="V1820" s="7" t="str">
        <f>IF(ISBLANK(patch[[#This Row],[project]]), "",SUM(patch[[#This Row],[BJ -1 num]:[SH -1 num]]))</f>
        <v/>
      </c>
      <c r="W1820" s="7" t="str">
        <f>IF(ISBLANK(patch[[#This Row],[project]]), "",COUNTIFS($A:$A,patch[[#This Row],[number]],$S:$S, "BJ And dev",$AC:$AC, "Review-1"))</f>
        <v/>
      </c>
      <c r="X1820" s="7" t="str">
        <f>IF(ISBLANK(patch[[#This Row],[project]]), "",COUNTIFS($A:$A,patch[[#This Row],[number]],$S:$S, "FL And dev",$AC:$AC, "Review-1"))</f>
        <v/>
      </c>
      <c r="Y1820" s="7" t="str">
        <f>IF(ISBLANK(patch[[#This Row],[project]]), "",COUNTIFS($A:$A,patch[[#This Row],[number]],$S:$S, "SH And dev",$AC:$AC, "Review-1"))</f>
        <v/>
      </c>
      <c r="Z1820" s="7" t="str">
        <f>IF(ISBLANK(patch[[#This Row],[project]]), "",COUNTIFS($A:$A,patch[[#This Row],[number]],$S:$S, "BJ And dev",$AD:$AD, "&lt;&gt;IntegratorValidationComment"))</f>
        <v/>
      </c>
      <c r="AA1820" s="7" t="str">
        <f>IF(ISBLANK(patch[[#This Row],[project]]), "",COUNTIFS($A:$A,patch[[#This Row],[number]],$S:$S, "FL And dev",$AD:$AD, "&lt;&gt;IntegratorValidationComment"))</f>
        <v/>
      </c>
      <c r="AB1820" s="7" t="str">
        <f>IF(ISBLANK(patch[[#This Row],[project]]), "",COUNTIFS($A:$A,patch[[#This Row],[number]],$S:$S, "SH And dev",$AD:$AD, "&lt;&gt;IntegratorValidationComment"))</f>
        <v/>
      </c>
      <c r="AC1820" s="7" t="str">
        <f>IF(OR(ISNUMBER(FIND("Review-1", patch[[#This Row],[comments]])), ISNUMBER(FIND("Approver-1", patch[[#This Row],[comments]]))), "Review-1", "")</f>
        <v/>
      </c>
      <c r="AD18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20" s="7">
        <f>IF(ISBLANK(patch[[#This Row],[number]]),AE1819,patch[[#This Row],[ifCommon]])</f>
        <v>0</v>
      </c>
    </row>
    <row r="1821" spans="1:31">
      <c r="A1821" s="151">
        <v>142677</v>
      </c>
      <c r="B1821" s="151"/>
      <c r="C1821" s="151"/>
      <c r="D1821" s="151"/>
      <c r="E1821" s="151"/>
      <c r="F1821" s="151"/>
      <c r="G1821" s="151"/>
      <c r="H1821" s="151"/>
      <c r="I1821" s="151"/>
      <c r="J1821" s="152">
        <v>42627.659317129634</v>
      </c>
      <c r="K1821" s="151"/>
      <c r="L1821" s="151" t="s">
        <v>32</v>
      </c>
      <c r="M1821" s="152">
        <v>42621.640532407408</v>
      </c>
      <c r="N1821" s="151" t="s">
        <v>2514</v>
      </c>
      <c r="O1821" s="151"/>
      <c r="P1821" s="151"/>
      <c r="Q1821" s="7" t="str">
        <f>IF(ISBLANK(patch[[#This Row],[OwnerEmail]]),Q1820,patch[[#This Row],[OwnerEmail]])</f>
        <v>gang.a.hu@intel.com</v>
      </c>
      <c r="R1821" s="7" t="str">
        <f>_xlfn.IFNA(VLOOKUP(patch[[#This Row],[tmp-owner.email]],OrgTree!$A:$K, 11, 0), "not ICG SWFW")</f>
        <v>BJ And dev</v>
      </c>
      <c r="S1821" s="7" t="str">
        <f>IF(patch[[#This Row],[reviewer]]=patch[[#This Row],[tmp-owner.email]], "author", _xlfn.IFNA(VLOOKUP(patch[[#This Row],[reviewer]],OrgTree!$A:$K, 11, 0), "not ICG SWFW"))</f>
        <v>author</v>
      </c>
      <c r="T1821" s="7" t="str">
        <f>IF(ISBLANK(patch[[#This Row],[mergeDate]]), "", MID(YEAR(patch[[#This Row],[mergeDate]]), 3,2)&amp;"'ww"&amp;WEEKNUM(patch[[#This Row],[mergeDate]]))</f>
        <v>16'ww38</v>
      </c>
      <c r="U1821" s="7" t="str">
        <f>IF(ISBLANK(patch[[#This Row],[mergeDate]]), U1820, MID(YEAR(patch[[#This Row],[mergeDate]]), 3,2)&amp;"'m"&amp;MONTH(patch[[#This Row],[mergeDate]]))</f>
        <v>16'm9</v>
      </c>
      <c r="V1821" s="7" t="str">
        <f>IF(ISBLANK(patch[[#This Row],[project]]), "",SUM(patch[[#This Row],[BJ -1 num]:[SH -1 num]]))</f>
        <v/>
      </c>
      <c r="W1821" s="7" t="str">
        <f>IF(ISBLANK(patch[[#This Row],[project]]), "",COUNTIFS($A:$A,patch[[#This Row],[number]],$S:$S, "BJ And dev",$AC:$AC, "Review-1"))</f>
        <v/>
      </c>
      <c r="X1821" s="7" t="str">
        <f>IF(ISBLANK(patch[[#This Row],[project]]), "",COUNTIFS($A:$A,patch[[#This Row],[number]],$S:$S, "FL And dev",$AC:$AC, "Review-1"))</f>
        <v/>
      </c>
      <c r="Y1821" s="7" t="str">
        <f>IF(ISBLANK(patch[[#This Row],[project]]), "",COUNTIFS($A:$A,patch[[#This Row],[number]],$S:$S, "SH And dev",$AC:$AC, "Review-1"))</f>
        <v/>
      </c>
      <c r="Z1821" s="7" t="str">
        <f>IF(ISBLANK(patch[[#This Row],[project]]), "",COUNTIFS($A:$A,patch[[#This Row],[number]],$S:$S, "BJ And dev",$AD:$AD, "&lt;&gt;IntegratorValidationComment"))</f>
        <v/>
      </c>
      <c r="AA1821" s="7" t="str">
        <f>IF(ISBLANK(patch[[#This Row],[project]]), "",COUNTIFS($A:$A,patch[[#This Row],[number]],$S:$S, "FL And dev",$AD:$AD, "&lt;&gt;IntegratorValidationComment"))</f>
        <v/>
      </c>
      <c r="AB1821" s="7" t="str">
        <f>IF(ISBLANK(patch[[#This Row],[project]]), "",COUNTIFS($A:$A,patch[[#This Row],[number]],$S:$S, "SH And dev",$AD:$AD, "&lt;&gt;IntegratorValidationComment"))</f>
        <v/>
      </c>
      <c r="AC1821" s="7" t="str">
        <f>IF(OR(ISNUMBER(FIND("Review-1", patch[[#This Row],[comments]])), ISNUMBER(FIND("Approver-1", patch[[#This Row],[comments]]))), "Review-1", "")</f>
        <v/>
      </c>
      <c r="AD18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21" s="7">
        <f>IF(ISBLANK(patch[[#This Row],[number]]),AE1820,patch[[#This Row],[ifCommon]])</f>
        <v>0</v>
      </c>
    </row>
    <row r="1822" spans="1:31">
      <c r="A1822" s="151">
        <v>142677</v>
      </c>
      <c r="B1822" s="151"/>
      <c r="C1822" s="151"/>
      <c r="D1822" s="151"/>
      <c r="E1822" s="151"/>
      <c r="F1822" s="151"/>
      <c r="G1822" s="151"/>
      <c r="H1822" s="151"/>
      <c r="I1822" s="151"/>
      <c r="J1822" s="152">
        <v>42627.659317129634</v>
      </c>
      <c r="K1822" s="151"/>
      <c r="L1822" s="151" t="s">
        <v>59</v>
      </c>
      <c r="M1822" s="152">
        <v>42621.641319444447</v>
      </c>
      <c r="N1822" s="151" t="s">
        <v>3476</v>
      </c>
      <c r="O1822" s="151"/>
      <c r="P1822" s="151"/>
      <c r="Q1822" s="7" t="str">
        <f>IF(ISBLANK(patch[[#This Row],[OwnerEmail]]),Q1821,patch[[#This Row],[OwnerEmail]])</f>
        <v>gang.a.hu@intel.com</v>
      </c>
      <c r="R1822" s="7" t="str">
        <f>_xlfn.IFNA(VLOOKUP(patch[[#This Row],[tmp-owner.email]],OrgTree!$A:$K, 11, 0), "not ICG SWFW")</f>
        <v>BJ And dev</v>
      </c>
      <c r="S1822" s="7" t="str">
        <f>IF(patch[[#This Row],[reviewer]]=patch[[#This Row],[tmp-owner.email]], "author", _xlfn.IFNA(VLOOKUP(patch[[#This Row],[reviewer]],OrgTree!$A:$K, 11, 0), "not ICG SWFW"))</f>
        <v>BJ And dev</v>
      </c>
      <c r="T1822" s="7" t="str">
        <f>IF(ISBLANK(patch[[#This Row],[mergeDate]]), "", MID(YEAR(patch[[#This Row],[mergeDate]]), 3,2)&amp;"'ww"&amp;WEEKNUM(patch[[#This Row],[mergeDate]]))</f>
        <v>16'ww38</v>
      </c>
      <c r="U1822" s="7" t="str">
        <f>IF(ISBLANK(patch[[#This Row],[mergeDate]]), U1821, MID(YEAR(patch[[#This Row],[mergeDate]]), 3,2)&amp;"'m"&amp;MONTH(patch[[#This Row],[mergeDate]]))</f>
        <v>16'm9</v>
      </c>
      <c r="V1822" s="7" t="str">
        <f>IF(ISBLANK(patch[[#This Row],[project]]), "",SUM(patch[[#This Row],[BJ -1 num]:[SH -1 num]]))</f>
        <v/>
      </c>
      <c r="W1822" s="7" t="str">
        <f>IF(ISBLANK(patch[[#This Row],[project]]), "",COUNTIFS($A:$A,patch[[#This Row],[number]],$S:$S, "BJ And dev",$AC:$AC, "Review-1"))</f>
        <v/>
      </c>
      <c r="X1822" s="7" t="str">
        <f>IF(ISBLANK(patch[[#This Row],[project]]), "",COUNTIFS($A:$A,patch[[#This Row],[number]],$S:$S, "FL And dev",$AC:$AC, "Review-1"))</f>
        <v/>
      </c>
      <c r="Y1822" s="7" t="str">
        <f>IF(ISBLANK(patch[[#This Row],[project]]), "",COUNTIFS($A:$A,patch[[#This Row],[number]],$S:$S, "SH And dev",$AC:$AC, "Review-1"))</f>
        <v/>
      </c>
      <c r="Z1822" s="7" t="str">
        <f>IF(ISBLANK(patch[[#This Row],[project]]), "",COUNTIFS($A:$A,patch[[#This Row],[number]],$S:$S, "BJ And dev",$AD:$AD, "&lt;&gt;IntegratorValidationComment"))</f>
        <v/>
      </c>
      <c r="AA1822" s="7" t="str">
        <f>IF(ISBLANK(patch[[#This Row],[project]]), "",COUNTIFS($A:$A,patch[[#This Row],[number]],$S:$S, "FL And dev",$AD:$AD, "&lt;&gt;IntegratorValidationComment"))</f>
        <v/>
      </c>
      <c r="AB1822" s="7" t="str">
        <f>IF(ISBLANK(patch[[#This Row],[project]]), "",COUNTIFS($A:$A,patch[[#This Row],[number]],$S:$S, "SH And dev",$AD:$AD, "&lt;&gt;IntegratorValidationComment"))</f>
        <v/>
      </c>
      <c r="AC1822" s="7" t="str">
        <f>IF(OR(ISNUMBER(FIND("Review-1", patch[[#This Row],[comments]])), ISNUMBER(FIND("Approver-1", patch[[#This Row],[comments]]))), "Review-1", "")</f>
        <v/>
      </c>
      <c r="AD18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22" s="7">
        <f>IF(ISBLANK(patch[[#This Row],[number]]),AE1821,patch[[#This Row],[ifCommon]])</f>
        <v>0</v>
      </c>
    </row>
    <row r="1823" spans="1:31">
      <c r="A1823" s="151">
        <v>142677</v>
      </c>
      <c r="B1823" s="151"/>
      <c r="C1823" s="151"/>
      <c r="D1823" s="151"/>
      <c r="E1823" s="151"/>
      <c r="F1823" s="151"/>
      <c r="G1823" s="151"/>
      <c r="H1823" s="151"/>
      <c r="I1823" s="151"/>
      <c r="J1823" s="152">
        <v>42627.659317129634</v>
      </c>
      <c r="K1823" s="151"/>
      <c r="L1823" s="151" t="s">
        <v>32</v>
      </c>
      <c r="M1823" s="152">
        <v>42621.67291666667</v>
      </c>
      <c r="N1823" s="151" t="s">
        <v>1975</v>
      </c>
      <c r="O1823" s="151"/>
      <c r="P1823" s="151"/>
      <c r="Q1823" s="7" t="str">
        <f>IF(ISBLANK(patch[[#This Row],[OwnerEmail]]),Q1822,patch[[#This Row],[OwnerEmail]])</f>
        <v>gang.a.hu@intel.com</v>
      </c>
      <c r="R1823" s="7" t="str">
        <f>_xlfn.IFNA(VLOOKUP(patch[[#This Row],[tmp-owner.email]],OrgTree!$A:$K, 11, 0), "not ICG SWFW")</f>
        <v>BJ And dev</v>
      </c>
      <c r="S1823" s="7" t="str">
        <f>IF(patch[[#This Row],[reviewer]]=patch[[#This Row],[tmp-owner.email]], "author", _xlfn.IFNA(VLOOKUP(patch[[#This Row],[reviewer]],OrgTree!$A:$K, 11, 0), "not ICG SWFW"))</f>
        <v>author</v>
      </c>
      <c r="T1823" s="7" t="str">
        <f>IF(ISBLANK(patch[[#This Row],[mergeDate]]), "", MID(YEAR(patch[[#This Row],[mergeDate]]), 3,2)&amp;"'ww"&amp;WEEKNUM(patch[[#This Row],[mergeDate]]))</f>
        <v>16'ww38</v>
      </c>
      <c r="U1823" s="7" t="str">
        <f>IF(ISBLANK(patch[[#This Row],[mergeDate]]), U1822, MID(YEAR(patch[[#This Row],[mergeDate]]), 3,2)&amp;"'m"&amp;MONTH(patch[[#This Row],[mergeDate]]))</f>
        <v>16'm9</v>
      </c>
      <c r="V1823" s="7" t="str">
        <f>IF(ISBLANK(patch[[#This Row],[project]]), "",SUM(patch[[#This Row],[BJ -1 num]:[SH -1 num]]))</f>
        <v/>
      </c>
      <c r="W1823" s="7" t="str">
        <f>IF(ISBLANK(patch[[#This Row],[project]]), "",COUNTIFS($A:$A,patch[[#This Row],[number]],$S:$S, "BJ And dev",$AC:$AC, "Review-1"))</f>
        <v/>
      </c>
      <c r="X1823" s="7" t="str">
        <f>IF(ISBLANK(patch[[#This Row],[project]]), "",COUNTIFS($A:$A,patch[[#This Row],[number]],$S:$S, "FL And dev",$AC:$AC, "Review-1"))</f>
        <v/>
      </c>
      <c r="Y1823" s="7" t="str">
        <f>IF(ISBLANK(patch[[#This Row],[project]]), "",COUNTIFS($A:$A,patch[[#This Row],[number]],$S:$S, "SH And dev",$AC:$AC, "Review-1"))</f>
        <v/>
      </c>
      <c r="Z1823" s="7" t="str">
        <f>IF(ISBLANK(patch[[#This Row],[project]]), "",COUNTIFS($A:$A,patch[[#This Row],[number]],$S:$S, "BJ And dev",$AD:$AD, "&lt;&gt;IntegratorValidationComment"))</f>
        <v/>
      </c>
      <c r="AA1823" s="7" t="str">
        <f>IF(ISBLANK(patch[[#This Row],[project]]), "",COUNTIFS($A:$A,patch[[#This Row],[number]],$S:$S, "FL And dev",$AD:$AD, "&lt;&gt;IntegratorValidationComment"))</f>
        <v/>
      </c>
      <c r="AB1823" s="7" t="str">
        <f>IF(ISBLANK(patch[[#This Row],[project]]), "",COUNTIFS($A:$A,patch[[#This Row],[number]],$S:$S, "SH And dev",$AD:$AD, "&lt;&gt;IntegratorValidationComment"))</f>
        <v/>
      </c>
      <c r="AC1823" s="7" t="str">
        <f>IF(OR(ISNUMBER(FIND("Review-1", patch[[#This Row],[comments]])), ISNUMBER(FIND("Approver-1", patch[[#This Row],[comments]]))), "Review-1", "")</f>
        <v/>
      </c>
      <c r="AD18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23" s="7">
        <f>IF(ISBLANK(patch[[#This Row],[number]]),AE1822,patch[[#This Row],[ifCommon]])</f>
        <v>0</v>
      </c>
    </row>
    <row r="1824" spans="1:31">
      <c r="A1824" s="151">
        <v>142677</v>
      </c>
      <c r="B1824" s="151"/>
      <c r="C1824" s="151"/>
      <c r="D1824" s="151"/>
      <c r="E1824" s="151"/>
      <c r="F1824" s="151"/>
      <c r="G1824" s="151"/>
      <c r="H1824" s="151"/>
      <c r="I1824" s="151"/>
      <c r="J1824" s="152">
        <v>42627.659317129634</v>
      </c>
      <c r="K1824" s="151"/>
      <c r="L1824" s="151" t="s">
        <v>32</v>
      </c>
      <c r="M1824" s="152">
        <v>42621.67291666667</v>
      </c>
      <c r="N1824" s="151" t="s">
        <v>2477</v>
      </c>
      <c r="O1824" s="151"/>
      <c r="P1824" s="151"/>
      <c r="Q1824" s="7" t="str">
        <f>IF(ISBLANK(patch[[#This Row],[OwnerEmail]]),Q1823,patch[[#This Row],[OwnerEmail]])</f>
        <v>gang.a.hu@intel.com</v>
      </c>
      <c r="R1824" s="7" t="str">
        <f>_xlfn.IFNA(VLOOKUP(patch[[#This Row],[tmp-owner.email]],OrgTree!$A:$K, 11, 0), "not ICG SWFW")</f>
        <v>BJ And dev</v>
      </c>
      <c r="S1824" s="7" t="str">
        <f>IF(patch[[#This Row],[reviewer]]=patch[[#This Row],[tmp-owner.email]], "author", _xlfn.IFNA(VLOOKUP(patch[[#This Row],[reviewer]],OrgTree!$A:$K, 11, 0), "not ICG SWFW"))</f>
        <v>author</v>
      </c>
      <c r="T1824" s="7" t="str">
        <f>IF(ISBLANK(patch[[#This Row],[mergeDate]]), "", MID(YEAR(patch[[#This Row],[mergeDate]]), 3,2)&amp;"'ww"&amp;WEEKNUM(patch[[#This Row],[mergeDate]]))</f>
        <v>16'ww38</v>
      </c>
      <c r="U1824" s="7" t="str">
        <f>IF(ISBLANK(patch[[#This Row],[mergeDate]]), U1823, MID(YEAR(patch[[#This Row],[mergeDate]]), 3,2)&amp;"'m"&amp;MONTH(patch[[#This Row],[mergeDate]]))</f>
        <v>16'm9</v>
      </c>
      <c r="V1824" s="7" t="str">
        <f>IF(ISBLANK(patch[[#This Row],[project]]), "",SUM(patch[[#This Row],[BJ -1 num]:[SH -1 num]]))</f>
        <v/>
      </c>
      <c r="W1824" s="7" t="str">
        <f>IF(ISBLANK(patch[[#This Row],[project]]), "",COUNTIFS($A:$A,patch[[#This Row],[number]],$S:$S, "BJ And dev",$AC:$AC, "Review-1"))</f>
        <v/>
      </c>
      <c r="X1824" s="7" t="str">
        <f>IF(ISBLANK(patch[[#This Row],[project]]), "",COUNTIFS($A:$A,patch[[#This Row],[number]],$S:$S, "FL And dev",$AC:$AC, "Review-1"))</f>
        <v/>
      </c>
      <c r="Y1824" s="7" t="str">
        <f>IF(ISBLANK(patch[[#This Row],[project]]), "",COUNTIFS($A:$A,patch[[#This Row],[number]],$S:$S, "SH And dev",$AC:$AC, "Review-1"))</f>
        <v/>
      </c>
      <c r="Z1824" s="7" t="str">
        <f>IF(ISBLANK(patch[[#This Row],[project]]), "",COUNTIFS($A:$A,patch[[#This Row],[number]],$S:$S, "BJ And dev",$AD:$AD, "&lt;&gt;IntegratorValidationComment"))</f>
        <v/>
      </c>
      <c r="AA1824" s="7" t="str">
        <f>IF(ISBLANK(patch[[#This Row],[project]]), "",COUNTIFS($A:$A,patch[[#This Row],[number]],$S:$S, "FL And dev",$AD:$AD, "&lt;&gt;IntegratorValidationComment"))</f>
        <v/>
      </c>
      <c r="AB1824" s="7" t="str">
        <f>IF(ISBLANK(patch[[#This Row],[project]]), "",COUNTIFS($A:$A,patch[[#This Row],[number]],$S:$S, "SH And dev",$AD:$AD, "&lt;&gt;IntegratorValidationComment"))</f>
        <v/>
      </c>
      <c r="AC1824" s="7" t="str">
        <f>IF(OR(ISNUMBER(FIND("Review-1", patch[[#This Row],[comments]])), ISNUMBER(FIND("Approver-1", patch[[#This Row],[comments]]))), "Review-1", "")</f>
        <v/>
      </c>
      <c r="AD18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24" s="7">
        <f>IF(ISBLANK(patch[[#This Row],[number]]),AE1823,patch[[#This Row],[ifCommon]])</f>
        <v>0</v>
      </c>
    </row>
    <row r="1825" spans="1:31">
      <c r="A1825" s="151">
        <v>142677</v>
      </c>
      <c r="B1825" s="151"/>
      <c r="C1825" s="151"/>
      <c r="D1825" s="151"/>
      <c r="E1825" s="151"/>
      <c r="F1825" s="151"/>
      <c r="G1825" s="151"/>
      <c r="H1825" s="151"/>
      <c r="I1825" s="151"/>
      <c r="J1825" s="152">
        <v>42627.659317129634</v>
      </c>
      <c r="K1825" s="151"/>
      <c r="L1825" s="151" t="s">
        <v>32</v>
      </c>
      <c r="M1825" s="152">
        <v>42621.673101851848</v>
      </c>
      <c r="N1825" s="151" t="s">
        <v>1979</v>
      </c>
      <c r="O1825" s="151"/>
      <c r="P1825" s="151"/>
      <c r="Q1825" s="7" t="str">
        <f>IF(ISBLANK(patch[[#This Row],[OwnerEmail]]),Q1824,patch[[#This Row],[OwnerEmail]])</f>
        <v>gang.a.hu@intel.com</v>
      </c>
      <c r="R1825" s="7" t="str">
        <f>_xlfn.IFNA(VLOOKUP(patch[[#This Row],[tmp-owner.email]],OrgTree!$A:$K, 11, 0), "not ICG SWFW")</f>
        <v>BJ And dev</v>
      </c>
      <c r="S1825" s="7" t="str">
        <f>IF(patch[[#This Row],[reviewer]]=patch[[#This Row],[tmp-owner.email]], "author", _xlfn.IFNA(VLOOKUP(patch[[#This Row],[reviewer]],OrgTree!$A:$K, 11, 0), "not ICG SWFW"))</f>
        <v>author</v>
      </c>
      <c r="T1825" s="7" t="str">
        <f>IF(ISBLANK(patch[[#This Row],[mergeDate]]), "", MID(YEAR(patch[[#This Row],[mergeDate]]), 3,2)&amp;"'ww"&amp;WEEKNUM(patch[[#This Row],[mergeDate]]))</f>
        <v>16'ww38</v>
      </c>
      <c r="U1825" s="7" t="str">
        <f>IF(ISBLANK(patch[[#This Row],[mergeDate]]), U1824, MID(YEAR(patch[[#This Row],[mergeDate]]), 3,2)&amp;"'m"&amp;MONTH(patch[[#This Row],[mergeDate]]))</f>
        <v>16'm9</v>
      </c>
      <c r="V1825" s="7" t="str">
        <f>IF(ISBLANK(patch[[#This Row],[project]]), "",SUM(patch[[#This Row],[BJ -1 num]:[SH -1 num]]))</f>
        <v/>
      </c>
      <c r="W1825" s="7" t="str">
        <f>IF(ISBLANK(patch[[#This Row],[project]]), "",COUNTIFS($A:$A,patch[[#This Row],[number]],$S:$S, "BJ And dev",$AC:$AC, "Review-1"))</f>
        <v/>
      </c>
      <c r="X1825" s="7" t="str">
        <f>IF(ISBLANK(patch[[#This Row],[project]]), "",COUNTIFS($A:$A,patch[[#This Row],[number]],$S:$S, "FL And dev",$AC:$AC, "Review-1"))</f>
        <v/>
      </c>
      <c r="Y1825" s="7" t="str">
        <f>IF(ISBLANK(patch[[#This Row],[project]]), "",COUNTIFS($A:$A,patch[[#This Row],[number]],$S:$S, "SH And dev",$AC:$AC, "Review-1"))</f>
        <v/>
      </c>
      <c r="Z1825" s="7" t="str">
        <f>IF(ISBLANK(patch[[#This Row],[project]]), "",COUNTIFS($A:$A,patch[[#This Row],[number]],$S:$S, "BJ And dev",$AD:$AD, "&lt;&gt;IntegratorValidationComment"))</f>
        <v/>
      </c>
      <c r="AA1825" s="7" t="str">
        <f>IF(ISBLANK(patch[[#This Row],[project]]), "",COUNTIFS($A:$A,patch[[#This Row],[number]],$S:$S, "FL And dev",$AD:$AD, "&lt;&gt;IntegratorValidationComment"))</f>
        <v/>
      </c>
      <c r="AB1825" s="7" t="str">
        <f>IF(ISBLANK(patch[[#This Row],[project]]), "",COUNTIFS($A:$A,patch[[#This Row],[number]],$S:$S, "SH And dev",$AD:$AD, "&lt;&gt;IntegratorValidationComment"))</f>
        <v/>
      </c>
      <c r="AC1825" s="7" t="str">
        <f>IF(OR(ISNUMBER(FIND("Review-1", patch[[#This Row],[comments]])), ISNUMBER(FIND("Approver-1", patch[[#This Row],[comments]]))), "Review-1", "")</f>
        <v/>
      </c>
      <c r="AD18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25" s="7">
        <f>IF(ISBLANK(patch[[#This Row],[number]]),AE1824,patch[[#This Row],[ifCommon]])</f>
        <v>0</v>
      </c>
    </row>
    <row r="1826" spans="1:31">
      <c r="A1826" s="151">
        <v>142677</v>
      </c>
      <c r="B1826" s="151"/>
      <c r="C1826" s="151"/>
      <c r="D1826" s="151"/>
      <c r="E1826" s="151"/>
      <c r="F1826" s="151"/>
      <c r="G1826" s="151"/>
      <c r="H1826" s="151"/>
      <c r="I1826" s="151"/>
      <c r="J1826" s="152">
        <v>42627.659317129634</v>
      </c>
      <c r="K1826" s="151"/>
      <c r="L1826" s="151" t="s">
        <v>59</v>
      </c>
      <c r="M1826" s="152">
        <v>42621.675011574072</v>
      </c>
      <c r="N1826" s="151" t="s">
        <v>3477</v>
      </c>
      <c r="O1826" s="151"/>
      <c r="P1826" s="151"/>
      <c r="Q1826" s="7" t="str">
        <f>IF(ISBLANK(patch[[#This Row],[OwnerEmail]]),Q1825,patch[[#This Row],[OwnerEmail]])</f>
        <v>gang.a.hu@intel.com</v>
      </c>
      <c r="R1826" s="7" t="str">
        <f>_xlfn.IFNA(VLOOKUP(patch[[#This Row],[tmp-owner.email]],OrgTree!$A:$K, 11, 0), "not ICG SWFW")</f>
        <v>BJ And dev</v>
      </c>
      <c r="S1826" s="7" t="str">
        <f>IF(patch[[#This Row],[reviewer]]=patch[[#This Row],[tmp-owner.email]], "author", _xlfn.IFNA(VLOOKUP(patch[[#This Row],[reviewer]],OrgTree!$A:$K, 11, 0), "not ICG SWFW"))</f>
        <v>BJ And dev</v>
      </c>
      <c r="T1826" s="7" t="str">
        <f>IF(ISBLANK(patch[[#This Row],[mergeDate]]), "", MID(YEAR(patch[[#This Row],[mergeDate]]), 3,2)&amp;"'ww"&amp;WEEKNUM(patch[[#This Row],[mergeDate]]))</f>
        <v>16'ww38</v>
      </c>
      <c r="U1826" s="7" t="str">
        <f>IF(ISBLANK(patch[[#This Row],[mergeDate]]), U1825, MID(YEAR(patch[[#This Row],[mergeDate]]), 3,2)&amp;"'m"&amp;MONTH(patch[[#This Row],[mergeDate]]))</f>
        <v>16'm9</v>
      </c>
      <c r="V1826" s="7" t="str">
        <f>IF(ISBLANK(patch[[#This Row],[project]]), "",SUM(patch[[#This Row],[BJ -1 num]:[SH -1 num]]))</f>
        <v/>
      </c>
      <c r="W1826" s="7" t="str">
        <f>IF(ISBLANK(patch[[#This Row],[project]]), "",COUNTIFS($A:$A,patch[[#This Row],[number]],$S:$S, "BJ And dev",$AC:$AC, "Review-1"))</f>
        <v/>
      </c>
      <c r="X1826" s="7" t="str">
        <f>IF(ISBLANK(patch[[#This Row],[project]]), "",COUNTIFS($A:$A,patch[[#This Row],[number]],$S:$S, "FL And dev",$AC:$AC, "Review-1"))</f>
        <v/>
      </c>
      <c r="Y1826" s="7" t="str">
        <f>IF(ISBLANK(patch[[#This Row],[project]]), "",COUNTIFS($A:$A,patch[[#This Row],[number]],$S:$S, "SH And dev",$AC:$AC, "Review-1"))</f>
        <v/>
      </c>
      <c r="Z1826" s="7" t="str">
        <f>IF(ISBLANK(patch[[#This Row],[project]]), "",COUNTIFS($A:$A,patch[[#This Row],[number]],$S:$S, "BJ And dev",$AD:$AD, "&lt;&gt;IntegratorValidationComment"))</f>
        <v/>
      </c>
      <c r="AA1826" s="7" t="str">
        <f>IF(ISBLANK(patch[[#This Row],[project]]), "",COUNTIFS($A:$A,patch[[#This Row],[number]],$S:$S, "FL And dev",$AD:$AD, "&lt;&gt;IntegratorValidationComment"))</f>
        <v/>
      </c>
      <c r="AB1826" s="7" t="str">
        <f>IF(ISBLANK(patch[[#This Row],[project]]), "",COUNTIFS($A:$A,patch[[#This Row],[number]],$S:$S, "SH And dev",$AD:$AD, "&lt;&gt;IntegratorValidationComment"))</f>
        <v/>
      </c>
      <c r="AC1826" s="7" t="str">
        <f>IF(OR(ISNUMBER(FIND("Review-1", patch[[#This Row],[comments]])), ISNUMBER(FIND("Approver-1", patch[[#This Row],[comments]]))), "Review-1", "")</f>
        <v/>
      </c>
      <c r="AD18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26" s="7">
        <f>IF(ISBLANK(patch[[#This Row],[number]]),AE1825,patch[[#This Row],[ifCommon]])</f>
        <v>0</v>
      </c>
    </row>
    <row r="1827" spans="1:31">
      <c r="A1827" s="151">
        <v>142677</v>
      </c>
      <c r="B1827" s="151"/>
      <c r="C1827" s="151"/>
      <c r="D1827" s="151"/>
      <c r="E1827" s="151"/>
      <c r="F1827" s="151"/>
      <c r="G1827" s="151"/>
      <c r="H1827" s="151"/>
      <c r="I1827" s="151"/>
      <c r="J1827" s="152">
        <v>42627.659317129634</v>
      </c>
      <c r="K1827" s="151"/>
      <c r="L1827" s="151" t="s">
        <v>32</v>
      </c>
      <c r="M1827" s="152">
        <v>42621.702430555553</v>
      </c>
      <c r="N1827" s="151" t="s">
        <v>2551</v>
      </c>
      <c r="O1827" s="151"/>
      <c r="P1827" s="151"/>
      <c r="Q1827" s="7" t="str">
        <f>IF(ISBLANK(patch[[#This Row],[OwnerEmail]]),Q1826,patch[[#This Row],[OwnerEmail]])</f>
        <v>gang.a.hu@intel.com</v>
      </c>
      <c r="R1827" s="7" t="str">
        <f>_xlfn.IFNA(VLOOKUP(patch[[#This Row],[tmp-owner.email]],OrgTree!$A:$K, 11, 0), "not ICG SWFW")</f>
        <v>BJ And dev</v>
      </c>
      <c r="S1827" s="7" t="str">
        <f>IF(patch[[#This Row],[reviewer]]=patch[[#This Row],[tmp-owner.email]], "author", _xlfn.IFNA(VLOOKUP(patch[[#This Row],[reviewer]],OrgTree!$A:$K, 11, 0), "not ICG SWFW"))</f>
        <v>author</v>
      </c>
      <c r="T1827" s="7" t="str">
        <f>IF(ISBLANK(patch[[#This Row],[mergeDate]]), "", MID(YEAR(patch[[#This Row],[mergeDate]]), 3,2)&amp;"'ww"&amp;WEEKNUM(patch[[#This Row],[mergeDate]]))</f>
        <v>16'ww38</v>
      </c>
      <c r="U1827" s="7" t="str">
        <f>IF(ISBLANK(patch[[#This Row],[mergeDate]]), U1826, MID(YEAR(patch[[#This Row],[mergeDate]]), 3,2)&amp;"'m"&amp;MONTH(patch[[#This Row],[mergeDate]]))</f>
        <v>16'm9</v>
      </c>
      <c r="V1827" s="7" t="str">
        <f>IF(ISBLANK(patch[[#This Row],[project]]), "",SUM(patch[[#This Row],[BJ -1 num]:[SH -1 num]]))</f>
        <v/>
      </c>
      <c r="W1827" s="7" t="str">
        <f>IF(ISBLANK(patch[[#This Row],[project]]), "",COUNTIFS($A:$A,patch[[#This Row],[number]],$S:$S, "BJ And dev",$AC:$AC, "Review-1"))</f>
        <v/>
      </c>
      <c r="X1827" s="7" t="str">
        <f>IF(ISBLANK(patch[[#This Row],[project]]), "",COUNTIFS($A:$A,patch[[#This Row],[number]],$S:$S, "FL And dev",$AC:$AC, "Review-1"))</f>
        <v/>
      </c>
      <c r="Y1827" s="7" t="str">
        <f>IF(ISBLANK(patch[[#This Row],[project]]), "",COUNTIFS($A:$A,patch[[#This Row],[number]],$S:$S, "SH And dev",$AC:$AC, "Review-1"))</f>
        <v/>
      </c>
      <c r="Z1827" s="7" t="str">
        <f>IF(ISBLANK(patch[[#This Row],[project]]), "",COUNTIFS($A:$A,patch[[#This Row],[number]],$S:$S, "BJ And dev",$AD:$AD, "&lt;&gt;IntegratorValidationComment"))</f>
        <v/>
      </c>
      <c r="AA1827" s="7" t="str">
        <f>IF(ISBLANK(patch[[#This Row],[project]]), "",COUNTIFS($A:$A,patch[[#This Row],[number]],$S:$S, "FL And dev",$AD:$AD, "&lt;&gt;IntegratorValidationComment"))</f>
        <v/>
      </c>
      <c r="AB1827" s="7" t="str">
        <f>IF(ISBLANK(patch[[#This Row],[project]]), "",COUNTIFS($A:$A,patch[[#This Row],[number]],$S:$S, "SH And dev",$AD:$AD, "&lt;&gt;IntegratorValidationComment"))</f>
        <v/>
      </c>
      <c r="AC1827" s="7" t="str">
        <f>IF(OR(ISNUMBER(FIND("Review-1", patch[[#This Row],[comments]])), ISNUMBER(FIND("Approver-1", patch[[#This Row],[comments]]))), "Review-1", "")</f>
        <v/>
      </c>
      <c r="AD18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27" s="7">
        <f>IF(ISBLANK(patch[[#This Row],[number]]),AE1826,patch[[#This Row],[ifCommon]])</f>
        <v>0</v>
      </c>
    </row>
    <row r="1828" spans="1:31">
      <c r="A1828" s="151">
        <v>142677</v>
      </c>
      <c r="B1828" s="151"/>
      <c r="C1828" s="151"/>
      <c r="D1828" s="151"/>
      <c r="E1828" s="151"/>
      <c r="F1828" s="151"/>
      <c r="G1828" s="151"/>
      <c r="H1828" s="151"/>
      <c r="I1828" s="152"/>
      <c r="J1828" s="152">
        <v>42627.659317129634</v>
      </c>
      <c r="K1828" s="151"/>
      <c r="L1828" s="151" t="s">
        <v>32</v>
      </c>
      <c r="M1828" s="152">
        <v>42621.70244212963</v>
      </c>
      <c r="N1828" s="151" t="s">
        <v>2478</v>
      </c>
      <c r="O1828" s="151"/>
      <c r="P1828" s="151"/>
      <c r="Q1828" s="7" t="str">
        <f>IF(ISBLANK(patch[[#This Row],[OwnerEmail]]),Q1827,patch[[#This Row],[OwnerEmail]])</f>
        <v>gang.a.hu@intel.com</v>
      </c>
      <c r="R1828" s="7" t="str">
        <f>_xlfn.IFNA(VLOOKUP(patch[[#This Row],[tmp-owner.email]],OrgTree!$A:$K, 11, 0), "not ICG SWFW")</f>
        <v>BJ And dev</v>
      </c>
      <c r="S1828" s="7" t="str">
        <f>IF(patch[[#This Row],[reviewer]]=patch[[#This Row],[tmp-owner.email]], "author", _xlfn.IFNA(VLOOKUP(patch[[#This Row],[reviewer]],OrgTree!$A:$K, 11, 0), "not ICG SWFW"))</f>
        <v>author</v>
      </c>
      <c r="T1828" s="7" t="str">
        <f>IF(ISBLANK(patch[[#This Row],[mergeDate]]), "", MID(YEAR(patch[[#This Row],[mergeDate]]), 3,2)&amp;"'ww"&amp;WEEKNUM(patch[[#This Row],[mergeDate]]))</f>
        <v>16'ww38</v>
      </c>
      <c r="U1828" s="7" t="str">
        <f>IF(ISBLANK(patch[[#This Row],[mergeDate]]), U1827, MID(YEAR(patch[[#This Row],[mergeDate]]), 3,2)&amp;"'m"&amp;MONTH(patch[[#This Row],[mergeDate]]))</f>
        <v>16'm9</v>
      </c>
      <c r="V1828" s="7" t="str">
        <f>IF(ISBLANK(patch[[#This Row],[project]]), "",SUM(patch[[#This Row],[BJ -1 num]:[SH -1 num]]))</f>
        <v/>
      </c>
      <c r="W1828" s="7" t="str">
        <f>IF(ISBLANK(patch[[#This Row],[project]]), "",COUNTIFS($A:$A,patch[[#This Row],[number]],$S:$S, "BJ And dev",$AC:$AC, "Review-1"))</f>
        <v/>
      </c>
      <c r="X1828" s="7" t="str">
        <f>IF(ISBLANK(patch[[#This Row],[project]]), "",COUNTIFS($A:$A,patch[[#This Row],[number]],$S:$S, "FL And dev",$AC:$AC, "Review-1"))</f>
        <v/>
      </c>
      <c r="Y1828" s="7" t="str">
        <f>IF(ISBLANK(patch[[#This Row],[project]]), "",COUNTIFS($A:$A,patch[[#This Row],[number]],$S:$S, "SH And dev",$AC:$AC, "Review-1"))</f>
        <v/>
      </c>
      <c r="Z1828" s="7" t="str">
        <f>IF(ISBLANK(patch[[#This Row],[project]]), "",COUNTIFS($A:$A,patch[[#This Row],[number]],$S:$S, "BJ And dev",$AD:$AD, "&lt;&gt;IntegratorValidationComment"))</f>
        <v/>
      </c>
      <c r="AA1828" s="7" t="str">
        <f>IF(ISBLANK(patch[[#This Row],[project]]), "",COUNTIFS($A:$A,patch[[#This Row],[number]],$S:$S, "FL And dev",$AD:$AD, "&lt;&gt;IntegratorValidationComment"))</f>
        <v/>
      </c>
      <c r="AB1828" s="7" t="str">
        <f>IF(ISBLANK(patch[[#This Row],[project]]), "",COUNTIFS($A:$A,patch[[#This Row],[number]],$S:$S, "SH And dev",$AD:$AD, "&lt;&gt;IntegratorValidationComment"))</f>
        <v/>
      </c>
      <c r="AC1828" s="7" t="str">
        <f>IF(OR(ISNUMBER(FIND("Review-1", patch[[#This Row],[comments]])), ISNUMBER(FIND("Approver-1", patch[[#This Row],[comments]]))), "Review-1", "")</f>
        <v/>
      </c>
      <c r="AD18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28" s="7">
        <f>IF(ISBLANK(patch[[#This Row],[number]]),AE1827,patch[[#This Row],[ifCommon]])</f>
        <v>0</v>
      </c>
    </row>
    <row r="1829" spans="1:31">
      <c r="A1829" s="151">
        <v>142677</v>
      </c>
      <c r="B1829" s="151"/>
      <c r="C1829" s="151"/>
      <c r="D1829" s="151"/>
      <c r="E1829" s="151"/>
      <c r="F1829" s="151"/>
      <c r="G1829" s="151"/>
      <c r="H1829" s="151"/>
      <c r="I1829" s="151"/>
      <c r="J1829" s="152">
        <v>42627.659317129634</v>
      </c>
      <c r="K1829" s="151"/>
      <c r="L1829" s="151" t="s">
        <v>59</v>
      </c>
      <c r="M1829" s="152">
        <v>42621.710474537038</v>
      </c>
      <c r="N1829" s="151" t="s">
        <v>3478</v>
      </c>
      <c r="O1829" s="151"/>
      <c r="P1829" s="151"/>
      <c r="Q1829" s="7" t="str">
        <f>IF(ISBLANK(patch[[#This Row],[OwnerEmail]]),Q1828,patch[[#This Row],[OwnerEmail]])</f>
        <v>gang.a.hu@intel.com</v>
      </c>
      <c r="R1829" s="7" t="str">
        <f>_xlfn.IFNA(VLOOKUP(patch[[#This Row],[tmp-owner.email]],OrgTree!$A:$K, 11, 0), "not ICG SWFW")</f>
        <v>BJ And dev</v>
      </c>
      <c r="S1829" s="7" t="str">
        <f>IF(patch[[#This Row],[reviewer]]=patch[[#This Row],[tmp-owner.email]], "author", _xlfn.IFNA(VLOOKUP(patch[[#This Row],[reviewer]],OrgTree!$A:$K, 11, 0), "not ICG SWFW"))</f>
        <v>BJ And dev</v>
      </c>
      <c r="T1829" s="7" t="str">
        <f>IF(ISBLANK(patch[[#This Row],[mergeDate]]), "", MID(YEAR(patch[[#This Row],[mergeDate]]), 3,2)&amp;"'ww"&amp;WEEKNUM(patch[[#This Row],[mergeDate]]))</f>
        <v>16'ww38</v>
      </c>
      <c r="U1829" s="7" t="str">
        <f>IF(ISBLANK(patch[[#This Row],[mergeDate]]), U1828, MID(YEAR(patch[[#This Row],[mergeDate]]), 3,2)&amp;"'m"&amp;MONTH(patch[[#This Row],[mergeDate]]))</f>
        <v>16'm9</v>
      </c>
      <c r="V1829" s="7" t="str">
        <f>IF(ISBLANK(patch[[#This Row],[project]]), "",SUM(patch[[#This Row],[BJ -1 num]:[SH -1 num]]))</f>
        <v/>
      </c>
      <c r="W1829" s="7" t="str">
        <f>IF(ISBLANK(patch[[#This Row],[project]]), "",COUNTIFS($A:$A,patch[[#This Row],[number]],$S:$S, "BJ And dev",$AC:$AC, "Review-1"))</f>
        <v/>
      </c>
      <c r="X1829" s="7" t="str">
        <f>IF(ISBLANK(patch[[#This Row],[project]]), "",COUNTIFS($A:$A,patch[[#This Row],[number]],$S:$S, "FL And dev",$AC:$AC, "Review-1"))</f>
        <v/>
      </c>
      <c r="Y1829" s="7" t="str">
        <f>IF(ISBLANK(patch[[#This Row],[project]]), "",COUNTIFS($A:$A,patch[[#This Row],[number]],$S:$S, "SH And dev",$AC:$AC, "Review-1"))</f>
        <v/>
      </c>
      <c r="Z1829" s="7" t="str">
        <f>IF(ISBLANK(patch[[#This Row],[project]]), "",COUNTIFS($A:$A,patch[[#This Row],[number]],$S:$S, "BJ And dev",$AD:$AD, "&lt;&gt;IntegratorValidationComment"))</f>
        <v/>
      </c>
      <c r="AA1829" s="7" t="str">
        <f>IF(ISBLANK(patch[[#This Row],[project]]), "",COUNTIFS($A:$A,patch[[#This Row],[number]],$S:$S, "FL And dev",$AD:$AD, "&lt;&gt;IntegratorValidationComment"))</f>
        <v/>
      </c>
      <c r="AB1829" s="7" t="str">
        <f>IF(ISBLANK(patch[[#This Row],[project]]), "",COUNTIFS($A:$A,patch[[#This Row],[number]],$S:$S, "SH And dev",$AD:$AD, "&lt;&gt;IntegratorValidationComment"))</f>
        <v/>
      </c>
      <c r="AC1829" s="7" t="str">
        <f>IF(OR(ISNUMBER(FIND("Review-1", patch[[#This Row],[comments]])), ISNUMBER(FIND("Approver-1", patch[[#This Row],[comments]]))), "Review-1", "")</f>
        <v/>
      </c>
      <c r="AD18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29" s="7">
        <f>IF(ISBLANK(patch[[#This Row],[number]]),AE1828,patch[[#This Row],[ifCommon]])</f>
        <v>0</v>
      </c>
    </row>
    <row r="1830" spans="1:31">
      <c r="A1830" s="151">
        <v>142677</v>
      </c>
      <c r="B1830" s="151"/>
      <c r="C1830" s="151"/>
      <c r="D1830" s="151"/>
      <c r="E1830" s="151"/>
      <c r="F1830" s="151"/>
      <c r="G1830" s="151"/>
      <c r="H1830" s="151"/>
      <c r="I1830" s="151"/>
      <c r="J1830" s="152">
        <v>42627.659317129634</v>
      </c>
      <c r="K1830" s="151"/>
      <c r="L1830" s="151" t="s">
        <v>59</v>
      </c>
      <c r="M1830" s="152">
        <v>42622.462511574071</v>
      </c>
      <c r="N1830" s="151" t="s">
        <v>3479</v>
      </c>
      <c r="O1830" s="151"/>
      <c r="P1830" s="151"/>
      <c r="Q1830" s="7" t="str">
        <f>IF(ISBLANK(patch[[#This Row],[OwnerEmail]]),Q1829,patch[[#This Row],[OwnerEmail]])</f>
        <v>gang.a.hu@intel.com</v>
      </c>
      <c r="R1830" s="7" t="str">
        <f>_xlfn.IFNA(VLOOKUP(patch[[#This Row],[tmp-owner.email]],OrgTree!$A:$K, 11, 0), "not ICG SWFW")</f>
        <v>BJ And dev</v>
      </c>
      <c r="S1830" s="7" t="str">
        <f>IF(patch[[#This Row],[reviewer]]=patch[[#This Row],[tmp-owner.email]], "author", _xlfn.IFNA(VLOOKUP(patch[[#This Row],[reviewer]],OrgTree!$A:$K, 11, 0), "not ICG SWFW"))</f>
        <v>BJ And dev</v>
      </c>
      <c r="T1830" s="7" t="str">
        <f>IF(ISBLANK(patch[[#This Row],[mergeDate]]), "", MID(YEAR(patch[[#This Row],[mergeDate]]), 3,2)&amp;"'ww"&amp;WEEKNUM(patch[[#This Row],[mergeDate]]))</f>
        <v>16'ww38</v>
      </c>
      <c r="U1830" s="7" t="str">
        <f>IF(ISBLANK(patch[[#This Row],[mergeDate]]), U1829, MID(YEAR(patch[[#This Row],[mergeDate]]), 3,2)&amp;"'m"&amp;MONTH(patch[[#This Row],[mergeDate]]))</f>
        <v>16'm9</v>
      </c>
      <c r="V1830" s="7" t="str">
        <f>IF(ISBLANK(patch[[#This Row],[project]]), "",SUM(patch[[#This Row],[BJ -1 num]:[SH -1 num]]))</f>
        <v/>
      </c>
      <c r="W1830" s="7" t="str">
        <f>IF(ISBLANK(patch[[#This Row],[project]]), "",COUNTIFS($A:$A,patch[[#This Row],[number]],$S:$S, "BJ And dev",$AC:$AC, "Review-1"))</f>
        <v/>
      </c>
      <c r="X1830" s="7" t="str">
        <f>IF(ISBLANK(patch[[#This Row],[project]]), "",COUNTIFS($A:$A,patch[[#This Row],[number]],$S:$S, "FL And dev",$AC:$AC, "Review-1"))</f>
        <v/>
      </c>
      <c r="Y1830" s="7" t="str">
        <f>IF(ISBLANK(patch[[#This Row],[project]]), "",COUNTIFS($A:$A,patch[[#This Row],[number]],$S:$S, "SH And dev",$AC:$AC, "Review-1"))</f>
        <v/>
      </c>
      <c r="Z1830" s="7" t="str">
        <f>IF(ISBLANK(patch[[#This Row],[project]]), "",COUNTIFS($A:$A,patch[[#This Row],[number]],$S:$S, "BJ And dev",$AD:$AD, "&lt;&gt;IntegratorValidationComment"))</f>
        <v/>
      </c>
      <c r="AA1830" s="7" t="str">
        <f>IF(ISBLANK(patch[[#This Row],[project]]), "",COUNTIFS($A:$A,patch[[#This Row],[number]],$S:$S, "FL And dev",$AD:$AD, "&lt;&gt;IntegratorValidationComment"))</f>
        <v/>
      </c>
      <c r="AB1830" s="7" t="str">
        <f>IF(ISBLANK(patch[[#This Row],[project]]), "",COUNTIFS($A:$A,patch[[#This Row],[number]],$S:$S, "SH And dev",$AD:$AD, "&lt;&gt;IntegratorValidationComment"))</f>
        <v/>
      </c>
      <c r="AC1830" s="7" t="str">
        <f>IF(OR(ISNUMBER(FIND("Review-1", patch[[#This Row],[comments]])), ISNUMBER(FIND("Approver-1", patch[[#This Row],[comments]]))), "Review-1", "")</f>
        <v/>
      </c>
      <c r="AD18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30" s="7">
        <f>IF(ISBLANK(patch[[#This Row],[number]]),AE1829,patch[[#This Row],[ifCommon]])</f>
        <v>0</v>
      </c>
    </row>
    <row r="1831" spans="1:31">
      <c r="A1831" s="151">
        <v>142677</v>
      </c>
      <c r="B1831" s="151"/>
      <c r="C1831" s="151"/>
      <c r="D1831" s="151"/>
      <c r="E1831" s="151"/>
      <c r="F1831" s="151"/>
      <c r="G1831" s="151"/>
      <c r="H1831" s="151"/>
      <c r="I1831" s="151"/>
      <c r="J1831" s="152">
        <v>42627.659317129634</v>
      </c>
      <c r="K1831" s="151"/>
      <c r="L1831" s="151" t="s">
        <v>59</v>
      </c>
      <c r="M1831" s="152">
        <v>42622.480381944442</v>
      </c>
      <c r="N1831" s="151" t="s">
        <v>3480</v>
      </c>
      <c r="O1831" s="151" t="s">
        <v>3481</v>
      </c>
      <c r="P1831" s="151"/>
      <c r="Q1831" s="7" t="str">
        <f>IF(ISBLANK(patch[[#This Row],[OwnerEmail]]),Q1830,patch[[#This Row],[OwnerEmail]])</f>
        <v>gang.a.hu@intel.com</v>
      </c>
      <c r="R1831" s="7" t="str">
        <f>_xlfn.IFNA(VLOOKUP(patch[[#This Row],[tmp-owner.email]],OrgTree!$A:$K, 11, 0), "not ICG SWFW")</f>
        <v>BJ And dev</v>
      </c>
      <c r="S1831" s="7" t="str">
        <f>IF(patch[[#This Row],[reviewer]]=patch[[#This Row],[tmp-owner.email]], "author", _xlfn.IFNA(VLOOKUP(patch[[#This Row],[reviewer]],OrgTree!$A:$K, 11, 0), "not ICG SWFW"))</f>
        <v>BJ And dev</v>
      </c>
      <c r="T1831" s="7" t="str">
        <f>IF(ISBLANK(patch[[#This Row],[mergeDate]]), "", MID(YEAR(patch[[#This Row],[mergeDate]]), 3,2)&amp;"'ww"&amp;WEEKNUM(patch[[#This Row],[mergeDate]]))</f>
        <v>16'ww38</v>
      </c>
      <c r="U1831" s="7" t="str">
        <f>IF(ISBLANK(patch[[#This Row],[mergeDate]]), U1830, MID(YEAR(patch[[#This Row],[mergeDate]]), 3,2)&amp;"'m"&amp;MONTH(patch[[#This Row],[mergeDate]]))</f>
        <v>16'm9</v>
      </c>
      <c r="V1831" s="7" t="str">
        <f>IF(ISBLANK(patch[[#This Row],[project]]), "",SUM(patch[[#This Row],[BJ -1 num]:[SH -1 num]]))</f>
        <v/>
      </c>
      <c r="W1831" s="7" t="str">
        <f>IF(ISBLANK(patch[[#This Row],[project]]), "",COUNTIFS($A:$A,patch[[#This Row],[number]],$S:$S, "BJ And dev",$AC:$AC, "Review-1"))</f>
        <v/>
      </c>
      <c r="X1831" s="7" t="str">
        <f>IF(ISBLANK(patch[[#This Row],[project]]), "",COUNTIFS($A:$A,patch[[#This Row],[number]],$S:$S, "FL And dev",$AC:$AC, "Review-1"))</f>
        <v/>
      </c>
      <c r="Y1831" s="7" t="str">
        <f>IF(ISBLANK(patch[[#This Row],[project]]), "",COUNTIFS($A:$A,patch[[#This Row],[number]],$S:$S, "SH And dev",$AC:$AC, "Review-1"))</f>
        <v/>
      </c>
      <c r="Z1831" s="7" t="str">
        <f>IF(ISBLANK(patch[[#This Row],[project]]), "",COUNTIFS($A:$A,patch[[#This Row],[number]],$S:$S, "BJ And dev",$AD:$AD, "&lt;&gt;IntegratorValidationComment"))</f>
        <v/>
      </c>
      <c r="AA1831" s="7" t="str">
        <f>IF(ISBLANK(patch[[#This Row],[project]]), "",COUNTIFS($A:$A,patch[[#This Row],[number]],$S:$S, "FL And dev",$AD:$AD, "&lt;&gt;IntegratorValidationComment"))</f>
        <v/>
      </c>
      <c r="AB1831" s="7" t="str">
        <f>IF(ISBLANK(patch[[#This Row],[project]]), "",COUNTIFS($A:$A,patch[[#This Row],[number]],$S:$S, "SH And dev",$AD:$AD, "&lt;&gt;IntegratorValidationComment"))</f>
        <v/>
      </c>
      <c r="AC1831" s="7" t="str">
        <f>IF(OR(ISNUMBER(FIND("Review-1", patch[[#This Row],[comments]])), ISNUMBER(FIND("Approver-1", patch[[#This Row],[comments]]))), "Review-1", "")</f>
        <v>Review-1</v>
      </c>
      <c r="AD18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31" s="7">
        <f>IF(ISBLANK(patch[[#This Row],[number]]),AE1830,patch[[#This Row],[ifCommon]])</f>
        <v>0</v>
      </c>
    </row>
    <row r="1832" spans="1:31">
      <c r="A1832" s="151">
        <v>142677</v>
      </c>
      <c r="B1832" s="151"/>
      <c r="C1832" s="151"/>
      <c r="D1832" s="151"/>
      <c r="E1832" s="151"/>
      <c r="F1832" s="151"/>
      <c r="G1832" s="151"/>
      <c r="H1832" s="151"/>
      <c r="I1832" s="151"/>
      <c r="J1832" s="152">
        <v>42627.659317129634</v>
      </c>
      <c r="K1832" s="151"/>
      <c r="L1832" s="151" t="s">
        <v>32</v>
      </c>
      <c r="M1832" s="152">
        <v>42622.483611111107</v>
      </c>
      <c r="N1832" s="151" t="s">
        <v>2540</v>
      </c>
      <c r="O1832" s="151"/>
      <c r="P1832" s="151"/>
      <c r="Q1832" s="7" t="str">
        <f>IF(ISBLANK(patch[[#This Row],[OwnerEmail]]),Q1831,patch[[#This Row],[OwnerEmail]])</f>
        <v>gang.a.hu@intel.com</v>
      </c>
      <c r="R1832" s="7" t="str">
        <f>_xlfn.IFNA(VLOOKUP(patch[[#This Row],[tmp-owner.email]],OrgTree!$A:$K, 11, 0), "not ICG SWFW")</f>
        <v>BJ And dev</v>
      </c>
      <c r="S1832" s="7" t="str">
        <f>IF(patch[[#This Row],[reviewer]]=patch[[#This Row],[tmp-owner.email]], "author", _xlfn.IFNA(VLOOKUP(patch[[#This Row],[reviewer]],OrgTree!$A:$K, 11, 0), "not ICG SWFW"))</f>
        <v>author</v>
      </c>
      <c r="T1832" s="7" t="str">
        <f>IF(ISBLANK(patch[[#This Row],[mergeDate]]), "", MID(YEAR(patch[[#This Row],[mergeDate]]), 3,2)&amp;"'ww"&amp;WEEKNUM(patch[[#This Row],[mergeDate]]))</f>
        <v>16'ww38</v>
      </c>
      <c r="U1832" s="7" t="str">
        <f>IF(ISBLANK(patch[[#This Row],[mergeDate]]), U1831, MID(YEAR(patch[[#This Row],[mergeDate]]), 3,2)&amp;"'m"&amp;MONTH(patch[[#This Row],[mergeDate]]))</f>
        <v>16'm9</v>
      </c>
      <c r="V1832" s="7" t="str">
        <f>IF(ISBLANK(patch[[#This Row],[project]]), "",SUM(patch[[#This Row],[BJ -1 num]:[SH -1 num]]))</f>
        <v/>
      </c>
      <c r="W1832" s="7" t="str">
        <f>IF(ISBLANK(patch[[#This Row],[project]]), "",COUNTIFS($A:$A,patch[[#This Row],[number]],$S:$S, "BJ And dev",$AC:$AC, "Review-1"))</f>
        <v/>
      </c>
      <c r="X1832" s="7" t="str">
        <f>IF(ISBLANK(patch[[#This Row],[project]]), "",COUNTIFS($A:$A,patch[[#This Row],[number]],$S:$S, "FL And dev",$AC:$AC, "Review-1"))</f>
        <v/>
      </c>
      <c r="Y1832" s="7" t="str">
        <f>IF(ISBLANK(patch[[#This Row],[project]]), "",COUNTIFS($A:$A,patch[[#This Row],[number]],$S:$S, "SH And dev",$AC:$AC, "Review-1"))</f>
        <v/>
      </c>
      <c r="Z1832" s="7" t="str">
        <f>IF(ISBLANK(patch[[#This Row],[project]]), "",COUNTIFS($A:$A,patch[[#This Row],[number]],$S:$S, "BJ And dev",$AD:$AD, "&lt;&gt;IntegratorValidationComment"))</f>
        <v/>
      </c>
      <c r="AA1832" s="7" t="str">
        <f>IF(ISBLANK(patch[[#This Row],[project]]), "",COUNTIFS($A:$A,patch[[#This Row],[number]],$S:$S, "FL And dev",$AD:$AD, "&lt;&gt;IntegratorValidationComment"))</f>
        <v/>
      </c>
      <c r="AB1832" s="7" t="str">
        <f>IF(ISBLANK(patch[[#This Row],[project]]), "",COUNTIFS($A:$A,patch[[#This Row],[number]],$S:$S, "SH And dev",$AD:$AD, "&lt;&gt;IntegratorValidationComment"))</f>
        <v/>
      </c>
      <c r="AC1832" s="7" t="str">
        <f>IF(OR(ISNUMBER(FIND("Review-1", patch[[#This Row],[comments]])), ISNUMBER(FIND("Approver-1", patch[[#This Row],[comments]]))), "Review-1", "")</f>
        <v/>
      </c>
      <c r="AD18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32" s="7">
        <f>IF(ISBLANK(patch[[#This Row],[number]]),AE1831,patch[[#This Row],[ifCommon]])</f>
        <v>0</v>
      </c>
    </row>
    <row r="1833" spans="1:31">
      <c r="A1833" s="151">
        <v>142677</v>
      </c>
      <c r="B1833" s="151"/>
      <c r="C1833" s="151"/>
      <c r="D1833" s="151"/>
      <c r="E1833" s="151"/>
      <c r="F1833" s="151"/>
      <c r="G1833" s="151"/>
      <c r="H1833" s="151"/>
      <c r="I1833" s="151"/>
      <c r="J1833" s="152">
        <v>42627.659317129634</v>
      </c>
      <c r="K1833" s="151"/>
      <c r="L1833" s="151" t="s">
        <v>32</v>
      </c>
      <c r="M1833" s="152">
        <v>42622.483634259261</v>
      </c>
      <c r="N1833" s="151" t="s">
        <v>2479</v>
      </c>
      <c r="O1833" s="151"/>
      <c r="P1833" s="151"/>
      <c r="Q1833" s="7" t="str">
        <f>IF(ISBLANK(patch[[#This Row],[OwnerEmail]]),Q1832,patch[[#This Row],[OwnerEmail]])</f>
        <v>gang.a.hu@intel.com</v>
      </c>
      <c r="R1833" s="7" t="str">
        <f>_xlfn.IFNA(VLOOKUP(patch[[#This Row],[tmp-owner.email]],OrgTree!$A:$K, 11, 0), "not ICG SWFW")</f>
        <v>BJ And dev</v>
      </c>
      <c r="S1833" s="7" t="str">
        <f>IF(patch[[#This Row],[reviewer]]=patch[[#This Row],[tmp-owner.email]], "author", _xlfn.IFNA(VLOOKUP(patch[[#This Row],[reviewer]],OrgTree!$A:$K, 11, 0), "not ICG SWFW"))</f>
        <v>author</v>
      </c>
      <c r="T1833" s="7" t="str">
        <f>IF(ISBLANK(patch[[#This Row],[mergeDate]]), "", MID(YEAR(patch[[#This Row],[mergeDate]]), 3,2)&amp;"'ww"&amp;WEEKNUM(patch[[#This Row],[mergeDate]]))</f>
        <v>16'ww38</v>
      </c>
      <c r="U1833" s="7" t="str">
        <f>IF(ISBLANK(patch[[#This Row],[mergeDate]]), U1832, MID(YEAR(patch[[#This Row],[mergeDate]]), 3,2)&amp;"'m"&amp;MONTH(patch[[#This Row],[mergeDate]]))</f>
        <v>16'm9</v>
      </c>
      <c r="V1833" s="7" t="str">
        <f>IF(ISBLANK(patch[[#This Row],[project]]), "",SUM(patch[[#This Row],[BJ -1 num]:[SH -1 num]]))</f>
        <v/>
      </c>
      <c r="W1833" s="7" t="str">
        <f>IF(ISBLANK(patch[[#This Row],[project]]), "",COUNTIFS($A:$A,patch[[#This Row],[number]],$S:$S, "BJ And dev",$AC:$AC, "Review-1"))</f>
        <v/>
      </c>
      <c r="X1833" s="7" t="str">
        <f>IF(ISBLANK(patch[[#This Row],[project]]), "",COUNTIFS($A:$A,patch[[#This Row],[number]],$S:$S, "FL And dev",$AC:$AC, "Review-1"))</f>
        <v/>
      </c>
      <c r="Y1833" s="7" t="str">
        <f>IF(ISBLANK(patch[[#This Row],[project]]), "",COUNTIFS($A:$A,patch[[#This Row],[number]],$S:$S, "SH And dev",$AC:$AC, "Review-1"))</f>
        <v/>
      </c>
      <c r="Z1833" s="7" t="str">
        <f>IF(ISBLANK(patch[[#This Row],[project]]), "",COUNTIFS($A:$A,patch[[#This Row],[number]],$S:$S, "BJ And dev",$AD:$AD, "&lt;&gt;IntegratorValidationComment"))</f>
        <v/>
      </c>
      <c r="AA1833" s="7" t="str">
        <f>IF(ISBLANK(patch[[#This Row],[project]]), "",COUNTIFS($A:$A,patch[[#This Row],[number]],$S:$S, "FL And dev",$AD:$AD, "&lt;&gt;IntegratorValidationComment"))</f>
        <v/>
      </c>
      <c r="AB1833" s="7" t="str">
        <f>IF(ISBLANK(patch[[#This Row],[project]]), "",COUNTIFS($A:$A,patch[[#This Row],[number]],$S:$S, "SH And dev",$AD:$AD, "&lt;&gt;IntegratorValidationComment"))</f>
        <v/>
      </c>
      <c r="AC1833" s="7" t="str">
        <f>IF(OR(ISNUMBER(FIND("Review-1", patch[[#This Row],[comments]])), ISNUMBER(FIND("Approver-1", patch[[#This Row],[comments]]))), "Review-1", "")</f>
        <v/>
      </c>
      <c r="AD18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33" s="7">
        <f>IF(ISBLANK(patch[[#This Row],[number]]),AE1832,patch[[#This Row],[ifCommon]])</f>
        <v>0</v>
      </c>
    </row>
    <row r="1834" spans="1:31">
      <c r="A1834" s="151">
        <v>142677</v>
      </c>
      <c r="B1834" s="151"/>
      <c r="C1834" s="151"/>
      <c r="D1834" s="151"/>
      <c r="E1834" s="151"/>
      <c r="F1834" s="151"/>
      <c r="G1834" s="151"/>
      <c r="H1834" s="151"/>
      <c r="I1834" s="151"/>
      <c r="J1834" s="152">
        <v>42627.659317129634</v>
      </c>
      <c r="K1834" s="151"/>
      <c r="L1834" s="151" t="s">
        <v>59</v>
      </c>
      <c r="M1834" s="152">
        <v>42622.48809027778</v>
      </c>
      <c r="N1834" s="151" t="s">
        <v>3482</v>
      </c>
      <c r="O1834" s="151"/>
      <c r="P1834" s="151"/>
      <c r="Q1834" s="7" t="str">
        <f>IF(ISBLANK(patch[[#This Row],[OwnerEmail]]),Q1833,patch[[#This Row],[OwnerEmail]])</f>
        <v>gang.a.hu@intel.com</v>
      </c>
      <c r="R1834" s="7" t="str">
        <f>_xlfn.IFNA(VLOOKUP(patch[[#This Row],[tmp-owner.email]],OrgTree!$A:$K, 11, 0), "not ICG SWFW")</f>
        <v>BJ And dev</v>
      </c>
      <c r="S1834" s="7" t="str">
        <f>IF(patch[[#This Row],[reviewer]]=patch[[#This Row],[tmp-owner.email]], "author", _xlfn.IFNA(VLOOKUP(patch[[#This Row],[reviewer]],OrgTree!$A:$K, 11, 0), "not ICG SWFW"))</f>
        <v>BJ And dev</v>
      </c>
      <c r="T1834" s="7" t="str">
        <f>IF(ISBLANK(patch[[#This Row],[mergeDate]]), "", MID(YEAR(patch[[#This Row],[mergeDate]]), 3,2)&amp;"'ww"&amp;WEEKNUM(patch[[#This Row],[mergeDate]]))</f>
        <v>16'ww38</v>
      </c>
      <c r="U1834" s="7" t="str">
        <f>IF(ISBLANK(patch[[#This Row],[mergeDate]]), U1833, MID(YEAR(patch[[#This Row],[mergeDate]]), 3,2)&amp;"'m"&amp;MONTH(patch[[#This Row],[mergeDate]]))</f>
        <v>16'm9</v>
      </c>
      <c r="V1834" s="7" t="str">
        <f>IF(ISBLANK(patch[[#This Row],[project]]), "",SUM(patch[[#This Row],[BJ -1 num]:[SH -1 num]]))</f>
        <v/>
      </c>
      <c r="W1834" s="7" t="str">
        <f>IF(ISBLANK(patch[[#This Row],[project]]), "",COUNTIFS($A:$A,patch[[#This Row],[number]],$S:$S, "BJ And dev",$AC:$AC, "Review-1"))</f>
        <v/>
      </c>
      <c r="X1834" s="7" t="str">
        <f>IF(ISBLANK(patch[[#This Row],[project]]), "",COUNTIFS($A:$A,patch[[#This Row],[number]],$S:$S, "FL And dev",$AC:$AC, "Review-1"))</f>
        <v/>
      </c>
      <c r="Y1834" s="7" t="str">
        <f>IF(ISBLANK(patch[[#This Row],[project]]), "",COUNTIFS($A:$A,patch[[#This Row],[number]],$S:$S, "SH And dev",$AC:$AC, "Review-1"))</f>
        <v/>
      </c>
      <c r="Z1834" s="7" t="str">
        <f>IF(ISBLANK(patch[[#This Row],[project]]), "",COUNTIFS($A:$A,patch[[#This Row],[number]],$S:$S, "BJ And dev",$AD:$AD, "&lt;&gt;IntegratorValidationComment"))</f>
        <v/>
      </c>
      <c r="AA1834" s="7" t="str">
        <f>IF(ISBLANK(patch[[#This Row],[project]]), "",COUNTIFS($A:$A,patch[[#This Row],[number]],$S:$S, "FL And dev",$AD:$AD, "&lt;&gt;IntegratorValidationComment"))</f>
        <v/>
      </c>
      <c r="AB1834" s="7" t="str">
        <f>IF(ISBLANK(patch[[#This Row],[project]]), "",COUNTIFS($A:$A,patch[[#This Row],[number]],$S:$S, "SH And dev",$AD:$AD, "&lt;&gt;IntegratorValidationComment"))</f>
        <v/>
      </c>
      <c r="AC1834" s="7" t="str">
        <f>IF(OR(ISNUMBER(FIND("Review-1", patch[[#This Row],[comments]])), ISNUMBER(FIND("Approver-1", patch[[#This Row],[comments]]))), "Review-1", "")</f>
        <v/>
      </c>
      <c r="AD18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34" s="7">
        <f>IF(ISBLANK(patch[[#This Row],[number]]),AE1833,patch[[#This Row],[ifCommon]])</f>
        <v>0</v>
      </c>
    </row>
    <row r="1835" spans="1:31">
      <c r="A1835" s="151">
        <v>142677</v>
      </c>
      <c r="B1835" s="151"/>
      <c r="C1835" s="151"/>
      <c r="D1835" s="151"/>
      <c r="E1835" s="151"/>
      <c r="F1835" s="151"/>
      <c r="G1835" s="151"/>
      <c r="H1835" s="151"/>
      <c r="I1835" s="151"/>
      <c r="J1835" s="152">
        <v>42627.659317129634</v>
      </c>
      <c r="K1835" s="151"/>
      <c r="L1835" s="151" t="s">
        <v>59</v>
      </c>
      <c r="M1835" s="152">
        <v>42622.491851851853</v>
      </c>
      <c r="N1835" s="151" t="s">
        <v>3483</v>
      </c>
      <c r="O1835" s="151"/>
      <c r="P1835" s="151"/>
      <c r="Q1835" s="7" t="str">
        <f>IF(ISBLANK(patch[[#This Row],[OwnerEmail]]),Q1834,patch[[#This Row],[OwnerEmail]])</f>
        <v>gang.a.hu@intel.com</v>
      </c>
      <c r="R1835" s="7" t="str">
        <f>_xlfn.IFNA(VLOOKUP(patch[[#This Row],[tmp-owner.email]],OrgTree!$A:$K, 11, 0), "not ICG SWFW")</f>
        <v>BJ And dev</v>
      </c>
      <c r="S1835" s="7" t="str">
        <f>IF(patch[[#This Row],[reviewer]]=patch[[#This Row],[tmp-owner.email]], "author", _xlfn.IFNA(VLOOKUP(patch[[#This Row],[reviewer]],OrgTree!$A:$K, 11, 0), "not ICG SWFW"))</f>
        <v>BJ And dev</v>
      </c>
      <c r="T1835" s="7" t="str">
        <f>IF(ISBLANK(patch[[#This Row],[mergeDate]]), "", MID(YEAR(patch[[#This Row],[mergeDate]]), 3,2)&amp;"'ww"&amp;WEEKNUM(patch[[#This Row],[mergeDate]]))</f>
        <v>16'ww38</v>
      </c>
      <c r="U1835" s="7" t="str">
        <f>IF(ISBLANK(patch[[#This Row],[mergeDate]]), U1834, MID(YEAR(patch[[#This Row],[mergeDate]]), 3,2)&amp;"'m"&amp;MONTH(patch[[#This Row],[mergeDate]]))</f>
        <v>16'm9</v>
      </c>
      <c r="V1835" s="7" t="str">
        <f>IF(ISBLANK(patch[[#This Row],[project]]), "",SUM(patch[[#This Row],[BJ -1 num]:[SH -1 num]]))</f>
        <v/>
      </c>
      <c r="W1835" s="7" t="str">
        <f>IF(ISBLANK(patch[[#This Row],[project]]), "",COUNTIFS($A:$A,patch[[#This Row],[number]],$S:$S, "BJ And dev",$AC:$AC, "Review-1"))</f>
        <v/>
      </c>
      <c r="X1835" s="7" t="str">
        <f>IF(ISBLANK(patch[[#This Row],[project]]), "",COUNTIFS($A:$A,patch[[#This Row],[number]],$S:$S, "FL And dev",$AC:$AC, "Review-1"))</f>
        <v/>
      </c>
      <c r="Y1835" s="7" t="str">
        <f>IF(ISBLANK(patch[[#This Row],[project]]), "",COUNTIFS($A:$A,patch[[#This Row],[number]],$S:$S, "SH And dev",$AC:$AC, "Review-1"))</f>
        <v/>
      </c>
      <c r="Z1835" s="7" t="str">
        <f>IF(ISBLANK(patch[[#This Row],[project]]), "",COUNTIFS($A:$A,patch[[#This Row],[number]],$S:$S, "BJ And dev",$AD:$AD, "&lt;&gt;IntegratorValidationComment"))</f>
        <v/>
      </c>
      <c r="AA1835" s="7" t="str">
        <f>IF(ISBLANK(patch[[#This Row],[project]]), "",COUNTIFS($A:$A,patch[[#This Row],[number]],$S:$S, "FL And dev",$AD:$AD, "&lt;&gt;IntegratorValidationComment"))</f>
        <v/>
      </c>
      <c r="AB1835" s="7" t="str">
        <f>IF(ISBLANK(patch[[#This Row],[project]]), "",COUNTIFS($A:$A,patch[[#This Row],[number]],$S:$S, "SH And dev",$AD:$AD, "&lt;&gt;IntegratorValidationComment"))</f>
        <v/>
      </c>
      <c r="AC1835" s="7" t="str">
        <f>IF(OR(ISNUMBER(FIND("Review-1", patch[[#This Row],[comments]])), ISNUMBER(FIND("Approver-1", patch[[#This Row],[comments]]))), "Review-1", "")</f>
        <v/>
      </c>
      <c r="AD18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35" s="7">
        <f>IF(ISBLANK(patch[[#This Row],[number]]),AE1834,patch[[#This Row],[ifCommon]])</f>
        <v>0</v>
      </c>
    </row>
    <row r="1836" spans="1:31">
      <c r="A1836" s="151">
        <v>142677</v>
      </c>
      <c r="B1836" s="151"/>
      <c r="C1836" s="151"/>
      <c r="D1836" s="151"/>
      <c r="E1836" s="151"/>
      <c r="F1836" s="151"/>
      <c r="G1836" s="151"/>
      <c r="H1836" s="151"/>
      <c r="I1836" s="151"/>
      <c r="J1836" s="152">
        <v>42627.659317129634</v>
      </c>
      <c r="K1836" s="151"/>
      <c r="L1836" s="151" t="s">
        <v>59</v>
      </c>
      <c r="M1836" s="152">
        <v>42622.496828703697</v>
      </c>
      <c r="N1836" s="151" t="s">
        <v>2541</v>
      </c>
      <c r="O1836" s="151"/>
      <c r="P1836" s="151"/>
      <c r="Q1836" s="7" t="str">
        <f>IF(ISBLANK(patch[[#This Row],[OwnerEmail]]),Q1835,patch[[#This Row],[OwnerEmail]])</f>
        <v>gang.a.hu@intel.com</v>
      </c>
      <c r="R1836" s="7" t="str">
        <f>_xlfn.IFNA(VLOOKUP(patch[[#This Row],[tmp-owner.email]],OrgTree!$A:$K, 11, 0), "not ICG SWFW")</f>
        <v>BJ And dev</v>
      </c>
      <c r="S1836" s="7" t="str">
        <f>IF(patch[[#This Row],[reviewer]]=patch[[#This Row],[tmp-owner.email]], "author", _xlfn.IFNA(VLOOKUP(patch[[#This Row],[reviewer]],OrgTree!$A:$K, 11, 0), "not ICG SWFW"))</f>
        <v>BJ And dev</v>
      </c>
      <c r="T1836" s="7" t="str">
        <f>IF(ISBLANK(patch[[#This Row],[mergeDate]]), "", MID(YEAR(patch[[#This Row],[mergeDate]]), 3,2)&amp;"'ww"&amp;WEEKNUM(patch[[#This Row],[mergeDate]]))</f>
        <v>16'ww38</v>
      </c>
      <c r="U1836" s="7" t="str">
        <f>IF(ISBLANK(patch[[#This Row],[mergeDate]]), U1835, MID(YEAR(patch[[#This Row],[mergeDate]]), 3,2)&amp;"'m"&amp;MONTH(patch[[#This Row],[mergeDate]]))</f>
        <v>16'm9</v>
      </c>
      <c r="V1836" s="7" t="str">
        <f>IF(ISBLANK(patch[[#This Row],[project]]), "",SUM(patch[[#This Row],[BJ -1 num]:[SH -1 num]]))</f>
        <v/>
      </c>
      <c r="W1836" s="7" t="str">
        <f>IF(ISBLANK(patch[[#This Row],[project]]), "",COUNTIFS($A:$A,patch[[#This Row],[number]],$S:$S, "BJ And dev",$AC:$AC, "Review-1"))</f>
        <v/>
      </c>
      <c r="X1836" s="7" t="str">
        <f>IF(ISBLANK(patch[[#This Row],[project]]), "",COUNTIFS($A:$A,patch[[#This Row],[number]],$S:$S, "FL And dev",$AC:$AC, "Review-1"))</f>
        <v/>
      </c>
      <c r="Y1836" s="7" t="str">
        <f>IF(ISBLANK(patch[[#This Row],[project]]), "",COUNTIFS($A:$A,patch[[#This Row],[number]],$S:$S, "SH And dev",$AC:$AC, "Review-1"))</f>
        <v/>
      </c>
      <c r="Z1836" s="7" t="str">
        <f>IF(ISBLANK(patch[[#This Row],[project]]), "",COUNTIFS($A:$A,patch[[#This Row],[number]],$S:$S, "BJ And dev",$AD:$AD, "&lt;&gt;IntegratorValidationComment"))</f>
        <v/>
      </c>
      <c r="AA1836" s="7" t="str">
        <f>IF(ISBLANK(patch[[#This Row],[project]]), "",COUNTIFS($A:$A,patch[[#This Row],[number]],$S:$S, "FL And dev",$AD:$AD, "&lt;&gt;IntegratorValidationComment"))</f>
        <v/>
      </c>
      <c r="AB1836" s="7" t="str">
        <f>IF(ISBLANK(patch[[#This Row],[project]]), "",COUNTIFS($A:$A,patch[[#This Row],[number]],$S:$S, "SH And dev",$AD:$AD, "&lt;&gt;IntegratorValidationComment"))</f>
        <v/>
      </c>
      <c r="AC1836" s="7" t="str">
        <f>IF(OR(ISNUMBER(FIND("Review-1", patch[[#This Row],[comments]])), ISNUMBER(FIND("Approver-1", patch[[#This Row],[comments]]))), "Review-1", "")</f>
        <v/>
      </c>
      <c r="AD18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36" s="7">
        <f>IF(ISBLANK(patch[[#This Row],[number]]),AE1835,patch[[#This Row],[ifCommon]])</f>
        <v>0</v>
      </c>
    </row>
    <row r="1837" spans="1:31">
      <c r="A1837" s="151">
        <v>142677</v>
      </c>
      <c r="B1837" s="151"/>
      <c r="C1837" s="151"/>
      <c r="D1837" s="151"/>
      <c r="E1837" s="151"/>
      <c r="F1837" s="151"/>
      <c r="G1837" s="151"/>
      <c r="H1837" s="151"/>
      <c r="I1837" s="151"/>
      <c r="J1837" s="152">
        <v>42627.659317129634</v>
      </c>
      <c r="K1837" s="151"/>
      <c r="L1837" s="151" t="s">
        <v>32</v>
      </c>
      <c r="M1837" s="152">
        <v>42622.500775462962</v>
      </c>
      <c r="N1837" s="151" t="s">
        <v>2525</v>
      </c>
      <c r="O1837" s="151"/>
      <c r="P1837" s="151"/>
      <c r="Q1837" s="7" t="str">
        <f>IF(ISBLANK(patch[[#This Row],[OwnerEmail]]),Q1836,patch[[#This Row],[OwnerEmail]])</f>
        <v>gang.a.hu@intel.com</v>
      </c>
      <c r="R1837" s="7" t="str">
        <f>_xlfn.IFNA(VLOOKUP(patch[[#This Row],[tmp-owner.email]],OrgTree!$A:$K, 11, 0), "not ICG SWFW")</f>
        <v>BJ And dev</v>
      </c>
      <c r="S1837" s="7" t="str">
        <f>IF(patch[[#This Row],[reviewer]]=patch[[#This Row],[tmp-owner.email]], "author", _xlfn.IFNA(VLOOKUP(patch[[#This Row],[reviewer]],OrgTree!$A:$K, 11, 0), "not ICG SWFW"))</f>
        <v>author</v>
      </c>
      <c r="T1837" s="7" t="str">
        <f>IF(ISBLANK(patch[[#This Row],[mergeDate]]), "", MID(YEAR(patch[[#This Row],[mergeDate]]), 3,2)&amp;"'ww"&amp;WEEKNUM(patch[[#This Row],[mergeDate]]))</f>
        <v>16'ww38</v>
      </c>
      <c r="U1837" s="7" t="str">
        <f>IF(ISBLANK(patch[[#This Row],[mergeDate]]), U1836, MID(YEAR(patch[[#This Row],[mergeDate]]), 3,2)&amp;"'m"&amp;MONTH(patch[[#This Row],[mergeDate]]))</f>
        <v>16'm9</v>
      </c>
      <c r="V1837" s="7" t="str">
        <f>IF(ISBLANK(patch[[#This Row],[project]]), "",SUM(patch[[#This Row],[BJ -1 num]:[SH -1 num]]))</f>
        <v/>
      </c>
      <c r="W1837" s="7" t="str">
        <f>IF(ISBLANK(patch[[#This Row],[project]]), "",COUNTIFS($A:$A,patch[[#This Row],[number]],$S:$S, "BJ And dev",$AC:$AC, "Review-1"))</f>
        <v/>
      </c>
      <c r="X1837" s="7" t="str">
        <f>IF(ISBLANK(patch[[#This Row],[project]]), "",COUNTIFS($A:$A,patch[[#This Row],[number]],$S:$S, "FL And dev",$AC:$AC, "Review-1"))</f>
        <v/>
      </c>
      <c r="Y1837" s="7" t="str">
        <f>IF(ISBLANK(patch[[#This Row],[project]]), "",COUNTIFS($A:$A,patch[[#This Row],[number]],$S:$S, "SH And dev",$AC:$AC, "Review-1"))</f>
        <v/>
      </c>
      <c r="Z1837" s="7" t="str">
        <f>IF(ISBLANK(patch[[#This Row],[project]]), "",COUNTIFS($A:$A,patch[[#This Row],[number]],$S:$S, "BJ And dev",$AD:$AD, "&lt;&gt;IntegratorValidationComment"))</f>
        <v/>
      </c>
      <c r="AA1837" s="7" t="str">
        <f>IF(ISBLANK(patch[[#This Row],[project]]), "",COUNTIFS($A:$A,patch[[#This Row],[number]],$S:$S, "FL And dev",$AD:$AD, "&lt;&gt;IntegratorValidationComment"))</f>
        <v/>
      </c>
      <c r="AB1837" s="7" t="str">
        <f>IF(ISBLANK(patch[[#This Row],[project]]), "",COUNTIFS($A:$A,patch[[#This Row],[number]],$S:$S, "SH And dev",$AD:$AD, "&lt;&gt;IntegratorValidationComment"))</f>
        <v/>
      </c>
      <c r="AC1837" s="7" t="str">
        <f>IF(OR(ISNUMBER(FIND("Review-1", patch[[#This Row],[comments]])), ISNUMBER(FIND("Approver-1", patch[[#This Row],[comments]]))), "Review-1", "")</f>
        <v/>
      </c>
      <c r="AD18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37" s="7">
        <f>IF(ISBLANK(patch[[#This Row],[number]]),AE1836,patch[[#This Row],[ifCommon]])</f>
        <v>0</v>
      </c>
    </row>
    <row r="1838" spans="1:31">
      <c r="A1838" s="151">
        <v>142677</v>
      </c>
      <c r="B1838" s="151"/>
      <c r="C1838" s="151"/>
      <c r="D1838" s="151"/>
      <c r="E1838" s="151"/>
      <c r="F1838" s="151"/>
      <c r="G1838" s="151"/>
      <c r="H1838" s="151"/>
      <c r="I1838" s="151"/>
      <c r="J1838" s="152">
        <v>42627.659317129634</v>
      </c>
      <c r="K1838" s="151"/>
      <c r="L1838" s="151" t="s">
        <v>32</v>
      </c>
      <c r="M1838" s="152">
        <v>42622.500798611109</v>
      </c>
      <c r="N1838" s="151" t="s">
        <v>2526</v>
      </c>
      <c r="O1838" s="151"/>
      <c r="P1838" s="151"/>
      <c r="Q1838" s="7" t="str">
        <f>IF(ISBLANK(patch[[#This Row],[OwnerEmail]]),Q1837,patch[[#This Row],[OwnerEmail]])</f>
        <v>gang.a.hu@intel.com</v>
      </c>
      <c r="R1838" s="7" t="str">
        <f>_xlfn.IFNA(VLOOKUP(patch[[#This Row],[tmp-owner.email]],OrgTree!$A:$K, 11, 0), "not ICG SWFW")</f>
        <v>BJ And dev</v>
      </c>
      <c r="S1838" s="7" t="str">
        <f>IF(patch[[#This Row],[reviewer]]=patch[[#This Row],[tmp-owner.email]], "author", _xlfn.IFNA(VLOOKUP(patch[[#This Row],[reviewer]],OrgTree!$A:$K, 11, 0), "not ICG SWFW"))</f>
        <v>author</v>
      </c>
      <c r="T1838" s="7" t="str">
        <f>IF(ISBLANK(patch[[#This Row],[mergeDate]]), "", MID(YEAR(patch[[#This Row],[mergeDate]]), 3,2)&amp;"'ww"&amp;WEEKNUM(patch[[#This Row],[mergeDate]]))</f>
        <v>16'ww38</v>
      </c>
      <c r="U1838" s="7" t="str">
        <f>IF(ISBLANK(patch[[#This Row],[mergeDate]]), U1837, MID(YEAR(patch[[#This Row],[mergeDate]]), 3,2)&amp;"'m"&amp;MONTH(patch[[#This Row],[mergeDate]]))</f>
        <v>16'm9</v>
      </c>
      <c r="V1838" s="7" t="str">
        <f>IF(ISBLANK(patch[[#This Row],[project]]), "",SUM(patch[[#This Row],[BJ -1 num]:[SH -1 num]]))</f>
        <v/>
      </c>
      <c r="W1838" s="7" t="str">
        <f>IF(ISBLANK(patch[[#This Row],[project]]), "",COUNTIFS($A:$A,patch[[#This Row],[number]],$S:$S, "BJ And dev",$AC:$AC, "Review-1"))</f>
        <v/>
      </c>
      <c r="X1838" s="7" t="str">
        <f>IF(ISBLANK(patch[[#This Row],[project]]), "",COUNTIFS($A:$A,patch[[#This Row],[number]],$S:$S, "FL And dev",$AC:$AC, "Review-1"))</f>
        <v/>
      </c>
      <c r="Y1838" s="7" t="str">
        <f>IF(ISBLANK(patch[[#This Row],[project]]), "",COUNTIFS($A:$A,patch[[#This Row],[number]],$S:$S, "SH And dev",$AC:$AC, "Review-1"))</f>
        <v/>
      </c>
      <c r="Z1838" s="7" t="str">
        <f>IF(ISBLANK(patch[[#This Row],[project]]), "",COUNTIFS($A:$A,patch[[#This Row],[number]],$S:$S, "BJ And dev",$AD:$AD, "&lt;&gt;IntegratorValidationComment"))</f>
        <v/>
      </c>
      <c r="AA1838" s="7" t="str">
        <f>IF(ISBLANK(patch[[#This Row],[project]]), "",COUNTIFS($A:$A,patch[[#This Row],[number]],$S:$S, "FL And dev",$AD:$AD, "&lt;&gt;IntegratorValidationComment"))</f>
        <v/>
      </c>
      <c r="AB1838" s="7" t="str">
        <f>IF(ISBLANK(patch[[#This Row],[project]]), "",COUNTIFS($A:$A,patch[[#This Row],[number]],$S:$S, "SH And dev",$AD:$AD, "&lt;&gt;IntegratorValidationComment"))</f>
        <v/>
      </c>
      <c r="AC1838" s="7" t="str">
        <f>IF(OR(ISNUMBER(FIND("Review-1", patch[[#This Row],[comments]])), ISNUMBER(FIND("Approver-1", patch[[#This Row],[comments]]))), "Review-1", "")</f>
        <v/>
      </c>
      <c r="AD18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38" s="7">
        <f>IF(ISBLANK(patch[[#This Row],[number]]),AE1837,patch[[#This Row],[ifCommon]])</f>
        <v>0</v>
      </c>
    </row>
    <row r="1839" spans="1:31">
      <c r="A1839" s="151">
        <v>142677</v>
      </c>
      <c r="B1839" s="151"/>
      <c r="C1839" s="151"/>
      <c r="D1839" s="151"/>
      <c r="E1839" s="151"/>
      <c r="F1839" s="151"/>
      <c r="G1839" s="151"/>
      <c r="H1839" s="151"/>
      <c r="I1839" s="152"/>
      <c r="J1839" s="152">
        <v>42627.659317129634</v>
      </c>
      <c r="K1839" s="151"/>
      <c r="L1839" s="151" t="s">
        <v>32</v>
      </c>
      <c r="M1839" s="152">
        <v>42622.501099537039</v>
      </c>
      <c r="N1839" s="151" t="s">
        <v>2559</v>
      </c>
      <c r="O1839" s="151"/>
      <c r="P1839" s="151"/>
      <c r="Q1839" s="7" t="str">
        <f>IF(ISBLANK(patch[[#This Row],[OwnerEmail]]),Q1838,patch[[#This Row],[OwnerEmail]])</f>
        <v>gang.a.hu@intel.com</v>
      </c>
      <c r="R1839" s="7" t="str">
        <f>_xlfn.IFNA(VLOOKUP(patch[[#This Row],[tmp-owner.email]],OrgTree!$A:$K, 11, 0), "not ICG SWFW")</f>
        <v>BJ And dev</v>
      </c>
      <c r="S1839" s="7" t="str">
        <f>IF(patch[[#This Row],[reviewer]]=patch[[#This Row],[tmp-owner.email]], "author", _xlfn.IFNA(VLOOKUP(patch[[#This Row],[reviewer]],OrgTree!$A:$K, 11, 0), "not ICG SWFW"))</f>
        <v>author</v>
      </c>
      <c r="T1839" s="7" t="str">
        <f>IF(ISBLANK(patch[[#This Row],[mergeDate]]), "", MID(YEAR(patch[[#This Row],[mergeDate]]), 3,2)&amp;"'ww"&amp;WEEKNUM(patch[[#This Row],[mergeDate]]))</f>
        <v>16'ww38</v>
      </c>
      <c r="U1839" s="7" t="str">
        <f>IF(ISBLANK(patch[[#This Row],[mergeDate]]), U1838, MID(YEAR(patch[[#This Row],[mergeDate]]), 3,2)&amp;"'m"&amp;MONTH(patch[[#This Row],[mergeDate]]))</f>
        <v>16'm9</v>
      </c>
      <c r="V1839" s="7" t="str">
        <f>IF(ISBLANK(patch[[#This Row],[project]]), "",SUM(patch[[#This Row],[BJ -1 num]:[SH -1 num]]))</f>
        <v/>
      </c>
      <c r="W1839" s="7" t="str">
        <f>IF(ISBLANK(patch[[#This Row],[project]]), "",COUNTIFS($A:$A,patch[[#This Row],[number]],$S:$S, "BJ And dev",$AC:$AC, "Review-1"))</f>
        <v/>
      </c>
      <c r="X1839" s="7" t="str">
        <f>IF(ISBLANK(patch[[#This Row],[project]]), "",COUNTIFS($A:$A,patch[[#This Row],[number]],$S:$S, "FL And dev",$AC:$AC, "Review-1"))</f>
        <v/>
      </c>
      <c r="Y1839" s="7" t="str">
        <f>IF(ISBLANK(patch[[#This Row],[project]]), "",COUNTIFS($A:$A,patch[[#This Row],[number]],$S:$S, "SH And dev",$AC:$AC, "Review-1"))</f>
        <v/>
      </c>
      <c r="Z1839" s="7" t="str">
        <f>IF(ISBLANK(patch[[#This Row],[project]]), "",COUNTIFS($A:$A,patch[[#This Row],[number]],$S:$S, "BJ And dev",$AD:$AD, "&lt;&gt;IntegratorValidationComment"))</f>
        <v/>
      </c>
      <c r="AA1839" s="7" t="str">
        <f>IF(ISBLANK(patch[[#This Row],[project]]), "",COUNTIFS($A:$A,patch[[#This Row],[number]],$S:$S, "FL And dev",$AD:$AD, "&lt;&gt;IntegratorValidationComment"))</f>
        <v/>
      </c>
      <c r="AB1839" s="7" t="str">
        <f>IF(ISBLANK(patch[[#This Row],[project]]), "",COUNTIFS($A:$A,patch[[#This Row],[number]],$S:$S, "SH And dev",$AD:$AD, "&lt;&gt;IntegratorValidationComment"))</f>
        <v/>
      </c>
      <c r="AC1839" s="7" t="str">
        <f>IF(OR(ISNUMBER(FIND("Review-1", patch[[#This Row],[comments]])), ISNUMBER(FIND("Approver-1", patch[[#This Row],[comments]]))), "Review-1", "")</f>
        <v/>
      </c>
      <c r="AD18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39" s="7">
        <f>IF(ISBLANK(patch[[#This Row],[number]]),AE1838,patch[[#This Row],[ifCommon]])</f>
        <v>0</v>
      </c>
    </row>
    <row r="1840" spans="1:31">
      <c r="A1840" s="151">
        <v>142677</v>
      </c>
      <c r="B1840" s="151"/>
      <c r="C1840" s="151"/>
      <c r="D1840" s="151"/>
      <c r="E1840" s="151"/>
      <c r="F1840" s="151"/>
      <c r="G1840" s="151"/>
      <c r="H1840" s="151"/>
      <c r="I1840" s="151"/>
      <c r="J1840" s="152">
        <v>42627.659317129634</v>
      </c>
      <c r="K1840" s="151"/>
      <c r="L1840" s="151" t="s">
        <v>59</v>
      </c>
      <c r="M1840" s="152">
        <v>42622.509108796286</v>
      </c>
      <c r="N1840" s="151" t="s">
        <v>3484</v>
      </c>
      <c r="O1840" s="151"/>
      <c r="P1840" s="151"/>
      <c r="Q1840" s="7" t="str">
        <f>IF(ISBLANK(patch[[#This Row],[OwnerEmail]]),Q1839,patch[[#This Row],[OwnerEmail]])</f>
        <v>gang.a.hu@intel.com</v>
      </c>
      <c r="R1840" s="7" t="str">
        <f>_xlfn.IFNA(VLOOKUP(patch[[#This Row],[tmp-owner.email]],OrgTree!$A:$K, 11, 0), "not ICG SWFW")</f>
        <v>BJ And dev</v>
      </c>
      <c r="S1840" s="7" t="str">
        <f>IF(patch[[#This Row],[reviewer]]=patch[[#This Row],[tmp-owner.email]], "author", _xlfn.IFNA(VLOOKUP(patch[[#This Row],[reviewer]],OrgTree!$A:$K, 11, 0), "not ICG SWFW"))</f>
        <v>BJ And dev</v>
      </c>
      <c r="T1840" s="7" t="str">
        <f>IF(ISBLANK(patch[[#This Row],[mergeDate]]), "", MID(YEAR(patch[[#This Row],[mergeDate]]), 3,2)&amp;"'ww"&amp;WEEKNUM(patch[[#This Row],[mergeDate]]))</f>
        <v>16'ww38</v>
      </c>
      <c r="U1840" s="7" t="str">
        <f>IF(ISBLANK(patch[[#This Row],[mergeDate]]), U1839, MID(YEAR(patch[[#This Row],[mergeDate]]), 3,2)&amp;"'m"&amp;MONTH(patch[[#This Row],[mergeDate]]))</f>
        <v>16'm9</v>
      </c>
      <c r="V1840" s="7" t="str">
        <f>IF(ISBLANK(patch[[#This Row],[project]]), "",SUM(patch[[#This Row],[BJ -1 num]:[SH -1 num]]))</f>
        <v/>
      </c>
      <c r="W1840" s="7" t="str">
        <f>IF(ISBLANK(patch[[#This Row],[project]]), "",COUNTIFS($A:$A,patch[[#This Row],[number]],$S:$S, "BJ And dev",$AC:$AC, "Review-1"))</f>
        <v/>
      </c>
      <c r="X1840" s="7" t="str">
        <f>IF(ISBLANK(patch[[#This Row],[project]]), "",COUNTIFS($A:$A,patch[[#This Row],[number]],$S:$S, "FL And dev",$AC:$AC, "Review-1"))</f>
        <v/>
      </c>
      <c r="Y1840" s="7" t="str">
        <f>IF(ISBLANK(patch[[#This Row],[project]]), "",COUNTIFS($A:$A,patch[[#This Row],[number]],$S:$S, "SH And dev",$AC:$AC, "Review-1"))</f>
        <v/>
      </c>
      <c r="Z1840" s="7" t="str">
        <f>IF(ISBLANK(patch[[#This Row],[project]]), "",COUNTIFS($A:$A,patch[[#This Row],[number]],$S:$S, "BJ And dev",$AD:$AD, "&lt;&gt;IntegratorValidationComment"))</f>
        <v/>
      </c>
      <c r="AA1840" s="7" t="str">
        <f>IF(ISBLANK(patch[[#This Row],[project]]), "",COUNTIFS($A:$A,patch[[#This Row],[number]],$S:$S, "FL And dev",$AD:$AD, "&lt;&gt;IntegratorValidationComment"))</f>
        <v/>
      </c>
      <c r="AB1840" s="7" t="str">
        <f>IF(ISBLANK(patch[[#This Row],[project]]), "",COUNTIFS($A:$A,patch[[#This Row],[number]],$S:$S, "SH And dev",$AD:$AD, "&lt;&gt;IntegratorValidationComment"))</f>
        <v/>
      </c>
      <c r="AC1840" s="7" t="str">
        <f>IF(OR(ISNUMBER(FIND("Review-1", patch[[#This Row],[comments]])), ISNUMBER(FIND("Approver-1", patch[[#This Row],[comments]]))), "Review-1", "")</f>
        <v/>
      </c>
      <c r="AD18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40" s="7">
        <f>IF(ISBLANK(patch[[#This Row],[number]]),AE1839,patch[[#This Row],[ifCommon]])</f>
        <v>0</v>
      </c>
    </row>
    <row r="1841" spans="1:31">
      <c r="A1841" s="151">
        <v>142677</v>
      </c>
      <c r="B1841" s="151"/>
      <c r="C1841" s="151"/>
      <c r="D1841" s="151"/>
      <c r="E1841" s="151"/>
      <c r="F1841" s="151"/>
      <c r="G1841" s="151"/>
      <c r="H1841" s="151"/>
      <c r="I1841" s="151"/>
      <c r="J1841" s="152">
        <v>42627.659317129634</v>
      </c>
      <c r="K1841" s="151"/>
      <c r="L1841" s="151" t="s">
        <v>59</v>
      </c>
      <c r="M1841" s="152">
        <v>42622.511979166673</v>
      </c>
      <c r="N1841" s="151" t="s">
        <v>3485</v>
      </c>
      <c r="O1841" s="151"/>
      <c r="P1841" s="151"/>
      <c r="Q1841" s="7" t="str">
        <f>IF(ISBLANK(patch[[#This Row],[OwnerEmail]]),Q1840,patch[[#This Row],[OwnerEmail]])</f>
        <v>gang.a.hu@intel.com</v>
      </c>
      <c r="R1841" s="7" t="str">
        <f>_xlfn.IFNA(VLOOKUP(patch[[#This Row],[tmp-owner.email]],OrgTree!$A:$K, 11, 0), "not ICG SWFW")</f>
        <v>BJ And dev</v>
      </c>
      <c r="S1841" s="7" t="str">
        <f>IF(patch[[#This Row],[reviewer]]=patch[[#This Row],[tmp-owner.email]], "author", _xlfn.IFNA(VLOOKUP(patch[[#This Row],[reviewer]],OrgTree!$A:$K, 11, 0), "not ICG SWFW"))</f>
        <v>BJ And dev</v>
      </c>
      <c r="T1841" s="7" t="str">
        <f>IF(ISBLANK(patch[[#This Row],[mergeDate]]), "", MID(YEAR(patch[[#This Row],[mergeDate]]), 3,2)&amp;"'ww"&amp;WEEKNUM(patch[[#This Row],[mergeDate]]))</f>
        <v>16'ww38</v>
      </c>
      <c r="U1841" s="7" t="str">
        <f>IF(ISBLANK(patch[[#This Row],[mergeDate]]), U1840, MID(YEAR(patch[[#This Row],[mergeDate]]), 3,2)&amp;"'m"&amp;MONTH(patch[[#This Row],[mergeDate]]))</f>
        <v>16'm9</v>
      </c>
      <c r="V1841" s="7" t="str">
        <f>IF(ISBLANK(patch[[#This Row],[project]]), "",SUM(patch[[#This Row],[BJ -1 num]:[SH -1 num]]))</f>
        <v/>
      </c>
      <c r="W1841" s="7" t="str">
        <f>IF(ISBLANK(patch[[#This Row],[project]]), "",COUNTIFS($A:$A,patch[[#This Row],[number]],$S:$S, "BJ And dev",$AC:$AC, "Review-1"))</f>
        <v/>
      </c>
      <c r="X1841" s="7" t="str">
        <f>IF(ISBLANK(patch[[#This Row],[project]]), "",COUNTIFS($A:$A,patch[[#This Row],[number]],$S:$S, "FL And dev",$AC:$AC, "Review-1"))</f>
        <v/>
      </c>
      <c r="Y1841" s="7" t="str">
        <f>IF(ISBLANK(patch[[#This Row],[project]]), "",COUNTIFS($A:$A,patch[[#This Row],[number]],$S:$S, "SH And dev",$AC:$AC, "Review-1"))</f>
        <v/>
      </c>
      <c r="Z1841" s="7" t="str">
        <f>IF(ISBLANK(patch[[#This Row],[project]]), "",COUNTIFS($A:$A,patch[[#This Row],[number]],$S:$S, "BJ And dev",$AD:$AD, "&lt;&gt;IntegratorValidationComment"))</f>
        <v/>
      </c>
      <c r="AA1841" s="7" t="str">
        <f>IF(ISBLANK(patch[[#This Row],[project]]), "",COUNTIFS($A:$A,patch[[#This Row],[number]],$S:$S, "FL And dev",$AD:$AD, "&lt;&gt;IntegratorValidationComment"))</f>
        <v/>
      </c>
      <c r="AB1841" s="7" t="str">
        <f>IF(ISBLANK(patch[[#This Row],[project]]), "",COUNTIFS($A:$A,patch[[#This Row],[number]],$S:$S, "SH And dev",$AD:$AD, "&lt;&gt;IntegratorValidationComment"))</f>
        <v/>
      </c>
      <c r="AC1841" s="7" t="str">
        <f>IF(OR(ISNUMBER(FIND("Review-1", patch[[#This Row],[comments]])), ISNUMBER(FIND("Approver-1", patch[[#This Row],[comments]]))), "Review-1", "")</f>
        <v/>
      </c>
      <c r="AD18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41" s="7">
        <f>IF(ISBLANK(patch[[#This Row],[number]]),AE1840,patch[[#This Row],[ifCommon]])</f>
        <v>0</v>
      </c>
    </row>
    <row r="1842" spans="1:31">
      <c r="A1842" s="151">
        <v>142677</v>
      </c>
      <c r="B1842" s="151"/>
      <c r="C1842" s="151"/>
      <c r="D1842" s="151"/>
      <c r="E1842" s="151"/>
      <c r="F1842" s="151"/>
      <c r="G1842" s="151"/>
      <c r="H1842" s="151"/>
      <c r="I1842" s="151"/>
      <c r="J1842" s="152">
        <v>42627.659317129634</v>
      </c>
      <c r="K1842" s="151"/>
      <c r="L1842" s="151" t="s">
        <v>59</v>
      </c>
      <c r="M1842" s="152">
        <v>42622.513518518521</v>
      </c>
      <c r="N1842" s="151" t="s">
        <v>2559</v>
      </c>
      <c r="O1842" s="151"/>
      <c r="P1842" s="151"/>
      <c r="Q1842" s="7" t="str">
        <f>IF(ISBLANK(patch[[#This Row],[OwnerEmail]]),Q1841,patch[[#This Row],[OwnerEmail]])</f>
        <v>gang.a.hu@intel.com</v>
      </c>
      <c r="R1842" s="7" t="str">
        <f>_xlfn.IFNA(VLOOKUP(patch[[#This Row],[tmp-owner.email]],OrgTree!$A:$K, 11, 0), "not ICG SWFW")</f>
        <v>BJ And dev</v>
      </c>
      <c r="S1842" s="7" t="str">
        <f>IF(patch[[#This Row],[reviewer]]=patch[[#This Row],[tmp-owner.email]], "author", _xlfn.IFNA(VLOOKUP(patch[[#This Row],[reviewer]],OrgTree!$A:$K, 11, 0), "not ICG SWFW"))</f>
        <v>BJ And dev</v>
      </c>
      <c r="T1842" s="7" t="str">
        <f>IF(ISBLANK(patch[[#This Row],[mergeDate]]), "", MID(YEAR(patch[[#This Row],[mergeDate]]), 3,2)&amp;"'ww"&amp;WEEKNUM(patch[[#This Row],[mergeDate]]))</f>
        <v>16'ww38</v>
      </c>
      <c r="U1842" s="7" t="str">
        <f>IF(ISBLANK(patch[[#This Row],[mergeDate]]), U1841, MID(YEAR(patch[[#This Row],[mergeDate]]), 3,2)&amp;"'m"&amp;MONTH(patch[[#This Row],[mergeDate]]))</f>
        <v>16'm9</v>
      </c>
      <c r="V1842" s="7" t="str">
        <f>IF(ISBLANK(patch[[#This Row],[project]]), "",SUM(patch[[#This Row],[BJ -1 num]:[SH -1 num]]))</f>
        <v/>
      </c>
      <c r="W1842" s="7" t="str">
        <f>IF(ISBLANK(patch[[#This Row],[project]]), "",COUNTIFS($A:$A,patch[[#This Row],[number]],$S:$S, "BJ And dev",$AC:$AC, "Review-1"))</f>
        <v/>
      </c>
      <c r="X1842" s="7" t="str">
        <f>IF(ISBLANK(patch[[#This Row],[project]]), "",COUNTIFS($A:$A,patch[[#This Row],[number]],$S:$S, "FL And dev",$AC:$AC, "Review-1"))</f>
        <v/>
      </c>
      <c r="Y1842" s="7" t="str">
        <f>IF(ISBLANK(patch[[#This Row],[project]]), "",COUNTIFS($A:$A,patch[[#This Row],[number]],$S:$S, "SH And dev",$AC:$AC, "Review-1"))</f>
        <v/>
      </c>
      <c r="Z1842" s="7" t="str">
        <f>IF(ISBLANK(patch[[#This Row],[project]]), "",COUNTIFS($A:$A,patch[[#This Row],[number]],$S:$S, "BJ And dev",$AD:$AD, "&lt;&gt;IntegratorValidationComment"))</f>
        <v/>
      </c>
      <c r="AA1842" s="7" t="str">
        <f>IF(ISBLANK(patch[[#This Row],[project]]), "",COUNTIFS($A:$A,patch[[#This Row],[number]],$S:$S, "FL And dev",$AD:$AD, "&lt;&gt;IntegratorValidationComment"))</f>
        <v/>
      </c>
      <c r="AB1842" s="7" t="str">
        <f>IF(ISBLANK(patch[[#This Row],[project]]), "",COUNTIFS($A:$A,patch[[#This Row],[number]],$S:$S, "SH And dev",$AD:$AD, "&lt;&gt;IntegratorValidationComment"))</f>
        <v/>
      </c>
      <c r="AC1842" s="7" t="str">
        <f>IF(OR(ISNUMBER(FIND("Review-1", patch[[#This Row],[comments]])), ISNUMBER(FIND("Approver-1", patch[[#This Row],[comments]]))), "Review-1", "")</f>
        <v/>
      </c>
      <c r="AD18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42" s="7">
        <f>IF(ISBLANK(patch[[#This Row],[number]]),AE1841,patch[[#This Row],[ifCommon]])</f>
        <v>0</v>
      </c>
    </row>
    <row r="1843" spans="1:31">
      <c r="A1843" s="151">
        <v>142677</v>
      </c>
      <c r="B1843" s="151"/>
      <c r="C1843" s="151"/>
      <c r="D1843" s="151"/>
      <c r="E1843" s="151"/>
      <c r="F1843" s="151"/>
      <c r="G1843" s="151"/>
      <c r="H1843" s="151"/>
      <c r="I1843" s="151"/>
      <c r="J1843" s="152">
        <v>42627.659317129634</v>
      </c>
      <c r="K1843" s="151"/>
      <c r="L1843" s="151" t="s">
        <v>55</v>
      </c>
      <c r="M1843" s="152">
        <v>42622.578993055547</v>
      </c>
      <c r="N1843" s="151" t="s">
        <v>3486</v>
      </c>
      <c r="O1843" s="151"/>
      <c r="P1843" s="151"/>
      <c r="Q1843" s="7" t="str">
        <f>IF(ISBLANK(patch[[#This Row],[OwnerEmail]]),Q1842,patch[[#This Row],[OwnerEmail]])</f>
        <v>gang.a.hu@intel.com</v>
      </c>
      <c r="R1843" s="7" t="str">
        <f>_xlfn.IFNA(VLOOKUP(patch[[#This Row],[tmp-owner.email]],OrgTree!$A:$K, 11, 0), "not ICG SWFW")</f>
        <v>BJ And dev</v>
      </c>
      <c r="S1843" s="7" t="str">
        <f>IF(patch[[#This Row],[reviewer]]=patch[[#This Row],[tmp-owner.email]], "author", _xlfn.IFNA(VLOOKUP(patch[[#This Row],[reviewer]],OrgTree!$A:$K, 11, 0), "not ICG SWFW"))</f>
        <v>BJ And dev</v>
      </c>
      <c r="T1843" s="7" t="str">
        <f>IF(ISBLANK(patch[[#This Row],[mergeDate]]), "", MID(YEAR(patch[[#This Row],[mergeDate]]), 3,2)&amp;"'ww"&amp;WEEKNUM(patch[[#This Row],[mergeDate]]))</f>
        <v>16'ww38</v>
      </c>
      <c r="U1843" s="7" t="str">
        <f>IF(ISBLANK(patch[[#This Row],[mergeDate]]), U1842, MID(YEAR(patch[[#This Row],[mergeDate]]), 3,2)&amp;"'m"&amp;MONTH(patch[[#This Row],[mergeDate]]))</f>
        <v>16'm9</v>
      </c>
      <c r="V1843" s="7" t="str">
        <f>IF(ISBLANK(patch[[#This Row],[project]]), "",SUM(patch[[#This Row],[BJ -1 num]:[SH -1 num]]))</f>
        <v/>
      </c>
      <c r="W1843" s="7" t="str">
        <f>IF(ISBLANK(patch[[#This Row],[project]]), "",COUNTIFS($A:$A,patch[[#This Row],[number]],$S:$S, "BJ And dev",$AC:$AC, "Review-1"))</f>
        <v/>
      </c>
      <c r="X1843" s="7" t="str">
        <f>IF(ISBLANK(patch[[#This Row],[project]]), "",COUNTIFS($A:$A,patch[[#This Row],[number]],$S:$S, "FL And dev",$AC:$AC, "Review-1"))</f>
        <v/>
      </c>
      <c r="Y1843" s="7" t="str">
        <f>IF(ISBLANK(patch[[#This Row],[project]]), "",COUNTIFS($A:$A,patch[[#This Row],[number]],$S:$S, "SH And dev",$AC:$AC, "Review-1"))</f>
        <v/>
      </c>
      <c r="Z1843" s="7" t="str">
        <f>IF(ISBLANK(patch[[#This Row],[project]]), "",COUNTIFS($A:$A,patch[[#This Row],[number]],$S:$S, "BJ And dev",$AD:$AD, "&lt;&gt;IntegratorValidationComment"))</f>
        <v/>
      </c>
      <c r="AA1843" s="7" t="str">
        <f>IF(ISBLANK(patch[[#This Row],[project]]), "",COUNTIFS($A:$A,patch[[#This Row],[number]],$S:$S, "FL And dev",$AD:$AD, "&lt;&gt;IntegratorValidationComment"))</f>
        <v/>
      </c>
      <c r="AB1843" s="7" t="str">
        <f>IF(ISBLANK(patch[[#This Row],[project]]), "",COUNTIFS($A:$A,patch[[#This Row],[number]],$S:$S, "SH And dev",$AD:$AD, "&lt;&gt;IntegratorValidationComment"))</f>
        <v/>
      </c>
      <c r="AC1843" s="7" t="str">
        <f>IF(OR(ISNUMBER(FIND("Review-1", patch[[#This Row],[comments]])), ISNUMBER(FIND("Approver-1", patch[[#This Row],[comments]]))), "Review-1", "")</f>
        <v/>
      </c>
      <c r="AD18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43" s="7">
        <f>IF(ISBLANK(patch[[#This Row],[number]]),AE1842,patch[[#This Row],[ifCommon]])</f>
        <v>0</v>
      </c>
    </row>
    <row r="1844" spans="1:31">
      <c r="A1844" s="151">
        <v>142677</v>
      </c>
      <c r="B1844" s="151"/>
      <c r="C1844" s="151"/>
      <c r="D1844" s="151"/>
      <c r="E1844" s="151"/>
      <c r="F1844" s="151"/>
      <c r="G1844" s="151"/>
      <c r="H1844" s="151"/>
      <c r="I1844" s="151"/>
      <c r="J1844" s="152">
        <v>42627.659317129634</v>
      </c>
      <c r="K1844" s="151"/>
      <c r="L1844" s="151" t="s">
        <v>115</v>
      </c>
      <c r="M1844" s="152">
        <v>42625.426030092603</v>
      </c>
      <c r="N1844" s="151" t="s">
        <v>2574</v>
      </c>
      <c r="O1844" s="151"/>
      <c r="P1844" s="151"/>
      <c r="Q1844" s="7" t="str">
        <f>IF(ISBLANK(patch[[#This Row],[OwnerEmail]]),Q1843,patch[[#This Row],[OwnerEmail]])</f>
        <v>gang.a.hu@intel.com</v>
      </c>
      <c r="R1844" s="7" t="str">
        <f>_xlfn.IFNA(VLOOKUP(patch[[#This Row],[tmp-owner.email]],OrgTree!$A:$K, 11, 0), "not ICG SWFW")</f>
        <v>BJ And dev</v>
      </c>
      <c r="S1844" s="7" t="str">
        <f>IF(patch[[#This Row],[reviewer]]=patch[[#This Row],[tmp-owner.email]], "author", _xlfn.IFNA(VLOOKUP(patch[[#This Row],[reviewer]],OrgTree!$A:$K, 11, 0), "not ICG SWFW"))</f>
        <v>Val</v>
      </c>
      <c r="T1844" s="7" t="str">
        <f>IF(ISBLANK(patch[[#This Row],[mergeDate]]), "", MID(YEAR(patch[[#This Row],[mergeDate]]), 3,2)&amp;"'ww"&amp;WEEKNUM(patch[[#This Row],[mergeDate]]))</f>
        <v>16'ww38</v>
      </c>
      <c r="U1844" s="7" t="str">
        <f>IF(ISBLANK(patch[[#This Row],[mergeDate]]), U1843, MID(YEAR(patch[[#This Row],[mergeDate]]), 3,2)&amp;"'m"&amp;MONTH(patch[[#This Row],[mergeDate]]))</f>
        <v>16'm9</v>
      </c>
      <c r="V1844" s="7" t="str">
        <f>IF(ISBLANK(patch[[#This Row],[project]]), "",SUM(patch[[#This Row],[BJ -1 num]:[SH -1 num]]))</f>
        <v/>
      </c>
      <c r="W1844" s="7" t="str">
        <f>IF(ISBLANK(patch[[#This Row],[project]]), "",COUNTIFS($A:$A,patch[[#This Row],[number]],$S:$S, "BJ And dev",$AC:$AC, "Review-1"))</f>
        <v/>
      </c>
      <c r="X1844" s="7" t="str">
        <f>IF(ISBLANK(patch[[#This Row],[project]]), "",COUNTIFS($A:$A,patch[[#This Row],[number]],$S:$S, "FL And dev",$AC:$AC, "Review-1"))</f>
        <v/>
      </c>
      <c r="Y1844" s="7" t="str">
        <f>IF(ISBLANK(patch[[#This Row],[project]]), "",COUNTIFS($A:$A,patch[[#This Row],[number]],$S:$S, "SH And dev",$AC:$AC, "Review-1"))</f>
        <v/>
      </c>
      <c r="Z1844" s="7" t="str">
        <f>IF(ISBLANK(patch[[#This Row],[project]]), "",COUNTIFS($A:$A,patch[[#This Row],[number]],$S:$S, "BJ And dev",$AD:$AD, "&lt;&gt;IntegratorValidationComment"))</f>
        <v/>
      </c>
      <c r="AA1844" s="7" t="str">
        <f>IF(ISBLANK(patch[[#This Row],[project]]), "",COUNTIFS($A:$A,patch[[#This Row],[number]],$S:$S, "FL And dev",$AD:$AD, "&lt;&gt;IntegratorValidationComment"))</f>
        <v/>
      </c>
      <c r="AB1844" s="7" t="str">
        <f>IF(ISBLANK(patch[[#This Row],[project]]), "",COUNTIFS($A:$A,patch[[#This Row],[number]],$S:$S, "SH And dev",$AD:$AD, "&lt;&gt;IntegratorValidationComment"))</f>
        <v/>
      </c>
      <c r="AC1844" s="7" t="str">
        <f>IF(OR(ISNUMBER(FIND("Review-1", patch[[#This Row],[comments]])), ISNUMBER(FIND("Approver-1", patch[[#This Row],[comments]]))), "Review-1", "")</f>
        <v/>
      </c>
      <c r="AD18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844" s="7">
        <f>IF(ISBLANK(patch[[#This Row],[number]]),AE1843,patch[[#This Row],[ifCommon]])</f>
        <v>0</v>
      </c>
    </row>
    <row r="1845" spans="1:31">
      <c r="A1845" s="151">
        <v>142677</v>
      </c>
      <c r="B1845" s="151"/>
      <c r="C1845" s="151"/>
      <c r="D1845" s="151"/>
      <c r="E1845" s="151"/>
      <c r="F1845" s="151"/>
      <c r="G1845" s="151"/>
      <c r="H1845" s="151"/>
      <c r="I1845" s="151"/>
      <c r="J1845" s="152">
        <v>42627.659317129634</v>
      </c>
      <c r="K1845" s="151"/>
      <c r="L1845" s="151" t="s">
        <v>24</v>
      </c>
      <c r="M1845" s="152">
        <v>42625.696817129632</v>
      </c>
      <c r="N1845" s="151" t="s">
        <v>3487</v>
      </c>
      <c r="O1845" s="151" t="s">
        <v>3488</v>
      </c>
      <c r="P1845" s="151"/>
      <c r="Q1845" s="7" t="str">
        <f>IF(ISBLANK(patch[[#This Row],[OwnerEmail]]),Q1844,patch[[#This Row],[OwnerEmail]])</f>
        <v>gang.a.hu@intel.com</v>
      </c>
      <c r="R1845" s="7" t="str">
        <f>_xlfn.IFNA(VLOOKUP(patch[[#This Row],[tmp-owner.email]],OrgTree!$A:$K, 11, 0), "not ICG SWFW")</f>
        <v>BJ And dev</v>
      </c>
      <c r="S1845" s="7" t="str">
        <f>IF(patch[[#This Row],[reviewer]]=patch[[#This Row],[tmp-owner.email]], "author", _xlfn.IFNA(VLOOKUP(patch[[#This Row],[reviewer]],OrgTree!$A:$K, 11, 0), "not ICG SWFW"))</f>
        <v>BJ And dev</v>
      </c>
      <c r="T1845" s="7" t="str">
        <f>IF(ISBLANK(patch[[#This Row],[mergeDate]]), "", MID(YEAR(patch[[#This Row],[mergeDate]]), 3,2)&amp;"'ww"&amp;WEEKNUM(patch[[#This Row],[mergeDate]]))</f>
        <v>16'ww38</v>
      </c>
      <c r="U1845" s="7" t="str">
        <f>IF(ISBLANK(patch[[#This Row],[mergeDate]]), U1844, MID(YEAR(patch[[#This Row],[mergeDate]]), 3,2)&amp;"'m"&amp;MONTH(patch[[#This Row],[mergeDate]]))</f>
        <v>16'm9</v>
      </c>
      <c r="V1845" s="7" t="str">
        <f>IF(ISBLANK(patch[[#This Row],[project]]), "",SUM(patch[[#This Row],[BJ -1 num]:[SH -1 num]]))</f>
        <v/>
      </c>
      <c r="W1845" s="7" t="str">
        <f>IF(ISBLANK(patch[[#This Row],[project]]), "",COUNTIFS($A:$A,patch[[#This Row],[number]],$S:$S, "BJ And dev",$AC:$AC, "Review-1"))</f>
        <v/>
      </c>
      <c r="X1845" s="7" t="str">
        <f>IF(ISBLANK(patch[[#This Row],[project]]), "",COUNTIFS($A:$A,patch[[#This Row],[number]],$S:$S, "FL And dev",$AC:$AC, "Review-1"))</f>
        <v/>
      </c>
      <c r="Y1845" s="7" t="str">
        <f>IF(ISBLANK(patch[[#This Row],[project]]), "",COUNTIFS($A:$A,patch[[#This Row],[number]],$S:$S, "SH And dev",$AC:$AC, "Review-1"))</f>
        <v/>
      </c>
      <c r="Z1845" s="7" t="str">
        <f>IF(ISBLANK(patch[[#This Row],[project]]), "",COUNTIFS($A:$A,patch[[#This Row],[number]],$S:$S, "BJ And dev",$AD:$AD, "&lt;&gt;IntegratorValidationComment"))</f>
        <v/>
      </c>
      <c r="AA1845" s="7" t="str">
        <f>IF(ISBLANK(patch[[#This Row],[project]]), "",COUNTIFS($A:$A,patch[[#This Row],[number]],$S:$S, "FL And dev",$AD:$AD, "&lt;&gt;IntegratorValidationComment"))</f>
        <v/>
      </c>
      <c r="AB1845" s="7" t="str">
        <f>IF(ISBLANK(patch[[#This Row],[project]]), "",COUNTIFS($A:$A,patch[[#This Row],[number]],$S:$S, "SH And dev",$AD:$AD, "&lt;&gt;IntegratorValidationComment"))</f>
        <v/>
      </c>
      <c r="AC1845" s="7" t="str">
        <f>IF(OR(ISNUMBER(FIND("Review-1", patch[[#This Row],[comments]])), ISNUMBER(FIND("Approver-1", patch[[#This Row],[comments]]))), "Review-1", "")</f>
        <v/>
      </c>
      <c r="AD18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45" s="7">
        <f>IF(ISBLANK(patch[[#This Row],[number]]),AE1844,patch[[#This Row],[ifCommon]])</f>
        <v>0</v>
      </c>
    </row>
    <row r="1846" spans="1:31">
      <c r="A1846" s="151">
        <v>142677</v>
      </c>
      <c r="B1846" s="151"/>
      <c r="C1846" s="151"/>
      <c r="D1846" s="151"/>
      <c r="E1846" s="151"/>
      <c r="F1846" s="151"/>
      <c r="G1846" s="151"/>
      <c r="H1846" s="151"/>
      <c r="I1846" s="151"/>
      <c r="J1846" s="152">
        <v>42627.659317129634</v>
      </c>
      <c r="K1846" s="151"/>
      <c r="L1846" s="151" t="s">
        <v>32</v>
      </c>
      <c r="M1846" s="152">
        <v>42625.864629629628</v>
      </c>
      <c r="N1846" s="151" t="s">
        <v>3487</v>
      </c>
      <c r="O1846" s="151" t="s">
        <v>3489</v>
      </c>
      <c r="P1846" s="151"/>
      <c r="Q1846" s="7" t="str">
        <f>IF(ISBLANK(patch[[#This Row],[OwnerEmail]]),Q1845,patch[[#This Row],[OwnerEmail]])</f>
        <v>gang.a.hu@intel.com</v>
      </c>
      <c r="R1846" s="7" t="str">
        <f>_xlfn.IFNA(VLOOKUP(patch[[#This Row],[tmp-owner.email]],OrgTree!$A:$K, 11, 0), "not ICG SWFW")</f>
        <v>BJ And dev</v>
      </c>
      <c r="S1846" s="7" t="str">
        <f>IF(patch[[#This Row],[reviewer]]=patch[[#This Row],[tmp-owner.email]], "author", _xlfn.IFNA(VLOOKUP(patch[[#This Row],[reviewer]],OrgTree!$A:$K, 11, 0), "not ICG SWFW"))</f>
        <v>author</v>
      </c>
      <c r="T1846" s="7" t="str">
        <f>IF(ISBLANK(patch[[#This Row],[mergeDate]]), "", MID(YEAR(patch[[#This Row],[mergeDate]]), 3,2)&amp;"'ww"&amp;WEEKNUM(patch[[#This Row],[mergeDate]]))</f>
        <v>16'ww38</v>
      </c>
      <c r="U1846" s="7" t="str">
        <f>IF(ISBLANK(patch[[#This Row],[mergeDate]]), U1845, MID(YEAR(patch[[#This Row],[mergeDate]]), 3,2)&amp;"'m"&amp;MONTH(patch[[#This Row],[mergeDate]]))</f>
        <v>16'm9</v>
      </c>
      <c r="V1846" s="7" t="str">
        <f>IF(ISBLANK(patch[[#This Row],[project]]), "",SUM(patch[[#This Row],[BJ -1 num]:[SH -1 num]]))</f>
        <v/>
      </c>
      <c r="W1846" s="7" t="str">
        <f>IF(ISBLANK(patch[[#This Row],[project]]), "",COUNTIFS($A:$A,patch[[#This Row],[number]],$S:$S, "BJ And dev",$AC:$AC, "Review-1"))</f>
        <v/>
      </c>
      <c r="X1846" s="7" t="str">
        <f>IF(ISBLANK(patch[[#This Row],[project]]), "",COUNTIFS($A:$A,patch[[#This Row],[number]],$S:$S, "FL And dev",$AC:$AC, "Review-1"))</f>
        <v/>
      </c>
      <c r="Y1846" s="7" t="str">
        <f>IF(ISBLANK(patch[[#This Row],[project]]), "",COUNTIFS($A:$A,patch[[#This Row],[number]],$S:$S, "SH And dev",$AC:$AC, "Review-1"))</f>
        <v/>
      </c>
      <c r="Z1846" s="7" t="str">
        <f>IF(ISBLANK(patch[[#This Row],[project]]), "",COUNTIFS($A:$A,patch[[#This Row],[number]],$S:$S, "BJ And dev",$AD:$AD, "&lt;&gt;IntegratorValidationComment"))</f>
        <v/>
      </c>
      <c r="AA1846" s="7" t="str">
        <f>IF(ISBLANK(patch[[#This Row],[project]]), "",COUNTIFS($A:$A,patch[[#This Row],[number]],$S:$S, "FL And dev",$AD:$AD, "&lt;&gt;IntegratorValidationComment"))</f>
        <v/>
      </c>
      <c r="AB1846" s="7" t="str">
        <f>IF(ISBLANK(patch[[#This Row],[project]]), "",COUNTIFS($A:$A,patch[[#This Row],[number]],$S:$S, "SH And dev",$AD:$AD, "&lt;&gt;IntegratorValidationComment"))</f>
        <v/>
      </c>
      <c r="AC1846" s="7" t="str">
        <f>IF(OR(ISNUMBER(FIND("Review-1", patch[[#This Row],[comments]])), ISNUMBER(FIND("Approver-1", patch[[#This Row],[comments]]))), "Review-1", "")</f>
        <v/>
      </c>
      <c r="AD18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46" s="7">
        <f>IF(ISBLANK(patch[[#This Row],[number]]),AE1845,patch[[#This Row],[ifCommon]])</f>
        <v>0</v>
      </c>
    </row>
    <row r="1847" spans="1:31">
      <c r="A1847" s="151">
        <v>142677</v>
      </c>
      <c r="B1847" s="151"/>
      <c r="C1847" s="151"/>
      <c r="D1847" s="151"/>
      <c r="E1847" s="151"/>
      <c r="F1847" s="151"/>
      <c r="G1847" s="151"/>
      <c r="H1847" s="151"/>
      <c r="I1847" s="151"/>
      <c r="J1847" s="152">
        <v>42627.659317129634</v>
      </c>
      <c r="K1847" s="151"/>
      <c r="L1847" s="151" t="s">
        <v>115</v>
      </c>
      <c r="M1847" s="152">
        <v>42626.371539351851</v>
      </c>
      <c r="N1847" s="151" t="s">
        <v>3490</v>
      </c>
      <c r="O1847" s="151"/>
      <c r="P1847" s="151"/>
      <c r="Q1847" s="7" t="str">
        <f>IF(ISBLANK(patch[[#This Row],[OwnerEmail]]),Q1846,patch[[#This Row],[OwnerEmail]])</f>
        <v>gang.a.hu@intel.com</v>
      </c>
      <c r="R1847" s="7" t="str">
        <f>_xlfn.IFNA(VLOOKUP(patch[[#This Row],[tmp-owner.email]],OrgTree!$A:$K, 11, 0), "not ICG SWFW")</f>
        <v>BJ And dev</v>
      </c>
      <c r="S1847" s="7" t="str">
        <f>IF(patch[[#This Row],[reviewer]]=patch[[#This Row],[tmp-owner.email]], "author", _xlfn.IFNA(VLOOKUP(patch[[#This Row],[reviewer]],OrgTree!$A:$K, 11, 0), "not ICG SWFW"))</f>
        <v>Val</v>
      </c>
      <c r="T1847" s="7" t="str">
        <f>IF(ISBLANK(patch[[#This Row],[mergeDate]]), "", MID(YEAR(patch[[#This Row],[mergeDate]]), 3,2)&amp;"'ww"&amp;WEEKNUM(patch[[#This Row],[mergeDate]]))</f>
        <v>16'ww38</v>
      </c>
      <c r="U1847" s="7" t="str">
        <f>IF(ISBLANK(patch[[#This Row],[mergeDate]]), U1846, MID(YEAR(patch[[#This Row],[mergeDate]]), 3,2)&amp;"'m"&amp;MONTH(patch[[#This Row],[mergeDate]]))</f>
        <v>16'm9</v>
      </c>
      <c r="V1847" s="7" t="str">
        <f>IF(ISBLANK(patch[[#This Row],[project]]), "",SUM(patch[[#This Row],[BJ -1 num]:[SH -1 num]]))</f>
        <v/>
      </c>
      <c r="W1847" s="7" t="str">
        <f>IF(ISBLANK(patch[[#This Row],[project]]), "",COUNTIFS($A:$A,patch[[#This Row],[number]],$S:$S, "BJ And dev",$AC:$AC, "Review-1"))</f>
        <v/>
      </c>
      <c r="X1847" s="7" t="str">
        <f>IF(ISBLANK(patch[[#This Row],[project]]), "",COUNTIFS($A:$A,patch[[#This Row],[number]],$S:$S, "FL And dev",$AC:$AC, "Review-1"))</f>
        <v/>
      </c>
      <c r="Y1847" s="7" t="str">
        <f>IF(ISBLANK(patch[[#This Row],[project]]), "",COUNTIFS($A:$A,patch[[#This Row],[number]],$S:$S, "SH And dev",$AC:$AC, "Review-1"))</f>
        <v/>
      </c>
      <c r="Z1847" s="7" t="str">
        <f>IF(ISBLANK(patch[[#This Row],[project]]), "",COUNTIFS($A:$A,patch[[#This Row],[number]],$S:$S, "BJ And dev",$AD:$AD, "&lt;&gt;IntegratorValidationComment"))</f>
        <v/>
      </c>
      <c r="AA1847" s="7" t="str">
        <f>IF(ISBLANK(patch[[#This Row],[project]]), "",COUNTIFS($A:$A,patch[[#This Row],[number]],$S:$S, "FL And dev",$AD:$AD, "&lt;&gt;IntegratorValidationComment"))</f>
        <v/>
      </c>
      <c r="AB1847" s="7" t="str">
        <f>IF(ISBLANK(patch[[#This Row],[project]]), "",COUNTIFS($A:$A,patch[[#This Row],[number]],$S:$S, "SH And dev",$AD:$AD, "&lt;&gt;IntegratorValidationComment"))</f>
        <v/>
      </c>
      <c r="AC1847" s="7" t="str">
        <f>IF(OR(ISNUMBER(FIND("Review-1", patch[[#This Row],[comments]])), ISNUMBER(FIND("Approver-1", patch[[#This Row],[comments]]))), "Review-1", "")</f>
        <v/>
      </c>
      <c r="AD18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847" s="7">
        <f>IF(ISBLANK(patch[[#This Row],[number]]),AE1846,patch[[#This Row],[ifCommon]])</f>
        <v>0</v>
      </c>
    </row>
    <row r="1848" spans="1:31">
      <c r="A1848" s="151">
        <v>142677</v>
      </c>
      <c r="B1848" s="151"/>
      <c r="C1848" s="151"/>
      <c r="D1848" s="151"/>
      <c r="E1848" s="151"/>
      <c r="F1848" s="151"/>
      <c r="G1848" s="151"/>
      <c r="H1848" s="151"/>
      <c r="I1848" s="151"/>
      <c r="J1848" s="152">
        <v>42627.659317129634</v>
      </c>
      <c r="K1848" s="151"/>
      <c r="L1848" s="151" t="s">
        <v>115</v>
      </c>
      <c r="M1848" s="152">
        <v>42626.666018518517</v>
      </c>
      <c r="N1848" s="151" t="s">
        <v>2574</v>
      </c>
      <c r="O1848" s="151"/>
      <c r="P1848" s="151"/>
      <c r="Q1848" s="7" t="str">
        <f>IF(ISBLANK(patch[[#This Row],[OwnerEmail]]),Q1847,patch[[#This Row],[OwnerEmail]])</f>
        <v>gang.a.hu@intel.com</v>
      </c>
      <c r="R1848" s="7" t="str">
        <f>_xlfn.IFNA(VLOOKUP(patch[[#This Row],[tmp-owner.email]],OrgTree!$A:$K, 11, 0), "not ICG SWFW")</f>
        <v>BJ And dev</v>
      </c>
      <c r="S1848" s="7" t="str">
        <f>IF(patch[[#This Row],[reviewer]]=patch[[#This Row],[tmp-owner.email]], "author", _xlfn.IFNA(VLOOKUP(patch[[#This Row],[reviewer]],OrgTree!$A:$K, 11, 0), "not ICG SWFW"))</f>
        <v>Val</v>
      </c>
      <c r="T1848" s="7" t="str">
        <f>IF(ISBLANK(patch[[#This Row],[mergeDate]]), "", MID(YEAR(patch[[#This Row],[mergeDate]]), 3,2)&amp;"'ww"&amp;WEEKNUM(patch[[#This Row],[mergeDate]]))</f>
        <v>16'ww38</v>
      </c>
      <c r="U1848" s="7" t="str">
        <f>IF(ISBLANK(patch[[#This Row],[mergeDate]]), U1847, MID(YEAR(patch[[#This Row],[mergeDate]]), 3,2)&amp;"'m"&amp;MONTH(patch[[#This Row],[mergeDate]]))</f>
        <v>16'm9</v>
      </c>
      <c r="V1848" s="7" t="str">
        <f>IF(ISBLANK(patch[[#This Row],[project]]), "",SUM(patch[[#This Row],[BJ -1 num]:[SH -1 num]]))</f>
        <v/>
      </c>
      <c r="W1848" s="7" t="str">
        <f>IF(ISBLANK(patch[[#This Row],[project]]), "",COUNTIFS($A:$A,patch[[#This Row],[number]],$S:$S, "BJ And dev",$AC:$AC, "Review-1"))</f>
        <v/>
      </c>
      <c r="X1848" s="7" t="str">
        <f>IF(ISBLANK(patch[[#This Row],[project]]), "",COUNTIFS($A:$A,patch[[#This Row],[number]],$S:$S, "FL And dev",$AC:$AC, "Review-1"))</f>
        <v/>
      </c>
      <c r="Y1848" s="7" t="str">
        <f>IF(ISBLANK(patch[[#This Row],[project]]), "",COUNTIFS($A:$A,patch[[#This Row],[number]],$S:$S, "SH And dev",$AC:$AC, "Review-1"))</f>
        <v/>
      </c>
      <c r="Z1848" s="7" t="str">
        <f>IF(ISBLANK(patch[[#This Row],[project]]), "",COUNTIFS($A:$A,patch[[#This Row],[number]],$S:$S, "BJ And dev",$AD:$AD, "&lt;&gt;IntegratorValidationComment"))</f>
        <v/>
      </c>
      <c r="AA1848" s="7" t="str">
        <f>IF(ISBLANK(patch[[#This Row],[project]]), "",COUNTIFS($A:$A,patch[[#This Row],[number]],$S:$S, "FL And dev",$AD:$AD, "&lt;&gt;IntegratorValidationComment"))</f>
        <v/>
      </c>
      <c r="AB1848" s="7" t="str">
        <f>IF(ISBLANK(patch[[#This Row],[project]]), "",COUNTIFS($A:$A,patch[[#This Row],[number]],$S:$S, "SH And dev",$AD:$AD, "&lt;&gt;IntegratorValidationComment"))</f>
        <v/>
      </c>
      <c r="AC1848" s="7" t="str">
        <f>IF(OR(ISNUMBER(FIND("Review-1", patch[[#This Row],[comments]])), ISNUMBER(FIND("Approver-1", patch[[#This Row],[comments]]))), "Review-1", "")</f>
        <v/>
      </c>
      <c r="AD18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848" s="7">
        <f>IF(ISBLANK(patch[[#This Row],[number]]),AE1847,patch[[#This Row],[ifCommon]])</f>
        <v>0</v>
      </c>
    </row>
    <row r="1849" spans="1:31">
      <c r="A1849" s="151">
        <v>142677</v>
      </c>
      <c r="B1849" s="151"/>
      <c r="C1849" s="151"/>
      <c r="D1849" s="151"/>
      <c r="E1849" s="151"/>
      <c r="F1849" s="151"/>
      <c r="G1849" s="151"/>
      <c r="H1849" s="151"/>
      <c r="I1849" s="151"/>
      <c r="J1849" s="152">
        <v>42627.659317129634</v>
      </c>
      <c r="K1849" s="151"/>
      <c r="L1849" s="151" t="s">
        <v>59</v>
      </c>
      <c r="M1849" s="152">
        <v>42626.75545138889</v>
      </c>
      <c r="N1849" s="151" t="s">
        <v>3491</v>
      </c>
      <c r="O1849" s="151"/>
      <c r="P1849" s="151"/>
      <c r="Q1849" s="7" t="str">
        <f>IF(ISBLANK(patch[[#This Row],[OwnerEmail]]),Q1848,patch[[#This Row],[OwnerEmail]])</f>
        <v>gang.a.hu@intel.com</v>
      </c>
      <c r="R1849" s="7" t="str">
        <f>_xlfn.IFNA(VLOOKUP(patch[[#This Row],[tmp-owner.email]],OrgTree!$A:$K, 11, 0), "not ICG SWFW")</f>
        <v>BJ And dev</v>
      </c>
      <c r="S1849" s="7" t="str">
        <f>IF(patch[[#This Row],[reviewer]]=patch[[#This Row],[tmp-owner.email]], "author", _xlfn.IFNA(VLOOKUP(patch[[#This Row],[reviewer]],OrgTree!$A:$K, 11, 0), "not ICG SWFW"))</f>
        <v>BJ And dev</v>
      </c>
      <c r="T1849" s="7" t="str">
        <f>IF(ISBLANK(patch[[#This Row],[mergeDate]]), "", MID(YEAR(patch[[#This Row],[mergeDate]]), 3,2)&amp;"'ww"&amp;WEEKNUM(patch[[#This Row],[mergeDate]]))</f>
        <v>16'ww38</v>
      </c>
      <c r="U1849" s="7" t="str">
        <f>IF(ISBLANK(patch[[#This Row],[mergeDate]]), U1848, MID(YEAR(patch[[#This Row],[mergeDate]]), 3,2)&amp;"'m"&amp;MONTH(patch[[#This Row],[mergeDate]]))</f>
        <v>16'm9</v>
      </c>
      <c r="V1849" s="7" t="str">
        <f>IF(ISBLANK(patch[[#This Row],[project]]), "",SUM(patch[[#This Row],[BJ -1 num]:[SH -1 num]]))</f>
        <v/>
      </c>
      <c r="W1849" s="7" t="str">
        <f>IF(ISBLANK(patch[[#This Row],[project]]), "",COUNTIFS($A:$A,patch[[#This Row],[number]],$S:$S, "BJ And dev",$AC:$AC, "Review-1"))</f>
        <v/>
      </c>
      <c r="X1849" s="7" t="str">
        <f>IF(ISBLANK(patch[[#This Row],[project]]), "",COUNTIFS($A:$A,patch[[#This Row],[number]],$S:$S, "FL And dev",$AC:$AC, "Review-1"))</f>
        <v/>
      </c>
      <c r="Y1849" s="7" t="str">
        <f>IF(ISBLANK(patch[[#This Row],[project]]), "",COUNTIFS($A:$A,patch[[#This Row],[number]],$S:$S, "SH And dev",$AC:$AC, "Review-1"))</f>
        <v/>
      </c>
      <c r="Z1849" s="7" t="str">
        <f>IF(ISBLANK(patch[[#This Row],[project]]), "",COUNTIFS($A:$A,patch[[#This Row],[number]],$S:$S, "BJ And dev",$AD:$AD, "&lt;&gt;IntegratorValidationComment"))</f>
        <v/>
      </c>
      <c r="AA1849" s="7" t="str">
        <f>IF(ISBLANK(patch[[#This Row],[project]]), "",COUNTIFS($A:$A,patch[[#This Row],[number]],$S:$S, "FL And dev",$AD:$AD, "&lt;&gt;IntegratorValidationComment"))</f>
        <v/>
      </c>
      <c r="AB1849" s="7" t="str">
        <f>IF(ISBLANK(patch[[#This Row],[project]]), "",COUNTIFS($A:$A,patch[[#This Row],[number]],$S:$S, "SH And dev",$AD:$AD, "&lt;&gt;IntegratorValidationComment"))</f>
        <v/>
      </c>
      <c r="AC1849" s="7" t="str">
        <f>IF(OR(ISNUMBER(FIND("Review-1", patch[[#This Row],[comments]])), ISNUMBER(FIND("Approver-1", patch[[#This Row],[comments]]))), "Review-1", "")</f>
        <v/>
      </c>
      <c r="AD18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49" s="7">
        <f>IF(ISBLANK(patch[[#This Row],[number]]),AE1848,patch[[#This Row],[ifCommon]])</f>
        <v>0</v>
      </c>
    </row>
    <row r="1850" spans="1:31">
      <c r="A1850" s="151">
        <v>142677</v>
      </c>
      <c r="B1850" s="151"/>
      <c r="C1850" s="151"/>
      <c r="D1850" s="151"/>
      <c r="E1850" s="151"/>
      <c r="F1850" s="151"/>
      <c r="G1850" s="151"/>
      <c r="H1850" s="151"/>
      <c r="I1850" s="151"/>
      <c r="J1850" s="152">
        <v>42627.659317129634</v>
      </c>
      <c r="K1850" s="151"/>
      <c r="L1850" s="151" t="s">
        <v>115</v>
      </c>
      <c r="M1850" s="152">
        <v>42627.428020833337</v>
      </c>
      <c r="N1850" s="151" t="s">
        <v>3492</v>
      </c>
      <c r="O1850" s="151"/>
      <c r="P1850" s="151"/>
      <c r="Q1850" s="7" t="str">
        <f>IF(ISBLANK(patch[[#This Row],[OwnerEmail]]),Q1849,patch[[#This Row],[OwnerEmail]])</f>
        <v>gang.a.hu@intel.com</v>
      </c>
      <c r="R1850" s="7" t="str">
        <f>_xlfn.IFNA(VLOOKUP(patch[[#This Row],[tmp-owner.email]],OrgTree!$A:$K, 11, 0), "not ICG SWFW")</f>
        <v>BJ And dev</v>
      </c>
      <c r="S1850" s="7" t="str">
        <f>IF(patch[[#This Row],[reviewer]]=patch[[#This Row],[tmp-owner.email]], "author", _xlfn.IFNA(VLOOKUP(patch[[#This Row],[reviewer]],OrgTree!$A:$K, 11, 0), "not ICG SWFW"))</f>
        <v>Val</v>
      </c>
      <c r="T1850" s="7" t="str">
        <f>IF(ISBLANK(patch[[#This Row],[mergeDate]]), "", MID(YEAR(patch[[#This Row],[mergeDate]]), 3,2)&amp;"'ww"&amp;WEEKNUM(patch[[#This Row],[mergeDate]]))</f>
        <v>16'ww38</v>
      </c>
      <c r="U1850" s="7" t="str">
        <f>IF(ISBLANK(patch[[#This Row],[mergeDate]]), U1849, MID(YEAR(patch[[#This Row],[mergeDate]]), 3,2)&amp;"'m"&amp;MONTH(patch[[#This Row],[mergeDate]]))</f>
        <v>16'm9</v>
      </c>
      <c r="V1850" s="7" t="str">
        <f>IF(ISBLANK(patch[[#This Row],[project]]), "",SUM(patch[[#This Row],[BJ -1 num]:[SH -1 num]]))</f>
        <v/>
      </c>
      <c r="W1850" s="7" t="str">
        <f>IF(ISBLANK(patch[[#This Row],[project]]), "",COUNTIFS($A:$A,patch[[#This Row],[number]],$S:$S, "BJ And dev",$AC:$AC, "Review-1"))</f>
        <v/>
      </c>
      <c r="X1850" s="7" t="str">
        <f>IF(ISBLANK(patch[[#This Row],[project]]), "",COUNTIFS($A:$A,patch[[#This Row],[number]],$S:$S, "FL And dev",$AC:$AC, "Review-1"))</f>
        <v/>
      </c>
      <c r="Y1850" s="7" t="str">
        <f>IF(ISBLANK(patch[[#This Row],[project]]), "",COUNTIFS($A:$A,patch[[#This Row],[number]],$S:$S, "SH And dev",$AC:$AC, "Review-1"))</f>
        <v/>
      </c>
      <c r="Z1850" s="7" t="str">
        <f>IF(ISBLANK(patch[[#This Row],[project]]), "",COUNTIFS($A:$A,patch[[#This Row],[number]],$S:$S, "BJ And dev",$AD:$AD, "&lt;&gt;IntegratorValidationComment"))</f>
        <v/>
      </c>
      <c r="AA1850" s="7" t="str">
        <f>IF(ISBLANK(patch[[#This Row],[project]]), "",COUNTIFS($A:$A,patch[[#This Row],[number]],$S:$S, "FL And dev",$AD:$AD, "&lt;&gt;IntegratorValidationComment"))</f>
        <v/>
      </c>
      <c r="AB1850" s="7" t="str">
        <f>IF(ISBLANK(patch[[#This Row],[project]]), "",COUNTIFS($A:$A,patch[[#This Row],[number]],$S:$S, "SH And dev",$AD:$AD, "&lt;&gt;IntegratorValidationComment"))</f>
        <v/>
      </c>
      <c r="AC1850" s="7" t="str">
        <f>IF(OR(ISNUMBER(FIND("Review-1", patch[[#This Row],[comments]])), ISNUMBER(FIND("Approver-1", patch[[#This Row],[comments]]))), "Review-1", "")</f>
        <v/>
      </c>
      <c r="AD18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850" s="7">
        <f>IF(ISBLANK(patch[[#This Row],[number]]),AE1849,patch[[#This Row],[ifCommon]])</f>
        <v>0</v>
      </c>
    </row>
    <row r="1851" spans="1:31">
      <c r="A1851" s="151">
        <v>142677</v>
      </c>
      <c r="B1851" s="151"/>
      <c r="C1851" s="151"/>
      <c r="D1851" s="151"/>
      <c r="E1851" s="151"/>
      <c r="F1851" s="151"/>
      <c r="G1851" s="151"/>
      <c r="H1851" s="151"/>
      <c r="I1851" s="151"/>
      <c r="J1851" s="152">
        <v>42627.659317129634</v>
      </c>
      <c r="K1851" s="151"/>
      <c r="L1851" s="151" t="s">
        <v>115</v>
      </c>
      <c r="M1851" s="152">
        <v>42627.428078703713</v>
      </c>
      <c r="N1851" s="151" t="s">
        <v>2574</v>
      </c>
      <c r="O1851" s="151"/>
      <c r="P1851" s="151"/>
      <c r="Q1851" s="7" t="str">
        <f>IF(ISBLANK(patch[[#This Row],[OwnerEmail]]),Q1850,patch[[#This Row],[OwnerEmail]])</f>
        <v>gang.a.hu@intel.com</v>
      </c>
      <c r="R1851" s="7" t="str">
        <f>_xlfn.IFNA(VLOOKUP(patch[[#This Row],[tmp-owner.email]],OrgTree!$A:$K, 11, 0), "not ICG SWFW")</f>
        <v>BJ And dev</v>
      </c>
      <c r="S1851" s="7" t="str">
        <f>IF(patch[[#This Row],[reviewer]]=patch[[#This Row],[tmp-owner.email]], "author", _xlfn.IFNA(VLOOKUP(patch[[#This Row],[reviewer]],OrgTree!$A:$K, 11, 0), "not ICG SWFW"))</f>
        <v>Val</v>
      </c>
      <c r="T1851" s="7" t="str">
        <f>IF(ISBLANK(patch[[#This Row],[mergeDate]]), "", MID(YEAR(patch[[#This Row],[mergeDate]]), 3,2)&amp;"'ww"&amp;WEEKNUM(patch[[#This Row],[mergeDate]]))</f>
        <v>16'ww38</v>
      </c>
      <c r="U1851" s="7" t="str">
        <f>IF(ISBLANK(patch[[#This Row],[mergeDate]]), U1850, MID(YEAR(patch[[#This Row],[mergeDate]]), 3,2)&amp;"'m"&amp;MONTH(patch[[#This Row],[mergeDate]]))</f>
        <v>16'm9</v>
      </c>
      <c r="V1851" s="7" t="str">
        <f>IF(ISBLANK(patch[[#This Row],[project]]), "",SUM(patch[[#This Row],[BJ -1 num]:[SH -1 num]]))</f>
        <v/>
      </c>
      <c r="W1851" s="7" t="str">
        <f>IF(ISBLANK(patch[[#This Row],[project]]), "",COUNTIFS($A:$A,patch[[#This Row],[number]],$S:$S, "BJ And dev",$AC:$AC, "Review-1"))</f>
        <v/>
      </c>
      <c r="X1851" s="7" t="str">
        <f>IF(ISBLANK(patch[[#This Row],[project]]), "",COUNTIFS($A:$A,patch[[#This Row],[number]],$S:$S, "FL And dev",$AC:$AC, "Review-1"))</f>
        <v/>
      </c>
      <c r="Y1851" s="7" t="str">
        <f>IF(ISBLANK(patch[[#This Row],[project]]), "",COUNTIFS($A:$A,patch[[#This Row],[number]],$S:$S, "SH And dev",$AC:$AC, "Review-1"))</f>
        <v/>
      </c>
      <c r="Z1851" s="7" t="str">
        <f>IF(ISBLANK(patch[[#This Row],[project]]), "",COUNTIFS($A:$A,patch[[#This Row],[number]],$S:$S, "BJ And dev",$AD:$AD, "&lt;&gt;IntegratorValidationComment"))</f>
        <v/>
      </c>
      <c r="AA1851" s="7" t="str">
        <f>IF(ISBLANK(patch[[#This Row],[project]]), "",COUNTIFS($A:$A,patch[[#This Row],[number]],$S:$S, "FL And dev",$AD:$AD, "&lt;&gt;IntegratorValidationComment"))</f>
        <v/>
      </c>
      <c r="AB1851" s="7" t="str">
        <f>IF(ISBLANK(patch[[#This Row],[project]]), "",COUNTIFS($A:$A,patch[[#This Row],[number]],$S:$S, "SH And dev",$AD:$AD, "&lt;&gt;IntegratorValidationComment"))</f>
        <v/>
      </c>
      <c r="AC1851" s="7" t="str">
        <f>IF(OR(ISNUMBER(FIND("Review-1", patch[[#This Row],[comments]])), ISNUMBER(FIND("Approver-1", patch[[#This Row],[comments]]))), "Review-1", "")</f>
        <v/>
      </c>
      <c r="AD18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851" s="7">
        <f>IF(ISBLANK(patch[[#This Row],[number]]),AE1850,patch[[#This Row],[ifCommon]])</f>
        <v>0</v>
      </c>
    </row>
    <row r="1852" spans="1:31">
      <c r="A1852" s="151">
        <v>143834</v>
      </c>
      <c r="B1852" s="151" t="s">
        <v>2490</v>
      </c>
      <c r="C1852" s="151" t="s">
        <v>2491</v>
      </c>
      <c r="D1852" s="151" t="s">
        <v>3345</v>
      </c>
      <c r="E1852" s="151" t="s">
        <v>32</v>
      </c>
      <c r="F1852" s="151" t="s">
        <v>23</v>
      </c>
      <c r="G1852" s="151" t="s">
        <v>3346</v>
      </c>
      <c r="H1852" s="151" t="s">
        <v>3347</v>
      </c>
      <c r="I1852" s="152">
        <v>42620.68959490741</v>
      </c>
      <c r="J1852" s="152">
        <v>42627.659201388888</v>
      </c>
      <c r="K1852" s="151" t="s">
        <v>2445</v>
      </c>
      <c r="L1852" s="151" t="s">
        <v>32</v>
      </c>
      <c r="M1852" s="152">
        <v>42620.68959490741</v>
      </c>
      <c r="N1852" s="151" t="s">
        <v>2428</v>
      </c>
      <c r="O1852" s="151"/>
      <c r="P1852" s="151" t="s">
        <v>3493</v>
      </c>
      <c r="Q1852" s="7" t="str">
        <f>IF(ISBLANK(patch[[#This Row],[OwnerEmail]]),Q1851,patch[[#This Row],[OwnerEmail]])</f>
        <v>gang.a.hu@intel.com</v>
      </c>
      <c r="R1852" s="7" t="str">
        <f>_xlfn.IFNA(VLOOKUP(patch[[#This Row],[tmp-owner.email]],OrgTree!$A:$K, 11, 0), "not ICG SWFW")</f>
        <v>BJ And dev</v>
      </c>
      <c r="S1852" s="7" t="str">
        <f>IF(patch[[#This Row],[reviewer]]=patch[[#This Row],[tmp-owner.email]], "author", _xlfn.IFNA(VLOOKUP(patch[[#This Row],[reviewer]],OrgTree!$A:$K, 11, 0), "not ICG SWFW"))</f>
        <v>author</v>
      </c>
      <c r="T1852" s="7" t="str">
        <f>IF(ISBLANK(patch[[#This Row],[mergeDate]]), "", MID(YEAR(patch[[#This Row],[mergeDate]]), 3,2)&amp;"'ww"&amp;WEEKNUM(patch[[#This Row],[mergeDate]]))</f>
        <v>16'ww38</v>
      </c>
      <c r="U1852" s="7" t="str">
        <f>IF(ISBLANK(patch[[#This Row],[mergeDate]]), U1851, MID(YEAR(patch[[#This Row],[mergeDate]]), 3,2)&amp;"'m"&amp;MONTH(patch[[#This Row],[mergeDate]]))</f>
        <v>16'm9</v>
      </c>
      <c r="V1852" s="7">
        <f>IF(ISBLANK(patch[[#This Row],[project]]), "",SUM(patch[[#This Row],[BJ -1 num]:[SH -1 num]]))</f>
        <v>1</v>
      </c>
      <c r="W1852" s="7">
        <f>IF(ISBLANK(patch[[#This Row],[project]]), "",COUNTIFS($A:$A,patch[[#This Row],[number]],$S:$S, "BJ And dev",$AC:$AC, "Review-1"))</f>
        <v>1</v>
      </c>
      <c r="X1852" s="7">
        <f>IF(ISBLANK(patch[[#This Row],[project]]), "",COUNTIFS($A:$A,patch[[#This Row],[number]],$S:$S, "FL And dev",$AC:$AC, "Review-1"))</f>
        <v>0</v>
      </c>
      <c r="Y1852" s="7">
        <f>IF(ISBLANK(patch[[#This Row],[project]]), "",COUNTIFS($A:$A,patch[[#This Row],[number]],$S:$S, "SH And dev",$AC:$AC, "Review-1"))</f>
        <v>0</v>
      </c>
      <c r="Z1852" s="7">
        <f>IF(ISBLANK(patch[[#This Row],[project]]), "",COUNTIFS($A:$A,patch[[#This Row],[number]],$S:$S, "BJ And dev",$AD:$AD, "&lt;&gt;IntegratorValidationComment"))</f>
        <v>14</v>
      </c>
      <c r="AA1852" s="7">
        <f>IF(ISBLANK(patch[[#This Row],[project]]), "",COUNTIFS($A:$A,patch[[#This Row],[number]],$S:$S, "FL And dev",$AD:$AD, "&lt;&gt;IntegratorValidationComment"))</f>
        <v>0</v>
      </c>
      <c r="AB1852" s="7">
        <f>IF(ISBLANK(patch[[#This Row],[project]]), "",COUNTIFS($A:$A,patch[[#This Row],[number]],$S:$S, "SH And dev",$AD:$AD, "&lt;&gt;IntegratorValidationComment"))</f>
        <v>0</v>
      </c>
      <c r="AC1852" s="7" t="str">
        <f>IF(OR(ISNUMBER(FIND("Review-1", patch[[#This Row],[comments]])), ISNUMBER(FIND("Approver-1", patch[[#This Row],[comments]]))), "Review-1", "")</f>
        <v/>
      </c>
      <c r="AD18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52" s="7" t="str">
        <f>IF(ISBLANK(patch[[#This Row],[number]]),AE1851,patch[[#This Row],[ifCommon]])</f>
        <v>not AndrHAL</v>
      </c>
    </row>
    <row r="1853" spans="1:31">
      <c r="A1853" s="151">
        <v>143834</v>
      </c>
      <c r="B1853" s="151"/>
      <c r="C1853" s="151"/>
      <c r="D1853" s="151"/>
      <c r="E1853" s="151"/>
      <c r="F1853" s="151"/>
      <c r="G1853" s="151"/>
      <c r="H1853" s="151"/>
      <c r="I1853" s="151"/>
      <c r="J1853" s="152">
        <v>42627.659201388888</v>
      </c>
      <c r="K1853" s="151"/>
      <c r="L1853" s="151" t="s">
        <v>32</v>
      </c>
      <c r="M1853" s="152">
        <v>42620.68959490741</v>
      </c>
      <c r="N1853" s="151" t="s">
        <v>25</v>
      </c>
      <c r="O1853" s="151"/>
      <c r="P1853" s="151"/>
      <c r="Q1853" s="7" t="str">
        <f>IF(ISBLANK(patch[[#This Row],[OwnerEmail]]),Q1852,patch[[#This Row],[OwnerEmail]])</f>
        <v>gang.a.hu@intel.com</v>
      </c>
      <c r="R1853" s="7" t="str">
        <f>_xlfn.IFNA(VLOOKUP(patch[[#This Row],[tmp-owner.email]],OrgTree!$A:$K, 11, 0), "not ICG SWFW")</f>
        <v>BJ And dev</v>
      </c>
      <c r="S1853" s="7" t="str">
        <f>IF(patch[[#This Row],[reviewer]]=patch[[#This Row],[tmp-owner.email]], "author", _xlfn.IFNA(VLOOKUP(patch[[#This Row],[reviewer]],OrgTree!$A:$K, 11, 0), "not ICG SWFW"))</f>
        <v>author</v>
      </c>
      <c r="T1853" s="7" t="str">
        <f>IF(ISBLANK(patch[[#This Row],[mergeDate]]), "", MID(YEAR(patch[[#This Row],[mergeDate]]), 3,2)&amp;"'ww"&amp;WEEKNUM(patch[[#This Row],[mergeDate]]))</f>
        <v>16'ww38</v>
      </c>
      <c r="U1853" s="7" t="str">
        <f>IF(ISBLANK(patch[[#This Row],[mergeDate]]), U1852, MID(YEAR(patch[[#This Row],[mergeDate]]), 3,2)&amp;"'m"&amp;MONTH(patch[[#This Row],[mergeDate]]))</f>
        <v>16'm9</v>
      </c>
      <c r="V1853" s="7" t="str">
        <f>IF(ISBLANK(patch[[#This Row],[project]]), "",SUM(patch[[#This Row],[BJ -1 num]:[SH -1 num]]))</f>
        <v/>
      </c>
      <c r="W1853" s="7" t="str">
        <f>IF(ISBLANK(patch[[#This Row],[project]]), "",COUNTIFS($A:$A,patch[[#This Row],[number]],$S:$S, "BJ And dev",$AC:$AC, "Review-1"))</f>
        <v/>
      </c>
      <c r="X1853" s="7" t="str">
        <f>IF(ISBLANK(patch[[#This Row],[project]]), "",COUNTIFS($A:$A,patch[[#This Row],[number]],$S:$S, "FL And dev",$AC:$AC, "Review-1"))</f>
        <v/>
      </c>
      <c r="Y1853" s="7" t="str">
        <f>IF(ISBLANK(patch[[#This Row],[project]]), "",COUNTIFS($A:$A,patch[[#This Row],[number]],$S:$S, "SH And dev",$AC:$AC, "Review-1"))</f>
        <v/>
      </c>
      <c r="Z1853" s="7" t="str">
        <f>IF(ISBLANK(patch[[#This Row],[project]]), "",COUNTIFS($A:$A,patch[[#This Row],[number]],$S:$S, "BJ And dev",$AD:$AD, "&lt;&gt;IntegratorValidationComment"))</f>
        <v/>
      </c>
      <c r="AA1853" s="7" t="str">
        <f>IF(ISBLANK(patch[[#This Row],[project]]), "",COUNTIFS($A:$A,patch[[#This Row],[number]],$S:$S, "FL And dev",$AD:$AD, "&lt;&gt;IntegratorValidationComment"))</f>
        <v/>
      </c>
      <c r="AB1853" s="7" t="str">
        <f>IF(ISBLANK(patch[[#This Row],[project]]), "",COUNTIFS($A:$A,patch[[#This Row],[number]],$S:$S, "SH And dev",$AD:$AD, "&lt;&gt;IntegratorValidationComment"))</f>
        <v/>
      </c>
      <c r="AC1853" s="7" t="str">
        <f>IF(OR(ISNUMBER(FIND("Review-1", patch[[#This Row],[comments]])), ISNUMBER(FIND("Approver-1", patch[[#This Row],[comments]]))), "Review-1", "")</f>
        <v/>
      </c>
      <c r="AD18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53" s="7">
        <f>IF(ISBLANK(patch[[#This Row],[number]]),AE1852,patch[[#This Row],[ifCommon]])</f>
        <v>0</v>
      </c>
    </row>
    <row r="1854" spans="1:31">
      <c r="A1854" s="151">
        <v>143834</v>
      </c>
      <c r="B1854" s="151"/>
      <c r="C1854" s="151"/>
      <c r="D1854" s="151"/>
      <c r="E1854" s="151"/>
      <c r="F1854" s="151"/>
      <c r="G1854" s="151"/>
      <c r="H1854" s="151"/>
      <c r="I1854" s="151"/>
      <c r="J1854" s="152">
        <v>42627.659201388888</v>
      </c>
      <c r="K1854" s="151"/>
      <c r="L1854" s="151" t="s">
        <v>59</v>
      </c>
      <c r="M1854" s="152">
        <v>42620.695821759262</v>
      </c>
      <c r="N1854" s="151" t="s">
        <v>3494</v>
      </c>
      <c r="O1854" s="151"/>
      <c r="P1854" s="151"/>
      <c r="Q1854" s="7" t="str">
        <f>IF(ISBLANK(patch[[#This Row],[OwnerEmail]]),Q1853,patch[[#This Row],[OwnerEmail]])</f>
        <v>gang.a.hu@intel.com</v>
      </c>
      <c r="R1854" s="7" t="str">
        <f>_xlfn.IFNA(VLOOKUP(patch[[#This Row],[tmp-owner.email]],OrgTree!$A:$K, 11, 0), "not ICG SWFW")</f>
        <v>BJ And dev</v>
      </c>
      <c r="S1854" s="7" t="str">
        <f>IF(patch[[#This Row],[reviewer]]=patch[[#This Row],[tmp-owner.email]], "author", _xlfn.IFNA(VLOOKUP(patch[[#This Row],[reviewer]],OrgTree!$A:$K, 11, 0), "not ICG SWFW"))</f>
        <v>BJ And dev</v>
      </c>
      <c r="T1854" s="7" t="str">
        <f>IF(ISBLANK(patch[[#This Row],[mergeDate]]), "", MID(YEAR(patch[[#This Row],[mergeDate]]), 3,2)&amp;"'ww"&amp;WEEKNUM(patch[[#This Row],[mergeDate]]))</f>
        <v>16'ww38</v>
      </c>
      <c r="U1854" s="7" t="str">
        <f>IF(ISBLANK(patch[[#This Row],[mergeDate]]), U1853, MID(YEAR(patch[[#This Row],[mergeDate]]), 3,2)&amp;"'m"&amp;MONTH(patch[[#This Row],[mergeDate]]))</f>
        <v>16'm9</v>
      </c>
      <c r="V1854" s="7" t="str">
        <f>IF(ISBLANK(patch[[#This Row],[project]]), "",SUM(patch[[#This Row],[BJ -1 num]:[SH -1 num]]))</f>
        <v/>
      </c>
      <c r="W1854" s="7" t="str">
        <f>IF(ISBLANK(patch[[#This Row],[project]]), "",COUNTIFS($A:$A,patch[[#This Row],[number]],$S:$S, "BJ And dev",$AC:$AC, "Review-1"))</f>
        <v/>
      </c>
      <c r="X1854" s="7" t="str">
        <f>IF(ISBLANK(patch[[#This Row],[project]]), "",COUNTIFS($A:$A,patch[[#This Row],[number]],$S:$S, "FL And dev",$AC:$AC, "Review-1"))</f>
        <v/>
      </c>
      <c r="Y1854" s="7" t="str">
        <f>IF(ISBLANK(patch[[#This Row],[project]]), "",COUNTIFS($A:$A,patch[[#This Row],[number]],$S:$S, "SH And dev",$AC:$AC, "Review-1"))</f>
        <v/>
      </c>
      <c r="Z1854" s="7" t="str">
        <f>IF(ISBLANK(patch[[#This Row],[project]]), "",COUNTIFS($A:$A,patch[[#This Row],[number]],$S:$S, "BJ And dev",$AD:$AD, "&lt;&gt;IntegratorValidationComment"))</f>
        <v/>
      </c>
      <c r="AA1854" s="7" t="str">
        <f>IF(ISBLANK(patch[[#This Row],[project]]), "",COUNTIFS($A:$A,patch[[#This Row],[number]],$S:$S, "FL And dev",$AD:$AD, "&lt;&gt;IntegratorValidationComment"))</f>
        <v/>
      </c>
      <c r="AB1854" s="7" t="str">
        <f>IF(ISBLANK(patch[[#This Row],[project]]), "",COUNTIFS($A:$A,patch[[#This Row],[number]],$S:$S, "SH And dev",$AD:$AD, "&lt;&gt;IntegratorValidationComment"))</f>
        <v/>
      </c>
      <c r="AC1854" s="7" t="str">
        <f>IF(OR(ISNUMBER(FIND("Review-1", patch[[#This Row],[comments]])), ISNUMBER(FIND("Approver-1", patch[[#This Row],[comments]]))), "Review-1", "")</f>
        <v/>
      </c>
      <c r="AD18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54" s="7">
        <f>IF(ISBLANK(patch[[#This Row],[number]]),AE1853,patch[[#This Row],[ifCommon]])</f>
        <v>0</v>
      </c>
    </row>
    <row r="1855" spans="1:31">
      <c r="A1855" s="151">
        <v>143834</v>
      </c>
      <c r="B1855" s="151"/>
      <c r="C1855" s="151"/>
      <c r="D1855" s="151"/>
      <c r="E1855" s="151"/>
      <c r="F1855" s="151"/>
      <c r="G1855" s="151"/>
      <c r="H1855" s="151"/>
      <c r="I1855" s="151"/>
      <c r="J1855" s="152">
        <v>42627.659201388888</v>
      </c>
      <c r="K1855" s="151"/>
      <c r="L1855" s="151" t="s">
        <v>59</v>
      </c>
      <c r="M1855" s="152">
        <v>42620.696747685193</v>
      </c>
      <c r="N1855" s="151" t="s">
        <v>3495</v>
      </c>
      <c r="O1855" s="151"/>
      <c r="P1855" s="151"/>
      <c r="Q1855" s="7" t="str">
        <f>IF(ISBLANK(patch[[#This Row],[OwnerEmail]]),Q1854,patch[[#This Row],[OwnerEmail]])</f>
        <v>gang.a.hu@intel.com</v>
      </c>
      <c r="R1855" s="7" t="str">
        <f>_xlfn.IFNA(VLOOKUP(patch[[#This Row],[tmp-owner.email]],OrgTree!$A:$K, 11, 0), "not ICG SWFW")</f>
        <v>BJ And dev</v>
      </c>
      <c r="S1855" s="7" t="str">
        <f>IF(patch[[#This Row],[reviewer]]=patch[[#This Row],[tmp-owner.email]], "author", _xlfn.IFNA(VLOOKUP(patch[[#This Row],[reviewer]],OrgTree!$A:$K, 11, 0), "not ICG SWFW"))</f>
        <v>BJ And dev</v>
      </c>
      <c r="T1855" s="7" t="str">
        <f>IF(ISBLANK(patch[[#This Row],[mergeDate]]), "", MID(YEAR(patch[[#This Row],[mergeDate]]), 3,2)&amp;"'ww"&amp;WEEKNUM(patch[[#This Row],[mergeDate]]))</f>
        <v>16'ww38</v>
      </c>
      <c r="U1855" s="7" t="str">
        <f>IF(ISBLANK(patch[[#This Row],[mergeDate]]), U1854, MID(YEAR(patch[[#This Row],[mergeDate]]), 3,2)&amp;"'m"&amp;MONTH(patch[[#This Row],[mergeDate]]))</f>
        <v>16'm9</v>
      </c>
      <c r="V1855" s="7" t="str">
        <f>IF(ISBLANK(patch[[#This Row],[project]]), "",SUM(patch[[#This Row],[BJ -1 num]:[SH -1 num]]))</f>
        <v/>
      </c>
      <c r="W1855" s="7" t="str">
        <f>IF(ISBLANK(patch[[#This Row],[project]]), "",COUNTIFS($A:$A,patch[[#This Row],[number]],$S:$S, "BJ And dev",$AC:$AC, "Review-1"))</f>
        <v/>
      </c>
      <c r="X1855" s="7" t="str">
        <f>IF(ISBLANK(patch[[#This Row],[project]]), "",COUNTIFS($A:$A,patch[[#This Row],[number]],$S:$S, "FL And dev",$AC:$AC, "Review-1"))</f>
        <v/>
      </c>
      <c r="Y1855" s="7" t="str">
        <f>IF(ISBLANK(patch[[#This Row],[project]]), "",COUNTIFS($A:$A,patch[[#This Row],[number]],$S:$S, "SH And dev",$AC:$AC, "Review-1"))</f>
        <v/>
      </c>
      <c r="Z1855" s="7" t="str">
        <f>IF(ISBLANK(patch[[#This Row],[project]]), "",COUNTIFS($A:$A,patch[[#This Row],[number]],$S:$S, "BJ And dev",$AD:$AD, "&lt;&gt;IntegratorValidationComment"))</f>
        <v/>
      </c>
      <c r="AA1855" s="7" t="str">
        <f>IF(ISBLANK(patch[[#This Row],[project]]), "",COUNTIFS($A:$A,patch[[#This Row],[number]],$S:$S, "FL And dev",$AD:$AD, "&lt;&gt;IntegratorValidationComment"))</f>
        <v/>
      </c>
      <c r="AB1855" s="7" t="str">
        <f>IF(ISBLANK(patch[[#This Row],[project]]), "",COUNTIFS($A:$A,patch[[#This Row],[number]],$S:$S, "SH And dev",$AD:$AD, "&lt;&gt;IntegratorValidationComment"))</f>
        <v/>
      </c>
      <c r="AC1855" s="7" t="str">
        <f>IF(OR(ISNUMBER(FIND("Review-1", patch[[#This Row],[comments]])), ISNUMBER(FIND("Approver-1", patch[[#This Row],[comments]]))), "Review-1", "")</f>
        <v/>
      </c>
      <c r="AD18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55" s="7">
        <f>IF(ISBLANK(patch[[#This Row],[number]]),AE1854,patch[[#This Row],[ifCommon]])</f>
        <v>0</v>
      </c>
    </row>
    <row r="1856" spans="1:31">
      <c r="A1856" s="151">
        <v>143834</v>
      </c>
      <c r="B1856" s="151"/>
      <c r="C1856" s="151"/>
      <c r="D1856" s="151"/>
      <c r="E1856" s="151"/>
      <c r="F1856" s="151"/>
      <c r="G1856" s="151"/>
      <c r="H1856" s="151"/>
      <c r="I1856" s="151"/>
      <c r="J1856" s="152">
        <v>42627.659201388888</v>
      </c>
      <c r="K1856" s="151"/>
      <c r="L1856" s="151" t="s">
        <v>32</v>
      </c>
      <c r="M1856" s="152">
        <v>42620.72142361111</v>
      </c>
      <c r="N1856" s="151" t="s">
        <v>2429</v>
      </c>
      <c r="O1856" s="151"/>
      <c r="P1856" s="151"/>
      <c r="Q1856" s="7" t="str">
        <f>IF(ISBLANK(patch[[#This Row],[OwnerEmail]]),Q1855,patch[[#This Row],[OwnerEmail]])</f>
        <v>gang.a.hu@intel.com</v>
      </c>
      <c r="R1856" s="7" t="str">
        <f>_xlfn.IFNA(VLOOKUP(patch[[#This Row],[tmp-owner.email]],OrgTree!$A:$K, 11, 0), "not ICG SWFW")</f>
        <v>BJ And dev</v>
      </c>
      <c r="S1856" s="7" t="str">
        <f>IF(patch[[#This Row],[reviewer]]=patch[[#This Row],[tmp-owner.email]], "author", _xlfn.IFNA(VLOOKUP(patch[[#This Row],[reviewer]],OrgTree!$A:$K, 11, 0), "not ICG SWFW"))</f>
        <v>author</v>
      </c>
      <c r="T1856" s="7" t="str">
        <f>IF(ISBLANK(patch[[#This Row],[mergeDate]]), "", MID(YEAR(patch[[#This Row],[mergeDate]]), 3,2)&amp;"'ww"&amp;WEEKNUM(patch[[#This Row],[mergeDate]]))</f>
        <v>16'ww38</v>
      </c>
      <c r="U1856" s="7" t="str">
        <f>IF(ISBLANK(patch[[#This Row],[mergeDate]]), U1855, MID(YEAR(patch[[#This Row],[mergeDate]]), 3,2)&amp;"'m"&amp;MONTH(patch[[#This Row],[mergeDate]]))</f>
        <v>16'm9</v>
      </c>
      <c r="V1856" s="7" t="str">
        <f>IF(ISBLANK(patch[[#This Row],[project]]), "",SUM(patch[[#This Row],[BJ -1 num]:[SH -1 num]]))</f>
        <v/>
      </c>
      <c r="W1856" s="7" t="str">
        <f>IF(ISBLANK(patch[[#This Row],[project]]), "",COUNTIFS($A:$A,patch[[#This Row],[number]],$S:$S, "BJ And dev",$AC:$AC, "Review-1"))</f>
        <v/>
      </c>
      <c r="X1856" s="7" t="str">
        <f>IF(ISBLANK(patch[[#This Row],[project]]), "",COUNTIFS($A:$A,patch[[#This Row],[number]],$S:$S, "FL And dev",$AC:$AC, "Review-1"))</f>
        <v/>
      </c>
      <c r="Y1856" s="7" t="str">
        <f>IF(ISBLANK(patch[[#This Row],[project]]), "",COUNTIFS($A:$A,patch[[#This Row],[number]],$S:$S, "SH And dev",$AC:$AC, "Review-1"))</f>
        <v/>
      </c>
      <c r="Z1856" s="7" t="str">
        <f>IF(ISBLANK(patch[[#This Row],[project]]), "",COUNTIFS($A:$A,patch[[#This Row],[number]],$S:$S, "BJ And dev",$AD:$AD, "&lt;&gt;IntegratorValidationComment"))</f>
        <v/>
      </c>
      <c r="AA1856" s="7" t="str">
        <f>IF(ISBLANK(patch[[#This Row],[project]]), "",COUNTIFS($A:$A,patch[[#This Row],[number]],$S:$S, "FL And dev",$AD:$AD, "&lt;&gt;IntegratorValidationComment"))</f>
        <v/>
      </c>
      <c r="AB1856" s="7" t="str">
        <f>IF(ISBLANK(patch[[#This Row],[project]]), "",COUNTIFS($A:$A,patch[[#This Row],[number]],$S:$S, "SH And dev",$AD:$AD, "&lt;&gt;IntegratorValidationComment"))</f>
        <v/>
      </c>
      <c r="AC1856" s="7" t="str">
        <f>IF(OR(ISNUMBER(FIND("Review-1", patch[[#This Row],[comments]])), ISNUMBER(FIND("Approver-1", patch[[#This Row],[comments]]))), "Review-1", "")</f>
        <v/>
      </c>
      <c r="AD18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56" s="7">
        <f>IF(ISBLANK(patch[[#This Row],[number]]),AE1855,patch[[#This Row],[ifCommon]])</f>
        <v>0</v>
      </c>
    </row>
    <row r="1857" spans="1:31">
      <c r="A1857" s="151">
        <v>143834</v>
      </c>
      <c r="B1857" s="151"/>
      <c r="C1857" s="151"/>
      <c r="D1857" s="151"/>
      <c r="E1857" s="151"/>
      <c r="F1857" s="151"/>
      <c r="G1857" s="151"/>
      <c r="H1857" s="151"/>
      <c r="I1857" s="151"/>
      <c r="J1857" s="152">
        <v>42627.659201388888</v>
      </c>
      <c r="K1857" s="151"/>
      <c r="L1857" s="151" t="s">
        <v>32</v>
      </c>
      <c r="M1857" s="152">
        <v>42620.72142361111</v>
      </c>
      <c r="N1857" s="151" t="s">
        <v>29</v>
      </c>
      <c r="O1857" s="151"/>
      <c r="P1857" s="151"/>
      <c r="Q1857" s="7" t="str">
        <f>IF(ISBLANK(patch[[#This Row],[OwnerEmail]]),Q1856,patch[[#This Row],[OwnerEmail]])</f>
        <v>gang.a.hu@intel.com</v>
      </c>
      <c r="R1857" s="7" t="str">
        <f>_xlfn.IFNA(VLOOKUP(patch[[#This Row],[tmp-owner.email]],OrgTree!$A:$K, 11, 0), "not ICG SWFW")</f>
        <v>BJ And dev</v>
      </c>
      <c r="S1857" s="7" t="str">
        <f>IF(patch[[#This Row],[reviewer]]=patch[[#This Row],[tmp-owner.email]], "author", _xlfn.IFNA(VLOOKUP(patch[[#This Row],[reviewer]],OrgTree!$A:$K, 11, 0), "not ICG SWFW"))</f>
        <v>author</v>
      </c>
      <c r="T1857" s="7" t="str">
        <f>IF(ISBLANK(patch[[#This Row],[mergeDate]]), "", MID(YEAR(patch[[#This Row],[mergeDate]]), 3,2)&amp;"'ww"&amp;WEEKNUM(patch[[#This Row],[mergeDate]]))</f>
        <v>16'ww38</v>
      </c>
      <c r="U1857" s="7" t="str">
        <f>IF(ISBLANK(patch[[#This Row],[mergeDate]]), U1856, MID(YEAR(patch[[#This Row],[mergeDate]]), 3,2)&amp;"'m"&amp;MONTH(patch[[#This Row],[mergeDate]]))</f>
        <v>16'm9</v>
      </c>
      <c r="V1857" s="7" t="str">
        <f>IF(ISBLANK(patch[[#This Row],[project]]), "",SUM(patch[[#This Row],[BJ -1 num]:[SH -1 num]]))</f>
        <v/>
      </c>
      <c r="W1857" s="7" t="str">
        <f>IF(ISBLANK(patch[[#This Row],[project]]), "",COUNTIFS($A:$A,patch[[#This Row],[number]],$S:$S, "BJ And dev",$AC:$AC, "Review-1"))</f>
        <v/>
      </c>
      <c r="X1857" s="7" t="str">
        <f>IF(ISBLANK(patch[[#This Row],[project]]), "",COUNTIFS($A:$A,patch[[#This Row],[number]],$S:$S, "FL And dev",$AC:$AC, "Review-1"))</f>
        <v/>
      </c>
      <c r="Y1857" s="7" t="str">
        <f>IF(ISBLANK(patch[[#This Row],[project]]), "",COUNTIFS($A:$A,patch[[#This Row],[number]],$S:$S, "SH And dev",$AC:$AC, "Review-1"))</f>
        <v/>
      </c>
      <c r="Z1857" s="7" t="str">
        <f>IF(ISBLANK(patch[[#This Row],[project]]), "",COUNTIFS($A:$A,patch[[#This Row],[number]],$S:$S, "BJ And dev",$AD:$AD, "&lt;&gt;IntegratorValidationComment"))</f>
        <v/>
      </c>
      <c r="AA1857" s="7" t="str">
        <f>IF(ISBLANK(patch[[#This Row],[project]]), "",COUNTIFS($A:$A,patch[[#This Row],[number]],$S:$S, "FL And dev",$AD:$AD, "&lt;&gt;IntegratorValidationComment"))</f>
        <v/>
      </c>
      <c r="AB1857" s="7" t="str">
        <f>IF(ISBLANK(patch[[#This Row],[project]]), "",COUNTIFS($A:$A,patch[[#This Row],[number]],$S:$S, "SH And dev",$AD:$AD, "&lt;&gt;IntegratorValidationComment"))</f>
        <v/>
      </c>
      <c r="AC1857" s="7" t="str">
        <f>IF(OR(ISNUMBER(FIND("Review-1", patch[[#This Row],[comments]])), ISNUMBER(FIND("Approver-1", patch[[#This Row],[comments]]))), "Review-1", "")</f>
        <v/>
      </c>
      <c r="AD18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57" s="7">
        <f>IF(ISBLANK(patch[[#This Row],[number]]),AE1856,patch[[#This Row],[ifCommon]])</f>
        <v>0</v>
      </c>
    </row>
    <row r="1858" spans="1:31">
      <c r="A1858" s="151">
        <v>143834</v>
      </c>
      <c r="B1858" s="151"/>
      <c r="C1858" s="151"/>
      <c r="D1858" s="151"/>
      <c r="E1858" s="151"/>
      <c r="F1858" s="151"/>
      <c r="G1858" s="151"/>
      <c r="H1858" s="151"/>
      <c r="I1858" s="151"/>
      <c r="J1858" s="152">
        <v>42627.659201388888</v>
      </c>
      <c r="K1858" s="151"/>
      <c r="L1858" s="151" t="s">
        <v>32</v>
      </c>
      <c r="M1858" s="152">
        <v>42620.722071759257</v>
      </c>
      <c r="N1858" s="151" t="s">
        <v>27</v>
      </c>
      <c r="O1858" s="151"/>
      <c r="P1858" s="151"/>
      <c r="Q1858" s="7" t="str">
        <f>IF(ISBLANK(patch[[#This Row],[OwnerEmail]]),Q1857,patch[[#This Row],[OwnerEmail]])</f>
        <v>gang.a.hu@intel.com</v>
      </c>
      <c r="R1858" s="7" t="str">
        <f>_xlfn.IFNA(VLOOKUP(patch[[#This Row],[tmp-owner.email]],OrgTree!$A:$K, 11, 0), "not ICG SWFW")</f>
        <v>BJ And dev</v>
      </c>
      <c r="S1858" s="7" t="str">
        <f>IF(patch[[#This Row],[reviewer]]=patch[[#This Row],[tmp-owner.email]], "author", _xlfn.IFNA(VLOOKUP(patch[[#This Row],[reviewer]],OrgTree!$A:$K, 11, 0), "not ICG SWFW"))</f>
        <v>author</v>
      </c>
      <c r="T1858" s="7" t="str">
        <f>IF(ISBLANK(patch[[#This Row],[mergeDate]]), "", MID(YEAR(patch[[#This Row],[mergeDate]]), 3,2)&amp;"'ww"&amp;WEEKNUM(patch[[#This Row],[mergeDate]]))</f>
        <v>16'ww38</v>
      </c>
      <c r="U1858" s="7" t="str">
        <f>IF(ISBLANK(patch[[#This Row],[mergeDate]]), U1857, MID(YEAR(patch[[#This Row],[mergeDate]]), 3,2)&amp;"'m"&amp;MONTH(patch[[#This Row],[mergeDate]]))</f>
        <v>16'm9</v>
      </c>
      <c r="V1858" s="7" t="str">
        <f>IF(ISBLANK(patch[[#This Row],[project]]), "",SUM(patch[[#This Row],[BJ -1 num]:[SH -1 num]]))</f>
        <v/>
      </c>
      <c r="W1858" s="7" t="str">
        <f>IF(ISBLANK(patch[[#This Row],[project]]), "",COUNTIFS($A:$A,patch[[#This Row],[number]],$S:$S, "BJ And dev",$AC:$AC, "Review-1"))</f>
        <v/>
      </c>
      <c r="X1858" s="7" t="str">
        <f>IF(ISBLANK(patch[[#This Row],[project]]), "",COUNTIFS($A:$A,patch[[#This Row],[number]],$S:$S, "FL And dev",$AC:$AC, "Review-1"))</f>
        <v/>
      </c>
      <c r="Y1858" s="7" t="str">
        <f>IF(ISBLANK(patch[[#This Row],[project]]), "",COUNTIFS($A:$A,patch[[#This Row],[number]],$S:$S, "SH And dev",$AC:$AC, "Review-1"))</f>
        <v/>
      </c>
      <c r="Z1858" s="7" t="str">
        <f>IF(ISBLANK(patch[[#This Row],[project]]), "",COUNTIFS($A:$A,patch[[#This Row],[number]],$S:$S, "BJ And dev",$AD:$AD, "&lt;&gt;IntegratorValidationComment"))</f>
        <v/>
      </c>
      <c r="AA1858" s="7" t="str">
        <f>IF(ISBLANK(patch[[#This Row],[project]]), "",COUNTIFS($A:$A,patch[[#This Row],[number]],$S:$S, "FL And dev",$AD:$AD, "&lt;&gt;IntegratorValidationComment"))</f>
        <v/>
      </c>
      <c r="AB1858" s="7" t="str">
        <f>IF(ISBLANK(patch[[#This Row],[project]]), "",COUNTIFS($A:$A,patch[[#This Row],[number]],$S:$S, "SH And dev",$AD:$AD, "&lt;&gt;IntegratorValidationComment"))</f>
        <v/>
      </c>
      <c r="AC1858" s="7" t="str">
        <f>IF(OR(ISNUMBER(FIND("Review-1", patch[[#This Row],[comments]])), ISNUMBER(FIND("Approver-1", patch[[#This Row],[comments]]))), "Review-1", "")</f>
        <v/>
      </c>
      <c r="AD18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58" s="7">
        <f>IF(ISBLANK(patch[[#This Row],[number]]),AE1857,patch[[#This Row],[ifCommon]])</f>
        <v>0</v>
      </c>
    </row>
    <row r="1859" spans="1:31">
      <c r="A1859" s="151">
        <v>143834</v>
      </c>
      <c r="B1859" s="151"/>
      <c r="C1859" s="151"/>
      <c r="D1859" s="151"/>
      <c r="E1859" s="151"/>
      <c r="F1859" s="151"/>
      <c r="G1859" s="151"/>
      <c r="H1859" s="151"/>
      <c r="I1859" s="151"/>
      <c r="J1859" s="152">
        <v>42627.659201388888</v>
      </c>
      <c r="K1859" s="151"/>
      <c r="L1859" s="151" t="s">
        <v>59</v>
      </c>
      <c r="M1859" s="152">
        <v>42620.723530092589</v>
      </c>
      <c r="N1859" s="151" t="s">
        <v>3496</v>
      </c>
      <c r="O1859" s="151"/>
      <c r="P1859" s="151"/>
      <c r="Q1859" s="7" t="str">
        <f>IF(ISBLANK(patch[[#This Row],[OwnerEmail]]),Q1858,patch[[#This Row],[OwnerEmail]])</f>
        <v>gang.a.hu@intel.com</v>
      </c>
      <c r="R1859" s="7" t="str">
        <f>_xlfn.IFNA(VLOOKUP(patch[[#This Row],[tmp-owner.email]],OrgTree!$A:$K, 11, 0), "not ICG SWFW")</f>
        <v>BJ And dev</v>
      </c>
      <c r="S1859" s="7" t="str">
        <f>IF(patch[[#This Row],[reviewer]]=patch[[#This Row],[tmp-owner.email]], "author", _xlfn.IFNA(VLOOKUP(patch[[#This Row],[reviewer]],OrgTree!$A:$K, 11, 0), "not ICG SWFW"))</f>
        <v>BJ And dev</v>
      </c>
      <c r="T1859" s="7" t="str">
        <f>IF(ISBLANK(patch[[#This Row],[mergeDate]]), "", MID(YEAR(patch[[#This Row],[mergeDate]]), 3,2)&amp;"'ww"&amp;WEEKNUM(patch[[#This Row],[mergeDate]]))</f>
        <v>16'ww38</v>
      </c>
      <c r="U1859" s="7" t="str">
        <f>IF(ISBLANK(patch[[#This Row],[mergeDate]]), U1858, MID(YEAR(patch[[#This Row],[mergeDate]]), 3,2)&amp;"'m"&amp;MONTH(patch[[#This Row],[mergeDate]]))</f>
        <v>16'm9</v>
      </c>
      <c r="V1859" s="7" t="str">
        <f>IF(ISBLANK(patch[[#This Row],[project]]), "",SUM(patch[[#This Row],[BJ -1 num]:[SH -1 num]]))</f>
        <v/>
      </c>
      <c r="W1859" s="7" t="str">
        <f>IF(ISBLANK(patch[[#This Row],[project]]), "",COUNTIFS($A:$A,patch[[#This Row],[number]],$S:$S, "BJ And dev",$AC:$AC, "Review-1"))</f>
        <v/>
      </c>
      <c r="X1859" s="7" t="str">
        <f>IF(ISBLANK(patch[[#This Row],[project]]), "",COUNTIFS($A:$A,patch[[#This Row],[number]],$S:$S, "FL And dev",$AC:$AC, "Review-1"))</f>
        <v/>
      </c>
      <c r="Y1859" s="7" t="str">
        <f>IF(ISBLANK(patch[[#This Row],[project]]), "",COUNTIFS($A:$A,patch[[#This Row],[number]],$S:$S, "SH And dev",$AC:$AC, "Review-1"))</f>
        <v/>
      </c>
      <c r="Z1859" s="7" t="str">
        <f>IF(ISBLANK(patch[[#This Row],[project]]), "",COUNTIFS($A:$A,patch[[#This Row],[number]],$S:$S, "BJ And dev",$AD:$AD, "&lt;&gt;IntegratorValidationComment"))</f>
        <v/>
      </c>
      <c r="AA1859" s="7" t="str">
        <f>IF(ISBLANK(patch[[#This Row],[project]]), "",COUNTIFS($A:$A,patch[[#This Row],[number]],$S:$S, "FL And dev",$AD:$AD, "&lt;&gt;IntegratorValidationComment"))</f>
        <v/>
      </c>
      <c r="AB1859" s="7" t="str">
        <f>IF(ISBLANK(patch[[#This Row],[project]]), "",COUNTIFS($A:$A,patch[[#This Row],[number]],$S:$S, "SH And dev",$AD:$AD, "&lt;&gt;IntegratorValidationComment"))</f>
        <v/>
      </c>
      <c r="AC1859" s="7" t="str">
        <f>IF(OR(ISNUMBER(FIND("Review-1", patch[[#This Row],[comments]])), ISNUMBER(FIND("Approver-1", patch[[#This Row],[comments]]))), "Review-1", "")</f>
        <v/>
      </c>
      <c r="AD18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59" s="7">
        <f>IF(ISBLANK(patch[[#This Row],[number]]),AE1858,patch[[#This Row],[ifCommon]])</f>
        <v>0</v>
      </c>
    </row>
    <row r="1860" spans="1:31">
      <c r="A1860" s="151">
        <v>143834</v>
      </c>
      <c r="B1860" s="151"/>
      <c r="C1860" s="151"/>
      <c r="D1860" s="151"/>
      <c r="E1860" s="151"/>
      <c r="F1860" s="151"/>
      <c r="G1860" s="151"/>
      <c r="H1860" s="151"/>
      <c r="I1860" s="151"/>
      <c r="J1860" s="152">
        <v>42627.659201388888</v>
      </c>
      <c r="K1860" s="151"/>
      <c r="L1860" s="151" t="s">
        <v>63</v>
      </c>
      <c r="M1860" s="152">
        <v>42621.663645833331</v>
      </c>
      <c r="N1860" s="151" t="s">
        <v>27</v>
      </c>
      <c r="O1860" s="151"/>
      <c r="P1860" s="151"/>
      <c r="Q1860" s="7" t="str">
        <f>IF(ISBLANK(patch[[#This Row],[OwnerEmail]]),Q1859,patch[[#This Row],[OwnerEmail]])</f>
        <v>gang.a.hu@intel.com</v>
      </c>
      <c r="R1860" s="7" t="str">
        <f>_xlfn.IFNA(VLOOKUP(patch[[#This Row],[tmp-owner.email]],OrgTree!$A:$K, 11, 0), "not ICG SWFW")</f>
        <v>BJ And dev</v>
      </c>
      <c r="S1860" s="7" t="str">
        <f>IF(patch[[#This Row],[reviewer]]=patch[[#This Row],[tmp-owner.email]], "author", _xlfn.IFNA(VLOOKUP(patch[[#This Row],[reviewer]],OrgTree!$A:$K, 11, 0), "not ICG SWFW"))</f>
        <v>BJ And dev</v>
      </c>
      <c r="T1860" s="7" t="str">
        <f>IF(ISBLANK(patch[[#This Row],[mergeDate]]), "", MID(YEAR(patch[[#This Row],[mergeDate]]), 3,2)&amp;"'ww"&amp;WEEKNUM(patch[[#This Row],[mergeDate]]))</f>
        <v>16'ww38</v>
      </c>
      <c r="U1860" s="7" t="str">
        <f>IF(ISBLANK(patch[[#This Row],[mergeDate]]), U1859, MID(YEAR(patch[[#This Row],[mergeDate]]), 3,2)&amp;"'m"&amp;MONTH(patch[[#This Row],[mergeDate]]))</f>
        <v>16'm9</v>
      </c>
      <c r="V1860" s="7" t="str">
        <f>IF(ISBLANK(patch[[#This Row],[project]]), "",SUM(patch[[#This Row],[BJ -1 num]:[SH -1 num]]))</f>
        <v/>
      </c>
      <c r="W1860" s="7" t="str">
        <f>IF(ISBLANK(patch[[#This Row],[project]]), "",COUNTIFS($A:$A,patch[[#This Row],[number]],$S:$S, "BJ And dev",$AC:$AC, "Review-1"))</f>
        <v/>
      </c>
      <c r="X1860" s="7" t="str">
        <f>IF(ISBLANK(patch[[#This Row],[project]]), "",COUNTIFS($A:$A,patch[[#This Row],[number]],$S:$S, "FL And dev",$AC:$AC, "Review-1"))</f>
        <v/>
      </c>
      <c r="Y1860" s="7" t="str">
        <f>IF(ISBLANK(patch[[#This Row],[project]]), "",COUNTIFS($A:$A,patch[[#This Row],[number]],$S:$S, "SH And dev",$AC:$AC, "Review-1"))</f>
        <v/>
      </c>
      <c r="Z1860" s="7" t="str">
        <f>IF(ISBLANK(patch[[#This Row],[project]]), "",COUNTIFS($A:$A,patch[[#This Row],[number]],$S:$S, "BJ And dev",$AD:$AD, "&lt;&gt;IntegratorValidationComment"))</f>
        <v/>
      </c>
      <c r="AA1860" s="7" t="str">
        <f>IF(ISBLANK(patch[[#This Row],[project]]), "",COUNTIFS($A:$A,patch[[#This Row],[number]],$S:$S, "FL And dev",$AD:$AD, "&lt;&gt;IntegratorValidationComment"))</f>
        <v/>
      </c>
      <c r="AB1860" s="7" t="str">
        <f>IF(ISBLANK(patch[[#This Row],[project]]), "",COUNTIFS($A:$A,patch[[#This Row],[number]],$S:$S, "SH And dev",$AD:$AD, "&lt;&gt;IntegratorValidationComment"))</f>
        <v/>
      </c>
      <c r="AC1860" s="7" t="str">
        <f>IF(OR(ISNUMBER(FIND("Review-1", patch[[#This Row],[comments]])), ISNUMBER(FIND("Approver-1", patch[[#This Row],[comments]]))), "Review-1", "")</f>
        <v/>
      </c>
      <c r="AD18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60" s="7">
        <f>IF(ISBLANK(patch[[#This Row],[number]]),AE1859,patch[[#This Row],[ifCommon]])</f>
        <v>0</v>
      </c>
    </row>
    <row r="1861" spans="1:31">
      <c r="A1861" s="151">
        <v>143834</v>
      </c>
      <c r="B1861" s="151"/>
      <c r="C1861" s="151"/>
      <c r="D1861" s="151"/>
      <c r="E1861" s="151"/>
      <c r="F1861" s="151"/>
      <c r="G1861" s="151"/>
      <c r="H1861" s="151"/>
      <c r="I1861" s="151"/>
      <c r="J1861" s="152">
        <v>42627.659201388888</v>
      </c>
      <c r="K1861" s="151"/>
      <c r="L1861" s="151" t="s">
        <v>59</v>
      </c>
      <c r="M1861" s="152">
        <v>42621.665127314824</v>
      </c>
      <c r="N1861" s="151" t="s">
        <v>3497</v>
      </c>
      <c r="O1861" s="151" t="s">
        <v>3498</v>
      </c>
      <c r="P1861" s="151"/>
      <c r="Q1861" s="7" t="str">
        <f>IF(ISBLANK(patch[[#This Row],[OwnerEmail]]),Q1860,patch[[#This Row],[OwnerEmail]])</f>
        <v>gang.a.hu@intel.com</v>
      </c>
      <c r="R1861" s="7" t="str">
        <f>_xlfn.IFNA(VLOOKUP(patch[[#This Row],[tmp-owner.email]],OrgTree!$A:$K, 11, 0), "not ICG SWFW")</f>
        <v>BJ And dev</v>
      </c>
      <c r="S1861" s="7" t="str">
        <f>IF(patch[[#This Row],[reviewer]]=patch[[#This Row],[tmp-owner.email]], "author", _xlfn.IFNA(VLOOKUP(patch[[#This Row],[reviewer]],OrgTree!$A:$K, 11, 0), "not ICG SWFW"))</f>
        <v>BJ And dev</v>
      </c>
      <c r="T1861" s="7" t="str">
        <f>IF(ISBLANK(patch[[#This Row],[mergeDate]]), "", MID(YEAR(patch[[#This Row],[mergeDate]]), 3,2)&amp;"'ww"&amp;WEEKNUM(patch[[#This Row],[mergeDate]]))</f>
        <v>16'ww38</v>
      </c>
      <c r="U1861" s="7" t="str">
        <f>IF(ISBLANK(patch[[#This Row],[mergeDate]]), U1860, MID(YEAR(patch[[#This Row],[mergeDate]]), 3,2)&amp;"'m"&amp;MONTH(patch[[#This Row],[mergeDate]]))</f>
        <v>16'm9</v>
      </c>
      <c r="V1861" s="7" t="str">
        <f>IF(ISBLANK(patch[[#This Row],[project]]), "",SUM(patch[[#This Row],[BJ -1 num]:[SH -1 num]]))</f>
        <v/>
      </c>
      <c r="W1861" s="7" t="str">
        <f>IF(ISBLANK(patch[[#This Row],[project]]), "",COUNTIFS($A:$A,patch[[#This Row],[number]],$S:$S, "BJ And dev",$AC:$AC, "Review-1"))</f>
        <v/>
      </c>
      <c r="X1861" s="7" t="str">
        <f>IF(ISBLANK(patch[[#This Row],[project]]), "",COUNTIFS($A:$A,patch[[#This Row],[number]],$S:$S, "FL And dev",$AC:$AC, "Review-1"))</f>
        <v/>
      </c>
      <c r="Y1861" s="7" t="str">
        <f>IF(ISBLANK(patch[[#This Row],[project]]), "",COUNTIFS($A:$A,patch[[#This Row],[number]],$S:$S, "SH And dev",$AC:$AC, "Review-1"))</f>
        <v/>
      </c>
      <c r="Z1861" s="7" t="str">
        <f>IF(ISBLANK(patch[[#This Row],[project]]), "",COUNTIFS($A:$A,patch[[#This Row],[number]],$S:$S, "BJ And dev",$AD:$AD, "&lt;&gt;IntegratorValidationComment"))</f>
        <v/>
      </c>
      <c r="AA1861" s="7" t="str">
        <f>IF(ISBLANK(patch[[#This Row],[project]]), "",COUNTIFS($A:$A,patch[[#This Row],[number]],$S:$S, "FL And dev",$AD:$AD, "&lt;&gt;IntegratorValidationComment"))</f>
        <v/>
      </c>
      <c r="AB1861" s="7" t="str">
        <f>IF(ISBLANK(patch[[#This Row],[project]]), "",COUNTIFS($A:$A,patch[[#This Row],[number]],$S:$S, "SH And dev",$AD:$AD, "&lt;&gt;IntegratorValidationComment"))</f>
        <v/>
      </c>
      <c r="AC1861" s="7" t="str">
        <f>IF(OR(ISNUMBER(FIND("Review-1", patch[[#This Row],[comments]])), ISNUMBER(FIND("Approver-1", patch[[#This Row],[comments]]))), "Review-1", "")</f>
        <v>Review-1</v>
      </c>
      <c r="AD18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61" s="7">
        <f>IF(ISBLANK(patch[[#This Row],[number]]),AE1860,patch[[#This Row],[ifCommon]])</f>
        <v>0</v>
      </c>
    </row>
    <row r="1862" spans="1:31">
      <c r="A1862" s="151">
        <v>143834</v>
      </c>
      <c r="B1862" s="151"/>
      <c r="C1862" s="151"/>
      <c r="D1862" s="151"/>
      <c r="E1862" s="151"/>
      <c r="F1862" s="151"/>
      <c r="G1862" s="151"/>
      <c r="H1862" s="151"/>
      <c r="I1862" s="151"/>
      <c r="J1862" s="152">
        <v>42627.659201388888</v>
      </c>
      <c r="K1862" s="151"/>
      <c r="L1862" s="151" t="s">
        <v>32</v>
      </c>
      <c r="M1862" s="152">
        <v>42621.702430555553</v>
      </c>
      <c r="N1862" s="151" t="s">
        <v>1829</v>
      </c>
      <c r="O1862" s="151"/>
      <c r="P1862" s="151"/>
      <c r="Q1862" s="7" t="str">
        <f>IF(ISBLANK(patch[[#This Row],[OwnerEmail]]),Q1861,patch[[#This Row],[OwnerEmail]])</f>
        <v>gang.a.hu@intel.com</v>
      </c>
      <c r="R1862" s="7" t="str">
        <f>_xlfn.IFNA(VLOOKUP(patch[[#This Row],[tmp-owner.email]],OrgTree!$A:$K, 11, 0), "not ICG SWFW")</f>
        <v>BJ And dev</v>
      </c>
      <c r="S1862" s="7" t="str">
        <f>IF(patch[[#This Row],[reviewer]]=patch[[#This Row],[tmp-owner.email]], "author", _xlfn.IFNA(VLOOKUP(patch[[#This Row],[reviewer]],OrgTree!$A:$K, 11, 0), "not ICG SWFW"))</f>
        <v>author</v>
      </c>
      <c r="T1862" s="7" t="str">
        <f>IF(ISBLANK(patch[[#This Row],[mergeDate]]), "", MID(YEAR(patch[[#This Row],[mergeDate]]), 3,2)&amp;"'ww"&amp;WEEKNUM(patch[[#This Row],[mergeDate]]))</f>
        <v>16'ww38</v>
      </c>
      <c r="U1862" s="7" t="str">
        <f>IF(ISBLANK(patch[[#This Row],[mergeDate]]), U1861, MID(YEAR(patch[[#This Row],[mergeDate]]), 3,2)&amp;"'m"&amp;MONTH(patch[[#This Row],[mergeDate]]))</f>
        <v>16'm9</v>
      </c>
      <c r="V1862" s="7" t="str">
        <f>IF(ISBLANK(patch[[#This Row],[project]]), "",SUM(patch[[#This Row],[BJ -1 num]:[SH -1 num]]))</f>
        <v/>
      </c>
      <c r="W1862" s="7" t="str">
        <f>IF(ISBLANK(patch[[#This Row],[project]]), "",COUNTIFS($A:$A,patch[[#This Row],[number]],$S:$S, "BJ And dev",$AC:$AC, "Review-1"))</f>
        <v/>
      </c>
      <c r="X1862" s="7" t="str">
        <f>IF(ISBLANK(patch[[#This Row],[project]]), "",COUNTIFS($A:$A,patch[[#This Row],[number]],$S:$S, "FL And dev",$AC:$AC, "Review-1"))</f>
        <v/>
      </c>
      <c r="Y1862" s="7" t="str">
        <f>IF(ISBLANK(patch[[#This Row],[project]]), "",COUNTIFS($A:$A,patch[[#This Row],[number]],$S:$S, "SH And dev",$AC:$AC, "Review-1"))</f>
        <v/>
      </c>
      <c r="Z1862" s="7" t="str">
        <f>IF(ISBLANK(patch[[#This Row],[project]]), "",COUNTIFS($A:$A,patch[[#This Row],[number]],$S:$S, "BJ And dev",$AD:$AD, "&lt;&gt;IntegratorValidationComment"))</f>
        <v/>
      </c>
      <c r="AA1862" s="7" t="str">
        <f>IF(ISBLANK(patch[[#This Row],[project]]), "",COUNTIFS($A:$A,patch[[#This Row],[number]],$S:$S, "FL And dev",$AD:$AD, "&lt;&gt;IntegratorValidationComment"))</f>
        <v/>
      </c>
      <c r="AB1862" s="7" t="str">
        <f>IF(ISBLANK(patch[[#This Row],[project]]), "",COUNTIFS($A:$A,patch[[#This Row],[number]],$S:$S, "SH And dev",$AD:$AD, "&lt;&gt;IntegratorValidationComment"))</f>
        <v/>
      </c>
      <c r="AC1862" s="7" t="str">
        <f>IF(OR(ISNUMBER(FIND("Review-1", patch[[#This Row],[comments]])), ISNUMBER(FIND("Approver-1", patch[[#This Row],[comments]]))), "Review-1", "")</f>
        <v/>
      </c>
      <c r="AD18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62" s="7">
        <f>IF(ISBLANK(patch[[#This Row],[number]]),AE1861,patch[[#This Row],[ifCommon]])</f>
        <v>0</v>
      </c>
    </row>
    <row r="1863" spans="1:31">
      <c r="A1863" s="151">
        <v>143834</v>
      </c>
      <c r="B1863" s="151"/>
      <c r="C1863" s="151"/>
      <c r="D1863" s="151"/>
      <c r="E1863" s="151"/>
      <c r="F1863" s="151"/>
      <c r="G1863" s="151"/>
      <c r="H1863" s="151"/>
      <c r="I1863" s="151"/>
      <c r="J1863" s="152">
        <v>42627.659201388888</v>
      </c>
      <c r="K1863" s="151"/>
      <c r="L1863" s="151" t="s">
        <v>32</v>
      </c>
      <c r="M1863" s="152">
        <v>42621.702453703707</v>
      </c>
      <c r="N1863" s="151" t="s">
        <v>2450</v>
      </c>
      <c r="O1863" s="151"/>
      <c r="P1863" s="151"/>
      <c r="Q1863" s="7" t="str">
        <f>IF(ISBLANK(patch[[#This Row],[OwnerEmail]]),Q1862,patch[[#This Row],[OwnerEmail]])</f>
        <v>gang.a.hu@intel.com</v>
      </c>
      <c r="R1863" s="7" t="str">
        <f>_xlfn.IFNA(VLOOKUP(patch[[#This Row],[tmp-owner.email]],OrgTree!$A:$K, 11, 0), "not ICG SWFW")</f>
        <v>BJ And dev</v>
      </c>
      <c r="S1863" s="7" t="str">
        <f>IF(patch[[#This Row],[reviewer]]=patch[[#This Row],[tmp-owner.email]], "author", _xlfn.IFNA(VLOOKUP(patch[[#This Row],[reviewer]],OrgTree!$A:$K, 11, 0), "not ICG SWFW"))</f>
        <v>author</v>
      </c>
      <c r="T1863" s="7" t="str">
        <f>IF(ISBLANK(patch[[#This Row],[mergeDate]]), "", MID(YEAR(patch[[#This Row],[mergeDate]]), 3,2)&amp;"'ww"&amp;WEEKNUM(patch[[#This Row],[mergeDate]]))</f>
        <v>16'ww38</v>
      </c>
      <c r="U1863" s="7" t="str">
        <f>IF(ISBLANK(patch[[#This Row],[mergeDate]]), U1862, MID(YEAR(patch[[#This Row],[mergeDate]]), 3,2)&amp;"'m"&amp;MONTH(patch[[#This Row],[mergeDate]]))</f>
        <v>16'm9</v>
      </c>
      <c r="V1863" s="7" t="str">
        <f>IF(ISBLANK(patch[[#This Row],[project]]), "",SUM(patch[[#This Row],[BJ -1 num]:[SH -1 num]]))</f>
        <v/>
      </c>
      <c r="W1863" s="7" t="str">
        <f>IF(ISBLANK(patch[[#This Row],[project]]), "",COUNTIFS($A:$A,patch[[#This Row],[number]],$S:$S, "BJ And dev",$AC:$AC, "Review-1"))</f>
        <v/>
      </c>
      <c r="X1863" s="7" t="str">
        <f>IF(ISBLANK(patch[[#This Row],[project]]), "",COUNTIFS($A:$A,patch[[#This Row],[number]],$S:$S, "FL And dev",$AC:$AC, "Review-1"))</f>
        <v/>
      </c>
      <c r="Y1863" s="7" t="str">
        <f>IF(ISBLANK(patch[[#This Row],[project]]), "",COUNTIFS($A:$A,patch[[#This Row],[number]],$S:$S, "SH And dev",$AC:$AC, "Review-1"))</f>
        <v/>
      </c>
      <c r="Z1863" s="7" t="str">
        <f>IF(ISBLANK(patch[[#This Row],[project]]), "",COUNTIFS($A:$A,patch[[#This Row],[number]],$S:$S, "BJ And dev",$AD:$AD, "&lt;&gt;IntegratorValidationComment"))</f>
        <v/>
      </c>
      <c r="AA1863" s="7" t="str">
        <f>IF(ISBLANK(patch[[#This Row],[project]]), "",COUNTIFS($A:$A,patch[[#This Row],[number]],$S:$S, "FL And dev",$AD:$AD, "&lt;&gt;IntegratorValidationComment"))</f>
        <v/>
      </c>
      <c r="AB1863" s="7" t="str">
        <f>IF(ISBLANK(patch[[#This Row],[project]]), "",COUNTIFS($A:$A,patch[[#This Row],[number]],$S:$S, "SH And dev",$AD:$AD, "&lt;&gt;IntegratorValidationComment"))</f>
        <v/>
      </c>
      <c r="AC1863" s="7" t="str">
        <f>IF(OR(ISNUMBER(FIND("Review-1", patch[[#This Row],[comments]])), ISNUMBER(FIND("Approver-1", patch[[#This Row],[comments]]))), "Review-1", "")</f>
        <v/>
      </c>
      <c r="AD18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63" s="7">
        <f>IF(ISBLANK(patch[[#This Row],[number]]),AE1862,patch[[#This Row],[ifCommon]])</f>
        <v>0</v>
      </c>
    </row>
    <row r="1864" spans="1:31">
      <c r="A1864" s="151">
        <v>143834</v>
      </c>
      <c r="B1864" s="151"/>
      <c r="C1864" s="151"/>
      <c r="D1864" s="151"/>
      <c r="E1864" s="151"/>
      <c r="F1864" s="151"/>
      <c r="G1864" s="151"/>
      <c r="H1864" s="151"/>
      <c r="I1864" s="151"/>
      <c r="J1864" s="152">
        <v>42627.659201388888</v>
      </c>
      <c r="K1864" s="151"/>
      <c r="L1864" s="151" t="s">
        <v>32</v>
      </c>
      <c r="M1864" s="152">
        <v>42621.706041666657</v>
      </c>
      <c r="N1864" s="151" t="s">
        <v>48</v>
      </c>
      <c r="O1864" s="151"/>
      <c r="P1864" s="151"/>
      <c r="Q1864" s="7" t="str">
        <f>IF(ISBLANK(patch[[#This Row],[OwnerEmail]]),Q1863,patch[[#This Row],[OwnerEmail]])</f>
        <v>gang.a.hu@intel.com</v>
      </c>
      <c r="R1864" s="7" t="str">
        <f>_xlfn.IFNA(VLOOKUP(patch[[#This Row],[tmp-owner.email]],OrgTree!$A:$K, 11, 0), "not ICG SWFW")</f>
        <v>BJ And dev</v>
      </c>
      <c r="S1864" s="7" t="str">
        <f>IF(patch[[#This Row],[reviewer]]=patch[[#This Row],[tmp-owner.email]], "author", _xlfn.IFNA(VLOOKUP(patch[[#This Row],[reviewer]],OrgTree!$A:$K, 11, 0), "not ICG SWFW"))</f>
        <v>author</v>
      </c>
      <c r="T1864" s="7" t="str">
        <f>IF(ISBLANK(patch[[#This Row],[mergeDate]]), "", MID(YEAR(patch[[#This Row],[mergeDate]]), 3,2)&amp;"'ww"&amp;WEEKNUM(patch[[#This Row],[mergeDate]]))</f>
        <v>16'ww38</v>
      </c>
      <c r="U1864" s="7" t="str">
        <f>IF(ISBLANK(patch[[#This Row],[mergeDate]]), U1863, MID(YEAR(patch[[#This Row],[mergeDate]]), 3,2)&amp;"'m"&amp;MONTH(patch[[#This Row],[mergeDate]]))</f>
        <v>16'm9</v>
      </c>
      <c r="V1864" s="7" t="str">
        <f>IF(ISBLANK(patch[[#This Row],[project]]), "",SUM(patch[[#This Row],[BJ -1 num]:[SH -1 num]]))</f>
        <v/>
      </c>
      <c r="W1864" s="7" t="str">
        <f>IF(ISBLANK(patch[[#This Row],[project]]), "",COUNTIFS($A:$A,patch[[#This Row],[number]],$S:$S, "BJ And dev",$AC:$AC, "Review-1"))</f>
        <v/>
      </c>
      <c r="X1864" s="7" t="str">
        <f>IF(ISBLANK(patch[[#This Row],[project]]), "",COUNTIFS($A:$A,patch[[#This Row],[number]],$S:$S, "FL And dev",$AC:$AC, "Review-1"))</f>
        <v/>
      </c>
      <c r="Y1864" s="7" t="str">
        <f>IF(ISBLANK(patch[[#This Row],[project]]), "",COUNTIFS($A:$A,patch[[#This Row],[number]],$S:$S, "SH And dev",$AC:$AC, "Review-1"))</f>
        <v/>
      </c>
      <c r="Z1864" s="7" t="str">
        <f>IF(ISBLANK(patch[[#This Row],[project]]), "",COUNTIFS($A:$A,patch[[#This Row],[number]],$S:$S, "BJ And dev",$AD:$AD, "&lt;&gt;IntegratorValidationComment"))</f>
        <v/>
      </c>
      <c r="AA1864" s="7" t="str">
        <f>IF(ISBLANK(patch[[#This Row],[project]]), "",COUNTIFS($A:$A,patch[[#This Row],[number]],$S:$S, "FL And dev",$AD:$AD, "&lt;&gt;IntegratorValidationComment"))</f>
        <v/>
      </c>
      <c r="AB1864" s="7" t="str">
        <f>IF(ISBLANK(patch[[#This Row],[project]]), "",COUNTIFS($A:$A,patch[[#This Row],[number]],$S:$S, "SH And dev",$AD:$AD, "&lt;&gt;IntegratorValidationComment"))</f>
        <v/>
      </c>
      <c r="AC1864" s="7" t="str">
        <f>IF(OR(ISNUMBER(FIND("Review-1", patch[[#This Row],[comments]])), ISNUMBER(FIND("Approver-1", patch[[#This Row],[comments]]))), "Review-1", "")</f>
        <v/>
      </c>
      <c r="AD18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64" s="7">
        <f>IF(ISBLANK(patch[[#This Row],[number]]),AE1863,patch[[#This Row],[ifCommon]])</f>
        <v>0</v>
      </c>
    </row>
    <row r="1865" spans="1:31">
      <c r="A1865" s="151">
        <v>143834</v>
      </c>
      <c r="B1865" s="151"/>
      <c r="C1865" s="151"/>
      <c r="D1865" s="151"/>
      <c r="E1865" s="151"/>
      <c r="F1865" s="151"/>
      <c r="G1865" s="151"/>
      <c r="H1865" s="151"/>
      <c r="I1865" s="151"/>
      <c r="J1865" s="152">
        <v>42627.659201388888</v>
      </c>
      <c r="K1865" s="151"/>
      <c r="L1865" s="151" t="s">
        <v>59</v>
      </c>
      <c r="M1865" s="152">
        <v>42621.707812499997</v>
      </c>
      <c r="N1865" s="151" t="s">
        <v>2566</v>
      </c>
      <c r="O1865" s="151"/>
      <c r="P1865" s="151"/>
      <c r="Q1865" s="7" t="str">
        <f>IF(ISBLANK(patch[[#This Row],[OwnerEmail]]),Q1864,patch[[#This Row],[OwnerEmail]])</f>
        <v>gang.a.hu@intel.com</v>
      </c>
      <c r="R1865" s="7" t="str">
        <f>_xlfn.IFNA(VLOOKUP(patch[[#This Row],[tmp-owner.email]],OrgTree!$A:$K, 11, 0), "not ICG SWFW")</f>
        <v>BJ And dev</v>
      </c>
      <c r="S1865" s="7" t="str">
        <f>IF(patch[[#This Row],[reviewer]]=patch[[#This Row],[tmp-owner.email]], "author", _xlfn.IFNA(VLOOKUP(patch[[#This Row],[reviewer]],OrgTree!$A:$K, 11, 0), "not ICG SWFW"))</f>
        <v>BJ And dev</v>
      </c>
      <c r="T1865" s="7" t="str">
        <f>IF(ISBLANK(patch[[#This Row],[mergeDate]]), "", MID(YEAR(patch[[#This Row],[mergeDate]]), 3,2)&amp;"'ww"&amp;WEEKNUM(patch[[#This Row],[mergeDate]]))</f>
        <v>16'ww38</v>
      </c>
      <c r="U1865" s="7" t="str">
        <f>IF(ISBLANK(patch[[#This Row],[mergeDate]]), U1864, MID(YEAR(patch[[#This Row],[mergeDate]]), 3,2)&amp;"'m"&amp;MONTH(patch[[#This Row],[mergeDate]]))</f>
        <v>16'm9</v>
      </c>
      <c r="V1865" s="7" t="str">
        <f>IF(ISBLANK(patch[[#This Row],[project]]), "",SUM(patch[[#This Row],[BJ -1 num]:[SH -1 num]]))</f>
        <v/>
      </c>
      <c r="W1865" s="7" t="str">
        <f>IF(ISBLANK(patch[[#This Row],[project]]), "",COUNTIFS($A:$A,patch[[#This Row],[number]],$S:$S, "BJ And dev",$AC:$AC, "Review-1"))</f>
        <v/>
      </c>
      <c r="X1865" s="7" t="str">
        <f>IF(ISBLANK(patch[[#This Row],[project]]), "",COUNTIFS($A:$A,patch[[#This Row],[number]],$S:$S, "FL And dev",$AC:$AC, "Review-1"))</f>
        <v/>
      </c>
      <c r="Y1865" s="7" t="str">
        <f>IF(ISBLANK(patch[[#This Row],[project]]), "",COUNTIFS($A:$A,patch[[#This Row],[number]],$S:$S, "SH And dev",$AC:$AC, "Review-1"))</f>
        <v/>
      </c>
      <c r="Z1865" s="7" t="str">
        <f>IF(ISBLANK(patch[[#This Row],[project]]), "",COUNTIFS($A:$A,patch[[#This Row],[number]],$S:$S, "BJ And dev",$AD:$AD, "&lt;&gt;IntegratorValidationComment"))</f>
        <v/>
      </c>
      <c r="AA1865" s="7" t="str">
        <f>IF(ISBLANK(patch[[#This Row],[project]]), "",COUNTIFS($A:$A,patch[[#This Row],[number]],$S:$S, "FL And dev",$AD:$AD, "&lt;&gt;IntegratorValidationComment"))</f>
        <v/>
      </c>
      <c r="AB1865" s="7" t="str">
        <f>IF(ISBLANK(patch[[#This Row],[project]]), "",COUNTIFS($A:$A,patch[[#This Row],[number]],$S:$S, "SH And dev",$AD:$AD, "&lt;&gt;IntegratorValidationComment"))</f>
        <v/>
      </c>
      <c r="AC1865" s="7" t="str">
        <f>IF(OR(ISNUMBER(FIND("Review-1", patch[[#This Row],[comments]])), ISNUMBER(FIND("Approver-1", patch[[#This Row],[comments]]))), "Review-1", "")</f>
        <v/>
      </c>
      <c r="AD18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65" s="7">
        <f>IF(ISBLANK(patch[[#This Row],[number]]),AE1864,patch[[#This Row],[ifCommon]])</f>
        <v>0</v>
      </c>
    </row>
    <row r="1866" spans="1:31">
      <c r="A1866" s="151">
        <v>143834</v>
      </c>
      <c r="B1866" s="151"/>
      <c r="C1866" s="151"/>
      <c r="D1866" s="151"/>
      <c r="E1866" s="151"/>
      <c r="F1866" s="151"/>
      <c r="G1866" s="151"/>
      <c r="H1866" s="151"/>
      <c r="I1866" s="151"/>
      <c r="J1866" s="152">
        <v>42627.659201388888</v>
      </c>
      <c r="K1866" s="151"/>
      <c r="L1866" s="151" t="s">
        <v>59</v>
      </c>
      <c r="M1866" s="152">
        <v>42621.710439814808</v>
      </c>
      <c r="N1866" s="151" t="s">
        <v>3499</v>
      </c>
      <c r="O1866" s="151"/>
      <c r="P1866" s="151"/>
      <c r="Q1866" s="7" t="str">
        <f>IF(ISBLANK(patch[[#This Row],[OwnerEmail]]),Q1865,patch[[#This Row],[OwnerEmail]])</f>
        <v>gang.a.hu@intel.com</v>
      </c>
      <c r="R1866" s="7" t="str">
        <f>_xlfn.IFNA(VLOOKUP(patch[[#This Row],[tmp-owner.email]],OrgTree!$A:$K, 11, 0), "not ICG SWFW")</f>
        <v>BJ And dev</v>
      </c>
      <c r="S1866" s="7" t="str">
        <f>IF(patch[[#This Row],[reviewer]]=patch[[#This Row],[tmp-owner.email]], "author", _xlfn.IFNA(VLOOKUP(patch[[#This Row],[reviewer]],OrgTree!$A:$K, 11, 0), "not ICG SWFW"))</f>
        <v>BJ And dev</v>
      </c>
      <c r="T1866" s="7" t="str">
        <f>IF(ISBLANK(patch[[#This Row],[mergeDate]]), "", MID(YEAR(patch[[#This Row],[mergeDate]]), 3,2)&amp;"'ww"&amp;WEEKNUM(patch[[#This Row],[mergeDate]]))</f>
        <v>16'ww38</v>
      </c>
      <c r="U1866" s="7" t="str">
        <f>IF(ISBLANK(patch[[#This Row],[mergeDate]]), U1865, MID(YEAR(patch[[#This Row],[mergeDate]]), 3,2)&amp;"'m"&amp;MONTH(patch[[#This Row],[mergeDate]]))</f>
        <v>16'm9</v>
      </c>
      <c r="V1866" s="7" t="str">
        <f>IF(ISBLANK(patch[[#This Row],[project]]), "",SUM(patch[[#This Row],[BJ -1 num]:[SH -1 num]]))</f>
        <v/>
      </c>
      <c r="W1866" s="7" t="str">
        <f>IF(ISBLANK(patch[[#This Row],[project]]), "",COUNTIFS($A:$A,patch[[#This Row],[number]],$S:$S, "BJ And dev",$AC:$AC, "Review-1"))</f>
        <v/>
      </c>
      <c r="X1866" s="7" t="str">
        <f>IF(ISBLANK(patch[[#This Row],[project]]), "",COUNTIFS($A:$A,patch[[#This Row],[number]],$S:$S, "FL And dev",$AC:$AC, "Review-1"))</f>
        <v/>
      </c>
      <c r="Y1866" s="7" t="str">
        <f>IF(ISBLANK(patch[[#This Row],[project]]), "",COUNTIFS($A:$A,patch[[#This Row],[number]],$S:$S, "SH And dev",$AC:$AC, "Review-1"))</f>
        <v/>
      </c>
      <c r="Z1866" s="7" t="str">
        <f>IF(ISBLANK(patch[[#This Row],[project]]), "",COUNTIFS($A:$A,patch[[#This Row],[number]],$S:$S, "BJ And dev",$AD:$AD, "&lt;&gt;IntegratorValidationComment"))</f>
        <v/>
      </c>
      <c r="AA1866" s="7" t="str">
        <f>IF(ISBLANK(patch[[#This Row],[project]]), "",COUNTIFS($A:$A,patch[[#This Row],[number]],$S:$S, "FL And dev",$AD:$AD, "&lt;&gt;IntegratorValidationComment"))</f>
        <v/>
      </c>
      <c r="AB1866" s="7" t="str">
        <f>IF(ISBLANK(patch[[#This Row],[project]]), "",COUNTIFS($A:$A,patch[[#This Row],[number]],$S:$S, "SH And dev",$AD:$AD, "&lt;&gt;IntegratorValidationComment"))</f>
        <v/>
      </c>
      <c r="AC1866" s="7" t="str">
        <f>IF(OR(ISNUMBER(FIND("Review-1", patch[[#This Row],[comments]])), ISNUMBER(FIND("Approver-1", patch[[#This Row],[comments]]))), "Review-1", "")</f>
        <v/>
      </c>
      <c r="AD18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66" s="7">
        <f>IF(ISBLANK(patch[[#This Row],[number]]),AE1865,patch[[#This Row],[ifCommon]])</f>
        <v>0</v>
      </c>
    </row>
    <row r="1867" spans="1:31">
      <c r="A1867" s="151">
        <v>143834</v>
      </c>
      <c r="B1867" s="151"/>
      <c r="C1867" s="151"/>
      <c r="D1867" s="151"/>
      <c r="E1867" s="151"/>
      <c r="F1867" s="151"/>
      <c r="G1867" s="151"/>
      <c r="H1867" s="151"/>
      <c r="I1867" s="151"/>
      <c r="J1867" s="152">
        <v>42627.659201388888</v>
      </c>
      <c r="K1867" s="151"/>
      <c r="L1867" s="151" t="s">
        <v>59</v>
      </c>
      <c r="M1867" s="152">
        <v>42622.459803240738</v>
      </c>
      <c r="N1867" s="151" t="s">
        <v>3500</v>
      </c>
      <c r="O1867" s="151"/>
      <c r="P1867" s="151"/>
      <c r="Q1867" s="7" t="str">
        <f>IF(ISBLANK(patch[[#This Row],[OwnerEmail]]),Q1866,patch[[#This Row],[OwnerEmail]])</f>
        <v>gang.a.hu@intel.com</v>
      </c>
      <c r="R1867" s="7" t="str">
        <f>_xlfn.IFNA(VLOOKUP(patch[[#This Row],[tmp-owner.email]],OrgTree!$A:$K, 11, 0), "not ICG SWFW")</f>
        <v>BJ And dev</v>
      </c>
      <c r="S1867" s="7" t="str">
        <f>IF(patch[[#This Row],[reviewer]]=patch[[#This Row],[tmp-owner.email]], "author", _xlfn.IFNA(VLOOKUP(patch[[#This Row],[reviewer]],OrgTree!$A:$K, 11, 0), "not ICG SWFW"))</f>
        <v>BJ And dev</v>
      </c>
      <c r="T1867" s="7" t="str">
        <f>IF(ISBLANK(patch[[#This Row],[mergeDate]]), "", MID(YEAR(patch[[#This Row],[mergeDate]]), 3,2)&amp;"'ww"&amp;WEEKNUM(patch[[#This Row],[mergeDate]]))</f>
        <v>16'ww38</v>
      </c>
      <c r="U1867" s="7" t="str">
        <f>IF(ISBLANK(patch[[#This Row],[mergeDate]]), U1866, MID(YEAR(patch[[#This Row],[mergeDate]]), 3,2)&amp;"'m"&amp;MONTH(patch[[#This Row],[mergeDate]]))</f>
        <v>16'm9</v>
      </c>
      <c r="V1867" s="7" t="str">
        <f>IF(ISBLANK(patch[[#This Row],[project]]), "",SUM(patch[[#This Row],[BJ -1 num]:[SH -1 num]]))</f>
        <v/>
      </c>
      <c r="W1867" s="7" t="str">
        <f>IF(ISBLANK(patch[[#This Row],[project]]), "",COUNTIFS($A:$A,patch[[#This Row],[number]],$S:$S, "BJ And dev",$AC:$AC, "Review-1"))</f>
        <v/>
      </c>
      <c r="X1867" s="7" t="str">
        <f>IF(ISBLANK(patch[[#This Row],[project]]), "",COUNTIFS($A:$A,patch[[#This Row],[number]],$S:$S, "FL And dev",$AC:$AC, "Review-1"))</f>
        <v/>
      </c>
      <c r="Y1867" s="7" t="str">
        <f>IF(ISBLANK(patch[[#This Row],[project]]), "",COUNTIFS($A:$A,patch[[#This Row],[number]],$S:$S, "SH And dev",$AC:$AC, "Review-1"))</f>
        <v/>
      </c>
      <c r="Z1867" s="7" t="str">
        <f>IF(ISBLANK(patch[[#This Row],[project]]), "",COUNTIFS($A:$A,patch[[#This Row],[number]],$S:$S, "BJ And dev",$AD:$AD, "&lt;&gt;IntegratorValidationComment"))</f>
        <v/>
      </c>
      <c r="AA1867" s="7" t="str">
        <f>IF(ISBLANK(patch[[#This Row],[project]]), "",COUNTIFS($A:$A,patch[[#This Row],[number]],$S:$S, "FL And dev",$AD:$AD, "&lt;&gt;IntegratorValidationComment"))</f>
        <v/>
      </c>
      <c r="AB1867" s="7" t="str">
        <f>IF(ISBLANK(patch[[#This Row],[project]]), "",COUNTIFS($A:$A,patch[[#This Row],[number]],$S:$S, "SH And dev",$AD:$AD, "&lt;&gt;IntegratorValidationComment"))</f>
        <v/>
      </c>
      <c r="AC1867" s="7" t="str">
        <f>IF(OR(ISNUMBER(FIND("Review-1", patch[[#This Row],[comments]])), ISNUMBER(FIND("Approver-1", patch[[#This Row],[comments]]))), "Review-1", "")</f>
        <v/>
      </c>
      <c r="AD18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67" s="7">
        <f>IF(ISBLANK(patch[[#This Row],[number]]),AE1866,patch[[#This Row],[ifCommon]])</f>
        <v>0</v>
      </c>
    </row>
    <row r="1868" spans="1:31">
      <c r="A1868" s="151">
        <v>143834</v>
      </c>
      <c r="B1868" s="151"/>
      <c r="C1868" s="151"/>
      <c r="D1868" s="151"/>
      <c r="E1868" s="151"/>
      <c r="F1868" s="151"/>
      <c r="G1868" s="151"/>
      <c r="H1868" s="151"/>
      <c r="I1868" s="151"/>
      <c r="J1868" s="152">
        <v>42627.659201388888</v>
      </c>
      <c r="K1868" s="151"/>
      <c r="L1868" s="151" t="s">
        <v>59</v>
      </c>
      <c r="M1868" s="152">
        <v>42622.477060185192</v>
      </c>
      <c r="N1868" s="151" t="s">
        <v>48</v>
      </c>
      <c r="O1868" s="151"/>
      <c r="P1868" s="151"/>
      <c r="Q1868" s="7" t="str">
        <f>IF(ISBLANK(patch[[#This Row],[OwnerEmail]]),Q1867,patch[[#This Row],[OwnerEmail]])</f>
        <v>gang.a.hu@intel.com</v>
      </c>
      <c r="R1868" s="7" t="str">
        <f>_xlfn.IFNA(VLOOKUP(patch[[#This Row],[tmp-owner.email]],OrgTree!$A:$K, 11, 0), "not ICG SWFW")</f>
        <v>BJ And dev</v>
      </c>
      <c r="S1868" s="7" t="str">
        <f>IF(patch[[#This Row],[reviewer]]=patch[[#This Row],[tmp-owner.email]], "author", _xlfn.IFNA(VLOOKUP(patch[[#This Row],[reviewer]],OrgTree!$A:$K, 11, 0), "not ICG SWFW"))</f>
        <v>BJ And dev</v>
      </c>
      <c r="T1868" s="7" t="str">
        <f>IF(ISBLANK(patch[[#This Row],[mergeDate]]), "", MID(YEAR(patch[[#This Row],[mergeDate]]), 3,2)&amp;"'ww"&amp;WEEKNUM(patch[[#This Row],[mergeDate]]))</f>
        <v>16'ww38</v>
      </c>
      <c r="U1868" s="7" t="str">
        <f>IF(ISBLANK(patch[[#This Row],[mergeDate]]), U1867, MID(YEAR(patch[[#This Row],[mergeDate]]), 3,2)&amp;"'m"&amp;MONTH(patch[[#This Row],[mergeDate]]))</f>
        <v>16'm9</v>
      </c>
      <c r="V1868" s="7" t="str">
        <f>IF(ISBLANK(patch[[#This Row],[project]]), "",SUM(patch[[#This Row],[BJ -1 num]:[SH -1 num]]))</f>
        <v/>
      </c>
      <c r="W1868" s="7" t="str">
        <f>IF(ISBLANK(patch[[#This Row],[project]]), "",COUNTIFS($A:$A,patch[[#This Row],[number]],$S:$S, "BJ And dev",$AC:$AC, "Review-1"))</f>
        <v/>
      </c>
      <c r="X1868" s="7" t="str">
        <f>IF(ISBLANK(patch[[#This Row],[project]]), "",COUNTIFS($A:$A,patch[[#This Row],[number]],$S:$S, "FL And dev",$AC:$AC, "Review-1"))</f>
        <v/>
      </c>
      <c r="Y1868" s="7" t="str">
        <f>IF(ISBLANK(patch[[#This Row],[project]]), "",COUNTIFS($A:$A,patch[[#This Row],[number]],$S:$S, "SH And dev",$AC:$AC, "Review-1"))</f>
        <v/>
      </c>
      <c r="Z1868" s="7" t="str">
        <f>IF(ISBLANK(patch[[#This Row],[project]]), "",COUNTIFS($A:$A,patch[[#This Row],[number]],$S:$S, "BJ And dev",$AD:$AD, "&lt;&gt;IntegratorValidationComment"))</f>
        <v/>
      </c>
      <c r="AA1868" s="7" t="str">
        <f>IF(ISBLANK(patch[[#This Row],[project]]), "",COUNTIFS($A:$A,patch[[#This Row],[number]],$S:$S, "FL And dev",$AD:$AD, "&lt;&gt;IntegratorValidationComment"))</f>
        <v/>
      </c>
      <c r="AB1868" s="7" t="str">
        <f>IF(ISBLANK(patch[[#This Row],[project]]), "",COUNTIFS($A:$A,patch[[#This Row],[number]],$S:$S, "SH And dev",$AD:$AD, "&lt;&gt;IntegratorValidationComment"))</f>
        <v/>
      </c>
      <c r="AC1868" s="7" t="str">
        <f>IF(OR(ISNUMBER(FIND("Review-1", patch[[#This Row],[comments]])), ISNUMBER(FIND("Approver-1", patch[[#This Row],[comments]]))), "Review-1", "")</f>
        <v/>
      </c>
      <c r="AD18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68" s="7">
        <f>IF(ISBLANK(patch[[#This Row],[number]]),AE1867,patch[[#This Row],[ifCommon]])</f>
        <v>0</v>
      </c>
    </row>
    <row r="1869" spans="1:31">
      <c r="A1869" s="151">
        <v>143834</v>
      </c>
      <c r="B1869" s="151"/>
      <c r="C1869" s="151"/>
      <c r="D1869" s="151"/>
      <c r="E1869" s="151"/>
      <c r="F1869" s="151"/>
      <c r="G1869" s="151"/>
      <c r="H1869" s="151"/>
      <c r="I1869" s="151"/>
      <c r="J1869" s="152">
        <v>42627.659201388888</v>
      </c>
      <c r="K1869" s="151"/>
      <c r="L1869" s="151" t="s">
        <v>32</v>
      </c>
      <c r="M1869" s="152">
        <v>42622.483946759261</v>
      </c>
      <c r="N1869" s="151" t="s">
        <v>2536</v>
      </c>
      <c r="O1869" s="151"/>
      <c r="P1869" s="151"/>
      <c r="Q1869" s="7" t="str">
        <f>IF(ISBLANK(patch[[#This Row],[OwnerEmail]]),Q1868,patch[[#This Row],[OwnerEmail]])</f>
        <v>gang.a.hu@intel.com</v>
      </c>
      <c r="R1869" s="7" t="str">
        <f>_xlfn.IFNA(VLOOKUP(patch[[#This Row],[tmp-owner.email]],OrgTree!$A:$K, 11, 0), "not ICG SWFW")</f>
        <v>BJ And dev</v>
      </c>
      <c r="S1869" s="7" t="str">
        <f>IF(patch[[#This Row],[reviewer]]=patch[[#This Row],[tmp-owner.email]], "author", _xlfn.IFNA(VLOOKUP(patch[[#This Row],[reviewer]],OrgTree!$A:$K, 11, 0), "not ICG SWFW"))</f>
        <v>author</v>
      </c>
      <c r="T1869" s="7" t="str">
        <f>IF(ISBLANK(patch[[#This Row],[mergeDate]]), "", MID(YEAR(patch[[#This Row],[mergeDate]]), 3,2)&amp;"'ww"&amp;WEEKNUM(patch[[#This Row],[mergeDate]]))</f>
        <v>16'ww38</v>
      </c>
      <c r="U1869" s="7" t="str">
        <f>IF(ISBLANK(patch[[#This Row],[mergeDate]]), U1868, MID(YEAR(patch[[#This Row],[mergeDate]]), 3,2)&amp;"'m"&amp;MONTH(patch[[#This Row],[mergeDate]]))</f>
        <v>16'm9</v>
      </c>
      <c r="V1869" s="7" t="str">
        <f>IF(ISBLANK(patch[[#This Row],[project]]), "",SUM(patch[[#This Row],[BJ -1 num]:[SH -1 num]]))</f>
        <v/>
      </c>
      <c r="W1869" s="7" t="str">
        <f>IF(ISBLANK(patch[[#This Row],[project]]), "",COUNTIFS($A:$A,patch[[#This Row],[number]],$S:$S, "BJ And dev",$AC:$AC, "Review-1"))</f>
        <v/>
      </c>
      <c r="X1869" s="7" t="str">
        <f>IF(ISBLANK(patch[[#This Row],[project]]), "",COUNTIFS($A:$A,patch[[#This Row],[number]],$S:$S, "FL And dev",$AC:$AC, "Review-1"))</f>
        <v/>
      </c>
      <c r="Y1869" s="7" t="str">
        <f>IF(ISBLANK(patch[[#This Row],[project]]), "",COUNTIFS($A:$A,patch[[#This Row],[number]],$S:$S, "SH And dev",$AC:$AC, "Review-1"))</f>
        <v/>
      </c>
      <c r="Z1869" s="7" t="str">
        <f>IF(ISBLANK(patch[[#This Row],[project]]), "",COUNTIFS($A:$A,patch[[#This Row],[number]],$S:$S, "BJ And dev",$AD:$AD, "&lt;&gt;IntegratorValidationComment"))</f>
        <v/>
      </c>
      <c r="AA1869" s="7" t="str">
        <f>IF(ISBLANK(patch[[#This Row],[project]]), "",COUNTIFS($A:$A,patch[[#This Row],[number]],$S:$S, "FL And dev",$AD:$AD, "&lt;&gt;IntegratorValidationComment"))</f>
        <v/>
      </c>
      <c r="AB1869" s="7" t="str">
        <f>IF(ISBLANK(patch[[#This Row],[project]]), "",COUNTIFS($A:$A,patch[[#This Row],[number]],$S:$S, "SH And dev",$AD:$AD, "&lt;&gt;IntegratorValidationComment"))</f>
        <v/>
      </c>
      <c r="AC1869" s="7" t="str">
        <f>IF(OR(ISNUMBER(FIND("Review-1", patch[[#This Row],[comments]])), ISNUMBER(FIND("Approver-1", patch[[#This Row],[comments]]))), "Review-1", "")</f>
        <v/>
      </c>
      <c r="AD18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69" s="7">
        <f>IF(ISBLANK(patch[[#This Row],[number]]),AE1868,patch[[#This Row],[ifCommon]])</f>
        <v>0</v>
      </c>
    </row>
    <row r="1870" spans="1:31">
      <c r="A1870" s="151">
        <v>143834</v>
      </c>
      <c r="B1870" s="151"/>
      <c r="C1870" s="151"/>
      <c r="D1870" s="151"/>
      <c r="E1870" s="151"/>
      <c r="F1870" s="151"/>
      <c r="G1870" s="151"/>
      <c r="H1870" s="151"/>
      <c r="I1870" s="152"/>
      <c r="J1870" s="152">
        <v>42627.659201388888</v>
      </c>
      <c r="K1870" s="151"/>
      <c r="L1870" s="151" t="s">
        <v>32</v>
      </c>
      <c r="M1870" s="152">
        <v>42622.483969907407</v>
      </c>
      <c r="N1870" s="151" t="s">
        <v>2451</v>
      </c>
      <c r="O1870" s="151"/>
      <c r="P1870" s="151"/>
      <c r="Q1870" s="7" t="str">
        <f>IF(ISBLANK(patch[[#This Row],[OwnerEmail]]),Q1869,patch[[#This Row],[OwnerEmail]])</f>
        <v>gang.a.hu@intel.com</v>
      </c>
      <c r="R1870" s="7" t="str">
        <f>_xlfn.IFNA(VLOOKUP(patch[[#This Row],[tmp-owner.email]],OrgTree!$A:$K, 11, 0), "not ICG SWFW")</f>
        <v>BJ And dev</v>
      </c>
      <c r="S1870" s="7" t="str">
        <f>IF(patch[[#This Row],[reviewer]]=patch[[#This Row],[tmp-owner.email]], "author", _xlfn.IFNA(VLOOKUP(patch[[#This Row],[reviewer]],OrgTree!$A:$K, 11, 0), "not ICG SWFW"))</f>
        <v>author</v>
      </c>
      <c r="T1870" s="7" t="str">
        <f>IF(ISBLANK(patch[[#This Row],[mergeDate]]), "", MID(YEAR(patch[[#This Row],[mergeDate]]), 3,2)&amp;"'ww"&amp;WEEKNUM(patch[[#This Row],[mergeDate]]))</f>
        <v>16'ww38</v>
      </c>
      <c r="U1870" s="7" t="str">
        <f>IF(ISBLANK(patch[[#This Row],[mergeDate]]), U1869, MID(YEAR(patch[[#This Row],[mergeDate]]), 3,2)&amp;"'m"&amp;MONTH(patch[[#This Row],[mergeDate]]))</f>
        <v>16'm9</v>
      </c>
      <c r="V1870" s="7" t="str">
        <f>IF(ISBLANK(patch[[#This Row],[project]]), "",SUM(patch[[#This Row],[BJ -1 num]:[SH -1 num]]))</f>
        <v/>
      </c>
      <c r="W1870" s="7" t="str">
        <f>IF(ISBLANK(patch[[#This Row],[project]]), "",COUNTIFS($A:$A,patch[[#This Row],[number]],$S:$S, "BJ And dev",$AC:$AC, "Review-1"))</f>
        <v/>
      </c>
      <c r="X1870" s="7" t="str">
        <f>IF(ISBLANK(patch[[#This Row],[project]]), "",COUNTIFS($A:$A,patch[[#This Row],[number]],$S:$S, "FL And dev",$AC:$AC, "Review-1"))</f>
        <v/>
      </c>
      <c r="Y1870" s="7" t="str">
        <f>IF(ISBLANK(patch[[#This Row],[project]]), "",COUNTIFS($A:$A,patch[[#This Row],[number]],$S:$S, "SH And dev",$AC:$AC, "Review-1"))</f>
        <v/>
      </c>
      <c r="Z1870" s="7" t="str">
        <f>IF(ISBLANK(patch[[#This Row],[project]]), "",COUNTIFS($A:$A,patch[[#This Row],[number]],$S:$S, "BJ And dev",$AD:$AD, "&lt;&gt;IntegratorValidationComment"))</f>
        <v/>
      </c>
      <c r="AA1870" s="7" t="str">
        <f>IF(ISBLANK(patch[[#This Row],[project]]), "",COUNTIFS($A:$A,patch[[#This Row],[number]],$S:$S, "FL And dev",$AD:$AD, "&lt;&gt;IntegratorValidationComment"))</f>
        <v/>
      </c>
      <c r="AB1870" s="7" t="str">
        <f>IF(ISBLANK(patch[[#This Row],[project]]), "",COUNTIFS($A:$A,patch[[#This Row],[number]],$S:$S, "SH And dev",$AD:$AD, "&lt;&gt;IntegratorValidationComment"))</f>
        <v/>
      </c>
      <c r="AC1870" s="7" t="str">
        <f>IF(OR(ISNUMBER(FIND("Review-1", patch[[#This Row],[comments]])), ISNUMBER(FIND("Approver-1", patch[[#This Row],[comments]]))), "Review-1", "")</f>
        <v/>
      </c>
      <c r="AD18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70" s="7">
        <f>IF(ISBLANK(patch[[#This Row],[number]]),AE1869,patch[[#This Row],[ifCommon]])</f>
        <v>0</v>
      </c>
    </row>
    <row r="1871" spans="1:31">
      <c r="A1871" s="151">
        <v>143834</v>
      </c>
      <c r="B1871" s="151"/>
      <c r="C1871" s="151"/>
      <c r="D1871" s="151"/>
      <c r="E1871" s="151"/>
      <c r="F1871" s="151"/>
      <c r="G1871" s="151"/>
      <c r="H1871" s="151"/>
      <c r="I1871" s="151"/>
      <c r="J1871" s="152">
        <v>42627.659201388888</v>
      </c>
      <c r="K1871" s="151"/>
      <c r="L1871" s="151" t="s">
        <v>59</v>
      </c>
      <c r="M1871" s="152">
        <v>42622.488275462973</v>
      </c>
      <c r="N1871" s="151" t="s">
        <v>3501</v>
      </c>
      <c r="O1871" s="151"/>
      <c r="P1871" s="151"/>
      <c r="Q1871" s="7" t="str">
        <f>IF(ISBLANK(patch[[#This Row],[OwnerEmail]]),Q1870,patch[[#This Row],[OwnerEmail]])</f>
        <v>gang.a.hu@intel.com</v>
      </c>
      <c r="R1871" s="7" t="str">
        <f>_xlfn.IFNA(VLOOKUP(patch[[#This Row],[tmp-owner.email]],OrgTree!$A:$K, 11, 0), "not ICG SWFW")</f>
        <v>BJ And dev</v>
      </c>
      <c r="S1871" s="7" t="str">
        <f>IF(patch[[#This Row],[reviewer]]=patch[[#This Row],[tmp-owner.email]], "author", _xlfn.IFNA(VLOOKUP(patch[[#This Row],[reviewer]],OrgTree!$A:$K, 11, 0), "not ICG SWFW"))</f>
        <v>BJ And dev</v>
      </c>
      <c r="T1871" s="7" t="str">
        <f>IF(ISBLANK(patch[[#This Row],[mergeDate]]), "", MID(YEAR(patch[[#This Row],[mergeDate]]), 3,2)&amp;"'ww"&amp;WEEKNUM(patch[[#This Row],[mergeDate]]))</f>
        <v>16'ww38</v>
      </c>
      <c r="U1871" s="7" t="str">
        <f>IF(ISBLANK(patch[[#This Row],[mergeDate]]), U1870, MID(YEAR(patch[[#This Row],[mergeDate]]), 3,2)&amp;"'m"&amp;MONTH(patch[[#This Row],[mergeDate]]))</f>
        <v>16'm9</v>
      </c>
      <c r="V1871" s="7" t="str">
        <f>IF(ISBLANK(patch[[#This Row],[project]]), "",SUM(patch[[#This Row],[BJ -1 num]:[SH -1 num]]))</f>
        <v/>
      </c>
      <c r="W1871" s="7" t="str">
        <f>IF(ISBLANK(patch[[#This Row],[project]]), "",COUNTIFS($A:$A,patch[[#This Row],[number]],$S:$S, "BJ And dev",$AC:$AC, "Review-1"))</f>
        <v/>
      </c>
      <c r="X1871" s="7" t="str">
        <f>IF(ISBLANK(patch[[#This Row],[project]]), "",COUNTIFS($A:$A,patch[[#This Row],[number]],$S:$S, "FL And dev",$AC:$AC, "Review-1"))</f>
        <v/>
      </c>
      <c r="Y1871" s="7" t="str">
        <f>IF(ISBLANK(patch[[#This Row],[project]]), "",COUNTIFS($A:$A,patch[[#This Row],[number]],$S:$S, "SH And dev",$AC:$AC, "Review-1"))</f>
        <v/>
      </c>
      <c r="Z1871" s="7" t="str">
        <f>IF(ISBLANK(patch[[#This Row],[project]]), "",COUNTIFS($A:$A,patch[[#This Row],[number]],$S:$S, "BJ And dev",$AD:$AD, "&lt;&gt;IntegratorValidationComment"))</f>
        <v/>
      </c>
      <c r="AA1871" s="7" t="str">
        <f>IF(ISBLANK(patch[[#This Row],[project]]), "",COUNTIFS($A:$A,patch[[#This Row],[number]],$S:$S, "FL And dev",$AD:$AD, "&lt;&gt;IntegratorValidationComment"))</f>
        <v/>
      </c>
      <c r="AB1871" s="7" t="str">
        <f>IF(ISBLANK(patch[[#This Row],[project]]), "",COUNTIFS($A:$A,patch[[#This Row],[number]],$S:$S, "SH And dev",$AD:$AD, "&lt;&gt;IntegratorValidationComment"))</f>
        <v/>
      </c>
      <c r="AC1871" s="7" t="str">
        <f>IF(OR(ISNUMBER(FIND("Review-1", patch[[#This Row],[comments]])), ISNUMBER(FIND("Approver-1", patch[[#This Row],[comments]]))), "Review-1", "")</f>
        <v/>
      </c>
      <c r="AD18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71" s="7">
        <f>IF(ISBLANK(patch[[#This Row],[number]]),AE1870,patch[[#This Row],[ifCommon]])</f>
        <v>0</v>
      </c>
    </row>
    <row r="1872" spans="1:31">
      <c r="A1872" s="151">
        <v>143834</v>
      </c>
      <c r="B1872" s="151"/>
      <c r="C1872" s="151"/>
      <c r="D1872" s="151"/>
      <c r="E1872" s="151"/>
      <c r="F1872" s="151"/>
      <c r="G1872" s="151"/>
      <c r="H1872" s="151"/>
      <c r="I1872" s="151"/>
      <c r="J1872" s="152">
        <v>42627.659201388888</v>
      </c>
      <c r="K1872" s="151"/>
      <c r="L1872" s="151" t="s">
        <v>59</v>
      </c>
      <c r="M1872" s="152">
        <v>42622.494212962964</v>
      </c>
      <c r="N1872" s="151" t="s">
        <v>3502</v>
      </c>
      <c r="O1872" s="151"/>
      <c r="P1872" s="151"/>
      <c r="Q1872" s="7" t="str">
        <f>IF(ISBLANK(patch[[#This Row],[OwnerEmail]]),Q1871,patch[[#This Row],[OwnerEmail]])</f>
        <v>gang.a.hu@intel.com</v>
      </c>
      <c r="R1872" s="7" t="str">
        <f>_xlfn.IFNA(VLOOKUP(patch[[#This Row],[tmp-owner.email]],OrgTree!$A:$K, 11, 0), "not ICG SWFW")</f>
        <v>BJ And dev</v>
      </c>
      <c r="S1872" s="7" t="str">
        <f>IF(patch[[#This Row],[reviewer]]=patch[[#This Row],[tmp-owner.email]], "author", _xlfn.IFNA(VLOOKUP(patch[[#This Row],[reviewer]],OrgTree!$A:$K, 11, 0), "not ICG SWFW"))</f>
        <v>BJ And dev</v>
      </c>
      <c r="T1872" s="7" t="str">
        <f>IF(ISBLANK(patch[[#This Row],[mergeDate]]), "", MID(YEAR(patch[[#This Row],[mergeDate]]), 3,2)&amp;"'ww"&amp;WEEKNUM(patch[[#This Row],[mergeDate]]))</f>
        <v>16'ww38</v>
      </c>
      <c r="U1872" s="7" t="str">
        <f>IF(ISBLANK(patch[[#This Row],[mergeDate]]), U1871, MID(YEAR(patch[[#This Row],[mergeDate]]), 3,2)&amp;"'m"&amp;MONTH(patch[[#This Row],[mergeDate]]))</f>
        <v>16'm9</v>
      </c>
      <c r="V1872" s="7" t="str">
        <f>IF(ISBLANK(patch[[#This Row],[project]]), "",SUM(patch[[#This Row],[BJ -1 num]:[SH -1 num]]))</f>
        <v/>
      </c>
      <c r="W1872" s="7" t="str">
        <f>IF(ISBLANK(patch[[#This Row],[project]]), "",COUNTIFS($A:$A,patch[[#This Row],[number]],$S:$S, "BJ And dev",$AC:$AC, "Review-1"))</f>
        <v/>
      </c>
      <c r="X1872" s="7" t="str">
        <f>IF(ISBLANK(patch[[#This Row],[project]]), "",COUNTIFS($A:$A,patch[[#This Row],[number]],$S:$S, "FL And dev",$AC:$AC, "Review-1"))</f>
        <v/>
      </c>
      <c r="Y1872" s="7" t="str">
        <f>IF(ISBLANK(patch[[#This Row],[project]]), "",COUNTIFS($A:$A,patch[[#This Row],[number]],$S:$S, "SH And dev",$AC:$AC, "Review-1"))</f>
        <v/>
      </c>
      <c r="Z1872" s="7" t="str">
        <f>IF(ISBLANK(patch[[#This Row],[project]]), "",COUNTIFS($A:$A,patch[[#This Row],[number]],$S:$S, "BJ And dev",$AD:$AD, "&lt;&gt;IntegratorValidationComment"))</f>
        <v/>
      </c>
      <c r="AA1872" s="7" t="str">
        <f>IF(ISBLANK(patch[[#This Row],[project]]), "",COUNTIFS($A:$A,patch[[#This Row],[number]],$S:$S, "FL And dev",$AD:$AD, "&lt;&gt;IntegratorValidationComment"))</f>
        <v/>
      </c>
      <c r="AB1872" s="7" t="str">
        <f>IF(ISBLANK(patch[[#This Row],[project]]), "",COUNTIFS($A:$A,patch[[#This Row],[number]],$S:$S, "SH And dev",$AD:$AD, "&lt;&gt;IntegratorValidationComment"))</f>
        <v/>
      </c>
      <c r="AC1872" s="7" t="str">
        <f>IF(OR(ISNUMBER(FIND("Review-1", patch[[#This Row],[comments]])), ISNUMBER(FIND("Approver-1", patch[[#This Row],[comments]]))), "Review-1", "")</f>
        <v/>
      </c>
      <c r="AD18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72" s="7">
        <f>IF(ISBLANK(patch[[#This Row],[number]]),AE1871,patch[[#This Row],[ifCommon]])</f>
        <v>0</v>
      </c>
    </row>
    <row r="1873" spans="1:31">
      <c r="A1873" s="151">
        <v>143834</v>
      </c>
      <c r="B1873" s="151"/>
      <c r="C1873" s="151"/>
      <c r="D1873" s="151"/>
      <c r="E1873" s="151"/>
      <c r="F1873" s="151"/>
      <c r="G1873" s="151"/>
      <c r="H1873" s="151"/>
      <c r="I1873" s="151"/>
      <c r="J1873" s="152">
        <v>42627.659201388888</v>
      </c>
      <c r="K1873" s="151"/>
      <c r="L1873" s="151" t="s">
        <v>55</v>
      </c>
      <c r="M1873" s="152">
        <v>42622.576990740738</v>
      </c>
      <c r="N1873" s="151" t="s">
        <v>1898</v>
      </c>
      <c r="O1873" s="151"/>
      <c r="P1873" s="151"/>
      <c r="Q1873" s="7" t="str">
        <f>IF(ISBLANK(patch[[#This Row],[OwnerEmail]]),Q1872,patch[[#This Row],[OwnerEmail]])</f>
        <v>gang.a.hu@intel.com</v>
      </c>
      <c r="R1873" s="7" t="str">
        <f>_xlfn.IFNA(VLOOKUP(patch[[#This Row],[tmp-owner.email]],OrgTree!$A:$K, 11, 0), "not ICG SWFW")</f>
        <v>BJ And dev</v>
      </c>
      <c r="S1873" s="7" t="str">
        <f>IF(patch[[#This Row],[reviewer]]=patch[[#This Row],[tmp-owner.email]], "author", _xlfn.IFNA(VLOOKUP(patch[[#This Row],[reviewer]],OrgTree!$A:$K, 11, 0), "not ICG SWFW"))</f>
        <v>BJ And dev</v>
      </c>
      <c r="T1873" s="7" t="str">
        <f>IF(ISBLANK(patch[[#This Row],[mergeDate]]), "", MID(YEAR(patch[[#This Row],[mergeDate]]), 3,2)&amp;"'ww"&amp;WEEKNUM(patch[[#This Row],[mergeDate]]))</f>
        <v>16'ww38</v>
      </c>
      <c r="U1873" s="7" t="str">
        <f>IF(ISBLANK(patch[[#This Row],[mergeDate]]), U1872, MID(YEAR(patch[[#This Row],[mergeDate]]), 3,2)&amp;"'m"&amp;MONTH(patch[[#This Row],[mergeDate]]))</f>
        <v>16'm9</v>
      </c>
      <c r="V1873" s="7" t="str">
        <f>IF(ISBLANK(patch[[#This Row],[project]]), "",SUM(patch[[#This Row],[BJ -1 num]:[SH -1 num]]))</f>
        <v/>
      </c>
      <c r="W1873" s="7" t="str">
        <f>IF(ISBLANK(patch[[#This Row],[project]]), "",COUNTIFS($A:$A,patch[[#This Row],[number]],$S:$S, "BJ And dev",$AC:$AC, "Review-1"))</f>
        <v/>
      </c>
      <c r="X1873" s="7" t="str">
        <f>IF(ISBLANK(patch[[#This Row],[project]]), "",COUNTIFS($A:$A,patch[[#This Row],[number]],$S:$S, "FL And dev",$AC:$AC, "Review-1"))</f>
        <v/>
      </c>
      <c r="Y1873" s="7" t="str">
        <f>IF(ISBLANK(patch[[#This Row],[project]]), "",COUNTIFS($A:$A,patch[[#This Row],[number]],$S:$S, "SH And dev",$AC:$AC, "Review-1"))</f>
        <v/>
      </c>
      <c r="Z1873" s="7" t="str">
        <f>IF(ISBLANK(patch[[#This Row],[project]]), "",COUNTIFS($A:$A,patch[[#This Row],[number]],$S:$S, "BJ And dev",$AD:$AD, "&lt;&gt;IntegratorValidationComment"))</f>
        <v/>
      </c>
      <c r="AA1873" s="7" t="str">
        <f>IF(ISBLANK(patch[[#This Row],[project]]), "",COUNTIFS($A:$A,patch[[#This Row],[number]],$S:$S, "FL And dev",$AD:$AD, "&lt;&gt;IntegratorValidationComment"))</f>
        <v/>
      </c>
      <c r="AB1873" s="7" t="str">
        <f>IF(ISBLANK(patch[[#This Row],[project]]), "",COUNTIFS($A:$A,patch[[#This Row],[number]],$S:$S, "SH And dev",$AD:$AD, "&lt;&gt;IntegratorValidationComment"))</f>
        <v/>
      </c>
      <c r="AC1873" s="7" t="str">
        <f>IF(OR(ISNUMBER(FIND("Review-1", patch[[#This Row],[comments]])), ISNUMBER(FIND("Approver-1", patch[[#This Row],[comments]]))), "Review-1", "")</f>
        <v/>
      </c>
      <c r="AD18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73" s="7">
        <f>IF(ISBLANK(patch[[#This Row],[number]]),AE1872,patch[[#This Row],[ifCommon]])</f>
        <v>0</v>
      </c>
    </row>
    <row r="1874" spans="1:31">
      <c r="A1874" s="151">
        <v>143834</v>
      </c>
      <c r="B1874" s="151"/>
      <c r="C1874" s="151"/>
      <c r="D1874" s="151"/>
      <c r="E1874" s="151"/>
      <c r="F1874" s="151"/>
      <c r="G1874" s="151"/>
      <c r="H1874" s="151"/>
      <c r="I1874" s="151"/>
      <c r="J1874" s="152">
        <v>42627.659201388888</v>
      </c>
      <c r="K1874" s="151"/>
      <c r="L1874" s="151" t="s">
        <v>55</v>
      </c>
      <c r="M1874" s="152">
        <v>42622.577048611107</v>
      </c>
      <c r="N1874" s="151" t="s">
        <v>31</v>
      </c>
      <c r="O1874" s="151"/>
      <c r="P1874" s="151"/>
      <c r="Q1874" s="7" t="str">
        <f>IF(ISBLANK(patch[[#This Row],[OwnerEmail]]),Q1873,patch[[#This Row],[OwnerEmail]])</f>
        <v>gang.a.hu@intel.com</v>
      </c>
      <c r="R1874" s="7" t="str">
        <f>_xlfn.IFNA(VLOOKUP(patch[[#This Row],[tmp-owner.email]],OrgTree!$A:$K, 11, 0), "not ICG SWFW")</f>
        <v>BJ And dev</v>
      </c>
      <c r="S1874" s="7" t="str">
        <f>IF(patch[[#This Row],[reviewer]]=patch[[#This Row],[tmp-owner.email]], "author", _xlfn.IFNA(VLOOKUP(patch[[#This Row],[reviewer]],OrgTree!$A:$K, 11, 0), "not ICG SWFW"))</f>
        <v>BJ And dev</v>
      </c>
      <c r="T1874" s="7" t="str">
        <f>IF(ISBLANK(patch[[#This Row],[mergeDate]]), "", MID(YEAR(patch[[#This Row],[mergeDate]]), 3,2)&amp;"'ww"&amp;WEEKNUM(patch[[#This Row],[mergeDate]]))</f>
        <v>16'ww38</v>
      </c>
      <c r="U1874" s="7" t="str">
        <f>IF(ISBLANK(patch[[#This Row],[mergeDate]]), U1873, MID(YEAR(patch[[#This Row],[mergeDate]]), 3,2)&amp;"'m"&amp;MONTH(patch[[#This Row],[mergeDate]]))</f>
        <v>16'm9</v>
      </c>
      <c r="V1874" s="7" t="str">
        <f>IF(ISBLANK(patch[[#This Row],[project]]), "",SUM(patch[[#This Row],[BJ -1 num]:[SH -1 num]]))</f>
        <v/>
      </c>
      <c r="W1874" s="7" t="str">
        <f>IF(ISBLANK(patch[[#This Row],[project]]), "",COUNTIFS($A:$A,patch[[#This Row],[number]],$S:$S, "BJ And dev",$AC:$AC, "Review-1"))</f>
        <v/>
      </c>
      <c r="X1874" s="7" t="str">
        <f>IF(ISBLANK(patch[[#This Row],[project]]), "",COUNTIFS($A:$A,patch[[#This Row],[number]],$S:$S, "FL And dev",$AC:$AC, "Review-1"))</f>
        <v/>
      </c>
      <c r="Y1874" s="7" t="str">
        <f>IF(ISBLANK(patch[[#This Row],[project]]), "",COUNTIFS($A:$A,patch[[#This Row],[number]],$S:$S, "SH And dev",$AC:$AC, "Review-1"))</f>
        <v/>
      </c>
      <c r="Z1874" s="7" t="str">
        <f>IF(ISBLANK(patch[[#This Row],[project]]), "",COUNTIFS($A:$A,patch[[#This Row],[number]],$S:$S, "BJ And dev",$AD:$AD, "&lt;&gt;IntegratorValidationComment"))</f>
        <v/>
      </c>
      <c r="AA1874" s="7" t="str">
        <f>IF(ISBLANK(patch[[#This Row],[project]]), "",COUNTIFS($A:$A,patch[[#This Row],[number]],$S:$S, "FL And dev",$AD:$AD, "&lt;&gt;IntegratorValidationComment"))</f>
        <v/>
      </c>
      <c r="AB1874" s="7" t="str">
        <f>IF(ISBLANK(patch[[#This Row],[project]]), "",COUNTIFS($A:$A,patch[[#This Row],[number]],$S:$S, "SH And dev",$AD:$AD, "&lt;&gt;IntegratorValidationComment"))</f>
        <v/>
      </c>
      <c r="AC1874" s="7" t="str">
        <f>IF(OR(ISNUMBER(FIND("Review-1", patch[[#This Row],[comments]])), ISNUMBER(FIND("Approver-1", patch[[#This Row],[comments]]))), "Review-1", "")</f>
        <v/>
      </c>
      <c r="AD18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74" s="7">
        <f>IF(ISBLANK(patch[[#This Row],[number]]),AE1873,patch[[#This Row],[ifCommon]])</f>
        <v>0</v>
      </c>
    </row>
    <row r="1875" spans="1:31">
      <c r="A1875" s="151">
        <v>143834</v>
      </c>
      <c r="B1875" s="151"/>
      <c r="C1875" s="151"/>
      <c r="D1875" s="151"/>
      <c r="E1875" s="151"/>
      <c r="F1875" s="151"/>
      <c r="G1875" s="151"/>
      <c r="H1875" s="151"/>
      <c r="I1875" s="151"/>
      <c r="J1875" s="152">
        <v>42627.659201388888</v>
      </c>
      <c r="K1875" s="151"/>
      <c r="L1875" s="151" t="s">
        <v>115</v>
      </c>
      <c r="M1875" s="152">
        <v>42625.426099537042</v>
      </c>
      <c r="N1875" s="151" t="s">
        <v>2496</v>
      </c>
      <c r="O1875" s="151"/>
      <c r="P1875" s="151"/>
      <c r="Q1875" s="7" t="str">
        <f>IF(ISBLANK(patch[[#This Row],[OwnerEmail]]),Q1874,patch[[#This Row],[OwnerEmail]])</f>
        <v>gang.a.hu@intel.com</v>
      </c>
      <c r="R1875" s="7" t="str">
        <f>_xlfn.IFNA(VLOOKUP(patch[[#This Row],[tmp-owner.email]],OrgTree!$A:$K, 11, 0), "not ICG SWFW")</f>
        <v>BJ And dev</v>
      </c>
      <c r="S1875" s="7" t="str">
        <f>IF(patch[[#This Row],[reviewer]]=patch[[#This Row],[tmp-owner.email]], "author", _xlfn.IFNA(VLOOKUP(patch[[#This Row],[reviewer]],OrgTree!$A:$K, 11, 0), "not ICG SWFW"))</f>
        <v>Val</v>
      </c>
      <c r="T1875" s="7" t="str">
        <f>IF(ISBLANK(patch[[#This Row],[mergeDate]]), "", MID(YEAR(patch[[#This Row],[mergeDate]]), 3,2)&amp;"'ww"&amp;WEEKNUM(patch[[#This Row],[mergeDate]]))</f>
        <v>16'ww38</v>
      </c>
      <c r="U1875" s="7" t="str">
        <f>IF(ISBLANK(patch[[#This Row],[mergeDate]]), U1874, MID(YEAR(patch[[#This Row],[mergeDate]]), 3,2)&amp;"'m"&amp;MONTH(patch[[#This Row],[mergeDate]]))</f>
        <v>16'm9</v>
      </c>
      <c r="V1875" s="7" t="str">
        <f>IF(ISBLANK(patch[[#This Row],[project]]), "",SUM(patch[[#This Row],[BJ -1 num]:[SH -1 num]]))</f>
        <v/>
      </c>
      <c r="W1875" s="7" t="str">
        <f>IF(ISBLANK(patch[[#This Row],[project]]), "",COUNTIFS($A:$A,patch[[#This Row],[number]],$S:$S, "BJ And dev",$AC:$AC, "Review-1"))</f>
        <v/>
      </c>
      <c r="X1875" s="7" t="str">
        <f>IF(ISBLANK(patch[[#This Row],[project]]), "",COUNTIFS($A:$A,patch[[#This Row],[number]],$S:$S, "FL And dev",$AC:$AC, "Review-1"))</f>
        <v/>
      </c>
      <c r="Y1875" s="7" t="str">
        <f>IF(ISBLANK(patch[[#This Row],[project]]), "",COUNTIFS($A:$A,patch[[#This Row],[number]],$S:$S, "SH And dev",$AC:$AC, "Review-1"))</f>
        <v/>
      </c>
      <c r="Z1875" s="7" t="str">
        <f>IF(ISBLANK(patch[[#This Row],[project]]), "",COUNTIFS($A:$A,patch[[#This Row],[number]],$S:$S, "BJ And dev",$AD:$AD, "&lt;&gt;IntegratorValidationComment"))</f>
        <v/>
      </c>
      <c r="AA1875" s="7" t="str">
        <f>IF(ISBLANK(patch[[#This Row],[project]]), "",COUNTIFS($A:$A,patch[[#This Row],[number]],$S:$S, "FL And dev",$AD:$AD, "&lt;&gt;IntegratorValidationComment"))</f>
        <v/>
      </c>
      <c r="AB1875" s="7" t="str">
        <f>IF(ISBLANK(patch[[#This Row],[project]]), "",COUNTIFS($A:$A,patch[[#This Row],[number]],$S:$S, "SH And dev",$AD:$AD, "&lt;&gt;IntegratorValidationComment"))</f>
        <v/>
      </c>
      <c r="AC1875" s="7" t="str">
        <f>IF(OR(ISNUMBER(FIND("Review-1", patch[[#This Row],[comments]])), ISNUMBER(FIND("Approver-1", patch[[#This Row],[comments]]))), "Review-1", "")</f>
        <v/>
      </c>
      <c r="AD18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875" s="7">
        <f>IF(ISBLANK(patch[[#This Row],[number]]),AE1874,patch[[#This Row],[ifCommon]])</f>
        <v>0</v>
      </c>
    </row>
    <row r="1876" spans="1:31">
      <c r="A1876" s="151">
        <v>143834</v>
      </c>
      <c r="B1876" s="151"/>
      <c r="C1876" s="151"/>
      <c r="D1876" s="151"/>
      <c r="E1876" s="151"/>
      <c r="F1876" s="151"/>
      <c r="G1876" s="151"/>
      <c r="H1876" s="151"/>
      <c r="I1876" s="151"/>
      <c r="J1876" s="152">
        <v>42627.659201388888</v>
      </c>
      <c r="K1876" s="151"/>
      <c r="L1876" s="151" t="s">
        <v>115</v>
      </c>
      <c r="M1876" s="152">
        <v>42626.371608796297</v>
      </c>
      <c r="N1876" s="151" t="s">
        <v>3450</v>
      </c>
      <c r="O1876" s="151"/>
      <c r="P1876" s="151"/>
      <c r="Q1876" s="7" t="str">
        <f>IF(ISBLANK(patch[[#This Row],[OwnerEmail]]),Q1875,patch[[#This Row],[OwnerEmail]])</f>
        <v>gang.a.hu@intel.com</v>
      </c>
      <c r="R1876" s="7" t="str">
        <f>_xlfn.IFNA(VLOOKUP(patch[[#This Row],[tmp-owner.email]],OrgTree!$A:$K, 11, 0), "not ICG SWFW")</f>
        <v>BJ And dev</v>
      </c>
      <c r="S1876" s="7" t="str">
        <f>IF(patch[[#This Row],[reviewer]]=patch[[#This Row],[tmp-owner.email]], "author", _xlfn.IFNA(VLOOKUP(patch[[#This Row],[reviewer]],OrgTree!$A:$K, 11, 0), "not ICG SWFW"))</f>
        <v>Val</v>
      </c>
      <c r="T1876" s="7" t="str">
        <f>IF(ISBLANK(patch[[#This Row],[mergeDate]]), "", MID(YEAR(patch[[#This Row],[mergeDate]]), 3,2)&amp;"'ww"&amp;WEEKNUM(patch[[#This Row],[mergeDate]]))</f>
        <v>16'ww38</v>
      </c>
      <c r="U1876" s="7" t="str">
        <f>IF(ISBLANK(patch[[#This Row],[mergeDate]]), U1875, MID(YEAR(patch[[#This Row],[mergeDate]]), 3,2)&amp;"'m"&amp;MONTH(patch[[#This Row],[mergeDate]]))</f>
        <v>16'm9</v>
      </c>
      <c r="V1876" s="7" t="str">
        <f>IF(ISBLANK(patch[[#This Row],[project]]), "",SUM(patch[[#This Row],[BJ -1 num]:[SH -1 num]]))</f>
        <v/>
      </c>
      <c r="W1876" s="7" t="str">
        <f>IF(ISBLANK(patch[[#This Row],[project]]), "",COUNTIFS($A:$A,patch[[#This Row],[number]],$S:$S, "BJ And dev",$AC:$AC, "Review-1"))</f>
        <v/>
      </c>
      <c r="X1876" s="7" t="str">
        <f>IF(ISBLANK(patch[[#This Row],[project]]), "",COUNTIFS($A:$A,patch[[#This Row],[number]],$S:$S, "FL And dev",$AC:$AC, "Review-1"))</f>
        <v/>
      </c>
      <c r="Y1876" s="7" t="str">
        <f>IF(ISBLANK(patch[[#This Row],[project]]), "",COUNTIFS($A:$A,patch[[#This Row],[number]],$S:$S, "SH And dev",$AC:$AC, "Review-1"))</f>
        <v/>
      </c>
      <c r="Z1876" s="7" t="str">
        <f>IF(ISBLANK(patch[[#This Row],[project]]), "",COUNTIFS($A:$A,patch[[#This Row],[number]],$S:$S, "BJ And dev",$AD:$AD, "&lt;&gt;IntegratorValidationComment"))</f>
        <v/>
      </c>
      <c r="AA1876" s="7" t="str">
        <f>IF(ISBLANK(patch[[#This Row],[project]]), "",COUNTIFS($A:$A,patch[[#This Row],[number]],$S:$S, "FL And dev",$AD:$AD, "&lt;&gt;IntegratorValidationComment"))</f>
        <v/>
      </c>
      <c r="AB1876" s="7" t="str">
        <f>IF(ISBLANK(patch[[#This Row],[project]]), "",COUNTIFS($A:$A,patch[[#This Row],[number]],$S:$S, "SH And dev",$AD:$AD, "&lt;&gt;IntegratorValidationComment"))</f>
        <v/>
      </c>
      <c r="AC1876" s="7" t="str">
        <f>IF(OR(ISNUMBER(FIND("Review-1", patch[[#This Row],[comments]])), ISNUMBER(FIND("Approver-1", patch[[#This Row],[comments]]))), "Review-1", "")</f>
        <v/>
      </c>
      <c r="AD18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876" s="7">
        <f>IF(ISBLANK(patch[[#This Row],[number]]),AE1875,patch[[#This Row],[ifCommon]])</f>
        <v>0</v>
      </c>
    </row>
    <row r="1877" spans="1:31">
      <c r="A1877" s="151">
        <v>143834</v>
      </c>
      <c r="B1877" s="151"/>
      <c r="C1877" s="151"/>
      <c r="D1877" s="151"/>
      <c r="E1877" s="151"/>
      <c r="F1877" s="151"/>
      <c r="G1877" s="151"/>
      <c r="H1877" s="151"/>
      <c r="I1877" s="151"/>
      <c r="J1877" s="152">
        <v>42627.659201388888</v>
      </c>
      <c r="K1877" s="151"/>
      <c r="L1877" s="151" t="s">
        <v>115</v>
      </c>
      <c r="M1877" s="152">
        <v>42626.665879629632</v>
      </c>
      <c r="N1877" s="151" t="s">
        <v>2496</v>
      </c>
      <c r="O1877" s="151"/>
      <c r="P1877" s="151"/>
      <c r="Q1877" s="7" t="str">
        <f>IF(ISBLANK(patch[[#This Row],[OwnerEmail]]),Q1876,patch[[#This Row],[OwnerEmail]])</f>
        <v>gang.a.hu@intel.com</v>
      </c>
      <c r="R1877" s="7" t="str">
        <f>_xlfn.IFNA(VLOOKUP(patch[[#This Row],[tmp-owner.email]],OrgTree!$A:$K, 11, 0), "not ICG SWFW")</f>
        <v>BJ And dev</v>
      </c>
      <c r="S1877" s="7" t="str">
        <f>IF(patch[[#This Row],[reviewer]]=patch[[#This Row],[tmp-owner.email]], "author", _xlfn.IFNA(VLOOKUP(patch[[#This Row],[reviewer]],OrgTree!$A:$K, 11, 0), "not ICG SWFW"))</f>
        <v>Val</v>
      </c>
      <c r="T1877" s="7" t="str">
        <f>IF(ISBLANK(patch[[#This Row],[mergeDate]]), "", MID(YEAR(patch[[#This Row],[mergeDate]]), 3,2)&amp;"'ww"&amp;WEEKNUM(patch[[#This Row],[mergeDate]]))</f>
        <v>16'ww38</v>
      </c>
      <c r="U1877" s="7" t="str">
        <f>IF(ISBLANK(patch[[#This Row],[mergeDate]]), U1876, MID(YEAR(patch[[#This Row],[mergeDate]]), 3,2)&amp;"'m"&amp;MONTH(patch[[#This Row],[mergeDate]]))</f>
        <v>16'm9</v>
      </c>
      <c r="V1877" s="7" t="str">
        <f>IF(ISBLANK(patch[[#This Row],[project]]), "",SUM(patch[[#This Row],[BJ -1 num]:[SH -1 num]]))</f>
        <v/>
      </c>
      <c r="W1877" s="7" t="str">
        <f>IF(ISBLANK(patch[[#This Row],[project]]), "",COUNTIFS($A:$A,patch[[#This Row],[number]],$S:$S, "BJ And dev",$AC:$AC, "Review-1"))</f>
        <v/>
      </c>
      <c r="X1877" s="7" t="str">
        <f>IF(ISBLANK(patch[[#This Row],[project]]), "",COUNTIFS($A:$A,patch[[#This Row],[number]],$S:$S, "FL And dev",$AC:$AC, "Review-1"))</f>
        <v/>
      </c>
      <c r="Y1877" s="7" t="str">
        <f>IF(ISBLANK(patch[[#This Row],[project]]), "",COUNTIFS($A:$A,patch[[#This Row],[number]],$S:$S, "SH And dev",$AC:$AC, "Review-1"))</f>
        <v/>
      </c>
      <c r="Z1877" s="7" t="str">
        <f>IF(ISBLANK(patch[[#This Row],[project]]), "",COUNTIFS($A:$A,patch[[#This Row],[number]],$S:$S, "BJ And dev",$AD:$AD, "&lt;&gt;IntegratorValidationComment"))</f>
        <v/>
      </c>
      <c r="AA1877" s="7" t="str">
        <f>IF(ISBLANK(patch[[#This Row],[project]]), "",COUNTIFS($A:$A,patch[[#This Row],[number]],$S:$S, "FL And dev",$AD:$AD, "&lt;&gt;IntegratorValidationComment"))</f>
        <v/>
      </c>
      <c r="AB1877" s="7" t="str">
        <f>IF(ISBLANK(patch[[#This Row],[project]]), "",COUNTIFS($A:$A,patch[[#This Row],[number]],$S:$S, "SH And dev",$AD:$AD, "&lt;&gt;IntegratorValidationComment"))</f>
        <v/>
      </c>
      <c r="AC1877" s="7" t="str">
        <f>IF(OR(ISNUMBER(FIND("Review-1", patch[[#This Row],[comments]])), ISNUMBER(FIND("Approver-1", patch[[#This Row],[comments]]))), "Review-1", "")</f>
        <v/>
      </c>
      <c r="AD18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877" s="7">
        <f>IF(ISBLANK(patch[[#This Row],[number]]),AE1876,patch[[#This Row],[ifCommon]])</f>
        <v>0</v>
      </c>
    </row>
    <row r="1878" spans="1:31">
      <c r="A1878" s="151">
        <v>143834</v>
      </c>
      <c r="B1878" s="151"/>
      <c r="C1878" s="151"/>
      <c r="D1878" s="151"/>
      <c r="E1878" s="151"/>
      <c r="F1878" s="151"/>
      <c r="G1878" s="151"/>
      <c r="H1878" s="151"/>
      <c r="I1878" s="151"/>
      <c r="J1878" s="152">
        <v>42627.659201388888</v>
      </c>
      <c r="K1878" s="151"/>
      <c r="L1878" s="151" t="s">
        <v>59</v>
      </c>
      <c r="M1878" s="152">
        <v>42626.755393518521</v>
      </c>
      <c r="N1878" s="151" t="s">
        <v>3451</v>
      </c>
      <c r="O1878" s="151"/>
      <c r="P1878" s="151"/>
      <c r="Q1878" s="7" t="str">
        <f>IF(ISBLANK(patch[[#This Row],[OwnerEmail]]),Q1877,patch[[#This Row],[OwnerEmail]])</f>
        <v>gang.a.hu@intel.com</v>
      </c>
      <c r="R1878" s="7" t="str">
        <f>_xlfn.IFNA(VLOOKUP(patch[[#This Row],[tmp-owner.email]],OrgTree!$A:$K, 11, 0), "not ICG SWFW")</f>
        <v>BJ And dev</v>
      </c>
      <c r="S1878" s="7" t="str">
        <f>IF(patch[[#This Row],[reviewer]]=patch[[#This Row],[tmp-owner.email]], "author", _xlfn.IFNA(VLOOKUP(patch[[#This Row],[reviewer]],OrgTree!$A:$K, 11, 0), "not ICG SWFW"))</f>
        <v>BJ And dev</v>
      </c>
      <c r="T1878" s="7" t="str">
        <f>IF(ISBLANK(patch[[#This Row],[mergeDate]]), "", MID(YEAR(patch[[#This Row],[mergeDate]]), 3,2)&amp;"'ww"&amp;WEEKNUM(patch[[#This Row],[mergeDate]]))</f>
        <v>16'ww38</v>
      </c>
      <c r="U1878" s="7" t="str">
        <f>IF(ISBLANK(patch[[#This Row],[mergeDate]]), U1877, MID(YEAR(patch[[#This Row],[mergeDate]]), 3,2)&amp;"'m"&amp;MONTH(patch[[#This Row],[mergeDate]]))</f>
        <v>16'm9</v>
      </c>
      <c r="V1878" s="7" t="str">
        <f>IF(ISBLANK(patch[[#This Row],[project]]), "",SUM(patch[[#This Row],[BJ -1 num]:[SH -1 num]]))</f>
        <v/>
      </c>
      <c r="W1878" s="7" t="str">
        <f>IF(ISBLANK(patch[[#This Row],[project]]), "",COUNTIFS($A:$A,patch[[#This Row],[number]],$S:$S, "BJ And dev",$AC:$AC, "Review-1"))</f>
        <v/>
      </c>
      <c r="X1878" s="7" t="str">
        <f>IF(ISBLANK(patch[[#This Row],[project]]), "",COUNTIFS($A:$A,patch[[#This Row],[number]],$S:$S, "FL And dev",$AC:$AC, "Review-1"))</f>
        <v/>
      </c>
      <c r="Y1878" s="7" t="str">
        <f>IF(ISBLANK(patch[[#This Row],[project]]), "",COUNTIFS($A:$A,patch[[#This Row],[number]],$S:$S, "SH And dev",$AC:$AC, "Review-1"))</f>
        <v/>
      </c>
      <c r="Z1878" s="7" t="str">
        <f>IF(ISBLANK(patch[[#This Row],[project]]), "",COUNTIFS($A:$A,patch[[#This Row],[number]],$S:$S, "BJ And dev",$AD:$AD, "&lt;&gt;IntegratorValidationComment"))</f>
        <v/>
      </c>
      <c r="AA1878" s="7" t="str">
        <f>IF(ISBLANK(patch[[#This Row],[project]]), "",COUNTIFS($A:$A,patch[[#This Row],[number]],$S:$S, "FL And dev",$AD:$AD, "&lt;&gt;IntegratorValidationComment"))</f>
        <v/>
      </c>
      <c r="AB1878" s="7" t="str">
        <f>IF(ISBLANK(patch[[#This Row],[project]]), "",COUNTIFS($A:$A,patch[[#This Row],[number]],$S:$S, "SH And dev",$AD:$AD, "&lt;&gt;IntegratorValidationComment"))</f>
        <v/>
      </c>
      <c r="AC1878" s="7" t="str">
        <f>IF(OR(ISNUMBER(FIND("Review-1", patch[[#This Row],[comments]])), ISNUMBER(FIND("Approver-1", patch[[#This Row],[comments]]))), "Review-1", "")</f>
        <v/>
      </c>
      <c r="AD18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78" s="7">
        <f>IF(ISBLANK(patch[[#This Row],[number]]),AE1877,patch[[#This Row],[ifCommon]])</f>
        <v>0</v>
      </c>
    </row>
    <row r="1879" spans="1:31">
      <c r="A1879" s="151">
        <v>143834</v>
      </c>
      <c r="B1879" s="151"/>
      <c r="C1879" s="151"/>
      <c r="D1879" s="151"/>
      <c r="E1879" s="151"/>
      <c r="F1879" s="151"/>
      <c r="G1879" s="151"/>
      <c r="H1879" s="151"/>
      <c r="I1879" s="151"/>
      <c r="J1879" s="152">
        <v>42627.659201388888</v>
      </c>
      <c r="K1879" s="151"/>
      <c r="L1879" s="151" t="s">
        <v>115</v>
      </c>
      <c r="M1879" s="152">
        <v>42627.428136574083</v>
      </c>
      <c r="N1879" s="151" t="s">
        <v>2532</v>
      </c>
      <c r="O1879" s="151"/>
      <c r="P1879" s="151"/>
      <c r="Q1879" s="7" t="str">
        <f>IF(ISBLANK(patch[[#This Row],[OwnerEmail]]),Q1878,patch[[#This Row],[OwnerEmail]])</f>
        <v>gang.a.hu@intel.com</v>
      </c>
      <c r="R1879" s="7" t="str">
        <f>_xlfn.IFNA(VLOOKUP(patch[[#This Row],[tmp-owner.email]],OrgTree!$A:$K, 11, 0), "not ICG SWFW")</f>
        <v>BJ And dev</v>
      </c>
      <c r="S1879" s="7" t="str">
        <f>IF(patch[[#This Row],[reviewer]]=patch[[#This Row],[tmp-owner.email]], "author", _xlfn.IFNA(VLOOKUP(patch[[#This Row],[reviewer]],OrgTree!$A:$K, 11, 0), "not ICG SWFW"))</f>
        <v>Val</v>
      </c>
      <c r="T1879" s="7" t="str">
        <f>IF(ISBLANK(patch[[#This Row],[mergeDate]]), "", MID(YEAR(patch[[#This Row],[mergeDate]]), 3,2)&amp;"'ww"&amp;WEEKNUM(patch[[#This Row],[mergeDate]]))</f>
        <v>16'ww38</v>
      </c>
      <c r="U1879" s="7" t="str">
        <f>IF(ISBLANK(patch[[#This Row],[mergeDate]]), U1878, MID(YEAR(patch[[#This Row],[mergeDate]]), 3,2)&amp;"'m"&amp;MONTH(patch[[#This Row],[mergeDate]]))</f>
        <v>16'm9</v>
      </c>
      <c r="V1879" s="7" t="str">
        <f>IF(ISBLANK(patch[[#This Row],[project]]), "",SUM(patch[[#This Row],[BJ -1 num]:[SH -1 num]]))</f>
        <v/>
      </c>
      <c r="W1879" s="7" t="str">
        <f>IF(ISBLANK(patch[[#This Row],[project]]), "",COUNTIFS($A:$A,patch[[#This Row],[number]],$S:$S, "BJ And dev",$AC:$AC, "Review-1"))</f>
        <v/>
      </c>
      <c r="X1879" s="7" t="str">
        <f>IF(ISBLANK(patch[[#This Row],[project]]), "",COUNTIFS($A:$A,patch[[#This Row],[number]],$S:$S, "FL And dev",$AC:$AC, "Review-1"))</f>
        <v/>
      </c>
      <c r="Y1879" s="7" t="str">
        <f>IF(ISBLANK(patch[[#This Row],[project]]), "",COUNTIFS($A:$A,patch[[#This Row],[number]],$S:$S, "SH And dev",$AC:$AC, "Review-1"))</f>
        <v/>
      </c>
      <c r="Z1879" s="7" t="str">
        <f>IF(ISBLANK(patch[[#This Row],[project]]), "",COUNTIFS($A:$A,patch[[#This Row],[number]],$S:$S, "BJ And dev",$AD:$AD, "&lt;&gt;IntegratorValidationComment"))</f>
        <v/>
      </c>
      <c r="AA1879" s="7" t="str">
        <f>IF(ISBLANK(patch[[#This Row],[project]]), "",COUNTIFS($A:$A,patch[[#This Row],[number]],$S:$S, "FL And dev",$AD:$AD, "&lt;&gt;IntegratorValidationComment"))</f>
        <v/>
      </c>
      <c r="AB1879" s="7" t="str">
        <f>IF(ISBLANK(patch[[#This Row],[project]]), "",COUNTIFS($A:$A,patch[[#This Row],[number]],$S:$S, "SH And dev",$AD:$AD, "&lt;&gt;IntegratorValidationComment"))</f>
        <v/>
      </c>
      <c r="AC1879" s="7" t="str">
        <f>IF(OR(ISNUMBER(FIND("Review-1", patch[[#This Row],[comments]])), ISNUMBER(FIND("Approver-1", patch[[#This Row],[comments]]))), "Review-1", "")</f>
        <v/>
      </c>
      <c r="AD18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879" s="7">
        <f>IF(ISBLANK(patch[[#This Row],[number]]),AE1878,patch[[#This Row],[ifCommon]])</f>
        <v>0</v>
      </c>
    </row>
    <row r="1880" spans="1:31">
      <c r="A1880" s="151">
        <v>143834</v>
      </c>
      <c r="B1880" s="151"/>
      <c r="C1880" s="151"/>
      <c r="D1880" s="151"/>
      <c r="E1880" s="151"/>
      <c r="F1880" s="151"/>
      <c r="G1880" s="151"/>
      <c r="H1880" s="151"/>
      <c r="I1880" s="151"/>
      <c r="J1880" s="152">
        <v>42627.659201388888</v>
      </c>
      <c r="K1880" s="151"/>
      <c r="L1880" s="151" t="s">
        <v>115</v>
      </c>
      <c r="M1880" s="152">
        <v>42627.428194444437</v>
      </c>
      <c r="N1880" s="151" t="s">
        <v>2496</v>
      </c>
      <c r="O1880" s="151"/>
      <c r="P1880" s="151"/>
      <c r="Q1880" s="7" t="str">
        <f>IF(ISBLANK(patch[[#This Row],[OwnerEmail]]),Q1879,patch[[#This Row],[OwnerEmail]])</f>
        <v>gang.a.hu@intel.com</v>
      </c>
      <c r="R1880" s="7" t="str">
        <f>_xlfn.IFNA(VLOOKUP(patch[[#This Row],[tmp-owner.email]],OrgTree!$A:$K, 11, 0), "not ICG SWFW")</f>
        <v>BJ And dev</v>
      </c>
      <c r="S1880" s="7" t="str">
        <f>IF(patch[[#This Row],[reviewer]]=patch[[#This Row],[tmp-owner.email]], "author", _xlfn.IFNA(VLOOKUP(patch[[#This Row],[reviewer]],OrgTree!$A:$K, 11, 0), "not ICG SWFW"))</f>
        <v>Val</v>
      </c>
      <c r="T1880" s="7" t="str">
        <f>IF(ISBLANK(patch[[#This Row],[mergeDate]]), "", MID(YEAR(patch[[#This Row],[mergeDate]]), 3,2)&amp;"'ww"&amp;WEEKNUM(patch[[#This Row],[mergeDate]]))</f>
        <v>16'ww38</v>
      </c>
      <c r="U1880" s="7" t="str">
        <f>IF(ISBLANK(patch[[#This Row],[mergeDate]]), U1879, MID(YEAR(patch[[#This Row],[mergeDate]]), 3,2)&amp;"'m"&amp;MONTH(patch[[#This Row],[mergeDate]]))</f>
        <v>16'm9</v>
      </c>
      <c r="V1880" s="7" t="str">
        <f>IF(ISBLANK(patch[[#This Row],[project]]), "",SUM(patch[[#This Row],[BJ -1 num]:[SH -1 num]]))</f>
        <v/>
      </c>
      <c r="W1880" s="7" t="str">
        <f>IF(ISBLANK(patch[[#This Row],[project]]), "",COUNTIFS($A:$A,patch[[#This Row],[number]],$S:$S, "BJ And dev",$AC:$AC, "Review-1"))</f>
        <v/>
      </c>
      <c r="X1880" s="7" t="str">
        <f>IF(ISBLANK(patch[[#This Row],[project]]), "",COUNTIFS($A:$A,patch[[#This Row],[number]],$S:$S, "FL And dev",$AC:$AC, "Review-1"))</f>
        <v/>
      </c>
      <c r="Y1880" s="7" t="str">
        <f>IF(ISBLANK(patch[[#This Row],[project]]), "",COUNTIFS($A:$A,patch[[#This Row],[number]],$S:$S, "SH And dev",$AC:$AC, "Review-1"))</f>
        <v/>
      </c>
      <c r="Z1880" s="7" t="str">
        <f>IF(ISBLANK(patch[[#This Row],[project]]), "",COUNTIFS($A:$A,patch[[#This Row],[number]],$S:$S, "BJ And dev",$AD:$AD, "&lt;&gt;IntegratorValidationComment"))</f>
        <v/>
      </c>
      <c r="AA1880" s="7" t="str">
        <f>IF(ISBLANK(patch[[#This Row],[project]]), "",COUNTIFS($A:$A,patch[[#This Row],[number]],$S:$S, "FL And dev",$AD:$AD, "&lt;&gt;IntegratorValidationComment"))</f>
        <v/>
      </c>
      <c r="AB1880" s="7" t="str">
        <f>IF(ISBLANK(patch[[#This Row],[project]]), "",COUNTIFS($A:$A,patch[[#This Row],[number]],$S:$S, "SH And dev",$AD:$AD, "&lt;&gt;IntegratorValidationComment"))</f>
        <v/>
      </c>
      <c r="AC1880" s="7" t="str">
        <f>IF(OR(ISNUMBER(FIND("Review-1", patch[[#This Row],[comments]])), ISNUMBER(FIND("Approver-1", patch[[#This Row],[comments]]))), "Review-1", "")</f>
        <v/>
      </c>
      <c r="AD18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880" s="7">
        <f>IF(ISBLANK(patch[[#This Row],[number]]),AE1879,patch[[#This Row],[ifCommon]])</f>
        <v>0</v>
      </c>
    </row>
    <row r="1881" spans="1:31">
      <c r="A1881" s="151">
        <v>144572</v>
      </c>
      <c r="B1881" s="151" t="s">
        <v>2490</v>
      </c>
      <c r="C1881" s="151" t="s">
        <v>2491</v>
      </c>
      <c r="D1881" s="151" t="s">
        <v>3383</v>
      </c>
      <c r="E1881" s="151" t="s">
        <v>24</v>
      </c>
      <c r="F1881" s="151" t="s">
        <v>23</v>
      </c>
      <c r="G1881" s="151" t="s">
        <v>3384</v>
      </c>
      <c r="H1881" s="151" t="s">
        <v>3385</v>
      </c>
      <c r="I1881" s="152">
        <v>42625.515486111108</v>
      </c>
      <c r="J1881" s="152">
        <v>42626.703738425917</v>
      </c>
      <c r="K1881" s="151" t="s">
        <v>2445</v>
      </c>
      <c r="L1881" s="151" t="s">
        <v>24</v>
      </c>
      <c r="M1881" s="152">
        <v>42625.515486111108</v>
      </c>
      <c r="N1881" s="151" t="s">
        <v>25</v>
      </c>
      <c r="O1881" s="151"/>
      <c r="P1881" s="151" t="s">
        <v>2554</v>
      </c>
      <c r="Q1881" s="7" t="str">
        <f>IF(ISBLANK(patch[[#This Row],[OwnerEmail]]),Q1880,patch[[#This Row],[OwnerEmail]])</f>
        <v>qingwu.zhang@intel.com</v>
      </c>
      <c r="R1881" s="7" t="str">
        <f>_xlfn.IFNA(VLOOKUP(patch[[#This Row],[tmp-owner.email]],OrgTree!$A:$K, 11, 0), "not ICG SWFW")</f>
        <v>BJ And dev</v>
      </c>
      <c r="S1881" s="7" t="str">
        <f>IF(patch[[#This Row],[reviewer]]=patch[[#This Row],[tmp-owner.email]], "author", _xlfn.IFNA(VLOOKUP(patch[[#This Row],[reviewer]],OrgTree!$A:$K, 11, 0), "not ICG SWFW"))</f>
        <v>author</v>
      </c>
      <c r="T1881" s="7" t="str">
        <f>IF(ISBLANK(patch[[#This Row],[mergeDate]]), "", MID(YEAR(patch[[#This Row],[mergeDate]]), 3,2)&amp;"'ww"&amp;WEEKNUM(patch[[#This Row],[mergeDate]]))</f>
        <v>16'ww38</v>
      </c>
      <c r="U1881" s="7" t="str">
        <f>IF(ISBLANK(patch[[#This Row],[mergeDate]]), U1880, MID(YEAR(patch[[#This Row],[mergeDate]]), 3,2)&amp;"'m"&amp;MONTH(patch[[#This Row],[mergeDate]]))</f>
        <v>16'm9</v>
      </c>
      <c r="V1881" s="7">
        <f>IF(ISBLANK(patch[[#This Row],[project]]), "",SUM(patch[[#This Row],[BJ -1 num]:[SH -1 num]]))</f>
        <v>2</v>
      </c>
      <c r="W1881" s="7">
        <f>IF(ISBLANK(patch[[#This Row],[project]]), "",COUNTIFS($A:$A,patch[[#This Row],[number]],$S:$S, "BJ And dev",$AC:$AC, "Review-1"))</f>
        <v>2</v>
      </c>
      <c r="X1881" s="7">
        <f>IF(ISBLANK(patch[[#This Row],[project]]), "",COUNTIFS($A:$A,patch[[#This Row],[number]],$S:$S, "FL And dev",$AC:$AC, "Review-1"))</f>
        <v>0</v>
      </c>
      <c r="Y1881" s="7">
        <f>IF(ISBLANK(patch[[#This Row],[project]]), "",COUNTIFS($A:$A,patch[[#This Row],[number]],$S:$S, "SH And dev",$AC:$AC, "Review-1"))</f>
        <v>0</v>
      </c>
      <c r="Z1881" s="7">
        <f>IF(ISBLANK(patch[[#This Row],[project]]), "",COUNTIFS($A:$A,patch[[#This Row],[number]],$S:$S, "BJ And dev",$AD:$AD, "&lt;&gt;IntegratorValidationComment"))</f>
        <v>11</v>
      </c>
      <c r="AA1881" s="7">
        <f>IF(ISBLANK(patch[[#This Row],[project]]), "",COUNTIFS($A:$A,patch[[#This Row],[number]],$S:$S, "FL And dev",$AD:$AD, "&lt;&gt;IntegratorValidationComment"))</f>
        <v>0</v>
      </c>
      <c r="AB1881" s="7">
        <f>IF(ISBLANK(patch[[#This Row],[project]]), "",COUNTIFS($A:$A,patch[[#This Row],[number]],$S:$S, "SH And dev",$AD:$AD, "&lt;&gt;IntegratorValidationComment"))</f>
        <v>0</v>
      </c>
      <c r="AC1881" s="7" t="str">
        <f>IF(OR(ISNUMBER(FIND("Review-1", patch[[#This Row],[comments]])), ISNUMBER(FIND("Approver-1", patch[[#This Row],[comments]]))), "Review-1", "")</f>
        <v/>
      </c>
      <c r="AD18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81" s="7" t="str">
        <f>IF(ISBLANK(patch[[#This Row],[number]]),AE1880,patch[[#This Row],[ifCommon]])</f>
        <v>not AndrHAL</v>
      </c>
    </row>
    <row r="1882" spans="1:31">
      <c r="A1882" s="151">
        <v>144572</v>
      </c>
      <c r="B1882" s="151"/>
      <c r="C1882" s="151"/>
      <c r="D1882" s="151"/>
      <c r="E1882" s="151"/>
      <c r="F1882" s="151"/>
      <c r="G1882" s="151"/>
      <c r="H1882" s="151"/>
      <c r="I1882" s="151"/>
      <c r="J1882" s="152">
        <v>42626.703738425917</v>
      </c>
      <c r="K1882" s="151"/>
      <c r="L1882" s="151" t="s">
        <v>24</v>
      </c>
      <c r="M1882" s="152">
        <v>42625.515486111108</v>
      </c>
      <c r="N1882" s="151" t="s">
        <v>2428</v>
      </c>
      <c r="O1882" s="151"/>
      <c r="P1882" s="151"/>
      <c r="Q1882" s="7" t="str">
        <f>IF(ISBLANK(patch[[#This Row],[OwnerEmail]]),Q1881,patch[[#This Row],[OwnerEmail]])</f>
        <v>qingwu.zhang@intel.com</v>
      </c>
      <c r="R1882" s="7" t="str">
        <f>_xlfn.IFNA(VLOOKUP(patch[[#This Row],[tmp-owner.email]],OrgTree!$A:$K, 11, 0), "not ICG SWFW")</f>
        <v>BJ And dev</v>
      </c>
      <c r="S1882" s="7" t="str">
        <f>IF(patch[[#This Row],[reviewer]]=patch[[#This Row],[tmp-owner.email]], "author", _xlfn.IFNA(VLOOKUP(patch[[#This Row],[reviewer]],OrgTree!$A:$K, 11, 0), "not ICG SWFW"))</f>
        <v>author</v>
      </c>
      <c r="T1882" s="7" t="str">
        <f>IF(ISBLANK(patch[[#This Row],[mergeDate]]), "", MID(YEAR(patch[[#This Row],[mergeDate]]), 3,2)&amp;"'ww"&amp;WEEKNUM(patch[[#This Row],[mergeDate]]))</f>
        <v>16'ww38</v>
      </c>
      <c r="U1882" s="7" t="str">
        <f>IF(ISBLANK(patch[[#This Row],[mergeDate]]), U1881, MID(YEAR(patch[[#This Row],[mergeDate]]), 3,2)&amp;"'m"&amp;MONTH(patch[[#This Row],[mergeDate]]))</f>
        <v>16'm9</v>
      </c>
      <c r="V1882" s="7" t="str">
        <f>IF(ISBLANK(patch[[#This Row],[project]]), "",SUM(patch[[#This Row],[BJ -1 num]:[SH -1 num]]))</f>
        <v/>
      </c>
      <c r="W1882" s="7" t="str">
        <f>IF(ISBLANK(patch[[#This Row],[project]]), "",COUNTIFS($A:$A,patch[[#This Row],[number]],$S:$S, "BJ And dev",$AC:$AC, "Review-1"))</f>
        <v/>
      </c>
      <c r="X1882" s="7" t="str">
        <f>IF(ISBLANK(patch[[#This Row],[project]]), "",COUNTIFS($A:$A,patch[[#This Row],[number]],$S:$S, "FL And dev",$AC:$AC, "Review-1"))</f>
        <v/>
      </c>
      <c r="Y1882" s="7" t="str">
        <f>IF(ISBLANK(patch[[#This Row],[project]]), "",COUNTIFS($A:$A,patch[[#This Row],[number]],$S:$S, "SH And dev",$AC:$AC, "Review-1"))</f>
        <v/>
      </c>
      <c r="Z1882" s="7" t="str">
        <f>IF(ISBLANK(patch[[#This Row],[project]]), "",COUNTIFS($A:$A,patch[[#This Row],[number]],$S:$S, "BJ And dev",$AD:$AD, "&lt;&gt;IntegratorValidationComment"))</f>
        <v/>
      </c>
      <c r="AA1882" s="7" t="str">
        <f>IF(ISBLANK(patch[[#This Row],[project]]), "",COUNTIFS($A:$A,patch[[#This Row],[number]],$S:$S, "FL And dev",$AD:$AD, "&lt;&gt;IntegratorValidationComment"))</f>
        <v/>
      </c>
      <c r="AB1882" s="7" t="str">
        <f>IF(ISBLANK(patch[[#This Row],[project]]), "",COUNTIFS($A:$A,patch[[#This Row],[number]],$S:$S, "SH And dev",$AD:$AD, "&lt;&gt;IntegratorValidationComment"))</f>
        <v/>
      </c>
      <c r="AC1882" s="7" t="str">
        <f>IF(OR(ISNUMBER(FIND("Review-1", patch[[#This Row],[comments]])), ISNUMBER(FIND("Approver-1", patch[[#This Row],[comments]]))), "Review-1", "")</f>
        <v/>
      </c>
      <c r="AD18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82" s="7">
        <f>IF(ISBLANK(patch[[#This Row],[number]]),AE1881,patch[[#This Row],[ifCommon]])</f>
        <v>0</v>
      </c>
    </row>
    <row r="1883" spans="1:31">
      <c r="A1883" s="151">
        <v>144572</v>
      </c>
      <c r="B1883" s="151"/>
      <c r="C1883" s="151"/>
      <c r="D1883" s="151"/>
      <c r="E1883" s="151"/>
      <c r="F1883" s="151"/>
      <c r="G1883" s="151"/>
      <c r="H1883" s="151"/>
      <c r="I1883" s="151"/>
      <c r="J1883" s="152">
        <v>42626.703738425917</v>
      </c>
      <c r="K1883" s="151"/>
      <c r="L1883" s="151" t="s">
        <v>24</v>
      </c>
      <c r="M1883" s="152">
        <v>42625.516365740739</v>
      </c>
      <c r="N1883" s="151" t="s">
        <v>40</v>
      </c>
      <c r="O1883" s="151"/>
      <c r="P1883" s="151"/>
      <c r="Q1883" s="7" t="str">
        <f>IF(ISBLANK(patch[[#This Row],[OwnerEmail]]),Q1882,patch[[#This Row],[OwnerEmail]])</f>
        <v>qingwu.zhang@intel.com</v>
      </c>
      <c r="R1883" s="7" t="str">
        <f>_xlfn.IFNA(VLOOKUP(patch[[#This Row],[tmp-owner.email]],OrgTree!$A:$K, 11, 0), "not ICG SWFW")</f>
        <v>BJ And dev</v>
      </c>
      <c r="S1883" s="7" t="str">
        <f>IF(patch[[#This Row],[reviewer]]=patch[[#This Row],[tmp-owner.email]], "author", _xlfn.IFNA(VLOOKUP(patch[[#This Row],[reviewer]],OrgTree!$A:$K, 11, 0), "not ICG SWFW"))</f>
        <v>author</v>
      </c>
      <c r="T1883" s="7" t="str">
        <f>IF(ISBLANK(patch[[#This Row],[mergeDate]]), "", MID(YEAR(patch[[#This Row],[mergeDate]]), 3,2)&amp;"'ww"&amp;WEEKNUM(patch[[#This Row],[mergeDate]]))</f>
        <v>16'ww38</v>
      </c>
      <c r="U1883" s="7" t="str">
        <f>IF(ISBLANK(patch[[#This Row],[mergeDate]]), U1882, MID(YEAR(patch[[#This Row],[mergeDate]]), 3,2)&amp;"'m"&amp;MONTH(patch[[#This Row],[mergeDate]]))</f>
        <v>16'm9</v>
      </c>
      <c r="V1883" s="7" t="str">
        <f>IF(ISBLANK(patch[[#This Row],[project]]), "",SUM(patch[[#This Row],[BJ -1 num]:[SH -1 num]]))</f>
        <v/>
      </c>
      <c r="W1883" s="7" t="str">
        <f>IF(ISBLANK(patch[[#This Row],[project]]), "",COUNTIFS($A:$A,patch[[#This Row],[number]],$S:$S, "BJ And dev",$AC:$AC, "Review-1"))</f>
        <v/>
      </c>
      <c r="X1883" s="7" t="str">
        <f>IF(ISBLANK(patch[[#This Row],[project]]), "",COUNTIFS($A:$A,patch[[#This Row],[number]],$S:$S, "FL And dev",$AC:$AC, "Review-1"))</f>
        <v/>
      </c>
      <c r="Y1883" s="7" t="str">
        <f>IF(ISBLANK(patch[[#This Row],[project]]), "",COUNTIFS($A:$A,patch[[#This Row],[number]],$S:$S, "SH And dev",$AC:$AC, "Review-1"))</f>
        <v/>
      </c>
      <c r="Z1883" s="7" t="str">
        <f>IF(ISBLANK(patch[[#This Row],[project]]), "",COUNTIFS($A:$A,patch[[#This Row],[number]],$S:$S, "BJ And dev",$AD:$AD, "&lt;&gt;IntegratorValidationComment"))</f>
        <v/>
      </c>
      <c r="AA1883" s="7" t="str">
        <f>IF(ISBLANK(patch[[#This Row],[project]]), "",COUNTIFS($A:$A,patch[[#This Row],[number]],$S:$S, "FL And dev",$AD:$AD, "&lt;&gt;IntegratorValidationComment"))</f>
        <v/>
      </c>
      <c r="AB1883" s="7" t="str">
        <f>IF(ISBLANK(patch[[#This Row],[project]]), "",COUNTIFS($A:$A,patch[[#This Row],[number]],$S:$S, "SH And dev",$AD:$AD, "&lt;&gt;IntegratorValidationComment"))</f>
        <v/>
      </c>
      <c r="AC1883" s="7" t="str">
        <f>IF(OR(ISNUMBER(FIND("Review-1", patch[[#This Row],[comments]])), ISNUMBER(FIND("Approver-1", patch[[#This Row],[comments]]))), "Review-1", "")</f>
        <v/>
      </c>
      <c r="AD18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83" s="7">
        <f>IF(ISBLANK(patch[[#This Row],[number]]),AE1882,patch[[#This Row],[ifCommon]])</f>
        <v>0</v>
      </c>
    </row>
    <row r="1884" spans="1:31">
      <c r="A1884" s="151">
        <v>144572</v>
      </c>
      <c r="B1884" s="151"/>
      <c r="C1884" s="151"/>
      <c r="D1884" s="151"/>
      <c r="E1884" s="151"/>
      <c r="F1884" s="151"/>
      <c r="G1884" s="151"/>
      <c r="H1884" s="151"/>
      <c r="I1884" s="151"/>
      <c r="J1884" s="152">
        <v>42626.703738425917</v>
      </c>
      <c r="K1884" s="151"/>
      <c r="L1884" s="151" t="s">
        <v>59</v>
      </c>
      <c r="M1884" s="152">
        <v>42625.522557870368</v>
      </c>
      <c r="N1884" s="151" t="s">
        <v>3503</v>
      </c>
      <c r="O1884" s="151"/>
      <c r="P1884" s="151"/>
      <c r="Q1884" s="7" t="str">
        <f>IF(ISBLANK(patch[[#This Row],[OwnerEmail]]),Q1883,patch[[#This Row],[OwnerEmail]])</f>
        <v>qingwu.zhang@intel.com</v>
      </c>
      <c r="R1884" s="7" t="str">
        <f>_xlfn.IFNA(VLOOKUP(patch[[#This Row],[tmp-owner.email]],OrgTree!$A:$K, 11, 0), "not ICG SWFW")</f>
        <v>BJ And dev</v>
      </c>
      <c r="S1884" s="7" t="str">
        <f>IF(patch[[#This Row],[reviewer]]=patch[[#This Row],[tmp-owner.email]], "author", _xlfn.IFNA(VLOOKUP(patch[[#This Row],[reviewer]],OrgTree!$A:$K, 11, 0), "not ICG SWFW"))</f>
        <v>BJ And dev</v>
      </c>
      <c r="T1884" s="7" t="str">
        <f>IF(ISBLANK(patch[[#This Row],[mergeDate]]), "", MID(YEAR(patch[[#This Row],[mergeDate]]), 3,2)&amp;"'ww"&amp;WEEKNUM(patch[[#This Row],[mergeDate]]))</f>
        <v>16'ww38</v>
      </c>
      <c r="U1884" s="7" t="str">
        <f>IF(ISBLANK(patch[[#This Row],[mergeDate]]), U1883, MID(YEAR(patch[[#This Row],[mergeDate]]), 3,2)&amp;"'m"&amp;MONTH(patch[[#This Row],[mergeDate]]))</f>
        <v>16'm9</v>
      </c>
      <c r="V1884" s="7" t="str">
        <f>IF(ISBLANK(patch[[#This Row],[project]]), "",SUM(patch[[#This Row],[BJ -1 num]:[SH -1 num]]))</f>
        <v/>
      </c>
      <c r="W1884" s="7" t="str">
        <f>IF(ISBLANK(patch[[#This Row],[project]]), "",COUNTIFS($A:$A,patch[[#This Row],[number]],$S:$S, "BJ And dev",$AC:$AC, "Review-1"))</f>
        <v/>
      </c>
      <c r="X1884" s="7" t="str">
        <f>IF(ISBLANK(patch[[#This Row],[project]]), "",COUNTIFS($A:$A,patch[[#This Row],[number]],$S:$S, "FL And dev",$AC:$AC, "Review-1"))</f>
        <v/>
      </c>
      <c r="Y1884" s="7" t="str">
        <f>IF(ISBLANK(patch[[#This Row],[project]]), "",COUNTIFS($A:$A,patch[[#This Row],[number]],$S:$S, "SH And dev",$AC:$AC, "Review-1"))</f>
        <v/>
      </c>
      <c r="Z1884" s="7" t="str">
        <f>IF(ISBLANK(patch[[#This Row],[project]]), "",COUNTIFS($A:$A,patch[[#This Row],[number]],$S:$S, "BJ And dev",$AD:$AD, "&lt;&gt;IntegratorValidationComment"))</f>
        <v/>
      </c>
      <c r="AA1884" s="7" t="str">
        <f>IF(ISBLANK(patch[[#This Row],[project]]), "",COUNTIFS($A:$A,patch[[#This Row],[number]],$S:$S, "FL And dev",$AD:$AD, "&lt;&gt;IntegratorValidationComment"))</f>
        <v/>
      </c>
      <c r="AB1884" s="7" t="str">
        <f>IF(ISBLANK(patch[[#This Row],[project]]), "",COUNTIFS($A:$A,patch[[#This Row],[number]],$S:$S, "SH And dev",$AD:$AD, "&lt;&gt;IntegratorValidationComment"))</f>
        <v/>
      </c>
      <c r="AC1884" s="7" t="str">
        <f>IF(OR(ISNUMBER(FIND("Review-1", patch[[#This Row],[comments]])), ISNUMBER(FIND("Approver-1", patch[[#This Row],[comments]]))), "Review-1", "")</f>
        <v/>
      </c>
      <c r="AD18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84" s="7">
        <f>IF(ISBLANK(patch[[#This Row],[number]]),AE1883,patch[[#This Row],[ifCommon]])</f>
        <v>0</v>
      </c>
    </row>
    <row r="1885" spans="1:31">
      <c r="A1885" s="151">
        <v>144572</v>
      </c>
      <c r="B1885" s="151"/>
      <c r="C1885" s="151"/>
      <c r="D1885" s="151"/>
      <c r="E1885" s="151"/>
      <c r="F1885" s="151"/>
      <c r="G1885" s="151"/>
      <c r="H1885" s="151"/>
      <c r="I1885" s="151"/>
      <c r="J1885" s="152">
        <v>42626.703738425917</v>
      </c>
      <c r="K1885" s="151"/>
      <c r="L1885" s="151" t="s">
        <v>59</v>
      </c>
      <c r="M1885" s="152">
        <v>42625.530185185176</v>
      </c>
      <c r="N1885" s="151" t="s">
        <v>3504</v>
      </c>
      <c r="O1885" s="151"/>
      <c r="P1885" s="151"/>
      <c r="Q1885" s="7" t="str">
        <f>IF(ISBLANK(patch[[#This Row],[OwnerEmail]]),Q1884,patch[[#This Row],[OwnerEmail]])</f>
        <v>qingwu.zhang@intel.com</v>
      </c>
      <c r="R1885" s="7" t="str">
        <f>_xlfn.IFNA(VLOOKUP(patch[[#This Row],[tmp-owner.email]],OrgTree!$A:$K, 11, 0), "not ICG SWFW")</f>
        <v>BJ And dev</v>
      </c>
      <c r="S1885" s="7" t="str">
        <f>IF(patch[[#This Row],[reviewer]]=patch[[#This Row],[tmp-owner.email]], "author", _xlfn.IFNA(VLOOKUP(patch[[#This Row],[reviewer]],OrgTree!$A:$K, 11, 0), "not ICG SWFW"))</f>
        <v>BJ And dev</v>
      </c>
      <c r="T1885" s="7" t="str">
        <f>IF(ISBLANK(patch[[#This Row],[mergeDate]]), "", MID(YEAR(patch[[#This Row],[mergeDate]]), 3,2)&amp;"'ww"&amp;WEEKNUM(patch[[#This Row],[mergeDate]]))</f>
        <v>16'ww38</v>
      </c>
      <c r="U1885" s="7" t="str">
        <f>IF(ISBLANK(patch[[#This Row],[mergeDate]]), U1884, MID(YEAR(patch[[#This Row],[mergeDate]]), 3,2)&amp;"'m"&amp;MONTH(patch[[#This Row],[mergeDate]]))</f>
        <v>16'm9</v>
      </c>
      <c r="V1885" s="7" t="str">
        <f>IF(ISBLANK(patch[[#This Row],[project]]), "",SUM(patch[[#This Row],[BJ -1 num]:[SH -1 num]]))</f>
        <v/>
      </c>
      <c r="W1885" s="7" t="str">
        <f>IF(ISBLANK(patch[[#This Row],[project]]), "",COUNTIFS($A:$A,patch[[#This Row],[number]],$S:$S, "BJ And dev",$AC:$AC, "Review-1"))</f>
        <v/>
      </c>
      <c r="X1885" s="7" t="str">
        <f>IF(ISBLANK(patch[[#This Row],[project]]), "",COUNTIFS($A:$A,patch[[#This Row],[number]],$S:$S, "FL And dev",$AC:$AC, "Review-1"))</f>
        <v/>
      </c>
      <c r="Y1885" s="7" t="str">
        <f>IF(ISBLANK(patch[[#This Row],[project]]), "",COUNTIFS($A:$A,patch[[#This Row],[number]],$S:$S, "SH And dev",$AC:$AC, "Review-1"))</f>
        <v/>
      </c>
      <c r="Z1885" s="7" t="str">
        <f>IF(ISBLANK(patch[[#This Row],[project]]), "",COUNTIFS($A:$A,patch[[#This Row],[number]],$S:$S, "BJ And dev",$AD:$AD, "&lt;&gt;IntegratorValidationComment"))</f>
        <v/>
      </c>
      <c r="AA1885" s="7" t="str">
        <f>IF(ISBLANK(patch[[#This Row],[project]]), "",COUNTIFS($A:$A,patch[[#This Row],[number]],$S:$S, "FL And dev",$AD:$AD, "&lt;&gt;IntegratorValidationComment"))</f>
        <v/>
      </c>
      <c r="AB1885" s="7" t="str">
        <f>IF(ISBLANK(patch[[#This Row],[project]]), "",COUNTIFS($A:$A,patch[[#This Row],[number]],$S:$S, "SH And dev",$AD:$AD, "&lt;&gt;IntegratorValidationComment"))</f>
        <v/>
      </c>
      <c r="AC1885" s="7" t="str">
        <f>IF(OR(ISNUMBER(FIND("Review-1", patch[[#This Row],[comments]])), ISNUMBER(FIND("Approver-1", patch[[#This Row],[comments]]))), "Review-1", "")</f>
        <v/>
      </c>
      <c r="AD18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85" s="7">
        <f>IF(ISBLANK(patch[[#This Row],[number]]),AE1884,patch[[#This Row],[ifCommon]])</f>
        <v>0</v>
      </c>
    </row>
    <row r="1886" spans="1:31">
      <c r="A1886" s="151">
        <v>144572</v>
      </c>
      <c r="B1886" s="151"/>
      <c r="C1886" s="151"/>
      <c r="D1886" s="151"/>
      <c r="E1886" s="151"/>
      <c r="F1886" s="151"/>
      <c r="G1886" s="151"/>
      <c r="H1886" s="151"/>
      <c r="I1886" s="151"/>
      <c r="J1886" s="152">
        <v>42626.703738425917</v>
      </c>
      <c r="K1886" s="151"/>
      <c r="L1886" s="151" t="s">
        <v>59</v>
      </c>
      <c r="M1886" s="152">
        <v>42625.538819444453</v>
      </c>
      <c r="N1886" s="151" t="s">
        <v>3505</v>
      </c>
      <c r="O1886" s="151"/>
      <c r="P1886" s="151"/>
      <c r="Q1886" s="7" t="str">
        <f>IF(ISBLANK(patch[[#This Row],[OwnerEmail]]),Q1885,patch[[#This Row],[OwnerEmail]])</f>
        <v>qingwu.zhang@intel.com</v>
      </c>
      <c r="R1886" s="7" t="str">
        <f>_xlfn.IFNA(VLOOKUP(patch[[#This Row],[tmp-owner.email]],OrgTree!$A:$K, 11, 0), "not ICG SWFW")</f>
        <v>BJ And dev</v>
      </c>
      <c r="S1886" s="7" t="str">
        <f>IF(patch[[#This Row],[reviewer]]=patch[[#This Row],[tmp-owner.email]], "author", _xlfn.IFNA(VLOOKUP(patch[[#This Row],[reviewer]],OrgTree!$A:$K, 11, 0), "not ICG SWFW"))</f>
        <v>BJ And dev</v>
      </c>
      <c r="T1886" s="7" t="str">
        <f>IF(ISBLANK(patch[[#This Row],[mergeDate]]), "", MID(YEAR(patch[[#This Row],[mergeDate]]), 3,2)&amp;"'ww"&amp;WEEKNUM(patch[[#This Row],[mergeDate]]))</f>
        <v>16'ww38</v>
      </c>
      <c r="U1886" s="7" t="str">
        <f>IF(ISBLANK(patch[[#This Row],[mergeDate]]), U1885, MID(YEAR(patch[[#This Row],[mergeDate]]), 3,2)&amp;"'m"&amp;MONTH(patch[[#This Row],[mergeDate]]))</f>
        <v>16'm9</v>
      </c>
      <c r="V1886" s="7" t="str">
        <f>IF(ISBLANK(patch[[#This Row],[project]]), "",SUM(patch[[#This Row],[BJ -1 num]:[SH -1 num]]))</f>
        <v/>
      </c>
      <c r="W1886" s="7" t="str">
        <f>IF(ISBLANK(patch[[#This Row],[project]]), "",COUNTIFS($A:$A,patch[[#This Row],[number]],$S:$S, "BJ And dev",$AC:$AC, "Review-1"))</f>
        <v/>
      </c>
      <c r="X1886" s="7" t="str">
        <f>IF(ISBLANK(patch[[#This Row],[project]]), "",COUNTIFS($A:$A,patch[[#This Row],[number]],$S:$S, "FL And dev",$AC:$AC, "Review-1"))</f>
        <v/>
      </c>
      <c r="Y1886" s="7" t="str">
        <f>IF(ISBLANK(patch[[#This Row],[project]]), "",COUNTIFS($A:$A,patch[[#This Row],[number]],$S:$S, "SH And dev",$AC:$AC, "Review-1"))</f>
        <v/>
      </c>
      <c r="Z1886" s="7" t="str">
        <f>IF(ISBLANK(patch[[#This Row],[project]]), "",COUNTIFS($A:$A,patch[[#This Row],[number]],$S:$S, "BJ And dev",$AD:$AD, "&lt;&gt;IntegratorValidationComment"))</f>
        <v/>
      </c>
      <c r="AA1886" s="7" t="str">
        <f>IF(ISBLANK(patch[[#This Row],[project]]), "",COUNTIFS($A:$A,patch[[#This Row],[number]],$S:$S, "FL And dev",$AD:$AD, "&lt;&gt;IntegratorValidationComment"))</f>
        <v/>
      </c>
      <c r="AB1886" s="7" t="str">
        <f>IF(ISBLANK(patch[[#This Row],[project]]), "",COUNTIFS($A:$A,patch[[#This Row],[number]],$S:$S, "SH And dev",$AD:$AD, "&lt;&gt;IntegratorValidationComment"))</f>
        <v/>
      </c>
      <c r="AC1886" s="7" t="str">
        <f>IF(OR(ISNUMBER(FIND("Review-1", patch[[#This Row],[comments]])), ISNUMBER(FIND("Approver-1", patch[[#This Row],[comments]]))), "Review-1", "")</f>
        <v/>
      </c>
      <c r="AD18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86" s="7">
        <f>IF(ISBLANK(patch[[#This Row],[number]]),AE1885,patch[[#This Row],[ifCommon]])</f>
        <v>0</v>
      </c>
    </row>
    <row r="1887" spans="1:31">
      <c r="A1887" s="151">
        <v>144572</v>
      </c>
      <c r="B1887" s="151"/>
      <c r="C1887" s="151"/>
      <c r="D1887" s="151"/>
      <c r="E1887" s="151"/>
      <c r="F1887" s="151"/>
      <c r="G1887" s="151"/>
      <c r="H1887" s="151"/>
      <c r="I1887" s="151"/>
      <c r="J1887" s="152">
        <v>42626.703738425917</v>
      </c>
      <c r="K1887" s="151"/>
      <c r="L1887" s="151" t="s">
        <v>59</v>
      </c>
      <c r="M1887" s="152">
        <v>42625.570057870369</v>
      </c>
      <c r="N1887" s="151" t="s">
        <v>3506</v>
      </c>
      <c r="O1887" s="151"/>
      <c r="P1887" s="151"/>
      <c r="Q1887" s="7" t="str">
        <f>IF(ISBLANK(patch[[#This Row],[OwnerEmail]]),Q1886,patch[[#This Row],[OwnerEmail]])</f>
        <v>qingwu.zhang@intel.com</v>
      </c>
      <c r="R1887" s="7" t="str">
        <f>_xlfn.IFNA(VLOOKUP(patch[[#This Row],[tmp-owner.email]],OrgTree!$A:$K, 11, 0), "not ICG SWFW")</f>
        <v>BJ And dev</v>
      </c>
      <c r="S1887" s="7" t="str">
        <f>IF(patch[[#This Row],[reviewer]]=patch[[#This Row],[tmp-owner.email]], "author", _xlfn.IFNA(VLOOKUP(patch[[#This Row],[reviewer]],OrgTree!$A:$K, 11, 0), "not ICG SWFW"))</f>
        <v>BJ And dev</v>
      </c>
      <c r="T1887" s="7" t="str">
        <f>IF(ISBLANK(patch[[#This Row],[mergeDate]]), "", MID(YEAR(patch[[#This Row],[mergeDate]]), 3,2)&amp;"'ww"&amp;WEEKNUM(patch[[#This Row],[mergeDate]]))</f>
        <v>16'ww38</v>
      </c>
      <c r="U1887" s="7" t="str">
        <f>IF(ISBLANK(patch[[#This Row],[mergeDate]]), U1886, MID(YEAR(patch[[#This Row],[mergeDate]]), 3,2)&amp;"'m"&amp;MONTH(patch[[#This Row],[mergeDate]]))</f>
        <v>16'm9</v>
      </c>
      <c r="V1887" s="7" t="str">
        <f>IF(ISBLANK(patch[[#This Row],[project]]), "",SUM(patch[[#This Row],[BJ -1 num]:[SH -1 num]]))</f>
        <v/>
      </c>
      <c r="W1887" s="7" t="str">
        <f>IF(ISBLANK(patch[[#This Row],[project]]), "",COUNTIFS($A:$A,patch[[#This Row],[number]],$S:$S, "BJ And dev",$AC:$AC, "Review-1"))</f>
        <v/>
      </c>
      <c r="X1887" s="7" t="str">
        <f>IF(ISBLANK(patch[[#This Row],[project]]), "",COUNTIFS($A:$A,patch[[#This Row],[number]],$S:$S, "FL And dev",$AC:$AC, "Review-1"))</f>
        <v/>
      </c>
      <c r="Y1887" s="7" t="str">
        <f>IF(ISBLANK(patch[[#This Row],[project]]), "",COUNTIFS($A:$A,patch[[#This Row],[number]],$S:$S, "SH And dev",$AC:$AC, "Review-1"))</f>
        <v/>
      </c>
      <c r="Z1887" s="7" t="str">
        <f>IF(ISBLANK(patch[[#This Row],[project]]), "",COUNTIFS($A:$A,patch[[#This Row],[number]],$S:$S, "BJ And dev",$AD:$AD, "&lt;&gt;IntegratorValidationComment"))</f>
        <v/>
      </c>
      <c r="AA1887" s="7" t="str">
        <f>IF(ISBLANK(patch[[#This Row],[project]]), "",COUNTIFS($A:$A,patch[[#This Row],[number]],$S:$S, "FL And dev",$AD:$AD, "&lt;&gt;IntegratorValidationComment"))</f>
        <v/>
      </c>
      <c r="AB1887" s="7" t="str">
        <f>IF(ISBLANK(patch[[#This Row],[project]]), "",COUNTIFS($A:$A,patch[[#This Row],[number]],$S:$S, "SH And dev",$AD:$AD, "&lt;&gt;IntegratorValidationComment"))</f>
        <v/>
      </c>
      <c r="AC1887" s="7" t="str">
        <f>IF(OR(ISNUMBER(FIND("Review-1", patch[[#This Row],[comments]])), ISNUMBER(FIND("Approver-1", patch[[#This Row],[comments]]))), "Review-1", "")</f>
        <v/>
      </c>
      <c r="AD18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87" s="7">
        <f>IF(ISBLANK(patch[[#This Row],[number]]),AE1886,patch[[#This Row],[ifCommon]])</f>
        <v>0</v>
      </c>
    </row>
    <row r="1888" spans="1:31">
      <c r="A1888" s="151">
        <v>144572</v>
      </c>
      <c r="B1888" s="151"/>
      <c r="C1888" s="151"/>
      <c r="D1888" s="151"/>
      <c r="E1888" s="151"/>
      <c r="F1888" s="151"/>
      <c r="G1888" s="151"/>
      <c r="H1888" s="151"/>
      <c r="I1888" s="151"/>
      <c r="J1888" s="152">
        <v>42626.703738425917</v>
      </c>
      <c r="K1888" s="151"/>
      <c r="L1888" s="151" t="s">
        <v>59</v>
      </c>
      <c r="M1888" s="152">
        <v>42625.618888888886</v>
      </c>
      <c r="N1888" s="151" t="s">
        <v>3507</v>
      </c>
      <c r="O1888" s="151"/>
      <c r="P1888" s="151"/>
      <c r="Q1888" s="7" t="str">
        <f>IF(ISBLANK(patch[[#This Row],[OwnerEmail]]),Q1887,patch[[#This Row],[OwnerEmail]])</f>
        <v>qingwu.zhang@intel.com</v>
      </c>
      <c r="R1888" s="7" t="str">
        <f>_xlfn.IFNA(VLOOKUP(patch[[#This Row],[tmp-owner.email]],OrgTree!$A:$K, 11, 0), "not ICG SWFW")</f>
        <v>BJ And dev</v>
      </c>
      <c r="S1888" s="7" t="str">
        <f>IF(patch[[#This Row],[reviewer]]=patch[[#This Row],[tmp-owner.email]], "author", _xlfn.IFNA(VLOOKUP(patch[[#This Row],[reviewer]],OrgTree!$A:$K, 11, 0), "not ICG SWFW"))</f>
        <v>BJ And dev</v>
      </c>
      <c r="T1888" s="7" t="str">
        <f>IF(ISBLANK(patch[[#This Row],[mergeDate]]), "", MID(YEAR(patch[[#This Row],[mergeDate]]), 3,2)&amp;"'ww"&amp;WEEKNUM(patch[[#This Row],[mergeDate]]))</f>
        <v>16'ww38</v>
      </c>
      <c r="U1888" s="7" t="str">
        <f>IF(ISBLANK(patch[[#This Row],[mergeDate]]), U1887, MID(YEAR(patch[[#This Row],[mergeDate]]), 3,2)&amp;"'m"&amp;MONTH(patch[[#This Row],[mergeDate]]))</f>
        <v>16'm9</v>
      </c>
      <c r="V1888" s="7" t="str">
        <f>IF(ISBLANK(patch[[#This Row],[project]]), "",SUM(patch[[#This Row],[BJ -1 num]:[SH -1 num]]))</f>
        <v/>
      </c>
      <c r="W1888" s="7" t="str">
        <f>IF(ISBLANK(patch[[#This Row],[project]]), "",COUNTIFS($A:$A,patch[[#This Row],[number]],$S:$S, "BJ And dev",$AC:$AC, "Review-1"))</f>
        <v/>
      </c>
      <c r="X1888" s="7" t="str">
        <f>IF(ISBLANK(patch[[#This Row],[project]]), "",COUNTIFS($A:$A,patch[[#This Row],[number]],$S:$S, "FL And dev",$AC:$AC, "Review-1"))</f>
        <v/>
      </c>
      <c r="Y1888" s="7" t="str">
        <f>IF(ISBLANK(patch[[#This Row],[project]]), "",COUNTIFS($A:$A,patch[[#This Row],[number]],$S:$S, "SH And dev",$AC:$AC, "Review-1"))</f>
        <v/>
      </c>
      <c r="Z1888" s="7" t="str">
        <f>IF(ISBLANK(patch[[#This Row],[project]]), "",COUNTIFS($A:$A,patch[[#This Row],[number]],$S:$S, "BJ And dev",$AD:$AD, "&lt;&gt;IntegratorValidationComment"))</f>
        <v/>
      </c>
      <c r="AA1888" s="7" t="str">
        <f>IF(ISBLANK(patch[[#This Row],[project]]), "",COUNTIFS($A:$A,patch[[#This Row],[number]],$S:$S, "FL And dev",$AD:$AD, "&lt;&gt;IntegratorValidationComment"))</f>
        <v/>
      </c>
      <c r="AB1888" s="7" t="str">
        <f>IF(ISBLANK(patch[[#This Row],[project]]), "",COUNTIFS($A:$A,patch[[#This Row],[number]],$S:$S, "SH And dev",$AD:$AD, "&lt;&gt;IntegratorValidationComment"))</f>
        <v/>
      </c>
      <c r="AC1888" s="7" t="str">
        <f>IF(OR(ISNUMBER(FIND("Review-1", patch[[#This Row],[comments]])), ISNUMBER(FIND("Approver-1", patch[[#This Row],[comments]]))), "Review-1", "")</f>
        <v/>
      </c>
      <c r="AD18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88" s="7">
        <f>IF(ISBLANK(patch[[#This Row],[number]]),AE1887,patch[[#This Row],[ifCommon]])</f>
        <v>0</v>
      </c>
    </row>
    <row r="1889" spans="1:31">
      <c r="A1889" s="151">
        <v>144572</v>
      </c>
      <c r="B1889" s="151"/>
      <c r="C1889" s="151"/>
      <c r="D1889" s="151"/>
      <c r="E1889" s="151"/>
      <c r="F1889" s="151"/>
      <c r="G1889" s="151"/>
      <c r="H1889" s="151"/>
      <c r="I1889" s="151"/>
      <c r="J1889" s="152">
        <v>42626.703738425917</v>
      </c>
      <c r="K1889" s="151"/>
      <c r="L1889" s="151" t="s">
        <v>32</v>
      </c>
      <c r="M1889" s="152">
        <v>42625.648159722223</v>
      </c>
      <c r="N1889" s="151" t="s">
        <v>2522</v>
      </c>
      <c r="O1889" s="151" t="s">
        <v>3508</v>
      </c>
      <c r="P1889" s="151"/>
      <c r="Q1889" s="7" t="str">
        <f>IF(ISBLANK(patch[[#This Row],[OwnerEmail]]),Q1888,patch[[#This Row],[OwnerEmail]])</f>
        <v>qingwu.zhang@intel.com</v>
      </c>
      <c r="R1889" s="7" t="str">
        <f>_xlfn.IFNA(VLOOKUP(patch[[#This Row],[tmp-owner.email]],OrgTree!$A:$K, 11, 0), "not ICG SWFW")</f>
        <v>BJ And dev</v>
      </c>
      <c r="S1889" s="7" t="str">
        <f>IF(patch[[#This Row],[reviewer]]=patch[[#This Row],[tmp-owner.email]], "author", _xlfn.IFNA(VLOOKUP(patch[[#This Row],[reviewer]],OrgTree!$A:$K, 11, 0), "not ICG SWFW"))</f>
        <v>BJ And dev</v>
      </c>
      <c r="T1889" s="7" t="str">
        <f>IF(ISBLANK(patch[[#This Row],[mergeDate]]), "", MID(YEAR(patch[[#This Row],[mergeDate]]), 3,2)&amp;"'ww"&amp;WEEKNUM(patch[[#This Row],[mergeDate]]))</f>
        <v>16'ww38</v>
      </c>
      <c r="U1889" s="7" t="str">
        <f>IF(ISBLANK(patch[[#This Row],[mergeDate]]), U1888, MID(YEAR(patch[[#This Row],[mergeDate]]), 3,2)&amp;"'m"&amp;MONTH(patch[[#This Row],[mergeDate]]))</f>
        <v>16'm9</v>
      </c>
      <c r="V1889" s="7" t="str">
        <f>IF(ISBLANK(patch[[#This Row],[project]]), "",SUM(patch[[#This Row],[BJ -1 num]:[SH -1 num]]))</f>
        <v/>
      </c>
      <c r="W1889" s="7" t="str">
        <f>IF(ISBLANK(patch[[#This Row],[project]]), "",COUNTIFS($A:$A,patch[[#This Row],[number]],$S:$S, "BJ And dev",$AC:$AC, "Review-1"))</f>
        <v/>
      </c>
      <c r="X1889" s="7" t="str">
        <f>IF(ISBLANK(patch[[#This Row],[project]]), "",COUNTIFS($A:$A,patch[[#This Row],[number]],$S:$S, "FL And dev",$AC:$AC, "Review-1"))</f>
        <v/>
      </c>
      <c r="Y1889" s="7" t="str">
        <f>IF(ISBLANK(patch[[#This Row],[project]]), "",COUNTIFS($A:$A,patch[[#This Row],[number]],$S:$S, "SH And dev",$AC:$AC, "Review-1"))</f>
        <v/>
      </c>
      <c r="Z1889" s="7" t="str">
        <f>IF(ISBLANK(patch[[#This Row],[project]]), "",COUNTIFS($A:$A,patch[[#This Row],[number]],$S:$S, "BJ And dev",$AD:$AD, "&lt;&gt;IntegratorValidationComment"))</f>
        <v/>
      </c>
      <c r="AA1889" s="7" t="str">
        <f>IF(ISBLANK(patch[[#This Row],[project]]), "",COUNTIFS($A:$A,patch[[#This Row],[number]],$S:$S, "FL And dev",$AD:$AD, "&lt;&gt;IntegratorValidationComment"))</f>
        <v/>
      </c>
      <c r="AB1889" s="7" t="str">
        <f>IF(ISBLANK(patch[[#This Row],[project]]), "",COUNTIFS($A:$A,patch[[#This Row],[number]],$S:$S, "SH And dev",$AD:$AD, "&lt;&gt;IntegratorValidationComment"))</f>
        <v/>
      </c>
      <c r="AC1889" s="7" t="str">
        <f>IF(OR(ISNUMBER(FIND("Review-1", patch[[#This Row],[comments]])), ISNUMBER(FIND("Approver-1", patch[[#This Row],[comments]]))), "Review-1", "")</f>
        <v>Review-1</v>
      </c>
      <c r="AD18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89" s="7">
        <f>IF(ISBLANK(patch[[#This Row],[number]]),AE1888,patch[[#This Row],[ifCommon]])</f>
        <v>0</v>
      </c>
    </row>
    <row r="1890" spans="1:31">
      <c r="A1890" s="151">
        <v>144572</v>
      </c>
      <c r="B1890" s="151"/>
      <c r="C1890" s="151"/>
      <c r="D1890" s="151"/>
      <c r="E1890" s="151"/>
      <c r="F1890" s="151"/>
      <c r="G1890" s="151"/>
      <c r="H1890" s="151"/>
      <c r="I1890" s="151"/>
      <c r="J1890" s="152">
        <v>42626.703738425917</v>
      </c>
      <c r="K1890" s="151"/>
      <c r="L1890" s="151" t="s">
        <v>24</v>
      </c>
      <c r="M1890" s="152">
        <v>42625.650069444448</v>
      </c>
      <c r="N1890" s="151" t="s">
        <v>29</v>
      </c>
      <c r="O1890" s="151"/>
      <c r="P1890" s="151"/>
      <c r="Q1890" s="7" t="str">
        <f>IF(ISBLANK(patch[[#This Row],[OwnerEmail]]),Q1889,patch[[#This Row],[OwnerEmail]])</f>
        <v>qingwu.zhang@intel.com</v>
      </c>
      <c r="R1890" s="7" t="str">
        <f>_xlfn.IFNA(VLOOKUP(patch[[#This Row],[tmp-owner.email]],OrgTree!$A:$K, 11, 0), "not ICG SWFW")</f>
        <v>BJ And dev</v>
      </c>
      <c r="S1890" s="7" t="str">
        <f>IF(patch[[#This Row],[reviewer]]=patch[[#This Row],[tmp-owner.email]], "author", _xlfn.IFNA(VLOOKUP(patch[[#This Row],[reviewer]],OrgTree!$A:$K, 11, 0), "not ICG SWFW"))</f>
        <v>author</v>
      </c>
      <c r="T1890" s="7" t="str">
        <f>IF(ISBLANK(patch[[#This Row],[mergeDate]]), "", MID(YEAR(patch[[#This Row],[mergeDate]]), 3,2)&amp;"'ww"&amp;WEEKNUM(patch[[#This Row],[mergeDate]]))</f>
        <v>16'ww38</v>
      </c>
      <c r="U1890" s="7" t="str">
        <f>IF(ISBLANK(patch[[#This Row],[mergeDate]]), U1889, MID(YEAR(patch[[#This Row],[mergeDate]]), 3,2)&amp;"'m"&amp;MONTH(patch[[#This Row],[mergeDate]]))</f>
        <v>16'm9</v>
      </c>
      <c r="V1890" s="7" t="str">
        <f>IF(ISBLANK(patch[[#This Row],[project]]), "",SUM(patch[[#This Row],[BJ -1 num]:[SH -1 num]]))</f>
        <v/>
      </c>
      <c r="W1890" s="7" t="str">
        <f>IF(ISBLANK(patch[[#This Row],[project]]), "",COUNTIFS($A:$A,patch[[#This Row],[number]],$S:$S, "BJ And dev",$AC:$AC, "Review-1"))</f>
        <v/>
      </c>
      <c r="X1890" s="7" t="str">
        <f>IF(ISBLANK(patch[[#This Row],[project]]), "",COUNTIFS($A:$A,patch[[#This Row],[number]],$S:$S, "FL And dev",$AC:$AC, "Review-1"))</f>
        <v/>
      </c>
      <c r="Y1890" s="7" t="str">
        <f>IF(ISBLANK(patch[[#This Row],[project]]), "",COUNTIFS($A:$A,patch[[#This Row],[number]],$S:$S, "SH And dev",$AC:$AC, "Review-1"))</f>
        <v/>
      </c>
      <c r="Z1890" s="7" t="str">
        <f>IF(ISBLANK(patch[[#This Row],[project]]), "",COUNTIFS($A:$A,patch[[#This Row],[number]],$S:$S, "BJ And dev",$AD:$AD, "&lt;&gt;IntegratorValidationComment"))</f>
        <v/>
      </c>
      <c r="AA1890" s="7" t="str">
        <f>IF(ISBLANK(patch[[#This Row],[project]]), "",COUNTIFS($A:$A,patch[[#This Row],[number]],$S:$S, "FL And dev",$AD:$AD, "&lt;&gt;IntegratorValidationComment"))</f>
        <v/>
      </c>
      <c r="AB1890" s="7" t="str">
        <f>IF(ISBLANK(patch[[#This Row],[project]]), "",COUNTIFS($A:$A,patch[[#This Row],[number]],$S:$S, "SH And dev",$AD:$AD, "&lt;&gt;IntegratorValidationComment"))</f>
        <v/>
      </c>
      <c r="AC1890" s="7" t="str">
        <f>IF(OR(ISNUMBER(FIND("Review-1", patch[[#This Row],[comments]])), ISNUMBER(FIND("Approver-1", patch[[#This Row],[comments]]))), "Review-1", "")</f>
        <v/>
      </c>
      <c r="AD18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90" s="7">
        <f>IF(ISBLANK(patch[[#This Row],[number]]),AE1889,patch[[#This Row],[ifCommon]])</f>
        <v>0</v>
      </c>
    </row>
    <row r="1891" spans="1:31">
      <c r="A1891" s="151">
        <v>144572</v>
      </c>
      <c r="B1891" s="151"/>
      <c r="C1891" s="151"/>
      <c r="D1891" s="151"/>
      <c r="E1891" s="151"/>
      <c r="F1891" s="151"/>
      <c r="G1891" s="151"/>
      <c r="H1891" s="151"/>
      <c r="I1891" s="151"/>
      <c r="J1891" s="152">
        <v>42626.703738425917</v>
      </c>
      <c r="K1891" s="151"/>
      <c r="L1891" s="151" t="s">
        <v>24</v>
      </c>
      <c r="M1891" s="152">
        <v>42625.650069444448</v>
      </c>
      <c r="N1891" s="151" t="s">
        <v>2429</v>
      </c>
      <c r="O1891" s="151"/>
      <c r="P1891" s="151"/>
      <c r="Q1891" s="7" t="str">
        <f>IF(ISBLANK(patch[[#This Row],[OwnerEmail]]),Q1890,patch[[#This Row],[OwnerEmail]])</f>
        <v>qingwu.zhang@intel.com</v>
      </c>
      <c r="R1891" s="7" t="str">
        <f>_xlfn.IFNA(VLOOKUP(patch[[#This Row],[tmp-owner.email]],OrgTree!$A:$K, 11, 0), "not ICG SWFW")</f>
        <v>BJ And dev</v>
      </c>
      <c r="S1891" s="7" t="str">
        <f>IF(patch[[#This Row],[reviewer]]=patch[[#This Row],[tmp-owner.email]], "author", _xlfn.IFNA(VLOOKUP(patch[[#This Row],[reviewer]],OrgTree!$A:$K, 11, 0), "not ICG SWFW"))</f>
        <v>author</v>
      </c>
      <c r="T1891" s="7" t="str">
        <f>IF(ISBLANK(patch[[#This Row],[mergeDate]]), "", MID(YEAR(patch[[#This Row],[mergeDate]]), 3,2)&amp;"'ww"&amp;WEEKNUM(patch[[#This Row],[mergeDate]]))</f>
        <v>16'ww38</v>
      </c>
      <c r="U1891" s="7" t="str">
        <f>IF(ISBLANK(patch[[#This Row],[mergeDate]]), U1890, MID(YEAR(patch[[#This Row],[mergeDate]]), 3,2)&amp;"'m"&amp;MONTH(patch[[#This Row],[mergeDate]]))</f>
        <v>16'm9</v>
      </c>
      <c r="V1891" s="7" t="str">
        <f>IF(ISBLANK(patch[[#This Row],[project]]), "",SUM(patch[[#This Row],[BJ -1 num]:[SH -1 num]]))</f>
        <v/>
      </c>
      <c r="W1891" s="7" t="str">
        <f>IF(ISBLANK(patch[[#This Row],[project]]), "",COUNTIFS($A:$A,patch[[#This Row],[number]],$S:$S, "BJ And dev",$AC:$AC, "Review-1"))</f>
        <v/>
      </c>
      <c r="X1891" s="7" t="str">
        <f>IF(ISBLANK(patch[[#This Row],[project]]), "",COUNTIFS($A:$A,patch[[#This Row],[number]],$S:$S, "FL And dev",$AC:$AC, "Review-1"))</f>
        <v/>
      </c>
      <c r="Y1891" s="7" t="str">
        <f>IF(ISBLANK(patch[[#This Row],[project]]), "",COUNTIFS($A:$A,patch[[#This Row],[number]],$S:$S, "SH And dev",$AC:$AC, "Review-1"))</f>
        <v/>
      </c>
      <c r="Z1891" s="7" t="str">
        <f>IF(ISBLANK(patch[[#This Row],[project]]), "",COUNTIFS($A:$A,patch[[#This Row],[number]],$S:$S, "BJ And dev",$AD:$AD, "&lt;&gt;IntegratorValidationComment"))</f>
        <v/>
      </c>
      <c r="AA1891" s="7" t="str">
        <f>IF(ISBLANK(patch[[#This Row],[project]]), "",COUNTIFS($A:$A,patch[[#This Row],[number]],$S:$S, "FL And dev",$AD:$AD, "&lt;&gt;IntegratorValidationComment"))</f>
        <v/>
      </c>
      <c r="AB1891" s="7" t="str">
        <f>IF(ISBLANK(patch[[#This Row],[project]]), "",COUNTIFS($A:$A,patch[[#This Row],[number]],$S:$S, "SH And dev",$AD:$AD, "&lt;&gt;IntegratorValidationComment"))</f>
        <v/>
      </c>
      <c r="AC1891" s="7" t="str">
        <f>IF(OR(ISNUMBER(FIND("Review-1", patch[[#This Row],[comments]])), ISNUMBER(FIND("Approver-1", patch[[#This Row],[comments]]))), "Review-1", "")</f>
        <v/>
      </c>
      <c r="AD18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91" s="7">
        <f>IF(ISBLANK(patch[[#This Row],[number]]),AE1890,patch[[#This Row],[ifCommon]])</f>
        <v>0</v>
      </c>
    </row>
    <row r="1892" spans="1:31">
      <c r="A1892" s="151">
        <v>144572</v>
      </c>
      <c r="B1892" s="151"/>
      <c r="C1892" s="151"/>
      <c r="D1892" s="151"/>
      <c r="E1892" s="151"/>
      <c r="F1892" s="151"/>
      <c r="G1892" s="151"/>
      <c r="H1892" s="151"/>
      <c r="I1892" s="151"/>
      <c r="J1892" s="152">
        <v>42626.703738425917</v>
      </c>
      <c r="K1892" s="151"/>
      <c r="L1892" s="151" t="s">
        <v>24</v>
      </c>
      <c r="M1892" s="152">
        <v>42625.650648148148</v>
      </c>
      <c r="N1892" s="151" t="s">
        <v>3509</v>
      </c>
      <c r="O1892" s="151"/>
      <c r="P1892" s="151"/>
      <c r="Q1892" s="7" t="str">
        <f>IF(ISBLANK(patch[[#This Row],[OwnerEmail]]),Q1891,patch[[#This Row],[OwnerEmail]])</f>
        <v>qingwu.zhang@intel.com</v>
      </c>
      <c r="R1892" s="7" t="str">
        <f>_xlfn.IFNA(VLOOKUP(patch[[#This Row],[tmp-owner.email]],OrgTree!$A:$K, 11, 0), "not ICG SWFW")</f>
        <v>BJ And dev</v>
      </c>
      <c r="S1892" s="7" t="str">
        <f>IF(patch[[#This Row],[reviewer]]=patch[[#This Row],[tmp-owner.email]], "author", _xlfn.IFNA(VLOOKUP(patch[[#This Row],[reviewer]],OrgTree!$A:$K, 11, 0), "not ICG SWFW"))</f>
        <v>author</v>
      </c>
      <c r="T1892" s="7" t="str">
        <f>IF(ISBLANK(patch[[#This Row],[mergeDate]]), "", MID(YEAR(patch[[#This Row],[mergeDate]]), 3,2)&amp;"'ww"&amp;WEEKNUM(patch[[#This Row],[mergeDate]]))</f>
        <v>16'ww38</v>
      </c>
      <c r="U1892" s="7" t="str">
        <f>IF(ISBLANK(patch[[#This Row],[mergeDate]]), U1891, MID(YEAR(patch[[#This Row],[mergeDate]]), 3,2)&amp;"'m"&amp;MONTH(patch[[#This Row],[mergeDate]]))</f>
        <v>16'm9</v>
      </c>
      <c r="V1892" s="7" t="str">
        <f>IF(ISBLANK(patch[[#This Row],[project]]), "",SUM(patch[[#This Row],[BJ -1 num]:[SH -1 num]]))</f>
        <v/>
      </c>
      <c r="W1892" s="7" t="str">
        <f>IF(ISBLANK(patch[[#This Row],[project]]), "",COUNTIFS($A:$A,patch[[#This Row],[number]],$S:$S, "BJ And dev",$AC:$AC, "Review-1"))</f>
        <v/>
      </c>
      <c r="X1892" s="7" t="str">
        <f>IF(ISBLANK(patch[[#This Row],[project]]), "",COUNTIFS($A:$A,patch[[#This Row],[number]],$S:$S, "FL And dev",$AC:$AC, "Review-1"))</f>
        <v/>
      </c>
      <c r="Y1892" s="7" t="str">
        <f>IF(ISBLANK(patch[[#This Row],[project]]), "",COUNTIFS($A:$A,patch[[#This Row],[number]],$S:$S, "SH And dev",$AC:$AC, "Review-1"))</f>
        <v/>
      </c>
      <c r="Z1892" s="7" t="str">
        <f>IF(ISBLANK(patch[[#This Row],[project]]), "",COUNTIFS($A:$A,patch[[#This Row],[number]],$S:$S, "BJ And dev",$AD:$AD, "&lt;&gt;IntegratorValidationComment"))</f>
        <v/>
      </c>
      <c r="AA1892" s="7" t="str">
        <f>IF(ISBLANK(patch[[#This Row],[project]]), "",COUNTIFS($A:$A,patch[[#This Row],[number]],$S:$S, "FL And dev",$AD:$AD, "&lt;&gt;IntegratorValidationComment"))</f>
        <v/>
      </c>
      <c r="AB1892" s="7" t="str">
        <f>IF(ISBLANK(patch[[#This Row],[project]]), "",COUNTIFS($A:$A,patch[[#This Row],[number]],$S:$S, "SH And dev",$AD:$AD, "&lt;&gt;IntegratorValidationComment"))</f>
        <v/>
      </c>
      <c r="AC1892" s="7" t="str">
        <f>IF(OR(ISNUMBER(FIND("Review-1", patch[[#This Row],[comments]])), ISNUMBER(FIND("Approver-1", patch[[#This Row],[comments]]))), "Review-1", "")</f>
        <v/>
      </c>
      <c r="AD18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92" s="7">
        <f>IF(ISBLANK(patch[[#This Row],[number]]),AE1891,patch[[#This Row],[ifCommon]])</f>
        <v>0</v>
      </c>
    </row>
    <row r="1893" spans="1:31">
      <c r="A1893" s="151">
        <v>144572</v>
      </c>
      <c r="B1893" s="151"/>
      <c r="C1893" s="151"/>
      <c r="D1893" s="151"/>
      <c r="E1893" s="151"/>
      <c r="F1893" s="151"/>
      <c r="G1893" s="151"/>
      <c r="H1893" s="151"/>
      <c r="I1893" s="151"/>
      <c r="J1893" s="152">
        <v>42626.703738425917</v>
      </c>
      <c r="K1893" s="151"/>
      <c r="L1893" s="151" t="s">
        <v>32</v>
      </c>
      <c r="M1893" s="152">
        <v>42625.651759259257</v>
      </c>
      <c r="N1893" s="151" t="s">
        <v>27</v>
      </c>
      <c r="O1893" s="151"/>
      <c r="P1893" s="151"/>
      <c r="Q1893" s="7" t="str">
        <f>IF(ISBLANK(patch[[#This Row],[OwnerEmail]]),Q1892,patch[[#This Row],[OwnerEmail]])</f>
        <v>qingwu.zhang@intel.com</v>
      </c>
      <c r="R1893" s="7" t="str">
        <f>_xlfn.IFNA(VLOOKUP(patch[[#This Row],[tmp-owner.email]],OrgTree!$A:$K, 11, 0), "not ICG SWFW")</f>
        <v>BJ And dev</v>
      </c>
      <c r="S1893" s="7" t="str">
        <f>IF(patch[[#This Row],[reviewer]]=patch[[#This Row],[tmp-owner.email]], "author", _xlfn.IFNA(VLOOKUP(patch[[#This Row],[reviewer]],OrgTree!$A:$K, 11, 0), "not ICG SWFW"))</f>
        <v>BJ And dev</v>
      </c>
      <c r="T1893" s="7" t="str">
        <f>IF(ISBLANK(patch[[#This Row],[mergeDate]]), "", MID(YEAR(patch[[#This Row],[mergeDate]]), 3,2)&amp;"'ww"&amp;WEEKNUM(patch[[#This Row],[mergeDate]]))</f>
        <v>16'ww38</v>
      </c>
      <c r="U1893" s="7" t="str">
        <f>IF(ISBLANK(patch[[#This Row],[mergeDate]]), U1892, MID(YEAR(patch[[#This Row],[mergeDate]]), 3,2)&amp;"'m"&amp;MONTH(patch[[#This Row],[mergeDate]]))</f>
        <v>16'm9</v>
      </c>
      <c r="V1893" s="7" t="str">
        <f>IF(ISBLANK(patch[[#This Row],[project]]), "",SUM(patch[[#This Row],[BJ -1 num]:[SH -1 num]]))</f>
        <v/>
      </c>
      <c r="W1893" s="7" t="str">
        <f>IF(ISBLANK(patch[[#This Row],[project]]), "",COUNTIFS($A:$A,patch[[#This Row],[number]],$S:$S, "BJ And dev",$AC:$AC, "Review-1"))</f>
        <v/>
      </c>
      <c r="X1893" s="7" t="str">
        <f>IF(ISBLANK(patch[[#This Row],[project]]), "",COUNTIFS($A:$A,patch[[#This Row],[number]],$S:$S, "FL And dev",$AC:$AC, "Review-1"))</f>
        <v/>
      </c>
      <c r="Y1893" s="7" t="str">
        <f>IF(ISBLANK(patch[[#This Row],[project]]), "",COUNTIFS($A:$A,patch[[#This Row],[number]],$S:$S, "SH And dev",$AC:$AC, "Review-1"))</f>
        <v/>
      </c>
      <c r="Z1893" s="7" t="str">
        <f>IF(ISBLANK(patch[[#This Row],[project]]), "",COUNTIFS($A:$A,patch[[#This Row],[number]],$S:$S, "BJ And dev",$AD:$AD, "&lt;&gt;IntegratorValidationComment"))</f>
        <v/>
      </c>
      <c r="AA1893" s="7" t="str">
        <f>IF(ISBLANK(patch[[#This Row],[project]]), "",COUNTIFS($A:$A,patch[[#This Row],[number]],$S:$S, "FL And dev",$AD:$AD, "&lt;&gt;IntegratorValidationComment"))</f>
        <v/>
      </c>
      <c r="AB1893" s="7" t="str">
        <f>IF(ISBLANK(patch[[#This Row],[project]]), "",COUNTIFS($A:$A,patch[[#This Row],[number]],$S:$S, "SH And dev",$AD:$AD, "&lt;&gt;IntegratorValidationComment"))</f>
        <v/>
      </c>
      <c r="AC1893" s="7" t="str">
        <f>IF(OR(ISNUMBER(FIND("Review-1", patch[[#This Row],[comments]])), ISNUMBER(FIND("Approver-1", patch[[#This Row],[comments]]))), "Review-1", "")</f>
        <v/>
      </c>
      <c r="AD18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93" s="7">
        <f>IF(ISBLANK(patch[[#This Row],[number]]),AE1892,patch[[#This Row],[ifCommon]])</f>
        <v>0</v>
      </c>
    </row>
    <row r="1894" spans="1:31">
      <c r="A1894" s="151">
        <v>144572</v>
      </c>
      <c r="B1894" s="151"/>
      <c r="C1894" s="151"/>
      <c r="D1894" s="151"/>
      <c r="E1894" s="151"/>
      <c r="F1894" s="151"/>
      <c r="G1894" s="151"/>
      <c r="H1894" s="151"/>
      <c r="I1894" s="151"/>
      <c r="J1894" s="152">
        <v>42626.703738425917</v>
      </c>
      <c r="K1894" s="151"/>
      <c r="L1894" s="151" t="s">
        <v>59</v>
      </c>
      <c r="M1894" s="152">
        <v>42625.654282407413</v>
      </c>
      <c r="N1894" s="151" t="s">
        <v>3510</v>
      </c>
      <c r="O1894" s="151"/>
      <c r="P1894" s="151"/>
      <c r="Q1894" s="7" t="str">
        <f>IF(ISBLANK(patch[[#This Row],[OwnerEmail]]),Q1893,patch[[#This Row],[OwnerEmail]])</f>
        <v>qingwu.zhang@intel.com</v>
      </c>
      <c r="R1894" s="7" t="str">
        <f>_xlfn.IFNA(VLOOKUP(patch[[#This Row],[tmp-owner.email]],OrgTree!$A:$K, 11, 0), "not ICG SWFW")</f>
        <v>BJ And dev</v>
      </c>
      <c r="S1894" s="7" t="str">
        <f>IF(patch[[#This Row],[reviewer]]=patch[[#This Row],[tmp-owner.email]], "author", _xlfn.IFNA(VLOOKUP(patch[[#This Row],[reviewer]],OrgTree!$A:$K, 11, 0), "not ICG SWFW"))</f>
        <v>BJ And dev</v>
      </c>
      <c r="T1894" s="7" t="str">
        <f>IF(ISBLANK(patch[[#This Row],[mergeDate]]), "", MID(YEAR(patch[[#This Row],[mergeDate]]), 3,2)&amp;"'ww"&amp;WEEKNUM(patch[[#This Row],[mergeDate]]))</f>
        <v>16'ww38</v>
      </c>
      <c r="U1894" s="7" t="str">
        <f>IF(ISBLANK(patch[[#This Row],[mergeDate]]), U1893, MID(YEAR(patch[[#This Row],[mergeDate]]), 3,2)&amp;"'m"&amp;MONTH(patch[[#This Row],[mergeDate]]))</f>
        <v>16'm9</v>
      </c>
      <c r="V1894" s="7" t="str">
        <f>IF(ISBLANK(patch[[#This Row],[project]]), "",SUM(patch[[#This Row],[BJ -1 num]:[SH -1 num]]))</f>
        <v/>
      </c>
      <c r="W1894" s="7" t="str">
        <f>IF(ISBLANK(patch[[#This Row],[project]]), "",COUNTIFS($A:$A,patch[[#This Row],[number]],$S:$S, "BJ And dev",$AC:$AC, "Review-1"))</f>
        <v/>
      </c>
      <c r="X1894" s="7" t="str">
        <f>IF(ISBLANK(patch[[#This Row],[project]]), "",COUNTIFS($A:$A,patch[[#This Row],[number]],$S:$S, "FL And dev",$AC:$AC, "Review-1"))</f>
        <v/>
      </c>
      <c r="Y1894" s="7" t="str">
        <f>IF(ISBLANK(patch[[#This Row],[project]]), "",COUNTIFS($A:$A,patch[[#This Row],[number]],$S:$S, "SH And dev",$AC:$AC, "Review-1"))</f>
        <v/>
      </c>
      <c r="Z1894" s="7" t="str">
        <f>IF(ISBLANK(patch[[#This Row],[project]]), "",COUNTIFS($A:$A,patch[[#This Row],[number]],$S:$S, "BJ And dev",$AD:$AD, "&lt;&gt;IntegratorValidationComment"))</f>
        <v/>
      </c>
      <c r="AA1894" s="7" t="str">
        <f>IF(ISBLANK(patch[[#This Row],[project]]), "",COUNTIFS($A:$A,patch[[#This Row],[number]],$S:$S, "FL And dev",$AD:$AD, "&lt;&gt;IntegratorValidationComment"))</f>
        <v/>
      </c>
      <c r="AB1894" s="7" t="str">
        <f>IF(ISBLANK(patch[[#This Row],[project]]), "",COUNTIFS($A:$A,patch[[#This Row],[number]],$S:$S, "SH And dev",$AD:$AD, "&lt;&gt;IntegratorValidationComment"))</f>
        <v/>
      </c>
      <c r="AC1894" s="7" t="str">
        <f>IF(OR(ISNUMBER(FIND("Review-1", patch[[#This Row],[comments]])), ISNUMBER(FIND("Approver-1", patch[[#This Row],[comments]]))), "Review-1", "")</f>
        <v/>
      </c>
      <c r="AD18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94" s="7">
        <f>IF(ISBLANK(patch[[#This Row],[number]]),AE1893,patch[[#This Row],[ifCommon]])</f>
        <v>0</v>
      </c>
    </row>
    <row r="1895" spans="1:31">
      <c r="A1895" s="151">
        <v>144572</v>
      </c>
      <c r="B1895" s="151"/>
      <c r="C1895" s="151"/>
      <c r="D1895" s="151"/>
      <c r="E1895" s="151"/>
      <c r="F1895" s="151"/>
      <c r="G1895" s="151"/>
      <c r="H1895" s="151"/>
      <c r="I1895" s="151"/>
      <c r="J1895" s="152">
        <v>42626.703738425917</v>
      </c>
      <c r="K1895" s="151"/>
      <c r="L1895" s="151" t="s">
        <v>59</v>
      </c>
      <c r="M1895" s="152">
        <v>42625.659398148149</v>
      </c>
      <c r="N1895" s="151" t="s">
        <v>3511</v>
      </c>
      <c r="O1895" s="151"/>
      <c r="P1895" s="151"/>
      <c r="Q1895" s="7" t="str">
        <f>IF(ISBLANK(patch[[#This Row],[OwnerEmail]]),Q1894,patch[[#This Row],[OwnerEmail]])</f>
        <v>qingwu.zhang@intel.com</v>
      </c>
      <c r="R1895" s="7" t="str">
        <f>_xlfn.IFNA(VLOOKUP(patch[[#This Row],[tmp-owner.email]],OrgTree!$A:$K, 11, 0), "not ICG SWFW")</f>
        <v>BJ And dev</v>
      </c>
      <c r="S1895" s="7" t="str">
        <f>IF(patch[[#This Row],[reviewer]]=patch[[#This Row],[tmp-owner.email]], "author", _xlfn.IFNA(VLOOKUP(patch[[#This Row],[reviewer]],OrgTree!$A:$K, 11, 0), "not ICG SWFW"))</f>
        <v>BJ And dev</v>
      </c>
      <c r="T1895" s="7" t="str">
        <f>IF(ISBLANK(patch[[#This Row],[mergeDate]]), "", MID(YEAR(patch[[#This Row],[mergeDate]]), 3,2)&amp;"'ww"&amp;WEEKNUM(patch[[#This Row],[mergeDate]]))</f>
        <v>16'ww38</v>
      </c>
      <c r="U1895" s="7" t="str">
        <f>IF(ISBLANK(patch[[#This Row],[mergeDate]]), U1894, MID(YEAR(patch[[#This Row],[mergeDate]]), 3,2)&amp;"'m"&amp;MONTH(patch[[#This Row],[mergeDate]]))</f>
        <v>16'm9</v>
      </c>
      <c r="V1895" s="7" t="str">
        <f>IF(ISBLANK(patch[[#This Row],[project]]), "",SUM(patch[[#This Row],[BJ -1 num]:[SH -1 num]]))</f>
        <v/>
      </c>
      <c r="W1895" s="7" t="str">
        <f>IF(ISBLANK(patch[[#This Row],[project]]), "",COUNTIFS($A:$A,patch[[#This Row],[number]],$S:$S, "BJ And dev",$AC:$AC, "Review-1"))</f>
        <v/>
      </c>
      <c r="X1895" s="7" t="str">
        <f>IF(ISBLANK(patch[[#This Row],[project]]), "",COUNTIFS($A:$A,patch[[#This Row],[number]],$S:$S, "FL And dev",$AC:$AC, "Review-1"))</f>
        <v/>
      </c>
      <c r="Y1895" s="7" t="str">
        <f>IF(ISBLANK(patch[[#This Row],[project]]), "",COUNTIFS($A:$A,patch[[#This Row],[number]],$S:$S, "SH And dev",$AC:$AC, "Review-1"))</f>
        <v/>
      </c>
      <c r="Z1895" s="7" t="str">
        <f>IF(ISBLANK(patch[[#This Row],[project]]), "",COUNTIFS($A:$A,patch[[#This Row],[number]],$S:$S, "BJ And dev",$AD:$AD, "&lt;&gt;IntegratorValidationComment"))</f>
        <v/>
      </c>
      <c r="AA1895" s="7" t="str">
        <f>IF(ISBLANK(patch[[#This Row],[project]]), "",COUNTIFS($A:$A,patch[[#This Row],[number]],$S:$S, "FL And dev",$AD:$AD, "&lt;&gt;IntegratorValidationComment"))</f>
        <v/>
      </c>
      <c r="AB1895" s="7" t="str">
        <f>IF(ISBLANK(patch[[#This Row],[project]]), "",COUNTIFS($A:$A,patch[[#This Row],[number]],$S:$S, "SH And dev",$AD:$AD, "&lt;&gt;IntegratorValidationComment"))</f>
        <v/>
      </c>
      <c r="AC1895" s="7" t="str">
        <f>IF(OR(ISNUMBER(FIND("Review-1", patch[[#This Row],[comments]])), ISNUMBER(FIND("Approver-1", patch[[#This Row],[comments]]))), "Review-1", "")</f>
        <v/>
      </c>
      <c r="AD18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95" s="7">
        <f>IF(ISBLANK(patch[[#This Row],[number]]),AE1894,patch[[#This Row],[ifCommon]])</f>
        <v>0</v>
      </c>
    </row>
    <row r="1896" spans="1:31">
      <c r="A1896" s="151">
        <v>144572</v>
      </c>
      <c r="B1896" s="151"/>
      <c r="C1896" s="151"/>
      <c r="D1896" s="151"/>
      <c r="E1896" s="151"/>
      <c r="F1896" s="151"/>
      <c r="G1896" s="151"/>
      <c r="H1896" s="151"/>
      <c r="I1896" s="151"/>
      <c r="J1896" s="152">
        <v>42626.703738425917</v>
      </c>
      <c r="K1896" s="151"/>
      <c r="L1896" s="151" t="s">
        <v>59</v>
      </c>
      <c r="M1896" s="152">
        <v>42625.69872685185</v>
      </c>
      <c r="N1896" s="151" t="s">
        <v>2499</v>
      </c>
      <c r="O1896" s="151" t="s">
        <v>3512</v>
      </c>
      <c r="P1896" s="151"/>
      <c r="Q1896" s="7" t="str">
        <f>IF(ISBLANK(patch[[#This Row],[OwnerEmail]]),Q1895,patch[[#This Row],[OwnerEmail]])</f>
        <v>qingwu.zhang@intel.com</v>
      </c>
      <c r="R1896" s="7" t="str">
        <f>_xlfn.IFNA(VLOOKUP(patch[[#This Row],[tmp-owner.email]],OrgTree!$A:$K, 11, 0), "not ICG SWFW")</f>
        <v>BJ And dev</v>
      </c>
      <c r="S1896" s="7" t="str">
        <f>IF(patch[[#This Row],[reviewer]]=patch[[#This Row],[tmp-owner.email]], "author", _xlfn.IFNA(VLOOKUP(patch[[#This Row],[reviewer]],OrgTree!$A:$K, 11, 0), "not ICG SWFW"))</f>
        <v>BJ And dev</v>
      </c>
      <c r="T1896" s="7" t="str">
        <f>IF(ISBLANK(patch[[#This Row],[mergeDate]]), "", MID(YEAR(patch[[#This Row],[mergeDate]]), 3,2)&amp;"'ww"&amp;WEEKNUM(patch[[#This Row],[mergeDate]]))</f>
        <v>16'ww38</v>
      </c>
      <c r="U1896" s="7" t="str">
        <f>IF(ISBLANK(patch[[#This Row],[mergeDate]]), U1895, MID(YEAR(patch[[#This Row],[mergeDate]]), 3,2)&amp;"'m"&amp;MONTH(patch[[#This Row],[mergeDate]]))</f>
        <v>16'm9</v>
      </c>
      <c r="V1896" s="7" t="str">
        <f>IF(ISBLANK(patch[[#This Row],[project]]), "",SUM(patch[[#This Row],[BJ -1 num]:[SH -1 num]]))</f>
        <v/>
      </c>
      <c r="W1896" s="7" t="str">
        <f>IF(ISBLANK(patch[[#This Row],[project]]), "",COUNTIFS($A:$A,patch[[#This Row],[number]],$S:$S, "BJ And dev",$AC:$AC, "Review-1"))</f>
        <v/>
      </c>
      <c r="X1896" s="7" t="str">
        <f>IF(ISBLANK(patch[[#This Row],[project]]), "",COUNTIFS($A:$A,patch[[#This Row],[number]],$S:$S, "FL And dev",$AC:$AC, "Review-1"))</f>
        <v/>
      </c>
      <c r="Y1896" s="7" t="str">
        <f>IF(ISBLANK(patch[[#This Row],[project]]), "",COUNTIFS($A:$A,patch[[#This Row],[number]],$S:$S, "SH And dev",$AC:$AC, "Review-1"))</f>
        <v/>
      </c>
      <c r="Z1896" s="7" t="str">
        <f>IF(ISBLANK(patch[[#This Row],[project]]), "",COUNTIFS($A:$A,patch[[#This Row],[number]],$S:$S, "BJ And dev",$AD:$AD, "&lt;&gt;IntegratorValidationComment"))</f>
        <v/>
      </c>
      <c r="AA1896" s="7" t="str">
        <f>IF(ISBLANK(patch[[#This Row],[project]]), "",COUNTIFS($A:$A,patch[[#This Row],[number]],$S:$S, "FL And dev",$AD:$AD, "&lt;&gt;IntegratorValidationComment"))</f>
        <v/>
      </c>
      <c r="AB1896" s="7" t="str">
        <f>IF(ISBLANK(patch[[#This Row],[project]]), "",COUNTIFS($A:$A,patch[[#This Row],[number]],$S:$S, "SH And dev",$AD:$AD, "&lt;&gt;IntegratorValidationComment"))</f>
        <v/>
      </c>
      <c r="AC1896" s="7" t="str">
        <f>IF(OR(ISNUMBER(FIND("Review-1", patch[[#This Row],[comments]])), ISNUMBER(FIND("Approver-1", patch[[#This Row],[comments]]))), "Review-1", "")</f>
        <v>Review-1</v>
      </c>
      <c r="AD18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96" s="7">
        <f>IF(ISBLANK(patch[[#This Row],[number]]),AE1895,patch[[#This Row],[ifCommon]])</f>
        <v>0</v>
      </c>
    </row>
    <row r="1897" spans="1:31">
      <c r="A1897" s="151">
        <v>144572</v>
      </c>
      <c r="B1897" s="151"/>
      <c r="C1897" s="151"/>
      <c r="D1897" s="151"/>
      <c r="E1897" s="151"/>
      <c r="F1897" s="151"/>
      <c r="G1897" s="151"/>
      <c r="H1897" s="151"/>
      <c r="I1897" s="151"/>
      <c r="J1897" s="152">
        <v>42626.703738425917</v>
      </c>
      <c r="K1897" s="151"/>
      <c r="L1897" s="151" t="s">
        <v>24</v>
      </c>
      <c r="M1897" s="152">
        <v>42625.704108796293</v>
      </c>
      <c r="N1897" s="151" t="s">
        <v>2455</v>
      </c>
      <c r="O1897" s="151" t="s">
        <v>3513</v>
      </c>
      <c r="P1897" s="151"/>
      <c r="Q1897" s="7" t="str">
        <f>IF(ISBLANK(patch[[#This Row],[OwnerEmail]]),Q1896,patch[[#This Row],[OwnerEmail]])</f>
        <v>qingwu.zhang@intel.com</v>
      </c>
      <c r="R1897" s="7" t="str">
        <f>_xlfn.IFNA(VLOOKUP(patch[[#This Row],[tmp-owner.email]],OrgTree!$A:$K, 11, 0), "not ICG SWFW")</f>
        <v>BJ And dev</v>
      </c>
      <c r="S1897" s="7" t="str">
        <f>IF(patch[[#This Row],[reviewer]]=patch[[#This Row],[tmp-owner.email]], "author", _xlfn.IFNA(VLOOKUP(patch[[#This Row],[reviewer]],OrgTree!$A:$K, 11, 0), "not ICG SWFW"))</f>
        <v>author</v>
      </c>
      <c r="T1897" s="7" t="str">
        <f>IF(ISBLANK(patch[[#This Row],[mergeDate]]), "", MID(YEAR(patch[[#This Row],[mergeDate]]), 3,2)&amp;"'ww"&amp;WEEKNUM(patch[[#This Row],[mergeDate]]))</f>
        <v>16'ww38</v>
      </c>
      <c r="U1897" s="7" t="str">
        <f>IF(ISBLANK(patch[[#This Row],[mergeDate]]), U1896, MID(YEAR(patch[[#This Row],[mergeDate]]), 3,2)&amp;"'m"&amp;MONTH(patch[[#This Row],[mergeDate]]))</f>
        <v>16'm9</v>
      </c>
      <c r="V1897" s="7" t="str">
        <f>IF(ISBLANK(patch[[#This Row],[project]]), "",SUM(patch[[#This Row],[BJ -1 num]:[SH -1 num]]))</f>
        <v/>
      </c>
      <c r="W1897" s="7" t="str">
        <f>IF(ISBLANK(patch[[#This Row],[project]]), "",COUNTIFS($A:$A,patch[[#This Row],[number]],$S:$S, "BJ And dev",$AC:$AC, "Review-1"))</f>
        <v/>
      </c>
      <c r="X1897" s="7" t="str">
        <f>IF(ISBLANK(patch[[#This Row],[project]]), "",COUNTIFS($A:$A,patch[[#This Row],[number]],$S:$S, "FL And dev",$AC:$AC, "Review-1"))</f>
        <v/>
      </c>
      <c r="Y1897" s="7" t="str">
        <f>IF(ISBLANK(patch[[#This Row],[project]]), "",COUNTIFS($A:$A,patch[[#This Row],[number]],$S:$S, "SH And dev",$AC:$AC, "Review-1"))</f>
        <v/>
      </c>
      <c r="Z1897" s="7" t="str">
        <f>IF(ISBLANK(patch[[#This Row],[project]]), "",COUNTIFS($A:$A,patch[[#This Row],[number]],$S:$S, "BJ And dev",$AD:$AD, "&lt;&gt;IntegratorValidationComment"))</f>
        <v/>
      </c>
      <c r="AA1897" s="7" t="str">
        <f>IF(ISBLANK(patch[[#This Row],[project]]), "",COUNTIFS($A:$A,patch[[#This Row],[number]],$S:$S, "FL And dev",$AD:$AD, "&lt;&gt;IntegratorValidationComment"))</f>
        <v/>
      </c>
      <c r="AB1897" s="7" t="str">
        <f>IF(ISBLANK(patch[[#This Row],[project]]), "",COUNTIFS($A:$A,patch[[#This Row],[number]],$S:$S, "SH And dev",$AD:$AD, "&lt;&gt;IntegratorValidationComment"))</f>
        <v/>
      </c>
      <c r="AC1897" s="7" t="str">
        <f>IF(OR(ISNUMBER(FIND("Review-1", patch[[#This Row],[comments]])), ISNUMBER(FIND("Approver-1", patch[[#This Row],[comments]]))), "Review-1", "")</f>
        <v/>
      </c>
      <c r="AD18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97" s="7">
        <f>IF(ISBLANK(patch[[#This Row],[number]]),AE1896,patch[[#This Row],[ifCommon]])</f>
        <v>0</v>
      </c>
    </row>
    <row r="1898" spans="1:31">
      <c r="A1898" s="151">
        <v>144572</v>
      </c>
      <c r="B1898" s="151"/>
      <c r="C1898" s="151"/>
      <c r="D1898" s="151"/>
      <c r="E1898" s="151"/>
      <c r="F1898" s="151"/>
      <c r="G1898" s="151"/>
      <c r="H1898" s="151"/>
      <c r="I1898" s="152"/>
      <c r="J1898" s="152">
        <v>42626.703738425917</v>
      </c>
      <c r="K1898" s="151"/>
      <c r="L1898" s="151" t="s">
        <v>59</v>
      </c>
      <c r="M1898" s="152">
        <v>42625.704814814817</v>
      </c>
      <c r="N1898" s="151" t="s">
        <v>3514</v>
      </c>
      <c r="O1898" s="151" t="s">
        <v>3515</v>
      </c>
      <c r="P1898" s="151"/>
      <c r="Q1898" s="7" t="str">
        <f>IF(ISBLANK(patch[[#This Row],[OwnerEmail]]),Q1897,patch[[#This Row],[OwnerEmail]])</f>
        <v>qingwu.zhang@intel.com</v>
      </c>
      <c r="R1898" s="7" t="str">
        <f>_xlfn.IFNA(VLOOKUP(patch[[#This Row],[tmp-owner.email]],OrgTree!$A:$K, 11, 0), "not ICG SWFW")</f>
        <v>BJ And dev</v>
      </c>
      <c r="S1898" s="7" t="str">
        <f>IF(patch[[#This Row],[reviewer]]=patch[[#This Row],[tmp-owner.email]], "author", _xlfn.IFNA(VLOOKUP(patch[[#This Row],[reviewer]],OrgTree!$A:$K, 11, 0), "not ICG SWFW"))</f>
        <v>BJ And dev</v>
      </c>
      <c r="T1898" s="7" t="str">
        <f>IF(ISBLANK(patch[[#This Row],[mergeDate]]), "", MID(YEAR(patch[[#This Row],[mergeDate]]), 3,2)&amp;"'ww"&amp;WEEKNUM(patch[[#This Row],[mergeDate]]))</f>
        <v>16'ww38</v>
      </c>
      <c r="U1898" s="7" t="str">
        <f>IF(ISBLANK(patch[[#This Row],[mergeDate]]), U1897, MID(YEAR(patch[[#This Row],[mergeDate]]), 3,2)&amp;"'m"&amp;MONTH(patch[[#This Row],[mergeDate]]))</f>
        <v>16'm9</v>
      </c>
      <c r="V1898" s="7" t="str">
        <f>IF(ISBLANK(patch[[#This Row],[project]]), "",SUM(patch[[#This Row],[BJ -1 num]:[SH -1 num]]))</f>
        <v/>
      </c>
      <c r="W1898" s="7" t="str">
        <f>IF(ISBLANK(patch[[#This Row],[project]]), "",COUNTIFS($A:$A,patch[[#This Row],[number]],$S:$S, "BJ And dev",$AC:$AC, "Review-1"))</f>
        <v/>
      </c>
      <c r="X1898" s="7" t="str">
        <f>IF(ISBLANK(patch[[#This Row],[project]]), "",COUNTIFS($A:$A,patch[[#This Row],[number]],$S:$S, "FL And dev",$AC:$AC, "Review-1"))</f>
        <v/>
      </c>
      <c r="Y1898" s="7" t="str">
        <f>IF(ISBLANK(patch[[#This Row],[project]]), "",COUNTIFS($A:$A,patch[[#This Row],[number]],$S:$S, "SH And dev",$AC:$AC, "Review-1"))</f>
        <v/>
      </c>
      <c r="Z1898" s="7" t="str">
        <f>IF(ISBLANK(patch[[#This Row],[project]]), "",COUNTIFS($A:$A,patch[[#This Row],[number]],$S:$S, "BJ And dev",$AD:$AD, "&lt;&gt;IntegratorValidationComment"))</f>
        <v/>
      </c>
      <c r="AA1898" s="7" t="str">
        <f>IF(ISBLANK(patch[[#This Row],[project]]), "",COUNTIFS($A:$A,patch[[#This Row],[number]],$S:$S, "FL And dev",$AD:$AD, "&lt;&gt;IntegratorValidationComment"))</f>
        <v/>
      </c>
      <c r="AB1898" s="7" t="str">
        <f>IF(ISBLANK(patch[[#This Row],[project]]), "",COUNTIFS($A:$A,patch[[#This Row],[number]],$S:$S, "SH And dev",$AD:$AD, "&lt;&gt;IntegratorValidationComment"))</f>
        <v/>
      </c>
      <c r="AC1898" s="7" t="str">
        <f>IF(OR(ISNUMBER(FIND("Review-1", patch[[#This Row],[comments]])), ISNUMBER(FIND("Approver-1", patch[[#This Row],[comments]]))), "Review-1", "")</f>
        <v/>
      </c>
      <c r="AD18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898" s="7">
        <f>IF(ISBLANK(patch[[#This Row],[number]]),AE1897,patch[[#This Row],[ifCommon]])</f>
        <v>0</v>
      </c>
    </row>
    <row r="1899" spans="1:31">
      <c r="A1899" s="151">
        <v>144572</v>
      </c>
      <c r="B1899" s="151"/>
      <c r="C1899" s="151"/>
      <c r="D1899" s="151"/>
      <c r="E1899" s="151"/>
      <c r="F1899" s="151"/>
      <c r="G1899" s="151"/>
      <c r="H1899" s="151"/>
      <c r="I1899" s="151"/>
      <c r="J1899" s="152">
        <v>42626.703738425917</v>
      </c>
      <c r="K1899" s="151"/>
      <c r="L1899" s="151" t="s">
        <v>115</v>
      </c>
      <c r="M1899" s="152">
        <v>42626.430451388893</v>
      </c>
      <c r="N1899" s="151" t="s">
        <v>2495</v>
      </c>
      <c r="O1899" s="151"/>
      <c r="P1899" s="151"/>
      <c r="Q1899" s="7" t="str">
        <f>IF(ISBLANK(patch[[#This Row],[OwnerEmail]]),Q1898,patch[[#This Row],[OwnerEmail]])</f>
        <v>qingwu.zhang@intel.com</v>
      </c>
      <c r="R1899" s="7" t="str">
        <f>_xlfn.IFNA(VLOOKUP(patch[[#This Row],[tmp-owner.email]],OrgTree!$A:$K, 11, 0), "not ICG SWFW")</f>
        <v>BJ And dev</v>
      </c>
      <c r="S1899" s="7" t="str">
        <f>IF(patch[[#This Row],[reviewer]]=patch[[#This Row],[tmp-owner.email]], "author", _xlfn.IFNA(VLOOKUP(patch[[#This Row],[reviewer]],OrgTree!$A:$K, 11, 0), "not ICG SWFW"))</f>
        <v>Val</v>
      </c>
      <c r="T1899" s="7" t="str">
        <f>IF(ISBLANK(patch[[#This Row],[mergeDate]]), "", MID(YEAR(patch[[#This Row],[mergeDate]]), 3,2)&amp;"'ww"&amp;WEEKNUM(patch[[#This Row],[mergeDate]]))</f>
        <v>16'ww38</v>
      </c>
      <c r="U1899" s="7" t="str">
        <f>IF(ISBLANK(patch[[#This Row],[mergeDate]]), U1898, MID(YEAR(patch[[#This Row],[mergeDate]]), 3,2)&amp;"'m"&amp;MONTH(patch[[#This Row],[mergeDate]]))</f>
        <v>16'm9</v>
      </c>
      <c r="V1899" s="7" t="str">
        <f>IF(ISBLANK(patch[[#This Row],[project]]), "",SUM(patch[[#This Row],[BJ -1 num]:[SH -1 num]]))</f>
        <v/>
      </c>
      <c r="W1899" s="7" t="str">
        <f>IF(ISBLANK(patch[[#This Row],[project]]), "",COUNTIFS($A:$A,patch[[#This Row],[number]],$S:$S, "BJ And dev",$AC:$AC, "Review-1"))</f>
        <v/>
      </c>
      <c r="X1899" s="7" t="str">
        <f>IF(ISBLANK(patch[[#This Row],[project]]), "",COUNTIFS($A:$A,patch[[#This Row],[number]],$S:$S, "FL And dev",$AC:$AC, "Review-1"))</f>
        <v/>
      </c>
      <c r="Y1899" s="7" t="str">
        <f>IF(ISBLANK(patch[[#This Row],[project]]), "",COUNTIFS($A:$A,patch[[#This Row],[number]],$S:$S, "SH And dev",$AC:$AC, "Review-1"))</f>
        <v/>
      </c>
      <c r="Z1899" s="7" t="str">
        <f>IF(ISBLANK(patch[[#This Row],[project]]), "",COUNTIFS($A:$A,patch[[#This Row],[number]],$S:$S, "BJ And dev",$AD:$AD, "&lt;&gt;IntegratorValidationComment"))</f>
        <v/>
      </c>
      <c r="AA1899" s="7" t="str">
        <f>IF(ISBLANK(patch[[#This Row],[project]]), "",COUNTIFS($A:$A,patch[[#This Row],[number]],$S:$S, "FL And dev",$AD:$AD, "&lt;&gt;IntegratorValidationComment"))</f>
        <v/>
      </c>
      <c r="AB1899" s="7" t="str">
        <f>IF(ISBLANK(patch[[#This Row],[project]]), "",COUNTIFS($A:$A,patch[[#This Row],[number]],$S:$S, "SH And dev",$AD:$AD, "&lt;&gt;IntegratorValidationComment"))</f>
        <v/>
      </c>
      <c r="AC1899" s="7" t="str">
        <f>IF(OR(ISNUMBER(FIND("Review-1", patch[[#This Row],[comments]])), ISNUMBER(FIND("Approver-1", patch[[#This Row],[comments]]))), "Review-1", "")</f>
        <v/>
      </c>
      <c r="AD18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899" s="7">
        <f>IF(ISBLANK(patch[[#This Row],[number]]),AE1898,patch[[#This Row],[ifCommon]])</f>
        <v>0</v>
      </c>
    </row>
    <row r="1900" spans="1:31">
      <c r="A1900" s="151">
        <v>144203</v>
      </c>
      <c r="B1900" s="151" t="s">
        <v>2490</v>
      </c>
      <c r="C1900" s="151" t="s">
        <v>2491</v>
      </c>
      <c r="D1900" s="151" t="s">
        <v>3355</v>
      </c>
      <c r="E1900" s="151" t="s">
        <v>72</v>
      </c>
      <c r="F1900" s="151" t="s">
        <v>23</v>
      </c>
      <c r="G1900" s="151" t="s">
        <v>3356</v>
      </c>
      <c r="H1900" s="151" t="s">
        <v>3357</v>
      </c>
      <c r="I1900" s="152">
        <v>42622.152951388889</v>
      </c>
      <c r="J1900" s="152">
        <v>42625.709039351852</v>
      </c>
      <c r="K1900" s="151" t="s">
        <v>2445</v>
      </c>
      <c r="L1900" s="151" t="s">
        <v>72</v>
      </c>
      <c r="M1900" s="152">
        <v>42622.152951388889</v>
      </c>
      <c r="N1900" s="151" t="s">
        <v>25</v>
      </c>
      <c r="O1900" s="151"/>
      <c r="P1900" s="151" t="s">
        <v>3516</v>
      </c>
      <c r="Q1900" s="7" t="str">
        <f>IF(ISBLANK(patch[[#This Row],[OwnerEmail]]),Q1899,patch[[#This Row],[OwnerEmail]])</f>
        <v>bin.b.yang@intel.com</v>
      </c>
      <c r="R1900" s="7" t="str">
        <f>_xlfn.IFNA(VLOOKUP(patch[[#This Row],[tmp-owner.email]],OrgTree!$A:$K, 11, 0), "not ICG SWFW")</f>
        <v>BJ And dev</v>
      </c>
      <c r="S1900" s="7" t="str">
        <f>IF(patch[[#This Row],[reviewer]]=patch[[#This Row],[tmp-owner.email]], "author", _xlfn.IFNA(VLOOKUP(patch[[#This Row],[reviewer]],OrgTree!$A:$K, 11, 0), "not ICG SWFW"))</f>
        <v>author</v>
      </c>
      <c r="T1900" s="7" t="str">
        <f>IF(ISBLANK(patch[[#This Row],[mergeDate]]), "", MID(YEAR(patch[[#This Row],[mergeDate]]), 3,2)&amp;"'ww"&amp;WEEKNUM(patch[[#This Row],[mergeDate]]))</f>
        <v>16'ww38</v>
      </c>
      <c r="U1900" s="7" t="str">
        <f>IF(ISBLANK(patch[[#This Row],[mergeDate]]), U1899, MID(YEAR(patch[[#This Row],[mergeDate]]), 3,2)&amp;"'m"&amp;MONTH(patch[[#This Row],[mergeDate]]))</f>
        <v>16'm9</v>
      </c>
      <c r="V1900" s="7">
        <f>IF(ISBLANK(patch[[#This Row],[project]]), "",SUM(patch[[#This Row],[BJ -1 num]:[SH -1 num]]))</f>
        <v>2</v>
      </c>
      <c r="W1900" s="7">
        <f>IF(ISBLANK(patch[[#This Row],[project]]), "",COUNTIFS($A:$A,patch[[#This Row],[number]],$S:$S, "BJ And dev",$AC:$AC, "Review-1"))</f>
        <v>2</v>
      </c>
      <c r="X1900" s="7">
        <f>IF(ISBLANK(patch[[#This Row],[project]]), "",COUNTIFS($A:$A,patch[[#This Row],[number]],$S:$S, "FL And dev",$AC:$AC, "Review-1"))</f>
        <v>0</v>
      </c>
      <c r="Y1900" s="7">
        <f>IF(ISBLANK(patch[[#This Row],[project]]), "",COUNTIFS($A:$A,patch[[#This Row],[number]],$S:$S, "SH And dev",$AC:$AC, "Review-1"))</f>
        <v>0</v>
      </c>
      <c r="Z1900" s="7">
        <f>IF(ISBLANK(patch[[#This Row],[project]]), "",COUNTIFS($A:$A,patch[[#This Row],[number]],$S:$S, "BJ And dev",$AD:$AD, "&lt;&gt;IntegratorValidationComment"))</f>
        <v>14</v>
      </c>
      <c r="AA1900" s="7">
        <f>IF(ISBLANK(patch[[#This Row],[project]]), "",COUNTIFS($A:$A,patch[[#This Row],[number]],$S:$S, "FL And dev",$AD:$AD, "&lt;&gt;IntegratorValidationComment"))</f>
        <v>0</v>
      </c>
      <c r="AB1900" s="7">
        <f>IF(ISBLANK(patch[[#This Row],[project]]), "",COUNTIFS($A:$A,patch[[#This Row],[number]],$S:$S, "SH And dev",$AD:$AD, "&lt;&gt;IntegratorValidationComment"))</f>
        <v>0</v>
      </c>
      <c r="AC1900" s="7" t="str">
        <f>IF(OR(ISNUMBER(FIND("Review-1", patch[[#This Row],[comments]])), ISNUMBER(FIND("Approver-1", patch[[#This Row],[comments]]))), "Review-1", "")</f>
        <v/>
      </c>
      <c r="AD19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00" s="7" t="str">
        <f>IF(ISBLANK(patch[[#This Row],[number]]),AE1899,patch[[#This Row],[ifCommon]])</f>
        <v>not AndrHAL</v>
      </c>
    </row>
    <row r="1901" spans="1:31">
      <c r="A1901" s="151">
        <v>144203</v>
      </c>
      <c r="B1901" s="151"/>
      <c r="C1901" s="151"/>
      <c r="D1901" s="151"/>
      <c r="E1901" s="151"/>
      <c r="F1901" s="151"/>
      <c r="G1901" s="151"/>
      <c r="H1901" s="151"/>
      <c r="I1901" s="151"/>
      <c r="J1901" s="152">
        <v>42625.709039351852</v>
      </c>
      <c r="K1901" s="151"/>
      <c r="L1901" s="151" t="s">
        <v>72</v>
      </c>
      <c r="M1901" s="152">
        <v>42622.152962962973</v>
      </c>
      <c r="N1901" s="151" t="s">
        <v>2428</v>
      </c>
      <c r="O1901" s="151"/>
      <c r="P1901" s="151"/>
      <c r="Q1901" s="7" t="str">
        <f>IF(ISBLANK(patch[[#This Row],[OwnerEmail]]),Q1900,patch[[#This Row],[OwnerEmail]])</f>
        <v>bin.b.yang@intel.com</v>
      </c>
      <c r="R1901" s="7" t="str">
        <f>_xlfn.IFNA(VLOOKUP(patch[[#This Row],[tmp-owner.email]],OrgTree!$A:$K, 11, 0), "not ICG SWFW")</f>
        <v>BJ And dev</v>
      </c>
      <c r="S1901" s="7" t="str">
        <f>IF(patch[[#This Row],[reviewer]]=patch[[#This Row],[tmp-owner.email]], "author", _xlfn.IFNA(VLOOKUP(patch[[#This Row],[reviewer]],OrgTree!$A:$K, 11, 0), "not ICG SWFW"))</f>
        <v>author</v>
      </c>
      <c r="T1901" s="7" t="str">
        <f>IF(ISBLANK(patch[[#This Row],[mergeDate]]), "", MID(YEAR(patch[[#This Row],[mergeDate]]), 3,2)&amp;"'ww"&amp;WEEKNUM(patch[[#This Row],[mergeDate]]))</f>
        <v>16'ww38</v>
      </c>
      <c r="U1901" s="7" t="str">
        <f>IF(ISBLANK(patch[[#This Row],[mergeDate]]), U1900, MID(YEAR(patch[[#This Row],[mergeDate]]), 3,2)&amp;"'m"&amp;MONTH(patch[[#This Row],[mergeDate]]))</f>
        <v>16'm9</v>
      </c>
      <c r="V1901" s="7" t="str">
        <f>IF(ISBLANK(patch[[#This Row],[project]]), "",SUM(patch[[#This Row],[BJ -1 num]:[SH -1 num]]))</f>
        <v/>
      </c>
      <c r="W1901" s="7" t="str">
        <f>IF(ISBLANK(patch[[#This Row],[project]]), "",COUNTIFS($A:$A,patch[[#This Row],[number]],$S:$S, "BJ And dev",$AC:$AC, "Review-1"))</f>
        <v/>
      </c>
      <c r="X1901" s="7" t="str">
        <f>IF(ISBLANK(patch[[#This Row],[project]]), "",COUNTIFS($A:$A,patch[[#This Row],[number]],$S:$S, "FL And dev",$AC:$AC, "Review-1"))</f>
        <v/>
      </c>
      <c r="Y1901" s="7" t="str">
        <f>IF(ISBLANK(patch[[#This Row],[project]]), "",COUNTIFS($A:$A,patch[[#This Row],[number]],$S:$S, "SH And dev",$AC:$AC, "Review-1"))</f>
        <v/>
      </c>
      <c r="Z1901" s="7" t="str">
        <f>IF(ISBLANK(patch[[#This Row],[project]]), "",COUNTIFS($A:$A,patch[[#This Row],[number]],$S:$S, "BJ And dev",$AD:$AD, "&lt;&gt;IntegratorValidationComment"))</f>
        <v/>
      </c>
      <c r="AA1901" s="7" t="str">
        <f>IF(ISBLANK(patch[[#This Row],[project]]), "",COUNTIFS($A:$A,patch[[#This Row],[number]],$S:$S, "FL And dev",$AD:$AD, "&lt;&gt;IntegratorValidationComment"))</f>
        <v/>
      </c>
      <c r="AB1901" s="7" t="str">
        <f>IF(ISBLANK(patch[[#This Row],[project]]), "",COUNTIFS($A:$A,patch[[#This Row],[number]],$S:$S, "SH And dev",$AD:$AD, "&lt;&gt;IntegratorValidationComment"))</f>
        <v/>
      </c>
      <c r="AC1901" s="7" t="str">
        <f>IF(OR(ISNUMBER(FIND("Review-1", patch[[#This Row],[comments]])), ISNUMBER(FIND("Approver-1", patch[[#This Row],[comments]]))), "Review-1", "")</f>
        <v/>
      </c>
      <c r="AD19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01" s="7">
        <f>IF(ISBLANK(patch[[#This Row],[number]]),AE1900,patch[[#This Row],[ifCommon]])</f>
        <v>0</v>
      </c>
    </row>
    <row r="1902" spans="1:31">
      <c r="A1902" s="151">
        <v>144203</v>
      </c>
      <c r="B1902" s="151"/>
      <c r="C1902" s="151"/>
      <c r="D1902" s="151"/>
      <c r="E1902" s="151"/>
      <c r="F1902" s="151"/>
      <c r="G1902" s="151"/>
      <c r="H1902" s="151"/>
      <c r="I1902" s="151"/>
      <c r="J1902" s="152">
        <v>42625.709039351852</v>
      </c>
      <c r="K1902" s="151"/>
      <c r="L1902" s="151" t="s">
        <v>3371</v>
      </c>
      <c r="M1902" s="152">
        <v>42622.155081018522</v>
      </c>
      <c r="N1902" s="151" t="s">
        <v>40</v>
      </c>
      <c r="O1902" s="151"/>
      <c r="P1902" s="151"/>
      <c r="Q1902" s="7" t="str">
        <f>IF(ISBLANK(patch[[#This Row],[OwnerEmail]]),Q1901,patch[[#This Row],[OwnerEmail]])</f>
        <v>bin.b.yang@intel.com</v>
      </c>
      <c r="R1902" s="7" t="str">
        <f>_xlfn.IFNA(VLOOKUP(patch[[#This Row],[tmp-owner.email]],OrgTree!$A:$K, 11, 0), "not ICG SWFW")</f>
        <v>BJ And dev</v>
      </c>
      <c r="S1902" s="7" t="str">
        <f>IF(patch[[#This Row],[reviewer]]=patch[[#This Row],[tmp-owner.email]], "author", _xlfn.IFNA(VLOOKUP(patch[[#This Row],[reviewer]],OrgTree!$A:$K, 11, 0), "not ICG SWFW"))</f>
        <v>not ICG SWFW</v>
      </c>
      <c r="T1902" s="7" t="str">
        <f>IF(ISBLANK(patch[[#This Row],[mergeDate]]), "", MID(YEAR(patch[[#This Row],[mergeDate]]), 3,2)&amp;"'ww"&amp;WEEKNUM(patch[[#This Row],[mergeDate]]))</f>
        <v>16'ww38</v>
      </c>
      <c r="U1902" s="7" t="str">
        <f>IF(ISBLANK(patch[[#This Row],[mergeDate]]), U1901, MID(YEAR(patch[[#This Row],[mergeDate]]), 3,2)&amp;"'m"&amp;MONTH(patch[[#This Row],[mergeDate]]))</f>
        <v>16'm9</v>
      </c>
      <c r="V1902" s="7" t="str">
        <f>IF(ISBLANK(patch[[#This Row],[project]]), "",SUM(patch[[#This Row],[BJ -1 num]:[SH -1 num]]))</f>
        <v/>
      </c>
      <c r="W1902" s="7" t="str">
        <f>IF(ISBLANK(patch[[#This Row],[project]]), "",COUNTIFS($A:$A,patch[[#This Row],[number]],$S:$S, "BJ And dev",$AC:$AC, "Review-1"))</f>
        <v/>
      </c>
      <c r="X1902" s="7" t="str">
        <f>IF(ISBLANK(patch[[#This Row],[project]]), "",COUNTIFS($A:$A,patch[[#This Row],[number]],$S:$S, "FL And dev",$AC:$AC, "Review-1"))</f>
        <v/>
      </c>
      <c r="Y1902" s="7" t="str">
        <f>IF(ISBLANK(patch[[#This Row],[project]]), "",COUNTIFS($A:$A,patch[[#This Row],[number]],$S:$S, "SH And dev",$AC:$AC, "Review-1"))</f>
        <v/>
      </c>
      <c r="Z1902" s="7" t="str">
        <f>IF(ISBLANK(patch[[#This Row],[project]]), "",COUNTIFS($A:$A,patch[[#This Row],[number]],$S:$S, "BJ And dev",$AD:$AD, "&lt;&gt;IntegratorValidationComment"))</f>
        <v/>
      </c>
      <c r="AA1902" s="7" t="str">
        <f>IF(ISBLANK(patch[[#This Row],[project]]), "",COUNTIFS($A:$A,patch[[#This Row],[number]],$S:$S, "FL And dev",$AD:$AD, "&lt;&gt;IntegratorValidationComment"))</f>
        <v/>
      </c>
      <c r="AB1902" s="7" t="str">
        <f>IF(ISBLANK(patch[[#This Row],[project]]), "",COUNTIFS($A:$A,patch[[#This Row],[number]],$S:$S, "SH And dev",$AD:$AD, "&lt;&gt;IntegratorValidationComment"))</f>
        <v/>
      </c>
      <c r="AC1902" s="7" t="str">
        <f>IF(OR(ISNUMBER(FIND("Review-1", patch[[#This Row],[comments]])), ISNUMBER(FIND("Approver-1", patch[[#This Row],[comments]]))), "Review-1", "")</f>
        <v/>
      </c>
      <c r="AD19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02" s="7">
        <f>IF(ISBLANK(patch[[#This Row],[number]]),AE1901,patch[[#This Row],[ifCommon]])</f>
        <v>0</v>
      </c>
    </row>
    <row r="1903" spans="1:31">
      <c r="A1903" s="151">
        <v>144203</v>
      </c>
      <c r="B1903" s="151"/>
      <c r="C1903" s="151"/>
      <c r="D1903" s="151"/>
      <c r="E1903" s="151"/>
      <c r="F1903" s="151"/>
      <c r="G1903" s="151"/>
      <c r="H1903" s="151"/>
      <c r="I1903" s="151"/>
      <c r="J1903" s="152">
        <v>42625.709039351852</v>
      </c>
      <c r="K1903" s="151"/>
      <c r="L1903" s="151" t="s">
        <v>59</v>
      </c>
      <c r="M1903" s="152">
        <v>42622.378136574072</v>
      </c>
      <c r="N1903" s="151" t="s">
        <v>3517</v>
      </c>
      <c r="O1903" s="151"/>
      <c r="P1903" s="151"/>
      <c r="Q1903" s="7" t="str">
        <f>IF(ISBLANK(patch[[#This Row],[OwnerEmail]]),Q1902,patch[[#This Row],[OwnerEmail]])</f>
        <v>bin.b.yang@intel.com</v>
      </c>
      <c r="R1903" s="7" t="str">
        <f>_xlfn.IFNA(VLOOKUP(patch[[#This Row],[tmp-owner.email]],OrgTree!$A:$K, 11, 0), "not ICG SWFW")</f>
        <v>BJ And dev</v>
      </c>
      <c r="S1903" s="7" t="str">
        <f>IF(patch[[#This Row],[reviewer]]=patch[[#This Row],[tmp-owner.email]], "author", _xlfn.IFNA(VLOOKUP(patch[[#This Row],[reviewer]],OrgTree!$A:$K, 11, 0), "not ICG SWFW"))</f>
        <v>BJ And dev</v>
      </c>
      <c r="T1903" s="7" t="str">
        <f>IF(ISBLANK(patch[[#This Row],[mergeDate]]), "", MID(YEAR(patch[[#This Row],[mergeDate]]), 3,2)&amp;"'ww"&amp;WEEKNUM(patch[[#This Row],[mergeDate]]))</f>
        <v>16'ww38</v>
      </c>
      <c r="U1903" s="7" t="str">
        <f>IF(ISBLANK(patch[[#This Row],[mergeDate]]), U1902, MID(YEAR(patch[[#This Row],[mergeDate]]), 3,2)&amp;"'m"&amp;MONTH(patch[[#This Row],[mergeDate]]))</f>
        <v>16'm9</v>
      </c>
      <c r="V1903" s="7" t="str">
        <f>IF(ISBLANK(patch[[#This Row],[project]]), "",SUM(patch[[#This Row],[BJ -1 num]:[SH -1 num]]))</f>
        <v/>
      </c>
      <c r="W1903" s="7" t="str">
        <f>IF(ISBLANK(patch[[#This Row],[project]]), "",COUNTIFS($A:$A,patch[[#This Row],[number]],$S:$S, "BJ And dev",$AC:$AC, "Review-1"))</f>
        <v/>
      </c>
      <c r="X1903" s="7" t="str">
        <f>IF(ISBLANK(patch[[#This Row],[project]]), "",COUNTIFS($A:$A,patch[[#This Row],[number]],$S:$S, "FL And dev",$AC:$AC, "Review-1"))</f>
        <v/>
      </c>
      <c r="Y1903" s="7" t="str">
        <f>IF(ISBLANK(patch[[#This Row],[project]]), "",COUNTIFS($A:$A,patch[[#This Row],[number]],$S:$S, "SH And dev",$AC:$AC, "Review-1"))</f>
        <v/>
      </c>
      <c r="Z1903" s="7" t="str">
        <f>IF(ISBLANK(patch[[#This Row],[project]]), "",COUNTIFS($A:$A,patch[[#This Row],[number]],$S:$S, "BJ And dev",$AD:$AD, "&lt;&gt;IntegratorValidationComment"))</f>
        <v/>
      </c>
      <c r="AA1903" s="7" t="str">
        <f>IF(ISBLANK(patch[[#This Row],[project]]), "",COUNTIFS($A:$A,patch[[#This Row],[number]],$S:$S, "FL And dev",$AD:$AD, "&lt;&gt;IntegratorValidationComment"))</f>
        <v/>
      </c>
      <c r="AB1903" s="7" t="str">
        <f>IF(ISBLANK(patch[[#This Row],[project]]), "",COUNTIFS($A:$A,patch[[#This Row],[number]],$S:$S, "SH And dev",$AD:$AD, "&lt;&gt;IntegratorValidationComment"))</f>
        <v/>
      </c>
      <c r="AC1903" s="7" t="str">
        <f>IF(OR(ISNUMBER(FIND("Review-1", patch[[#This Row],[comments]])), ISNUMBER(FIND("Approver-1", patch[[#This Row],[comments]]))), "Review-1", "")</f>
        <v/>
      </c>
      <c r="AD19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03" s="7">
        <f>IF(ISBLANK(patch[[#This Row],[number]]),AE1902,patch[[#This Row],[ifCommon]])</f>
        <v>0</v>
      </c>
    </row>
    <row r="1904" spans="1:31">
      <c r="A1904" s="151">
        <v>144203</v>
      </c>
      <c r="B1904" s="151"/>
      <c r="C1904" s="151"/>
      <c r="D1904" s="151"/>
      <c r="E1904" s="151"/>
      <c r="F1904" s="151"/>
      <c r="G1904" s="151"/>
      <c r="H1904" s="151"/>
      <c r="I1904" s="151"/>
      <c r="J1904" s="152">
        <v>42625.709039351852</v>
      </c>
      <c r="K1904" s="151"/>
      <c r="L1904" s="151" t="s">
        <v>59</v>
      </c>
      <c r="M1904" s="152">
        <v>42622.387939814813</v>
      </c>
      <c r="N1904" s="151" t="s">
        <v>3518</v>
      </c>
      <c r="O1904" s="151"/>
      <c r="P1904" s="151"/>
      <c r="Q1904" s="7" t="str">
        <f>IF(ISBLANK(patch[[#This Row],[OwnerEmail]]),Q1903,patch[[#This Row],[OwnerEmail]])</f>
        <v>bin.b.yang@intel.com</v>
      </c>
      <c r="R1904" s="7" t="str">
        <f>_xlfn.IFNA(VLOOKUP(patch[[#This Row],[tmp-owner.email]],OrgTree!$A:$K, 11, 0), "not ICG SWFW")</f>
        <v>BJ And dev</v>
      </c>
      <c r="S1904" s="7" t="str">
        <f>IF(patch[[#This Row],[reviewer]]=patch[[#This Row],[tmp-owner.email]], "author", _xlfn.IFNA(VLOOKUP(patch[[#This Row],[reviewer]],OrgTree!$A:$K, 11, 0), "not ICG SWFW"))</f>
        <v>BJ And dev</v>
      </c>
      <c r="T1904" s="7" t="str">
        <f>IF(ISBLANK(patch[[#This Row],[mergeDate]]), "", MID(YEAR(patch[[#This Row],[mergeDate]]), 3,2)&amp;"'ww"&amp;WEEKNUM(patch[[#This Row],[mergeDate]]))</f>
        <v>16'ww38</v>
      </c>
      <c r="U1904" s="7" t="str">
        <f>IF(ISBLANK(patch[[#This Row],[mergeDate]]), U1903, MID(YEAR(patch[[#This Row],[mergeDate]]), 3,2)&amp;"'m"&amp;MONTH(patch[[#This Row],[mergeDate]]))</f>
        <v>16'm9</v>
      </c>
      <c r="V1904" s="7" t="str">
        <f>IF(ISBLANK(patch[[#This Row],[project]]), "",SUM(patch[[#This Row],[BJ -1 num]:[SH -1 num]]))</f>
        <v/>
      </c>
      <c r="W1904" s="7" t="str">
        <f>IF(ISBLANK(patch[[#This Row],[project]]), "",COUNTIFS($A:$A,patch[[#This Row],[number]],$S:$S, "BJ And dev",$AC:$AC, "Review-1"))</f>
        <v/>
      </c>
      <c r="X1904" s="7" t="str">
        <f>IF(ISBLANK(patch[[#This Row],[project]]), "",COUNTIFS($A:$A,patch[[#This Row],[number]],$S:$S, "FL And dev",$AC:$AC, "Review-1"))</f>
        <v/>
      </c>
      <c r="Y1904" s="7" t="str">
        <f>IF(ISBLANK(patch[[#This Row],[project]]), "",COUNTIFS($A:$A,patch[[#This Row],[number]],$S:$S, "SH And dev",$AC:$AC, "Review-1"))</f>
        <v/>
      </c>
      <c r="Z1904" s="7" t="str">
        <f>IF(ISBLANK(patch[[#This Row],[project]]), "",COUNTIFS($A:$A,patch[[#This Row],[number]],$S:$S, "BJ And dev",$AD:$AD, "&lt;&gt;IntegratorValidationComment"))</f>
        <v/>
      </c>
      <c r="AA1904" s="7" t="str">
        <f>IF(ISBLANK(patch[[#This Row],[project]]), "",COUNTIFS($A:$A,patch[[#This Row],[number]],$S:$S, "FL And dev",$AD:$AD, "&lt;&gt;IntegratorValidationComment"))</f>
        <v/>
      </c>
      <c r="AB1904" s="7" t="str">
        <f>IF(ISBLANK(patch[[#This Row],[project]]), "",COUNTIFS($A:$A,patch[[#This Row],[number]],$S:$S, "SH And dev",$AD:$AD, "&lt;&gt;IntegratorValidationComment"))</f>
        <v/>
      </c>
      <c r="AC1904" s="7" t="str">
        <f>IF(OR(ISNUMBER(FIND("Review-1", patch[[#This Row],[comments]])), ISNUMBER(FIND("Approver-1", patch[[#This Row],[comments]]))), "Review-1", "")</f>
        <v/>
      </c>
      <c r="AD19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04" s="7">
        <f>IF(ISBLANK(patch[[#This Row],[number]]),AE1903,patch[[#This Row],[ifCommon]])</f>
        <v>0</v>
      </c>
    </row>
    <row r="1905" spans="1:31">
      <c r="A1905" s="151">
        <v>144203</v>
      </c>
      <c r="B1905" s="151"/>
      <c r="C1905" s="151"/>
      <c r="D1905" s="151"/>
      <c r="E1905" s="151"/>
      <c r="F1905" s="151"/>
      <c r="G1905" s="151"/>
      <c r="H1905" s="151"/>
      <c r="I1905" s="151"/>
      <c r="J1905" s="152">
        <v>42625.709039351852</v>
      </c>
      <c r="K1905" s="151"/>
      <c r="L1905" s="151" t="s">
        <v>32</v>
      </c>
      <c r="M1905" s="152">
        <v>42622.464537037027</v>
      </c>
      <c r="N1905" s="151" t="s">
        <v>3519</v>
      </c>
      <c r="O1905" s="151"/>
      <c r="P1905" s="151"/>
      <c r="Q1905" s="7" t="str">
        <f>IF(ISBLANK(patch[[#This Row],[OwnerEmail]]),Q1904,patch[[#This Row],[OwnerEmail]])</f>
        <v>bin.b.yang@intel.com</v>
      </c>
      <c r="R1905" s="7" t="str">
        <f>_xlfn.IFNA(VLOOKUP(patch[[#This Row],[tmp-owner.email]],OrgTree!$A:$K, 11, 0), "not ICG SWFW")</f>
        <v>BJ And dev</v>
      </c>
      <c r="S1905" s="7" t="str">
        <f>IF(patch[[#This Row],[reviewer]]=patch[[#This Row],[tmp-owner.email]], "author", _xlfn.IFNA(VLOOKUP(patch[[#This Row],[reviewer]],OrgTree!$A:$K, 11, 0), "not ICG SWFW"))</f>
        <v>BJ And dev</v>
      </c>
      <c r="T1905" s="7" t="str">
        <f>IF(ISBLANK(patch[[#This Row],[mergeDate]]), "", MID(YEAR(patch[[#This Row],[mergeDate]]), 3,2)&amp;"'ww"&amp;WEEKNUM(patch[[#This Row],[mergeDate]]))</f>
        <v>16'ww38</v>
      </c>
      <c r="U1905" s="7" t="str">
        <f>IF(ISBLANK(patch[[#This Row],[mergeDate]]), U1904, MID(YEAR(patch[[#This Row],[mergeDate]]), 3,2)&amp;"'m"&amp;MONTH(patch[[#This Row],[mergeDate]]))</f>
        <v>16'm9</v>
      </c>
      <c r="V1905" s="7" t="str">
        <f>IF(ISBLANK(patch[[#This Row],[project]]), "",SUM(patch[[#This Row],[BJ -1 num]:[SH -1 num]]))</f>
        <v/>
      </c>
      <c r="W1905" s="7" t="str">
        <f>IF(ISBLANK(patch[[#This Row],[project]]), "",COUNTIFS($A:$A,patch[[#This Row],[number]],$S:$S, "BJ And dev",$AC:$AC, "Review-1"))</f>
        <v/>
      </c>
      <c r="X1905" s="7" t="str">
        <f>IF(ISBLANK(patch[[#This Row],[project]]), "",COUNTIFS($A:$A,patch[[#This Row],[number]],$S:$S, "FL And dev",$AC:$AC, "Review-1"))</f>
        <v/>
      </c>
      <c r="Y1905" s="7" t="str">
        <f>IF(ISBLANK(patch[[#This Row],[project]]), "",COUNTIFS($A:$A,patch[[#This Row],[number]],$S:$S, "SH And dev",$AC:$AC, "Review-1"))</f>
        <v/>
      </c>
      <c r="Z1905" s="7" t="str">
        <f>IF(ISBLANK(patch[[#This Row],[project]]), "",COUNTIFS($A:$A,patch[[#This Row],[number]],$S:$S, "BJ And dev",$AD:$AD, "&lt;&gt;IntegratorValidationComment"))</f>
        <v/>
      </c>
      <c r="AA1905" s="7" t="str">
        <f>IF(ISBLANK(patch[[#This Row],[project]]), "",COUNTIFS($A:$A,patch[[#This Row],[number]],$S:$S, "FL And dev",$AD:$AD, "&lt;&gt;IntegratorValidationComment"))</f>
        <v/>
      </c>
      <c r="AB1905" s="7" t="str">
        <f>IF(ISBLANK(patch[[#This Row],[project]]), "",COUNTIFS($A:$A,patch[[#This Row],[number]],$S:$S, "SH And dev",$AD:$AD, "&lt;&gt;IntegratorValidationComment"))</f>
        <v/>
      </c>
      <c r="AC1905" s="7" t="str">
        <f>IF(OR(ISNUMBER(FIND("Review-1", patch[[#This Row],[comments]])), ISNUMBER(FIND("Approver-1", patch[[#This Row],[comments]]))), "Review-1", "")</f>
        <v>Review-1</v>
      </c>
      <c r="AD19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05" s="7">
        <f>IF(ISBLANK(patch[[#This Row],[number]]),AE1904,patch[[#This Row],[ifCommon]])</f>
        <v>0</v>
      </c>
    </row>
    <row r="1906" spans="1:31">
      <c r="A1906" s="151">
        <v>144203</v>
      </c>
      <c r="B1906" s="151"/>
      <c r="C1906" s="151"/>
      <c r="D1906" s="151"/>
      <c r="E1906" s="151"/>
      <c r="F1906" s="151"/>
      <c r="G1906" s="151"/>
      <c r="H1906" s="151"/>
      <c r="I1906" s="151"/>
      <c r="J1906" s="152">
        <v>42625.709039351852</v>
      </c>
      <c r="K1906" s="151"/>
      <c r="L1906" s="151" t="s">
        <v>2785</v>
      </c>
      <c r="M1906" s="152">
        <v>42622.475092592591</v>
      </c>
      <c r="N1906" s="151" t="s">
        <v>40</v>
      </c>
      <c r="O1906" s="151"/>
      <c r="P1906" s="151"/>
      <c r="Q1906" s="7" t="str">
        <f>IF(ISBLANK(patch[[#This Row],[OwnerEmail]]),Q1905,patch[[#This Row],[OwnerEmail]])</f>
        <v>bin.b.yang@intel.com</v>
      </c>
      <c r="R1906" s="7" t="str">
        <f>_xlfn.IFNA(VLOOKUP(patch[[#This Row],[tmp-owner.email]],OrgTree!$A:$K, 11, 0), "not ICG SWFW")</f>
        <v>BJ And dev</v>
      </c>
      <c r="S1906" s="7" t="str">
        <f>IF(patch[[#This Row],[reviewer]]=patch[[#This Row],[tmp-owner.email]], "author", _xlfn.IFNA(VLOOKUP(patch[[#This Row],[reviewer]],OrgTree!$A:$K, 11, 0), "not ICG SWFW"))</f>
        <v>not ICG SWFW</v>
      </c>
      <c r="T1906" s="7" t="str">
        <f>IF(ISBLANK(patch[[#This Row],[mergeDate]]), "", MID(YEAR(patch[[#This Row],[mergeDate]]), 3,2)&amp;"'ww"&amp;WEEKNUM(patch[[#This Row],[mergeDate]]))</f>
        <v>16'ww38</v>
      </c>
      <c r="U1906" s="7" t="str">
        <f>IF(ISBLANK(patch[[#This Row],[mergeDate]]), U1905, MID(YEAR(patch[[#This Row],[mergeDate]]), 3,2)&amp;"'m"&amp;MONTH(patch[[#This Row],[mergeDate]]))</f>
        <v>16'm9</v>
      </c>
      <c r="V1906" s="7" t="str">
        <f>IF(ISBLANK(patch[[#This Row],[project]]), "",SUM(patch[[#This Row],[BJ -1 num]:[SH -1 num]]))</f>
        <v/>
      </c>
      <c r="W1906" s="7" t="str">
        <f>IF(ISBLANK(patch[[#This Row],[project]]), "",COUNTIFS($A:$A,patch[[#This Row],[number]],$S:$S, "BJ And dev",$AC:$AC, "Review-1"))</f>
        <v/>
      </c>
      <c r="X1906" s="7" t="str">
        <f>IF(ISBLANK(patch[[#This Row],[project]]), "",COUNTIFS($A:$A,patch[[#This Row],[number]],$S:$S, "FL And dev",$AC:$AC, "Review-1"))</f>
        <v/>
      </c>
      <c r="Y1906" s="7" t="str">
        <f>IF(ISBLANK(patch[[#This Row],[project]]), "",COUNTIFS($A:$A,patch[[#This Row],[number]],$S:$S, "SH And dev",$AC:$AC, "Review-1"))</f>
        <v/>
      </c>
      <c r="Z1906" s="7" t="str">
        <f>IF(ISBLANK(patch[[#This Row],[project]]), "",COUNTIFS($A:$A,patch[[#This Row],[number]],$S:$S, "BJ And dev",$AD:$AD, "&lt;&gt;IntegratorValidationComment"))</f>
        <v/>
      </c>
      <c r="AA1906" s="7" t="str">
        <f>IF(ISBLANK(patch[[#This Row],[project]]), "",COUNTIFS($A:$A,patch[[#This Row],[number]],$S:$S, "FL And dev",$AD:$AD, "&lt;&gt;IntegratorValidationComment"))</f>
        <v/>
      </c>
      <c r="AB1906" s="7" t="str">
        <f>IF(ISBLANK(patch[[#This Row],[project]]), "",COUNTIFS($A:$A,patch[[#This Row],[number]],$S:$S, "SH And dev",$AD:$AD, "&lt;&gt;IntegratorValidationComment"))</f>
        <v/>
      </c>
      <c r="AC1906" s="7" t="str">
        <f>IF(OR(ISNUMBER(FIND("Review-1", patch[[#This Row],[comments]])), ISNUMBER(FIND("Approver-1", patch[[#This Row],[comments]]))), "Review-1", "")</f>
        <v/>
      </c>
      <c r="AD19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06" s="7">
        <f>IF(ISBLANK(patch[[#This Row],[number]]),AE1905,patch[[#This Row],[ifCommon]])</f>
        <v>0</v>
      </c>
    </row>
    <row r="1907" spans="1:31">
      <c r="A1907" s="151">
        <v>144203</v>
      </c>
      <c r="B1907" s="151"/>
      <c r="C1907" s="151"/>
      <c r="D1907" s="151"/>
      <c r="E1907" s="151"/>
      <c r="F1907" s="151"/>
      <c r="G1907" s="151"/>
      <c r="H1907" s="151"/>
      <c r="I1907" s="151"/>
      <c r="J1907" s="152">
        <v>42625.709039351852</v>
      </c>
      <c r="K1907" s="151"/>
      <c r="L1907" s="151" t="s">
        <v>72</v>
      </c>
      <c r="M1907" s="152">
        <v>42622.479594907411</v>
      </c>
      <c r="N1907" s="151" t="s">
        <v>2456</v>
      </c>
      <c r="O1907" s="151"/>
      <c r="P1907" s="151"/>
      <c r="Q1907" s="7" t="str">
        <f>IF(ISBLANK(patch[[#This Row],[OwnerEmail]]),Q1906,patch[[#This Row],[OwnerEmail]])</f>
        <v>bin.b.yang@intel.com</v>
      </c>
      <c r="R1907" s="7" t="str">
        <f>_xlfn.IFNA(VLOOKUP(patch[[#This Row],[tmp-owner.email]],OrgTree!$A:$K, 11, 0), "not ICG SWFW")</f>
        <v>BJ And dev</v>
      </c>
      <c r="S1907" s="7" t="str">
        <f>IF(patch[[#This Row],[reviewer]]=patch[[#This Row],[tmp-owner.email]], "author", _xlfn.IFNA(VLOOKUP(patch[[#This Row],[reviewer]],OrgTree!$A:$K, 11, 0), "not ICG SWFW"))</f>
        <v>author</v>
      </c>
      <c r="T1907" s="7" t="str">
        <f>IF(ISBLANK(patch[[#This Row],[mergeDate]]), "", MID(YEAR(patch[[#This Row],[mergeDate]]), 3,2)&amp;"'ww"&amp;WEEKNUM(patch[[#This Row],[mergeDate]]))</f>
        <v>16'ww38</v>
      </c>
      <c r="U1907" s="7" t="str">
        <f>IF(ISBLANK(patch[[#This Row],[mergeDate]]), U1906, MID(YEAR(patch[[#This Row],[mergeDate]]), 3,2)&amp;"'m"&amp;MONTH(patch[[#This Row],[mergeDate]]))</f>
        <v>16'm9</v>
      </c>
      <c r="V1907" s="7" t="str">
        <f>IF(ISBLANK(patch[[#This Row],[project]]), "",SUM(patch[[#This Row],[BJ -1 num]:[SH -1 num]]))</f>
        <v/>
      </c>
      <c r="W1907" s="7" t="str">
        <f>IF(ISBLANK(patch[[#This Row],[project]]), "",COUNTIFS($A:$A,patch[[#This Row],[number]],$S:$S, "BJ And dev",$AC:$AC, "Review-1"))</f>
        <v/>
      </c>
      <c r="X1907" s="7" t="str">
        <f>IF(ISBLANK(patch[[#This Row],[project]]), "",COUNTIFS($A:$A,patch[[#This Row],[number]],$S:$S, "FL And dev",$AC:$AC, "Review-1"))</f>
        <v/>
      </c>
      <c r="Y1907" s="7" t="str">
        <f>IF(ISBLANK(patch[[#This Row],[project]]), "",COUNTIFS($A:$A,patch[[#This Row],[number]],$S:$S, "SH And dev",$AC:$AC, "Review-1"))</f>
        <v/>
      </c>
      <c r="Z1907" s="7" t="str">
        <f>IF(ISBLANK(patch[[#This Row],[project]]), "",COUNTIFS($A:$A,patch[[#This Row],[number]],$S:$S, "BJ And dev",$AD:$AD, "&lt;&gt;IntegratorValidationComment"))</f>
        <v/>
      </c>
      <c r="AA1907" s="7" t="str">
        <f>IF(ISBLANK(patch[[#This Row],[project]]), "",COUNTIFS($A:$A,patch[[#This Row],[number]],$S:$S, "FL And dev",$AD:$AD, "&lt;&gt;IntegratorValidationComment"))</f>
        <v/>
      </c>
      <c r="AB1907" s="7" t="str">
        <f>IF(ISBLANK(patch[[#This Row],[project]]), "",COUNTIFS($A:$A,patch[[#This Row],[number]],$S:$S, "SH And dev",$AD:$AD, "&lt;&gt;IntegratorValidationComment"))</f>
        <v/>
      </c>
      <c r="AC1907" s="7" t="str">
        <f>IF(OR(ISNUMBER(FIND("Review-1", patch[[#This Row],[comments]])), ISNUMBER(FIND("Approver-1", patch[[#This Row],[comments]]))), "Review-1", "")</f>
        <v/>
      </c>
      <c r="AD19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07" s="7">
        <f>IF(ISBLANK(patch[[#This Row],[number]]),AE1906,patch[[#This Row],[ifCommon]])</f>
        <v>0</v>
      </c>
    </row>
    <row r="1908" spans="1:31">
      <c r="A1908" s="151">
        <v>144203</v>
      </c>
      <c r="B1908" s="151"/>
      <c r="C1908" s="151"/>
      <c r="D1908" s="151"/>
      <c r="E1908" s="151"/>
      <c r="F1908" s="151"/>
      <c r="G1908" s="151"/>
      <c r="H1908" s="151"/>
      <c r="I1908" s="151"/>
      <c r="J1908" s="152">
        <v>42625.709039351852</v>
      </c>
      <c r="K1908" s="151"/>
      <c r="L1908" s="151" t="s">
        <v>72</v>
      </c>
      <c r="M1908" s="152">
        <v>42622.479664351849</v>
      </c>
      <c r="N1908" s="151" t="s">
        <v>2429</v>
      </c>
      <c r="O1908" s="151"/>
      <c r="P1908" s="151"/>
      <c r="Q1908" s="7" t="str">
        <f>IF(ISBLANK(patch[[#This Row],[OwnerEmail]]),Q1907,patch[[#This Row],[OwnerEmail]])</f>
        <v>bin.b.yang@intel.com</v>
      </c>
      <c r="R1908" s="7" t="str">
        <f>_xlfn.IFNA(VLOOKUP(patch[[#This Row],[tmp-owner.email]],OrgTree!$A:$K, 11, 0), "not ICG SWFW")</f>
        <v>BJ And dev</v>
      </c>
      <c r="S1908" s="7" t="str">
        <f>IF(patch[[#This Row],[reviewer]]=patch[[#This Row],[tmp-owner.email]], "author", _xlfn.IFNA(VLOOKUP(patch[[#This Row],[reviewer]],OrgTree!$A:$K, 11, 0), "not ICG SWFW"))</f>
        <v>author</v>
      </c>
      <c r="T1908" s="7" t="str">
        <f>IF(ISBLANK(patch[[#This Row],[mergeDate]]), "", MID(YEAR(patch[[#This Row],[mergeDate]]), 3,2)&amp;"'ww"&amp;WEEKNUM(patch[[#This Row],[mergeDate]]))</f>
        <v>16'ww38</v>
      </c>
      <c r="U1908" s="7" t="str">
        <f>IF(ISBLANK(patch[[#This Row],[mergeDate]]), U1907, MID(YEAR(patch[[#This Row],[mergeDate]]), 3,2)&amp;"'m"&amp;MONTH(patch[[#This Row],[mergeDate]]))</f>
        <v>16'm9</v>
      </c>
      <c r="V1908" s="7" t="str">
        <f>IF(ISBLANK(patch[[#This Row],[project]]), "",SUM(patch[[#This Row],[BJ -1 num]:[SH -1 num]]))</f>
        <v/>
      </c>
      <c r="W1908" s="7" t="str">
        <f>IF(ISBLANK(patch[[#This Row],[project]]), "",COUNTIFS($A:$A,patch[[#This Row],[number]],$S:$S, "BJ And dev",$AC:$AC, "Review-1"))</f>
        <v/>
      </c>
      <c r="X1908" s="7" t="str">
        <f>IF(ISBLANK(patch[[#This Row],[project]]), "",COUNTIFS($A:$A,patch[[#This Row],[number]],$S:$S, "FL And dev",$AC:$AC, "Review-1"))</f>
        <v/>
      </c>
      <c r="Y1908" s="7" t="str">
        <f>IF(ISBLANK(patch[[#This Row],[project]]), "",COUNTIFS($A:$A,patch[[#This Row],[number]],$S:$S, "SH And dev",$AC:$AC, "Review-1"))</f>
        <v/>
      </c>
      <c r="Z1908" s="7" t="str">
        <f>IF(ISBLANK(patch[[#This Row],[project]]), "",COUNTIFS($A:$A,patch[[#This Row],[number]],$S:$S, "BJ And dev",$AD:$AD, "&lt;&gt;IntegratorValidationComment"))</f>
        <v/>
      </c>
      <c r="AA1908" s="7" t="str">
        <f>IF(ISBLANK(patch[[#This Row],[project]]), "",COUNTIFS($A:$A,patch[[#This Row],[number]],$S:$S, "FL And dev",$AD:$AD, "&lt;&gt;IntegratorValidationComment"))</f>
        <v/>
      </c>
      <c r="AB1908" s="7" t="str">
        <f>IF(ISBLANK(patch[[#This Row],[project]]), "",COUNTIFS($A:$A,patch[[#This Row],[number]],$S:$S, "SH And dev",$AD:$AD, "&lt;&gt;IntegratorValidationComment"))</f>
        <v/>
      </c>
      <c r="AC1908" s="7" t="str">
        <f>IF(OR(ISNUMBER(FIND("Review-1", patch[[#This Row],[comments]])), ISNUMBER(FIND("Approver-1", patch[[#This Row],[comments]]))), "Review-1", "")</f>
        <v/>
      </c>
      <c r="AD19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08" s="7">
        <f>IF(ISBLANK(patch[[#This Row],[number]]),AE1907,patch[[#This Row],[ifCommon]])</f>
        <v>0</v>
      </c>
    </row>
    <row r="1909" spans="1:31">
      <c r="A1909" s="151">
        <v>144203</v>
      </c>
      <c r="B1909" s="151"/>
      <c r="C1909" s="151"/>
      <c r="D1909" s="151"/>
      <c r="E1909" s="151"/>
      <c r="F1909" s="151"/>
      <c r="G1909" s="151"/>
      <c r="H1909" s="151"/>
      <c r="I1909" s="152"/>
      <c r="J1909" s="152">
        <v>42625.709039351852</v>
      </c>
      <c r="K1909" s="151"/>
      <c r="L1909" s="151" t="s">
        <v>72</v>
      </c>
      <c r="M1909" s="152">
        <v>42622.48033564815</v>
      </c>
      <c r="N1909" s="151" t="s">
        <v>3520</v>
      </c>
      <c r="O1909" s="151"/>
      <c r="P1909" s="151"/>
      <c r="Q1909" s="7" t="str">
        <f>IF(ISBLANK(patch[[#This Row],[OwnerEmail]]),Q1908,patch[[#This Row],[OwnerEmail]])</f>
        <v>bin.b.yang@intel.com</v>
      </c>
      <c r="R1909" s="7" t="str">
        <f>_xlfn.IFNA(VLOOKUP(patch[[#This Row],[tmp-owner.email]],OrgTree!$A:$K, 11, 0), "not ICG SWFW")</f>
        <v>BJ And dev</v>
      </c>
      <c r="S1909" s="7" t="str">
        <f>IF(patch[[#This Row],[reviewer]]=patch[[#This Row],[tmp-owner.email]], "author", _xlfn.IFNA(VLOOKUP(patch[[#This Row],[reviewer]],OrgTree!$A:$K, 11, 0), "not ICG SWFW"))</f>
        <v>author</v>
      </c>
      <c r="T1909" s="7" t="str">
        <f>IF(ISBLANK(patch[[#This Row],[mergeDate]]), "", MID(YEAR(patch[[#This Row],[mergeDate]]), 3,2)&amp;"'ww"&amp;WEEKNUM(patch[[#This Row],[mergeDate]]))</f>
        <v>16'ww38</v>
      </c>
      <c r="U1909" s="7" t="str">
        <f>IF(ISBLANK(patch[[#This Row],[mergeDate]]), U1908, MID(YEAR(patch[[#This Row],[mergeDate]]), 3,2)&amp;"'m"&amp;MONTH(patch[[#This Row],[mergeDate]]))</f>
        <v>16'm9</v>
      </c>
      <c r="V1909" s="7" t="str">
        <f>IF(ISBLANK(patch[[#This Row],[project]]), "",SUM(patch[[#This Row],[BJ -1 num]:[SH -1 num]]))</f>
        <v/>
      </c>
      <c r="W1909" s="7" t="str">
        <f>IF(ISBLANK(patch[[#This Row],[project]]), "",COUNTIFS($A:$A,patch[[#This Row],[number]],$S:$S, "BJ And dev",$AC:$AC, "Review-1"))</f>
        <v/>
      </c>
      <c r="X1909" s="7" t="str">
        <f>IF(ISBLANK(patch[[#This Row],[project]]), "",COUNTIFS($A:$A,patch[[#This Row],[number]],$S:$S, "FL And dev",$AC:$AC, "Review-1"))</f>
        <v/>
      </c>
      <c r="Y1909" s="7" t="str">
        <f>IF(ISBLANK(patch[[#This Row],[project]]), "",COUNTIFS($A:$A,patch[[#This Row],[number]],$S:$S, "SH And dev",$AC:$AC, "Review-1"))</f>
        <v/>
      </c>
      <c r="Z1909" s="7" t="str">
        <f>IF(ISBLANK(patch[[#This Row],[project]]), "",COUNTIFS($A:$A,patch[[#This Row],[number]],$S:$S, "BJ And dev",$AD:$AD, "&lt;&gt;IntegratorValidationComment"))</f>
        <v/>
      </c>
      <c r="AA1909" s="7" t="str">
        <f>IF(ISBLANK(patch[[#This Row],[project]]), "",COUNTIFS($A:$A,patch[[#This Row],[number]],$S:$S, "FL And dev",$AD:$AD, "&lt;&gt;IntegratorValidationComment"))</f>
        <v/>
      </c>
      <c r="AB1909" s="7" t="str">
        <f>IF(ISBLANK(patch[[#This Row],[project]]), "",COUNTIFS($A:$A,patch[[#This Row],[number]],$S:$S, "SH And dev",$AD:$AD, "&lt;&gt;IntegratorValidationComment"))</f>
        <v/>
      </c>
      <c r="AC1909" s="7" t="str">
        <f>IF(OR(ISNUMBER(FIND("Review-1", patch[[#This Row],[comments]])), ISNUMBER(FIND("Approver-1", patch[[#This Row],[comments]]))), "Review-1", "")</f>
        <v/>
      </c>
      <c r="AD19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09" s="7">
        <f>IF(ISBLANK(patch[[#This Row],[number]]),AE1908,patch[[#This Row],[ifCommon]])</f>
        <v>0</v>
      </c>
    </row>
    <row r="1910" spans="1:31">
      <c r="A1910" s="151">
        <v>144203</v>
      </c>
      <c r="B1910" s="151"/>
      <c r="C1910" s="151"/>
      <c r="D1910" s="151"/>
      <c r="E1910" s="151"/>
      <c r="F1910" s="151"/>
      <c r="G1910" s="151"/>
      <c r="H1910" s="151"/>
      <c r="I1910" s="151"/>
      <c r="J1910" s="152">
        <v>42625.709039351852</v>
      </c>
      <c r="K1910" s="151"/>
      <c r="L1910" s="151" t="s">
        <v>59</v>
      </c>
      <c r="M1910" s="152">
        <v>42622.488240740742</v>
      </c>
      <c r="N1910" s="151" t="s">
        <v>3521</v>
      </c>
      <c r="O1910" s="151"/>
      <c r="P1910" s="151"/>
      <c r="Q1910" s="7" t="str">
        <f>IF(ISBLANK(patch[[#This Row],[OwnerEmail]]),Q1909,patch[[#This Row],[OwnerEmail]])</f>
        <v>bin.b.yang@intel.com</v>
      </c>
      <c r="R1910" s="7" t="str">
        <f>_xlfn.IFNA(VLOOKUP(patch[[#This Row],[tmp-owner.email]],OrgTree!$A:$K, 11, 0), "not ICG SWFW")</f>
        <v>BJ And dev</v>
      </c>
      <c r="S1910" s="7" t="str">
        <f>IF(patch[[#This Row],[reviewer]]=patch[[#This Row],[tmp-owner.email]], "author", _xlfn.IFNA(VLOOKUP(patch[[#This Row],[reviewer]],OrgTree!$A:$K, 11, 0), "not ICG SWFW"))</f>
        <v>BJ And dev</v>
      </c>
      <c r="T1910" s="7" t="str">
        <f>IF(ISBLANK(patch[[#This Row],[mergeDate]]), "", MID(YEAR(patch[[#This Row],[mergeDate]]), 3,2)&amp;"'ww"&amp;WEEKNUM(patch[[#This Row],[mergeDate]]))</f>
        <v>16'ww38</v>
      </c>
      <c r="U1910" s="7" t="str">
        <f>IF(ISBLANK(patch[[#This Row],[mergeDate]]), U1909, MID(YEAR(patch[[#This Row],[mergeDate]]), 3,2)&amp;"'m"&amp;MONTH(patch[[#This Row],[mergeDate]]))</f>
        <v>16'm9</v>
      </c>
      <c r="V1910" s="7" t="str">
        <f>IF(ISBLANK(patch[[#This Row],[project]]), "",SUM(patch[[#This Row],[BJ -1 num]:[SH -1 num]]))</f>
        <v/>
      </c>
      <c r="W1910" s="7" t="str">
        <f>IF(ISBLANK(patch[[#This Row],[project]]), "",COUNTIFS($A:$A,patch[[#This Row],[number]],$S:$S, "BJ And dev",$AC:$AC, "Review-1"))</f>
        <v/>
      </c>
      <c r="X1910" s="7" t="str">
        <f>IF(ISBLANK(patch[[#This Row],[project]]), "",COUNTIFS($A:$A,patch[[#This Row],[number]],$S:$S, "FL And dev",$AC:$AC, "Review-1"))</f>
        <v/>
      </c>
      <c r="Y1910" s="7" t="str">
        <f>IF(ISBLANK(patch[[#This Row],[project]]), "",COUNTIFS($A:$A,patch[[#This Row],[number]],$S:$S, "SH And dev",$AC:$AC, "Review-1"))</f>
        <v/>
      </c>
      <c r="Z1910" s="7" t="str">
        <f>IF(ISBLANK(patch[[#This Row],[project]]), "",COUNTIFS($A:$A,patch[[#This Row],[number]],$S:$S, "BJ And dev",$AD:$AD, "&lt;&gt;IntegratorValidationComment"))</f>
        <v/>
      </c>
      <c r="AA1910" s="7" t="str">
        <f>IF(ISBLANK(patch[[#This Row],[project]]), "",COUNTIFS($A:$A,patch[[#This Row],[number]],$S:$S, "FL And dev",$AD:$AD, "&lt;&gt;IntegratorValidationComment"))</f>
        <v/>
      </c>
      <c r="AB1910" s="7" t="str">
        <f>IF(ISBLANK(patch[[#This Row],[project]]), "",COUNTIFS($A:$A,patch[[#This Row],[number]],$S:$S, "SH And dev",$AD:$AD, "&lt;&gt;IntegratorValidationComment"))</f>
        <v/>
      </c>
      <c r="AC1910" s="7" t="str">
        <f>IF(OR(ISNUMBER(FIND("Review-1", patch[[#This Row],[comments]])), ISNUMBER(FIND("Approver-1", patch[[#This Row],[comments]]))), "Review-1", "")</f>
        <v/>
      </c>
      <c r="AD19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10" s="7">
        <f>IF(ISBLANK(patch[[#This Row],[number]]),AE1909,patch[[#This Row],[ifCommon]])</f>
        <v>0</v>
      </c>
    </row>
    <row r="1911" spans="1:31">
      <c r="A1911" s="151">
        <v>144203</v>
      </c>
      <c r="B1911" s="151"/>
      <c r="C1911" s="151"/>
      <c r="D1911" s="151"/>
      <c r="E1911" s="151"/>
      <c r="F1911" s="151"/>
      <c r="G1911" s="151"/>
      <c r="H1911" s="151"/>
      <c r="I1911" s="151"/>
      <c r="J1911" s="152">
        <v>42625.709039351852</v>
      </c>
      <c r="K1911" s="151"/>
      <c r="L1911" s="151" t="s">
        <v>59</v>
      </c>
      <c r="M1911" s="152">
        <v>42622.496458333328</v>
      </c>
      <c r="N1911" s="151" t="s">
        <v>3522</v>
      </c>
      <c r="O1911" s="151"/>
      <c r="P1911" s="151"/>
      <c r="Q1911" s="7" t="str">
        <f>IF(ISBLANK(patch[[#This Row],[OwnerEmail]]),Q1910,patch[[#This Row],[OwnerEmail]])</f>
        <v>bin.b.yang@intel.com</v>
      </c>
      <c r="R1911" s="7" t="str">
        <f>_xlfn.IFNA(VLOOKUP(patch[[#This Row],[tmp-owner.email]],OrgTree!$A:$K, 11, 0), "not ICG SWFW")</f>
        <v>BJ And dev</v>
      </c>
      <c r="S1911" s="7" t="str">
        <f>IF(patch[[#This Row],[reviewer]]=patch[[#This Row],[tmp-owner.email]], "author", _xlfn.IFNA(VLOOKUP(patch[[#This Row],[reviewer]],OrgTree!$A:$K, 11, 0), "not ICG SWFW"))</f>
        <v>BJ And dev</v>
      </c>
      <c r="T1911" s="7" t="str">
        <f>IF(ISBLANK(patch[[#This Row],[mergeDate]]), "", MID(YEAR(patch[[#This Row],[mergeDate]]), 3,2)&amp;"'ww"&amp;WEEKNUM(patch[[#This Row],[mergeDate]]))</f>
        <v>16'ww38</v>
      </c>
      <c r="U1911" s="7" t="str">
        <f>IF(ISBLANK(patch[[#This Row],[mergeDate]]), U1910, MID(YEAR(patch[[#This Row],[mergeDate]]), 3,2)&amp;"'m"&amp;MONTH(patch[[#This Row],[mergeDate]]))</f>
        <v>16'm9</v>
      </c>
      <c r="V1911" s="7" t="str">
        <f>IF(ISBLANK(patch[[#This Row],[project]]), "",SUM(patch[[#This Row],[BJ -1 num]:[SH -1 num]]))</f>
        <v/>
      </c>
      <c r="W1911" s="7" t="str">
        <f>IF(ISBLANK(patch[[#This Row],[project]]), "",COUNTIFS($A:$A,patch[[#This Row],[number]],$S:$S, "BJ And dev",$AC:$AC, "Review-1"))</f>
        <v/>
      </c>
      <c r="X1911" s="7" t="str">
        <f>IF(ISBLANK(patch[[#This Row],[project]]), "",COUNTIFS($A:$A,patch[[#This Row],[number]],$S:$S, "FL And dev",$AC:$AC, "Review-1"))</f>
        <v/>
      </c>
      <c r="Y1911" s="7" t="str">
        <f>IF(ISBLANK(patch[[#This Row],[project]]), "",COUNTIFS($A:$A,patch[[#This Row],[number]],$S:$S, "SH And dev",$AC:$AC, "Review-1"))</f>
        <v/>
      </c>
      <c r="Z1911" s="7" t="str">
        <f>IF(ISBLANK(patch[[#This Row],[project]]), "",COUNTIFS($A:$A,patch[[#This Row],[number]],$S:$S, "BJ And dev",$AD:$AD, "&lt;&gt;IntegratorValidationComment"))</f>
        <v/>
      </c>
      <c r="AA1911" s="7" t="str">
        <f>IF(ISBLANK(patch[[#This Row],[project]]), "",COUNTIFS($A:$A,patch[[#This Row],[number]],$S:$S, "FL And dev",$AD:$AD, "&lt;&gt;IntegratorValidationComment"))</f>
        <v/>
      </c>
      <c r="AB1911" s="7" t="str">
        <f>IF(ISBLANK(patch[[#This Row],[project]]), "",COUNTIFS($A:$A,patch[[#This Row],[number]],$S:$S, "SH And dev",$AD:$AD, "&lt;&gt;IntegratorValidationComment"))</f>
        <v/>
      </c>
      <c r="AC1911" s="7" t="str">
        <f>IF(OR(ISNUMBER(FIND("Review-1", patch[[#This Row],[comments]])), ISNUMBER(FIND("Approver-1", patch[[#This Row],[comments]]))), "Review-1", "")</f>
        <v/>
      </c>
      <c r="AD19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11" s="7">
        <f>IF(ISBLANK(patch[[#This Row],[number]]),AE1910,patch[[#This Row],[ifCommon]])</f>
        <v>0</v>
      </c>
    </row>
    <row r="1912" spans="1:31">
      <c r="A1912" s="151">
        <v>144203</v>
      </c>
      <c r="B1912" s="151"/>
      <c r="C1912" s="151"/>
      <c r="D1912" s="151"/>
      <c r="E1912" s="151"/>
      <c r="F1912" s="151"/>
      <c r="G1912" s="151"/>
      <c r="H1912" s="151"/>
      <c r="I1912" s="151"/>
      <c r="J1912" s="152">
        <v>42625.709039351852</v>
      </c>
      <c r="K1912" s="151"/>
      <c r="L1912" s="151" t="s">
        <v>59</v>
      </c>
      <c r="M1912" s="152">
        <v>42622.498680555553</v>
      </c>
      <c r="N1912" s="151" t="s">
        <v>2499</v>
      </c>
      <c r="O1912" s="151" t="s">
        <v>3523</v>
      </c>
      <c r="P1912" s="151"/>
      <c r="Q1912" s="7" t="str">
        <f>IF(ISBLANK(patch[[#This Row],[OwnerEmail]]),Q1911,patch[[#This Row],[OwnerEmail]])</f>
        <v>bin.b.yang@intel.com</v>
      </c>
      <c r="R1912" s="7" t="str">
        <f>_xlfn.IFNA(VLOOKUP(patch[[#This Row],[tmp-owner.email]],OrgTree!$A:$K, 11, 0), "not ICG SWFW")</f>
        <v>BJ And dev</v>
      </c>
      <c r="S1912" s="7" t="str">
        <f>IF(patch[[#This Row],[reviewer]]=patch[[#This Row],[tmp-owner.email]], "author", _xlfn.IFNA(VLOOKUP(patch[[#This Row],[reviewer]],OrgTree!$A:$K, 11, 0), "not ICG SWFW"))</f>
        <v>BJ And dev</v>
      </c>
      <c r="T1912" s="7" t="str">
        <f>IF(ISBLANK(patch[[#This Row],[mergeDate]]), "", MID(YEAR(patch[[#This Row],[mergeDate]]), 3,2)&amp;"'ww"&amp;WEEKNUM(patch[[#This Row],[mergeDate]]))</f>
        <v>16'ww38</v>
      </c>
      <c r="U1912" s="7" t="str">
        <f>IF(ISBLANK(patch[[#This Row],[mergeDate]]), U1911, MID(YEAR(patch[[#This Row],[mergeDate]]), 3,2)&amp;"'m"&amp;MONTH(patch[[#This Row],[mergeDate]]))</f>
        <v>16'm9</v>
      </c>
      <c r="V1912" s="7" t="str">
        <f>IF(ISBLANK(patch[[#This Row],[project]]), "",SUM(patch[[#This Row],[BJ -1 num]:[SH -1 num]]))</f>
        <v/>
      </c>
      <c r="W1912" s="7" t="str">
        <f>IF(ISBLANK(patch[[#This Row],[project]]), "",COUNTIFS($A:$A,patch[[#This Row],[number]],$S:$S, "BJ And dev",$AC:$AC, "Review-1"))</f>
        <v/>
      </c>
      <c r="X1912" s="7" t="str">
        <f>IF(ISBLANK(patch[[#This Row],[project]]), "",COUNTIFS($A:$A,patch[[#This Row],[number]],$S:$S, "FL And dev",$AC:$AC, "Review-1"))</f>
        <v/>
      </c>
      <c r="Y1912" s="7" t="str">
        <f>IF(ISBLANK(patch[[#This Row],[project]]), "",COUNTIFS($A:$A,patch[[#This Row],[number]],$S:$S, "SH And dev",$AC:$AC, "Review-1"))</f>
        <v/>
      </c>
      <c r="Z1912" s="7" t="str">
        <f>IF(ISBLANK(patch[[#This Row],[project]]), "",COUNTIFS($A:$A,patch[[#This Row],[number]],$S:$S, "BJ And dev",$AD:$AD, "&lt;&gt;IntegratorValidationComment"))</f>
        <v/>
      </c>
      <c r="AA1912" s="7" t="str">
        <f>IF(ISBLANK(patch[[#This Row],[project]]), "",COUNTIFS($A:$A,patch[[#This Row],[number]],$S:$S, "FL And dev",$AD:$AD, "&lt;&gt;IntegratorValidationComment"))</f>
        <v/>
      </c>
      <c r="AB1912" s="7" t="str">
        <f>IF(ISBLANK(patch[[#This Row],[project]]), "",COUNTIFS($A:$A,patch[[#This Row],[number]],$S:$S, "SH And dev",$AD:$AD, "&lt;&gt;IntegratorValidationComment"))</f>
        <v/>
      </c>
      <c r="AC1912" s="7" t="str">
        <f>IF(OR(ISNUMBER(FIND("Review-1", patch[[#This Row],[comments]])), ISNUMBER(FIND("Approver-1", patch[[#This Row],[comments]]))), "Review-1", "")</f>
        <v>Review-1</v>
      </c>
      <c r="AD19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12" s="7">
        <f>IF(ISBLANK(patch[[#This Row],[number]]),AE1911,patch[[#This Row],[ifCommon]])</f>
        <v>0</v>
      </c>
    </row>
    <row r="1913" spans="1:31">
      <c r="A1913" s="151">
        <v>144203</v>
      </c>
      <c r="B1913" s="151"/>
      <c r="C1913" s="151"/>
      <c r="D1913" s="151"/>
      <c r="E1913" s="151"/>
      <c r="F1913" s="151"/>
      <c r="G1913" s="151"/>
      <c r="H1913" s="151"/>
      <c r="I1913" s="151"/>
      <c r="J1913" s="152">
        <v>42625.709039351852</v>
      </c>
      <c r="K1913" s="151"/>
      <c r="L1913" s="151" t="s">
        <v>72</v>
      </c>
      <c r="M1913" s="152">
        <v>42622.568252314813</v>
      </c>
      <c r="N1913" s="151" t="s">
        <v>2455</v>
      </c>
      <c r="O1913" s="151" t="s">
        <v>3524</v>
      </c>
      <c r="P1913" s="151"/>
      <c r="Q1913" s="7" t="str">
        <f>IF(ISBLANK(patch[[#This Row],[OwnerEmail]]),Q1912,patch[[#This Row],[OwnerEmail]])</f>
        <v>bin.b.yang@intel.com</v>
      </c>
      <c r="R1913" s="7" t="str">
        <f>_xlfn.IFNA(VLOOKUP(patch[[#This Row],[tmp-owner.email]],OrgTree!$A:$K, 11, 0), "not ICG SWFW")</f>
        <v>BJ And dev</v>
      </c>
      <c r="S1913" s="7" t="str">
        <f>IF(patch[[#This Row],[reviewer]]=patch[[#This Row],[tmp-owner.email]], "author", _xlfn.IFNA(VLOOKUP(patch[[#This Row],[reviewer]],OrgTree!$A:$K, 11, 0), "not ICG SWFW"))</f>
        <v>author</v>
      </c>
      <c r="T1913" s="7" t="str">
        <f>IF(ISBLANK(patch[[#This Row],[mergeDate]]), "", MID(YEAR(patch[[#This Row],[mergeDate]]), 3,2)&amp;"'ww"&amp;WEEKNUM(patch[[#This Row],[mergeDate]]))</f>
        <v>16'ww38</v>
      </c>
      <c r="U1913" s="7" t="str">
        <f>IF(ISBLANK(patch[[#This Row],[mergeDate]]), U1912, MID(YEAR(patch[[#This Row],[mergeDate]]), 3,2)&amp;"'m"&amp;MONTH(patch[[#This Row],[mergeDate]]))</f>
        <v>16'm9</v>
      </c>
      <c r="V1913" s="7" t="str">
        <f>IF(ISBLANK(patch[[#This Row],[project]]), "",SUM(patch[[#This Row],[BJ -1 num]:[SH -1 num]]))</f>
        <v/>
      </c>
      <c r="W1913" s="7" t="str">
        <f>IF(ISBLANK(patch[[#This Row],[project]]), "",COUNTIFS($A:$A,patch[[#This Row],[number]],$S:$S, "BJ And dev",$AC:$AC, "Review-1"))</f>
        <v/>
      </c>
      <c r="X1913" s="7" t="str">
        <f>IF(ISBLANK(patch[[#This Row],[project]]), "",COUNTIFS($A:$A,patch[[#This Row],[number]],$S:$S, "FL And dev",$AC:$AC, "Review-1"))</f>
        <v/>
      </c>
      <c r="Y1913" s="7" t="str">
        <f>IF(ISBLANK(patch[[#This Row],[project]]), "",COUNTIFS($A:$A,patch[[#This Row],[number]],$S:$S, "SH And dev",$AC:$AC, "Review-1"))</f>
        <v/>
      </c>
      <c r="Z1913" s="7" t="str">
        <f>IF(ISBLANK(patch[[#This Row],[project]]), "",COUNTIFS($A:$A,patch[[#This Row],[number]],$S:$S, "BJ And dev",$AD:$AD, "&lt;&gt;IntegratorValidationComment"))</f>
        <v/>
      </c>
      <c r="AA1913" s="7" t="str">
        <f>IF(ISBLANK(patch[[#This Row],[project]]), "",COUNTIFS($A:$A,patch[[#This Row],[number]],$S:$S, "FL And dev",$AD:$AD, "&lt;&gt;IntegratorValidationComment"))</f>
        <v/>
      </c>
      <c r="AB1913" s="7" t="str">
        <f>IF(ISBLANK(patch[[#This Row],[project]]), "",COUNTIFS($A:$A,patch[[#This Row],[number]],$S:$S, "SH And dev",$AD:$AD, "&lt;&gt;IntegratorValidationComment"))</f>
        <v/>
      </c>
      <c r="AC1913" s="7" t="str">
        <f>IF(OR(ISNUMBER(FIND("Review-1", patch[[#This Row],[comments]])), ISNUMBER(FIND("Approver-1", patch[[#This Row],[comments]]))), "Review-1", "")</f>
        <v/>
      </c>
      <c r="AD19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13" s="7">
        <f>IF(ISBLANK(patch[[#This Row],[number]]),AE1912,patch[[#This Row],[ifCommon]])</f>
        <v>0</v>
      </c>
    </row>
    <row r="1914" spans="1:31">
      <c r="A1914" s="151">
        <v>144203</v>
      </c>
      <c r="B1914" s="151"/>
      <c r="C1914" s="151"/>
      <c r="D1914" s="151"/>
      <c r="E1914" s="151"/>
      <c r="F1914" s="151"/>
      <c r="G1914" s="151"/>
      <c r="H1914" s="151"/>
      <c r="I1914" s="151"/>
      <c r="J1914" s="152">
        <v>42625.709039351852</v>
      </c>
      <c r="K1914" s="151"/>
      <c r="L1914" s="151" t="s">
        <v>59</v>
      </c>
      <c r="M1914" s="152">
        <v>42622.569780092592</v>
      </c>
      <c r="N1914" s="151" t="s">
        <v>27</v>
      </c>
      <c r="O1914" s="151"/>
      <c r="P1914" s="151"/>
      <c r="Q1914" s="7" t="str">
        <f>IF(ISBLANK(patch[[#This Row],[OwnerEmail]]),Q1913,patch[[#This Row],[OwnerEmail]])</f>
        <v>bin.b.yang@intel.com</v>
      </c>
      <c r="R1914" s="7" t="str">
        <f>_xlfn.IFNA(VLOOKUP(patch[[#This Row],[tmp-owner.email]],OrgTree!$A:$K, 11, 0), "not ICG SWFW")</f>
        <v>BJ And dev</v>
      </c>
      <c r="S1914" s="7" t="str">
        <f>IF(patch[[#This Row],[reviewer]]=patch[[#This Row],[tmp-owner.email]], "author", _xlfn.IFNA(VLOOKUP(patch[[#This Row],[reviewer]],OrgTree!$A:$K, 11, 0), "not ICG SWFW"))</f>
        <v>BJ And dev</v>
      </c>
      <c r="T1914" s="7" t="str">
        <f>IF(ISBLANK(patch[[#This Row],[mergeDate]]), "", MID(YEAR(patch[[#This Row],[mergeDate]]), 3,2)&amp;"'ww"&amp;WEEKNUM(patch[[#This Row],[mergeDate]]))</f>
        <v>16'ww38</v>
      </c>
      <c r="U1914" s="7" t="str">
        <f>IF(ISBLANK(patch[[#This Row],[mergeDate]]), U1913, MID(YEAR(patch[[#This Row],[mergeDate]]), 3,2)&amp;"'m"&amp;MONTH(patch[[#This Row],[mergeDate]]))</f>
        <v>16'm9</v>
      </c>
      <c r="V1914" s="7" t="str">
        <f>IF(ISBLANK(patch[[#This Row],[project]]), "",SUM(patch[[#This Row],[BJ -1 num]:[SH -1 num]]))</f>
        <v/>
      </c>
      <c r="W1914" s="7" t="str">
        <f>IF(ISBLANK(patch[[#This Row],[project]]), "",COUNTIFS($A:$A,patch[[#This Row],[number]],$S:$S, "BJ And dev",$AC:$AC, "Review-1"))</f>
        <v/>
      </c>
      <c r="X1914" s="7" t="str">
        <f>IF(ISBLANK(patch[[#This Row],[project]]), "",COUNTIFS($A:$A,patch[[#This Row],[number]],$S:$S, "FL And dev",$AC:$AC, "Review-1"))</f>
        <v/>
      </c>
      <c r="Y1914" s="7" t="str">
        <f>IF(ISBLANK(patch[[#This Row],[project]]), "",COUNTIFS($A:$A,patch[[#This Row],[number]],$S:$S, "SH And dev",$AC:$AC, "Review-1"))</f>
        <v/>
      </c>
      <c r="Z1914" s="7" t="str">
        <f>IF(ISBLANK(patch[[#This Row],[project]]), "",COUNTIFS($A:$A,patch[[#This Row],[number]],$S:$S, "BJ And dev",$AD:$AD, "&lt;&gt;IntegratorValidationComment"))</f>
        <v/>
      </c>
      <c r="AA1914" s="7" t="str">
        <f>IF(ISBLANK(patch[[#This Row],[project]]), "",COUNTIFS($A:$A,patch[[#This Row],[number]],$S:$S, "FL And dev",$AD:$AD, "&lt;&gt;IntegratorValidationComment"))</f>
        <v/>
      </c>
      <c r="AB1914" s="7" t="str">
        <f>IF(ISBLANK(patch[[#This Row],[project]]), "",COUNTIFS($A:$A,patch[[#This Row],[number]],$S:$S, "SH And dev",$AD:$AD, "&lt;&gt;IntegratorValidationComment"))</f>
        <v/>
      </c>
      <c r="AC1914" s="7" t="str">
        <f>IF(OR(ISNUMBER(FIND("Review-1", patch[[#This Row],[comments]])), ISNUMBER(FIND("Approver-1", patch[[#This Row],[comments]]))), "Review-1", "")</f>
        <v/>
      </c>
      <c r="AD19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14" s="7">
        <f>IF(ISBLANK(patch[[#This Row],[number]]),AE1913,patch[[#This Row],[ifCommon]])</f>
        <v>0</v>
      </c>
    </row>
    <row r="1915" spans="1:31">
      <c r="A1915" s="151">
        <v>144203</v>
      </c>
      <c r="B1915" s="151"/>
      <c r="C1915" s="151"/>
      <c r="D1915" s="151"/>
      <c r="E1915" s="151"/>
      <c r="F1915" s="151"/>
      <c r="G1915" s="151"/>
      <c r="H1915" s="151"/>
      <c r="I1915" s="151"/>
      <c r="J1915" s="152">
        <v>42625.709039351852</v>
      </c>
      <c r="K1915" s="151"/>
      <c r="L1915" s="151" t="s">
        <v>1237</v>
      </c>
      <c r="M1915" s="152">
        <v>42622.571944444448</v>
      </c>
      <c r="N1915" s="151" t="s">
        <v>27</v>
      </c>
      <c r="O1915" s="151"/>
      <c r="P1915" s="151"/>
      <c r="Q1915" s="7" t="str">
        <f>IF(ISBLANK(patch[[#This Row],[OwnerEmail]]),Q1914,patch[[#This Row],[OwnerEmail]])</f>
        <v>bin.b.yang@intel.com</v>
      </c>
      <c r="R1915" s="7" t="str">
        <f>_xlfn.IFNA(VLOOKUP(patch[[#This Row],[tmp-owner.email]],OrgTree!$A:$K, 11, 0), "not ICG SWFW")</f>
        <v>BJ And dev</v>
      </c>
      <c r="S1915" s="7" t="str">
        <f>IF(patch[[#This Row],[reviewer]]=patch[[#This Row],[tmp-owner.email]], "author", _xlfn.IFNA(VLOOKUP(patch[[#This Row],[reviewer]],OrgTree!$A:$K, 11, 0), "not ICG SWFW"))</f>
        <v>BJ And dev</v>
      </c>
      <c r="T1915" s="7" t="str">
        <f>IF(ISBLANK(patch[[#This Row],[mergeDate]]), "", MID(YEAR(patch[[#This Row],[mergeDate]]), 3,2)&amp;"'ww"&amp;WEEKNUM(patch[[#This Row],[mergeDate]]))</f>
        <v>16'ww38</v>
      </c>
      <c r="U1915" s="7" t="str">
        <f>IF(ISBLANK(patch[[#This Row],[mergeDate]]), U1914, MID(YEAR(patch[[#This Row],[mergeDate]]), 3,2)&amp;"'m"&amp;MONTH(patch[[#This Row],[mergeDate]]))</f>
        <v>16'm9</v>
      </c>
      <c r="V1915" s="7" t="str">
        <f>IF(ISBLANK(patch[[#This Row],[project]]), "",SUM(patch[[#This Row],[BJ -1 num]:[SH -1 num]]))</f>
        <v/>
      </c>
      <c r="W1915" s="7" t="str">
        <f>IF(ISBLANK(patch[[#This Row],[project]]), "",COUNTIFS($A:$A,patch[[#This Row],[number]],$S:$S, "BJ And dev",$AC:$AC, "Review-1"))</f>
        <v/>
      </c>
      <c r="X1915" s="7" t="str">
        <f>IF(ISBLANK(patch[[#This Row],[project]]), "",COUNTIFS($A:$A,patch[[#This Row],[number]],$S:$S, "FL And dev",$AC:$AC, "Review-1"))</f>
        <v/>
      </c>
      <c r="Y1915" s="7" t="str">
        <f>IF(ISBLANK(patch[[#This Row],[project]]), "",COUNTIFS($A:$A,patch[[#This Row],[number]],$S:$S, "SH And dev",$AC:$AC, "Review-1"))</f>
        <v/>
      </c>
      <c r="Z1915" s="7" t="str">
        <f>IF(ISBLANK(patch[[#This Row],[project]]), "",COUNTIFS($A:$A,patch[[#This Row],[number]],$S:$S, "BJ And dev",$AD:$AD, "&lt;&gt;IntegratorValidationComment"))</f>
        <v/>
      </c>
      <c r="AA1915" s="7" t="str">
        <f>IF(ISBLANK(patch[[#This Row],[project]]), "",COUNTIFS($A:$A,patch[[#This Row],[number]],$S:$S, "FL And dev",$AD:$AD, "&lt;&gt;IntegratorValidationComment"))</f>
        <v/>
      </c>
      <c r="AB1915" s="7" t="str">
        <f>IF(ISBLANK(patch[[#This Row],[project]]), "",COUNTIFS($A:$A,patch[[#This Row],[number]],$S:$S, "SH And dev",$AD:$AD, "&lt;&gt;IntegratorValidationComment"))</f>
        <v/>
      </c>
      <c r="AC1915" s="7" t="str">
        <f>IF(OR(ISNUMBER(FIND("Review-1", patch[[#This Row],[comments]])), ISNUMBER(FIND("Approver-1", patch[[#This Row],[comments]]))), "Review-1", "")</f>
        <v/>
      </c>
      <c r="AD19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15" s="7">
        <f>IF(ISBLANK(patch[[#This Row],[number]]),AE1914,patch[[#This Row],[ifCommon]])</f>
        <v>0</v>
      </c>
    </row>
    <row r="1916" spans="1:31">
      <c r="A1916" s="151">
        <v>144203</v>
      </c>
      <c r="B1916" s="151"/>
      <c r="C1916" s="151"/>
      <c r="D1916" s="151"/>
      <c r="E1916" s="151"/>
      <c r="F1916" s="151"/>
      <c r="G1916" s="151"/>
      <c r="H1916" s="151"/>
      <c r="I1916" s="151"/>
      <c r="J1916" s="152">
        <v>42625.709039351852</v>
      </c>
      <c r="K1916" s="151"/>
      <c r="L1916" s="151" t="s">
        <v>32</v>
      </c>
      <c r="M1916" s="152">
        <v>42622.578587962962</v>
      </c>
      <c r="N1916" s="151" t="s">
        <v>1873</v>
      </c>
      <c r="O1916" s="151"/>
      <c r="P1916" s="151"/>
      <c r="Q1916" s="7" t="str">
        <f>IF(ISBLANK(patch[[#This Row],[OwnerEmail]]),Q1915,patch[[#This Row],[OwnerEmail]])</f>
        <v>bin.b.yang@intel.com</v>
      </c>
      <c r="R1916" s="7" t="str">
        <f>_xlfn.IFNA(VLOOKUP(patch[[#This Row],[tmp-owner.email]],OrgTree!$A:$K, 11, 0), "not ICG SWFW")</f>
        <v>BJ And dev</v>
      </c>
      <c r="S1916" s="7" t="str">
        <f>IF(patch[[#This Row],[reviewer]]=patch[[#This Row],[tmp-owner.email]], "author", _xlfn.IFNA(VLOOKUP(patch[[#This Row],[reviewer]],OrgTree!$A:$K, 11, 0), "not ICG SWFW"))</f>
        <v>BJ And dev</v>
      </c>
      <c r="T1916" s="7" t="str">
        <f>IF(ISBLANK(patch[[#This Row],[mergeDate]]), "", MID(YEAR(patch[[#This Row],[mergeDate]]), 3,2)&amp;"'ww"&amp;WEEKNUM(patch[[#This Row],[mergeDate]]))</f>
        <v>16'ww38</v>
      </c>
      <c r="U1916" s="7" t="str">
        <f>IF(ISBLANK(patch[[#This Row],[mergeDate]]), U1915, MID(YEAR(patch[[#This Row],[mergeDate]]), 3,2)&amp;"'m"&amp;MONTH(patch[[#This Row],[mergeDate]]))</f>
        <v>16'm9</v>
      </c>
      <c r="V1916" s="7" t="str">
        <f>IF(ISBLANK(patch[[#This Row],[project]]), "",SUM(patch[[#This Row],[BJ -1 num]:[SH -1 num]]))</f>
        <v/>
      </c>
      <c r="W1916" s="7" t="str">
        <f>IF(ISBLANK(patch[[#This Row],[project]]), "",COUNTIFS($A:$A,patch[[#This Row],[number]],$S:$S, "BJ And dev",$AC:$AC, "Review-1"))</f>
        <v/>
      </c>
      <c r="X1916" s="7" t="str">
        <f>IF(ISBLANK(patch[[#This Row],[project]]), "",COUNTIFS($A:$A,patch[[#This Row],[number]],$S:$S, "FL And dev",$AC:$AC, "Review-1"))</f>
        <v/>
      </c>
      <c r="Y1916" s="7" t="str">
        <f>IF(ISBLANK(patch[[#This Row],[project]]), "",COUNTIFS($A:$A,patch[[#This Row],[number]],$S:$S, "SH And dev",$AC:$AC, "Review-1"))</f>
        <v/>
      </c>
      <c r="Z1916" s="7" t="str">
        <f>IF(ISBLANK(patch[[#This Row],[project]]), "",COUNTIFS($A:$A,patch[[#This Row],[number]],$S:$S, "BJ And dev",$AD:$AD, "&lt;&gt;IntegratorValidationComment"))</f>
        <v/>
      </c>
      <c r="AA1916" s="7" t="str">
        <f>IF(ISBLANK(patch[[#This Row],[project]]), "",COUNTIFS($A:$A,patch[[#This Row],[number]],$S:$S, "FL And dev",$AD:$AD, "&lt;&gt;IntegratorValidationComment"))</f>
        <v/>
      </c>
      <c r="AB1916" s="7" t="str">
        <f>IF(ISBLANK(patch[[#This Row],[project]]), "",COUNTIFS($A:$A,patch[[#This Row],[number]],$S:$S, "SH And dev",$AD:$AD, "&lt;&gt;IntegratorValidationComment"))</f>
        <v/>
      </c>
      <c r="AC1916" s="7" t="str">
        <f>IF(OR(ISNUMBER(FIND("Review-1", patch[[#This Row],[comments]])), ISNUMBER(FIND("Approver-1", patch[[#This Row],[comments]]))), "Review-1", "")</f>
        <v/>
      </c>
      <c r="AD19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16" s="7">
        <f>IF(ISBLANK(patch[[#This Row],[number]]),AE1915,patch[[#This Row],[ifCommon]])</f>
        <v>0</v>
      </c>
    </row>
    <row r="1917" spans="1:31">
      <c r="A1917" s="151">
        <v>144203</v>
      </c>
      <c r="B1917" s="151"/>
      <c r="C1917" s="151"/>
      <c r="D1917" s="151"/>
      <c r="E1917" s="151"/>
      <c r="F1917" s="151"/>
      <c r="G1917" s="151"/>
      <c r="H1917" s="151"/>
      <c r="I1917" s="151"/>
      <c r="J1917" s="152">
        <v>42625.709039351852</v>
      </c>
      <c r="K1917" s="151"/>
      <c r="L1917" s="151" t="s">
        <v>72</v>
      </c>
      <c r="M1917" s="152">
        <v>42622.594212962962</v>
      </c>
      <c r="N1917" s="151" t="s">
        <v>2450</v>
      </c>
      <c r="O1917" s="151"/>
      <c r="P1917" s="151"/>
      <c r="Q1917" s="7" t="str">
        <f>IF(ISBLANK(patch[[#This Row],[OwnerEmail]]),Q1916,patch[[#This Row],[OwnerEmail]])</f>
        <v>bin.b.yang@intel.com</v>
      </c>
      <c r="R1917" s="7" t="str">
        <f>_xlfn.IFNA(VLOOKUP(patch[[#This Row],[tmp-owner.email]],OrgTree!$A:$K, 11, 0), "not ICG SWFW")</f>
        <v>BJ And dev</v>
      </c>
      <c r="S1917" s="7" t="str">
        <f>IF(patch[[#This Row],[reviewer]]=patch[[#This Row],[tmp-owner.email]], "author", _xlfn.IFNA(VLOOKUP(patch[[#This Row],[reviewer]],OrgTree!$A:$K, 11, 0), "not ICG SWFW"))</f>
        <v>author</v>
      </c>
      <c r="T1917" s="7" t="str">
        <f>IF(ISBLANK(patch[[#This Row],[mergeDate]]), "", MID(YEAR(patch[[#This Row],[mergeDate]]), 3,2)&amp;"'ww"&amp;WEEKNUM(patch[[#This Row],[mergeDate]]))</f>
        <v>16'ww38</v>
      </c>
      <c r="U1917" s="7" t="str">
        <f>IF(ISBLANK(patch[[#This Row],[mergeDate]]), U1916, MID(YEAR(patch[[#This Row],[mergeDate]]), 3,2)&amp;"'m"&amp;MONTH(patch[[#This Row],[mergeDate]]))</f>
        <v>16'm9</v>
      </c>
      <c r="V1917" s="7" t="str">
        <f>IF(ISBLANK(patch[[#This Row],[project]]), "",SUM(patch[[#This Row],[BJ -1 num]:[SH -1 num]]))</f>
        <v/>
      </c>
      <c r="W1917" s="7" t="str">
        <f>IF(ISBLANK(patch[[#This Row],[project]]), "",COUNTIFS($A:$A,patch[[#This Row],[number]],$S:$S, "BJ And dev",$AC:$AC, "Review-1"))</f>
        <v/>
      </c>
      <c r="X1917" s="7" t="str">
        <f>IF(ISBLANK(patch[[#This Row],[project]]), "",COUNTIFS($A:$A,patch[[#This Row],[number]],$S:$S, "FL And dev",$AC:$AC, "Review-1"))</f>
        <v/>
      </c>
      <c r="Y1917" s="7" t="str">
        <f>IF(ISBLANK(patch[[#This Row],[project]]), "",COUNTIFS($A:$A,patch[[#This Row],[number]],$S:$S, "SH And dev",$AC:$AC, "Review-1"))</f>
        <v/>
      </c>
      <c r="Z1917" s="7" t="str">
        <f>IF(ISBLANK(patch[[#This Row],[project]]), "",COUNTIFS($A:$A,patch[[#This Row],[number]],$S:$S, "BJ And dev",$AD:$AD, "&lt;&gt;IntegratorValidationComment"))</f>
        <v/>
      </c>
      <c r="AA1917" s="7" t="str">
        <f>IF(ISBLANK(patch[[#This Row],[project]]), "",COUNTIFS($A:$A,patch[[#This Row],[number]],$S:$S, "FL And dev",$AD:$AD, "&lt;&gt;IntegratorValidationComment"))</f>
        <v/>
      </c>
      <c r="AB1917" s="7" t="str">
        <f>IF(ISBLANK(patch[[#This Row],[project]]), "",COUNTIFS($A:$A,patch[[#This Row],[number]],$S:$S, "SH And dev",$AD:$AD, "&lt;&gt;IntegratorValidationComment"))</f>
        <v/>
      </c>
      <c r="AC1917" s="7" t="str">
        <f>IF(OR(ISNUMBER(FIND("Review-1", patch[[#This Row],[comments]])), ISNUMBER(FIND("Approver-1", patch[[#This Row],[comments]]))), "Review-1", "")</f>
        <v/>
      </c>
      <c r="AD19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17" s="7">
        <f>IF(ISBLANK(patch[[#This Row],[number]]),AE1916,patch[[#This Row],[ifCommon]])</f>
        <v>0</v>
      </c>
    </row>
    <row r="1918" spans="1:31">
      <c r="A1918" s="151">
        <v>144203</v>
      </c>
      <c r="B1918" s="151"/>
      <c r="C1918" s="151"/>
      <c r="D1918" s="151"/>
      <c r="E1918" s="151"/>
      <c r="F1918" s="151"/>
      <c r="G1918" s="151"/>
      <c r="H1918" s="151"/>
      <c r="I1918" s="151"/>
      <c r="J1918" s="152">
        <v>42625.709039351852</v>
      </c>
      <c r="K1918" s="151"/>
      <c r="L1918" s="151" t="s">
        <v>72</v>
      </c>
      <c r="M1918" s="152">
        <v>42622.594212962962</v>
      </c>
      <c r="N1918" s="151" t="s">
        <v>2572</v>
      </c>
      <c r="O1918" s="151"/>
      <c r="P1918" s="151"/>
      <c r="Q1918" s="7" t="str">
        <f>IF(ISBLANK(patch[[#This Row],[OwnerEmail]]),Q1917,patch[[#This Row],[OwnerEmail]])</f>
        <v>bin.b.yang@intel.com</v>
      </c>
      <c r="R1918" s="7" t="str">
        <f>_xlfn.IFNA(VLOOKUP(patch[[#This Row],[tmp-owner.email]],OrgTree!$A:$K, 11, 0), "not ICG SWFW")</f>
        <v>BJ And dev</v>
      </c>
      <c r="S1918" s="7" t="str">
        <f>IF(patch[[#This Row],[reviewer]]=patch[[#This Row],[tmp-owner.email]], "author", _xlfn.IFNA(VLOOKUP(patch[[#This Row],[reviewer]],OrgTree!$A:$K, 11, 0), "not ICG SWFW"))</f>
        <v>author</v>
      </c>
      <c r="T1918" s="7" t="str">
        <f>IF(ISBLANK(patch[[#This Row],[mergeDate]]), "", MID(YEAR(patch[[#This Row],[mergeDate]]), 3,2)&amp;"'ww"&amp;WEEKNUM(patch[[#This Row],[mergeDate]]))</f>
        <v>16'ww38</v>
      </c>
      <c r="U1918" s="7" t="str">
        <f>IF(ISBLANK(patch[[#This Row],[mergeDate]]), U1917, MID(YEAR(patch[[#This Row],[mergeDate]]), 3,2)&amp;"'m"&amp;MONTH(patch[[#This Row],[mergeDate]]))</f>
        <v>16'm9</v>
      </c>
      <c r="V1918" s="7" t="str">
        <f>IF(ISBLANK(patch[[#This Row],[project]]), "",SUM(patch[[#This Row],[BJ -1 num]:[SH -1 num]]))</f>
        <v/>
      </c>
      <c r="W1918" s="7" t="str">
        <f>IF(ISBLANK(patch[[#This Row],[project]]), "",COUNTIFS($A:$A,patch[[#This Row],[number]],$S:$S, "BJ And dev",$AC:$AC, "Review-1"))</f>
        <v/>
      </c>
      <c r="X1918" s="7" t="str">
        <f>IF(ISBLANK(patch[[#This Row],[project]]), "",COUNTIFS($A:$A,patch[[#This Row],[number]],$S:$S, "FL And dev",$AC:$AC, "Review-1"))</f>
        <v/>
      </c>
      <c r="Y1918" s="7" t="str">
        <f>IF(ISBLANK(patch[[#This Row],[project]]), "",COUNTIFS($A:$A,patch[[#This Row],[number]],$S:$S, "SH And dev",$AC:$AC, "Review-1"))</f>
        <v/>
      </c>
      <c r="Z1918" s="7" t="str">
        <f>IF(ISBLANK(patch[[#This Row],[project]]), "",COUNTIFS($A:$A,patch[[#This Row],[number]],$S:$S, "BJ And dev",$AD:$AD, "&lt;&gt;IntegratorValidationComment"))</f>
        <v/>
      </c>
      <c r="AA1918" s="7" t="str">
        <f>IF(ISBLANK(patch[[#This Row],[project]]), "",COUNTIFS($A:$A,patch[[#This Row],[number]],$S:$S, "FL And dev",$AD:$AD, "&lt;&gt;IntegratorValidationComment"))</f>
        <v/>
      </c>
      <c r="AB1918" s="7" t="str">
        <f>IF(ISBLANK(patch[[#This Row],[project]]), "",COUNTIFS($A:$A,patch[[#This Row],[number]],$S:$S, "SH And dev",$AD:$AD, "&lt;&gt;IntegratorValidationComment"))</f>
        <v/>
      </c>
      <c r="AC1918" s="7" t="str">
        <f>IF(OR(ISNUMBER(FIND("Review-1", patch[[#This Row],[comments]])), ISNUMBER(FIND("Approver-1", patch[[#This Row],[comments]]))), "Review-1", "")</f>
        <v/>
      </c>
      <c r="AD19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18" s="7">
        <f>IF(ISBLANK(patch[[#This Row],[number]]),AE1917,patch[[#This Row],[ifCommon]])</f>
        <v>0</v>
      </c>
    </row>
    <row r="1919" spans="1:31">
      <c r="A1919" s="151">
        <v>144203</v>
      </c>
      <c r="B1919" s="151"/>
      <c r="C1919" s="151"/>
      <c r="D1919" s="151"/>
      <c r="E1919" s="151"/>
      <c r="F1919" s="151"/>
      <c r="G1919" s="151"/>
      <c r="H1919" s="151"/>
      <c r="I1919" s="151"/>
      <c r="J1919" s="152">
        <v>42625.709039351852</v>
      </c>
      <c r="K1919" s="151"/>
      <c r="L1919" s="151" t="s">
        <v>59</v>
      </c>
      <c r="M1919" s="152">
        <v>42622.597361111111</v>
      </c>
      <c r="N1919" s="151" t="s">
        <v>3525</v>
      </c>
      <c r="O1919" s="151"/>
      <c r="P1919" s="151"/>
      <c r="Q1919" s="7" t="str">
        <f>IF(ISBLANK(patch[[#This Row],[OwnerEmail]]),Q1918,patch[[#This Row],[OwnerEmail]])</f>
        <v>bin.b.yang@intel.com</v>
      </c>
      <c r="R1919" s="7" t="str">
        <f>_xlfn.IFNA(VLOOKUP(patch[[#This Row],[tmp-owner.email]],OrgTree!$A:$K, 11, 0), "not ICG SWFW")</f>
        <v>BJ And dev</v>
      </c>
      <c r="S1919" s="7" t="str">
        <f>IF(patch[[#This Row],[reviewer]]=patch[[#This Row],[tmp-owner.email]], "author", _xlfn.IFNA(VLOOKUP(patch[[#This Row],[reviewer]],OrgTree!$A:$K, 11, 0), "not ICG SWFW"))</f>
        <v>BJ And dev</v>
      </c>
      <c r="T1919" s="7" t="str">
        <f>IF(ISBLANK(patch[[#This Row],[mergeDate]]), "", MID(YEAR(patch[[#This Row],[mergeDate]]), 3,2)&amp;"'ww"&amp;WEEKNUM(patch[[#This Row],[mergeDate]]))</f>
        <v>16'ww38</v>
      </c>
      <c r="U1919" s="7" t="str">
        <f>IF(ISBLANK(patch[[#This Row],[mergeDate]]), U1918, MID(YEAR(patch[[#This Row],[mergeDate]]), 3,2)&amp;"'m"&amp;MONTH(patch[[#This Row],[mergeDate]]))</f>
        <v>16'm9</v>
      </c>
      <c r="V1919" s="7" t="str">
        <f>IF(ISBLANK(patch[[#This Row],[project]]), "",SUM(patch[[#This Row],[BJ -1 num]:[SH -1 num]]))</f>
        <v/>
      </c>
      <c r="W1919" s="7" t="str">
        <f>IF(ISBLANK(patch[[#This Row],[project]]), "",COUNTIFS($A:$A,patch[[#This Row],[number]],$S:$S, "BJ And dev",$AC:$AC, "Review-1"))</f>
        <v/>
      </c>
      <c r="X1919" s="7" t="str">
        <f>IF(ISBLANK(patch[[#This Row],[project]]), "",COUNTIFS($A:$A,patch[[#This Row],[number]],$S:$S, "FL And dev",$AC:$AC, "Review-1"))</f>
        <v/>
      </c>
      <c r="Y1919" s="7" t="str">
        <f>IF(ISBLANK(patch[[#This Row],[project]]), "",COUNTIFS($A:$A,patch[[#This Row],[number]],$S:$S, "SH And dev",$AC:$AC, "Review-1"))</f>
        <v/>
      </c>
      <c r="Z1919" s="7" t="str">
        <f>IF(ISBLANK(patch[[#This Row],[project]]), "",COUNTIFS($A:$A,patch[[#This Row],[number]],$S:$S, "BJ And dev",$AD:$AD, "&lt;&gt;IntegratorValidationComment"))</f>
        <v/>
      </c>
      <c r="AA1919" s="7" t="str">
        <f>IF(ISBLANK(patch[[#This Row],[project]]), "",COUNTIFS($A:$A,patch[[#This Row],[number]],$S:$S, "FL And dev",$AD:$AD, "&lt;&gt;IntegratorValidationComment"))</f>
        <v/>
      </c>
      <c r="AB1919" s="7" t="str">
        <f>IF(ISBLANK(patch[[#This Row],[project]]), "",COUNTIFS($A:$A,patch[[#This Row],[number]],$S:$S, "SH And dev",$AD:$AD, "&lt;&gt;IntegratorValidationComment"))</f>
        <v/>
      </c>
      <c r="AC1919" s="7" t="str">
        <f>IF(OR(ISNUMBER(FIND("Review-1", patch[[#This Row],[comments]])), ISNUMBER(FIND("Approver-1", patch[[#This Row],[comments]]))), "Review-1", "")</f>
        <v/>
      </c>
      <c r="AD19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19" s="7">
        <f>IF(ISBLANK(patch[[#This Row],[number]]),AE1918,patch[[#This Row],[ifCommon]])</f>
        <v>0</v>
      </c>
    </row>
    <row r="1920" spans="1:31">
      <c r="A1920" s="151">
        <v>144203</v>
      </c>
      <c r="B1920" s="151"/>
      <c r="C1920" s="151"/>
      <c r="D1920" s="151"/>
      <c r="E1920" s="151"/>
      <c r="F1920" s="151"/>
      <c r="G1920" s="151"/>
      <c r="H1920" s="151"/>
      <c r="I1920" s="151"/>
      <c r="J1920" s="152">
        <v>42625.709039351852</v>
      </c>
      <c r="K1920" s="151"/>
      <c r="L1920" s="151" t="s">
        <v>59</v>
      </c>
      <c r="M1920" s="152">
        <v>42622.598715277767</v>
      </c>
      <c r="N1920" s="151" t="s">
        <v>3526</v>
      </c>
      <c r="O1920" s="151"/>
      <c r="P1920" s="151"/>
      <c r="Q1920" s="7" t="str">
        <f>IF(ISBLANK(patch[[#This Row],[OwnerEmail]]),Q1919,patch[[#This Row],[OwnerEmail]])</f>
        <v>bin.b.yang@intel.com</v>
      </c>
      <c r="R1920" s="7" t="str">
        <f>_xlfn.IFNA(VLOOKUP(patch[[#This Row],[tmp-owner.email]],OrgTree!$A:$K, 11, 0), "not ICG SWFW")</f>
        <v>BJ And dev</v>
      </c>
      <c r="S1920" s="7" t="str">
        <f>IF(patch[[#This Row],[reviewer]]=patch[[#This Row],[tmp-owner.email]], "author", _xlfn.IFNA(VLOOKUP(patch[[#This Row],[reviewer]],OrgTree!$A:$K, 11, 0), "not ICG SWFW"))</f>
        <v>BJ And dev</v>
      </c>
      <c r="T1920" s="7" t="str">
        <f>IF(ISBLANK(patch[[#This Row],[mergeDate]]), "", MID(YEAR(patch[[#This Row],[mergeDate]]), 3,2)&amp;"'ww"&amp;WEEKNUM(patch[[#This Row],[mergeDate]]))</f>
        <v>16'ww38</v>
      </c>
      <c r="U1920" s="7" t="str">
        <f>IF(ISBLANK(patch[[#This Row],[mergeDate]]), U1919, MID(YEAR(patch[[#This Row],[mergeDate]]), 3,2)&amp;"'m"&amp;MONTH(patch[[#This Row],[mergeDate]]))</f>
        <v>16'm9</v>
      </c>
      <c r="V1920" s="7" t="str">
        <f>IF(ISBLANK(patch[[#This Row],[project]]), "",SUM(patch[[#This Row],[BJ -1 num]:[SH -1 num]]))</f>
        <v/>
      </c>
      <c r="W1920" s="7" t="str">
        <f>IF(ISBLANK(patch[[#This Row],[project]]), "",COUNTIFS($A:$A,patch[[#This Row],[number]],$S:$S, "BJ And dev",$AC:$AC, "Review-1"))</f>
        <v/>
      </c>
      <c r="X1920" s="7" t="str">
        <f>IF(ISBLANK(patch[[#This Row],[project]]), "",COUNTIFS($A:$A,patch[[#This Row],[number]],$S:$S, "FL And dev",$AC:$AC, "Review-1"))</f>
        <v/>
      </c>
      <c r="Y1920" s="7" t="str">
        <f>IF(ISBLANK(patch[[#This Row],[project]]), "",COUNTIFS($A:$A,patch[[#This Row],[number]],$S:$S, "SH And dev",$AC:$AC, "Review-1"))</f>
        <v/>
      </c>
      <c r="Z1920" s="7" t="str">
        <f>IF(ISBLANK(patch[[#This Row],[project]]), "",COUNTIFS($A:$A,patch[[#This Row],[number]],$S:$S, "BJ And dev",$AD:$AD, "&lt;&gt;IntegratorValidationComment"))</f>
        <v/>
      </c>
      <c r="AA1920" s="7" t="str">
        <f>IF(ISBLANK(patch[[#This Row],[project]]), "",COUNTIFS($A:$A,patch[[#This Row],[number]],$S:$S, "FL And dev",$AD:$AD, "&lt;&gt;IntegratorValidationComment"))</f>
        <v/>
      </c>
      <c r="AB1920" s="7" t="str">
        <f>IF(ISBLANK(patch[[#This Row],[project]]), "",COUNTIFS($A:$A,patch[[#This Row],[number]],$S:$S, "SH And dev",$AD:$AD, "&lt;&gt;IntegratorValidationComment"))</f>
        <v/>
      </c>
      <c r="AC1920" s="7" t="str">
        <f>IF(OR(ISNUMBER(FIND("Review-1", patch[[#This Row],[comments]])), ISNUMBER(FIND("Approver-1", patch[[#This Row],[comments]]))), "Review-1", "")</f>
        <v/>
      </c>
      <c r="AD19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20" s="7">
        <f>IF(ISBLANK(patch[[#This Row],[number]]),AE1919,patch[[#This Row],[ifCommon]])</f>
        <v>0</v>
      </c>
    </row>
    <row r="1921" spans="1:31">
      <c r="A1921" s="151">
        <v>144203</v>
      </c>
      <c r="B1921" s="151"/>
      <c r="C1921" s="151"/>
      <c r="D1921" s="151"/>
      <c r="E1921" s="151"/>
      <c r="F1921" s="151"/>
      <c r="G1921" s="151"/>
      <c r="H1921" s="151"/>
      <c r="I1921" s="151"/>
      <c r="J1921" s="152">
        <v>42625.709039351852</v>
      </c>
      <c r="K1921" s="151"/>
      <c r="L1921" s="151" t="s">
        <v>30</v>
      </c>
      <c r="M1921" s="152">
        <v>42622.599537037036</v>
      </c>
      <c r="N1921" s="151" t="s">
        <v>3527</v>
      </c>
      <c r="O1921" s="151"/>
      <c r="P1921" s="151"/>
      <c r="Q1921" s="7" t="str">
        <f>IF(ISBLANK(patch[[#This Row],[OwnerEmail]]),Q1920,patch[[#This Row],[OwnerEmail]])</f>
        <v>bin.b.yang@intel.com</v>
      </c>
      <c r="R1921" s="7" t="str">
        <f>_xlfn.IFNA(VLOOKUP(patch[[#This Row],[tmp-owner.email]],OrgTree!$A:$K, 11, 0), "not ICG SWFW")</f>
        <v>BJ And dev</v>
      </c>
      <c r="S1921" s="7" t="str">
        <f>IF(patch[[#This Row],[reviewer]]=patch[[#This Row],[tmp-owner.email]], "author", _xlfn.IFNA(VLOOKUP(patch[[#This Row],[reviewer]],OrgTree!$A:$K, 11, 0), "not ICG SWFW"))</f>
        <v>Val</v>
      </c>
      <c r="T1921" s="7" t="str">
        <f>IF(ISBLANK(patch[[#This Row],[mergeDate]]), "", MID(YEAR(patch[[#This Row],[mergeDate]]), 3,2)&amp;"'ww"&amp;WEEKNUM(patch[[#This Row],[mergeDate]]))</f>
        <v>16'ww38</v>
      </c>
      <c r="U1921" s="7" t="str">
        <f>IF(ISBLANK(patch[[#This Row],[mergeDate]]), U1920, MID(YEAR(patch[[#This Row],[mergeDate]]), 3,2)&amp;"'m"&amp;MONTH(patch[[#This Row],[mergeDate]]))</f>
        <v>16'm9</v>
      </c>
      <c r="V1921" s="7" t="str">
        <f>IF(ISBLANK(patch[[#This Row],[project]]), "",SUM(patch[[#This Row],[BJ -1 num]:[SH -1 num]]))</f>
        <v/>
      </c>
      <c r="W1921" s="7" t="str">
        <f>IF(ISBLANK(patch[[#This Row],[project]]), "",COUNTIFS($A:$A,patch[[#This Row],[number]],$S:$S, "BJ And dev",$AC:$AC, "Review-1"))</f>
        <v/>
      </c>
      <c r="X1921" s="7" t="str">
        <f>IF(ISBLANK(patch[[#This Row],[project]]), "",COUNTIFS($A:$A,patch[[#This Row],[number]],$S:$S, "FL And dev",$AC:$AC, "Review-1"))</f>
        <v/>
      </c>
      <c r="Y1921" s="7" t="str">
        <f>IF(ISBLANK(patch[[#This Row],[project]]), "",COUNTIFS($A:$A,patch[[#This Row],[number]],$S:$S, "SH And dev",$AC:$AC, "Review-1"))</f>
        <v/>
      </c>
      <c r="Z1921" s="7" t="str">
        <f>IF(ISBLANK(patch[[#This Row],[project]]), "",COUNTIFS($A:$A,patch[[#This Row],[number]],$S:$S, "BJ And dev",$AD:$AD, "&lt;&gt;IntegratorValidationComment"))</f>
        <v/>
      </c>
      <c r="AA1921" s="7" t="str">
        <f>IF(ISBLANK(patch[[#This Row],[project]]), "",COUNTIFS($A:$A,patch[[#This Row],[number]],$S:$S, "FL And dev",$AD:$AD, "&lt;&gt;IntegratorValidationComment"))</f>
        <v/>
      </c>
      <c r="AB1921" s="7" t="str">
        <f>IF(ISBLANK(patch[[#This Row],[project]]), "",COUNTIFS($A:$A,patch[[#This Row],[number]],$S:$S, "SH And dev",$AD:$AD, "&lt;&gt;IntegratorValidationComment"))</f>
        <v/>
      </c>
      <c r="AC1921" s="7" t="str">
        <f>IF(OR(ISNUMBER(FIND("Review-1", patch[[#This Row],[comments]])), ISNUMBER(FIND("Approver-1", patch[[#This Row],[comments]]))), "Review-1", "")</f>
        <v/>
      </c>
      <c r="AD19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921" s="7">
        <f>IF(ISBLANK(patch[[#This Row],[number]]),AE1920,patch[[#This Row],[ifCommon]])</f>
        <v>0</v>
      </c>
    </row>
    <row r="1922" spans="1:31">
      <c r="A1922" s="151">
        <v>144203</v>
      </c>
      <c r="B1922" s="151"/>
      <c r="C1922" s="151"/>
      <c r="D1922" s="151"/>
      <c r="E1922" s="151"/>
      <c r="F1922" s="151"/>
      <c r="G1922" s="151"/>
      <c r="H1922" s="151"/>
      <c r="I1922" s="151"/>
      <c r="J1922" s="152">
        <v>42625.709039351852</v>
      </c>
      <c r="K1922" s="151"/>
      <c r="L1922" s="151" t="s">
        <v>59</v>
      </c>
      <c r="M1922" s="152">
        <v>42622.60423611111</v>
      </c>
      <c r="N1922" s="151" t="s">
        <v>3528</v>
      </c>
      <c r="O1922" s="151"/>
      <c r="P1922" s="151"/>
      <c r="Q1922" s="7" t="str">
        <f>IF(ISBLANK(patch[[#This Row],[OwnerEmail]]),Q1921,patch[[#This Row],[OwnerEmail]])</f>
        <v>bin.b.yang@intel.com</v>
      </c>
      <c r="R1922" s="7" t="str">
        <f>_xlfn.IFNA(VLOOKUP(patch[[#This Row],[tmp-owner.email]],OrgTree!$A:$K, 11, 0), "not ICG SWFW")</f>
        <v>BJ And dev</v>
      </c>
      <c r="S1922" s="7" t="str">
        <f>IF(patch[[#This Row],[reviewer]]=patch[[#This Row],[tmp-owner.email]], "author", _xlfn.IFNA(VLOOKUP(patch[[#This Row],[reviewer]],OrgTree!$A:$K, 11, 0), "not ICG SWFW"))</f>
        <v>BJ And dev</v>
      </c>
      <c r="T1922" s="7" t="str">
        <f>IF(ISBLANK(patch[[#This Row],[mergeDate]]), "", MID(YEAR(patch[[#This Row],[mergeDate]]), 3,2)&amp;"'ww"&amp;WEEKNUM(patch[[#This Row],[mergeDate]]))</f>
        <v>16'ww38</v>
      </c>
      <c r="U1922" s="7" t="str">
        <f>IF(ISBLANK(patch[[#This Row],[mergeDate]]), U1921, MID(YEAR(patch[[#This Row],[mergeDate]]), 3,2)&amp;"'m"&amp;MONTH(patch[[#This Row],[mergeDate]]))</f>
        <v>16'm9</v>
      </c>
      <c r="V1922" s="7" t="str">
        <f>IF(ISBLANK(patch[[#This Row],[project]]), "",SUM(patch[[#This Row],[BJ -1 num]:[SH -1 num]]))</f>
        <v/>
      </c>
      <c r="W1922" s="7" t="str">
        <f>IF(ISBLANK(patch[[#This Row],[project]]), "",COUNTIFS($A:$A,patch[[#This Row],[number]],$S:$S, "BJ And dev",$AC:$AC, "Review-1"))</f>
        <v/>
      </c>
      <c r="X1922" s="7" t="str">
        <f>IF(ISBLANK(patch[[#This Row],[project]]), "",COUNTIFS($A:$A,patch[[#This Row],[number]],$S:$S, "FL And dev",$AC:$AC, "Review-1"))</f>
        <v/>
      </c>
      <c r="Y1922" s="7" t="str">
        <f>IF(ISBLANK(patch[[#This Row],[project]]), "",COUNTIFS($A:$A,patch[[#This Row],[number]],$S:$S, "SH And dev",$AC:$AC, "Review-1"))</f>
        <v/>
      </c>
      <c r="Z1922" s="7" t="str">
        <f>IF(ISBLANK(patch[[#This Row],[project]]), "",COUNTIFS($A:$A,patch[[#This Row],[number]],$S:$S, "BJ And dev",$AD:$AD, "&lt;&gt;IntegratorValidationComment"))</f>
        <v/>
      </c>
      <c r="AA1922" s="7" t="str">
        <f>IF(ISBLANK(patch[[#This Row],[project]]), "",COUNTIFS($A:$A,patch[[#This Row],[number]],$S:$S, "FL And dev",$AD:$AD, "&lt;&gt;IntegratorValidationComment"))</f>
        <v/>
      </c>
      <c r="AB1922" s="7" t="str">
        <f>IF(ISBLANK(patch[[#This Row],[project]]), "",COUNTIFS($A:$A,patch[[#This Row],[number]],$S:$S, "SH And dev",$AD:$AD, "&lt;&gt;IntegratorValidationComment"))</f>
        <v/>
      </c>
      <c r="AC1922" s="7" t="str">
        <f>IF(OR(ISNUMBER(FIND("Review-1", patch[[#This Row],[comments]])), ISNUMBER(FIND("Approver-1", patch[[#This Row],[comments]]))), "Review-1", "")</f>
        <v/>
      </c>
      <c r="AD19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22" s="7">
        <f>IF(ISBLANK(patch[[#This Row],[number]]),AE1921,patch[[#This Row],[ifCommon]])</f>
        <v>0</v>
      </c>
    </row>
    <row r="1923" spans="1:31">
      <c r="A1923" s="151">
        <v>144203</v>
      </c>
      <c r="B1923" s="151"/>
      <c r="C1923" s="151"/>
      <c r="D1923" s="151"/>
      <c r="E1923" s="151"/>
      <c r="F1923" s="151"/>
      <c r="G1923" s="151"/>
      <c r="H1923" s="151"/>
      <c r="I1923" s="152"/>
      <c r="J1923" s="152">
        <v>42625.709039351852</v>
      </c>
      <c r="K1923" s="151"/>
      <c r="L1923" s="151" t="s">
        <v>72</v>
      </c>
      <c r="M1923" s="152">
        <v>42622.607916666668</v>
      </c>
      <c r="N1923" s="151" t="s">
        <v>2537</v>
      </c>
      <c r="O1923" s="151"/>
      <c r="P1923" s="151"/>
      <c r="Q1923" s="7" t="str">
        <f>IF(ISBLANK(patch[[#This Row],[OwnerEmail]]),Q1922,patch[[#This Row],[OwnerEmail]])</f>
        <v>bin.b.yang@intel.com</v>
      </c>
      <c r="R1923" s="7" t="str">
        <f>_xlfn.IFNA(VLOOKUP(patch[[#This Row],[tmp-owner.email]],OrgTree!$A:$K, 11, 0), "not ICG SWFW")</f>
        <v>BJ And dev</v>
      </c>
      <c r="S1923" s="7" t="str">
        <f>IF(patch[[#This Row],[reviewer]]=patch[[#This Row],[tmp-owner.email]], "author", _xlfn.IFNA(VLOOKUP(patch[[#This Row],[reviewer]],OrgTree!$A:$K, 11, 0), "not ICG SWFW"))</f>
        <v>author</v>
      </c>
      <c r="T1923" s="7" t="str">
        <f>IF(ISBLANK(patch[[#This Row],[mergeDate]]), "", MID(YEAR(patch[[#This Row],[mergeDate]]), 3,2)&amp;"'ww"&amp;WEEKNUM(patch[[#This Row],[mergeDate]]))</f>
        <v>16'ww38</v>
      </c>
      <c r="U1923" s="7" t="str">
        <f>IF(ISBLANK(patch[[#This Row],[mergeDate]]), U1922, MID(YEAR(patch[[#This Row],[mergeDate]]), 3,2)&amp;"'m"&amp;MONTH(patch[[#This Row],[mergeDate]]))</f>
        <v>16'm9</v>
      </c>
      <c r="V1923" s="7" t="str">
        <f>IF(ISBLANK(patch[[#This Row],[project]]), "",SUM(patch[[#This Row],[BJ -1 num]:[SH -1 num]]))</f>
        <v/>
      </c>
      <c r="W1923" s="7" t="str">
        <f>IF(ISBLANK(patch[[#This Row],[project]]), "",COUNTIFS($A:$A,patch[[#This Row],[number]],$S:$S, "BJ And dev",$AC:$AC, "Review-1"))</f>
        <v/>
      </c>
      <c r="X1923" s="7" t="str">
        <f>IF(ISBLANK(patch[[#This Row],[project]]), "",COUNTIFS($A:$A,patch[[#This Row],[number]],$S:$S, "FL And dev",$AC:$AC, "Review-1"))</f>
        <v/>
      </c>
      <c r="Y1923" s="7" t="str">
        <f>IF(ISBLANK(patch[[#This Row],[project]]), "",COUNTIFS($A:$A,patch[[#This Row],[number]],$S:$S, "SH And dev",$AC:$AC, "Review-1"))</f>
        <v/>
      </c>
      <c r="Z1923" s="7" t="str">
        <f>IF(ISBLANK(patch[[#This Row],[project]]), "",COUNTIFS($A:$A,patch[[#This Row],[number]],$S:$S, "BJ And dev",$AD:$AD, "&lt;&gt;IntegratorValidationComment"))</f>
        <v/>
      </c>
      <c r="AA1923" s="7" t="str">
        <f>IF(ISBLANK(patch[[#This Row],[project]]), "",COUNTIFS($A:$A,patch[[#This Row],[number]],$S:$S, "FL And dev",$AD:$AD, "&lt;&gt;IntegratorValidationComment"))</f>
        <v/>
      </c>
      <c r="AB1923" s="7" t="str">
        <f>IF(ISBLANK(patch[[#This Row],[project]]), "",COUNTIFS($A:$A,patch[[#This Row],[number]],$S:$S, "SH And dev",$AD:$AD, "&lt;&gt;IntegratorValidationComment"))</f>
        <v/>
      </c>
      <c r="AC1923" s="7" t="str">
        <f>IF(OR(ISNUMBER(FIND("Review-1", patch[[#This Row],[comments]])), ISNUMBER(FIND("Approver-1", patch[[#This Row],[comments]]))), "Review-1", "")</f>
        <v/>
      </c>
      <c r="AD19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23" s="7">
        <f>IF(ISBLANK(patch[[#This Row],[number]]),AE1922,patch[[#This Row],[ifCommon]])</f>
        <v>0</v>
      </c>
    </row>
    <row r="1924" spans="1:31">
      <c r="A1924" s="151">
        <v>144203</v>
      </c>
      <c r="B1924" s="151"/>
      <c r="C1924" s="151"/>
      <c r="D1924" s="151"/>
      <c r="E1924" s="151"/>
      <c r="F1924" s="151"/>
      <c r="G1924" s="151"/>
      <c r="H1924" s="151"/>
      <c r="I1924" s="151"/>
      <c r="J1924" s="152">
        <v>42625.709039351852</v>
      </c>
      <c r="K1924" s="151"/>
      <c r="L1924" s="151" t="s">
        <v>72</v>
      </c>
      <c r="M1924" s="152">
        <v>42622.607928240737</v>
      </c>
      <c r="N1924" s="151" t="s">
        <v>2451</v>
      </c>
      <c r="O1924" s="151"/>
      <c r="P1924" s="151"/>
      <c r="Q1924" s="7" t="str">
        <f>IF(ISBLANK(patch[[#This Row],[OwnerEmail]]),Q1923,patch[[#This Row],[OwnerEmail]])</f>
        <v>bin.b.yang@intel.com</v>
      </c>
      <c r="R1924" s="7" t="str">
        <f>_xlfn.IFNA(VLOOKUP(patch[[#This Row],[tmp-owner.email]],OrgTree!$A:$K, 11, 0), "not ICG SWFW")</f>
        <v>BJ And dev</v>
      </c>
      <c r="S1924" s="7" t="str">
        <f>IF(patch[[#This Row],[reviewer]]=patch[[#This Row],[tmp-owner.email]], "author", _xlfn.IFNA(VLOOKUP(patch[[#This Row],[reviewer]],OrgTree!$A:$K, 11, 0), "not ICG SWFW"))</f>
        <v>author</v>
      </c>
      <c r="T1924" s="7" t="str">
        <f>IF(ISBLANK(patch[[#This Row],[mergeDate]]), "", MID(YEAR(patch[[#This Row],[mergeDate]]), 3,2)&amp;"'ww"&amp;WEEKNUM(patch[[#This Row],[mergeDate]]))</f>
        <v>16'ww38</v>
      </c>
      <c r="U1924" s="7" t="str">
        <f>IF(ISBLANK(patch[[#This Row],[mergeDate]]), U1923, MID(YEAR(patch[[#This Row],[mergeDate]]), 3,2)&amp;"'m"&amp;MONTH(patch[[#This Row],[mergeDate]]))</f>
        <v>16'm9</v>
      </c>
      <c r="V1924" s="7" t="str">
        <f>IF(ISBLANK(patch[[#This Row],[project]]), "",SUM(patch[[#This Row],[BJ -1 num]:[SH -1 num]]))</f>
        <v/>
      </c>
      <c r="W1924" s="7" t="str">
        <f>IF(ISBLANK(patch[[#This Row],[project]]), "",COUNTIFS($A:$A,patch[[#This Row],[number]],$S:$S, "BJ And dev",$AC:$AC, "Review-1"))</f>
        <v/>
      </c>
      <c r="X1924" s="7" t="str">
        <f>IF(ISBLANK(patch[[#This Row],[project]]), "",COUNTIFS($A:$A,patch[[#This Row],[number]],$S:$S, "FL And dev",$AC:$AC, "Review-1"))</f>
        <v/>
      </c>
      <c r="Y1924" s="7" t="str">
        <f>IF(ISBLANK(patch[[#This Row],[project]]), "",COUNTIFS($A:$A,patch[[#This Row],[number]],$S:$S, "SH And dev",$AC:$AC, "Review-1"))</f>
        <v/>
      </c>
      <c r="Z1924" s="7" t="str">
        <f>IF(ISBLANK(patch[[#This Row],[project]]), "",COUNTIFS($A:$A,patch[[#This Row],[number]],$S:$S, "BJ And dev",$AD:$AD, "&lt;&gt;IntegratorValidationComment"))</f>
        <v/>
      </c>
      <c r="AA1924" s="7" t="str">
        <f>IF(ISBLANK(patch[[#This Row],[project]]), "",COUNTIFS($A:$A,patch[[#This Row],[number]],$S:$S, "FL And dev",$AD:$AD, "&lt;&gt;IntegratorValidationComment"))</f>
        <v/>
      </c>
      <c r="AB1924" s="7" t="str">
        <f>IF(ISBLANK(patch[[#This Row],[project]]), "",COUNTIFS($A:$A,patch[[#This Row],[number]],$S:$S, "SH And dev",$AD:$AD, "&lt;&gt;IntegratorValidationComment"))</f>
        <v/>
      </c>
      <c r="AC1924" s="7" t="str">
        <f>IF(OR(ISNUMBER(FIND("Review-1", patch[[#This Row],[comments]])), ISNUMBER(FIND("Approver-1", patch[[#This Row],[comments]]))), "Review-1", "")</f>
        <v/>
      </c>
      <c r="AD19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24" s="7">
        <f>IF(ISBLANK(patch[[#This Row],[number]]),AE1923,patch[[#This Row],[ifCommon]])</f>
        <v>0</v>
      </c>
    </row>
    <row r="1925" spans="1:31">
      <c r="A1925" s="151">
        <v>144203</v>
      </c>
      <c r="B1925" s="151"/>
      <c r="C1925" s="151"/>
      <c r="D1925" s="151"/>
      <c r="E1925" s="151"/>
      <c r="F1925" s="151"/>
      <c r="G1925" s="151"/>
      <c r="H1925" s="151"/>
      <c r="I1925" s="151"/>
      <c r="J1925" s="152">
        <v>42625.709039351852</v>
      </c>
      <c r="K1925" s="151"/>
      <c r="L1925" s="151" t="s">
        <v>59</v>
      </c>
      <c r="M1925" s="152">
        <v>42622.612743055557</v>
      </c>
      <c r="N1925" s="151" t="s">
        <v>3529</v>
      </c>
      <c r="O1925" s="151"/>
      <c r="P1925" s="151"/>
      <c r="Q1925" s="7" t="str">
        <f>IF(ISBLANK(patch[[#This Row],[OwnerEmail]]),Q1924,patch[[#This Row],[OwnerEmail]])</f>
        <v>bin.b.yang@intel.com</v>
      </c>
      <c r="R1925" s="7" t="str">
        <f>_xlfn.IFNA(VLOOKUP(patch[[#This Row],[tmp-owner.email]],OrgTree!$A:$K, 11, 0), "not ICG SWFW")</f>
        <v>BJ And dev</v>
      </c>
      <c r="S1925" s="7" t="str">
        <f>IF(patch[[#This Row],[reviewer]]=patch[[#This Row],[tmp-owner.email]], "author", _xlfn.IFNA(VLOOKUP(patch[[#This Row],[reviewer]],OrgTree!$A:$K, 11, 0), "not ICG SWFW"))</f>
        <v>BJ And dev</v>
      </c>
      <c r="T1925" s="7" t="str">
        <f>IF(ISBLANK(patch[[#This Row],[mergeDate]]), "", MID(YEAR(patch[[#This Row],[mergeDate]]), 3,2)&amp;"'ww"&amp;WEEKNUM(patch[[#This Row],[mergeDate]]))</f>
        <v>16'ww38</v>
      </c>
      <c r="U1925" s="7" t="str">
        <f>IF(ISBLANK(patch[[#This Row],[mergeDate]]), U1924, MID(YEAR(patch[[#This Row],[mergeDate]]), 3,2)&amp;"'m"&amp;MONTH(patch[[#This Row],[mergeDate]]))</f>
        <v>16'm9</v>
      </c>
      <c r="V1925" s="7" t="str">
        <f>IF(ISBLANK(patch[[#This Row],[project]]), "",SUM(patch[[#This Row],[BJ -1 num]:[SH -1 num]]))</f>
        <v/>
      </c>
      <c r="W1925" s="7" t="str">
        <f>IF(ISBLANK(patch[[#This Row],[project]]), "",COUNTIFS($A:$A,patch[[#This Row],[number]],$S:$S, "BJ And dev",$AC:$AC, "Review-1"))</f>
        <v/>
      </c>
      <c r="X1925" s="7" t="str">
        <f>IF(ISBLANK(patch[[#This Row],[project]]), "",COUNTIFS($A:$A,patch[[#This Row],[number]],$S:$S, "FL And dev",$AC:$AC, "Review-1"))</f>
        <v/>
      </c>
      <c r="Y1925" s="7" t="str">
        <f>IF(ISBLANK(patch[[#This Row],[project]]), "",COUNTIFS($A:$A,patch[[#This Row],[number]],$S:$S, "SH And dev",$AC:$AC, "Review-1"))</f>
        <v/>
      </c>
      <c r="Z1925" s="7" t="str">
        <f>IF(ISBLANK(patch[[#This Row],[project]]), "",COUNTIFS($A:$A,patch[[#This Row],[number]],$S:$S, "BJ And dev",$AD:$AD, "&lt;&gt;IntegratorValidationComment"))</f>
        <v/>
      </c>
      <c r="AA1925" s="7" t="str">
        <f>IF(ISBLANK(patch[[#This Row],[project]]), "",COUNTIFS($A:$A,patch[[#This Row],[number]],$S:$S, "FL And dev",$AD:$AD, "&lt;&gt;IntegratorValidationComment"))</f>
        <v/>
      </c>
      <c r="AB1925" s="7" t="str">
        <f>IF(ISBLANK(patch[[#This Row],[project]]), "",COUNTIFS($A:$A,patch[[#This Row],[number]],$S:$S, "SH And dev",$AD:$AD, "&lt;&gt;IntegratorValidationComment"))</f>
        <v/>
      </c>
      <c r="AC1925" s="7" t="str">
        <f>IF(OR(ISNUMBER(FIND("Review-1", patch[[#This Row],[comments]])), ISNUMBER(FIND("Approver-1", patch[[#This Row],[comments]]))), "Review-1", "")</f>
        <v/>
      </c>
      <c r="AD19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25" s="7">
        <f>IF(ISBLANK(patch[[#This Row],[number]]),AE1924,patch[[#This Row],[ifCommon]])</f>
        <v>0</v>
      </c>
    </row>
    <row r="1926" spans="1:31">
      <c r="A1926" s="151">
        <v>144203</v>
      </c>
      <c r="B1926" s="151"/>
      <c r="C1926" s="151"/>
      <c r="D1926" s="151"/>
      <c r="E1926" s="151"/>
      <c r="F1926" s="151"/>
      <c r="G1926" s="151"/>
      <c r="H1926" s="151"/>
      <c r="I1926" s="151"/>
      <c r="J1926" s="152">
        <v>42625.709039351852</v>
      </c>
      <c r="K1926" s="151"/>
      <c r="L1926" s="151" t="s">
        <v>59</v>
      </c>
      <c r="M1926" s="152">
        <v>42622.61550925926</v>
      </c>
      <c r="N1926" s="151" t="s">
        <v>3530</v>
      </c>
      <c r="O1926" s="151"/>
      <c r="P1926" s="151"/>
      <c r="Q1926" s="7" t="str">
        <f>IF(ISBLANK(patch[[#This Row],[OwnerEmail]]),Q1925,patch[[#This Row],[OwnerEmail]])</f>
        <v>bin.b.yang@intel.com</v>
      </c>
      <c r="R1926" s="7" t="str">
        <f>_xlfn.IFNA(VLOOKUP(patch[[#This Row],[tmp-owner.email]],OrgTree!$A:$K, 11, 0), "not ICG SWFW")</f>
        <v>BJ And dev</v>
      </c>
      <c r="S1926" s="7" t="str">
        <f>IF(patch[[#This Row],[reviewer]]=patch[[#This Row],[tmp-owner.email]], "author", _xlfn.IFNA(VLOOKUP(patch[[#This Row],[reviewer]],OrgTree!$A:$K, 11, 0), "not ICG SWFW"))</f>
        <v>BJ And dev</v>
      </c>
      <c r="T1926" s="7" t="str">
        <f>IF(ISBLANK(patch[[#This Row],[mergeDate]]), "", MID(YEAR(patch[[#This Row],[mergeDate]]), 3,2)&amp;"'ww"&amp;WEEKNUM(patch[[#This Row],[mergeDate]]))</f>
        <v>16'ww38</v>
      </c>
      <c r="U1926" s="7" t="str">
        <f>IF(ISBLANK(patch[[#This Row],[mergeDate]]), U1925, MID(YEAR(patch[[#This Row],[mergeDate]]), 3,2)&amp;"'m"&amp;MONTH(patch[[#This Row],[mergeDate]]))</f>
        <v>16'm9</v>
      </c>
      <c r="V1926" s="7" t="str">
        <f>IF(ISBLANK(patch[[#This Row],[project]]), "",SUM(patch[[#This Row],[BJ -1 num]:[SH -1 num]]))</f>
        <v/>
      </c>
      <c r="W1926" s="7" t="str">
        <f>IF(ISBLANK(patch[[#This Row],[project]]), "",COUNTIFS($A:$A,patch[[#This Row],[number]],$S:$S, "BJ And dev",$AC:$AC, "Review-1"))</f>
        <v/>
      </c>
      <c r="X1926" s="7" t="str">
        <f>IF(ISBLANK(patch[[#This Row],[project]]), "",COUNTIFS($A:$A,patch[[#This Row],[number]],$S:$S, "FL And dev",$AC:$AC, "Review-1"))</f>
        <v/>
      </c>
      <c r="Y1926" s="7" t="str">
        <f>IF(ISBLANK(patch[[#This Row],[project]]), "",COUNTIFS($A:$A,patch[[#This Row],[number]],$S:$S, "SH And dev",$AC:$AC, "Review-1"))</f>
        <v/>
      </c>
      <c r="Z1926" s="7" t="str">
        <f>IF(ISBLANK(patch[[#This Row],[project]]), "",COUNTIFS($A:$A,patch[[#This Row],[number]],$S:$S, "BJ And dev",$AD:$AD, "&lt;&gt;IntegratorValidationComment"))</f>
        <v/>
      </c>
      <c r="AA1926" s="7" t="str">
        <f>IF(ISBLANK(patch[[#This Row],[project]]), "",COUNTIFS($A:$A,patch[[#This Row],[number]],$S:$S, "FL And dev",$AD:$AD, "&lt;&gt;IntegratorValidationComment"))</f>
        <v/>
      </c>
      <c r="AB1926" s="7" t="str">
        <f>IF(ISBLANK(patch[[#This Row],[project]]), "",COUNTIFS($A:$A,patch[[#This Row],[number]],$S:$S, "SH And dev",$AD:$AD, "&lt;&gt;IntegratorValidationComment"))</f>
        <v/>
      </c>
      <c r="AC1926" s="7" t="str">
        <f>IF(OR(ISNUMBER(FIND("Review-1", patch[[#This Row],[comments]])), ISNUMBER(FIND("Approver-1", patch[[#This Row],[comments]]))), "Review-1", "")</f>
        <v/>
      </c>
      <c r="AD19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26" s="7">
        <f>IF(ISBLANK(patch[[#This Row],[number]]),AE1925,patch[[#This Row],[ifCommon]])</f>
        <v>0</v>
      </c>
    </row>
    <row r="1927" spans="1:31">
      <c r="A1927" s="151">
        <v>144203</v>
      </c>
      <c r="B1927" s="151"/>
      <c r="C1927" s="151"/>
      <c r="D1927" s="151"/>
      <c r="E1927" s="151"/>
      <c r="F1927" s="151"/>
      <c r="G1927" s="151"/>
      <c r="H1927" s="151"/>
      <c r="I1927" s="151"/>
      <c r="J1927" s="152">
        <v>42625.709039351852</v>
      </c>
      <c r="K1927" s="151"/>
      <c r="L1927" s="151" t="s">
        <v>115</v>
      </c>
      <c r="M1927" s="152">
        <v>42625.425821759258</v>
      </c>
      <c r="N1927" s="151" t="s">
        <v>2496</v>
      </c>
      <c r="O1927" s="151"/>
      <c r="P1927" s="151"/>
      <c r="Q1927" s="7" t="str">
        <f>IF(ISBLANK(patch[[#This Row],[OwnerEmail]]),Q1926,patch[[#This Row],[OwnerEmail]])</f>
        <v>bin.b.yang@intel.com</v>
      </c>
      <c r="R1927" s="7" t="str">
        <f>_xlfn.IFNA(VLOOKUP(patch[[#This Row],[tmp-owner.email]],OrgTree!$A:$K, 11, 0), "not ICG SWFW")</f>
        <v>BJ And dev</v>
      </c>
      <c r="S1927" s="7" t="str">
        <f>IF(patch[[#This Row],[reviewer]]=patch[[#This Row],[tmp-owner.email]], "author", _xlfn.IFNA(VLOOKUP(patch[[#This Row],[reviewer]],OrgTree!$A:$K, 11, 0), "not ICG SWFW"))</f>
        <v>Val</v>
      </c>
      <c r="T1927" s="7" t="str">
        <f>IF(ISBLANK(patch[[#This Row],[mergeDate]]), "", MID(YEAR(patch[[#This Row],[mergeDate]]), 3,2)&amp;"'ww"&amp;WEEKNUM(patch[[#This Row],[mergeDate]]))</f>
        <v>16'ww38</v>
      </c>
      <c r="U1927" s="7" t="str">
        <f>IF(ISBLANK(patch[[#This Row],[mergeDate]]), U1926, MID(YEAR(patch[[#This Row],[mergeDate]]), 3,2)&amp;"'m"&amp;MONTH(patch[[#This Row],[mergeDate]]))</f>
        <v>16'm9</v>
      </c>
      <c r="V1927" s="7" t="str">
        <f>IF(ISBLANK(patch[[#This Row],[project]]), "",SUM(patch[[#This Row],[BJ -1 num]:[SH -1 num]]))</f>
        <v/>
      </c>
      <c r="W1927" s="7" t="str">
        <f>IF(ISBLANK(patch[[#This Row],[project]]), "",COUNTIFS($A:$A,patch[[#This Row],[number]],$S:$S, "BJ And dev",$AC:$AC, "Review-1"))</f>
        <v/>
      </c>
      <c r="X1927" s="7" t="str">
        <f>IF(ISBLANK(patch[[#This Row],[project]]), "",COUNTIFS($A:$A,patch[[#This Row],[number]],$S:$S, "FL And dev",$AC:$AC, "Review-1"))</f>
        <v/>
      </c>
      <c r="Y1927" s="7" t="str">
        <f>IF(ISBLANK(patch[[#This Row],[project]]), "",COUNTIFS($A:$A,patch[[#This Row],[number]],$S:$S, "SH And dev",$AC:$AC, "Review-1"))</f>
        <v/>
      </c>
      <c r="Z1927" s="7" t="str">
        <f>IF(ISBLANK(patch[[#This Row],[project]]), "",COUNTIFS($A:$A,patch[[#This Row],[number]],$S:$S, "BJ And dev",$AD:$AD, "&lt;&gt;IntegratorValidationComment"))</f>
        <v/>
      </c>
      <c r="AA1927" s="7" t="str">
        <f>IF(ISBLANK(patch[[#This Row],[project]]), "",COUNTIFS($A:$A,patch[[#This Row],[number]],$S:$S, "FL And dev",$AD:$AD, "&lt;&gt;IntegratorValidationComment"))</f>
        <v/>
      </c>
      <c r="AB1927" s="7" t="str">
        <f>IF(ISBLANK(patch[[#This Row],[project]]), "",COUNTIFS($A:$A,patch[[#This Row],[number]],$S:$S, "SH And dev",$AD:$AD, "&lt;&gt;IntegratorValidationComment"))</f>
        <v/>
      </c>
      <c r="AC1927" s="7" t="str">
        <f>IF(OR(ISNUMBER(FIND("Review-1", patch[[#This Row],[comments]])), ISNUMBER(FIND("Approver-1", patch[[#This Row],[comments]]))), "Review-1", "")</f>
        <v/>
      </c>
      <c r="AD19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927" s="7">
        <f>IF(ISBLANK(patch[[#This Row],[number]]),AE1926,patch[[#This Row],[ifCommon]])</f>
        <v>0</v>
      </c>
    </row>
    <row r="1928" spans="1:31">
      <c r="A1928" s="151">
        <v>144131</v>
      </c>
      <c r="B1928" s="151" t="s">
        <v>2490</v>
      </c>
      <c r="C1928" s="151" t="s">
        <v>2491</v>
      </c>
      <c r="D1928" s="151" t="s">
        <v>3350</v>
      </c>
      <c r="E1928" s="151" t="s">
        <v>61</v>
      </c>
      <c r="F1928" s="151" t="s">
        <v>23</v>
      </c>
      <c r="G1928" s="151" t="s">
        <v>3351</v>
      </c>
      <c r="H1928" s="151" t="s">
        <v>3352</v>
      </c>
      <c r="I1928" s="152">
        <v>42621.852361111109</v>
      </c>
      <c r="J1928" s="152">
        <v>42625.709004629629</v>
      </c>
      <c r="K1928" s="151" t="s">
        <v>2445</v>
      </c>
      <c r="L1928" s="151" t="s">
        <v>61</v>
      </c>
      <c r="M1928" s="152">
        <v>42621.852361111109</v>
      </c>
      <c r="N1928" s="151" t="s">
        <v>25</v>
      </c>
      <c r="O1928" s="151"/>
      <c r="P1928" s="151" t="s">
        <v>3531</v>
      </c>
      <c r="Q1928" s="7" t="str">
        <f>IF(ISBLANK(patch[[#This Row],[OwnerEmail]]),Q1927,patch[[#This Row],[OwnerEmail]])</f>
        <v>john.mathew@intel.com</v>
      </c>
      <c r="R1928" s="7" t="str">
        <f>_xlfn.IFNA(VLOOKUP(patch[[#This Row],[tmp-owner.email]],OrgTree!$A:$K, 11, 0), "not ICG SWFW")</f>
        <v>FL And dev</v>
      </c>
      <c r="S1928" s="7" t="str">
        <f>IF(patch[[#This Row],[reviewer]]=patch[[#This Row],[tmp-owner.email]], "author", _xlfn.IFNA(VLOOKUP(patch[[#This Row],[reviewer]],OrgTree!$A:$K, 11, 0), "not ICG SWFW"))</f>
        <v>author</v>
      </c>
      <c r="T1928" s="7" t="str">
        <f>IF(ISBLANK(patch[[#This Row],[mergeDate]]), "", MID(YEAR(patch[[#This Row],[mergeDate]]), 3,2)&amp;"'ww"&amp;WEEKNUM(patch[[#This Row],[mergeDate]]))</f>
        <v>16'ww38</v>
      </c>
      <c r="U1928" s="7" t="str">
        <f>IF(ISBLANK(patch[[#This Row],[mergeDate]]), U1927, MID(YEAR(patch[[#This Row],[mergeDate]]), 3,2)&amp;"'m"&amp;MONTH(patch[[#This Row],[mergeDate]]))</f>
        <v>16'm9</v>
      </c>
      <c r="V1928" s="7">
        <f>IF(ISBLANK(patch[[#This Row],[project]]), "",SUM(patch[[#This Row],[BJ -1 num]:[SH -1 num]]))</f>
        <v>1</v>
      </c>
      <c r="W1928" s="7">
        <f>IF(ISBLANK(patch[[#This Row],[project]]), "",COUNTIFS($A:$A,patch[[#This Row],[number]],$S:$S, "BJ And dev",$AC:$AC, "Review-1"))</f>
        <v>1</v>
      </c>
      <c r="X1928" s="7">
        <f>IF(ISBLANK(patch[[#This Row],[project]]), "",COUNTIFS($A:$A,patch[[#This Row],[number]],$S:$S, "FL And dev",$AC:$AC, "Review-1"))</f>
        <v>0</v>
      </c>
      <c r="Y1928" s="7">
        <f>IF(ISBLANK(patch[[#This Row],[project]]), "",COUNTIFS($A:$A,patch[[#This Row],[number]],$S:$S, "SH And dev",$AC:$AC, "Review-1"))</f>
        <v>0</v>
      </c>
      <c r="Z1928" s="7">
        <f>IF(ISBLANK(patch[[#This Row],[project]]), "",COUNTIFS($A:$A,patch[[#This Row],[number]],$S:$S, "BJ And dev",$AD:$AD, "&lt;&gt;IntegratorValidationComment"))</f>
        <v>9</v>
      </c>
      <c r="AA1928" s="7">
        <f>IF(ISBLANK(patch[[#This Row],[project]]), "",COUNTIFS($A:$A,patch[[#This Row],[number]],$S:$S, "FL And dev",$AD:$AD, "&lt;&gt;IntegratorValidationComment"))</f>
        <v>0</v>
      </c>
      <c r="AB1928" s="7">
        <f>IF(ISBLANK(patch[[#This Row],[project]]), "",COUNTIFS($A:$A,patch[[#This Row],[number]],$S:$S, "SH And dev",$AD:$AD, "&lt;&gt;IntegratorValidationComment"))</f>
        <v>0</v>
      </c>
      <c r="AC1928" s="7" t="str">
        <f>IF(OR(ISNUMBER(FIND("Review-1", patch[[#This Row],[comments]])), ISNUMBER(FIND("Approver-1", patch[[#This Row],[comments]]))), "Review-1", "")</f>
        <v/>
      </c>
      <c r="AD19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28" s="7" t="str">
        <f>IF(ISBLANK(patch[[#This Row],[number]]),AE1927,patch[[#This Row],[ifCommon]])</f>
        <v>not AndrHAL</v>
      </c>
    </row>
    <row r="1929" spans="1:31">
      <c r="A1929" s="151">
        <v>144131</v>
      </c>
      <c r="B1929" s="151"/>
      <c r="C1929" s="151"/>
      <c r="D1929" s="151"/>
      <c r="E1929" s="151"/>
      <c r="F1929" s="151"/>
      <c r="G1929" s="151"/>
      <c r="H1929" s="151"/>
      <c r="I1929" s="151"/>
      <c r="J1929" s="152">
        <v>42625.709004629629</v>
      </c>
      <c r="K1929" s="151"/>
      <c r="L1929" s="151" t="s">
        <v>61</v>
      </c>
      <c r="M1929" s="152">
        <v>42621.852361111109</v>
      </c>
      <c r="N1929" s="151" t="s">
        <v>2428</v>
      </c>
      <c r="O1929" s="151"/>
      <c r="P1929" s="151"/>
      <c r="Q1929" s="7" t="str">
        <f>IF(ISBLANK(patch[[#This Row],[OwnerEmail]]),Q1928,patch[[#This Row],[OwnerEmail]])</f>
        <v>john.mathew@intel.com</v>
      </c>
      <c r="R1929" s="7" t="str">
        <f>_xlfn.IFNA(VLOOKUP(patch[[#This Row],[tmp-owner.email]],OrgTree!$A:$K, 11, 0), "not ICG SWFW")</f>
        <v>FL And dev</v>
      </c>
      <c r="S1929" s="7" t="str">
        <f>IF(patch[[#This Row],[reviewer]]=patch[[#This Row],[tmp-owner.email]], "author", _xlfn.IFNA(VLOOKUP(patch[[#This Row],[reviewer]],OrgTree!$A:$K, 11, 0), "not ICG SWFW"))</f>
        <v>author</v>
      </c>
      <c r="T1929" s="7" t="str">
        <f>IF(ISBLANK(patch[[#This Row],[mergeDate]]), "", MID(YEAR(patch[[#This Row],[mergeDate]]), 3,2)&amp;"'ww"&amp;WEEKNUM(patch[[#This Row],[mergeDate]]))</f>
        <v>16'ww38</v>
      </c>
      <c r="U1929" s="7" t="str">
        <f>IF(ISBLANK(patch[[#This Row],[mergeDate]]), U1928, MID(YEAR(patch[[#This Row],[mergeDate]]), 3,2)&amp;"'m"&amp;MONTH(patch[[#This Row],[mergeDate]]))</f>
        <v>16'm9</v>
      </c>
      <c r="V1929" s="7" t="str">
        <f>IF(ISBLANK(patch[[#This Row],[project]]), "",SUM(patch[[#This Row],[BJ -1 num]:[SH -1 num]]))</f>
        <v/>
      </c>
      <c r="W1929" s="7" t="str">
        <f>IF(ISBLANK(patch[[#This Row],[project]]), "",COUNTIFS($A:$A,patch[[#This Row],[number]],$S:$S, "BJ And dev",$AC:$AC, "Review-1"))</f>
        <v/>
      </c>
      <c r="X1929" s="7" t="str">
        <f>IF(ISBLANK(patch[[#This Row],[project]]), "",COUNTIFS($A:$A,patch[[#This Row],[number]],$S:$S, "FL And dev",$AC:$AC, "Review-1"))</f>
        <v/>
      </c>
      <c r="Y1929" s="7" t="str">
        <f>IF(ISBLANK(patch[[#This Row],[project]]), "",COUNTIFS($A:$A,patch[[#This Row],[number]],$S:$S, "SH And dev",$AC:$AC, "Review-1"))</f>
        <v/>
      </c>
      <c r="Z1929" s="7" t="str">
        <f>IF(ISBLANK(patch[[#This Row],[project]]), "",COUNTIFS($A:$A,patch[[#This Row],[number]],$S:$S, "BJ And dev",$AD:$AD, "&lt;&gt;IntegratorValidationComment"))</f>
        <v/>
      </c>
      <c r="AA1929" s="7" t="str">
        <f>IF(ISBLANK(patch[[#This Row],[project]]), "",COUNTIFS($A:$A,patch[[#This Row],[number]],$S:$S, "FL And dev",$AD:$AD, "&lt;&gt;IntegratorValidationComment"))</f>
        <v/>
      </c>
      <c r="AB1929" s="7" t="str">
        <f>IF(ISBLANK(patch[[#This Row],[project]]), "",COUNTIFS($A:$A,patch[[#This Row],[number]],$S:$S, "SH And dev",$AD:$AD, "&lt;&gt;IntegratorValidationComment"))</f>
        <v/>
      </c>
      <c r="AC1929" s="7" t="str">
        <f>IF(OR(ISNUMBER(FIND("Review-1", patch[[#This Row],[comments]])), ISNUMBER(FIND("Approver-1", patch[[#This Row],[comments]]))), "Review-1", "")</f>
        <v/>
      </c>
      <c r="AD19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29" s="7">
        <f>IF(ISBLANK(patch[[#This Row],[number]]),AE1928,patch[[#This Row],[ifCommon]])</f>
        <v>0</v>
      </c>
    </row>
    <row r="1930" spans="1:31">
      <c r="A1930" s="151">
        <v>144131</v>
      </c>
      <c r="B1930" s="151"/>
      <c r="C1930" s="151"/>
      <c r="D1930" s="151"/>
      <c r="E1930" s="151"/>
      <c r="F1930" s="151"/>
      <c r="G1930" s="151"/>
      <c r="H1930" s="151"/>
      <c r="I1930" s="151"/>
      <c r="J1930" s="152">
        <v>42625.709004629629</v>
      </c>
      <c r="K1930" s="151"/>
      <c r="L1930" s="151" t="s">
        <v>61</v>
      </c>
      <c r="M1930" s="152">
        <v>42621.852650462963</v>
      </c>
      <c r="N1930" s="151" t="s">
        <v>40</v>
      </c>
      <c r="O1930" s="151"/>
      <c r="P1930" s="151"/>
      <c r="Q1930" s="7" t="str">
        <f>IF(ISBLANK(patch[[#This Row],[OwnerEmail]]),Q1929,patch[[#This Row],[OwnerEmail]])</f>
        <v>john.mathew@intel.com</v>
      </c>
      <c r="R1930" s="7" t="str">
        <f>_xlfn.IFNA(VLOOKUP(patch[[#This Row],[tmp-owner.email]],OrgTree!$A:$K, 11, 0), "not ICG SWFW")</f>
        <v>FL And dev</v>
      </c>
      <c r="S1930" s="7" t="str">
        <f>IF(patch[[#This Row],[reviewer]]=patch[[#This Row],[tmp-owner.email]], "author", _xlfn.IFNA(VLOOKUP(patch[[#This Row],[reviewer]],OrgTree!$A:$K, 11, 0), "not ICG SWFW"))</f>
        <v>author</v>
      </c>
      <c r="T1930" s="7" t="str">
        <f>IF(ISBLANK(patch[[#This Row],[mergeDate]]), "", MID(YEAR(patch[[#This Row],[mergeDate]]), 3,2)&amp;"'ww"&amp;WEEKNUM(patch[[#This Row],[mergeDate]]))</f>
        <v>16'ww38</v>
      </c>
      <c r="U1930" s="7" t="str">
        <f>IF(ISBLANK(patch[[#This Row],[mergeDate]]), U1929, MID(YEAR(patch[[#This Row],[mergeDate]]), 3,2)&amp;"'m"&amp;MONTH(patch[[#This Row],[mergeDate]]))</f>
        <v>16'm9</v>
      </c>
      <c r="V1930" s="7" t="str">
        <f>IF(ISBLANK(patch[[#This Row],[project]]), "",SUM(patch[[#This Row],[BJ -1 num]:[SH -1 num]]))</f>
        <v/>
      </c>
      <c r="W1930" s="7" t="str">
        <f>IF(ISBLANK(patch[[#This Row],[project]]), "",COUNTIFS($A:$A,patch[[#This Row],[number]],$S:$S, "BJ And dev",$AC:$AC, "Review-1"))</f>
        <v/>
      </c>
      <c r="X1930" s="7" t="str">
        <f>IF(ISBLANK(patch[[#This Row],[project]]), "",COUNTIFS($A:$A,patch[[#This Row],[number]],$S:$S, "FL And dev",$AC:$AC, "Review-1"))</f>
        <v/>
      </c>
      <c r="Y1930" s="7" t="str">
        <f>IF(ISBLANK(patch[[#This Row],[project]]), "",COUNTIFS($A:$A,patch[[#This Row],[number]],$S:$S, "SH And dev",$AC:$AC, "Review-1"))</f>
        <v/>
      </c>
      <c r="Z1930" s="7" t="str">
        <f>IF(ISBLANK(patch[[#This Row],[project]]), "",COUNTIFS($A:$A,patch[[#This Row],[number]],$S:$S, "BJ And dev",$AD:$AD, "&lt;&gt;IntegratorValidationComment"))</f>
        <v/>
      </c>
      <c r="AA1930" s="7" t="str">
        <f>IF(ISBLANK(patch[[#This Row],[project]]), "",COUNTIFS($A:$A,patch[[#This Row],[number]],$S:$S, "FL And dev",$AD:$AD, "&lt;&gt;IntegratorValidationComment"))</f>
        <v/>
      </c>
      <c r="AB1930" s="7" t="str">
        <f>IF(ISBLANK(patch[[#This Row],[project]]), "",COUNTIFS($A:$A,patch[[#This Row],[number]],$S:$S, "SH And dev",$AD:$AD, "&lt;&gt;IntegratorValidationComment"))</f>
        <v/>
      </c>
      <c r="AC1930" s="7" t="str">
        <f>IF(OR(ISNUMBER(FIND("Review-1", patch[[#This Row],[comments]])), ISNUMBER(FIND("Approver-1", patch[[#This Row],[comments]]))), "Review-1", "")</f>
        <v/>
      </c>
      <c r="AD19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30" s="7">
        <f>IF(ISBLANK(patch[[#This Row],[number]]),AE1929,patch[[#This Row],[ifCommon]])</f>
        <v>0</v>
      </c>
    </row>
    <row r="1931" spans="1:31">
      <c r="A1931" s="151">
        <v>144131</v>
      </c>
      <c r="B1931" s="151"/>
      <c r="C1931" s="151"/>
      <c r="D1931" s="151"/>
      <c r="E1931" s="151"/>
      <c r="F1931" s="151"/>
      <c r="G1931" s="151"/>
      <c r="H1931" s="151"/>
      <c r="I1931" s="151"/>
      <c r="J1931" s="152">
        <v>42625.709004629629</v>
      </c>
      <c r="K1931" s="151"/>
      <c r="L1931" s="151" t="s">
        <v>32</v>
      </c>
      <c r="M1931" s="152">
        <v>42621.949629629627</v>
      </c>
      <c r="N1931" s="151" t="s">
        <v>40</v>
      </c>
      <c r="O1931" s="151"/>
      <c r="P1931" s="151"/>
      <c r="Q1931" s="7" t="str">
        <f>IF(ISBLANK(patch[[#This Row],[OwnerEmail]]),Q1930,patch[[#This Row],[OwnerEmail]])</f>
        <v>john.mathew@intel.com</v>
      </c>
      <c r="R1931" s="7" t="str">
        <f>_xlfn.IFNA(VLOOKUP(patch[[#This Row],[tmp-owner.email]],OrgTree!$A:$K, 11, 0), "not ICG SWFW")</f>
        <v>FL And dev</v>
      </c>
      <c r="S1931" s="7" t="str">
        <f>IF(patch[[#This Row],[reviewer]]=patch[[#This Row],[tmp-owner.email]], "author", _xlfn.IFNA(VLOOKUP(patch[[#This Row],[reviewer]],OrgTree!$A:$K, 11, 0), "not ICG SWFW"))</f>
        <v>BJ And dev</v>
      </c>
      <c r="T1931" s="7" t="str">
        <f>IF(ISBLANK(patch[[#This Row],[mergeDate]]), "", MID(YEAR(patch[[#This Row],[mergeDate]]), 3,2)&amp;"'ww"&amp;WEEKNUM(patch[[#This Row],[mergeDate]]))</f>
        <v>16'ww38</v>
      </c>
      <c r="U1931" s="7" t="str">
        <f>IF(ISBLANK(patch[[#This Row],[mergeDate]]), U1930, MID(YEAR(patch[[#This Row],[mergeDate]]), 3,2)&amp;"'m"&amp;MONTH(patch[[#This Row],[mergeDate]]))</f>
        <v>16'm9</v>
      </c>
      <c r="V1931" s="7" t="str">
        <f>IF(ISBLANK(patch[[#This Row],[project]]), "",SUM(patch[[#This Row],[BJ -1 num]:[SH -1 num]]))</f>
        <v/>
      </c>
      <c r="W1931" s="7" t="str">
        <f>IF(ISBLANK(patch[[#This Row],[project]]), "",COUNTIFS($A:$A,patch[[#This Row],[number]],$S:$S, "BJ And dev",$AC:$AC, "Review-1"))</f>
        <v/>
      </c>
      <c r="X1931" s="7" t="str">
        <f>IF(ISBLANK(patch[[#This Row],[project]]), "",COUNTIFS($A:$A,patch[[#This Row],[number]],$S:$S, "FL And dev",$AC:$AC, "Review-1"))</f>
        <v/>
      </c>
      <c r="Y1931" s="7" t="str">
        <f>IF(ISBLANK(patch[[#This Row],[project]]), "",COUNTIFS($A:$A,patch[[#This Row],[number]],$S:$S, "SH And dev",$AC:$AC, "Review-1"))</f>
        <v/>
      </c>
      <c r="Z1931" s="7" t="str">
        <f>IF(ISBLANK(patch[[#This Row],[project]]), "",COUNTIFS($A:$A,patch[[#This Row],[number]],$S:$S, "BJ And dev",$AD:$AD, "&lt;&gt;IntegratorValidationComment"))</f>
        <v/>
      </c>
      <c r="AA1931" s="7" t="str">
        <f>IF(ISBLANK(patch[[#This Row],[project]]), "",COUNTIFS($A:$A,patch[[#This Row],[number]],$S:$S, "FL And dev",$AD:$AD, "&lt;&gt;IntegratorValidationComment"))</f>
        <v/>
      </c>
      <c r="AB1931" s="7" t="str">
        <f>IF(ISBLANK(patch[[#This Row],[project]]), "",COUNTIFS($A:$A,patch[[#This Row],[number]],$S:$S, "SH And dev",$AD:$AD, "&lt;&gt;IntegratorValidationComment"))</f>
        <v/>
      </c>
      <c r="AC1931" s="7" t="str">
        <f>IF(OR(ISNUMBER(FIND("Review-1", patch[[#This Row],[comments]])), ISNUMBER(FIND("Approver-1", patch[[#This Row],[comments]]))), "Review-1", "")</f>
        <v/>
      </c>
      <c r="AD19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31" s="7">
        <f>IF(ISBLANK(patch[[#This Row],[number]]),AE1930,patch[[#This Row],[ifCommon]])</f>
        <v>0</v>
      </c>
    </row>
    <row r="1932" spans="1:31">
      <c r="A1932" s="151">
        <v>144131</v>
      </c>
      <c r="B1932" s="151"/>
      <c r="C1932" s="151"/>
      <c r="D1932" s="151"/>
      <c r="E1932" s="151"/>
      <c r="F1932" s="151"/>
      <c r="G1932" s="151"/>
      <c r="H1932" s="151"/>
      <c r="I1932" s="151"/>
      <c r="J1932" s="152">
        <v>42625.709004629629</v>
      </c>
      <c r="K1932" s="151"/>
      <c r="L1932" s="151" t="s">
        <v>59</v>
      </c>
      <c r="M1932" s="152">
        <v>42622.376377314817</v>
      </c>
      <c r="N1932" s="151" t="s">
        <v>3532</v>
      </c>
      <c r="O1932" s="151"/>
      <c r="P1932" s="151"/>
      <c r="Q1932" s="7" t="str">
        <f>IF(ISBLANK(patch[[#This Row],[OwnerEmail]]),Q1931,patch[[#This Row],[OwnerEmail]])</f>
        <v>john.mathew@intel.com</v>
      </c>
      <c r="R1932" s="7" t="str">
        <f>_xlfn.IFNA(VLOOKUP(patch[[#This Row],[tmp-owner.email]],OrgTree!$A:$K, 11, 0), "not ICG SWFW")</f>
        <v>FL And dev</v>
      </c>
      <c r="S1932" s="7" t="str">
        <f>IF(patch[[#This Row],[reviewer]]=patch[[#This Row],[tmp-owner.email]], "author", _xlfn.IFNA(VLOOKUP(patch[[#This Row],[reviewer]],OrgTree!$A:$K, 11, 0), "not ICG SWFW"))</f>
        <v>BJ And dev</v>
      </c>
      <c r="T1932" s="7" t="str">
        <f>IF(ISBLANK(patch[[#This Row],[mergeDate]]), "", MID(YEAR(patch[[#This Row],[mergeDate]]), 3,2)&amp;"'ww"&amp;WEEKNUM(patch[[#This Row],[mergeDate]]))</f>
        <v>16'ww38</v>
      </c>
      <c r="U1932" s="7" t="str">
        <f>IF(ISBLANK(patch[[#This Row],[mergeDate]]), U1931, MID(YEAR(patch[[#This Row],[mergeDate]]), 3,2)&amp;"'m"&amp;MONTH(patch[[#This Row],[mergeDate]]))</f>
        <v>16'm9</v>
      </c>
      <c r="V1932" s="7" t="str">
        <f>IF(ISBLANK(patch[[#This Row],[project]]), "",SUM(patch[[#This Row],[BJ -1 num]:[SH -1 num]]))</f>
        <v/>
      </c>
      <c r="W1932" s="7" t="str">
        <f>IF(ISBLANK(patch[[#This Row],[project]]), "",COUNTIFS($A:$A,patch[[#This Row],[number]],$S:$S, "BJ And dev",$AC:$AC, "Review-1"))</f>
        <v/>
      </c>
      <c r="X1932" s="7" t="str">
        <f>IF(ISBLANK(patch[[#This Row],[project]]), "",COUNTIFS($A:$A,patch[[#This Row],[number]],$S:$S, "FL And dev",$AC:$AC, "Review-1"))</f>
        <v/>
      </c>
      <c r="Y1932" s="7" t="str">
        <f>IF(ISBLANK(patch[[#This Row],[project]]), "",COUNTIFS($A:$A,patch[[#This Row],[number]],$S:$S, "SH And dev",$AC:$AC, "Review-1"))</f>
        <v/>
      </c>
      <c r="Z1932" s="7" t="str">
        <f>IF(ISBLANK(patch[[#This Row],[project]]), "",COUNTIFS($A:$A,patch[[#This Row],[number]],$S:$S, "BJ And dev",$AD:$AD, "&lt;&gt;IntegratorValidationComment"))</f>
        <v/>
      </c>
      <c r="AA1932" s="7" t="str">
        <f>IF(ISBLANK(patch[[#This Row],[project]]), "",COUNTIFS($A:$A,patch[[#This Row],[number]],$S:$S, "FL And dev",$AD:$AD, "&lt;&gt;IntegratorValidationComment"))</f>
        <v/>
      </c>
      <c r="AB1932" s="7" t="str">
        <f>IF(ISBLANK(patch[[#This Row],[project]]), "",COUNTIFS($A:$A,patch[[#This Row],[number]],$S:$S, "SH And dev",$AD:$AD, "&lt;&gt;IntegratorValidationComment"))</f>
        <v/>
      </c>
      <c r="AC1932" s="7" t="str">
        <f>IF(OR(ISNUMBER(FIND("Review-1", patch[[#This Row],[comments]])), ISNUMBER(FIND("Approver-1", patch[[#This Row],[comments]]))), "Review-1", "")</f>
        <v/>
      </c>
      <c r="AD19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32" s="7">
        <f>IF(ISBLANK(patch[[#This Row],[number]]),AE1931,patch[[#This Row],[ifCommon]])</f>
        <v>0</v>
      </c>
    </row>
    <row r="1933" spans="1:31">
      <c r="A1933" s="151">
        <v>144131</v>
      </c>
      <c r="B1933" s="151"/>
      <c r="C1933" s="151"/>
      <c r="D1933" s="151"/>
      <c r="E1933" s="151"/>
      <c r="F1933" s="151"/>
      <c r="G1933" s="151"/>
      <c r="H1933" s="151"/>
      <c r="I1933" s="151"/>
      <c r="J1933" s="152">
        <v>42625.709004629629</v>
      </c>
      <c r="K1933" s="151"/>
      <c r="L1933" s="151" t="s">
        <v>59</v>
      </c>
      <c r="M1933" s="152">
        <v>42622.383773148147</v>
      </c>
      <c r="N1933" s="151" t="s">
        <v>3533</v>
      </c>
      <c r="O1933" s="151"/>
      <c r="P1933" s="151"/>
      <c r="Q1933" s="7" t="str">
        <f>IF(ISBLANK(patch[[#This Row],[OwnerEmail]]),Q1932,patch[[#This Row],[OwnerEmail]])</f>
        <v>john.mathew@intel.com</v>
      </c>
      <c r="R1933" s="7" t="str">
        <f>_xlfn.IFNA(VLOOKUP(patch[[#This Row],[tmp-owner.email]],OrgTree!$A:$K, 11, 0), "not ICG SWFW")</f>
        <v>FL And dev</v>
      </c>
      <c r="S1933" s="7" t="str">
        <f>IF(patch[[#This Row],[reviewer]]=patch[[#This Row],[tmp-owner.email]], "author", _xlfn.IFNA(VLOOKUP(patch[[#This Row],[reviewer]],OrgTree!$A:$K, 11, 0), "not ICG SWFW"))</f>
        <v>BJ And dev</v>
      </c>
      <c r="T1933" s="7" t="str">
        <f>IF(ISBLANK(patch[[#This Row],[mergeDate]]), "", MID(YEAR(patch[[#This Row],[mergeDate]]), 3,2)&amp;"'ww"&amp;WEEKNUM(patch[[#This Row],[mergeDate]]))</f>
        <v>16'ww38</v>
      </c>
      <c r="U1933" s="7" t="str">
        <f>IF(ISBLANK(patch[[#This Row],[mergeDate]]), U1932, MID(YEAR(patch[[#This Row],[mergeDate]]), 3,2)&amp;"'m"&amp;MONTH(patch[[#This Row],[mergeDate]]))</f>
        <v>16'm9</v>
      </c>
      <c r="V1933" s="7" t="str">
        <f>IF(ISBLANK(patch[[#This Row],[project]]), "",SUM(patch[[#This Row],[BJ -1 num]:[SH -1 num]]))</f>
        <v/>
      </c>
      <c r="W1933" s="7" t="str">
        <f>IF(ISBLANK(patch[[#This Row],[project]]), "",COUNTIFS($A:$A,patch[[#This Row],[number]],$S:$S, "BJ And dev",$AC:$AC, "Review-1"))</f>
        <v/>
      </c>
      <c r="X1933" s="7" t="str">
        <f>IF(ISBLANK(patch[[#This Row],[project]]), "",COUNTIFS($A:$A,patch[[#This Row],[number]],$S:$S, "FL And dev",$AC:$AC, "Review-1"))</f>
        <v/>
      </c>
      <c r="Y1933" s="7" t="str">
        <f>IF(ISBLANK(patch[[#This Row],[project]]), "",COUNTIFS($A:$A,patch[[#This Row],[number]],$S:$S, "SH And dev",$AC:$AC, "Review-1"))</f>
        <v/>
      </c>
      <c r="Z1933" s="7" t="str">
        <f>IF(ISBLANK(patch[[#This Row],[project]]), "",COUNTIFS($A:$A,patch[[#This Row],[number]],$S:$S, "BJ And dev",$AD:$AD, "&lt;&gt;IntegratorValidationComment"))</f>
        <v/>
      </c>
      <c r="AA1933" s="7" t="str">
        <f>IF(ISBLANK(patch[[#This Row],[project]]), "",COUNTIFS($A:$A,patch[[#This Row],[number]],$S:$S, "FL And dev",$AD:$AD, "&lt;&gt;IntegratorValidationComment"))</f>
        <v/>
      </c>
      <c r="AB1933" s="7" t="str">
        <f>IF(ISBLANK(patch[[#This Row],[project]]), "",COUNTIFS($A:$A,patch[[#This Row],[number]],$S:$S, "SH And dev",$AD:$AD, "&lt;&gt;IntegratorValidationComment"))</f>
        <v/>
      </c>
      <c r="AC1933" s="7" t="str">
        <f>IF(OR(ISNUMBER(FIND("Review-1", patch[[#This Row],[comments]])), ISNUMBER(FIND("Approver-1", patch[[#This Row],[comments]]))), "Review-1", "")</f>
        <v/>
      </c>
      <c r="AD19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33" s="7">
        <f>IF(ISBLANK(patch[[#This Row],[number]]),AE1932,patch[[#This Row],[ifCommon]])</f>
        <v>0</v>
      </c>
    </row>
    <row r="1934" spans="1:31">
      <c r="A1934" s="151">
        <v>144131</v>
      </c>
      <c r="B1934" s="151"/>
      <c r="C1934" s="151"/>
      <c r="D1934" s="151"/>
      <c r="E1934" s="151"/>
      <c r="F1934" s="151"/>
      <c r="G1934" s="151"/>
      <c r="H1934" s="151"/>
      <c r="I1934" s="151"/>
      <c r="J1934" s="152">
        <v>42625.709004629629</v>
      </c>
      <c r="K1934" s="151"/>
      <c r="L1934" s="151" t="s">
        <v>59</v>
      </c>
      <c r="M1934" s="152">
        <v>42622.44326388889</v>
      </c>
      <c r="N1934" s="151" t="s">
        <v>3534</v>
      </c>
      <c r="O1934" s="151"/>
      <c r="P1934" s="151"/>
      <c r="Q1934" s="7" t="str">
        <f>IF(ISBLANK(patch[[#This Row],[OwnerEmail]]),Q1933,patch[[#This Row],[OwnerEmail]])</f>
        <v>john.mathew@intel.com</v>
      </c>
      <c r="R1934" s="7" t="str">
        <f>_xlfn.IFNA(VLOOKUP(patch[[#This Row],[tmp-owner.email]],OrgTree!$A:$K, 11, 0), "not ICG SWFW")</f>
        <v>FL And dev</v>
      </c>
      <c r="S1934" s="7" t="str">
        <f>IF(patch[[#This Row],[reviewer]]=patch[[#This Row],[tmp-owner.email]], "author", _xlfn.IFNA(VLOOKUP(patch[[#This Row],[reviewer]],OrgTree!$A:$K, 11, 0), "not ICG SWFW"))</f>
        <v>BJ And dev</v>
      </c>
      <c r="T1934" s="7" t="str">
        <f>IF(ISBLANK(patch[[#This Row],[mergeDate]]), "", MID(YEAR(patch[[#This Row],[mergeDate]]), 3,2)&amp;"'ww"&amp;WEEKNUM(patch[[#This Row],[mergeDate]]))</f>
        <v>16'ww38</v>
      </c>
      <c r="U1934" s="7" t="str">
        <f>IF(ISBLANK(patch[[#This Row],[mergeDate]]), U1933, MID(YEAR(patch[[#This Row],[mergeDate]]), 3,2)&amp;"'m"&amp;MONTH(patch[[#This Row],[mergeDate]]))</f>
        <v>16'm9</v>
      </c>
      <c r="V1934" s="7" t="str">
        <f>IF(ISBLANK(patch[[#This Row],[project]]), "",SUM(patch[[#This Row],[BJ -1 num]:[SH -1 num]]))</f>
        <v/>
      </c>
      <c r="W1934" s="7" t="str">
        <f>IF(ISBLANK(patch[[#This Row],[project]]), "",COUNTIFS($A:$A,patch[[#This Row],[number]],$S:$S, "BJ And dev",$AC:$AC, "Review-1"))</f>
        <v/>
      </c>
      <c r="X1934" s="7" t="str">
        <f>IF(ISBLANK(patch[[#This Row],[project]]), "",COUNTIFS($A:$A,patch[[#This Row],[number]],$S:$S, "FL And dev",$AC:$AC, "Review-1"))</f>
        <v/>
      </c>
      <c r="Y1934" s="7" t="str">
        <f>IF(ISBLANK(patch[[#This Row],[project]]), "",COUNTIFS($A:$A,patch[[#This Row],[number]],$S:$S, "SH And dev",$AC:$AC, "Review-1"))</f>
        <v/>
      </c>
      <c r="Z1934" s="7" t="str">
        <f>IF(ISBLANK(patch[[#This Row],[project]]), "",COUNTIFS($A:$A,patch[[#This Row],[number]],$S:$S, "BJ And dev",$AD:$AD, "&lt;&gt;IntegratorValidationComment"))</f>
        <v/>
      </c>
      <c r="AA1934" s="7" t="str">
        <f>IF(ISBLANK(patch[[#This Row],[project]]), "",COUNTIFS($A:$A,patch[[#This Row],[number]],$S:$S, "FL And dev",$AD:$AD, "&lt;&gt;IntegratorValidationComment"))</f>
        <v/>
      </c>
      <c r="AB1934" s="7" t="str">
        <f>IF(ISBLANK(patch[[#This Row],[project]]), "",COUNTIFS($A:$A,patch[[#This Row],[number]],$S:$S, "SH And dev",$AD:$AD, "&lt;&gt;IntegratorValidationComment"))</f>
        <v/>
      </c>
      <c r="AC1934" s="7" t="str">
        <f>IF(OR(ISNUMBER(FIND("Review-1", patch[[#This Row],[comments]])), ISNUMBER(FIND("Approver-1", patch[[#This Row],[comments]]))), "Review-1", "")</f>
        <v>Review-1</v>
      </c>
      <c r="AD19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34" s="7">
        <f>IF(ISBLANK(patch[[#This Row],[number]]),AE1933,patch[[#This Row],[ifCommon]])</f>
        <v>0</v>
      </c>
    </row>
    <row r="1935" spans="1:31">
      <c r="A1935" s="151">
        <v>144131</v>
      </c>
      <c r="B1935" s="151"/>
      <c r="C1935" s="151"/>
      <c r="D1935" s="151"/>
      <c r="E1935" s="151"/>
      <c r="F1935" s="151"/>
      <c r="G1935" s="151"/>
      <c r="H1935" s="151"/>
      <c r="I1935" s="151"/>
      <c r="J1935" s="152">
        <v>42625.709004629629</v>
      </c>
      <c r="K1935" s="151"/>
      <c r="L1935" s="151" t="s">
        <v>61</v>
      </c>
      <c r="M1935" s="152">
        <v>42622.618530092594</v>
      </c>
      <c r="N1935" s="151" t="s">
        <v>2460</v>
      </c>
      <c r="O1935" s="151"/>
      <c r="P1935" s="151"/>
      <c r="Q1935" s="7" t="str">
        <f>IF(ISBLANK(patch[[#This Row],[OwnerEmail]]),Q1934,patch[[#This Row],[OwnerEmail]])</f>
        <v>john.mathew@intel.com</v>
      </c>
      <c r="R1935" s="7" t="str">
        <f>_xlfn.IFNA(VLOOKUP(patch[[#This Row],[tmp-owner.email]],OrgTree!$A:$K, 11, 0), "not ICG SWFW")</f>
        <v>FL And dev</v>
      </c>
      <c r="S1935" s="7" t="str">
        <f>IF(patch[[#This Row],[reviewer]]=patch[[#This Row],[tmp-owner.email]], "author", _xlfn.IFNA(VLOOKUP(patch[[#This Row],[reviewer]],OrgTree!$A:$K, 11, 0), "not ICG SWFW"))</f>
        <v>author</v>
      </c>
      <c r="T1935" s="7" t="str">
        <f>IF(ISBLANK(patch[[#This Row],[mergeDate]]), "", MID(YEAR(patch[[#This Row],[mergeDate]]), 3,2)&amp;"'ww"&amp;WEEKNUM(patch[[#This Row],[mergeDate]]))</f>
        <v>16'ww38</v>
      </c>
      <c r="U1935" s="7" t="str">
        <f>IF(ISBLANK(patch[[#This Row],[mergeDate]]), U1934, MID(YEAR(patch[[#This Row],[mergeDate]]), 3,2)&amp;"'m"&amp;MONTH(patch[[#This Row],[mergeDate]]))</f>
        <v>16'm9</v>
      </c>
      <c r="V1935" s="7" t="str">
        <f>IF(ISBLANK(patch[[#This Row],[project]]), "",SUM(patch[[#This Row],[BJ -1 num]:[SH -1 num]]))</f>
        <v/>
      </c>
      <c r="W1935" s="7" t="str">
        <f>IF(ISBLANK(patch[[#This Row],[project]]), "",COUNTIFS($A:$A,patch[[#This Row],[number]],$S:$S, "BJ And dev",$AC:$AC, "Review-1"))</f>
        <v/>
      </c>
      <c r="X1935" s="7" t="str">
        <f>IF(ISBLANK(patch[[#This Row],[project]]), "",COUNTIFS($A:$A,patch[[#This Row],[number]],$S:$S, "FL And dev",$AC:$AC, "Review-1"))</f>
        <v/>
      </c>
      <c r="Y1935" s="7" t="str">
        <f>IF(ISBLANK(patch[[#This Row],[project]]), "",COUNTIFS($A:$A,patch[[#This Row],[number]],$S:$S, "SH And dev",$AC:$AC, "Review-1"))</f>
        <v/>
      </c>
      <c r="Z1935" s="7" t="str">
        <f>IF(ISBLANK(patch[[#This Row],[project]]), "",COUNTIFS($A:$A,patch[[#This Row],[number]],$S:$S, "BJ And dev",$AD:$AD, "&lt;&gt;IntegratorValidationComment"))</f>
        <v/>
      </c>
      <c r="AA1935" s="7" t="str">
        <f>IF(ISBLANK(patch[[#This Row],[project]]), "",COUNTIFS($A:$A,patch[[#This Row],[number]],$S:$S, "FL And dev",$AD:$AD, "&lt;&gt;IntegratorValidationComment"))</f>
        <v/>
      </c>
      <c r="AB1935" s="7" t="str">
        <f>IF(ISBLANK(patch[[#This Row],[project]]), "",COUNTIFS($A:$A,patch[[#This Row],[number]],$S:$S, "SH And dev",$AD:$AD, "&lt;&gt;IntegratorValidationComment"))</f>
        <v/>
      </c>
      <c r="AC1935" s="7" t="str">
        <f>IF(OR(ISNUMBER(FIND("Review-1", patch[[#This Row],[comments]])), ISNUMBER(FIND("Approver-1", patch[[#This Row],[comments]]))), "Review-1", "")</f>
        <v/>
      </c>
      <c r="AD19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35" s="7">
        <f>IF(ISBLANK(patch[[#This Row],[number]]),AE1934,patch[[#This Row],[ifCommon]])</f>
        <v>0</v>
      </c>
    </row>
    <row r="1936" spans="1:31">
      <c r="A1936" s="151">
        <v>144131</v>
      </c>
      <c r="B1936" s="151"/>
      <c r="C1936" s="151"/>
      <c r="D1936" s="151"/>
      <c r="E1936" s="151"/>
      <c r="F1936" s="151"/>
      <c r="G1936" s="151"/>
      <c r="H1936" s="151"/>
      <c r="I1936" s="151"/>
      <c r="J1936" s="152">
        <v>42625.709004629629</v>
      </c>
      <c r="K1936" s="151"/>
      <c r="L1936" s="151" t="s">
        <v>61</v>
      </c>
      <c r="M1936" s="152">
        <v>42622.618703703702</v>
      </c>
      <c r="N1936" s="151" t="s">
        <v>2429</v>
      </c>
      <c r="O1936" s="151"/>
      <c r="P1936" s="151"/>
      <c r="Q1936" s="7" t="str">
        <f>IF(ISBLANK(patch[[#This Row],[OwnerEmail]]),Q1935,patch[[#This Row],[OwnerEmail]])</f>
        <v>john.mathew@intel.com</v>
      </c>
      <c r="R1936" s="7" t="str">
        <f>_xlfn.IFNA(VLOOKUP(patch[[#This Row],[tmp-owner.email]],OrgTree!$A:$K, 11, 0), "not ICG SWFW")</f>
        <v>FL And dev</v>
      </c>
      <c r="S1936" s="7" t="str">
        <f>IF(patch[[#This Row],[reviewer]]=patch[[#This Row],[tmp-owner.email]], "author", _xlfn.IFNA(VLOOKUP(patch[[#This Row],[reviewer]],OrgTree!$A:$K, 11, 0), "not ICG SWFW"))</f>
        <v>author</v>
      </c>
      <c r="T1936" s="7" t="str">
        <f>IF(ISBLANK(patch[[#This Row],[mergeDate]]), "", MID(YEAR(patch[[#This Row],[mergeDate]]), 3,2)&amp;"'ww"&amp;WEEKNUM(patch[[#This Row],[mergeDate]]))</f>
        <v>16'ww38</v>
      </c>
      <c r="U1936" s="7" t="str">
        <f>IF(ISBLANK(patch[[#This Row],[mergeDate]]), U1935, MID(YEAR(patch[[#This Row],[mergeDate]]), 3,2)&amp;"'m"&amp;MONTH(patch[[#This Row],[mergeDate]]))</f>
        <v>16'm9</v>
      </c>
      <c r="V1936" s="7" t="str">
        <f>IF(ISBLANK(patch[[#This Row],[project]]), "",SUM(patch[[#This Row],[BJ -1 num]:[SH -1 num]]))</f>
        <v/>
      </c>
      <c r="W1936" s="7" t="str">
        <f>IF(ISBLANK(patch[[#This Row],[project]]), "",COUNTIFS($A:$A,patch[[#This Row],[number]],$S:$S, "BJ And dev",$AC:$AC, "Review-1"))</f>
        <v/>
      </c>
      <c r="X1936" s="7" t="str">
        <f>IF(ISBLANK(patch[[#This Row],[project]]), "",COUNTIFS($A:$A,patch[[#This Row],[number]],$S:$S, "FL And dev",$AC:$AC, "Review-1"))</f>
        <v/>
      </c>
      <c r="Y1936" s="7" t="str">
        <f>IF(ISBLANK(patch[[#This Row],[project]]), "",COUNTIFS($A:$A,patch[[#This Row],[number]],$S:$S, "SH And dev",$AC:$AC, "Review-1"))</f>
        <v/>
      </c>
      <c r="Z1936" s="7" t="str">
        <f>IF(ISBLANK(patch[[#This Row],[project]]), "",COUNTIFS($A:$A,patch[[#This Row],[number]],$S:$S, "BJ And dev",$AD:$AD, "&lt;&gt;IntegratorValidationComment"))</f>
        <v/>
      </c>
      <c r="AA1936" s="7" t="str">
        <f>IF(ISBLANK(patch[[#This Row],[project]]), "",COUNTIFS($A:$A,patch[[#This Row],[number]],$S:$S, "FL And dev",$AD:$AD, "&lt;&gt;IntegratorValidationComment"))</f>
        <v/>
      </c>
      <c r="AB1936" s="7" t="str">
        <f>IF(ISBLANK(patch[[#This Row],[project]]), "",COUNTIFS($A:$A,patch[[#This Row],[number]],$S:$S, "SH And dev",$AD:$AD, "&lt;&gt;IntegratorValidationComment"))</f>
        <v/>
      </c>
      <c r="AC1936" s="7" t="str">
        <f>IF(OR(ISNUMBER(FIND("Review-1", patch[[#This Row],[comments]])), ISNUMBER(FIND("Approver-1", patch[[#This Row],[comments]]))), "Review-1", "")</f>
        <v/>
      </c>
      <c r="AD19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36" s="7">
        <f>IF(ISBLANK(patch[[#This Row],[number]]),AE1935,patch[[#This Row],[ifCommon]])</f>
        <v>0</v>
      </c>
    </row>
    <row r="1937" spans="1:31">
      <c r="A1937" s="151">
        <v>144131</v>
      </c>
      <c r="B1937" s="151"/>
      <c r="C1937" s="151"/>
      <c r="D1937" s="151"/>
      <c r="E1937" s="151"/>
      <c r="F1937" s="151"/>
      <c r="G1937" s="151"/>
      <c r="H1937" s="151"/>
      <c r="I1937" s="151"/>
      <c r="J1937" s="152">
        <v>42625.709004629629</v>
      </c>
      <c r="K1937" s="151"/>
      <c r="L1937" s="151" t="s">
        <v>61</v>
      </c>
      <c r="M1937" s="152">
        <v>42622.618923611109</v>
      </c>
      <c r="N1937" s="151" t="s">
        <v>3535</v>
      </c>
      <c r="O1937" s="151"/>
      <c r="P1937" s="151"/>
      <c r="Q1937" s="7" t="str">
        <f>IF(ISBLANK(patch[[#This Row],[OwnerEmail]]),Q1936,patch[[#This Row],[OwnerEmail]])</f>
        <v>john.mathew@intel.com</v>
      </c>
      <c r="R1937" s="7" t="str">
        <f>_xlfn.IFNA(VLOOKUP(patch[[#This Row],[tmp-owner.email]],OrgTree!$A:$K, 11, 0), "not ICG SWFW")</f>
        <v>FL And dev</v>
      </c>
      <c r="S1937" s="7" t="str">
        <f>IF(patch[[#This Row],[reviewer]]=patch[[#This Row],[tmp-owner.email]], "author", _xlfn.IFNA(VLOOKUP(patch[[#This Row],[reviewer]],OrgTree!$A:$K, 11, 0), "not ICG SWFW"))</f>
        <v>author</v>
      </c>
      <c r="T1937" s="7" t="str">
        <f>IF(ISBLANK(patch[[#This Row],[mergeDate]]), "", MID(YEAR(patch[[#This Row],[mergeDate]]), 3,2)&amp;"'ww"&amp;WEEKNUM(patch[[#This Row],[mergeDate]]))</f>
        <v>16'ww38</v>
      </c>
      <c r="U1937" s="7" t="str">
        <f>IF(ISBLANK(patch[[#This Row],[mergeDate]]), U1936, MID(YEAR(patch[[#This Row],[mergeDate]]), 3,2)&amp;"'m"&amp;MONTH(patch[[#This Row],[mergeDate]]))</f>
        <v>16'm9</v>
      </c>
      <c r="V1937" s="7" t="str">
        <f>IF(ISBLANK(patch[[#This Row],[project]]), "",SUM(patch[[#This Row],[BJ -1 num]:[SH -1 num]]))</f>
        <v/>
      </c>
      <c r="W1937" s="7" t="str">
        <f>IF(ISBLANK(patch[[#This Row],[project]]), "",COUNTIFS($A:$A,patch[[#This Row],[number]],$S:$S, "BJ And dev",$AC:$AC, "Review-1"))</f>
        <v/>
      </c>
      <c r="X1937" s="7" t="str">
        <f>IF(ISBLANK(patch[[#This Row],[project]]), "",COUNTIFS($A:$A,patch[[#This Row],[number]],$S:$S, "FL And dev",$AC:$AC, "Review-1"))</f>
        <v/>
      </c>
      <c r="Y1937" s="7" t="str">
        <f>IF(ISBLANK(patch[[#This Row],[project]]), "",COUNTIFS($A:$A,patch[[#This Row],[number]],$S:$S, "SH And dev",$AC:$AC, "Review-1"))</f>
        <v/>
      </c>
      <c r="Z1937" s="7" t="str">
        <f>IF(ISBLANK(patch[[#This Row],[project]]), "",COUNTIFS($A:$A,patch[[#This Row],[number]],$S:$S, "BJ And dev",$AD:$AD, "&lt;&gt;IntegratorValidationComment"))</f>
        <v/>
      </c>
      <c r="AA1937" s="7" t="str">
        <f>IF(ISBLANK(patch[[#This Row],[project]]), "",COUNTIFS($A:$A,patch[[#This Row],[number]],$S:$S, "FL And dev",$AD:$AD, "&lt;&gt;IntegratorValidationComment"))</f>
        <v/>
      </c>
      <c r="AB1937" s="7" t="str">
        <f>IF(ISBLANK(patch[[#This Row],[project]]), "",COUNTIFS($A:$A,patch[[#This Row],[number]],$S:$S, "SH And dev",$AD:$AD, "&lt;&gt;IntegratorValidationComment"))</f>
        <v/>
      </c>
      <c r="AC1937" s="7" t="str">
        <f>IF(OR(ISNUMBER(FIND("Review-1", patch[[#This Row],[comments]])), ISNUMBER(FIND("Approver-1", patch[[#This Row],[comments]]))), "Review-1", "")</f>
        <v/>
      </c>
      <c r="AD19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37" s="7">
        <f>IF(ISBLANK(patch[[#This Row],[number]]),AE1936,patch[[#This Row],[ifCommon]])</f>
        <v>0</v>
      </c>
    </row>
    <row r="1938" spans="1:31">
      <c r="A1938" s="151">
        <v>144131</v>
      </c>
      <c r="B1938" s="151"/>
      <c r="C1938" s="151"/>
      <c r="D1938" s="151"/>
      <c r="E1938" s="151"/>
      <c r="F1938" s="151"/>
      <c r="G1938" s="151"/>
      <c r="H1938" s="151"/>
      <c r="I1938" s="151"/>
      <c r="J1938" s="152">
        <v>42625.709004629629</v>
      </c>
      <c r="K1938" s="151"/>
      <c r="L1938" s="151" t="s">
        <v>59</v>
      </c>
      <c r="M1938" s="152">
        <v>42622.626550925917</v>
      </c>
      <c r="N1938" s="151" t="s">
        <v>3536</v>
      </c>
      <c r="O1938" s="151"/>
      <c r="P1938" s="151"/>
      <c r="Q1938" s="7" t="str">
        <f>IF(ISBLANK(patch[[#This Row],[OwnerEmail]]),Q1937,patch[[#This Row],[OwnerEmail]])</f>
        <v>john.mathew@intel.com</v>
      </c>
      <c r="R1938" s="7" t="str">
        <f>_xlfn.IFNA(VLOOKUP(patch[[#This Row],[tmp-owner.email]],OrgTree!$A:$K, 11, 0), "not ICG SWFW")</f>
        <v>FL And dev</v>
      </c>
      <c r="S1938" s="7" t="str">
        <f>IF(patch[[#This Row],[reviewer]]=patch[[#This Row],[tmp-owner.email]], "author", _xlfn.IFNA(VLOOKUP(patch[[#This Row],[reviewer]],OrgTree!$A:$K, 11, 0), "not ICG SWFW"))</f>
        <v>BJ And dev</v>
      </c>
      <c r="T1938" s="7" t="str">
        <f>IF(ISBLANK(patch[[#This Row],[mergeDate]]), "", MID(YEAR(patch[[#This Row],[mergeDate]]), 3,2)&amp;"'ww"&amp;WEEKNUM(patch[[#This Row],[mergeDate]]))</f>
        <v>16'ww38</v>
      </c>
      <c r="U1938" s="7" t="str">
        <f>IF(ISBLANK(patch[[#This Row],[mergeDate]]), U1937, MID(YEAR(patch[[#This Row],[mergeDate]]), 3,2)&amp;"'m"&amp;MONTH(patch[[#This Row],[mergeDate]]))</f>
        <v>16'm9</v>
      </c>
      <c r="V1938" s="7" t="str">
        <f>IF(ISBLANK(patch[[#This Row],[project]]), "",SUM(patch[[#This Row],[BJ -1 num]:[SH -1 num]]))</f>
        <v/>
      </c>
      <c r="W1938" s="7" t="str">
        <f>IF(ISBLANK(patch[[#This Row],[project]]), "",COUNTIFS($A:$A,patch[[#This Row],[number]],$S:$S, "BJ And dev",$AC:$AC, "Review-1"))</f>
        <v/>
      </c>
      <c r="X1938" s="7" t="str">
        <f>IF(ISBLANK(patch[[#This Row],[project]]), "",COUNTIFS($A:$A,patch[[#This Row],[number]],$S:$S, "FL And dev",$AC:$AC, "Review-1"))</f>
        <v/>
      </c>
      <c r="Y1938" s="7" t="str">
        <f>IF(ISBLANK(patch[[#This Row],[project]]), "",COUNTIFS($A:$A,patch[[#This Row],[number]],$S:$S, "SH And dev",$AC:$AC, "Review-1"))</f>
        <v/>
      </c>
      <c r="Z1938" s="7" t="str">
        <f>IF(ISBLANK(patch[[#This Row],[project]]), "",COUNTIFS($A:$A,patch[[#This Row],[number]],$S:$S, "BJ And dev",$AD:$AD, "&lt;&gt;IntegratorValidationComment"))</f>
        <v/>
      </c>
      <c r="AA1938" s="7" t="str">
        <f>IF(ISBLANK(patch[[#This Row],[project]]), "",COUNTIFS($A:$A,patch[[#This Row],[number]],$S:$S, "FL And dev",$AD:$AD, "&lt;&gt;IntegratorValidationComment"))</f>
        <v/>
      </c>
      <c r="AB1938" s="7" t="str">
        <f>IF(ISBLANK(patch[[#This Row],[project]]), "",COUNTIFS($A:$A,patch[[#This Row],[number]],$S:$S, "SH And dev",$AD:$AD, "&lt;&gt;IntegratorValidationComment"))</f>
        <v/>
      </c>
      <c r="AC1938" s="7" t="str">
        <f>IF(OR(ISNUMBER(FIND("Review-1", patch[[#This Row],[comments]])), ISNUMBER(FIND("Approver-1", patch[[#This Row],[comments]]))), "Review-1", "")</f>
        <v/>
      </c>
      <c r="AD19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38" s="7">
        <f>IF(ISBLANK(patch[[#This Row],[number]]),AE1937,patch[[#This Row],[ifCommon]])</f>
        <v>0</v>
      </c>
    </row>
    <row r="1939" spans="1:31">
      <c r="A1939" s="151">
        <v>144131</v>
      </c>
      <c r="B1939" s="151"/>
      <c r="C1939" s="151"/>
      <c r="D1939" s="151"/>
      <c r="E1939" s="151"/>
      <c r="F1939" s="151"/>
      <c r="G1939" s="151"/>
      <c r="H1939" s="151"/>
      <c r="I1939" s="151"/>
      <c r="J1939" s="152">
        <v>42625.709004629629</v>
      </c>
      <c r="K1939" s="151"/>
      <c r="L1939" s="151" t="s">
        <v>59</v>
      </c>
      <c r="M1939" s="152">
        <v>42622.630115740743</v>
      </c>
      <c r="N1939" s="151" t="s">
        <v>3537</v>
      </c>
      <c r="O1939" s="151"/>
      <c r="P1939" s="151"/>
      <c r="Q1939" s="7" t="str">
        <f>IF(ISBLANK(patch[[#This Row],[OwnerEmail]]),Q1938,patch[[#This Row],[OwnerEmail]])</f>
        <v>john.mathew@intel.com</v>
      </c>
      <c r="R1939" s="7" t="str">
        <f>_xlfn.IFNA(VLOOKUP(patch[[#This Row],[tmp-owner.email]],OrgTree!$A:$K, 11, 0), "not ICG SWFW")</f>
        <v>FL And dev</v>
      </c>
      <c r="S1939" s="7" t="str">
        <f>IF(patch[[#This Row],[reviewer]]=patch[[#This Row],[tmp-owner.email]], "author", _xlfn.IFNA(VLOOKUP(patch[[#This Row],[reviewer]],OrgTree!$A:$K, 11, 0), "not ICG SWFW"))</f>
        <v>BJ And dev</v>
      </c>
      <c r="T1939" s="7" t="str">
        <f>IF(ISBLANK(patch[[#This Row],[mergeDate]]), "", MID(YEAR(patch[[#This Row],[mergeDate]]), 3,2)&amp;"'ww"&amp;WEEKNUM(patch[[#This Row],[mergeDate]]))</f>
        <v>16'ww38</v>
      </c>
      <c r="U1939" s="7" t="str">
        <f>IF(ISBLANK(patch[[#This Row],[mergeDate]]), U1938, MID(YEAR(patch[[#This Row],[mergeDate]]), 3,2)&amp;"'m"&amp;MONTH(patch[[#This Row],[mergeDate]]))</f>
        <v>16'm9</v>
      </c>
      <c r="V1939" s="7" t="str">
        <f>IF(ISBLANK(patch[[#This Row],[project]]), "",SUM(patch[[#This Row],[BJ -1 num]:[SH -1 num]]))</f>
        <v/>
      </c>
      <c r="W1939" s="7" t="str">
        <f>IF(ISBLANK(patch[[#This Row],[project]]), "",COUNTIFS($A:$A,patch[[#This Row],[number]],$S:$S, "BJ And dev",$AC:$AC, "Review-1"))</f>
        <v/>
      </c>
      <c r="X1939" s="7" t="str">
        <f>IF(ISBLANK(patch[[#This Row],[project]]), "",COUNTIFS($A:$A,patch[[#This Row],[number]],$S:$S, "FL And dev",$AC:$AC, "Review-1"))</f>
        <v/>
      </c>
      <c r="Y1939" s="7" t="str">
        <f>IF(ISBLANK(patch[[#This Row],[project]]), "",COUNTIFS($A:$A,patch[[#This Row],[number]],$S:$S, "SH And dev",$AC:$AC, "Review-1"))</f>
        <v/>
      </c>
      <c r="Z1939" s="7" t="str">
        <f>IF(ISBLANK(patch[[#This Row],[project]]), "",COUNTIFS($A:$A,patch[[#This Row],[number]],$S:$S, "BJ And dev",$AD:$AD, "&lt;&gt;IntegratorValidationComment"))</f>
        <v/>
      </c>
      <c r="AA1939" s="7" t="str">
        <f>IF(ISBLANK(patch[[#This Row],[project]]), "",COUNTIFS($A:$A,patch[[#This Row],[number]],$S:$S, "FL And dev",$AD:$AD, "&lt;&gt;IntegratorValidationComment"))</f>
        <v/>
      </c>
      <c r="AB1939" s="7" t="str">
        <f>IF(ISBLANK(patch[[#This Row],[project]]), "",COUNTIFS($A:$A,patch[[#This Row],[number]],$S:$S, "SH And dev",$AD:$AD, "&lt;&gt;IntegratorValidationComment"))</f>
        <v/>
      </c>
      <c r="AC1939" s="7" t="str">
        <f>IF(OR(ISNUMBER(FIND("Review-1", patch[[#This Row],[comments]])), ISNUMBER(FIND("Approver-1", patch[[#This Row],[comments]]))), "Review-1", "")</f>
        <v/>
      </c>
      <c r="AD19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39" s="7">
        <f>IF(ISBLANK(patch[[#This Row],[number]]),AE1938,patch[[#This Row],[ifCommon]])</f>
        <v>0</v>
      </c>
    </row>
    <row r="1940" spans="1:31">
      <c r="A1940" s="151">
        <v>144131</v>
      </c>
      <c r="B1940" s="151"/>
      <c r="C1940" s="151"/>
      <c r="D1940" s="151"/>
      <c r="E1940" s="151"/>
      <c r="F1940" s="151"/>
      <c r="G1940" s="151"/>
      <c r="H1940" s="151"/>
      <c r="I1940" s="151"/>
      <c r="J1940" s="152">
        <v>42625.709004629629</v>
      </c>
      <c r="K1940" s="151"/>
      <c r="L1940" s="151" t="s">
        <v>59</v>
      </c>
      <c r="M1940" s="152">
        <v>42622.631365740737</v>
      </c>
      <c r="N1940" s="151" t="s">
        <v>27</v>
      </c>
      <c r="O1940" s="151"/>
      <c r="P1940" s="151"/>
      <c r="Q1940" s="7" t="str">
        <f>IF(ISBLANK(patch[[#This Row],[OwnerEmail]]),Q1939,patch[[#This Row],[OwnerEmail]])</f>
        <v>john.mathew@intel.com</v>
      </c>
      <c r="R1940" s="7" t="str">
        <f>_xlfn.IFNA(VLOOKUP(patch[[#This Row],[tmp-owner.email]],OrgTree!$A:$K, 11, 0), "not ICG SWFW")</f>
        <v>FL And dev</v>
      </c>
      <c r="S1940" s="7" t="str">
        <f>IF(patch[[#This Row],[reviewer]]=patch[[#This Row],[tmp-owner.email]], "author", _xlfn.IFNA(VLOOKUP(patch[[#This Row],[reviewer]],OrgTree!$A:$K, 11, 0), "not ICG SWFW"))</f>
        <v>BJ And dev</v>
      </c>
      <c r="T1940" s="7" t="str">
        <f>IF(ISBLANK(patch[[#This Row],[mergeDate]]), "", MID(YEAR(patch[[#This Row],[mergeDate]]), 3,2)&amp;"'ww"&amp;WEEKNUM(patch[[#This Row],[mergeDate]]))</f>
        <v>16'ww38</v>
      </c>
      <c r="U1940" s="7" t="str">
        <f>IF(ISBLANK(patch[[#This Row],[mergeDate]]), U1939, MID(YEAR(patch[[#This Row],[mergeDate]]), 3,2)&amp;"'m"&amp;MONTH(patch[[#This Row],[mergeDate]]))</f>
        <v>16'm9</v>
      </c>
      <c r="V1940" s="7" t="str">
        <f>IF(ISBLANK(patch[[#This Row],[project]]), "",SUM(patch[[#This Row],[BJ -1 num]:[SH -1 num]]))</f>
        <v/>
      </c>
      <c r="W1940" s="7" t="str">
        <f>IF(ISBLANK(patch[[#This Row],[project]]), "",COUNTIFS($A:$A,patch[[#This Row],[number]],$S:$S, "BJ And dev",$AC:$AC, "Review-1"))</f>
        <v/>
      </c>
      <c r="X1940" s="7" t="str">
        <f>IF(ISBLANK(patch[[#This Row],[project]]), "",COUNTIFS($A:$A,patch[[#This Row],[number]],$S:$S, "FL And dev",$AC:$AC, "Review-1"))</f>
        <v/>
      </c>
      <c r="Y1940" s="7" t="str">
        <f>IF(ISBLANK(patch[[#This Row],[project]]), "",COUNTIFS($A:$A,patch[[#This Row],[number]],$S:$S, "SH And dev",$AC:$AC, "Review-1"))</f>
        <v/>
      </c>
      <c r="Z1940" s="7" t="str">
        <f>IF(ISBLANK(patch[[#This Row],[project]]), "",COUNTIFS($A:$A,patch[[#This Row],[number]],$S:$S, "BJ And dev",$AD:$AD, "&lt;&gt;IntegratorValidationComment"))</f>
        <v/>
      </c>
      <c r="AA1940" s="7" t="str">
        <f>IF(ISBLANK(patch[[#This Row],[project]]), "",COUNTIFS($A:$A,patch[[#This Row],[number]],$S:$S, "FL And dev",$AD:$AD, "&lt;&gt;IntegratorValidationComment"))</f>
        <v/>
      </c>
      <c r="AB1940" s="7" t="str">
        <f>IF(ISBLANK(patch[[#This Row],[project]]), "",COUNTIFS($A:$A,patch[[#This Row],[number]],$S:$S, "SH And dev",$AD:$AD, "&lt;&gt;IntegratorValidationComment"))</f>
        <v/>
      </c>
      <c r="AC1940" s="7" t="str">
        <f>IF(OR(ISNUMBER(FIND("Review-1", patch[[#This Row],[comments]])), ISNUMBER(FIND("Approver-1", patch[[#This Row],[comments]]))), "Review-1", "")</f>
        <v/>
      </c>
      <c r="AD19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40" s="7">
        <f>IF(ISBLANK(patch[[#This Row],[number]]),AE1939,patch[[#This Row],[ifCommon]])</f>
        <v>0</v>
      </c>
    </row>
    <row r="1941" spans="1:31">
      <c r="A1941" s="151">
        <v>144131</v>
      </c>
      <c r="B1941" s="151"/>
      <c r="C1941" s="151"/>
      <c r="D1941" s="151"/>
      <c r="E1941" s="151"/>
      <c r="F1941" s="151"/>
      <c r="G1941" s="151"/>
      <c r="H1941" s="151"/>
      <c r="I1941" s="151"/>
      <c r="J1941" s="152">
        <v>42625.709004629629</v>
      </c>
      <c r="K1941" s="151"/>
      <c r="L1941" s="151" t="s">
        <v>59</v>
      </c>
      <c r="M1941" s="152">
        <v>42622.632314814808</v>
      </c>
      <c r="N1941" s="151" t="s">
        <v>3538</v>
      </c>
      <c r="O1941" s="151"/>
      <c r="P1941" s="151"/>
      <c r="Q1941" s="7" t="str">
        <f>IF(ISBLANK(patch[[#This Row],[OwnerEmail]]),Q1940,patch[[#This Row],[OwnerEmail]])</f>
        <v>john.mathew@intel.com</v>
      </c>
      <c r="R1941" s="7" t="str">
        <f>_xlfn.IFNA(VLOOKUP(patch[[#This Row],[tmp-owner.email]],OrgTree!$A:$K, 11, 0), "not ICG SWFW")</f>
        <v>FL And dev</v>
      </c>
      <c r="S1941" s="7" t="str">
        <f>IF(patch[[#This Row],[reviewer]]=patch[[#This Row],[tmp-owner.email]], "author", _xlfn.IFNA(VLOOKUP(patch[[#This Row],[reviewer]],OrgTree!$A:$K, 11, 0), "not ICG SWFW"))</f>
        <v>BJ And dev</v>
      </c>
      <c r="T1941" s="7" t="str">
        <f>IF(ISBLANK(patch[[#This Row],[mergeDate]]), "", MID(YEAR(patch[[#This Row],[mergeDate]]), 3,2)&amp;"'ww"&amp;WEEKNUM(patch[[#This Row],[mergeDate]]))</f>
        <v>16'ww38</v>
      </c>
      <c r="U1941" s="7" t="str">
        <f>IF(ISBLANK(patch[[#This Row],[mergeDate]]), U1940, MID(YEAR(patch[[#This Row],[mergeDate]]), 3,2)&amp;"'m"&amp;MONTH(patch[[#This Row],[mergeDate]]))</f>
        <v>16'm9</v>
      </c>
      <c r="V1941" s="7" t="str">
        <f>IF(ISBLANK(patch[[#This Row],[project]]), "",SUM(patch[[#This Row],[BJ -1 num]:[SH -1 num]]))</f>
        <v/>
      </c>
      <c r="W1941" s="7" t="str">
        <f>IF(ISBLANK(patch[[#This Row],[project]]), "",COUNTIFS($A:$A,patch[[#This Row],[number]],$S:$S, "BJ And dev",$AC:$AC, "Review-1"))</f>
        <v/>
      </c>
      <c r="X1941" s="7" t="str">
        <f>IF(ISBLANK(patch[[#This Row],[project]]), "",COUNTIFS($A:$A,patch[[#This Row],[number]],$S:$S, "FL And dev",$AC:$AC, "Review-1"))</f>
        <v/>
      </c>
      <c r="Y1941" s="7" t="str">
        <f>IF(ISBLANK(patch[[#This Row],[project]]), "",COUNTIFS($A:$A,patch[[#This Row],[number]],$S:$S, "SH And dev",$AC:$AC, "Review-1"))</f>
        <v/>
      </c>
      <c r="Z1941" s="7" t="str">
        <f>IF(ISBLANK(patch[[#This Row],[project]]), "",COUNTIFS($A:$A,patch[[#This Row],[number]],$S:$S, "BJ And dev",$AD:$AD, "&lt;&gt;IntegratorValidationComment"))</f>
        <v/>
      </c>
      <c r="AA1941" s="7" t="str">
        <f>IF(ISBLANK(patch[[#This Row],[project]]), "",COUNTIFS($A:$A,patch[[#This Row],[number]],$S:$S, "FL And dev",$AD:$AD, "&lt;&gt;IntegratorValidationComment"))</f>
        <v/>
      </c>
      <c r="AB1941" s="7" t="str">
        <f>IF(ISBLANK(patch[[#This Row],[project]]), "",COUNTIFS($A:$A,patch[[#This Row],[number]],$S:$S, "SH And dev",$AD:$AD, "&lt;&gt;IntegratorValidationComment"))</f>
        <v/>
      </c>
      <c r="AC1941" s="7" t="str">
        <f>IF(OR(ISNUMBER(FIND("Review-1", patch[[#This Row],[comments]])), ISNUMBER(FIND("Approver-1", patch[[#This Row],[comments]]))), "Review-1", "")</f>
        <v/>
      </c>
      <c r="AD19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41" s="7">
        <f>IF(ISBLANK(patch[[#This Row],[number]]),AE1940,patch[[#This Row],[ifCommon]])</f>
        <v>0</v>
      </c>
    </row>
    <row r="1942" spans="1:31">
      <c r="A1942" s="151">
        <v>144131</v>
      </c>
      <c r="B1942" s="151"/>
      <c r="C1942" s="151"/>
      <c r="D1942" s="151"/>
      <c r="E1942" s="151"/>
      <c r="F1942" s="151"/>
      <c r="G1942" s="151"/>
      <c r="H1942" s="151"/>
      <c r="I1942" s="151"/>
      <c r="J1942" s="152">
        <v>42625.709004629629</v>
      </c>
      <c r="K1942" s="151"/>
      <c r="L1942" s="151" t="s">
        <v>24</v>
      </c>
      <c r="M1942" s="152">
        <v>42622.691099537027</v>
      </c>
      <c r="N1942" s="151" t="s">
        <v>1873</v>
      </c>
      <c r="O1942" s="151"/>
      <c r="P1942" s="151"/>
      <c r="Q1942" s="7" t="str">
        <f>IF(ISBLANK(patch[[#This Row],[OwnerEmail]]),Q1941,patch[[#This Row],[OwnerEmail]])</f>
        <v>john.mathew@intel.com</v>
      </c>
      <c r="R1942" s="7" t="str">
        <f>_xlfn.IFNA(VLOOKUP(patch[[#This Row],[tmp-owner.email]],OrgTree!$A:$K, 11, 0), "not ICG SWFW")</f>
        <v>FL And dev</v>
      </c>
      <c r="S1942" s="7" t="str">
        <f>IF(patch[[#This Row],[reviewer]]=patch[[#This Row],[tmp-owner.email]], "author", _xlfn.IFNA(VLOOKUP(patch[[#This Row],[reviewer]],OrgTree!$A:$K, 11, 0), "not ICG SWFW"))</f>
        <v>BJ And dev</v>
      </c>
      <c r="T1942" s="7" t="str">
        <f>IF(ISBLANK(patch[[#This Row],[mergeDate]]), "", MID(YEAR(patch[[#This Row],[mergeDate]]), 3,2)&amp;"'ww"&amp;WEEKNUM(patch[[#This Row],[mergeDate]]))</f>
        <v>16'ww38</v>
      </c>
      <c r="U1942" s="7" t="str">
        <f>IF(ISBLANK(patch[[#This Row],[mergeDate]]), U1941, MID(YEAR(patch[[#This Row],[mergeDate]]), 3,2)&amp;"'m"&amp;MONTH(patch[[#This Row],[mergeDate]]))</f>
        <v>16'm9</v>
      </c>
      <c r="V1942" s="7" t="str">
        <f>IF(ISBLANK(patch[[#This Row],[project]]), "",SUM(patch[[#This Row],[BJ -1 num]:[SH -1 num]]))</f>
        <v/>
      </c>
      <c r="W1942" s="7" t="str">
        <f>IF(ISBLANK(patch[[#This Row],[project]]), "",COUNTIFS($A:$A,patch[[#This Row],[number]],$S:$S, "BJ And dev",$AC:$AC, "Review-1"))</f>
        <v/>
      </c>
      <c r="X1942" s="7" t="str">
        <f>IF(ISBLANK(patch[[#This Row],[project]]), "",COUNTIFS($A:$A,patch[[#This Row],[number]],$S:$S, "FL And dev",$AC:$AC, "Review-1"))</f>
        <v/>
      </c>
      <c r="Y1942" s="7" t="str">
        <f>IF(ISBLANK(patch[[#This Row],[project]]), "",COUNTIFS($A:$A,patch[[#This Row],[number]],$S:$S, "SH And dev",$AC:$AC, "Review-1"))</f>
        <v/>
      </c>
      <c r="Z1942" s="7" t="str">
        <f>IF(ISBLANK(patch[[#This Row],[project]]), "",COUNTIFS($A:$A,patch[[#This Row],[number]],$S:$S, "BJ And dev",$AD:$AD, "&lt;&gt;IntegratorValidationComment"))</f>
        <v/>
      </c>
      <c r="AA1942" s="7" t="str">
        <f>IF(ISBLANK(patch[[#This Row],[project]]), "",COUNTIFS($A:$A,patch[[#This Row],[number]],$S:$S, "FL And dev",$AD:$AD, "&lt;&gt;IntegratorValidationComment"))</f>
        <v/>
      </c>
      <c r="AB1942" s="7" t="str">
        <f>IF(ISBLANK(patch[[#This Row],[project]]), "",COUNTIFS($A:$A,patch[[#This Row],[number]],$S:$S, "SH And dev",$AD:$AD, "&lt;&gt;IntegratorValidationComment"))</f>
        <v/>
      </c>
      <c r="AC1942" s="7" t="str">
        <f>IF(OR(ISNUMBER(FIND("Review-1", patch[[#This Row],[comments]])), ISNUMBER(FIND("Approver-1", patch[[#This Row],[comments]]))), "Review-1", "")</f>
        <v/>
      </c>
      <c r="AD19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42" s="7">
        <f>IF(ISBLANK(patch[[#This Row],[number]]),AE1941,patch[[#This Row],[ifCommon]])</f>
        <v>0</v>
      </c>
    </row>
    <row r="1943" spans="1:31">
      <c r="A1943" s="151">
        <v>144131</v>
      </c>
      <c r="B1943" s="151"/>
      <c r="C1943" s="151"/>
      <c r="D1943" s="151"/>
      <c r="E1943" s="151"/>
      <c r="F1943" s="151"/>
      <c r="G1943" s="151"/>
      <c r="H1943" s="151"/>
      <c r="I1943" s="152"/>
      <c r="J1943" s="152">
        <v>42625.709004629629</v>
      </c>
      <c r="K1943" s="151"/>
      <c r="L1943" s="151" t="s">
        <v>115</v>
      </c>
      <c r="M1943" s="152">
        <v>42625.425752314812</v>
      </c>
      <c r="N1943" s="151" t="s">
        <v>2495</v>
      </c>
      <c r="O1943" s="151"/>
      <c r="P1943" s="151"/>
      <c r="Q1943" s="7" t="str">
        <f>IF(ISBLANK(patch[[#This Row],[OwnerEmail]]),Q1942,patch[[#This Row],[OwnerEmail]])</f>
        <v>john.mathew@intel.com</v>
      </c>
      <c r="R1943" s="7" t="str">
        <f>_xlfn.IFNA(VLOOKUP(patch[[#This Row],[tmp-owner.email]],OrgTree!$A:$K, 11, 0), "not ICG SWFW")</f>
        <v>FL And dev</v>
      </c>
      <c r="S1943" s="7" t="str">
        <f>IF(patch[[#This Row],[reviewer]]=patch[[#This Row],[tmp-owner.email]], "author", _xlfn.IFNA(VLOOKUP(patch[[#This Row],[reviewer]],OrgTree!$A:$K, 11, 0), "not ICG SWFW"))</f>
        <v>Val</v>
      </c>
      <c r="T1943" s="7" t="str">
        <f>IF(ISBLANK(patch[[#This Row],[mergeDate]]), "", MID(YEAR(patch[[#This Row],[mergeDate]]), 3,2)&amp;"'ww"&amp;WEEKNUM(patch[[#This Row],[mergeDate]]))</f>
        <v>16'ww38</v>
      </c>
      <c r="U1943" s="7" t="str">
        <f>IF(ISBLANK(patch[[#This Row],[mergeDate]]), U1942, MID(YEAR(patch[[#This Row],[mergeDate]]), 3,2)&amp;"'m"&amp;MONTH(patch[[#This Row],[mergeDate]]))</f>
        <v>16'm9</v>
      </c>
      <c r="V1943" s="7" t="str">
        <f>IF(ISBLANK(patch[[#This Row],[project]]), "",SUM(patch[[#This Row],[BJ -1 num]:[SH -1 num]]))</f>
        <v/>
      </c>
      <c r="W1943" s="7" t="str">
        <f>IF(ISBLANK(patch[[#This Row],[project]]), "",COUNTIFS($A:$A,patch[[#This Row],[number]],$S:$S, "BJ And dev",$AC:$AC, "Review-1"))</f>
        <v/>
      </c>
      <c r="X1943" s="7" t="str">
        <f>IF(ISBLANK(patch[[#This Row],[project]]), "",COUNTIFS($A:$A,patch[[#This Row],[number]],$S:$S, "FL And dev",$AC:$AC, "Review-1"))</f>
        <v/>
      </c>
      <c r="Y1943" s="7" t="str">
        <f>IF(ISBLANK(patch[[#This Row],[project]]), "",COUNTIFS($A:$A,patch[[#This Row],[number]],$S:$S, "SH And dev",$AC:$AC, "Review-1"))</f>
        <v/>
      </c>
      <c r="Z1943" s="7" t="str">
        <f>IF(ISBLANK(patch[[#This Row],[project]]), "",COUNTIFS($A:$A,patch[[#This Row],[number]],$S:$S, "BJ And dev",$AD:$AD, "&lt;&gt;IntegratorValidationComment"))</f>
        <v/>
      </c>
      <c r="AA1943" s="7" t="str">
        <f>IF(ISBLANK(patch[[#This Row],[project]]), "",COUNTIFS($A:$A,patch[[#This Row],[number]],$S:$S, "FL And dev",$AD:$AD, "&lt;&gt;IntegratorValidationComment"))</f>
        <v/>
      </c>
      <c r="AB1943" s="7" t="str">
        <f>IF(ISBLANK(patch[[#This Row],[project]]), "",COUNTIFS($A:$A,patch[[#This Row],[number]],$S:$S, "SH And dev",$AD:$AD, "&lt;&gt;IntegratorValidationComment"))</f>
        <v/>
      </c>
      <c r="AC1943" s="7" t="str">
        <f>IF(OR(ISNUMBER(FIND("Review-1", patch[[#This Row],[comments]])), ISNUMBER(FIND("Approver-1", patch[[#This Row],[comments]]))), "Review-1", "")</f>
        <v/>
      </c>
      <c r="AD19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943" s="7">
        <f>IF(ISBLANK(patch[[#This Row],[number]]),AE1942,patch[[#This Row],[ifCommon]])</f>
        <v>0</v>
      </c>
    </row>
    <row r="1944" spans="1:31">
      <c r="A1944" s="151">
        <v>144578</v>
      </c>
      <c r="B1944" s="151" t="s">
        <v>2490</v>
      </c>
      <c r="C1944" s="151" t="s">
        <v>2491</v>
      </c>
      <c r="D1944" s="151" t="s">
        <v>3539</v>
      </c>
      <c r="E1944" s="151" t="s">
        <v>63</v>
      </c>
      <c r="F1944" s="151" t="s">
        <v>23</v>
      </c>
      <c r="G1944" s="151" t="s">
        <v>3540</v>
      </c>
      <c r="H1944" s="151" t="s">
        <v>3541</v>
      </c>
      <c r="I1944" s="152">
        <v>42625.528333333343</v>
      </c>
      <c r="J1944" s="152">
        <v>42625.589618055557</v>
      </c>
      <c r="K1944" s="151" t="s">
        <v>2445</v>
      </c>
      <c r="L1944" s="151" t="s">
        <v>63</v>
      </c>
      <c r="M1944" s="152">
        <v>42625.528333333343</v>
      </c>
      <c r="N1944" s="151" t="s">
        <v>25</v>
      </c>
      <c r="O1944" s="151"/>
      <c r="P1944" s="151" t="s">
        <v>3542</v>
      </c>
      <c r="Q1944" s="7" t="str">
        <f>IF(ISBLANK(patch[[#This Row],[OwnerEmail]]),Q1943,patch[[#This Row],[OwnerEmail]])</f>
        <v>zongx.li@intel.com</v>
      </c>
      <c r="R1944" s="7" t="str">
        <f>_xlfn.IFNA(VLOOKUP(patch[[#This Row],[tmp-owner.email]],OrgTree!$A:$K, 11, 0), "not ICG SWFW")</f>
        <v>BJ And dev</v>
      </c>
      <c r="S1944" s="7" t="str">
        <f>IF(patch[[#This Row],[reviewer]]=patch[[#This Row],[tmp-owner.email]], "author", _xlfn.IFNA(VLOOKUP(patch[[#This Row],[reviewer]],OrgTree!$A:$K, 11, 0), "not ICG SWFW"))</f>
        <v>author</v>
      </c>
      <c r="T1944" s="7" t="str">
        <f>IF(ISBLANK(patch[[#This Row],[mergeDate]]), "", MID(YEAR(patch[[#This Row],[mergeDate]]), 3,2)&amp;"'ww"&amp;WEEKNUM(patch[[#This Row],[mergeDate]]))</f>
        <v>16'ww38</v>
      </c>
      <c r="U1944" s="7" t="str">
        <f>IF(ISBLANK(patch[[#This Row],[mergeDate]]), U1943, MID(YEAR(patch[[#This Row],[mergeDate]]), 3,2)&amp;"'m"&amp;MONTH(patch[[#This Row],[mergeDate]]))</f>
        <v>16'm9</v>
      </c>
      <c r="V1944" s="7">
        <f>IF(ISBLANK(patch[[#This Row],[project]]), "",SUM(patch[[#This Row],[BJ -1 num]:[SH -1 num]]))</f>
        <v>0</v>
      </c>
      <c r="W1944" s="7">
        <f>IF(ISBLANK(patch[[#This Row],[project]]), "",COUNTIFS($A:$A,patch[[#This Row],[number]],$S:$S, "BJ And dev",$AC:$AC, "Review-1"))</f>
        <v>0</v>
      </c>
      <c r="X1944" s="7">
        <f>IF(ISBLANK(patch[[#This Row],[project]]), "",COUNTIFS($A:$A,patch[[#This Row],[number]],$S:$S, "FL And dev",$AC:$AC, "Review-1"))</f>
        <v>0</v>
      </c>
      <c r="Y1944" s="7">
        <f>IF(ISBLANK(patch[[#This Row],[project]]), "",COUNTIFS($A:$A,patch[[#This Row],[number]],$S:$S, "SH And dev",$AC:$AC, "Review-1"))</f>
        <v>0</v>
      </c>
      <c r="Z1944" s="7">
        <f>IF(ISBLANK(patch[[#This Row],[project]]), "",COUNTIFS($A:$A,patch[[#This Row],[number]],$S:$S, "BJ And dev",$AD:$AD, "&lt;&gt;IntegratorValidationComment"))</f>
        <v>5</v>
      </c>
      <c r="AA1944" s="7">
        <f>IF(ISBLANK(patch[[#This Row],[project]]), "",COUNTIFS($A:$A,patch[[#This Row],[number]],$S:$S, "FL And dev",$AD:$AD, "&lt;&gt;IntegratorValidationComment"))</f>
        <v>0</v>
      </c>
      <c r="AB1944" s="7">
        <f>IF(ISBLANK(patch[[#This Row],[project]]), "",COUNTIFS($A:$A,patch[[#This Row],[number]],$S:$S, "SH And dev",$AD:$AD, "&lt;&gt;IntegratorValidationComment"))</f>
        <v>0</v>
      </c>
      <c r="AC1944" s="7" t="str">
        <f>IF(OR(ISNUMBER(FIND("Review-1", patch[[#This Row],[comments]])), ISNUMBER(FIND("Approver-1", patch[[#This Row],[comments]]))), "Review-1", "")</f>
        <v/>
      </c>
      <c r="AD19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44" s="7" t="str">
        <f>IF(ISBLANK(patch[[#This Row],[number]]),AE1943,patch[[#This Row],[ifCommon]])</f>
        <v>not AndrHAL</v>
      </c>
    </row>
    <row r="1945" spans="1:31">
      <c r="A1945" s="151">
        <v>144578</v>
      </c>
      <c r="B1945" s="151"/>
      <c r="C1945" s="151"/>
      <c r="D1945" s="151"/>
      <c r="E1945" s="151"/>
      <c r="F1945" s="151"/>
      <c r="G1945" s="151"/>
      <c r="H1945" s="151"/>
      <c r="I1945" s="151"/>
      <c r="J1945" s="152">
        <v>42625.589618055557</v>
      </c>
      <c r="K1945" s="151"/>
      <c r="L1945" s="151" t="s">
        <v>63</v>
      </c>
      <c r="M1945" s="152">
        <v>42625.528333333343</v>
      </c>
      <c r="N1945" s="151" t="s">
        <v>2428</v>
      </c>
      <c r="O1945" s="151"/>
      <c r="P1945" s="151"/>
      <c r="Q1945" s="7" t="str">
        <f>IF(ISBLANK(patch[[#This Row],[OwnerEmail]]),Q1944,patch[[#This Row],[OwnerEmail]])</f>
        <v>zongx.li@intel.com</v>
      </c>
      <c r="R1945" s="7" t="str">
        <f>_xlfn.IFNA(VLOOKUP(patch[[#This Row],[tmp-owner.email]],OrgTree!$A:$K, 11, 0), "not ICG SWFW")</f>
        <v>BJ And dev</v>
      </c>
      <c r="S1945" s="7" t="str">
        <f>IF(patch[[#This Row],[reviewer]]=patch[[#This Row],[tmp-owner.email]], "author", _xlfn.IFNA(VLOOKUP(patch[[#This Row],[reviewer]],OrgTree!$A:$K, 11, 0), "not ICG SWFW"))</f>
        <v>author</v>
      </c>
      <c r="T1945" s="7" t="str">
        <f>IF(ISBLANK(patch[[#This Row],[mergeDate]]), "", MID(YEAR(patch[[#This Row],[mergeDate]]), 3,2)&amp;"'ww"&amp;WEEKNUM(patch[[#This Row],[mergeDate]]))</f>
        <v>16'ww38</v>
      </c>
      <c r="U1945" s="7" t="str">
        <f>IF(ISBLANK(patch[[#This Row],[mergeDate]]), U1944, MID(YEAR(patch[[#This Row],[mergeDate]]), 3,2)&amp;"'m"&amp;MONTH(patch[[#This Row],[mergeDate]]))</f>
        <v>16'm9</v>
      </c>
      <c r="V1945" s="7" t="str">
        <f>IF(ISBLANK(patch[[#This Row],[project]]), "",SUM(patch[[#This Row],[BJ -1 num]:[SH -1 num]]))</f>
        <v/>
      </c>
      <c r="W1945" s="7" t="str">
        <f>IF(ISBLANK(patch[[#This Row],[project]]), "",COUNTIFS($A:$A,patch[[#This Row],[number]],$S:$S, "BJ And dev",$AC:$AC, "Review-1"))</f>
        <v/>
      </c>
      <c r="X1945" s="7" t="str">
        <f>IF(ISBLANK(patch[[#This Row],[project]]), "",COUNTIFS($A:$A,patch[[#This Row],[number]],$S:$S, "FL And dev",$AC:$AC, "Review-1"))</f>
        <v/>
      </c>
      <c r="Y1945" s="7" t="str">
        <f>IF(ISBLANK(patch[[#This Row],[project]]), "",COUNTIFS($A:$A,patch[[#This Row],[number]],$S:$S, "SH And dev",$AC:$AC, "Review-1"))</f>
        <v/>
      </c>
      <c r="Z1945" s="7" t="str">
        <f>IF(ISBLANK(patch[[#This Row],[project]]), "",COUNTIFS($A:$A,patch[[#This Row],[number]],$S:$S, "BJ And dev",$AD:$AD, "&lt;&gt;IntegratorValidationComment"))</f>
        <v/>
      </c>
      <c r="AA1945" s="7" t="str">
        <f>IF(ISBLANK(patch[[#This Row],[project]]), "",COUNTIFS($A:$A,patch[[#This Row],[number]],$S:$S, "FL And dev",$AD:$AD, "&lt;&gt;IntegratorValidationComment"))</f>
        <v/>
      </c>
      <c r="AB1945" s="7" t="str">
        <f>IF(ISBLANK(patch[[#This Row],[project]]), "",COUNTIFS($A:$A,patch[[#This Row],[number]],$S:$S, "SH And dev",$AD:$AD, "&lt;&gt;IntegratorValidationComment"))</f>
        <v/>
      </c>
      <c r="AC1945" s="7" t="str">
        <f>IF(OR(ISNUMBER(FIND("Review-1", patch[[#This Row],[comments]])), ISNUMBER(FIND("Approver-1", patch[[#This Row],[comments]]))), "Review-1", "")</f>
        <v/>
      </c>
      <c r="AD19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45" s="7">
        <f>IF(ISBLANK(patch[[#This Row],[number]]),AE1944,patch[[#This Row],[ifCommon]])</f>
        <v>0</v>
      </c>
    </row>
    <row r="1946" spans="1:31">
      <c r="A1946" s="151">
        <v>144578</v>
      </c>
      <c r="B1946" s="151"/>
      <c r="C1946" s="151"/>
      <c r="D1946" s="151"/>
      <c r="E1946" s="151"/>
      <c r="F1946" s="151"/>
      <c r="G1946" s="151"/>
      <c r="H1946" s="151"/>
      <c r="I1946" s="151"/>
      <c r="J1946" s="152">
        <v>42625.589618055557</v>
      </c>
      <c r="K1946" s="151"/>
      <c r="L1946" s="151" t="s">
        <v>63</v>
      </c>
      <c r="M1946" s="152">
        <v>42625.528680555559</v>
      </c>
      <c r="N1946" s="151" t="s">
        <v>40</v>
      </c>
      <c r="O1946" s="151"/>
      <c r="P1946" s="151"/>
      <c r="Q1946" s="7" t="str">
        <f>IF(ISBLANK(patch[[#This Row],[OwnerEmail]]),Q1945,patch[[#This Row],[OwnerEmail]])</f>
        <v>zongx.li@intel.com</v>
      </c>
      <c r="R1946" s="7" t="str">
        <f>_xlfn.IFNA(VLOOKUP(patch[[#This Row],[tmp-owner.email]],OrgTree!$A:$K, 11, 0), "not ICG SWFW")</f>
        <v>BJ And dev</v>
      </c>
      <c r="S1946" s="7" t="str">
        <f>IF(patch[[#This Row],[reviewer]]=patch[[#This Row],[tmp-owner.email]], "author", _xlfn.IFNA(VLOOKUP(patch[[#This Row],[reviewer]],OrgTree!$A:$K, 11, 0), "not ICG SWFW"))</f>
        <v>author</v>
      </c>
      <c r="T1946" s="7" t="str">
        <f>IF(ISBLANK(patch[[#This Row],[mergeDate]]), "", MID(YEAR(patch[[#This Row],[mergeDate]]), 3,2)&amp;"'ww"&amp;WEEKNUM(patch[[#This Row],[mergeDate]]))</f>
        <v>16'ww38</v>
      </c>
      <c r="U1946" s="7" t="str">
        <f>IF(ISBLANK(patch[[#This Row],[mergeDate]]), U1945, MID(YEAR(patch[[#This Row],[mergeDate]]), 3,2)&amp;"'m"&amp;MONTH(patch[[#This Row],[mergeDate]]))</f>
        <v>16'm9</v>
      </c>
      <c r="V1946" s="7" t="str">
        <f>IF(ISBLANK(patch[[#This Row],[project]]), "",SUM(patch[[#This Row],[BJ -1 num]:[SH -1 num]]))</f>
        <v/>
      </c>
      <c r="W1946" s="7" t="str">
        <f>IF(ISBLANK(patch[[#This Row],[project]]), "",COUNTIFS($A:$A,patch[[#This Row],[number]],$S:$S, "BJ And dev",$AC:$AC, "Review-1"))</f>
        <v/>
      </c>
      <c r="X1946" s="7" t="str">
        <f>IF(ISBLANK(patch[[#This Row],[project]]), "",COUNTIFS($A:$A,patch[[#This Row],[number]],$S:$S, "FL And dev",$AC:$AC, "Review-1"))</f>
        <v/>
      </c>
      <c r="Y1946" s="7" t="str">
        <f>IF(ISBLANK(patch[[#This Row],[project]]), "",COUNTIFS($A:$A,patch[[#This Row],[number]],$S:$S, "SH And dev",$AC:$AC, "Review-1"))</f>
        <v/>
      </c>
      <c r="Z1946" s="7" t="str">
        <f>IF(ISBLANK(patch[[#This Row],[project]]), "",COUNTIFS($A:$A,patch[[#This Row],[number]],$S:$S, "BJ And dev",$AD:$AD, "&lt;&gt;IntegratorValidationComment"))</f>
        <v/>
      </c>
      <c r="AA1946" s="7" t="str">
        <f>IF(ISBLANK(patch[[#This Row],[project]]), "",COUNTIFS($A:$A,patch[[#This Row],[number]],$S:$S, "FL And dev",$AD:$AD, "&lt;&gt;IntegratorValidationComment"))</f>
        <v/>
      </c>
      <c r="AB1946" s="7" t="str">
        <f>IF(ISBLANK(patch[[#This Row],[project]]), "",COUNTIFS($A:$A,patch[[#This Row],[number]],$S:$S, "SH And dev",$AD:$AD, "&lt;&gt;IntegratorValidationComment"))</f>
        <v/>
      </c>
      <c r="AC1946" s="7" t="str">
        <f>IF(OR(ISNUMBER(FIND("Review-1", patch[[#This Row],[comments]])), ISNUMBER(FIND("Approver-1", patch[[#This Row],[comments]]))), "Review-1", "")</f>
        <v/>
      </c>
      <c r="AD19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46" s="7">
        <f>IF(ISBLANK(patch[[#This Row],[number]]),AE1945,patch[[#This Row],[ifCommon]])</f>
        <v>0</v>
      </c>
    </row>
    <row r="1947" spans="1:31">
      <c r="A1947" s="151">
        <v>144578</v>
      </c>
      <c r="B1947" s="151"/>
      <c r="C1947" s="151"/>
      <c r="D1947" s="151"/>
      <c r="E1947" s="151"/>
      <c r="F1947" s="151"/>
      <c r="G1947" s="151"/>
      <c r="H1947" s="151"/>
      <c r="I1947" s="151"/>
      <c r="J1947" s="152">
        <v>42625.589618055557</v>
      </c>
      <c r="K1947" s="151"/>
      <c r="L1947" s="151" t="s">
        <v>59</v>
      </c>
      <c r="M1947" s="152">
        <v>42625.536053240743</v>
      </c>
      <c r="N1947" s="151" t="s">
        <v>3543</v>
      </c>
      <c r="O1947" s="151"/>
      <c r="P1947" s="151"/>
      <c r="Q1947" s="7" t="str">
        <f>IF(ISBLANK(patch[[#This Row],[OwnerEmail]]),Q1946,patch[[#This Row],[OwnerEmail]])</f>
        <v>zongx.li@intel.com</v>
      </c>
      <c r="R1947" s="7" t="str">
        <f>_xlfn.IFNA(VLOOKUP(patch[[#This Row],[tmp-owner.email]],OrgTree!$A:$K, 11, 0), "not ICG SWFW")</f>
        <v>BJ And dev</v>
      </c>
      <c r="S1947" s="7" t="str">
        <f>IF(patch[[#This Row],[reviewer]]=patch[[#This Row],[tmp-owner.email]], "author", _xlfn.IFNA(VLOOKUP(patch[[#This Row],[reviewer]],OrgTree!$A:$K, 11, 0), "not ICG SWFW"))</f>
        <v>BJ And dev</v>
      </c>
      <c r="T1947" s="7" t="str">
        <f>IF(ISBLANK(patch[[#This Row],[mergeDate]]), "", MID(YEAR(patch[[#This Row],[mergeDate]]), 3,2)&amp;"'ww"&amp;WEEKNUM(patch[[#This Row],[mergeDate]]))</f>
        <v>16'ww38</v>
      </c>
      <c r="U1947" s="7" t="str">
        <f>IF(ISBLANK(patch[[#This Row],[mergeDate]]), U1946, MID(YEAR(patch[[#This Row],[mergeDate]]), 3,2)&amp;"'m"&amp;MONTH(patch[[#This Row],[mergeDate]]))</f>
        <v>16'm9</v>
      </c>
      <c r="V1947" s="7" t="str">
        <f>IF(ISBLANK(patch[[#This Row],[project]]), "",SUM(patch[[#This Row],[BJ -1 num]:[SH -1 num]]))</f>
        <v/>
      </c>
      <c r="W1947" s="7" t="str">
        <f>IF(ISBLANK(patch[[#This Row],[project]]), "",COUNTIFS($A:$A,patch[[#This Row],[number]],$S:$S, "BJ And dev",$AC:$AC, "Review-1"))</f>
        <v/>
      </c>
      <c r="X1947" s="7" t="str">
        <f>IF(ISBLANK(patch[[#This Row],[project]]), "",COUNTIFS($A:$A,patch[[#This Row],[number]],$S:$S, "FL And dev",$AC:$AC, "Review-1"))</f>
        <v/>
      </c>
      <c r="Y1947" s="7" t="str">
        <f>IF(ISBLANK(patch[[#This Row],[project]]), "",COUNTIFS($A:$A,patch[[#This Row],[number]],$S:$S, "SH And dev",$AC:$AC, "Review-1"))</f>
        <v/>
      </c>
      <c r="Z1947" s="7" t="str">
        <f>IF(ISBLANK(patch[[#This Row],[project]]), "",COUNTIFS($A:$A,patch[[#This Row],[number]],$S:$S, "BJ And dev",$AD:$AD, "&lt;&gt;IntegratorValidationComment"))</f>
        <v/>
      </c>
      <c r="AA1947" s="7" t="str">
        <f>IF(ISBLANK(patch[[#This Row],[project]]), "",COUNTIFS($A:$A,patch[[#This Row],[number]],$S:$S, "FL And dev",$AD:$AD, "&lt;&gt;IntegratorValidationComment"))</f>
        <v/>
      </c>
      <c r="AB1947" s="7" t="str">
        <f>IF(ISBLANK(patch[[#This Row],[project]]), "",COUNTIFS($A:$A,patch[[#This Row],[number]],$S:$S, "SH And dev",$AD:$AD, "&lt;&gt;IntegratorValidationComment"))</f>
        <v/>
      </c>
      <c r="AC1947" s="7" t="str">
        <f>IF(OR(ISNUMBER(FIND("Review-1", patch[[#This Row],[comments]])), ISNUMBER(FIND("Approver-1", patch[[#This Row],[comments]]))), "Review-1", "")</f>
        <v/>
      </c>
      <c r="AD19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47" s="7">
        <f>IF(ISBLANK(patch[[#This Row],[number]]),AE1946,patch[[#This Row],[ifCommon]])</f>
        <v>0</v>
      </c>
    </row>
    <row r="1948" spans="1:31">
      <c r="A1948" s="151">
        <v>144578</v>
      </c>
      <c r="B1948" s="151"/>
      <c r="C1948" s="151"/>
      <c r="D1948" s="151"/>
      <c r="E1948" s="151"/>
      <c r="F1948" s="151"/>
      <c r="G1948" s="151"/>
      <c r="H1948" s="151"/>
      <c r="I1948" s="151"/>
      <c r="J1948" s="152">
        <v>42625.589618055557</v>
      </c>
      <c r="K1948" s="151"/>
      <c r="L1948" s="151" t="s">
        <v>59</v>
      </c>
      <c r="M1948" s="152">
        <v>42625.540879629632</v>
      </c>
      <c r="N1948" s="151" t="s">
        <v>3544</v>
      </c>
      <c r="O1948" s="151"/>
      <c r="P1948" s="151"/>
      <c r="Q1948" s="7" t="str">
        <f>IF(ISBLANK(patch[[#This Row],[OwnerEmail]]),Q1947,patch[[#This Row],[OwnerEmail]])</f>
        <v>zongx.li@intel.com</v>
      </c>
      <c r="R1948" s="7" t="str">
        <f>_xlfn.IFNA(VLOOKUP(patch[[#This Row],[tmp-owner.email]],OrgTree!$A:$K, 11, 0), "not ICG SWFW")</f>
        <v>BJ And dev</v>
      </c>
      <c r="S1948" s="7" t="str">
        <f>IF(patch[[#This Row],[reviewer]]=patch[[#This Row],[tmp-owner.email]], "author", _xlfn.IFNA(VLOOKUP(patch[[#This Row],[reviewer]],OrgTree!$A:$K, 11, 0), "not ICG SWFW"))</f>
        <v>BJ And dev</v>
      </c>
      <c r="T1948" s="7" t="str">
        <f>IF(ISBLANK(patch[[#This Row],[mergeDate]]), "", MID(YEAR(patch[[#This Row],[mergeDate]]), 3,2)&amp;"'ww"&amp;WEEKNUM(patch[[#This Row],[mergeDate]]))</f>
        <v>16'ww38</v>
      </c>
      <c r="U1948" s="7" t="str">
        <f>IF(ISBLANK(patch[[#This Row],[mergeDate]]), U1947, MID(YEAR(patch[[#This Row],[mergeDate]]), 3,2)&amp;"'m"&amp;MONTH(patch[[#This Row],[mergeDate]]))</f>
        <v>16'm9</v>
      </c>
      <c r="V1948" s="7" t="str">
        <f>IF(ISBLANK(patch[[#This Row],[project]]), "",SUM(patch[[#This Row],[BJ -1 num]:[SH -1 num]]))</f>
        <v/>
      </c>
      <c r="W1948" s="7" t="str">
        <f>IF(ISBLANK(patch[[#This Row],[project]]), "",COUNTIFS($A:$A,patch[[#This Row],[number]],$S:$S, "BJ And dev",$AC:$AC, "Review-1"))</f>
        <v/>
      </c>
      <c r="X1948" s="7" t="str">
        <f>IF(ISBLANK(patch[[#This Row],[project]]), "",COUNTIFS($A:$A,patch[[#This Row],[number]],$S:$S, "FL And dev",$AC:$AC, "Review-1"))</f>
        <v/>
      </c>
      <c r="Y1948" s="7" t="str">
        <f>IF(ISBLANK(patch[[#This Row],[project]]), "",COUNTIFS($A:$A,patch[[#This Row],[number]],$S:$S, "SH And dev",$AC:$AC, "Review-1"))</f>
        <v/>
      </c>
      <c r="Z1948" s="7" t="str">
        <f>IF(ISBLANK(patch[[#This Row],[project]]), "",COUNTIFS($A:$A,patch[[#This Row],[number]],$S:$S, "BJ And dev",$AD:$AD, "&lt;&gt;IntegratorValidationComment"))</f>
        <v/>
      </c>
      <c r="AA1948" s="7" t="str">
        <f>IF(ISBLANK(patch[[#This Row],[project]]), "",COUNTIFS($A:$A,patch[[#This Row],[number]],$S:$S, "FL And dev",$AD:$AD, "&lt;&gt;IntegratorValidationComment"))</f>
        <v/>
      </c>
      <c r="AB1948" s="7" t="str">
        <f>IF(ISBLANK(patch[[#This Row],[project]]), "",COUNTIFS($A:$A,patch[[#This Row],[number]],$S:$S, "SH And dev",$AD:$AD, "&lt;&gt;IntegratorValidationComment"))</f>
        <v/>
      </c>
      <c r="AC1948" s="7" t="str">
        <f>IF(OR(ISNUMBER(FIND("Review-1", patch[[#This Row],[comments]])), ISNUMBER(FIND("Approver-1", patch[[#This Row],[comments]]))), "Review-1", "")</f>
        <v/>
      </c>
      <c r="AD19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48" s="7">
        <f>IF(ISBLANK(patch[[#This Row],[number]]),AE1947,patch[[#This Row],[ifCommon]])</f>
        <v>0</v>
      </c>
    </row>
    <row r="1949" spans="1:31">
      <c r="A1949" s="151">
        <v>144578</v>
      </c>
      <c r="B1949" s="151"/>
      <c r="C1949" s="151"/>
      <c r="D1949" s="151"/>
      <c r="E1949" s="151"/>
      <c r="F1949" s="151"/>
      <c r="G1949" s="151"/>
      <c r="H1949" s="151"/>
      <c r="I1949" s="151"/>
      <c r="J1949" s="152">
        <v>42625.589618055557</v>
      </c>
      <c r="K1949" s="151"/>
      <c r="L1949" s="151" t="s">
        <v>32</v>
      </c>
      <c r="M1949" s="152">
        <v>42625.568611111114</v>
      </c>
      <c r="N1949" s="151" t="s">
        <v>1880</v>
      </c>
      <c r="O1949" s="151"/>
      <c r="P1949" s="151"/>
      <c r="Q1949" s="7" t="str">
        <f>IF(ISBLANK(patch[[#This Row],[OwnerEmail]]),Q1948,patch[[#This Row],[OwnerEmail]])</f>
        <v>zongx.li@intel.com</v>
      </c>
      <c r="R1949" s="7" t="str">
        <f>_xlfn.IFNA(VLOOKUP(patch[[#This Row],[tmp-owner.email]],OrgTree!$A:$K, 11, 0), "not ICG SWFW")</f>
        <v>BJ And dev</v>
      </c>
      <c r="S1949" s="7" t="str">
        <f>IF(patch[[#This Row],[reviewer]]=patch[[#This Row],[tmp-owner.email]], "author", _xlfn.IFNA(VLOOKUP(patch[[#This Row],[reviewer]],OrgTree!$A:$K, 11, 0), "not ICG SWFW"))</f>
        <v>BJ And dev</v>
      </c>
      <c r="T1949" s="7" t="str">
        <f>IF(ISBLANK(patch[[#This Row],[mergeDate]]), "", MID(YEAR(patch[[#This Row],[mergeDate]]), 3,2)&amp;"'ww"&amp;WEEKNUM(patch[[#This Row],[mergeDate]]))</f>
        <v>16'ww38</v>
      </c>
      <c r="U1949" s="7" t="str">
        <f>IF(ISBLANK(patch[[#This Row],[mergeDate]]), U1948, MID(YEAR(patch[[#This Row],[mergeDate]]), 3,2)&amp;"'m"&amp;MONTH(patch[[#This Row],[mergeDate]]))</f>
        <v>16'm9</v>
      </c>
      <c r="V1949" s="7" t="str">
        <f>IF(ISBLANK(patch[[#This Row],[project]]), "",SUM(patch[[#This Row],[BJ -1 num]:[SH -1 num]]))</f>
        <v/>
      </c>
      <c r="W1949" s="7" t="str">
        <f>IF(ISBLANK(patch[[#This Row],[project]]), "",COUNTIFS($A:$A,patch[[#This Row],[number]],$S:$S, "BJ And dev",$AC:$AC, "Review-1"))</f>
        <v/>
      </c>
      <c r="X1949" s="7" t="str">
        <f>IF(ISBLANK(patch[[#This Row],[project]]), "",COUNTIFS($A:$A,patch[[#This Row],[number]],$S:$S, "FL And dev",$AC:$AC, "Review-1"))</f>
        <v/>
      </c>
      <c r="Y1949" s="7" t="str">
        <f>IF(ISBLANK(patch[[#This Row],[project]]), "",COUNTIFS($A:$A,patch[[#This Row],[number]],$S:$S, "SH And dev",$AC:$AC, "Review-1"))</f>
        <v/>
      </c>
      <c r="Z1949" s="7" t="str">
        <f>IF(ISBLANK(patch[[#This Row],[project]]), "",COUNTIFS($A:$A,patch[[#This Row],[number]],$S:$S, "BJ And dev",$AD:$AD, "&lt;&gt;IntegratorValidationComment"))</f>
        <v/>
      </c>
      <c r="AA1949" s="7" t="str">
        <f>IF(ISBLANK(patch[[#This Row],[project]]), "",COUNTIFS($A:$A,patch[[#This Row],[number]],$S:$S, "FL And dev",$AD:$AD, "&lt;&gt;IntegratorValidationComment"))</f>
        <v/>
      </c>
      <c r="AB1949" s="7" t="str">
        <f>IF(ISBLANK(patch[[#This Row],[project]]), "",COUNTIFS($A:$A,patch[[#This Row],[number]],$S:$S, "SH And dev",$AD:$AD, "&lt;&gt;IntegratorValidationComment"))</f>
        <v/>
      </c>
      <c r="AC1949" s="7" t="str">
        <f>IF(OR(ISNUMBER(FIND("Review-1", patch[[#This Row],[comments]])), ISNUMBER(FIND("Approver-1", patch[[#This Row],[comments]]))), "Review-1", "")</f>
        <v/>
      </c>
      <c r="AD19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49" s="7">
        <f>IF(ISBLANK(patch[[#This Row],[number]]),AE1948,patch[[#This Row],[ifCommon]])</f>
        <v>0</v>
      </c>
    </row>
    <row r="1950" spans="1:31">
      <c r="A1950" s="151">
        <v>144578</v>
      </c>
      <c r="B1950" s="151"/>
      <c r="C1950" s="151"/>
      <c r="D1950" s="151"/>
      <c r="E1950" s="151"/>
      <c r="F1950" s="151"/>
      <c r="G1950" s="151"/>
      <c r="H1950" s="151"/>
      <c r="I1950" s="151"/>
      <c r="J1950" s="152">
        <v>42625.589618055557</v>
      </c>
      <c r="K1950" s="151"/>
      <c r="L1950" s="151" t="s">
        <v>32</v>
      </c>
      <c r="M1950" s="152">
        <v>42625.568738425929</v>
      </c>
      <c r="N1950" s="151" t="s">
        <v>2446</v>
      </c>
      <c r="O1950" s="151"/>
      <c r="P1950" s="151"/>
      <c r="Q1950" s="7" t="str">
        <f>IF(ISBLANK(patch[[#This Row],[OwnerEmail]]),Q1949,patch[[#This Row],[OwnerEmail]])</f>
        <v>zongx.li@intel.com</v>
      </c>
      <c r="R1950" s="7" t="str">
        <f>_xlfn.IFNA(VLOOKUP(patch[[#This Row],[tmp-owner.email]],OrgTree!$A:$K, 11, 0), "not ICG SWFW")</f>
        <v>BJ And dev</v>
      </c>
      <c r="S1950" s="7" t="str">
        <f>IF(patch[[#This Row],[reviewer]]=patch[[#This Row],[tmp-owner.email]], "author", _xlfn.IFNA(VLOOKUP(patch[[#This Row],[reviewer]],OrgTree!$A:$K, 11, 0), "not ICG SWFW"))</f>
        <v>BJ And dev</v>
      </c>
      <c r="T1950" s="7" t="str">
        <f>IF(ISBLANK(patch[[#This Row],[mergeDate]]), "", MID(YEAR(patch[[#This Row],[mergeDate]]), 3,2)&amp;"'ww"&amp;WEEKNUM(patch[[#This Row],[mergeDate]]))</f>
        <v>16'ww38</v>
      </c>
      <c r="U1950" s="7" t="str">
        <f>IF(ISBLANK(patch[[#This Row],[mergeDate]]), U1949, MID(YEAR(patch[[#This Row],[mergeDate]]), 3,2)&amp;"'m"&amp;MONTH(patch[[#This Row],[mergeDate]]))</f>
        <v>16'm9</v>
      </c>
      <c r="V1950" s="7" t="str">
        <f>IF(ISBLANK(patch[[#This Row],[project]]), "",SUM(patch[[#This Row],[BJ -1 num]:[SH -1 num]]))</f>
        <v/>
      </c>
      <c r="W1950" s="7" t="str">
        <f>IF(ISBLANK(patch[[#This Row],[project]]), "",COUNTIFS($A:$A,patch[[#This Row],[number]],$S:$S, "BJ And dev",$AC:$AC, "Review-1"))</f>
        <v/>
      </c>
      <c r="X1950" s="7" t="str">
        <f>IF(ISBLANK(patch[[#This Row],[project]]), "",COUNTIFS($A:$A,patch[[#This Row],[number]],$S:$S, "FL And dev",$AC:$AC, "Review-1"))</f>
        <v/>
      </c>
      <c r="Y1950" s="7" t="str">
        <f>IF(ISBLANK(patch[[#This Row],[project]]), "",COUNTIFS($A:$A,patch[[#This Row],[number]],$S:$S, "SH And dev",$AC:$AC, "Review-1"))</f>
        <v/>
      </c>
      <c r="Z1950" s="7" t="str">
        <f>IF(ISBLANK(patch[[#This Row],[project]]), "",COUNTIFS($A:$A,patch[[#This Row],[number]],$S:$S, "BJ And dev",$AD:$AD, "&lt;&gt;IntegratorValidationComment"))</f>
        <v/>
      </c>
      <c r="AA1950" s="7" t="str">
        <f>IF(ISBLANK(patch[[#This Row],[project]]), "",COUNTIFS($A:$A,patch[[#This Row],[number]],$S:$S, "FL And dev",$AD:$AD, "&lt;&gt;IntegratorValidationComment"))</f>
        <v/>
      </c>
      <c r="AB1950" s="7" t="str">
        <f>IF(ISBLANK(patch[[#This Row],[project]]), "",COUNTIFS($A:$A,patch[[#This Row],[number]],$S:$S, "SH And dev",$AD:$AD, "&lt;&gt;IntegratorValidationComment"))</f>
        <v/>
      </c>
      <c r="AC1950" s="7" t="str">
        <f>IF(OR(ISNUMBER(FIND("Review-1", patch[[#This Row],[comments]])), ISNUMBER(FIND("Approver-1", patch[[#This Row],[comments]]))), "Review-1", "")</f>
        <v/>
      </c>
      <c r="AD19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50" s="7">
        <f>IF(ISBLANK(patch[[#This Row],[number]]),AE1949,patch[[#This Row],[ifCommon]])</f>
        <v>0</v>
      </c>
    </row>
    <row r="1951" spans="1:31">
      <c r="A1951" s="151">
        <v>144578</v>
      </c>
      <c r="B1951" s="151"/>
      <c r="C1951" s="151"/>
      <c r="D1951" s="151"/>
      <c r="E1951" s="151"/>
      <c r="F1951" s="151"/>
      <c r="G1951" s="151"/>
      <c r="H1951" s="151"/>
      <c r="I1951" s="151"/>
      <c r="J1951" s="152">
        <v>42625.589618055557</v>
      </c>
      <c r="K1951" s="151"/>
      <c r="L1951" s="151" t="s">
        <v>32</v>
      </c>
      <c r="M1951" s="152">
        <v>42625.578888888893</v>
      </c>
      <c r="N1951" s="151" t="s">
        <v>58</v>
      </c>
      <c r="O1951" s="151"/>
      <c r="P1951" s="151"/>
      <c r="Q1951" s="7" t="str">
        <f>IF(ISBLANK(patch[[#This Row],[OwnerEmail]]),Q1950,patch[[#This Row],[OwnerEmail]])</f>
        <v>zongx.li@intel.com</v>
      </c>
      <c r="R1951" s="7" t="str">
        <f>_xlfn.IFNA(VLOOKUP(patch[[#This Row],[tmp-owner.email]],OrgTree!$A:$K, 11, 0), "not ICG SWFW")</f>
        <v>BJ And dev</v>
      </c>
      <c r="S1951" s="7" t="str">
        <f>IF(patch[[#This Row],[reviewer]]=patch[[#This Row],[tmp-owner.email]], "author", _xlfn.IFNA(VLOOKUP(patch[[#This Row],[reviewer]],OrgTree!$A:$K, 11, 0), "not ICG SWFW"))</f>
        <v>BJ And dev</v>
      </c>
      <c r="T1951" s="7" t="str">
        <f>IF(ISBLANK(patch[[#This Row],[mergeDate]]), "", MID(YEAR(patch[[#This Row],[mergeDate]]), 3,2)&amp;"'ww"&amp;WEEKNUM(patch[[#This Row],[mergeDate]]))</f>
        <v>16'ww38</v>
      </c>
      <c r="U1951" s="7" t="str">
        <f>IF(ISBLANK(patch[[#This Row],[mergeDate]]), U1950, MID(YEAR(patch[[#This Row],[mergeDate]]), 3,2)&amp;"'m"&amp;MONTH(patch[[#This Row],[mergeDate]]))</f>
        <v>16'm9</v>
      </c>
      <c r="V1951" s="7" t="str">
        <f>IF(ISBLANK(patch[[#This Row],[project]]), "",SUM(patch[[#This Row],[BJ -1 num]:[SH -1 num]]))</f>
        <v/>
      </c>
      <c r="W1951" s="7" t="str">
        <f>IF(ISBLANK(patch[[#This Row],[project]]), "",COUNTIFS($A:$A,patch[[#This Row],[number]],$S:$S, "BJ And dev",$AC:$AC, "Review-1"))</f>
        <v/>
      </c>
      <c r="X1951" s="7" t="str">
        <f>IF(ISBLANK(patch[[#This Row],[project]]), "",COUNTIFS($A:$A,patch[[#This Row],[number]],$S:$S, "FL And dev",$AC:$AC, "Review-1"))</f>
        <v/>
      </c>
      <c r="Y1951" s="7" t="str">
        <f>IF(ISBLANK(patch[[#This Row],[project]]), "",COUNTIFS($A:$A,patch[[#This Row],[number]],$S:$S, "SH And dev",$AC:$AC, "Review-1"))</f>
        <v/>
      </c>
      <c r="Z1951" s="7" t="str">
        <f>IF(ISBLANK(patch[[#This Row],[project]]), "",COUNTIFS($A:$A,patch[[#This Row],[number]],$S:$S, "BJ And dev",$AD:$AD, "&lt;&gt;IntegratorValidationComment"))</f>
        <v/>
      </c>
      <c r="AA1951" s="7" t="str">
        <f>IF(ISBLANK(patch[[#This Row],[project]]), "",COUNTIFS($A:$A,patch[[#This Row],[number]],$S:$S, "FL And dev",$AD:$AD, "&lt;&gt;IntegratorValidationComment"))</f>
        <v/>
      </c>
      <c r="AB1951" s="7" t="str">
        <f>IF(ISBLANK(patch[[#This Row],[project]]), "",COUNTIFS($A:$A,patch[[#This Row],[number]],$S:$S, "SH And dev",$AD:$AD, "&lt;&gt;IntegratorValidationComment"))</f>
        <v/>
      </c>
      <c r="AC1951" s="7" t="str">
        <f>IF(OR(ISNUMBER(FIND("Review-1", patch[[#This Row],[comments]])), ISNUMBER(FIND("Approver-1", patch[[#This Row],[comments]]))), "Review-1", "")</f>
        <v/>
      </c>
      <c r="AD19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51" s="7">
        <f>IF(ISBLANK(patch[[#This Row],[number]]),AE1950,patch[[#This Row],[ifCommon]])</f>
        <v>0</v>
      </c>
    </row>
    <row r="1952" spans="1:31">
      <c r="A1952" s="151">
        <v>144578</v>
      </c>
      <c r="B1952" s="151"/>
      <c r="C1952" s="151"/>
      <c r="D1952" s="151"/>
      <c r="E1952" s="151"/>
      <c r="F1952" s="151"/>
      <c r="G1952" s="151"/>
      <c r="H1952" s="151"/>
      <c r="I1952" s="151"/>
      <c r="J1952" s="152">
        <v>42625.589618055557</v>
      </c>
      <c r="K1952" s="151"/>
      <c r="L1952" s="151" t="s">
        <v>115</v>
      </c>
      <c r="M1952" s="152">
        <v>42625.589421296303</v>
      </c>
      <c r="N1952" s="151" t="s">
        <v>2494</v>
      </c>
      <c r="O1952" s="151"/>
      <c r="P1952" s="151"/>
      <c r="Q1952" s="7" t="str">
        <f>IF(ISBLANK(patch[[#This Row],[OwnerEmail]]),Q1951,patch[[#This Row],[OwnerEmail]])</f>
        <v>zongx.li@intel.com</v>
      </c>
      <c r="R1952" s="7" t="str">
        <f>_xlfn.IFNA(VLOOKUP(patch[[#This Row],[tmp-owner.email]],OrgTree!$A:$K, 11, 0), "not ICG SWFW")</f>
        <v>BJ And dev</v>
      </c>
      <c r="S1952" s="7" t="str">
        <f>IF(patch[[#This Row],[reviewer]]=patch[[#This Row],[tmp-owner.email]], "author", _xlfn.IFNA(VLOOKUP(patch[[#This Row],[reviewer]],OrgTree!$A:$K, 11, 0), "not ICG SWFW"))</f>
        <v>Val</v>
      </c>
      <c r="T1952" s="7" t="str">
        <f>IF(ISBLANK(patch[[#This Row],[mergeDate]]), "", MID(YEAR(patch[[#This Row],[mergeDate]]), 3,2)&amp;"'ww"&amp;WEEKNUM(patch[[#This Row],[mergeDate]]))</f>
        <v>16'ww38</v>
      </c>
      <c r="U1952" s="7" t="str">
        <f>IF(ISBLANK(patch[[#This Row],[mergeDate]]), U1951, MID(YEAR(patch[[#This Row],[mergeDate]]), 3,2)&amp;"'m"&amp;MONTH(patch[[#This Row],[mergeDate]]))</f>
        <v>16'm9</v>
      </c>
      <c r="V1952" s="7" t="str">
        <f>IF(ISBLANK(patch[[#This Row],[project]]), "",SUM(patch[[#This Row],[BJ -1 num]:[SH -1 num]]))</f>
        <v/>
      </c>
      <c r="W1952" s="7" t="str">
        <f>IF(ISBLANK(patch[[#This Row],[project]]), "",COUNTIFS($A:$A,patch[[#This Row],[number]],$S:$S, "BJ And dev",$AC:$AC, "Review-1"))</f>
        <v/>
      </c>
      <c r="X1952" s="7" t="str">
        <f>IF(ISBLANK(patch[[#This Row],[project]]), "",COUNTIFS($A:$A,patch[[#This Row],[number]],$S:$S, "FL And dev",$AC:$AC, "Review-1"))</f>
        <v/>
      </c>
      <c r="Y1952" s="7" t="str">
        <f>IF(ISBLANK(patch[[#This Row],[project]]), "",COUNTIFS($A:$A,patch[[#This Row],[number]],$S:$S, "SH And dev",$AC:$AC, "Review-1"))</f>
        <v/>
      </c>
      <c r="Z1952" s="7" t="str">
        <f>IF(ISBLANK(patch[[#This Row],[project]]), "",COUNTIFS($A:$A,patch[[#This Row],[number]],$S:$S, "BJ And dev",$AD:$AD, "&lt;&gt;IntegratorValidationComment"))</f>
        <v/>
      </c>
      <c r="AA1952" s="7" t="str">
        <f>IF(ISBLANK(patch[[#This Row],[project]]), "",COUNTIFS($A:$A,patch[[#This Row],[number]],$S:$S, "FL And dev",$AD:$AD, "&lt;&gt;IntegratorValidationComment"))</f>
        <v/>
      </c>
      <c r="AB1952" s="7" t="str">
        <f>IF(ISBLANK(patch[[#This Row],[project]]), "",COUNTIFS($A:$A,patch[[#This Row],[number]],$S:$S, "SH And dev",$AD:$AD, "&lt;&gt;IntegratorValidationComment"))</f>
        <v/>
      </c>
      <c r="AC1952" s="7" t="str">
        <f>IF(OR(ISNUMBER(FIND("Review-1", patch[[#This Row],[comments]])), ISNUMBER(FIND("Approver-1", patch[[#This Row],[comments]]))), "Review-1", "")</f>
        <v/>
      </c>
      <c r="AD19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952" s="7">
        <f>IF(ISBLANK(patch[[#This Row],[number]]),AE1951,patch[[#This Row],[ifCommon]])</f>
        <v>0</v>
      </c>
    </row>
    <row r="1953" spans="1:31">
      <c r="A1953" s="151">
        <v>144578</v>
      </c>
      <c r="B1953" s="151"/>
      <c r="C1953" s="151"/>
      <c r="D1953" s="151"/>
      <c r="E1953" s="151"/>
      <c r="F1953" s="151"/>
      <c r="G1953" s="151"/>
      <c r="H1953" s="151"/>
      <c r="I1953" s="151"/>
      <c r="J1953" s="152">
        <v>42625.589618055557</v>
      </c>
      <c r="K1953" s="151"/>
      <c r="L1953" s="151" t="s">
        <v>115</v>
      </c>
      <c r="M1953" s="152">
        <v>42625.589722222219</v>
      </c>
      <c r="N1953" s="151" t="s">
        <v>3545</v>
      </c>
      <c r="O1953" s="151"/>
      <c r="P1953" s="151"/>
      <c r="Q1953" s="7" t="str">
        <f>IF(ISBLANK(patch[[#This Row],[OwnerEmail]]),Q1952,patch[[#This Row],[OwnerEmail]])</f>
        <v>zongx.li@intel.com</v>
      </c>
      <c r="R1953" s="7" t="str">
        <f>_xlfn.IFNA(VLOOKUP(patch[[#This Row],[tmp-owner.email]],OrgTree!$A:$K, 11, 0), "not ICG SWFW")</f>
        <v>BJ And dev</v>
      </c>
      <c r="S1953" s="7" t="str">
        <f>IF(patch[[#This Row],[reviewer]]=patch[[#This Row],[tmp-owner.email]], "author", _xlfn.IFNA(VLOOKUP(patch[[#This Row],[reviewer]],OrgTree!$A:$K, 11, 0), "not ICG SWFW"))</f>
        <v>Val</v>
      </c>
      <c r="T1953" s="7" t="str">
        <f>IF(ISBLANK(patch[[#This Row],[mergeDate]]), "", MID(YEAR(patch[[#This Row],[mergeDate]]), 3,2)&amp;"'ww"&amp;WEEKNUM(patch[[#This Row],[mergeDate]]))</f>
        <v>16'ww38</v>
      </c>
      <c r="U1953" s="7" t="str">
        <f>IF(ISBLANK(patch[[#This Row],[mergeDate]]), U1952, MID(YEAR(patch[[#This Row],[mergeDate]]), 3,2)&amp;"'m"&amp;MONTH(patch[[#This Row],[mergeDate]]))</f>
        <v>16'm9</v>
      </c>
      <c r="V1953" s="7" t="str">
        <f>IF(ISBLANK(patch[[#This Row],[project]]), "",SUM(patch[[#This Row],[BJ -1 num]:[SH -1 num]]))</f>
        <v/>
      </c>
      <c r="W1953" s="7" t="str">
        <f>IF(ISBLANK(patch[[#This Row],[project]]), "",COUNTIFS($A:$A,patch[[#This Row],[number]],$S:$S, "BJ And dev",$AC:$AC, "Review-1"))</f>
        <v/>
      </c>
      <c r="X1953" s="7" t="str">
        <f>IF(ISBLANK(patch[[#This Row],[project]]), "",COUNTIFS($A:$A,patch[[#This Row],[number]],$S:$S, "FL And dev",$AC:$AC, "Review-1"))</f>
        <v/>
      </c>
      <c r="Y1953" s="7" t="str">
        <f>IF(ISBLANK(patch[[#This Row],[project]]), "",COUNTIFS($A:$A,patch[[#This Row],[number]],$S:$S, "SH And dev",$AC:$AC, "Review-1"))</f>
        <v/>
      </c>
      <c r="Z1953" s="7" t="str">
        <f>IF(ISBLANK(patch[[#This Row],[project]]), "",COUNTIFS($A:$A,patch[[#This Row],[number]],$S:$S, "BJ And dev",$AD:$AD, "&lt;&gt;IntegratorValidationComment"))</f>
        <v/>
      </c>
      <c r="AA1953" s="7" t="str">
        <f>IF(ISBLANK(patch[[#This Row],[project]]), "",COUNTIFS($A:$A,patch[[#This Row],[number]],$S:$S, "FL And dev",$AD:$AD, "&lt;&gt;IntegratorValidationComment"))</f>
        <v/>
      </c>
      <c r="AB1953" s="7" t="str">
        <f>IF(ISBLANK(patch[[#This Row],[project]]), "",COUNTIFS($A:$A,patch[[#This Row],[number]],$S:$S, "SH And dev",$AD:$AD, "&lt;&gt;IntegratorValidationComment"))</f>
        <v/>
      </c>
      <c r="AC1953" s="7" t="str">
        <f>IF(OR(ISNUMBER(FIND("Review-1", patch[[#This Row],[comments]])), ISNUMBER(FIND("Approver-1", patch[[#This Row],[comments]]))), "Review-1", "")</f>
        <v/>
      </c>
      <c r="AD19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53" s="7">
        <f>IF(ISBLANK(patch[[#This Row],[number]]),AE1952,patch[[#This Row],[ifCommon]])</f>
        <v>0</v>
      </c>
    </row>
    <row r="1954" spans="1:31">
      <c r="A1954" s="151">
        <v>144112</v>
      </c>
      <c r="B1954" s="151" t="s">
        <v>2493</v>
      </c>
      <c r="C1954" s="151" t="s">
        <v>2491</v>
      </c>
      <c r="D1954" s="151" t="s">
        <v>3546</v>
      </c>
      <c r="E1954" s="151" t="s">
        <v>1203</v>
      </c>
      <c r="F1954" s="151" t="s">
        <v>23</v>
      </c>
      <c r="G1954" s="151" t="s">
        <v>3547</v>
      </c>
      <c r="H1954" s="151" t="s">
        <v>3548</v>
      </c>
      <c r="I1954" s="152">
        <v>42621.774837962963</v>
      </c>
      <c r="J1954" s="152">
        <v>42622.673888888887</v>
      </c>
      <c r="K1954" s="151" t="s">
        <v>2445</v>
      </c>
      <c r="L1954" s="151" t="s">
        <v>1203</v>
      </c>
      <c r="M1954" s="152">
        <v>42621.774837962963</v>
      </c>
      <c r="N1954" s="151" t="s">
        <v>2428</v>
      </c>
      <c r="O1954" s="151"/>
      <c r="P1954" s="151" t="s">
        <v>2611</v>
      </c>
      <c r="Q1954" s="7" t="str">
        <f>IF(ISBLANK(patch[[#This Row],[OwnerEmail]]),Q1953,patch[[#This Row],[OwnerEmail]])</f>
        <v>xi.cao@intel.com</v>
      </c>
      <c r="R1954" s="7" t="str">
        <f>_xlfn.IFNA(VLOOKUP(patch[[#This Row],[tmp-owner.email]],OrgTree!$A:$K, 11, 0), "not ICG SWFW")</f>
        <v>BJ And dev</v>
      </c>
      <c r="S1954" s="7" t="str">
        <f>IF(patch[[#This Row],[reviewer]]=patch[[#This Row],[tmp-owner.email]], "author", _xlfn.IFNA(VLOOKUP(patch[[#This Row],[reviewer]],OrgTree!$A:$K, 11, 0), "not ICG SWFW"))</f>
        <v>author</v>
      </c>
      <c r="T1954" s="7" t="str">
        <f>IF(ISBLANK(patch[[#This Row],[mergeDate]]), "", MID(YEAR(patch[[#This Row],[mergeDate]]), 3,2)&amp;"'ww"&amp;WEEKNUM(patch[[#This Row],[mergeDate]]))</f>
        <v>16'ww37</v>
      </c>
      <c r="U1954" s="7" t="str">
        <f>IF(ISBLANK(patch[[#This Row],[mergeDate]]), U1953, MID(YEAR(patch[[#This Row],[mergeDate]]), 3,2)&amp;"'m"&amp;MONTH(patch[[#This Row],[mergeDate]]))</f>
        <v>16'm9</v>
      </c>
      <c r="V1954" s="7">
        <f>IF(ISBLANK(patch[[#This Row],[project]]), "",SUM(patch[[#This Row],[BJ -1 num]:[SH -1 num]]))</f>
        <v>0</v>
      </c>
      <c r="W1954" s="7">
        <f>IF(ISBLANK(patch[[#This Row],[project]]), "",COUNTIFS($A:$A,patch[[#This Row],[number]],$S:$S, "BJ And dev",$AC:$AC, "Review-1"))</f>
        <v>0</v>
      </c>
      <c r="X1954" s="7">
        <f>IF(ISBLANK(patch[[#This Row],[project]]), "",COUNTIFS($A:$A,patch[[#This Row],[number]],$S:$S, "FL And dev",$AC:$AC, "Review-1"))</f>
        <v>0</v>
      </c>
      <c r="Y1954" s="7">
        <f>IF(ISBLANK(patch[[#This Row],[project]]), "",COUNTIFS($A:$A,patch[[#This Row],[number]],$S:$S, "SH And dev",$AC:$AC, "Review-1"))</f>
        <v>0</v>
      </c>
      <c r="Z1954" s="7">
        <f>IF(ISBLANK(patch[[#This Row],[project]]), "",COUNTIFS($A:$A,patch[[#This Row],[number]],$S:$S, "BJ And dev",$AD:$AD, "&lt;&gt;IntegratorValidationComment"))</f>
        <v>8</v>
      </c>
      <c r="AA1954" s="7">
        <f>IF(ISBLANK(patch[[#This Row],[project]]), "",COUNTIFS($A:$A,patch[[#This Row],[number]],$S:$S, "FL And dev",$AD:$AD, "&lt;&gt;IntegratorValidationComment"))</f>
        <v>0</v>
      </c>
      <c r="AB1954" s="7">
        <f>IF(ISBLANK(patch[[#This Row],[project]]), "",COUNTIFS($A:$A,patch[[#This Row],[number]],$S:$S, "SH And dev",$AD:$AD, "&lt;&gt;IntegratorValidationComment"))</f>
        <v>0</v>
      </c>
      <c r="AC1954" s="7" t="str">
        <f>IF(OR(ISNUMBER(FIND("Review-1", patch[[#This Row],[comments]])), ISNUMBER(FIND("Approver-1", patch[[#This Row],[comments]]))), "Review-1", "")</f>
        <v/>
      </c>
      <c r="AD19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54" s="7" t="str">
        <f>IF(ISBLANK(patch[[#This Row],[number]]),AE1953,patch[[#This Row],[ifCommon]])</f>
        <v>not AndrHAL</v>
      </c>
    </row>
    <row r="1955" spans="1:31">
      <c r="A1955" s="151">
        <v>144112</v>
      </c>
      <c r="B1955" s="151"/>
      <c r="C1955" s="151"/>
      <c r="D1955" s="151"/>
      <c r="E1955" s="151"/>
      <c r="F1955" s="151"/>
      <c r="G1955" s="151"/>
      <c r="H1955" s="151"/>
      <c r="I1955" s="151"/>
      <c r="J1955" s="152">
        <v>42622.673888888887</v>
      </c>
      <c r="K1955" s="151"/>
      <c r="L1955" s="151" t="s">
        <v>1203</v>
      </c>
      <c r="M1955" s="152">
        <v>42621.774837962963</v>
      </c>
      <c r="N1955" s="151" t="s">
        <v>25</v>
      </c>
      <c r="O1955" s="151"/>
      <c r="P1955" s="151"/>
      <c r="Q1955" s="7" t="str">
        <f>IF(ISBLANK(patch[[#This Row],[OwnerEmail]]),Q1954,patch[[#This Row],[OwnerEmail]])</f>
        <v>xi.cao@intel.com</v>
      </c>
      <c r="R1955" s="7" t="str">
        <f>_xlfn.IFNA(VLOOKUP(patch[[#This Row],[tmp-owner.email]],OrgTree!$A:$K, 11, 0), "not ICG SWFW")</f>
        <v>BJ And dev</v>
      </c>
      <c r="S1955" s="7" t="str">
        <f>IF(patch[[#This Row],[reviewer]]=patch[[#This Row],[tmp-owner.email]], "author", _xlfn.IFNA(VLOOKUP(patch[[#This Row],[reviewer]],OrgTree!$A:$K, 11, 0), "not ICG SWFW"))</f>
        <v>author</v>
      </c>
      <c r="T1955" s="7" t="str">
        <f>IF(ISBLANK(patch[[#This Row],[mergeDate]]), "", MID(YEAR(patch[[#This Row],[mergeDate]]), 3,2)&amp;"'ww"&amp;WEEKNUM(patch[[#This Row],[mergeDate]]))</f>
        <v>16'ww37</v>
      </c>
      <c r="U1955" s="7" t="str">
        <f>IF(ISBLANK(patch[[#This Row],[mergeDate]]), U1954, MID(YEAR(patch[[#This Row],[mergeDate]]), 3,2)&amp;"'m"&amp;MONTH(patch[[#This Row],[mergeDate]]))</f>
        <v>16'm9</v>
      </c>
      <c r="V1955" s="7" t="str">
        <f>IF(ISBLANK(patch[[#This Row],[project]]), "",SUM(patch[[#This Row],[BJ -1 num]:[SH -1 num]]))</f>
        <v/>
      </c>
      <c r="W1955" s="7" t="str">
        <f>IF(ISBLANK(patch[[#This Row],[project]]), "",COUNTIFS($A:$A,patch[[#This Row],[number]],$S:$S, "BJ And dev",$AC:$AC, "Review-1"))</f>
        <v/>
      </c>
      <c r="X1955" s="7" t="str">
        <f>IF(ISBLANK(patch[[#This Row],[project]]), "",COUNTIFS($A:$A,patch[[#This Row],[number]],$S:$S, "FL And dev",$AC:$AC, "Review-1"))</f>
        <v/>
      </c>
      <c r="Y1955" s="7" t="str">
        <f>IF(ISBLANK(patch[[#This Row],[project]]), "",COUNTIFS($A:$A,patch[[#This Row],[number]],$S:$S, "SH And dev",$AC:$AC, "Review-1"))</f>
        <v/>
      </c>
      <c r="Z1955" s="7" t="str">
        <f>IF(ISBLANK(patch[[#This Row],[project]]), "",COUNTIFS($A:$A,patch[[#This Row],[number]],$S:$S, "BJ And dev",$AD:$AD, "&lt;&gt;IntegratorValidationComment"))</f>
        <v/>
      </c>
      <c r="AA1955" s="7" t="str">
        <f>IF(ISBLANK(patch[[#This Row],[project]]), "",COUNTIFS($A:$A,patch[[#This Row],[number]],$S:$S, "FL And dev",$AD:$AD, "&lt;&gt;IntegratorValidationComment"))</f>
        <v/>
      </c>
      <c r="AB1955" s="7" t="str">
        <f>IF(ISBLANK(patch[[#This Row],[project]]), "",COUNTIFS($A:$A,patch[[#This Row],[number]],$S:$S, "SH And dev",$AD:$AD, "&lt;&gt;IntegratorValidationComment"))</f>
        <v/>
      </c>
      <c r="AC1955" s="7" t="str">
        <f>IF(OR(ISNUMBER(FIND("Review-1", patch[[#This Row],[comments]])), ISNUMBER(FIND("Approver-1", patch[[#This Row],[comments]]))), "Review-1", "")</f>
        <v/>
      </c>
      <c r="AD19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55" s="7">
        <f>IF(ISBLANK(patch[[#This Row],[number]]),AE1954,patch[[#This Row],[ifCommon]])</f>
        <v>0</v>
      </c>
    </row>
    <row r="1956" spans="1:31">
      <c r="A1956" s="151">
        <v>144112</v>
      </c>
      <c r="B1956" s="151"/>
      <c r="C1956" s="151"/>
      <c r="D1956" s="151"/>
      <c r="E1956" s="151"/>
      <c r="F1956" s="151"/>
      <c r="G1956" s="151"/>
      <c r="H1956" s="151"/>
      <c r="I1956" s="151"/>
      <c r="J1956" s="152">
        <v>42622.673888888887</v>
      </c>
      <c r="K1956" s="151"/>
      <c r="L1956" s="151" t="s">
        <v>59</v>
      </c>
      <c r="M1956" s="152">
        <v>42621.776238425933</v>
      </c>
      <c r="N1956" s="151" t="s">
        <v>40</v>
      </c>
      <c r="O1956" s="151"/>
      <c r="P1956" s="151"/>
      <c r="Q1956" s="7" t="str">
        <f>IF(ISBLANK(patch[[#This Row],[OwnerEmail]]),Q1955,patch[[#This Row],[OwnerEmail]])</f>
        <v>xi.cao@intel.com</v>
      </c>
      <c r="R1956" s="7" t="str">
        <f>_xlfn.IFNA(VLOOKUP(patch[[#This Row],[tmp-owner.email]],OrgTree!$A:$K, 11, 0), "not ICG SWFW")</f>
        <v>BJ And dev</v>
      </c>
      <c r="S1956" s="7" t="str">
        <f>IF(patch[[#This Row],[reviewer]]=patch[[#This Row],[tmp-owner.email]], "author", _xlfn.IFNA(VLOOKUP(patch[[#This Row],[reviewer]],OrgTree!$A:$K, 11, 0), "not ICG SWFW"))</f>
        <v>BJ And dev</v>
      </c>
      <c r="T1956" s="7" t="str">
        <f>IF(ISBLANK(patch[[#This Row],[mergeDate]]), "", MID(YEAR(patch[[#This Row],[mergeDate]]), 3,2)&amp;"'ww"&amp;WEEKNUM(patch[[#This Row],[mergeDate]]))</f>
        <v>16'ww37</v>
      </c>
      <c r="U1956" s="7" t="str">
        <f>IF(ISBLANK(patch[[#This Row],[mergeDate]]), U1955, MID(YEAR(patch[[#This Row],[mergeDate]]), 3,2)&amp;"'m"&amp;MONTH(patch[[#This Row],[mergeDate]]))</f>
        <v>16'm9</v>
      </c>
      <c r="V1956" s="7" t="str">
        <f>IF(ISBLANK(patch[[#This Row],[project]]), "",SUM(patch[[#This Row],[BJ -1 num]:[SH -1 num]]))</f>
        <v/>
      </c>
      <c r="W1956" s="7" t="str">
        <f>IF(ISBLANK(patch[[#This Row],[project]]), "",COUNTIFS($A:$A,patch[[#This Row],[number]],$S:$S, "BJ And dev",$AC:$AC, "Review-1"))</f>
        <v/>
      </c>
      <c r="X1956" s="7" t="str">
        <f>IF(ISBLANK(patch[[#This Row],[project]]), "",COUNTIFS($A:$A,patch[[#This Row],[number]],$S:$S, "FL And dev",$AC:$AC, "Review-1"))</f>
        <v/>
      </c>
      <c r="Y1956" s="7" t="str">
        <f>IF(ISBLANK(patch[[#This Row],[project]]), "",COUNTIFS($A:$A,patch[[#This Row],[number]],$S:$S, "SH And dev",$AC:$AC, "Review-1"))</f>
        <v/>
      </c>
      <c r="Z1956" s="7" t="str">
        <f>IF(ISBLANK(patch[[#This Row],[project]]), "",COUNTIFS($A:$A,patch[[#This Row],[number]],$S:$S, "BJ And dev",$AD:$AD, "&lt;&gt;IntegratorValidationComment"))</f>
        <v/>
      </c>
      <c r="AA1956" s="7" t="str">
        <f>IF(ISBLANK(patch[[#This Row],[project]]), "",COUNTIFS($A:$A,patch[[#This Row],[number]],$S:$S, "FL And dev",$AD:$AD, "&lt;&gt;IntegratorValidationComment"))</f>
        <v/>
      </c>
      <c r="AB1956" s="7" t="str">
        <f>IF(ISBLANK(patch[[#This Row],[project]]), "",COUNTIFS($A:$A,patch[[#This Row],[number]],$S:$S, "SH And dev",$AD:$AD, "&lt;&gt;IntegratorValidationComment"))</f>
        <v/>
      </c>
      <c r="AC1956" s="7" t="str">
        <f>IF(OR(ISNUMBER(FIND("Review-1", patch[[#This Row],[comments]])), ISNUMBER(FIND("Approver-1", patch[[#This Row],[comments]]))), "Review-1", "")</f>
        <v/>
      </c>
      <c r="AD19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56" s="7">
        <f>IF(ISBLANK(patch[[#This Row],[number]]),AE1955,patch[[#This Row],[ifCommon]])</f>
        <v>0</v>
      </c>
    </row>
    <row r="1957" spans="1:31">
      <c r="A1957" s="151">
        <v>144112</v>
      </c>
      <c r="B1957" s="151"/>
      <c r="C1957" s="151"/>
      <c r="D1957" s="151"/>
      <c r="E1957" s="151"/>
      <c r="F1957" s="151"/>
      <c r="G1957" s="151"/>
      <c r="H1957" s="151"/>
      <c r="I1957" s="151"/>
      <c r="J1957" s="152">
        <v>42622.673888888887</v>
      </c>
      <c r="K1957" s="151"/>
      <c r="L1957" s="151" t="s">
        <v>1203</v>
      </c>
      <c r="M1957" s="152">
        <v>42621.776550925933</v>
      </c>
      <c r="N1957" s="151" t="s">
        <v>40</v>
      </c>
      <c r="O1957" s="151"/>
      <c r="P1957" s="151"/>
      <c r="Q1957" s="7" t="str">
        <f>IF(ISBLANK(patch[[#This Row],[OwnerEmail]]),Q1956,patch[[#This Row],[OwnerEmail]])</f>
        <v>xi.cao@intel.com</v>
      </c>
      <c r="R1957" s="7" t="str">
        <f>_xlfn.IFNA(VLOOKUP(patch[[#This Row],[tmp-owner.email]],OrgTree!$A:$K, 11, 0), "not ICG SWFW")</f>
        <v>BJ And dev</v>
      </c>
      <c r="S1957" s="7" t="str">
        <f>IF(patch[[#This Row],[reviewer]]=patch[[#This Row],[tmp-owner.email]], "author", _xlfn.IFNA(VLOOKUP(patch[[#This Row],[reviewer]],OrgTree!$A:$K, 11, 0), "not ICG SWFW"))</f>
        <v>author</v>
      </c>
      <c r="T1957" s="7" t="str">
        <f>IF(ISBLANK(patch[[#This Row],[mergeDate]]), "", MID(YEAR(patch[[#This Row],[mergeDate]]), 3,2)&amp;"'ww"&amp;WEEKNUM(patch[[#This Row],[mergeDate]]))</f>
        <v>16'ww37</v>
      </c>
      <c r="U1957" s="7" t="str">
        <f>IF(ISBLANK(patch[[#This Row],[mergeDate]]), U1956, MID(YEAR(patch[[#This Row],[mergeDate]]), 3,2)&amp;"'m"&amp;MONTH(patch[[#This Row],[mergeDate]]))</f>
        <v>16'm9</v>
      </c>
      <c r="V1957" s="7" t="str">
        <f>IF(ISBLANK(patch[[#This Row],[project]]), "",SUM(patch[[#This Row],[BJ -1 num]:[SH -1 num]]))</f>
        <v/>
      </c>
      <c r="W1957" s="7" t="str">
        <f>IF(ISBLANK(patch[[#This Row],[project]]), "",COUNTIFS($A:$A,patch[[#This Row],[number]],$S:$S, "BJ And dev",$AC:$AC, "Review-1"))</f>
        <v/>
      </c>
      <c r="X1957" s="7" t="str">
        <f>IF(ISBLANK(patch[[#This Row],[project]]), "",COUNTIFS($A:$A,patch[[#This Row],[number]],$S:$S, "FL And dev",$AC:$AC, "Review-1"))</f>
        <v/>
      </c>
      <c r="Y1957" s="7" t="str">
        <f>IF(ISBLANK(patch[[#This Row],[project]]), "",COUNTIFS($A:$A,patch[[#This Row],[number]],$S:$S, "SH And dev",$AC:$AC, "Review-1"))</f>
        <v/>
      </c>
      <c r="Z1957" s="7" t="str">
        <f>IF(ISBLANK(patch[[#This Row],[project]]), "",COUNTIFS($A:$A,patch[[#This Row],[number]],$S:$S, "BJ And dev",$AD:$AD, "&lt;&gt;IntegratorValidationComment"))</f>
        <v/>
      </c>
      <c r="AA1957" s="7" t="str">
        <f>IF(ISBLANK(patch[[#This Row],[project]]), "",COUNTIFS($A:$A,patch[[#This Row],[number]],$S:$S, "FL And dev",$AD:$AD, "&lt;&gt;IntegratorValidationComment"))</f>
        <v/>
      </c>
      <c r="AB1957" s="7" t="str">
        <f>IF(ISBLANK(patch[[#This Row],[project]]), "",COUNTIFS($A:$A,patch[[#This Row],[number]],$S:$S, "SH And dev",$AD:$AD, "&lt;&gt;IntegratorValidationComment"))</f>
        <v/>
      </c>
      <c r="AC1957" s="7" t="str">
        <f>IF(OR(ISNUMBER(FIND("Review-1", patch[[#This Row],[comments]])), ISNUMBER(FIND("Approver-1", patch[[#This Row],[comments]]))), "Review-1", "")</f>
        <v/>
      </c>
      <c r="AD19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57" s="7">
        <f>IF(ISBLANK(patch[[#This Row],[number]]),AE1956,patch[[#This Row],[ifCommon]])</f>
        <v>0</v>
      </c>
    </row>
    <row r="1958" spans="1:31">
      <c r="A1958" s="151">
        <v>144112</v>
      </c>
      <c r="B1958" s="151"/>
      <c r="C1958" s="151"/>
      <c r="D1958" s="151"/>
      <c r="E1958" s="151"/>
      <c r="F1958" s="151"/>
      <c r="G1958" s="151"/>
      <c r="H1958" s="151"/>
      <c r="I1958" s="151"/>
      <c r="J1958" s="152">
        <v>42622.673888888887</v>
      </c>
      <c r="K1958" s="151"/>
      <c r="L1958" s="151" t="s">
        <v>63</v>
      </c>
      <c r="M1958" s="152">
        <v>42621.77789351852</v>
      </c>
      <c r="N1958" s="151" t="s">
        <v>40</v>
      </c>
      <c r="O1958" s="151"/>
      <c r="P1958" s="151"/>
      <c r="Q1958" s="7" t="str">
        <f>IF(ISBLANK(patch[[#This Row],[OwnerEmail]]),Q1957,patch[[#This Row],[OwnerEmail]])</f>
        <v>xi.cao@intel.com</v>
      </c>
      <c r="R1958" s="7" t="str">
        <f>_xlfn.IFNA(VLOOKUP(patch[[#This Row],[tmp-owner.email]],OrgTree!$A:$K, 11, 0), "not ICG SWFW")</f>
        <v>BJ And dev</v>
      </c>
      <c r="S1958" s="7" t="str">
        <f>IF(patch[[#This Row],[reviewer]]=patch[[#This Row],[tmp-owner.email]], "author", _xlfn.IFNA(VLOOKUP(patch[[#This Row],[reviewer]],OrgTree!$A:$K, 11, 0), "not ICG SWFW"))</f>
        <v>BJ And dev</v>
      </c>
      <c r="T1958" s="7" t="str">
        <f>IF(ISBLANK(patch[[#This Row],[mergeDate]]), "", MID(YEAR(patch[[#This Row],[mergeDate]]), 3,2)&amp;"'ww"&amp;WEEKNUM(patch[[#This Row],[mergeDate]]))</f>
        <v>16'ww37</v>
      </c>
      <c r="U1958" s="7" t="str">
        <f>IF(ISBLANK(patch[[#This Row],[mergeDate]]), U1957, MID(YEAR(patch[[#This Row],[mergeDate]]), 3,2)&amp;"'m"&amp;MONTH(patch[[#This Row],[mergeDate]]))</f>
        <v>16'm9</v>
      </c>
      <c r="V1958" s="7" t="str">
        <f>IF(ISBLANK(patch[[#This Row],[project]]), "",SUM(patch[[#This Row],[BJ -1 num]:[SH -1 num]]))</f>
        <v/>
      </c>
      <c r="W1958" s="7" t="str">
        <f>IF(ISBLANK(patch[[#This Row],[project]]), "",COUNTIFS($A:$A,patch[[#This Row],[number]],$S:$S, "BJ And dev",$AC:$AC, "Review-1"))</f>
        <v/>
      </c>
      <c r="X1958" s="7" t="str">
        <f>IF(ISBLANK(patch[[#This Row],[project]]), "",COUNTIFS($A:$A,patch[[#This Row],[number]],$S:$S, "FL And dev",$AC:$AC, "Review-1"))</f>
        <v/>
      </c>
      <c r="Y1958" s="7" t="str">
        <f>IF(ISBLANK(patch[[#This Row],[project]]), "",COUNTIFS($A:$A,patch[[#This Row],[number]],$S:$S, "SH And dev",$AC:$AC, "Review-1"))</f>
        <v/>
      </c>
      <c r="Z1958" s="7" t="str">
        <f>IF(ISBLANK(patch[[#This Row],[project]]), "",COUNTIFS($A:$A,patch[[#This Row],[number]],$S:$S, "BJ And dev",$AD:$AD, "&lt;&gt;IntegratorValidationComment"))</f>
        <v/>
      </c>
      <c r="AA1958" s="7" t="str">
        <f>IF(ISBLANK(patch[[#This Row],[project]]), "",COUNTIFS($A:$A,patch[[#This Row],[number]],$S:$S, "FL And dev",$AD:$AD, "&lt;&gt;IntegratorValidationComment"))</f>
        <v/>
      </c>
      <c r="AB1958" s="7" t="str">
        <f>IF(ISBLANK(patch[[#This Row],[project]]), "",COUNTIFS($A:$A,patch[[#This Row],[number]],$S:$S, "SH And dev",$AD:$AD, "&lt;&gt;IntegratorValidationComment"))</f>
        <v/>
      </c>
      <c r="AC1958" s="7" t="str">
        <f>IF(OR(ISNUMBER(FIND("Review-1", patch[[#This Row],[comments]])), ISNUMBER(FIND("Approver-1", patch[[#This Row],[comments]]))), "Review-1", "")</f>
        <v/>
      </c>
      <c r="AD19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58" s="7">
        <f>IF(ISBLANK(patch[[#This Row],[number]]),AE1957,patch[[#This Row],[ifCommon]])</f>
        <v>0</v>
      </c>
    </row>
    <row r="1959" spans="1:31">
      <c r="A1959" s="151">
        <v>144112</v>
      </c>
      <c r="B1959" s="151"/>
      <c r="C1959" s="151"/>
      <c r="D1959" s="151"/>
      <c r="E1959" s="151"/>
      <c r="F1959" s="151"/>
      <c r="G1959" s="151"/>
      <c r="H1959" s="151"/>
      <c r="I1959" s="151"/>
      <c r="J1959" s="152">
        <v>42622.673888888887</v>
      </c>
      <c r="K1959" s="151"/>
      <c r="L1959" s="151" t="s">
        <v>1203</v>
      </c>
      <c r="M1959" s="152">
        <v>42621.778391203698</v>
      </c>
      <c r="N1959" s="151" t="s">
        <v>2429</v>
      </c>
      <c r="O1959" s="151"/>
      <c r="P1959" s="151"/>
      <c r="Q1959" s="7" t="str">
        <f>IF(ISBLANK(patch[[#This Row],[OwnerEmail]]),Q1958,patch[[#This Row],[OwnerEmail]])</f>
        <v>xi.cao@intel.com</v>
      </c>
      <c r="R1959" s="7" t="str">
        <f>_xlfn.IFNA(VLOOKUP(patch[[#This Row],[tmp-owner.email]],OrgTree!$A:$K, 11, 0), "not ICG SWFW")</f>
        <v>BJ And dev</v>
      </c>
      <c r="S1959" s="7" t="str">
        <f>IF(patch[[#This Row],[reviewer]]=patch[[#This Row],[tmp-owner.email]], "author", _xlfn.IFNA(VLOOKUP(patch[[#This Row],[reviewer]],OrgTree!$A:$K, 11, 0), "not ICG SWFW"))</f>
        <v>author</v>
      </c>
      <c r="T1959" s="7" t="str">
        <f>IF(ISBLANK(patch[[#This Row],[mergeDate]]), "", MID(YEAR(patch[[#This Row],[mergeDate]]), 3,2)&amp;"'ww"&amp;WEEKNUM(patch[[#This Row],[mergeDate]]))</f>
        <v>16'ww37</v>
      </c>
      <c r="U1959" s="7" t="str">
        <f>IF(ISBLANK(patch[[#This Row],[mergeDate]]), U1958, MID(YEAR(patch[[#This Row],[mergeDate]]), 3,2)&amp;"'m"&amp;MONTH(patch[[#This Row],[mergeDate]]))</f>
        <v>16'm9</v>
      </c>
      <c r="V1959" s="7" t="str">
        <f>IF(ISBLANK(patch[[#This Row],[project]]), "",SUM(patch[[#This Row],[BJ -1 num]:[SH -1 num]]))</f>
        <v/>
      </c>
      <c r="W1959" s="7" t="str">
        <f>IF(ISBLANK(patch[[#This Row],[project]]), "",COUNTIFS($A:$A,patch[[#This Row],[number]],$S:$S, "BJ And dev",$AC:$AC, "Review-1"))</f>
        <v/>
      </c>
      <c r="X1959" s="7" t="str">
        <f>IF(ISBLANK(patch[[#This Row],[project]]), "",COUNTIFS($A:$A,patch[[#This Row],[number]],$S:$S, "FL And dev",$AC:$AC, "Review-1"))</f>
        <v/>
      </c>
      <c r="Y1959" s="7" t="str">
        <f>IF(ISBLANK(patch[[#This Row],[project]]), "",COUNTIFS($A:$A,patch[[#This Row],[number]],$S:$S, "SH And dev",$AC:$AC, "Review-1"))</f>
        <v/>
      </c>
      <c r="Z1959" s="7" t="str">
        <f>IF(ISBLANK(patch[[#This Row],[project]]), "",COUNTIFS($A:$A,patch[[#This Row],[number]],$S:$S, "BJ And dev",$AD:$AD, "&lt;&gt;IntegratorValidationComment"))</f>
        <v/>
      </c>
      <c r="AA1959" s="7" t="str">
        <f>IF(ISBLANK(patch[[#This Row],[project]]), "",COUNTIFS($A:$A,patch[[#This Row],[number]],$S:$S, "FL And dev",$AD:$AD, "&lt;&gt;IntegratorValidationComment"))</f>
        <v/>
      </c>
      <c r="AB1959" s="7" t="str">
        <f>IF(ISBLANK(patch[[#This Row],[project]]), "",COUNTIFS($A:$A,patch[[#This Row],[number]],$S:$S, "SH And dev",$AD:$AD, "&lt;&gt;IntegratorValidationComment"))</f>
        <v/>
      </c>
      <c r="AC1959" s="7" t="str">
        <f>IF(OR(ISNUMBER(FIND("Review-1", patch[[#This Row],[comments]])), ISNUMBER(FIND("Approver-1", patch[[#This Row],[comments]]))), "Review-1", "")</f>
        <v/>
      </c>
      <c r="AD19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59" s="7">
        <f>IF(ISBLANK(patch[[#This Row],[number]]),AE1958,patch[[#This Row],[ifCommon]])</f>
        <v>0</v>
      </c>
    </row>
    <row r="1960" spans="1:31">
      <c r="A1960" s="151">
        <v>144112</v>
      </c>
      <c r="B1960" s="151"/>
      <c r="C1960" s="151"/>
      <c r="D1960" s="151"/>
      <c r="E1960" s="151"/>
      <c r="F1960" s="151"/>
      <c r="G1960" s="151"/>
      <c r="H1960" s="151"/>
      <c r="I1960" s="151"/>
      <c r="J1960" s="152">
        <v>42622.673888888887</v>
      </c>
      <c r="K1960" s="151"/>
      <c r="L1960" s="151" t="s">
        <v>1203</v>
      </c>
      <c r="M1960" s="152">
        <v>42621.778391203698</v>
      </c>
      <c r="N1960" s="151" t="s">
        <v>2505</v>
      </c>
      <c r="O1960" s="151"/>
      <c r="P1960" s="151"/>
      <c r="Q1960" s="7" t="str">
        <f>IF(ISBLANK(patch[[#This Row],[OwnerEmail]]),Q1959,patch[[#This Row],[OwnerEmail]])</f>
        <v>xi.cao@intel.com</v>
      </c>
      <c r="R1960" s="7" t="str">
        <f>_xlfn.IFNA(VLOOKUP(patch[[#This Row],[tmp-owner.email]],OrgTree!$A:$K, 11, 0), "not ICG SWFW")</f>
        <v>BJ And dev</v>
      </c>
      <c r="S1960" s="7" t="str">
        <f>IF(patch[[#This Row],[reviewer]]=patch[[#This Row],[tmp-owner.email]], "author", _xlfn.IFNA(VLOOKUP(patch[[#This Row],[reviewer]],OrgTree!$A:$K, 11, 0), "not ICG SWFW"))</f>
        <v>author</v>
      </c>
      <c r="T1960" s="7" t="str">
        <f>IF(ISBLANK(patch[[#This Row],[mergeDate]]), "", MID(YEAR(patch[[#This Row],[mergeDate]]), 3,2)&amp;"'ww"&amp;WEEKNUM(patch[[#This Row],[mergeDate]]))</f>
        <v>16'ww37</v>
      </c>
      <c r="U1960" s="7" t="str">
        <f>IF(ISBLANK(patch[[#This Row],[mergeDate]]), U1959, MID(YEAR(patch[[#This Row],[mergeDate]]), 3,2)&amp;"'m"&amp;MONTH(patch[[#This Row],[mergeDate]]))</f>
        <v>16'm9</v>
      </c>
      <c r="V1960" s="7" t="str">
        <f>IF(ISBLANK(patch[[#This Row],[project]]), "",SUM(patch[[#This Row],[BJ -1 num]:[SH -1 num]]))</f>
        <v/>
      </c>
      <c r="W1960" s="7" t="str">
        <f>IF(ISBLANK(patch[[#This Row],[project]]), "",COUNTIFS($A:$A,patch[[#This Row],[number]],$S:$S, "BJ And dev",$AC:$AC, "Review-1"))</f>
        <v/>
      </c>
      <c r="X1960" s="7" t="str">
        <f>IF(ISBLANK(patch[[#This Row],[project]]), "",COUNTIFS($A:$A,patch[[#This Row],[number]],$S:$S, "FL And dev",$AC:$AC, "Review-1"))</f>
        <v/>
      </c>
      <c r="Y1960" s="7" t="str">
        <f>IF(ISBLANK(patch[[#This Row],[project]]), "",COUNTIFS($A:$A,patch[[#This Row],[number]],$S:$S, "SH And dev",$AC:$AC, "Review-1"))</f>
        <v/>
      </c>
      <c r="Z1960" s="7" t="str">
        <f>IF(ISBLANK(patch[[#This Row],[project]]), "",COUNTIFS($A:$A,patch[[#This Row],[number]],$S:$S, "BJ And dev",$AD:$AD, "&lt;&gt;IntegratorValidationComment"))</f>
        <v/>
      </c>
      <c r="AA1960" s="7" t="str">
        <f>IF(ISBLANK(patch[[#This Row],[project]]), "",COUNTIFS($A:$A,patch[[#This Row],[number]],$S:$S, "FL And dev",$AD:$AD, "&lt;&gt;IntegratorValidationComment"))</f>
        <v/>
      </c>
      <c r="AB1960" s="7" t="str">
        <f>IF(ISBLANK(patch[[#This Row],[project]]), "",COUNTIFS($A:$A,patch[[#This Row],[number]],$S:$S, "SH And dev",$AD:$AD, "&lt;&gt;IntegratorValidationComment"))</f>
        <v/>
      </c>
      <c r="AC1960" s="7" t="str">
        <f>IF(OR(ISNUMBER(FIND("Review-1", patch[[#This Row],[comments]])), ISNUMBER(FIND("Approver-1", patch[[#This Row],[comments]]))), "Review-1", "")</f>
        <v/>
      </c>
      <c r="AD19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60" s="7">
        <f>IF(ISBLANK(patch[[#This Row],[number]]),AE1959,patch[[#This Row],[ifCommon]])</f>
        <v>0</v>
      </c>
    </row>
    <row r="1961" spans="1:31">
      <c r="A1961" s="151">
        <v>144112</v>
      </c>
      <c r="B1961" s="151"/>
      <c r="C1961" s="151"/>
      <c r="D1961" s="151"/>
      <c r="E1961" s="151"/>
      <c r="F1961" s="151"/>
      <c r="G1961" s="151"/>
      <c r="H1961" s="151"/>
      <c r="I1961" s="151"/>
      <c r="J1961" s="152">
        <v>42622.673888888887</v>
      </c>
      <c r="K1961" s="151"/>
      <c r="L1961" s="151" t="s">
        <v>59</v>
      </c>
      <c r="M1961" s="152">
        <v>42621.778402777767</v>
      </c>
      <c r="N1961" s="151" t="s">
        <v>3549</v>
      </c>
      <c r="O1961" s="151"/>
      <c r="P1961" s="151"/>
      <c r="Q1961" s="7" t="str">
        <f>IF(ISBLANK(patch[[#This Row],[OwnerEmail]]),Q1960,patch[[#This Row],[OwnerEmail]])</f>
        <v>xi.cao@intel.com</v>
      </c>
      <c r="R1961" s="7" t="str">
        <f>_xlfn.IFNA(VLOOKUP(patch[[#This Row],[tmp-owner.email]],OrgTree!$A:$K, 11, 0), "not ICG SWFW")</f>
        <v>BJ And dev</v>
      </c>
      <c r="S1961" s="7" t="str">
        <f>IF(patch[[#This Row],[reviewer]]=patch[[#This Row],[tmp-owner.email]], "author", _xlfn.IFNA(VLOOKUP(patch[[#This Row],[reviewer]],OrgTree!$A:$K, 11, 0), "not ICG SWFW"))</f>
        <v>BJ And dev</v>
      </c>
      <c r="T1961" s="7" t="str">
        <f>IF(ISBLANK(patch[[#This Row],[mergeDate]]), "", MID(YEAR(patch[[#This Row],[mergeDate]]), 3,2)&amp;"'ww"&amp;WEEKNUM(patch[[#This Row],[mergeDate]]))</f>
        <v>16'ww37</v>
      </c>
      <c r="U1961" s="7" t="str">
        <f>IF(ISBLANK(patch[[#This Row],[mergeDate]]), U1960, MID(YEAR(patch[[#This Row],[mergeDate]]), 3,2)&amp;"'m"&amp;MONTH(patch[[#This Row],[mergeDate]]))</f>
        <v>16'm9</v>
      </c>
      <c r="V1961" s="7" t="str">
        <f>IF(ISBLANK(patch[[#This Row],[project]]), "",SUM(patch[[#This Row],[BJ -1 num]:[SH -1 num]]))</f>
        <v/>
      </c>
      <c r="W1961" s="7" t="str">
        <f>IF(ISBLANK(patch[[#This Row],[project]]), "",COUNTIFS($A:$A,patch[[#This Row],[number]],$S:$S, "BJ And dev",$AC:$AC, "Review-1"))</f>
        <v/>
      </c>
      <c r="X1961" s="7" t="str">
        <f>IF(ISBLANK(patch[[#This Row],[project]]), "",COUNTIFS($A:$A,patch[[#This Row],[number]],$S:$S, "FL And dev",$AC:$AC, "Review-1"))</f>
        <v/>
      </c>
      <c r="Y1961" s="7" t="str">
        <f>IF(ISBLANK(patch[[#This Row],[project]]), "",COUNTIFS($A:$A,patch[[#This Row],[number]],$S:$S, "SH And dev",$AC:$AC, "Review-1"))</f>
        <v/>
      </c>
      <c r="Z1961" s="7" t="str">
        <f>IF(ISBLANK(patch[[#This Row],[project]]), "",COUNTIFS($A:$A,patch[[#This Row],[number]],$S:$S, "BJ And dev",$AD:$AD, "&lt;&gt;IntegratorValidationComment"))</f>
        <v/>
      </c>
      <c r="AA1961" s="7" t="str">
        <f>IF(ISBLANK(patch[[#This Row],[project]]), "",COUNTIFS($A:$A,patch[[#This Row],[number]],$S:$S, "FL And dev",$AD:$AD, "&lt;&gt;IntegratorValidationComment"))</f>
        <v/>
      </c>
      <c r="AB1961" s="7" t="str">
        <f>IF(ISBLANK(patch[[#This Row],[project]]), "",COUNTIFS($A:$A,patch[[#This Row],[number]],$S:$S, "SH And dev",$AD:$AD, "&lt;&gt;IntegratorValidationComment"))</f>
        <v/>
      </c>
      <c r="AC1961" s="7" t="str">
        <f>IF(OR(ISNUMBER(FIND("Review-1", patch[[#This Row],[comments]])), ISNUMBER(FIND("Approver-1", patch[[#This Row],[comments]]))), "Review-1", "")</f>
        <v/>
      </c>
      <c r="AD19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61" s="7">
        <f>IF(ISBLANK(patch[[#This Row],[number]]),AE1960,patch[[#This Row],[ifCommon]])</f>
        <v>0</v>
      </c>
    </row>
    <row r="1962" spans="1:31">
      <c r="A1962" s="151">
        <v>144112</v>
      </c>
      <c r="B1962" s="151"/>
      <c r="C1962" s="151"/>
      <c r="D1962" s="151"/>
      <c r="E1962" s="151"/>
      <c r="F1962" s="151"/>
      <c r="G1962" s="151"/>
      <c r="H1962" s="151"/>
      <c r="I1962" s="151"/>
      <c r="J1962" s="152">
        <v>42622.673888888887</v>
      </c>
      <c r="K1962" s="151"/>
      <c r="L1962" s="151" t="s">
        <v>59</v>
      </c>
      <c r="M1962" s="152">
        <v>42621.778969907413</v>
      </c>
      <c r="N1962" s="151" t="s">
        <v>42</v>
      </c>
      <c r="O1962" s="151"/>
      <c r="P1962" s="151"/>
      <c r="Q1962" s="7" t="str">
        <f>IF(ISBLANK(patch[[#This Row],[OwnerEmail]]),Q1961,patch[[#This Row],[OwnerEmail]])</f>
        <v>xi.cao@intel.com</v>
      </c>
      <c r="R1962" s="7" t="str">
        <f>_xlfn.IFNA(VLOOKUP(patch[[#This Row],[tmp-owner.email]],OrgTree!$A:$K, 11, 0), "not ICG SWFW")</f>
        <v>BJ And dev</v>
      </c>
      <c r="S1962" s="7" t="str">
        <f>IF(patch[[#This Row],[reviewer]]=patch[[#This Row],[tmp-owner.email]], "author", _xlfn.IFNA(VLOOKUP(patch[[#This Row],[reviewer]],OrgTree!$A:$K, 11, 0), "not ICG SWFW"))</f>
        <v>BJ And dev</v>
      </c>
      <c r="T1962" s="7" t="str">
        <f>IF(ISBLANK(patch[[#This Row],[mergeDate]]), "", MID(YEAR(patch[[#This Row],[mergeDate]]), 3,2)&amp;"'ww"&amp;WEEKNUM(patch[[#This Row],[mergeDate]]))</f>
        <v>16'ww37</v>
      </c>
      <c r="U1962" s="7" t="str">
        <f>IF(ISBLANK(patch[[#This Row],[mergeDate]]), U1961, MID(YEAR(patch[[#This Row],[mergeDate]]), 3,2)&amp;"'m"&amp;MONTH(patch[[#This Row],[mergeDate]]))</f>
        <v>16'm9</v>
      </c>
      <c r="V1962" s="7" t="str">
        <f>IF(ISBLANK(patch[[#This Row],[project]]), "",SUM(patch[[#This Row],[BJ -1 num]:[SH -1 num]]))</f>
        <v/>
      </c>
      <c r="W1962" s="7" t="str">
        <f>IF(ISBLANK(patch[[#This Row],[project]]), "",COUNTIFS($A:$A,patch[[#This Row],[number]],$S:$S, "BJ And dev",$AC:$AC, "Review-1"))</f>
        <v/>
      </c>
      <c r="X1962" s="7" t="str">
        <f>IF(ISBLANK(patch[[#This Row],[project]]), "",COUNTIFS($A:$A,patch[[#This Row],[number]],$S:$S, "FL And dev",$AC:$AC, "Review-1"))</f>
        <v/>
      </c>
      <c r="Y1962" s="7" t="str">
        <f>IF(ISBLANK(patch[[#This Row],[project]]), "",COUNTIFS($A:$A,patch[[#This Row],[number]],$S:$S, "SH And dev",$AC:$AC, "Review-1"))</f>
        <v/>
      </c>
      <c r="Z1962" s="7" t="str">
        <f>IF(ISBLANK(patch[[#This Row],[project]]), "",COUNTIFS($A:$A,patch[[#This Row],[number]],$S:$S, "BJ And dev",$AD:$AD, "&lt;&gt;IntegratorValidationComment"))</f>
        <v/>
      </c>
      <c r="AA1962" s="7" t="str">
        <f>IF(ISBLANK(patch[[#This Row],[project]]), "",COUNTIFS($A:$A,patch[[#This Row],[number]],$S:$S, "FL And dev",$AD:$AD, "&lt;&gt;IntegratorValidationComment"))</f>
        <v/>
      </c>
      <c r="AB1962" s="7" t="str">
        <f>IF(ISBLANK(patch[[#This Row],[project]]), "",COUNTIFS($A:$A,patch[[#This Row],[number]],$S:$S, "SH And dev",$AD:$AD, "&lt;&gt;IntegratorValidationComment"))</f>
        <v/>
      </c>
      <c r="AC1962" s="7" t="str">
        <f>IF(OR(ISNUMBER(FIND("Review-1", patch[[#This Row],[comments]])), ISNUMBER(FIND("Approver-1", patch[[#This Row],[comments]]))), "Review-1", "")</f>
        <v/>
      </c>
      <c r="AD19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62" s="7">
        <f>IF(ISBLANK(patch[[#This Row],[number]]),AE1961,patch[[#This Row],[ifCommon]])</f>
        <v>0</v>
      </c>
    </row>
    <row r="1963" spans="1:31">
      <c r="A1963" s="151">
        <v>144112</v>
      </c>
      <c r="B1963" s="151"/>
      <c r="C1963" s="151"/>
      <c r="D1963" s="151"/>
      <c r="E1963" s="151"/>
      <c r="F1963" s="151"/>
      <c r="G1963" s="151"/>
      <c r="H1963" s="151"/>
      <c r="I1963" s="151"/>
      <c r="J1963" s="152">
        <v>42622.673888888887</v>
      </c>
      <c r="K1963" s="151"/>
      <c r="L1963" s="151" t="s">
        <v>59</v>
      </c>
      <c r="M1963" s="152">
        <v>42621.781585648147</v>
      </c>
      <c r="N1963" s="151" t="s">
        <v>3550</v>
      </c>
      <c r="O1963" s="151"/>
      <c r="P1963" s="151"/>
      <c r="Q1963" s="7" t="str">
        <f>IF(ISBLANK(patch[[#This Row],[OwnerEmail]]),Q1962,patch[[#This Row],[OwnerEmail]])</f>
        <v>xi.cao@intel.com</v>
      </c>
      <c r="R1963" s="7" t="str">
        <f>_xlfn.IFNA(VLOOKUP(patch[[#This Row],[tmp-owner.email]],OrgTree!$A:$K, 11, 0), "not ICG SWFW")</f>
        <v>BJ And dev</v>
      </c>
      <c r="S1963" s="7" t="str">
        <f>IF(patch[[#This Row],[reviewer]]=patch[[#This Row],[tmp-owner.email]], "author", _xlfn.IFNA(VLOOKUP(patch[[#This Row],[reviewer]],OrgTree!$A:$K, 11, 0), "not ICG SWFW"))</f>
        <v>BJ And dev</v>
      </c>
      <c r="T1963" s="7" t="str">
        <f>IF(ISBLANK(patch[[#This Row],[mergeDate]]), "", MID(YEAR(patch[[#This Row],[mergeDate]]), 3,2)&amp;"'ww"&amp;WEEKNUM(patch[[#This Row],[mergeDate]]))</f>
        <v>16'ww37</v>
      </c>
      <c r="U1963" s="7" t="str">
        <f>IF(ISBLANK(patch[[#This Row],[mergeDate]]), U1962, MID(YEAR(patch[[#This Row],[mergeDate]]), 3,2)&amp;"'m"&amp;MONTH(patch[[#This Row],[mergeDate]]))</f>
        <v>16'm9</v>
      </c>
      <c r="V1963" s="7" t="str">
        <f>IF(ISBLANK(patch[[#This Row],[project]]), "",SUM(patch[[#This Row],[BJ -1 num]:[SH -1 num]]))</f>
        <v/>
      </c>
      <c r="W1963" s="7" t="str">
        <f>IF(ISBLANK(patch[[#This Row],[project]]), "",COUNTIFS($A:$A,patch[[#This Row],[number]],$S:$S, "BJ And dev",$AC:$AC, "Review-1"))</f>
        <v/>
      </c>
      <c r="X1963" s="7" t="str">
        <f>IF(ISBLANK(patch[[#This Row],[project]]), "",COUNTIFS($A:$A,patch[[#This Row],[number]],$S:$S, "FL And dev",$AC:$AC, "Review-1"))</f>
        <v/>
      </c>
      <c r="Y1963" s="7" t="str">
        <f>IF(ISBLANK(patch[[#This Row],[project]]), "",COUNTIFS($A:$A,patch[[#This Row],[number]],$S:$S, "SH And dev",$AC:$AC, "Review-1"))</f>
        <v/>
      </c>
      <c r="Z1963" s="7" t="str">
        <f>IF(ISBLANK(patch[[#This Row],[project]]), "",COUNTIFS($A:$A,patch[[#This Row],[number]],$S:$S, "BJ And dev",$AD:$AD, "&lt;&gt;IntegratorValidationComment"))</f>
        <v/>
      </c>
      <c r="AA1963" s="7" t="str">
        <f>IF(ISBLANK(patch[[#This Row],[project]]), "",COUNTIFS($A:$A,patch[[#This Row],[number]],$S:$S, "FL And dev",$AD:$AD, "&lt;&gt;IntegratorValidationComment"))</f>
        <v/>
      </c>
      <c r="AB1963" s="7" t="str">
        <f>IF(ISBLANK(patch[[#This Row],[project]]), "",COUNTIFS($A:$A,patch[[#This Row],[number]],$S:$S, "SH And dev",$AD:$AD, "&lt;&gt;IntegratorValidationComment"))</f>
        <v/>
      </c>
      <c r="AC1963" s="7" t="str">
        <f>IF(OR(ISNUMBER(FIND("Review-1", patch[[#This Row],[comments]])), ISNUMBER(FIND("Approver-1", patch[[#This Row],[comments]]))), "Review-1", "")</f>
        <v/>
      </c>
      <c r="AD19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63" s="7">
        <f>IF(ISBLANK(patch[[#This Row],[number]]),AE1962,patch[[#This Row],[ifCommon]])</f>
        <v>0</v>
      </c>
    </row>
    <row r="1964" spans="1:31">
      <c r="A1964" s="151">
        <v>144112</v>
      </c>
      <c r="B1964" s="151"/>
      <c r="C1964" s="151"/>
      <c r="D1964" s="151"/>
      <c r="E1964" s="151"/>
      <c r="F1964" s="151"/>
      <c r="G1964" s="151"/>
      <c r="H1964" s="151"/>
      <c r="I1964" s="151"/>
      <c r="J1964" s="152">
        <v>42622.673888888887</v>
      </c>
      <c r="K1964" s="151"/>
      <c r="L1964" s="151" t="s">
        <v>59</v>
      </c>
      <c r="M1964" s="152">
        <v>42621.785567129627</v>
      </c>
      <c r="N1964" s="151" t="s">
        <v>3551</v>
      </c>
      <c r="O1964" s="151"/>
      <c r="P1964" s="151"/>
      <c r="Q1964" s="7" t="str">
        <f>IF(ISBLANK(patch[[#This Row],[OwnerEmail]]),Q1963,patch[[#This Row],[OwnerEmail]])</f>
        <v>xi.cao@intel.com</v>
      </c>
      <c r="R1964" s="7" t="str">
        <f>_xlfn.IFNA(VLOOKUP(patch[[#This Row],[tmp-owner.email]],OrgTree!$A:$K, 11, 0), "not ICG SWFW")</f>
        <v>BJ And dev</v>
      </c>
      <c r="S1964" s="7" t="str">
        <f>IF(patch[[#This Row],[reviewer]]=patch[[#This Row],[tmp-owner.email]], "author", _xlfn.IFNA(VLOOKUP(patch[[#This Row],[reviewer]],OrgTree!$A:$K, 11, 0), "not ICG SWFW"))</f>
        <v>BJ And dev</v>
      </c>
      <c r="T1964" s="7" t="str">
        <f>IF(ISBLANK(patch[[#This Row],[mergeDate]]), "", MID(YEAR(patch[[#This Row],[mergeDate]]), 3,2)&amp;"'ww"&amp;WEEKNUM(patch[[#This Row],[mergeDate]]))</f>
        <v>16'ww37</v>
      </c>
      <c r="U1964" s="7" t="str">
        <f>IF(ISBLANK(patch[[#This Row],[mergeDate]]), U1963, MID(YEAR(patch[[#This Row],[mergeDate]]), 3,2)&amp;"'m"&amp;MONTH(patch[[#This Row],[mergeDate]]))</f>
        <v>16'm9</v>
      </c>
      <c r="V1964" s="7" t="str">
        <f>IF(ISBLANK(patch[[#This Row],[project]]), "",SUM(patch[[#This Row],[BJ -1 num]:[SH -1 num]]))</f>
        <v/>
      </c>
      <c r="W1964" s="7" t="str">
        <f>IF(ISBLANK(patch[[#This Row],[project]]), "",COUNTIFS($A:$A,patch[[#This Row],[number]],$S:$S, "BJ And dev",$AC:$AC, "Review-1"))</f>
        <v/>
      </c>
      <c r="X1964" s="7" t="str">
        <f>IF(ISBLANK(patch[[#This Row],[project]]), "",COUNTIFS($A:$A,patch[[#This Row],[number]],$S:$S, "FL And dev",$AC:$AC, "Review-1"))</f>
        <v/>
      </c>
      <c r="Y1964" s="7" t="str">
        <f>IF(ISBLANK(patch[[#This Row],[project]]), "",COUNTIFS($A:$A,patch[[#This Row],[number]],$S:$S, "SH And dev",$AC:$AC, "Review-1"))</f>
        <v/>
      </c>
      <c r="Z1964" s="7" t="str">
        <f>IF(ISBLANK(patch[[#This Row],[project]]), "",COUNTIFS($A:$A,patch[[#This Row],[number]],$S:$S, "BJ And dev",$AD:$AD, "&lt;&gt;IntegratorValidationComment"))</f>
        <v/>
      </c>
      <c r="AA1964" s="7" t="str">
        <f>IF(ISBLANK(patch[[#This Row],[project]]), "",COUNTIFS($A:$A,patch[[#This Row],[number]],$S:$S, "FL And dev",$AD:$AD, "&lt;&gt;IntegratorValidationComment"))</f>
        <v/>
      </c>
      <c r="AB1964" s="7" t="str">
        <f>IF(ISBLANK(patch[[#This Row],[project]]), "",COUNTIFS($A:$A,patch[[#This Row],[number]],$S:$S, "SH And dev",$AD:$AD, "&lt;&gt;IntegratorValidationComment"))</f>
        <v/>
      </c>
      <c r="AC1964" s="7" t="str">
        <f>IF(OR(ISNUMBER(FIND("Review-1", patch[[#This Row],[comments]])), ISNUMBER(FIND("Approver-1", patch[[#This Row],[comments]]))), "Review-1", "")</f>
        <v/>
      </c>
      <c r="AD19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64" s="7">
        <f>IF(ISBLANK(patch[[#This Row],[number]]),AE1963,patch[[#This Row],[ifCommon]])</f>
        <v>0</v>
      </c>
    </row>
    <row r="1965" spans="1:31">
      <c r="A1965" s="151">
        <v>144112</v>
      </c>
      <c r="B1965" s="151"/>
      <c r="C1965" s="151"/>
      <c r="D1965" s="151"/>
      <c r="E1965" s="151"/>
      <c r="F1965" s="151"/>
      <c r="G1965" s="151"/>
      <c r="H1965" s="151"/>
      <c r="I1965" s="151"/>
      <c r="J1965" s="152">
        <v>42622.673888888887</v>
      </c>
      <c r="K1965" s="151"/>
      <c r="L1965" s="151" t="s">
        <v>59</v>
      </c>
      <c r="M1965" s="152">
        <v>42621.78979166667</v>
      </c>
      <c r="N1965" s="151" t="s">
        <v>3552</v>
      </c>
      <c r="O1965" s="151"/>
      <c r="P1965" s="151"/>
      <c r="Q1965" s="7" t="str">
        <f>IF(ISBLANK(patch[[#This Row],[OwnerEmail]]),Q1964,patch[[#This Row],[OwnerEmail]])</f>
        <v>xi.cao@intel.com</v>
      </c>
      <c r="R1965" s="7" t="str">
        <f>_xlfn.IFNA(VLOOKUP(patch[[#This Row],[tmp-owner.email]],OrgTree!$A:$K, 11, 0), "not ICG SWFW")</f>
        <v>BJ And dev</v>
      </c>
      <c r="S1965" s="7" t="str">
        <f>IF(patch[[#This Row],[reviewer]]=patch[[#This Row],[tmp-owner.email]], "author", _xlfn.IFNA(VLOOKUP(patch[[#This Row],[reviewer]],OrgTree!$A:$K, 11, 0), "not ICG SWFW"))</f>
        <v>BJ And dev</v>
      </c>
      <c r="T1965" s="7" t="str">
        <f>IF(ISBLANK(patch[[#This Row],[mergeDate]]), "", MID(YEAR(patch[[#This Row],[mergeDate]]), 3,2)&amp;"'ww"&amp;WEEKNUM(patch[[#This Row],[mergeDate]]))</f>
        <v>16'ww37</v>
      </c>
      <c r="U1965" s="7" t="str">
        <f>IF(ISBLANK(patch[[#This Row],[mergeDate]]), U1964, MID(YEAR(patch[[#This Row],[mergeDate]]), 3,2)&amp;"'m"&amp;MONTH(patch[[#This Row],[mergeDate]]))</f>
        <v>16'm9</v>
      </c>
      <c r="V1965" s="7" t="str">
        <f>IF(ISBLANK(patch[[#This Row],[project]]), "",SUM(patch[[#This Row],[BJ -1 num]:[SH -1 num]]))</f>
        <v/>
      </c>
      <c r="W1965" s="7" t="str">
        <f>IF(ISBLANK(patch[[#This Row],[project]]), "",COUNTIFS($A:$A,patch[[#This Row],[number]],$S:$S, "BJ And dev",$AC:$AC, "Review-1"))</f>
        <v/>
      </c>
      <c r="X1965" s="7" t="str">
        <f>IF(ISBLANK(patch[[#This Row],[project]]), "",COUNTIFS($A:$A,patch[[#This Row],[number]],$S:$S, "FL And dev",$AC:$AC, "Review-1"))</f>
        <v/>
      </c>
      <c r="Y1965" s="7" t="str">
        <f>IF(ISBLANK(patch[[#This Row],[project]]), "",COUNTIFS($A:$A,patch[[#This Row],[number]],$S:$S, "SH And dev",$AC:$AC, "Review-1"))</f>
        <v/>
      </c>
      <c r="Z1965" s="7" t="str">
        <f>IF(ISBLANK(patch[[#This Row],[project]]), "",COUNTIFS($A:$A,patch[[#This Row],[number]],$S:$S, "BJ And dev",$AD:$AD, "&lt;&gt;IntegratorValidationComment"))</f>
        <v/>
      </c>
      <c r="AA1965" s="7" t="str">
        <f>IF(ISBLANK(patch[[#This Row],[project]]), "",COUNTIFS($A:$A,patch[[#This Row],[number]],$S:$S, "FL And dev",$AD:$AD, "&lt;&gt;IntegratorValidationComment"))</f>
        <v/>
      </c>
      <c r="AB1965" s="7" t="str">
        <f>IF(ISBLANK(patch[[#This Row],[project]]), "",COUNTIFS($A:$A,patch[[#This Row],[number]],$S:$S, "SH And dev",$AD:$AD, "&lt;&gt;IntegratorValidationComment"))</f>
        <v/>
      </c>
      <c r="AC1965" s="7" t="str">
        <f>IF(OR(ISNUMBER(FIND("Review-1", patch[[#This Row],[comments]])), ISNUMBER(FIND("Approver-1", patch[[#This Row],[comments]]))), "Review-1", "")</f>
        <v/>
      </c>
      <c r="AD19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65" s="7">
        <f>IF(ISBLANK(patch[[#This Row],[number]]),AE1964,patch[[#This Row],[ifCommon]])</f>
        <v>0</v>
      </c>
    </row>
    <row r="1966" spans="1:31">
      <c r="A1966" s="151">
        <v>144112</v>
      </c>
      <c r="B1966" s="151"/>
      <c r="C1966" s="151"/>
      <c r="D1966" s="151"/>
      <c r="E1966" s="151"/>
      <c r="F1966" s="151"/>
      <c r="G1966" s="151"/>
      <c r="H1966" s="151"/>
      <c r="I1966" s="151"/>
      <c r="J1966" s="152">
        <v>42622.673888888887</v>
      </c>
      <c r="K1966" s="151"/>
      <c r="L1966" s="151" t="s">
        <v>32</v>
      </c>
      <c r="M1966" s="152">
        <v>42621.864594907413</v>
      </c>
      <c r="N1966" s="151" t="s">
        <v>3553</v>
      </c>
      <c r="O1966" s="151" t="s">
        <v>3554</v>
      </c>
      <c r="P1966" s="151"/>
      <c r="Q1966" s="7" t="str">
        <f>IF(ISBLANK(patch[[#This Row],[OwnerEmail]]),Q1965,patch[[#This Row],[OwnerEmail]])</f>
        <v>xi.cao@intel.com</v>
      </c>
      <c r="R1966" s="7" t="str">
        <f>_xlfn.IFNA(VLOOKUP(patch[[#This Row],[tmp-owner.email]],OrgTree!$A:$K, 11, 0), "not ICG SWFW")</f>
        <v>BJ And dev</v>
      </c>
      <c r="S1966" s="7" t="str">
        <f>IF(patch[[#This Row],[reviewer]]=patch[[#This Row],[tmp-owner.email]], "author", _xlfn.IFNA(VLOOKUP(patch[[#This Row],[reviewer]],OrgTree!$A:$K, 11, 0), "not ICG SWFW"))</f>
        <v>BJ And dev</v>
      </c>
      <c r="T1966" s="7" t="str">
        <f>IF(ISBLANK(patch[[#This Row],[mergeDate]]), "", MID(YEAR(patch[[#This Row],[mergeDate]]), 3,2)&amp;"'ww"&amp;WEEKNUM(patch[[#This Row],[mergeDate]]))</f>
        <v>16'ww37</v>
      </c>
      <c r="U1966" s="7" t="str">
        <f>IF(ISBLANK(patch[[#This Row],[mergeDate]]), U1965, MID(YEAR(patch[[#This Row],[mergeDate]]), 3,2)&amp;"'m"&amp;MONTH(patch[[#This Row],[mergeDate]]))</f>
        <v>16'm9</v>
      </c>
      <c r="V1966" s="7" t="str">
        <f>IF(ISBLANK(patch[[#This Row],[project]]), "",SUM(patch[[#This Row],[BJ -1 num]:[SH -1 num]]))</f>
        <v/>
      </c>
      <c r="W1966" s="7" t="str">
        <f>IF(ISBLANK(patch[[#This Row],[project]]), "",COUNTIFS($A:$A,patch[[#This Row],[number]],$S:$S, "BJ And dev",$AC:$AC, "Review-1"))</f>
        <v/>
      </c>
      <c r="X1966" s="7" t="str">
        <f>IF(ISBLANK(patch[[#This Row],[project]]), "",COUNTIFS($A:$A,patch[[#This Row],[number]],$S:$S, "FL And dev",$AC:$AC, "Review-1"))</f>
        <v/>
      </c>
      <c r="Y1966" s="7" t="str">
        <f>IF(ISBLANK(patch[[#This Row],[project]]), "",COUNTIFS($A:$A,patch[[#This Row],[number]],$S:$S, "SH And dev",$AC:$AC, "Review-1"))</f>
        <v/>
      </c>
      <c r="Z1966" s="7" t="str">
        <f>IF(ISBLANK(patch[[#This Row],[project]]), "",COUNTIFS($A:$A,patch[[#This Row],[number]],$S:$S, "BJ And dev",$AD:$AD, "&lt;&gt;IntegratorValidationComment"))</f>
        <v/>
      </c>
      <c r="AA1966" s="7" t="str">
        <f>IF(ISBLANK(patch[[#This Row],[project]]), "",COUNTIFS($A:$A,patch[[#This Row],[number]],$S:$S, "FL And dev",$AD:$AD, "&lt;&gt;IntegratorValidationComment"))</f>
        <v/>
      </c>
      <c r="AB1966" s="7" t="str">
        <f>IF(ISBLANK(patch[[#This Row],[project]]), "",COUNTIFS($A:$A,patch[[#This Row],[number]],$S:$S, "SH And dev",$AD:$AD, "&lt;&gt;IntegratorValidationComment"))</f>
        <v/>
      </c>
      <c r="AC1966" s="7" t="str">
        <f>IF(OR(ISNUMBER(FIND("Review-1", patch[[#This Row],[comments]])), ISNUMBER(FIND("Approver-1", patch[[#This Row],[comments]]))), "Review-1", "")</f>
        <v/>
      </c>
      <c r="AD19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66" s="7">
        <f>IF(ISBLANK(patch[[#This Row],[number]]),AE1965,patch[[#This Row],[ifCommon]])</f>
        <v>0</v>
      </c>
    </row>
    <row r="1967" spans="1:31">
      <c r="A1967" s="151">
        <v>144112</v>
      </c>
      <c r="B1967" s="151"/>
      <c r="C1967" s="151"/>
      <c r="D1967" s="151"/>
      <c r="E1967" s="151"/>
      <c r="F1967" s="151"/>
      <c r="G1967" s="151"/>
      <c r="H1967" s="151"/>
      <c r="I1967" s="151"/>
      <c r="J1967" s="152">
        <v>42622.673888888887</v>
      </c>
      <c r="K1967" s="151"/>
      <c r="L1967" s="151" t="s">
        <v>115</v>
      </c>
      <c r="M1967" s="152">
        <v>42622.417337962957</v>
      </c>
      <c r="N1967" s="151" t="s">
        <v>2495</v>
      </c>
      <c r="O1967" s="151"/>
      <c r="P1967" s="151"/>
      <c r="Q1967" s="7" t="str">
        <f>IF(ISBLANK(patch[[#This Row],[OwnerEmail]]),Q1966,patch[[#This Row],[OwnerEmail]])</f>
        <v>xi.cao@intel.com</v>
      </c>
      <c r="R1967" s="7" t="str">
        <f>_xlfn.IFNA(VLOOKUP(patch[[#This Row],[tmp-owner.email]],OrgTree!$A:$K, 11, 0), "not ICG SWFW")</f>
        <v>BJ And dev</v>
      </c>
      <c r="S1967" s="7" t="str">
        <f>IF(patch[[#This Row],[reviewer]]=patch[[#This Row],[tmp-owner.email]], "author", _xlfn.IFNA(VLOOKUP(patch[[#This Row],[reviewer]],OrgTree!$A:$K, 11, 0), "not ICG SWFW"))</f>
        <v>Val</v>
      </c>
      <c r="T1967" s="7" t="str">
        <f>IF(ISBLANK(patch[[#This Row],[mergeDate]]), "", MID(YEAR(patch[[#This Row],[mergeDate]]), 3,2)&amp;"'ww"&amp;WEEKNUM(patch[[#This Row],[mergeDate]]))</f>
        <v>16'ww37</v>
      </c>
      <c r="U1967" s="7" t="str">
        <f>IF(ISBLANK(patch[[#This Row],[mergeDate]]), U1966, MID(YEAR(patch[[#This Row],[mergeDate]]), 3,2)&amp;"'m"&amp;MONTH(patch[[#This Row],[mergeDate]]))</f>
        <v>16'm9</v>
      </c>
      <c r="V1967" s="7" t="str">
        <f>IF(ISBLANK(patch[[#This Row],[project]]), "",SUM(patch[[#This Row],[BJ -1 num]:[SH -1 num]]))</f>
        <v/>
      </c>
      <c r="W1967" s="7" t="str">
        <f>IF(ISBLANK(patch[[#This Row],[project]]), "",COUNTIFS($A:$A,patch[[#This Row],[number]],$S:$S, "BJ And dev",$AC:$AC, "Review-1"))</f>
        <v/>
      </c>
      <c r="X1967" s="7" t="str">
        <f>IF(ISBLANK(patch[[#This Row],[project]]), "",COUNTIFS($A:$A,patch[[#This Row],[number]],$S:$S, "FL And dev",$AC:$AC, "Review-1"))</f>
        <v/>
      </c>
      <c r="Y1967" s="7" t="str">
        <f>IF(ISBLANK(patch[[#This Row],[project]]), "",COUNTIFS($A:$A,patch[[#This Row],[number]],$S:$S, "SH And dev",$AC:$AC, "Review-1"))</f>
        <v/>
      </c>
      <c r="Z1967" s="7" t="str">
        <f>IF(ISBLANK(patch[[#This Row],[project]]), "",COUNTIFS($A:$A,patch[[#This Row],[number]],$S:$S, "BJ And dev",$AD:$AD, "&lt;&gt;IntegratorValidationComment"))</f>
        <v/>
      </c>
      <c r="AA1967" s="7" t="str">
        <f>IF(ISBLANK(patch[[#This Row],[project]]), "",COUNTIFS($A:$A,patch[[#This Row],[number]],$S:$S, "FL And dev",$AD:$AD, "&lt;&gt;IntegratorValidationComment"))</f>
        <v/>
      </c>
      <c r="AB1967" s="7" t="str">
        <f>IF(ISBLANK(patch[[#This Row],[project]]), "",COUNTIFS($A:$A,patch[[#This Row],[number]],$S:$S, "SH And dev",$AD:$AD, "&lt;&gt;IntegratorValidationComment"))</f>
        <v/>
      </c>
      <c r="AC1967" s="7" t="str">
        <f>IF(OR(ISNUMBER(FIND("Review-1", patch[[#This Row],[comments]])), ISNUMBER(FIND("Approver-1", patch[[#This Row],[comments]]))), "Review-1", "")</f>
        <v/>
      </c>
      <c r="AD19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967" s="7">
        <f>IF(ISBLANK(patch[[#This Row],[number]]),AE1966,patch[[#This Row],[ifCommon]])</f>
        <v>0</v>
      </c>
    </row>
    <row r="1968" spans="1:31">
      <c r="A1968" s="151">
        <v>144098</v>
      </c>
      <c r="B1968" s="151" t="s">
        <v>2493</v>
      </c>
      <c r="C1968" s="151" t="s">
        <v>2491</v>
      </c>
      <c r="D1968" s="151" t="s">
        <v>3555</v>
      </c>
      <c r="E1968" s="151" t="s">
        <v>1203</v>
      </c>
      <c r="F1968" s="151" t="s">
        <v>23</v>
      </c>
      <c r="G1968" s="151" t="s">
        <v>3556</v>
      </c>
      <c r="H1968" s="151" t="s">
        <v>3557</v>
      </c>
      <c r="I1968" s="152">
        <v>42621.735312500001</v>
      </c>
      <c r="J1968" s="152">
        <v>42622.673888888887</v>
      </c>
      <c r="K1968" s="151" t="s">
        <v>2445</v>
      </c>
      <c r="L1968" s="151" t="s">
        <v>1203</v>
      </c>
      <c r="M1968" s="152">
        <v>42621.735312500001</v>
      </c>
      <c r="N1968" s="151" t="s">
        <v>2428</v>
      </c>
      <c r="O1968" s="151"/>
      <c r="P1968" s="151" t="s">
        <v>2498</v>
      </c>
      <c r="Q1968" s="7" t="str">
        <f>IF(ISBLANK(patch[[#This Row],[OwnerEmail]]),Q1967,patch[[#This Row],[OwnerEmail]])</f>
        <v>xi.cao@intel.com</v>
      </c>
      <c r="R1968" s="7" t="str">
        <f>_xlfn.IFNA(VLOOKUP(patch[[#This Row],[tmp-owner.email]],OrgTree!$A:$K, 11, 0), "not ICG SWFW")</f>
        <v>BJ And dev</v>
      </c>
      <c r="S1968" s="7" t="str">
        <f>IF(patch[[#This Row],[reviewer]]=patch[[#This Row],[tmp-owner.email]], "author", _xlfn.IFNA(VLOOKUP(patch[[#This Row],[reviewer]],OrgTree!$A:$K, 11, 0), "not ICG SWFW"))</f>
        <v>author</v>
      </c>
      <c r="T1968" s="7" t="str">
        <f>IF(ISBLANK(patch[[#This Row],[mergeDate]]), "", MID(YEAR(patch[[#This Row],[mergeDate]]), 3,2)&amp;"'ww"&amp;WEEKNUM(patch[[#This Row],[mergeDate]]))</f>
        <v>16'ww37</v>
      </c>
      <c r="U1968" s="7" t="str">
        <f>IF(ISBLANK(patch[[#This Row],[mergeDate]]), U1967, MID(YEAR(patch[[#This Row],[mergeDate]]), 3,2)&amp;"'m"&amp;MONTH(patch[[#This Row],[mergeDate]]))</f>
        <v>16'm9</v>
      </c>
      <c r="V1968" s="7">
        <f>IF(ISBLANK(patch[[#This Row],[project]]), "",SUM(patch[[#This Row],[BJ -1 num]:[SH -1 num]]))</f>
        <v>0</v>
      </c>
      <c r="W1968" s="7">
        <f>IF(ISBLANK(patch[[#This Row],[project]]), "",COUNTIFS($A:$A,patch[[#This Row],[number]],$S:$S, "BJ And dev",$AC:$AC, "Review-1"))</f>
        <v>0</v>
      </c>
      <c r="X1968" s="7">
        <f>IF(ISBLANK(patch[[#This Row],[project]]), "",COUNTIFS($A:$A,patch[[#This Row],[number]],$S:$S, "FL And dev",$AC:$AC, "Review-1"))</f>
        <v>0</v>
      </c>
      <c r="Y1968" s="7">
        <f>IF(ISBLANK(patch[[#This Row],[project]]), "",COUNTIFS($A:$A,patch[[#This Row],[number]],$S:$S, "SH And dev",$AC:$AC, "Review-1"))</f>
        <v>0</v>
      </c>
      <c r="Z1968" s="7">
        <f>IF(ISBLANK(patch[[#This Row],[project]]), "",COUNTIFS($A:$A,patch[[#This Row],[number]],$S:$S, "BJ And dev",$AD:$AD, "&lt;&gt;IntegratorValidationComment"))</f>
        <v>6</v>
      </c>
      <c r="AA1968" s="7">
        <f>IF(ISBLANK(patch[[#This Row],[project]]), "",COUNTIFS($A:$A,patch[[#This Row],[number]],$S:$S, "FL And dev",$AD:$AD, "&lt;&gt;IntegratorValidationComment"))</f>
        <v>0</v>
      </c>
      <c r="AB1968" s="7">
        <f>IF(ISBLANK(patch[[#This Row],[project]]), "",COUNTIFS($A:$A,patch[[#This Row],[number]],$S:$S, "SH And dev",$AD:$AD, "&lt;&gt;IntegratorValidationComment"))</f>
        <v>0</v>
      </c>
      <c r="AC1968" s="7" t="str">
        <f>IF(OR(ISNUMBER(FIND("Review-1", patch[[#This Row],[comments]])), ISNUMBER(FIND("Approver-1", patch[[#This Row],[comments]]))), "Review-1", "")</f>
        <v/>
      </c>
      <c r="AD19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68" s="7" t="str">
        <f>IF(ISBLANK(patch[[#This Row],[number]]),AE1967,patch[[#This Row],[ifCommon]])</f>
        <v>not AndrHAL</v>
      </c>
    </row>
    <row r="1969" spans="1:31">
      <c r="A1969" s="151">
        <v>144098</v>
      </c>
      <c r="B1969" s="151"/>
      <c r="C1969" s="151"/>
      <c r="D1969" s="151"/>
      <c r="E1969" s="151"/>
      <c r="F1969" s="151"/>
      <c r="G1969" s="151"/>
      <c r="H1969" s="151"/>
      <c r="I1969" s="151"/>
      <c r="J1969" s="152">
        <v>42622.673888888887</v>
      </c>
      <c r="K1969" s="151"/>
      <c r="L1969" s="151" t="s">
        <v>1203</v>
      </c>
      <c r="M1969" s="152">
        <v>42621.735312500001</v>
      </c>
      <c r="N1969" s="151" t="s">
        <v>25</v>
      </c>
      <c r="O1969" s="151"/>
      <c r="P1969" s="151"/>
      <c r="Q1969" s="7" t="str">
        <f>IF(ISBLANK(patch[[#This Row],[OwnerEmail]]),Q1968,patch[[#This Row],[OwnerEmail]])</f>
        <v>xi.cao@intel.com</v>
      </c>
      <c r="R1969" s="7" t="str">
        <f>_xlfn.IFNA(VLOOKUP(patch[[#This Row],[tmp-owner.email]],OrgTree!$A:$K, 11, 0), "not ICG SWFW")</f>
        <v>BJ And dev</v>
      </c>
      <c r="S1969" s="7" t="str">
        <f>IF(patch[[#This Row],[reviewer]]=patch[[#This Row],[tmp-owner.email]], "author", _xlfn.IFNA(VLOOKUP(patch[[#This Row],[reviewer]],OrgTree!$A:$K, 11, 0), "not ICG SWFW"))</f>
        <v>author</v>
      </c>
      <c r="T1969" s="7" t="str">
        <f>IF(ISBLANK(patch[[#This Row],[mergeDate]]), "", MID(YEAR(patch[[#This Row],[mergeDate]]), 3,2)&amp;"'ww"&amp;WEEKNUM(patch[[#This Row],[mergeDate]]))</f>
        <v>16'ww37</v>
      </c>
      <c r="U1969" s="7" t="str">
        <f>IF(ISBLANK(patch[[#This Row],[mergeDate]]), U1968, MID(YEAR(patch[[#This Row],[mergeDate]]), 3,2)&amp;"'m"&amp;MONTH(patch[[#This Row],[mergeDate]]))</f>
        <v>16'm9</v>
      </c>
      <c r="V1969" s="7" t="str">
        <f>IF(ISBLANK(patch[[#This Row],[project]]), "",SUM(patch[[#This Row],[BJ -1 num]:[SH -1 num]]))</f>
        <v/>
      </c>
      <c r="W1969" s="7" t="str">
        <f>IF(ISBLANK(patch[[#This Row],[project]]), "",COUNTIFS($A:$A,patch[[#This Row],[number]],$S:$S, "BJ And dev",$AC:$AC, "Review-1"))</f>
        <v/>
      </c>
      <c r="X1969" s="7" t="str">
        <f>IF(ISBLANK(patch[[#This Row],[project]]), "",COUNTIFS($A:$A,patch[[#This Row],[number]],$S:$S, "FL And dev",$AC:$AC, "Review-1"))</f>
        <v/>
      </c>
      <c r="Y1969" s="7" t="str">
        <f>IF(ISBLANK(patch[[#This Row],[project]]), "",COUNTIFS($A:$A,patch[[#This Row],[number]],$S:$S, "SH And dev",$AC:$AC, "Review-1"))</f>
        <v/>
      </c>
      <c r="Z1969" s="7" t="str">
        <f>IF(ISBLANK(patch[[#This Row],[project]]), "",COUNTIFS($A:$A,patch[[#This Row],[number]],$S:$S, "BJ And dev",$AD:$AD, "&lt;&gt;IntegratorValidationComment"))</f>
        <v/>
      </c>
      <c r="AA1969" s="7" t="str">
        <f>IF(ISBLANK(patch[[#This Row],[project]]), "",COUNTIFS($A:$A,patch[[#This Row],[number]],$S:$S, "FL And dev",$AD:$AD, "&lt;&gt;IntegratorValidationComment"))</f>
        <v/>
      </c>
      <c r="AB1969" s="7" t="str">
        <f>IF(ISBLANK(patch[[#This Row],[project]]), "",COUNTIFS($A:$A,patch[[#This Row],[number]],$S:$S, "SH And dev",$AD:$AD, "&lt;&gt;IntegratorValidationComment"))</f>
        <v/>
      </c>
      <c r="AC1969" s="7" t="str">
        <f>IF(OR(ISNUMBER(FIND("Review-1", patch[[#This Row],[comments]])), ISNUMBER(FIND("Approver-1", patch[[#This Row],[comments]]))), "Review-1", "")</f>
        <v/>
      </c>
      <c r="AD19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69" s="7">
        <f>IF(ISBLANK(patch[[#This Row],[number]]),AE1968,patch[[#This Row],[ifCommon]])</f>
        <v>0</v>
      </c>
    </row>
    <row r="1970" spans="1:31">
      <c r="A1970" s="151">
        <v>144098</v>
      </c>
      <c r="B1970" s="151"/>
      <c r="C1970" s="151"/>
      <c r="D1970" s="151"/>
      <c r="E1970" s="151"/>
      <c r="F1970" s="151"/>
      <c r="G1970" s="151"/>
      <c r="H1970" s="151"/>
      <c r="I1970" s="151"/>
      <c r="J1970" s="152">
        <v>42622.673888888887</v>
      </c>
      <c r="K1970" s="151"/>
      <c r="L1970" s="151" t="s">
        <v>59</v>
      </c>
      <c r="M1970" s="152">
        <v>42621.736712962957</v>
      </c>
      <c r="N1970" s="151" t="s">
        <v>3558</v>
      </c>
      <c r="O1970" s="151"/>
      <c r="P1970" s="151"/>
      <c r="Q1970" s="7" t="str">
        <f>IF(ISBLANK(patch[[#This Row],[OwnerEmail]]),Q1969,patch[[#This Row],[OwnerEmail]])</f>
        <v>xi.cao@intel.com</v>
      </c>
      <c r="R1970" s="7" t="str">
        <f>_xlfn.IFNA(VLOOKUP(patch[[#This Row],[tmp-owner.email]],OrgTree!$A:$K, 11, 0), "not ICG SWFW")</f>
        <v>BJ And dev</v>
      </c>
      <c r="S1970" s="7" t="str">
        <f>IF(patch[[#This Row],[reviewer]]=patch[[#This Row],[tmp-owner.email]], "author", _xlfn.IFNA(VLOOKUP(patch[[#This Row],[reviewer]],OrgTree!$A:$K, 11, 0), "not ICG SWFW"))</f>
        <v>BJ And dev</v>
      </c>
      <c r="T1970" s="7" t="str">
        <f>IF(ISBLANK(patch[[#This Row],[mergeDate]]), "", MID(YEAR(patch[[#This Row],[mergeDate]]), 3,2)&amp;"'ww"&amp;WEEKNUM(patch[[#This Row],[mergeDate]]))</f>
        <v>16'ww37</v>
      </c>
      <c r="U1970" s="7" t="str">
        <f>IF(ISBLANK(patch[[#This Row],[mergeDate]]), U1969, MID(YEAR(patch[[#This Row],[mergeDate]]), 3,2)&amp;"'m"&amp;MONTH(patch[[#This Row],[mergeDate]]))</f>
        <v>16'm9</v>
      </c>
      <c r="V1970" s="7" t="str">
        <f>IF(ISBLANK(patch[[#This Row],[project]]), "",SUM(patch[[#This Row],[BJ -1 num]:[SH -1 num]]))</f>
        <v/>
      </c>
      <c r="W1970" s="7" t="str">
        <f>IF(ISBLANK(patch[[#This Row],[project]]), "",COUNTIFS($A:$A,patch[[#This Row],[number]],$S:$S, "BJ And dev",$AC:$AC, "Review-1"))</f>
        <v/>
      </c>
      <c r="X1970" s="7" t="str">
        <f>IF(ISBLANK(patch[[#This Row],[project]]), "",COUNTIFS($A:$A,patch[[#This Row],[number]],$S:$S, "FL And dev",$AC:$AC, "Review-1"))</f>
        <v/>
      </c>
      <c r="Y1970" s="7" t="str">
        <f>IF(ISBLANK(patch[[#This Row],[project]]), "",COUNTIFS($A:$A,patch[[#This Row],[number]],$S:$S, "SH And dev",$AC:$AC, "Review-1"))</f>
        <v/>
      </c>
      <c r="Z1970" s="7" t="str">
        <f>IF(ISBLANK(patch[[#This Row],[project]]), "",COUNTIFS($A:$A,patch[[#This Row],[number]],$S:$S, "BJ And dev",$AD:$AD, "&lt;&gt;IntegratorValidationComment"))</f>
        <v/>
      </c>
      <c r="AA1970" s="7" t="str">
        <f>IF(ISBLANK(patch[[#This Row],[project]]), "",COUNTIFS($A:$A,patch[[#This Row],[number]],$S:$S, "FL And dev",$AD:$AD, "&lt;&gt;IntegratorValidationComment"))</f>
        <v/>
      </c>
      <c r="AB1970" s="7" t="str">
        <f>IF(ISBLANK(patch[[#This Row],[project]]), "",COUNTIFS($A:$A,patch[[#This Row],[number]],$S:$S, "SH And dev",$AD:$AD, "&lt;&gt;IntegratorValidationComment"))</f>
        <v/>
      </c>
      <c r="AC1970" s="7" t="str">
        <f>IF(OR(ISNUMBER(FIND("Review-1", patch[[#This Row],[comments]])), ISNUMBER(FIND("Approver-1", patch[[#This Row],[comments]]))), "Review-1", "")</f>
        <v/>
      </c>
      <c r="AD19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70" s="7">
        <f>IF(ISBLANK(patch[[#This Row],[number]]),AE1969,patch[[#This Row],[ifCommon]])</f>
        <v>0</v>
      </c>
    </row>
    <row r="1971" spans="1:31">
      <c r="A1971" s="151">
        <v>144098</v>
      </c>
      <c r="B1971" s="151"/>
      <c r="C1971" s="151"/>
      <c r="D1971" s="151"/>
      <c r="E1971" s="151"/>
      <c r="F1971" s="151"/>
      <c r="G1971" s="151"/>
      <c r="H1971" s="151"/>
      <c r="I1971" s="151"/>
      <c r="J1971" s="152">
        <v>42622.673888888887</v>
      </c>
      <c r="K1971" s="151"/>
      <c r="L1971" s="151" t="s">
        <v>24</v>
      </c>
      <c r="M1971" s="152">
        <v>42621.749907407408</v>
      </c>
      <c r="N1971" s="151" t="s">
        <v>40</v>
      </c>
      <c r="O1971" s="151"/>
      <c r="P1971" s="151"/>
      <c r="Q1971" s="7" t="str">
        <f>IF(ISBLANK(patch[[#This Row],[OwnerEmail]]),Q1970,patch[[#This Row],[OwnerEmail]])</f>
        <v>xi.cao@intel.com</v>
      </c>
      <c r="R1971" s="7" t="str">
        <f>_xlfn.IFNA(VLOOKUP(patch[[#This Row],[tmp-owner.email]],OrgTree!$A:$K, 11, 0), "not ICG SWFW")</f>
        <v>BJ And dev</v>
      </c>
      <c r="S1971" s="7" t="str">
        <f>IF(patch[[#This Row],[reviewer]]=patch[[#This Row],[tmp-owner.email]], "author", _xlfn.IFNA(VLOOKUP(patch[[#This Row],[reviewer]],OrgTree!$A:$K, 11, 0), "not ICG SWFW"))</f>
        <v>BJ And dev</v>
      </c>
      <c r="T1971" s="7" t="str">
        <f>IF(ISBLANK(patch[[#This Row],[mergeDate]]), "", MID(YEAR(patch[[#This Row],[mergeDate]]), 3,2)&amp;"'ww"&amp;WEEKNUM(patch[[#This Row],[mergeDate]]))</f>
        <v>16'ww37</v>
      </c>
      <c r="U1971" s="7" t="str">
        <f>IF(ISBLANK(patch[[#This Row],[mergeDate]]), U1970, MID(YEAR(patch[[#This Row],[mergeDate]]), 3,2)&amp;"'m"&amp;MONTH(patch[[#This Row],[mergeDate]]))</f>
        <v>16'm9</v>
      </c>
      <c r="V1971" s="7" t="str">
        <f>IF(ISBLANK(patch[[#This Row],[project]]), "",SUM(patch[[#This Row],[BJ -1 num]:[SH -1 num]]))</f>
        <v/>
      </c>
      <c r="W1971" s="7" t="str">
        <f>IF(ISBLANK(patch[[#This Row],[project]]), "",COUNTIFS($A:$A,patch[[#This Row],[number]],$S:$S, "BJ And dev",$AC:$AC, "Review-1"))</f>
        <v/>
      </c>
      <c r="X1971" s="7" t="str">
        <f>IF(ISBLANK(patch[[#This Row],[project]]), "",COUNTIFS($A:$A,patch[[#This Row],[number]],$S:$S, "FL And dev",$AC:$AC, "Review-1"))</f>
        <v/>
      </c>
      <c r="Y1971" s="7" t="str">
        <f>IF(ISBLANK(patch[[#This Row],[project]]), "",COUNTIFS($A:$A,patch[[#This Row],[number]],$S:$S, "SH And dev",$AC:$AC, "Review-1"))</f>
        <v/>
      </c>
      <c r="Z1971" s="7" t="str">
        <f>IF(ISBLANK(patch[[#This Row],[project]]), "",COUNTIFS($A:$A,patch[[#This Row],[number]],$S:$S, "BJ And dev",$AD:$AD, "&lt;&gt;IntegratorValidationComment"))</f>
        <v/>
      </c>
      <c r="AA1971" s="7" t="str">
        <f>IF(ISBLANK(patch[[#This Row],[project]]), "",COUNTIFS($A:$A,patch[[#This Row],[number]],$S:$S, "FL And dev",$AD:$AD, "&lt;&gt;IntegratorValidationComment"))</f>
        <v/>
      </c>
      <c r="AB1971" s="7" t="str">
        <f>IF(ISBLANK(patch[[#This Row],[project]]), "",COUNTIFS($A:$A,patch[[#This Row],[number]],$S:$S, "SH And dev",$AD:$AD, "&lt;&gt;IntegratorValidationComment"))</f>
        <v/>
      </c>
      <c r="AC1971" s="7" t="str">
        <f>IF(OR(ISNUMBER(FIND("Review-1", patch[[#This Row],[comments]])), ISNUMBER(FIND("Approver-1", patch[[#This Row],[comments]]))), "Review-1", "")</f>
        <v/>
      </c>
      <c r="AD19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71" s="7">
        <f>IF(ISBLANK(patch[[#This Row],[number]]),AE1970,patch[[#This Row],[ifCommon]])</f>
        <v>0</v>
      </c>
    </row>
    <row r="1972" spans="1:31">
      <c r="A1972" s="151">
        <v>144098</v>
      </c>
      <c r="B1972" s="151"/>
      <c r="C1972" s="151"/>
      <c r="D1972" s="151"/>
      <c r="E1972" s="151"/>
      <c r="F1972" s="151"/>
      <c r="G1972" s="151"/>
      <c r="H1972" s="151"/>
      <c r="I1972" s="151"/>
      <c r="J1972" s="152">
        <v>42622.673888888887</v>
      </c>
      <c r="K1972" s="151"/>
      <c r="L1972" s="151" t="s">
        <v>1203</v>
      </c>
      <c r="M1972" s="152">
        <v>42621.75068287037</v>
      </c>
      <c r="N1972" s="151" t="s">
        <v>40</v>
      </c>
      <c r="O1972" s="151"/>
      <c r="P1972" s="151"/>
      <c r="Q1972" s="7" t="str">
        <f>IF(ISBLANK(patch[[#This Row],[OwnerEmail]]),Q1971,patch[[#This Row],[OwnerEmail]])</f>
        <v>xi.cao@intel.com</v>
      </c>
      <c r="R1972" s="7" t="str">
        <f>_xlfn.IFNA(VLOOKUP(patch[[#This Row],[tmp-owner.email]],OrgTree!$A:$K, 11, 0), "not ICG SWFW")</f>
        <v>BJ And dev</v>
      </c>
      <c r="S1972" s="7" t="str">
        <f>IF(patch[[#This Row],[reviewer]]=patch[[#This Row],[tmp-owner.email]], "author", _xlfn.IFNA(VLOOKUP(patch[[#This Row],[reviewer]],OrgTree!$A:$K, 11, 0), "not ICG SWFW"))</f>
        <v>author</v>
      </c>
      <c r="T1972" s="7" t="str">
        <f>IF(ISBLANK(patch[[#This Row],[mergeDate]]), "", MID(YEAR(patch[[#This Row],[mergeDate]]), 3,2)&amp;"'ww"&amp;WEEKNUM(patch[[#This Row],[mergeDate]]))</f>
        <v>16'ww37</v>
      </c>
      <c r="U1972" s="7" t="str">
        <f>IF(ISBLANK(patch[[#This Row],[mergeDate]]), U1971, MID(YEAR(patch[[#This Row],[mergeDate]]), 3,2)&amp;"'m"&amp;MONTH(patch[[#This Row],[mergeDate]]))</f>
        <v>16'm9</v>
      </c>
      <c r="V1972" s="7" t="str">
        <f>IF(ISBLANK(patch[[#This Row],[project]]), "",SUM(patch[[#This Row],[BJ -1 num]:[SH -1 num]]))</f>
        <v/>
      </c>
      <c r="W1972" s="7" t="str">
        <f>IF(ISBLANK(patch[[#This Row],[project]]), "",COUNTIFS($A:$A,patch[[#This Row],[number]],$S:$S, "BJ And dev",$AC:$AC, "Review-1"))</f>
        <v/>
      </c>
      <c r="X1972" s="7" t="str">
        <f>IF(ISBLANK(patch[[#This Row],[project]]), "",COUNTIFS($A:$A,patch[[#This Row],[number]],$S:$S, "FL And dev",$AC:$AC, "Review-1"))</f>
        <v/>
      </c>
      <c r="Y1972" s="7" t="str">
        <f>IF(ISBLANK(patch[[#This Row],[project]]), "",COUNTIFS($A:$A,patch[[#This Row],[number]],$S:$S, "SH And dev",$AC:$AC, "Review-1"))</f>
        <v/>
      </c>
      <c r="Z1972" s="7" t="str">
        <f>IF(ISBLANK(patch[[#This Row],[project]]), "",COUNTIFS($A:$A,patch[[#This Row],[number]],$S:$S, "BJ And dev",$AD:$AD, "&lt;&gt;IntegratorValidationComment"))</f>
        <v/>
      </c>
      <c r="AA1972" s="7" t="str">
        <f>IF(ISBLANK(patch[[#This Row],[project]]), "",COUNTIFS($A:$A,patch[[#This Row],[number]],$S:$S, "FL And dev",$AD:$AD, "&lt;&gt;IntegratorValidationComment"))</f>
        <v/>
      </c>
      <c r="AB1972" s="7" t="str">
        <f>IF(ISBLANK(patch[[#This Row],[project]]), "",COUNTIFS($A:$A,patch[[#This Row],[number]],$S:$S, "SH And dev",$AD:$AD, "&lt;&gt;IntegratorValidationComment"))</f>
        <v/>
      </c>
      <c r="AC1972" s="7" t="str">
        <f>IF(OR(ISNUMBER(FIND("Review-1", patch[[#This Row],[comments]])), ISNUMBER(FIND("Approver-1", patch[[#This Row],[comments]]))), "Review-1", "")</f>
        <v/>
      </c>
      <c r="AD19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72" s="7">
        <f>IF(ISBLANK(patch[[#This Row],[number]]),AE1971,patch[[#This Row],[ifCommon]])</f>
        <v>0</v>
      </c>
    </row>
    <row r="1973" spans="1:31">
      <c r="A1973" s="151">
        <v>144098</v>
      </c>
      <c r="B1973" s="151"/>
      <c r="C1973" s="151"/>
      <c r="D1973" s="151"/>
      <c r="E1973" s="151"/>
      <c r="F1973" s="151"/>
      <c r="G1973" s="151"/>
      <c r="H1973" s="151"/>
      <c r="I1973" s="151"/>
      <c r="J1973" s="152">
        <v>42622.673888888887</v>
      </c>
      <c r="K1973" s="151"/>
      <c r="L1973" s="151" t="s">
        <v>59</v>
      </c>
      <c r="M1973" s="152">
        <v>42621.776365740741</v>
      </c>
      <c r="N1973" s="151" t="s">
        <v>40</v>
      </c>
      <c r="O1973" s="151"/>
      <c r="P1973" s="151"/>
      <c r="Q1973" s="7" t="str">
        <f>IF(ISBLANK(patch[[#This Row],[OwnerEmail]]),Q1972,patch[[#This Row],[OwnerEmail]])</f>
        <v>xi.cao@intel.com</v>
      </c>
      <c r="R1973" s="7" t="str">
        <f>_xlfn.IFNA(VLOOKUP(patch[[#This Row],[tmp-owner.email]],OrgTree!$A:$K, 11, 0), "not ICG SWFW")</f>
        <v>BJ And dev</v>
      </c>
      <c r="S1973" s="7" t="str">
        <f>IF(patch[[#This Row],[reviewer]]=patch[[#This Row],[tmp-owner.email]], "author", _xlfn.IFNA(VLOOKUP(patch[[#This Row],[reviewer]],OrgTree!$A:$K, 11, 0), "not ICG SWFW"))</f>
        <v>BJ And dev</v>
      </c>
      <c r="T1973" s="7" t="str">
        <f>IF(ISBLANK(patch[[#This Row],[mergeDate]]), "", MID(YEAR(patch[[#This Row],[mergeDate]]), 3,2)&amp;"'ww"&amp;WEEKNUM(patch[[#This Row],[mergeDate]]))</f>
        <v>16'ww37</v>
      </c>
      <c r="U1973" s="7" t="str">
        <f>IF(ISBLANK(patch[[#This Row],[mergeDate]]), U1972, MID(YEAR(patch[[#This Row],[mergeDate]]), 3,2)&amp;"'m"&amp;MONTH(patch[[#This Row],[mergeDate]]))</f>
        <v>16'm9</v>
      </c>
      <c r="V1973" s="7" t="str">
        <f>IF(ISBLANK(patch[[#This Row],[project]]), "",SUM(patch[[#This Row],[BJ -1 num]:[SH -1 num]]))</f>
        <v/>
      </c>
      <c r="W1973" s="7" t="str">
        <f>IF(ISBLANK(patch[[#This Row],[project]]), "",COUNTIFS($A:$A,patch[[#This Row],[number]],$S:$S, "BJ And dev",$AC:$AC, "Review-1"))</f>
        <v/>
      </c>
      <c r="X1973" s="7" t="str">
        <f>IF(ISBLANK(patch[[#This Row],[project]]), "",COUNTIFS($A:$A,patch[[#This Row],[number]],$S:$S, "FL And dev",$AC:$AC, "Review-1"))</f>
        <v/>
      </c>
      <c r="Y1973" s="7" t="str">
        <f>IF(ISBLANK(patch[[#This Row],[project]]), "",COUNTIFS($A:$A,patch[[#This Row],[number]],$S:$S, "SH And dev",$AC:$AC, "Review-1"))</f>
        <v/>
      </c>
      <c r="Z1973" s="7" t="str">
        <f>IF(ISBLANK(patch[[#This Row],[project]]), "",COUNTIFS($A:$A,patch[[#This Row],[number]],$S:$S, "BJ And dev",$AD:$AD, "&lt;&gt;IntegratorValidationComment"))</f>
        <v/>
      </c>
      <c r="AA1973" s="7" t="str">
        <f>IF(ISBLANK(patch[[#This Row],[project]]), "",COUNTIFS($A:$A,patch[[#This Row],[number]],$S:$S, "FL And dev",$AD:$AD, "&lt;&gt;IntegratorValidationComment"))</f>
        <v/>
      </c>
      <c r="AB1973" s="7" t="str">
        <f>IF(ISBLANK(patch[[#This Row],[project]]), "",COUNTIFS($A:$A,patch[[#This Row],[number]],$S:$S, "SH And dev",$AD:$AD, "&lt;&gt;IntegratorValidationComment"))</f>
        <v/>
      </c>
      <c r="AC1973" s="7" t="str">
        <f>IF(OR(ISNUMBER(FIND("Review-1", patch[[#This Row],[comments]])), ISNUMBER(FIND("Approver-1", patch[[#This Row],[comments]]))), "Review-1", "")</f>
        <v/>
      </c>
      <c r="AD19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73" s="7">
        <f>IF(ISBLANK(patch[[#This Row],[number]]),AE1972,patch[[#This Row],[ifCommon]])</f>
        <v>0</v>
      </c>
    </row>
    <row r="1974" spans="1:31">
      <c r="A1974" s="151">
        <v>144098</v>
      </c>
      <c r="B1974" s="151"/>
      <c r="C1974" s="151"/>
      <c r="D1974" s="151"/>
      <c r="E1974" s="151"/>
      <c r="F1974" s="151"/>
      <c r="G1974" s="151"/>
      <c r="H1974" s="151"/>
      <c r="I1974" s="151"/>
      <c r="J1974" s="152">
        <v>42622.673888888887</v>
      </c>
      <c r="K1974" s="151"/>
      <c r="L1974" s="151" t="s">
        <v>59</v>
      </c>
      <c r="M1974" s="152">
        <v>42621.776446759257</v>
      </c>
      <c r="N1974" s="151" t="s">
        <v>58</v>
      </c>
      <c r="O1974" s="151"/>
      <c r="P1974" s="151"/>
      <c r="Q1974" s="7" t="str">
        <f>IF(ISBLANK(patch[[#This Row],[OwnerEmail]]),Q1973,patch[[#This Row],[OwnerEmail]])</f>
        <v>xi.cao@intel.com</v>
      </c>
      <c r="R1974" s="7" t="str">
        <f>_xlfn.IFNA(VLOOKUP(patch[[#This Row],[tmp-owner.email]],OrgTree!$A:$K, 11, 0), "not ICG SWFW")</f>
        <v>BJ And dev</v>
      </c>
      <c r="S1974" s="7" t="str">
        <f>IF(patch[[#This Row],[reviewer]]=patch[[#This Row],[tmp-owner.email]], "author", _xlfn.IFNA(VLOOKUP(patch[[#This Row],[reviewer]],OrgTree!$A:$K, 11, 0), "not ICG SWFW"))</f>
        <v>BJ And dev</v>
      </c>
      <c r="T1974" s="7" t="str">
        <f>IF(ISBLANK(patch[[#This Row],[mergeDate]]), "", MID(YEAR(patch[[#This Row],[mergeDate]]), 3,2)&amp;"'ww"&amp;WEEKNUM(patch[[#This Row],[mergeDate]]))</f>
        <v>16'ww37</v>
      </c>
      <c r="U1974" s="7" t="str">
        <f>IF(ISBLANK(patch[[#This Row],[mergeDate]]), U1973, MID(YEAR(patch[[#This Row],[mergeDate]]), 3,2)&amp;"'m"&amp;MONTH(patch[[#This Row],[mergeDate]]))</f>
        <v>16'm9</v>
      </c>
      <c r="V1974" s="7" t="str">
        <f>IF(ISBLANK(patch[[#This Row],[project]]), "",SUM(patch[[#This Row],[BJ -1 num]:[SH -1 num]]))</f>
        <v/>
      </c>
      <c r="W1974" s="7" t="str">
        <f>IF(ISBLANK(patch[[#This Row],[project]]), "",COUNTIFS($A:$A,patch[[#This Row],[number]],$S:$S, "BJ And dev",$AC:$AC, "Review-1"))</f>
        <v/>
      </c>
      <c r="X1974" s="7" t="str">
        <f>IF(ISBLANK(patch[[#This Row],[project]]), "",COUNTIFS($A:$A,patch[[#This Row],[number]],$S:$S, "FL And dev",$AC:$AC, "Review-1"))</f>
        <v/>
      </c>
      <c r="Y1974" s="7" t="str">
        <f>IF(ISBLANK(patch[[#This Row],[project]]), "",COUNTIFS($A:$A,patch[[#This Row],[number]],$S:$S, "SH And dev",$AC:$AC, "Review-1"))</f>
        <v/>
      </c>
      <c r="Z1974" s="7" t="str">
        <f>IF(ISBLANK(patch[[#This Row],[project]]), "",COUNTIFS($A:$A,patch[[#This Row],[number]],$S:$S, "BJ And dev",$AD:$AD, "&lt;&gt;IntegratorValidationComment"))</f>
        <v/>
      </c>
      <c r="AA1974" s="7" t="str">
        <f>IF(ISBLANK(patch[[#This Row],[project]]), "",COUNTIFS($A:$A,patch[[#This Row],[number]],$S:$S, "FL And dev",$AD:$AD, "&lt;&gt;IntegratorValidationComment"))</f>
        <v/>
      </c>
      <c r="AB1974" s="7" t="str">
        <f>IF(ISBLANK(patch[[#This Row],[project]]), "",COUNTIFS($A:$A,patch[[#This Row],[number]],$S:$S, "SH And dev",$AD:$AD, "&lt;&gt;IntegratorValidationComment"))</f>
        <v/>
      </c>
      <c r="AC1974" s="7" t="str">
        <f>IF(OR(ISNUMBER(FIND("Review-1", patch[[#This Row],[comments]])), ISNUMBER(FIND("Approver-1", patch[[#This Row],[comments]]))), "Review-1", "")</f>
        <v/>
      </c>
      <c r="AD19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74" s="7">
        <f>IF(ISBLANK(patch[[#This Row],[number]]),AE1973,patch[[#This Row],[ifCommon]])</f>
        <v>0</v>
      </c>
    </row>
    <row r="1975" spans="1:31">
      <c r="A1975" s="151">
        <v>144098</v>
      </c>
      <c r="B1975" s="151"/>
      <c r="C1975" s="151"/>
      <c r="D1975" s="151"/>
      <c r="E1975" s="151"/>
      <c r="F1975" s="151"/>
      <c r="G1975" s="151"/>
      <c r="H1975" s="151"/>
      <c r="I1975" s="151"/>
      <c r="J1975" s="152">
        <v>42622.673888888887</v>
      </c>
      <c r="K1975" s="151"/>
      <c r="L1975" s="151" t="s">
        <v>1203</v>
      </c>
      <c r="M1975" s="152">
        <v>42621.778252314813</v>
      </c>
      <c r="N1975" s="151" t="s">
        <v>2505</v>
      </c>
      <c r="O1975" s="151"/>
      <c r="P1975" s="151"/>
      <c r="Q1975" s="7" t="str">
        <f>IF(ISBLANK(patch[[#This Row],[OwnerEmail]]),Q1974,patch[[#This Row],[OwnerEmail]])</f>
        <v>xi.cao@intel.com</v>
      </c>
      <c r="R1975" s="7" t="str">
        <f>_xlfn.IFNA(VLOOKUP(patch[[#This Row],[tmp-owner.email]],OrgTree!$A:$K, 11, 0), "not ICG SWFW")</f>
        <v>BJ And dev</v>
      </c>
      <c r="S1975" s="7" t="str">
        <f>IF(patch[[#This Row],[reviewer]]=patch[[#This Row],[tmp-owner.email]], "author", _xlfn.IFNA(VLOOKUP(patch[[#This Row],[reviewer]],OrgTree!$A:$K, 11, 0), "not ICG SWFW"))</f>
        <v>author</v>
      </c>
      <c r="T1975" s="7" t="str">
        <f>IF(ISBLANK(patch[[#This Row],[mergeDate]]), "", MID(YEAR(patch[[#This Row],[mergeDate]]), 3,2)&amp;"'ww"&amp;WEEKNUM(patch[[#This Row],[mergeDate]]))</f>
        <v>16'ww37</v>
      </c>
      <c r="U1975" s="7" t="str">
        <f>IF(ISBLANK(patch[[#This Row],[mergeDate]]), U1974, MID(YEAR(patch[[#This Row],[mergeDate]]), 3,2)&amp;"'m"&amp;MONTH(patch[[#This Row],[mergeDate]]))</f>
        <v>16'm9</v>
      </c>
      <c r="V1975" s="7" t="str">
        <f>IF(ISBLANK(patch[[#This Row],[project]]), "",SUM(patch[[#This Row],[BJ -1 num]:[SH -1 num]]))</f>
        <v/>
      </c>
      <c r="W1975" s="7" t="str">
        <f>IF(ISBLANK(patch[[#This Row],[project]]), "",COUNTIFS($A:$A,patch[[#This Row],[number]],$S:$S, "BJ And dev",$AC:$AC, "Review-1"))</f>
        <v/>
      </c>
      <c r="X1975" s="7" t="str">
        <f>IF(ISBLANK(patch[[#This Row],[project]]), "",COUNTIFS($A:$A,patch[[#This Row],[number]],$S:$S, "FL And dev",$AC:$AC, "Review-1"))</f>
        <v/>
      </c>
      <c r="Y1975" s="7" t="str">
        <f>IF(ISBLANK(patch[[#This Row],[project]]), "",COUNTIFS($A:$A,patch[[#This Row],[number]],$S:$S, "SH And dev",$AC:$AC, "Review-1"))</f>
        <v/>
      </c>
      <c r="Z1975" s="7" t="str">
        <f>IF(ISBLANK(patch[[#This Row],[project]]), "",COUNTIFS($A:$A,patch[[#This Row],[number]],$S:$S, "BJ And dev",$AD:$AD, "&lt;&gt;IntegratorValidationComment"))</f>
        <v/>
      </c>
      <c r="AA1975" s="7" t="str">
        <f>IF(ISBLANK(patch[[#This Row],[project]]), "",COUNTIFS($A:$A,patch[[#This Row],[number]],$S:$S, "FL And dev",$AD:$AD, "&lt;&gt;IntegratorValidationComment"))</f>
        <v/>
      </c>
      <c r="AB1975" s="7" t="str">
        <f>IF(ISBLANK(patch[[#This Row],[project]]), "",COUNTIFS($A:$A,patch[[#This Row],[number]],$S:$S, "SH And dev",$AD:$AD, "&lt;&gt;IntegratorValidationComment"))</f>
        <v/>
      </c>
      <c r="AC1975" s="7" t="str">
        <f>IF(OR(ISNUMBER(FIND("Review-1", patch[[#This Row],[comments]])), ISNUMBER(FIND("Approver-1", patch[[#This Row],[comments]]))), "Review-1", "")</f>
        <v/>
      </c>
      <c r="AD19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75" s="7">
        <f>IF(ISBLANK(patch[[#This Row],[number]]),AE1974,patch[[#This Row],[ifCommon]])</f>
        <v>0</v>
      </c>
    </row>
    <row r="1976" spans="1:31">
      <c r="A1976" s="151">
        <v>144098</v>
      </c>
      <c r="B1976" s="151"/>
      <c r="C1976" s="151"/>
      <c r="D1976" s="151"/>
      <c r="E1976" s="151"/>
      <c r="F1976" s="151"/>
      <c r="G1976" s="151"/>
      <c r="H1976" s="151"/>
      <c r="I1976" s="151"/>
      <c r="J1976" s="152">
        <v>42622.673888888887</v>
      </c>
      <c r="K1976" s="151"/>
      <c r="L1976" s="151" t="s">
        <v>1203</v>
      </c>
      <c r="M1976" s="152">
        <v>42621.778263888889</v>
      </c>
      <c r="N1976" s="151" t="s">
        <v>2429</v>
      </c>
      <c r="O1976" s="151"/>
      <c r="P1976" s="151"/>
      <c r="Q1976" s="7" t="str">
        <f>IF(ISBLANK(patch[[#This Row],[OwnerEmail]]),Q1975,patch[[#This Row],[OwnerEmail]])</f>
        <v>xi.cao@intel.com</v>
      </c>
      <c r="R1976" s="7" t="str">
        <f>_xlfn.IFNA(VLOOKUP(patch[[#This Row],[tmp-owner.email]],OrgTree!$A:$K, 11, 0), "not ICG SWFW")</f>
        <v>BJ And dev</v>
      </c>
      <c r="S1976" s="7" t="str">
        <f>IF(patch[[#This Row],[reviewer]]=patch[[#This Row],[tmp-owner.email]], "author", _xlfn.IFNA(VLOOKUP(patch[[#This Row],[reviewer]],OrgTree!$A:$K, 11, 0), "not ICG SWFW"))</f>
        <v>author</v>
      </c>
      <c r="T1976" s="7" t="str">
        <f>IF(ISBLANK(patch[[#This Row],[mergeDate]]), "", MID(YEAR(patch[[#This Row],[mergeDate]]), 3,2)&amp;"'ww"&amp;WEEKNUM(patch[[#This Row],[mergeDate]]))</f>
        <v>16'ww37</v>
      </c>
      <c r="U1976" s="7" t="str">
        <f>IF(ISBLANK(patch[[#This Row],[mergeDate]]), U1975, MID(YEAR(patch[[#This Row],[mergeDate]]), 3,2)&amp;"'m"&amp;MONTH(patch[[#This Row],[mergeDate]]))</f>
        <v>16'm9</v>
      </c>
      <c r="V1976" s="7" t="str">
        <f>IF(ISBLANK(patch[[#This Row],[project]]), "",SUM(patch[[#This Row],[BJ -1 num]:[SH -1 num]]))</f>
        <v/>
      </c>
      <c r="W1976" s="7" t="str">
        <f>IF(ISBLANK(patch[[#This Row],[project]]), "",COUNTIFS($A:$A,patch[[#This Row],[number]],$S:$S, "BJ And dev",$AC:$AC, "Review-1"))</f>
        <v/>
      </c>
      <c r="X1976" s="7" t="str">
        <f>IF(ISBLANK(patch[[#This Row],[project]]), "",COUNTIFS($A:$A,patch[[#This Row],[number]],$S:$S, "FL And dev",$AC:$AC, "Review-1"))</f>
        <v/>
      </c>
      <c r="Y1976" s="7" t="str">
        <f>IF(ISBLANK(patch[[#This Row],[project]]), "",COUNTIFS($A:$A,patch[[#This Row],[number]],$S:$S, "SH And dev",$AC:$AC, "Review-1"))</f>
        <v/>
      </c>
      <c r="Z1976" s="7" t="str">
        <f>IF(ISBLANK(patch[[#This Row],[project]]), "",COUNTIFS($A:$A,patch[[#This Row],[number]],$S:$S, "BJ And dev",$AD:$AD, "&lt;&gt;IntegratorValidationComment"))</f>
        <v/>
      </c>
      <c r="AA1976" s="7" t="str">
        <f>IF(ISBLANK(patch[[#This Row],[project]]), "",COUNTIFS($A:$A,patch[[#This Row],[number]],$S:$S, "FL And dev",$AD:$AD, "&lt;&gt;IntegratorValidationComment"))</f>
        <v/>
      </c>
      <c r="AB1976" s="7" t="str">
        <f>IF(ISBLANK(patch[[#This Row],[project]]), "",COUNTIFS($A:$A,patch[[#This Row],[number]],$S:$S, "SH And dev",$AD:$AD, "&lt;&gt;IntegratorValidationComment"))</f>
        <v/>
      </c>
      <c r="AC1976" s="7" t="str">
        <f>IF(OR(ISNUMBER(FIND("Review-1", patch[[#This Row],[comments]])), ISNUMBER(FIND("Approver-1", patch[[#This Row],[comments]]))), "Review-1", "")</f>
        <v/>
      </c>
      <c r="AD19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76" s="7">
        <f>IF(ISBLANK(patch[[#This Row],[number]]),AE1975,patch[[#This Row],[ifCommon]])</f>
        <v>0</v>
      </c>
    </row>
    <row r="1977" spans="1:31">
      <c r="A1977" s="151">
        <v>144098</v>
      </c>
      <c r="B1977" s="151"/>
      <c r="C1977" s="151"/>
      <c r="D1977" s="151"/>
      <c r="E1977" s="151"/>
      <c r="F1977" s="151"/>
      <c r="G1977" s="151"/>
      <c r="H1977" s="151"/>
      <c r="I1977" s="151"/>
      <c r="J1977" s="152">
        <v>42622.673888888887</v>
      </c>
      <c r="K1977" s="151"/>
      <c r="L1977" s="151" t="s">
        <v>59</v>
      </c>
      <c r="M1977" s="152">
        <v>42621.785590277781</v>
      </c>
      <c r="N1977" s="151" t="s">
        <v>3559</v>
      </c>
      <c r="O1977" s="151"/>
      <c r="P1977" s="151"/>
      <c r="Q1977" s="7" t="str">
        <f>IF(ISBLANK(patch[[#This Row],[OwnerEmail]]),Q1976,patch[[#This Row],[OwnerEmail]])</f>
        <v>xi.cao@intel.com</v>
      </c>
      <c r="R1977" s="7" t="str">
        <f>_xlfn.IFNA(VLOOKUP(patch[[#This Row],[tmp-owner.email]],OrgTree!$A:$K, 11, 0), "not ICG SWFW")</f>
        <v>BJ And dev</v>
      </c>
      <c r="S1977" s="7" t="str">
        <f>IF(patch[[#This Row],[reviewer]]=patch[[#This Row],[tmp-owner.email]], "author", _xlfn.IFNA(VLOOKUP(patch[[#This Row],[reviewer]],OrgTree!$A:$K, 11, 0), "not ICG SWFW"))</f>
        <v>BJ And dev</v>
      </c>
      <c r="T1977" s="7" t="str">
        <f>IF(ISBLANK(patch[[#This Row],[mergeDate]]), "", MID(YEAR(patch[[#This Row],[mergeDate]]), 3,2)&amp;"'ww"&amp;WEEKNUM(patch[[#This Row],[mergeDate]]))</f>
        <v>16'ww37</v>
      </c>
      <c r="U1977" s="7" t="str">
        <f>IF(ISBLANK(patch[[#This Row],[mergeDate]]), U1976, MID(YEAR(patch[[#This Row],[mergeDate]]), 3,2)&amp;"'m"&amp;MONTH(patch[[#This Row],[mergeDate]]))</f>
        <v>16'm9</v>
      </c>
      <c r="V1977" s="7" t="str">
        <f>IF(ISBLANK(patch[[#This Row],[project]]), "",SUM(patch[[#This Row],[BJ -1 num]:[SH -1 num]]))</f>
        <v/>
      </c>
      <c r="W1977" s="7" t="str">
        <f>IF(ISBLANK(patch[[#This Row],[project]]), "",COUNTIFS($A:$A,patch[[#This Row],[number]],$S:$S, "BJ And dev",$AC:$AC, "Review-1"))</f>
        <v/>
      </c>
      <c r="X1977" s="7" t="str">
        <f>IF(ISBLANK(patch[[#This Row],[project]]), "",COUNTIFS($A:$A,patch[[#This Row],[number]],$S:$S, "FL And dev",$AC:$AC, "Review-1"))</f>
        <v/>
      </c>
      <c r="Y1977" s="7" t="str">
        <f>IF(ISBLANK(patch[[#This Row],[project]]), "",COUNTIFS($A:$A,patch[[#This Row],[number]],$S:$S, "SH And dev",$AC:$AC, "Review-1"))</f>
        <v/>
      </c>
      <c r="Z1977" s="7" t="str">
        <f>IF(ISBLANK(patch[[#This Row],[project]]), "",COUNTIFS($A:$A,patch[[#This Row],[number]],$S:$S, "BJ And dev",$AD:$AD, "&lt;&gt;IntegratorValidationComment"))</f>
        <v/>
      </c>
      <c r="AA1977" s="7" t="str">
        <f>IF(ISBLANK(patch[[#This Row],[project]]), "",COUNTIFS($A:$A,patch[[#This Row],[number]],$S:$S, "FL And dev",$AD:$AD, "&lt;&gt;IntegratorValidationComment"))</f>
        <v/>
      </c>
      <c r="AB1977" s="7" t="str">
        <f>IF(ISBLANK(patch[[#This Row],[project]]), "",COUNTIFS($A:$A,patch[[#This Row],[number]],$S:$S, "SH And dev",$AD:$AD, "&lt;&gt;IntegratorValidationComment"))</f>
        <v/>
      </c>
      <c r="AC1977" s="7" t="str">
        <f>IF(OR(ISNUMBER(FIND("Review-1", patch[[#This Row],[comments]])), ISNUMBER(FIND("Approver-1", patch[[#This Row],[comments]]))), "Review-1", "")</f>
        <v/>
      </c>
      <c r="AD19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77" s="7">
        <f>IF(ISBLANK(patch[[#This Row],[number]]),AE1976,patch[[#This Row],[ifCommon]])</f>
        <v>0</v>
      </c>
    </row>
    <row r="1978" spans="1:31">
      <c r="A1978" s="151">
        <v>144098</v>
      </c>
      <c r="B1978" s="151"/>
      <c r="C1978" s="151"/>
      <c r="D1978" s="151"/>
      <c r="E1978" s="151"/>
      <c r="F1978" s="151"/>
      <c r="G1978" s="151"/>
      <c r="H1978" s="151"/>
      <c r="I1978" s="151"/>
      <c r="J1978" s="152">
        <v>42622.673888888887</v>
      </c>
      <c r="K1978" s="151"/>
      <c r="L1978" s="151" t="s">
        <v>59</v>
      </c>
      <c r="M1978" s="152">
        <v>42621.791898148149</v>
      </c>
      <c r="N1978" s="151" t="s">
        <v>3560</v>
      </c>
      <c r="O1978" s="151"/>
      <c r="P1978" s="151"/>
      <c r="Q1978" s="7" t="str">
        <f>IF(ISBLANK(patch[[#This Row],[OwnerEmail]]),Q1977,patch[[#This Row],[OwnerEmail]])</f>
        <v>xi.cao@intel.com</v>
      </c>
      <c r="R1978" s="7" t="str">
        <f>_xlfn.IFNA(VLOOKUP(patch[[#This Row],[tmp-owner.email]],OrgTree!$A:$K, 11, 0), "not ICG SWFW")</f>
        <v>BJ And dev</v>
      </c>
      <c r="S1978" s="7" t="str">
        <f>IF(patch[[#This Row],[reviewer]]=patch[[#This Row],[tmp-owner.email]], "author", _xlfn.IFNA(VLOOKUP(patch[[#This Row],[reviewer]],OrgTree!$A:$K, 11, 0), "not ICG SWFW"))</f>
        <v>BJ And dev</v>
      </c>
      <c r="T1978" s="7" t="str">
        <f>IF(ISBLANK(patch[[#This Row],[mergeDate]]), "", MID(YEAR(patch[[#This Row],[mergeDate]]), 3,2)&amp;"'ww"&amp;WEEKNUM(patch[[#This Row],[mergeDate]]))</f>
        <v>16'ww37</v>
      </c>
      <c r="U1978" s="7" t="str">
        <f>IF(ISBLANK(patch[[#This Row],[mergeDate]]), U1977, MID(YEAR(patch[[#This Row],[mergeDate]]), 3,2)&amp;"'m"&amp;MONTH(patch[[#This Row],[mergeDate]]))</f>
        <v>16'm9</v>
      </c>
      <c r="V1978" s="7" t="str">
        <f>IF(ISBLANK(patch[[#This Row],[project]]), "",SUM(patch[[#This Row],[BJ -1 num]:[SH -1 num]]))</f>
        <v/>
      </c>
      <c r="W1978" s="7" t="str">
        <f>IF(ISBLANK(patch[[#This Row],[project]]), "",COUNTIFS($A:$A,patch[[#This Row],[number]],$S:$S, "BJ And dev",$AC:$AC, "Review-1"))</f>
        <v/>
      </c>
      <c r="X1978" s="7" t="str">
        <f>IF(ISBLANK(patch[[#This Row],[project]]), "",COUNTIFS($A:$A,patch[[#This Row],[number]],$S:$S, "FL And dev",$AC:$AC, "Review-1"))</f>
        <v/>
      </c>
      <c r="Y1978" s="7" t="str">
        <f>IF(ISBLANK(patch[[#This Row],[project]]), "",COUNTIFS($A:$A,patch[[#This Row],[number]],$S:$S, "SH And dev",$AC:$AC, "Review-1"))</f>
        <v/>
      </c>
      <c r="Z1978" s="7" t="str">
        <f>IF(ISBLANK(patch[[#This Row],[project]]), "",COUNTIFS($A:$A,patch[[#This Row],[number]],$S:$S, "BJ And dev",$AD:$AD, "&lt;&gt;IntegratorValidationComment"))</f>
        <v/>
      </c>
      <c r="AA1978" s="7" t="str">
        <f>IF(ISBLANK(patch[[#This Row],[project]]), "",COUNTIFS($A:$A,patch[[#This Row],[number]],$S:$S, "FL And dev",$AD:$AD, "&lt;&gt;IntegratorValidationComment"))</f>
        <v/>
      </c>
      <c r="AB1978" s="7" t="str">
        <f>IF(ISBLANK(patch[[#This Row],[project]]), "",COUNTIFS($A:$A,patch[[#This Row],[number]],$S:$S, "SH And dev",$AD:$AD, "&lt;&gt;IntegratorValidationComment"))</f>
        <v/>
      </c>
      <c r="AC1978" s="7" t="str">
        <f>IF(OR(ISNUMBER(FIND("Review-1", patch[[#This Row],[comments]])), ISNUMBER(FIND("Approver-1", patch[[#This Row],[comments]]))), "Review-1", "")</f>
        <v/>
      </c>
      <c r="AD19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78" s="7">
        <f>IF(ISBLANK(patch[[#This Row],[number]]),AE1977,patch[[#This Row],[ifCommon]])</f>
        <v>0</v>
      </c>
    </row>
    <row r="1979" spans="1:31">
      <c r="A1979" s="151">
        <v>144098</v>
      </c>
      <c r="B1979" s="151"/>
      <c r="C1979" s="151"/>
      <c r="D1979" s="151"/>
      <c r="E1979" s="151"/>
      <c r="F1979" s="151"/>
      <c r="G1979" s="151"/>
      <c r="H1979" s="151"/>
      <c r="I1979" s="151"/>
      <c r="J1979" s="152">
        <v>42622.673888888887</v>
      </c>
      <c r="K1979" s="151"/>
      <c r="L1979" s="151" t="s">
        <v>115</v>
      </c>
      <c r="M1979" s="152">
        <v>42622.417407407411</v>
      </c>
      <c r="N1979" s="151" t="s">
        <v>2495</v>
      </c>
      <c r="O1979" s="151"/>
      <c r="P1979" s="151"/>
      <c r="Q1979" s="7" t="str">
        <f>IF(ISBLANK(patch[[#This Row],[OwnerEmail]]),Q1978,patch[[#This Row],[OwnerEmail]])</f>
        <v>xi.cao@intel.com</v>
      </c>
      <c r="R1979" s="7" t="str">
        <f>_xlfn.IFNA(VLOOKUP(patch[[#This Row],[tmp-owner.email]],OrgTree!$A:$K, 11, 0), "not ICG SWFW")</f>
        <v>BJ And dev</v>
      </c>
      <c r="S1979" s="7" t="str">
        <f>IF(patch[[#This Row],[reviewer]]=patch[[#This Row],[tmp-owner.email]], "author", _xlfn.IFNA(VLOOKUP(patch[[#This Row],[reviewer]],OrgTree!$A:$K, 11, 0), "not ICG SWFW"))</f>
        <v>Val</v>
      </c>
      <c r="T1979" s="7" t="str">
        <f>IF(ISBLANK(patch[[#This Row],[mergeDate]]), "", MID(YEAR(patch[[#This Row],[mergeDate]]), 3,2)&amp;"'ww"&amp;WEEKNUM(patch[[#This Row],[mergeDate]]))</f>
        <v>16'ww37</v>
      </c>
      <c r="U1979" s="7" t="str">
        <f>IF(ISBLANK(patch[[#This Row],[mergeDate]]), U1978, MID(YEAR(patch[[#This Row],[mergeDate]]), 3,2)&amp;"'m"&amp;MONTH(patch[[#This Row],[mergeDate]]))</f>
        <v>16'm9</v>
      </c>
      <c r="V1979" s="7" t="str">
        <f>IF(ISBLANK(patch[[#This Row],[project]]), "",SUM(patch[[#This Row],[BJ -1 num]:[SH -1 num]]))</f>
        <v/>
      </c>
      <c r="W1979" s="7" t="str">
        <f>IF(ISBLANK(patch[[#This Row],[project]]), "",COUNTIFS($A:$A,patch[[#This Row],[number]],$S:$S, "BJ And dev",$AC:$AC, "Review-1"))</f>
        <v/>
      </c>
      <c r="X1979" s="7" t="str">
        <f>IF(ISBLANK(patch[[#This Row],[project]]), "",COUNTIFS($A:$A,patch[[#This Row],[number]],$S:$S, "FL And dev",$AC:$AC, "Review-1"))</f>
        <v/>
      </c>
      <c r="Y1979" s="7" t="str">
        <f>IF(ISBLANK(patch[[#This Row],[project]]), "",COUNTIFS($A:$A,patch[[#This Row],[number]],$S:$S, "SH And dev",$AC:$AC, "Review-1"))</f>
        <v/>
      </c>
      <c r="Z1979" s="7" t="str">
        <f>IF(ISBLANK(patch[[#This Row],[project]]), "",COUNTIFS($A:$A,patch[[#This Row],[number]],$S:$S, "BJ And dev",$AD:$AD, "&lt;&gt;IntegratorValidationComment"))</f>
        <v/>
      </c>
      <c r="AA1979" s="7" t="str">
        <f>IF(ISBLANK(patch[[#This Row],[project]]), "",COUNTIFS($A:$A,patch[[#This Row],[number]],$S:$S, "FL And dev",$AD:$AD, "&lt;&gt;IntegratorValidationComment"))</f>
        <v/>
      </c>
      <c r="AB1979" s="7" t="str">
        <f>IF(ISBLANK(patch[[#This Row],[project]]), "",COUNTIFS($A:$A,patch[[#This Row],[number]],$S:$S, "SH And dev",$AD:$AD, "&lt;&gt;IntegratorValidationComment"))</f>
        <v/>
      </c>
      <c r="AC1979" s="7" t="str">
        <f>IF(OR(ISNUMBER(FIND("Review-1", patch[[#This Row],[comments]])), ISNUMBER(FIND("Approver-1", patch[[#This Row],[comments]]))), "Review-1", "")</f>
        <v/>
      </c>
      <c r="AD19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979" s="7">
        <f>IF(ISBLANK(patch[[#This Row],[number]]),AE1978,patch[[#This Row],[ifCommon]])</f>
        <v>0</v>
      </c>
    </row>
    <row r="1980" spans="1:31">
      <c r="A1980" s="151">
        <v>143571</v>
      </c>
      <c r="B1980" s="151" t="s">
        <v>2490</v>
      </c>
      <c r="C1980" s="151" t="s">
        <v>2491</v>
      </c>
      <c r="D1980" s="151" t="s">
        <v>3561</v>
      </c>
      <c r="E1980" s="151" t="s">
        <v>63</v>
      </c>
      <c r="F1980" s="151" t="s">
        <v>23</v>
      </c>
      <c r="G1980" s="151" t="s">
        <v>3562</v>
      </c>
      <c r="H1980" s="151" t="s">
        <v>3563</v>
      </c>
      <c r="I1980" s="152">
        <v>42619.749062499999</v>
      </c>
      <c r="J1980" s="152">
        <v>42622.673750000002</v>
      </c>
      <c r="K1980" s="151" t="s">
        <v>2445</v>
      </c>
      <c r="L1980" s="151" t="s">
        <v>63</v>
      </c>
      <c r="M1980" s="152">
        <v>42619.749062499999</v>
      </c>
      <c r="N1980" s="151" t="s">
        <v>25</v>
      </c>
      <c r="O1980" s="151"/>
      <c r="P1980" s="151" t="s">
        <v>2555</v>
      </c>
      <c r="Q1980" s="7" t="str">
        <f>IF(ISBLANK(patch[[#This Row],[OwnerEmail]]),Q1979,patch[[#This Row],[OwnerEmail]])</f>
        <v>zongx.li@intel.com</v>
      </c>
      <c r="R1980" s="7" t="str">
        <f>_xlfn.IFNA(VLOOKUP(patch[[#This Row],[tmp-owner.email]],OrgTree!$A:$K, 11, 0), "not ICG SWFW")</f>
        <v>BJ And dev</v>
      </c>
      <c r="S1980" s="7" t="str">
        <f>IF(patch[[#This Row],[reviewer]]=patch[[#This Row],[tmp-owner.email]], "author", _xlfn.IFNA(VLOOKUP(patch[[#This Row],[reviewer]],OrgTree!$A:$K, 11, 0), "not ICG SWFW"))</f>
        <v>author</v>
      </c>
      <c r="T1980" s="7" t="str">
        <f>IF(ISBLANK(patch[[#This Row],[mergeDate]]), "", MID(YEAR(patch[[#This Row],[mergeDate]]), 3,2)&amp;"'ww"&amp;WEEKNUM(patch[[#This Row],[mergeDate]]))</f>
        <v>16'ww37</v>
      </c>
      <c r="U1980" s="7" t="str">
        <f>IF(ISBLANK(patch[[#This Row],[mergeDate]]), U1979, MID(YEAR(patch[[#This Row],[mergeDate]]), 3,2)&amp;"'m"&amp;MONTH(patch[[#This Row],[mergeDate]]))</f>
        <v>16'm9</v>
      </c>
      <c r="V1980" s="7">
        <f>IF(ISBLANK(patch[[#This Row],[project]]), "",SUM(patch[[#This Row],[BJ -1 num]:[SH -1 num]]))</f>
        <v>0</v>
      </c>
      <c r="W1980" s="7">
        <f>IF(ISBLANK(patch[[#This Row],[project]]), "",COUNTIFS($A:$A,patch[[#This Row],[number]],$S:$S, "BJ And dev",$AC:$AC, "Review-1"))</f>
        <v>0</v>
      </c>
      <c r="X1980" s="7">
        <f>IF(ISBLANK(patch[[#This Row],[project]]), "",COUNTIFS($A:$A,patch[[#This Row],[number]],$S:$S, "FL And dev",$AC:$AC, "Review-1"))</f>
        <v>0</v>
      </c>
      <c r="Y1980" s="7">
        <f>IF(ISBLANK(patch[[#This Row],[project]]), "",COUNTIFS($A:$A,patch[[#This Row],[number]],$S:$S, "SH And dev",$AC:$AC, "Review-1"))</f>
        <v>0</v>
      </c>
      <c r="Z1980" s="7">
        <f>IF(ISBLANK(patch[[#This Row],[project]]), "",COUNTIFS($A:$A,patch[[#This Row],[number]],$S:$S, "BJ And dev",$AD:$AD, "&lt;&gt;IntegratorValidationComment"))</f>
        <v>6</v>
      </c>
      <c r="AA1980" s="7">
        <f>IF(ISBLANK(patch[[#This Row],[project]]), "",COUNTIFS($A:$A,patch[[#This Row],[number]],$S:$S, "FL And dev",$AD:$AD, "&lt;&gt;IntegratorValidationComment"))</f>
        <v>0</v>
      </c>
      <c r="AB1980" s="7">
        <f>IF(ISBLANK(patch[[#This Row],[project]]), "",COUNTIFS($A:$A,patch[[#This Row],[number]],$S:$S, "SH And dev",$AD:$AD, "&lt;&gt;IntegratorValidationComment"))</f>
        <v>0</v>
      </c>
      <c r="AC1980" s="7" t="str">
        <f>IF(OR(ISNUMBER(FIND("Review-1", patch[[#This Row],[comments]])), ISNUMBER(FIND("Approver-1", patch[[#This Row],[comments]]))), "Review-1", "")</f>
        <v/>
      </c>
      <c r="AD19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80" s="7" t="str">
        <f>IF(ISBLANK(patch[[#This Row],[number]]),AE1979,patch[[#This Row],[ifCommon]])</f>
        <v>not AndrHAL</v>
      </c>
    </row>
    <row r="1981" spans="1:31">
      <c r="A1981" s="151">
        <v>143571</v>
      </c>
      <c r="B1981" s="151"/>
      <c r="C1981" s="151"/>
      <c r="D1981" s="151"/>
      <c r="E1981" s="151"/>
      <c r="F1981" s="151"/>
      <c r="G1981" s="151"/>
      <c r="H1981" s="151"/>
      <c r="I1981" s="151"/>
      <c r="J1981" s="152">
        <v>42622.673750000002</v>
      </c>
      <c r="K1981" s="151"/>
      <c r="L1981" s="151" t="s">
        <v>63</v>
      </c>
      <c r="M1981" s="152">
        <v>42619.749062499999</v>
      </c>
      <c r="N1981" s="151" t="s">
        <v>2428</v>
      </c>
      <c r="O1981" s="151"/>
      <c r="P1981" s="151"/>
      <c r="Q1981" s="7" t="str">
        <f>IF(ISBLANK(patch[[#This Row],[OwnerEmail]]),Q1980,patch[[#This Row],[OwnerEmail]])</f>
        <v>zongx.li@intel.com</v>
      </c>
      <c r="R1981" s="7" t="str">
        <f>_xlfn.IFNA(VLOOKUP(patch[[#This Row],[tmp-owner.email]],OrgTree!$A:$K, 11, 0), "not ICG SWFW")</f>
        <v>BJ And dev</v>
      </c>
      <c r="S1981" s="7" t="str">
        <f>IF(patch[[#This Row],[reviewer]]=patch[[#This Row],[tmp-owner.email]], "author", _xlfn.IFNA(VLOOKUP(patch[[#This Row],[reviewer]],OrgTree!$A:$K, 11, 0), "not ICG SWFW"))</f>
        <v>author</v>
      </c>
      <c r="T1981" s="7" t="str">
        <f>IF(ISBLANK(patch[[#This Row],[mergeDate]]), "", MID(YEAR(patch[[#This Row],[mergeDate]]), 3,2)&amp;"'ww"&amp;WEEKNUM(patch[[#This Row],[mergeDate]]))</f>
        <v>16'ww37</v>
      </c>
      <c r="U1981" s="7" t="str">
        <f>IF(ISBLANK(patch[[#This Row],[mergeDate]]), U1980, MID(YEAR(patch[[#This Row],[mergeDate]]), 3,2)&amp;"'m"&amp;MONTH(patch[[#This Row],[mergeDate]]))</f>
        <v>16'm9</v>
      </c>
      <c r="V1981" s="7" t="str">
        <f>IF(ISBLANK(patch[[#This Row],[project]]), "",SUM(patch[[#This Row],[BJ -1 num]:[SH -1 num]]))</f>
        <v/>
      </c>
      <c r="W1981" s="7" t="str">
        <f>IF(ISBLANK(patch[[#This Row],[project]]), "",COUNTIFS($A:$A,patch[[#This Row],[number]],$S:$S, "BJ And dev",$AC:$AC, "Review-1"))</f>
        <v/>
      </c>
      <c r="X1981" s="7" t="str">
        <f>IF(ISBLANK(patch[[#This Row],[project]]), "",COUNTIFS($A:$A,patch[[#This Row],[number]],$S:$S, "FL And dev",$AC:$AC, "Review-1"))</f>
        <v/>
      </c>
      <c r="Y1981" s="7" t="str">
        <f>IF(ISBLANK(patch[[#This Row],[project]]), "",COUNTIFS($A:$A,patch[[#This Row],[number]],$S:$S, "SH And dev",$AC:$AC, "Review-1"))</f>
        <v/>
      </c>
      <c r="Z1981" s="7" t="str">
        <f>IF(ISBLANK(patch[[#This Row],[project]]), "",COUNTIFS($A:$A,patch[[#This Row],[number]],$S:$S, "BJ And dev",$AD:$AD, "&lt;&gt;IntegratorValidationComment"))</f>
        <v/>
      </c>
      <c r="AA1981" s="7" t="str">
        <f>IF(ISBLANK(patch[[#This Row],[project]]), "",COUNTIFS($A:$A,patch[[#This Row],[number]],$S:$S, "FL And dev",$AD:$AD, "&lt;&gt;IntegratorValidationComment"))</f>
        <v/>
      </c>
      <c r="AB1981" s="7" t="str">
        <f>IF(ISBLANK(patch[[#This Row],[project]]), "",COUNTIFS($A:$A,patch[[#This Row],[number]],$S:$S, "SH And dev",$AD:$AD, "&lt;&gt;IntegratorValidationComment"))</f>
        <v/>
      </c>
      <c r="AC1981" s="7" t="str">
        <f>IF(OR(ISNUMBER(FIND("Review-1", patch[[#This Row],[comments]])), ISNUMBER(FIND("Approver-1", patch[[#This Row],[comments]]))), "Review-1", "")</f>
        <v/>
      </c>
      <c r="AD19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81" s="7">
        <f>IF(ISBLANK(patch[[#This Row],[number]]),AE1980,patch[[#This Row],[ifCommon]])</f>
        <v>0</v>
      </c>
    </row>
    <row r="1982" spans="1:31">
      <c r="A1982" s="151">
        <v>143571</v>
      </c>
      <c r="B1982" s="151"/>
      <c r="C1982" s="151"/>
      <c r="D1982" s="151"/>
      <c r="E1982" s="151"/>
      <c r="F1982" s="151"/>
      <c r="G1982" s="151"/>
      <c r="H1982" s="151"/>
      <c r="I1982" s="151"/>
      <c r="J1982" s="152">
        <v>42622.673750000002</v>
      </c>
      <c r="K1982" s="151"/>
      <c r="L1982" s="151" t="s">
        <v>63</v>
      </c>
      <c r="M1982" s="152">
        <v>42619.749699074076</v>
      </c>
      <c r="N1982" s="151" t="s">
        <v>40</v>
      </c>
      <c r="O1982" s="151"/>
      <c r="P1982" s="151"/>
      <c r="Q1982" s="7" t="str">
        <f>IF(ISBLANK(patch[[#This Row],[OwnerEmail]]),Q1981,patch[[#This Row],[OwnerEmail]])</f>
        <v>zongx.li@intel.com</v>
      </c>
      <c r="R1982" s="7" t="str">
        <f>_xlfn.IFNA(VLOOKUP(patch[[#This Row],[tmp-owner.email]],OrgTree!$A:$K, 11, 0), "not ICG SWFW")</f>
        <v>BJ And dev</v>
      </c>
      <c r="S1982" s="7" t="str">
        <f>IF(patch[[#This Row],[reviewer]]=patch[[#This Row],[tmp-owner.email]], "author", _xlfn.IFNA(VLOOKUP(patch[[#This Row],[reviewer]],OrgTree!$A:$K, 11, 0), "not ICG SWFW"))</f>
        <v>author</v>
      </c>
      <c r="T1982" s="7" t="str">
        <f>IF(ISBLANK(patch[[#This Row],[mergeDate]]), "", MID(YEAR(patch[[#This Row],[mergeDate]]), 3,2)&amp;"'ww"&amp;WEEKNUM(patch[[#This Row],[mergeDate]]))</f>
        <v>16'ww37</v>
      </c>
      <c r="U1982" s="7" t="str">
        <f>IF(ISBLANK(patch[[#This Row],[mergeDate]]), U1981, MID(YEAR(patch[[#This Row],[mergeDate]]), 3,2)&amp;"'m"&amp;MONTH(patch[[#This Row],[mergeDate]]))</f>
        <v>16'm9</v>
      </c>
      <c r="V1982" s="7" t="str">
        <f>IF(ISBLANK(patch[[#This Row],[project]]), "",SUM(patch[[#This Row],[BJ -1 num]:[SH -1 num]]))</f>
        <v/>
      </c>
      <c r="W1982" s="7" t="str">
        <f>IF(ISBLANK(patch[[#This Row],[project]]), "",COUNTIFS($A:$A,patch[[#This Row],[number]],$S:$S, "BJ And dev",$AC:$AC, "Review-1"))</f>
        <v/>
      </c>
      <c r="X1982" s="7" t="str">
        <f>IF(ISBLANK(patch[[#This Row],[project]]), "",COUNTIFS($A:$A,patch[[#This Row],[number]],$S:$S, "FL And dev",$AC:$AC, "Review-1"))</f>
        <v/>
      </c>
      <c r="Y1982" s="7" t="str">
        <f>IF(ISBLANK(patch[[#This Row],[project]]), "",COUNTIFS($A:$A,patch[[#This Row],[number]],$S:$S, "SH And dev",$AC:$AC, "Review-1"))</f>
        <v/>
      </c>
      <c r="Z1982" s="7" t="str">
        <f>IF(ISBLANK(patch[[#This Row],[project]]), "",COUNTIFS($A:$A,patch[[#This Row],[number]],$S:$S, "BJ And dev",$AD:$AD, "&lt;&gt;IntegratorValidationComment"))</f>
        <v/>
      </c>
      <c r="AA1982" s="7" t="str">
        <f>IF(ISBLANK(patch[[#This Row],[project]]), "",COUNTIFS($A:$A,patch[[#This Row],[number]],$S:$S, "FL And dev",$AD:$AD, "&lt;&gt;IntegratorValidationComment"))</f>
        <v/>
      </c>
      <c r="AB1982" s="7" t="str">
        <f>IF(ISBLANK(patch[[#This Row],[project]]), "",COUNTIFS($A:$A,patch[[#This Row],[number]],$S:$S, "SH And dev",$AD:$AD, "&lt;&gt;IntegratorValidationComment"))</f>
        <v/>
      </c>
      <c r="AC1982" s="7" t="str">
        <f>IF(OR(ISNUMBER(FIND("Review-1", patch[[#This Row],[comments]])), ISNUMBER(FIND("Approver-1", patch[[#This Row],[comments]]))), "Review-1", "")</f>
        <v/>
      </c>
      <c r="AD19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82" s="7">
        <f>IF(ISBLANK(patch[[#This Row],[number]]),AE1981,patch[[#This Row],[ifCommon]])</f>
        <v>0</v>
      </c>
    </row>
    <row r="1983" spans="1:31">
      <c r="A1983" s="151">
        <v>143571</v>
      </c>
      <c r="B1983" s="151"/>
      <c r="C1983" s="151"/>
      <c r="D1983" s="151"/>
      <c r="E1983" s="151"/>
      <c r="F1983" s="151"/>
      <c r="G1983" s="151"/>
      <c r="H1983" s="151"/>
      <c r="I1983" s="151"/>
      <c r="J1983" s="152">
        <v>42622.673750000002</v>
      </c>
      <c r="K1983" s="151"/>
      <c r="L1983" s="151" t="s">
        <v>59</v>
      </c>
      <c r="M1983" s="152">
        <v>42619.751377314817</v>
      </c>
      <c r="N1983" s="151" t="s">
        <v>3564</v>
      </c>
      <c r="O1983" s="151"/>
      <c r="P1983" s="151"/>
      <c r="Q1983" s="7" t="str">
        <f>IF(ISBLANK(patch[[#This Row],[OwnerEmail]]),Q1982,patch[[#This Row],[OwnerEmail]])</f>
        <v>zongx.li@intel.com</v>
      </c>
      <c r="R1983" s="7" t="str">
        <f>_xlfn.IFNA(VLOOKUP(patch[[#This Row],[tmp-owner.email]],OrgTree!$A:$K, 11, 0), "not ICG SWFW")</f>
        <v>BJ And dev</v>
      </c>
      <c r="S1983" s="7" t="str">
        <f>IF(patch[[#This Row],[reviewer]]=patch[[#This Row],[tmp-owner.email]], "author", _xlfn.IFNA(VLOOKUP(patch[[#This Row],[reviewer]],OrgTree!$A:$K, 11, 0), "not ICG SWFW"))</f>
        <v>BJ And dev</v>
      </c>
      <c r="T1983" s="7" t="str">
        <f>IF(ISBLANK(patch[[#This Row],[mergeDate]]), "", MID(YEAR(patch[[#This Row],[mergeDate]]), 3,2)&amp;"'ww"&amp;WEEKNUM(patch[[#This Row],[mergeDate]]))</f>
        <v>16'ww37</v>
      </c>
      <c r="U1983" s="7" t="str">
        <f>IF(ISBLANK(patch[[#This Row],[mergeDate]]), U1982, MID(YEAR(patch[[#This Row],[mergeDate]]), 3,2)&amp;"'m"&amp;MONTH(patch[[#This Row],[mergeDate]]))</f>
        <v>16'm9</v>
      </c>
      <c r="V1983" s="7" t="str">
        <f>IF(ISBLANK(patch[[#This Row],[project]]), "",SUM(patch[[#This Row],[BJ -1 num]:[SH -1 num]]))</f>
        <v/>
      </c>
      <c r="W1983" s="7" t="str">
        <f>IF(ISBLANK(patch[[#This Row],[project]]), "",COUNTIFS($A:$A,patch[[#This Row],[number]],$S:$S, "BJ And dev",$AC:$AC, "Review-1"))</f>
        <v/>
      </c>
      <c r="X1983" s="7" t="str">
        <f>IF(ISBLANK(patch[[#This Row],[project]]), "",COUNTIFS($A:$A,patch[[#This Row],[number]],$S:$S, "FL And dev",$AC:$AC, "Review-1"))</f>
        <v/>
      </c>
      <c r="Y1983" s="7" t="str">
        <f>IF(ISBLANK(patch[[#This Row],[project]]), "",COUNTIFS($A:$A,patch[[#This Row],[number]],$S:$S, "SH And dev",$AC:$AC, "Review-1"))</f>
        <v/>
      </c>
      <c r="Z1983" s="7" t="str">
        <f>IF(ISBLANK(patch[[#This Row],[project]]), "",COUNTIFS($A:$A,patch[[#This Row],[number]],$S:$S, "BJ And dev",$AD:$AD, "&lt;&gt;IntegratorValidationComment"))</f>
        <v/>
      </c>
      <c r="AA1983" s="7" t="str">
        <f>IF(ISBLANK(patch[[#This Row],[project]]), "",COUNTIFS($A:$A,patch[[#This Row],[number]],$S:$S, "FL And dev",$AD:$AD, "&lt;&gt;IntegratorValidationComment"))</f>
        <v/>
      </c>
      <c r="AB1983" s="7" t="str">
        <f>IF(ISBLANK(patch[[#This Row],[project]]), "",COUNTIFS($A:$A,patch[[#This Row],[number]],$S:$S, "SH And dev",$AD:$AD, "&lt;&gt;IntegratorValidationComment"))</f>
        <v/>
      </c>
      <c r="AC1983" s="7" t="str">
        <f>IF(OR(ISNUMBER(FIND("Review-1", patch[[#This Row],[comments]])), ISNUMBER(FIND("Approver-1", patch[[#This Row],[comments]]))), "Review-1", "")</f>
        <v/>
      </c>
      <c r="AD19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83" s="7">
        <f>IF(ISBLANK(patch[[#This Row],[number]]),AE1982,patch[[#This Row],[ifCommon]])</f>
        <v>0</v>
      </c>
    </row>
    <row r="1984" spans="1:31">
      <c r="A1984" s="151">
        <v>143571</v>
      </c>
      <c r="B1984" s="151"/>
      <c r="C1984" s="151"/>
      <c r="D1984" s="151"/>
      <c r="E1984" s="151"/>
      <c r="F1984" s="151"/>
      <c r="G1984" s="151"/>
      <c r="H1984" s="151"/>
      <c r="I1984" s="151"/>
      <c r="J1984" s="152">
        <v>42622.673750000002</v>
      </c>
      <c r="K1984" s="151"/>
      <c r="L1984" s="151" t="s">
        <v>59</v>
      </c>
      <c r="M1984" s="152">
        <v>42619.751446759263</v>
      </c>
      <c r="N1984" s="151" t="s">
        <v>3565</v>
      </c>
      <c r="O1984" s="151"/>
      <c r="P1984" s="151"/>
      <c r="Q1984" s="7" t="str">
        <f>IF(ISBLANK(patch[[#This Row],[OwnerEmail]]),Q1983,patch[[#This Row],[OwnerEmail]])</f>
        <v>zongx.li@intel.com</v>
      </c>
      <c r="R1984" s="7" t="str">
        <f>_xlfn.IFNA(VLOOKUP(patch[[#This Row],[tmp-owner.email]],OrgTree!$A:$K, 11, 0), "not ICG SWFW")</f>
        <v>BJ And dev</v>
      </c>
      <c r="S1984" s="7" t="str">
        <f>IF(patch[[#This Row],[reviewer]]=patch[[#This Row],[tmp-owner.email]], "author", _xlfn.IFNA(VLOOKUP(patch[[#This Row],[reviewer]],OrgTree!$A:$K, 11, 0), "not ICG SWFW"))</f>
        <v>BJ And dev</v>
      </c>
      <c r="T1984" s="7" t="str">
        <f>IF(ISBLANK(patch[[#This Row],[mergeDate]]), "", MID(YEAR(patch[[#This Row],[mergeDate]]), 3,2)&amp;"'ww"&amp;WEEKNUM(patch[[#This Row],[mergeDate]]))</f>
        <v>16'ww37</v>
      </c>
      <c r="U1984" s="7" t="str">
        <f>IF(ISBLANK(patch[[#This Row],[mergeDate]]), U1983, MID(YEAR(patch[[#This Row],[mergeDate]]), 3,2)&amp;"'m"&amp;MONTH(patch[[#This Row],[mergeDate]]))</f>
        <v>16'm9</v>
      </c>
      <c r="V1984" s="7" t="str">
        <f>IF(ISBLANK(patch[[#This Row],[project]]), "",SUM(patch[[#This Row],[BJ -1 num]:[SH -1 num]]))</f>
        <v/>
      </c>
      <c r="W1984" s="7" t="str">
        <f>IF(ISBLANK(patch[[#This Row],[project]]), "",COUNTIFS($A:$A,patch[[#This Row],[number]],$S:$S, "BJ And dev",$AC:$AC, "Review-1"))</f>
        <v/>
      </c>
      <c r="X1984" s="7" t="str">
        <f>IF(ISBLANK(patch[[#This Row],[project]]), "",COUNTIFS($A:$A,patch[[#This Row],[number]],$S:$S, "FL And dev",$AC:$AC, "Review-1"))</f>
        <v/>
      </c>
      <c r="Y1984" s="7" t="str">
        <f>IF(ISBLANK(patch[[#This Row],[project]]), "",COUNTIFS($A:$A,patch[[#This Row],[number]],$S:$S, "SH And dev",$AC:$AC, "Review-1"))</f>
        <v/>
      </c>
      <c r="Z1984" s="7" t="str">
        <f>IF(ISBLANK(patch[[#This Row],[project]]), "",COUNTIFS($A:$A,patch[[#This Row],[number]],$S:$S, "BJ And dev",$AD:$AD, "&lt;&gt;IntegratorValidationComment"))</f>
        <v/>
      </c>
      <c r="AA1984" s="7" t="str">
        <f>IF(ISBLANK(patch[[#This Row],[project]]), "",COUNTIFS($A:$A,patch[[#This Row],[number]],$S:$S, "FL And dev",$AD:$AD, "&lt;&gt;IntegratorValidationComment"))</f>
        <v/>
      </c>
      <c r="AB1984" s="7" t="str">
        <f>IF(ISBLANK(patch[[#This Row],[project]]), "",COUNTIFS($A:$A,patch[[#This Row],[number]],$S:$S, "SH And dev",$AD:$AD, "&lt;&gt;IntegratorValidationComment"))</f>
        <v/>
      </c>
      <c r="AC1984" s="7" t="str">
        <f>IF(OR(ISNUMBER(FIND("Review-1", patch[[#This Row],[comments]])), ISNUMBER(FIND("Approver-1", patch[[#This Row],[comments]]))), "Review-1", "")</f>
        <v/>
      </c>
      <c r="AD19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84" s="7">
        <f>IF(ISBLANK(patch[[#This Row],[number]]),AE1983,patch[[#This Row],[ifCommon]])</f>
        <v>0</v>
      </c>
    </row>
    <row r="1985" spans="1:31">
      <c r="A1985" s="151">
        <v>143571</v>
      </c>
      <c r="B1985" s="151"/>
      <c r="C1985" s="151"/>
      <c r="D1985" s="151"/>
      <c r="E1985" s="151"/>
      <c r="F1985" s="151"/>
      <c r="G1985" s="151"/>
      <c r="H1985" s="151"/>
      <c r="I1985" s="151"/>
      <c r="J1985" s="152">
        <v>42622.673750000002</v>
      </c>
      <c r="K1985" s="151"/>
      <c r="L1985" s="151" t="s">
        <v>55</v>
      </c>
      <c r="M1985" s="152">
        <v>42619.751828703702</v>
      </c>
      <c r="N1985" s="151" t="s">
        <v>40</v>
      </c>
      <c r="O1985" s="151"/>
      <c r="P1985" s="151"/>
      <c r="Q1985" s="7" t="str">
        <f>IF(ISBLANK(patch[[#This Row],[OwnerEmail]]),Q1984,patch[[#This Row],[OwnerEmail]])</f>
        <v>zongx.li@intel.com</v>
      </c>
      <c r="R1985" s="7" t="str">
        <f>_xlfn.IFNA(VLOOKUP(patch[[#This Row],[tmp-owner.email]],OrgTree!$A:$K, 11, 0), "not ICG SWFW")</f>
        <v>BJ And dev</v>
      </c>
      <c r="S1985" s="7" t="str">
        <f>IF(patch[[#This Row],[reviewer]]=patch[[#This Row],[tmp-owner.email]], "author", _xlfn.IFNA(VLOOKUP(patch[[#This Row],[reviewer]],OrgTree!$A:$K, 11, 0), "not ICG SWFW"))</f>
        <v>BJ And dev</v>
      </c>
      <c r="T1985" s="7" t="str">
        <f>IF(ISBLANK(patch[[#This Row],[mergeDate]]), "", MID(YEAR(patch[[#This Row],[mergeDate]]), 3,2)&amp;"'ww"&amp;WEEKNUM(patch[[#This Row],[mergeDate]]))</f>
        <v>16'ww37</v>
      </c>
      <c r="U1985" s="7" t="str">
        <f>IF(ISBLANK(patch[[#This Row],[mergeDate]]), U1984, MID(YEAR(patch[[#This Row],[mergeDate]]), 3,2)&amp;"'m"&amp;MONTH(patch[[#This Row],[mergeDate]]))</f>
        <v>16'm9</v>
      </c>
      <c r="V1985" s="7" t="str">
        <f>IF(ISBLANK(patch[[#This Row],[project]]), "",SUM(patch[[#This Row],[BJ -1 num]:[SH -1 num]]))</f>
        <v/>
      </c>
      <c r="W1985" s="7" t="str">
        <f>IF(ISBLANK(patch[[#This Row],[project]]), "",COUNTIFS($A:$A,patch[[#This Row],[number]],$S:$S, "BJ And dev",$AC:$AC, "Review-1"))</f>
        <v/>
      </c>
      <c r="X1985" s="7" t="str">
        <f>IF(ISBLANK(patch[[#This Row],[project]]), "",COUNTIFS($A:$A,patch[[#This Row],[number]],$S:$S, "FL And dev",$AC:$AC, "Review-1"))</f>
        <v/>
      </c>
      <c r="Y1985" s="7" t="str">
        <f>IF(ISBLANK(patch[[#This Row],[project]]), "",COUNTIFS($A:$A,patch[[#This Row],[number]],$S:$S, "SH And dev",$AC:$AC, "Review-1"))</f>
        <v/>
      </c>
      <c r="Z1985" s="7" t="str">
        <f>IF(ISBLANK(patch[[#This Row],[project]]), "",COUNTIFS($A:$A,patch[[#This Row],[number]],$S:$S, "BJ And dev",$AD:$AD, "&lt;&gt;IntegratorValidationComment"))</f>
        <v/>
      </c>
      <c r="AA1985" s="7" t="str">
        <f>IF(ISBLANK(patch[[#This Row],[project]]), "",COUNTIFS($A:$A,patch[[#This Row],[number]],$S:$S, "FL And dev",$AD:$AD, "&lt;&gt;IntegratorValidationComment"))</f>
        <v/>
      </c>
      <c r="AB1985" s="7" t="str">
        <f>IF(ISBLANK(patch[[#This Row],[project]]), "",COUNTIFS($A:$A,patch[[#This Row],[number]],$S:$S, "SH And dev",$AD:$AD, "&lt;&gt;IntegratorValidationComment"))</f>
        <v/>
      </c>
      <c r="AC1985" s="7" t="str">
        <f>IF(OR(ISNUMBER(FIND("Review-1", patch[[#This Row],[comments]])), ISNUMBER(FIND("Approver-1", patch[[#This Row],[comments]]))), "Review-1", "")</f>
        <v/>
      </c>
      <c r="AD19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85" s="7">
        <f>IF(ISBLANK(patch[[#This Row],[number]]),AE1984,patch[[#This Row],[ifCommon]])</f>
        <v>0</v>
      </c>
    </row>
    <row r="1986" spans="1:31">
      <c r="A1986" s="151">
        <v>143571</v>
      </c>
      <c r="B1986" s="151"/>
      <c r="C1986" s="151"/>
      <c r="D1986" s="151"/>
      <c r="E1986" s="151"/>
      <c r="F1986" s="151"/>
      <c r="G1986" s="151"/>
      <c r="H1986" s="151"/>
      <c r="I1986" s="151"/>
      <c r="J1986" s="152">
        <v>42622.673750000002</v>
      </c>
      <c r="K1986" s="151"/>
      <c r="L1986" s="151" t="s">
        <v>63</v>
      </c>
      <c r="M1986" s="152">
        <v>42619.75576388889</v>
      </c>
      <c r="N1986" s="151" t="s">
        <v>2429</v>
      </c>
      <c r="O1986" s="151"/>
      <c r="P1986" s="151"/>
      <c r="Q1986" s="7" t="str">
        <f>IF(ISBLANK(patch[[#This Row],[OwnerEmail]]),Q1985,patch[[#This Row],[OwnerEmail]])</f>
        <v>zongx.li@intel.com</v>
      </c>
      <c r="R1986" s="7" t="str">
        <f>_xlfn.IFNA(VLOOKUP(patch[[#This Row],[tmp-owner.email]],OrgTree!$A:$K, 11, 0), "not ICG SWFW")</f>
        <v>BJ And dev</v>
      </c>
      <c r="S1986" s="7" t="str">
        <f>IF(patch[[#This Row],[reviewer]]=patch[[#This Row],[tmp-owner.email]], "author", _xlfn.IFNA(VLOOKUP(patch[[#This Row],[reviewer]],OrgTree!$A:$K, 11, 0), "not ICG SWFW"))</f>
        <v>author</v>
      </c>
      <c r="T1986" s="7" t="str">
        <f>IF(ISBLANK(patch[[#This Row],[mergeDate]]), "", MID(YEAR(patch[[#This Row],[mergeDate]]), 3,2)&amp;"'ww"&amp;WEEKNUM(patch[[#This Row],[mergeDate]]))</f>
        <v>16'ww37</v>
      </c>
      <c r="U1986" s="7" t="str">
        <f>IF(ISBLANK(patch[[#This Row],[mergeDate]]), U1985, MID(YEAR(patch[[#This Row],[mergeDate]]), 3,2)&amp;"'m"&amp;MONTH(patch[[#This Row],[mergeDate]]))</f>
        <v>16'm9</v>
      </c>
      <c r="V1986" s="7" t="str">
        <f>IF(ISBLANK(patch[[#This Row],[project]]), "",SUM(patch[[#This Row],[BJ -1 num]:[SH -1 num]]))</f>
        <v/>
      </c>
      <c r="W1986" s="7" t="str">
        <f>IF(ISBLANK(patch[[#This Row],[project]]), "",COUNTIFS($A:$A,patch[[#This Row],[number]],$S:$S, "BJ And dev",$AC:$AC, "Review-1"))</f>
        <v/>
      </c>
      <c r="X1986" s="7" t="str">
        <f>IF(ISBLANK(patch[[#This Row],[project]]), "",COUNTIFS($A:$A,patch[[#This Row],[number]],$S:$S, "FL And dev",$AC:$AC, "Review-1"))</f>
        <v/>
      </c>
      <c r="Y1986" s="7" t="str">
        <f>IF(ISBLANK(patch[[#This Row],[project]]), "",COUNTIFS($A:$A,patch[[#This Row],[number]],$S:$S, "SH And dev",$AC:$AC, "Review-1"))</f>
        <v/>
      </c>
      <c r="Z1986" s="7" t="str">
        <f>IF(ISBLANK(patch[[#This Row],[project]]), "",COUNTIFS($A:$A,patch[[#This Row],[number]],$S:$S, "BJ And dev",$AD:$AD, "&lt;&gt;IntegratorValidationComment"))</f>
        <v/>
      </c>
      <c r="AA1986" s="7" t="str">
        <f>IF(ISBLANK(patch[[#This Row],[project]]), "",COUNTIFS($A:$A,patch[[#This Row],[number]],$S:$S, "FL And dev",$AD:$AD, "&lt;&gt;IntegratorValidationComment"))</f>
        <v/>
      </c>
      <c r="AB1986" s="7" t="str">
        <f>IF(ISBLANK(patch[[#This Row],[project]]), "",COUNTIFS($A:$A,patch[[#This Row],[number]],$S:$S, "SH And dev",$AD:$AD, "&lt;&gt;IntegratorValidationComment"))</f>
        <v/>
      </c>
      <c r="AC1986" s="7" t="str">
        <f>IF(OR(ISNUMBER(FIND("Review-1", patch[[#This Row],[comments]])), ISNUMBER(FIND("Approver-1", patch[[#This Row],[comments]]))), "Review-1", "")</f>
        <v/>
      </c>
      <c r="AD19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86" s="7">
        <f>IF(ISBLANK(patch[[#This Row],[number]]),AE1985,patch[[#This Row],[ifCommon]])</f>
        <v>0</v>
      </c>
    </row>
    <row r="1987" spans="1:31">
      <c r="A1987" s="151">
        <v>143571</v>
      </c>
      <c r="B1987" s="151"/>
      <c r="C1987" s="151"/>
      <c r="D1987" s="151"/>
      <c r="E1987" s="151"/>
      <c r="F1987" s="151"/>
      <c r="G1987" s="151"/>
      <c r="H1987" s="151"/>
      <c r="I1987" s="151"/>
      <c r="J1987" s="152">
        <v>42622.673750000002</v>
      </c>
      <c r="K1987" s="151"/>
      <c r="L1987" s="151" t="s">
        <v>63</v>
      </c>
      <c r="M1987" s="152">
        <v>42619.75576388889</v>
      </c>
      <c r="N1987" s="151" t="s">
        <v>2460</v>
      </c>
      <c r="O1987" s="151"/>
      <c r="P1987" s="151"/>
      <c r="Q1987" s="7" t="str">
        <f>IF(ISBLANK(patch[[#This Row],[OwnerEmail]]),Q1986,patch[[#This Row],[OwnerEmail]])</f>
        <v>zongx.li@intel.com</v>
      </c>
      <c r="R1987" s="7" t="str">
        <f>_xlfn.IFNA(VLOOKUP(patch[[#This Row],[tmp-owner.email]],OrgTree!$A:$K, 11, 0), "not ICG SWFW")</f>
        <v>BJ And dev</v>
      </c>
      <c r="S1987" s="7" t="str">
        <f>IF(patch[[#This Row],[reviewer]]=patch[[#This Row],[tmp-owner.email]], "author", _xlfn.IFNA(VLOOKUP(patch[[#This Row],[reviewer]],OrgTree!$A:$K, 11, 0), "not ICG SWFW"))</f>
        <v>author</v>
      </c>
      <c r="T1987" s="7" t="str">
        <f>IF(ISBLANK(patch[[#This Row],[mergeDate]]), "", MID(YEAR(patch[[#This Row],[mergeDate]]), 3,2)&amp;"'ww"&amp;WEEKNUM(patch[[#This Row],[mergeDate]]))</f>
        <v>16'ww37</v>
      </c>
      <c r="U1987" s="7" t="str">
        <f>IF(ISBLANK(patch[[#This Row],[mergeDate]]), U1986, MID(YEAR(patch[[#This Row],[mergeDate]]), 3,2)&amp;"'m"&amp;MONTH(patch[[#This Row],[mergeDate]]))</f>
        <v>16'm9</v>
      </c>
      <c r="V1987" s="7" t="str">
        <f>IF(ISBLANK(patch[[#This Row],[project]]), "",SUM(patch[[#This Row],[BJ -1 num]:[SH -1 num]]))</f>
        <v/>
      </c>
      <c r="W1987" s="7" t="str">
        <f>IF(ISBLANK(patch[[#This Row],[project]]), "",COUNTIFS($A:$A,patch[[#This Row],[number]],$S:$S, "BJ And dev",$AC:$AC, "Review-1"))</f>
        <v/>
      </c>
      <c r="X1987" s="7" t="str">
        <f>IF(ISBLANK(patch[[#This Row],[project]]), "",COUNTIFS($A:$A,patch[[#This Row],[number]],$S:$S, "FL And dev",$AC:$AC, "Review-1"))</f>
        <v/>
      </c>
      <c r="Y1987" s="7" t="str">
        <f>IF(ISBLANK(patch[[#This Row],[project]]), "",COUNTIFS($A:$A,patch[[#This Row],[number]],$S:$S, "SH And dev",$AC:$AC, "Review-1"))</f>
        <v/>
      </c>
      <c r="Z1987" s="7" t="str">
        <f>IF(ISBLANK(patch[[#This Row],[project]]), "",COUNTIFS($A:$A,patch[[#This Row],[number]],$S:$S, "BJ And dev",$AD:$AD, "&lt;&gt;IntegratorValidationComment"))</f>
        <v/>
      </c>
      <c r="AA1987" s="7" t="str">
        <f>IF(ISBLANK(patch[[#This Row],[project]]), "",COUNTIFS($A:$A,patch[[#This Row],[number]],$S:$S, "FL And dev",$AD:$AD, "&lt;&gt;IntegratorValidationComment"))</f>
        <v/>
      </c>
      <c r="AB1987" s="7" t="str">
        <f>IF(ISBLANK(patch[[#This Row],[project]]), "",COUNTIFS($A:$A,patch[[#This Row],[number]],$S:$S, "SH And dev",$AD:$AD, "&lt;&gt;IntegratorValidationComment"))</f>
        <v/>
      </c>
      <c r="AC1987" s="7" t="str">
        <f>IF(OR(ISNUMBER(FIND("Review-1", patch[[#This Row],[comments]])), ISNUMBER(FIND("Approver-1", patch[[#This Row],[comments]]))), "Review-1", "")</f>
        <v/>
      </c>
      <c r="AD19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87" s="7">
        <f>IF(ISBLANK(patch[[#This Row],[number]]),AE1986,patch[[#This Row],[ifCommon]])</f>
        <v>0</v>
      </c>
    </row>
    <row r="1988" spans="1:31">
      <c r="A1988" s="151">
        <v>143571</v>
      </c>
      <c r="B1988" s="151"/>
      <c r="C1988" s="151"/>
      <c r="D1988" s="151"/>
      <c r="E1988" s="151"/>
      <c r="F1988" s="151"/>
      <c r="G1988" s="151"/>
      <c r="H1988" s="151"/>
      <c r="I1988" s="151"/>
      <c r="J1988" s="152">
        <v>42622.673750000002</v>
      </c>
      <c r="K1988" s="151"/>
      <c r="L1988" s="151" t="s">
        <v>59</v>
      </c>
      <c r="M1988" s="152">
        <v>42619.758715277778</v>
      </c>
      <c r="N1988" s="151" t="s">
        <v>3566</v>
      </c>
      <c r="O1988" s="151"/>
      <c r="P1988" s="151"/>
      <c r="Q1988" s="7" t="str">
        <f>IF(ISBLANK(patch[[#This Row],[OwnerEmail]]),Q1987,patch[[#This Row],[OwnerEmail]])</f>
        <v>zongx.li@intel.com</v>
      </c>
      <c r="R1988" s="7" t="str">
        <f>_xlfn.IFNA(VLOOKUP(patch[[#This Row],[tmp-owner.email]],OrgTree!$A:$K, 11, 0), "not ICG SWFW")</f>
        <v>BJ And dev</v>
      </c>
      <c r="S1988" s="7" t="str">
        <f>IF(patch[[#This Row],[reviewer]]=patch[[#This Row],[tmp-owner.email]], "author", _xlfn.IFNA(VLOOKUP(patch[[#This Row],[reviewer]],OrgTree!$A:$K, 11, 0), "not ICG SWFW"))</f>
        <v>BJ And dev</v>
      </c>
      <c r="T1988" s="7" t="str">
        <f>IF(ISBLANK(patch[[#This Row],[mergeDate]]), "", MID(YEAR(patch[[#This Row],[mergeDate]]), 3,2)&amp;"'ww"&amp;WEEKNUM(patch[[#This Row],[mergeDate]]))</f>
        <v>16'ww37</v>
      </c>
      <c r="U1988" s="7" t="str">
        <f>IF(ISBLANK(patch[[#This Row],[mergeDate]]), U1987, MID(YEAR(patch[[#This Row],[mergeDate]]), 3,2)&amp;"'m"&amp;MONTH(patch[[#This Row],[mergeDate]]))</f>
        <v>16'm9</v>
      </c>
      <c r="V1988" s="7" t="str">
        <f>IF(ISBLANK(patch[[#This Row],[project]]), "",SUM(patch[[#This Row],[BJ -1 num]:[SH -1 num]]))</f>
        <v/>
      </c>
      <c r="W1988" s="7" t="str">
        <f>IF(ISBLANK(patch[[#This Row],[project]]), "",COUNTIFS($A:$A,patch[[#This Row],[number]],$S:$S, "BJ And dev",$AC:$AC, "Review-1"))</f>
        <v/>
      </c>
      <c r="X1988" s="7" t="str">
        <f>IF(ISBLANK(patch[[#This Row],[project]]), "",COUNTIFS($A:$A,patch[[#This Row],[number]],$S:$S, "FL And dev",$AC:$AC, "Review-1"))</f>
        <v/>
      </c>
      <c r="Y1988" s="7" t="str">
        <f>IF(ISBLANK(patch[[#This Row],[project]]), "",COUNTIFS($A:$A,patch[[#This Row],[number]],$S:$S, "SH And dev",$AC:$AC, "Review-1"))</f>
        <v/>
      </c>
      <c r="Z1988" s="7" t="str">
        <f>IF(ISBLANK(patch[[#This Row],[project]]), "",COUNTIFS($A:$A,patch[[#This Row],[number]],$S:$S, "BJ And dev",$AD:$AD, "&lt;&gt;IntegratorValidationComment"))</f>
        <v/>
      </c>
      <c r="AA1988" s="7" t="str">
        <f>IF(ISBLANK(patch[[#This Row],[project]]), "",COUNTIFS($A:$A,patch[[#This Row],[number]],$S:$S, "FL And dev",$AD:$AD, "&lt;&gt;IntegratorValidationComment"))</f>
        <v/>
      </c>
      <c r="AB1988" s="7" t="str">
        <f>IF(ISBLANK(patch[[#This Row],[project]]), "",COUNTIFS($A:$A,patch[[#This Row],[number]],$S:$S, "SH And dev",$AD:$AD, "&lt;&gt;IntegratorValidationComment"))</f>
        <v/>
      </c>
      <c r="AC1988" s="7" t="str">
        <f>IF(OR(ISNUMBER(FIND("Review-1", patch[[#This Row],[comments]])), ISNUMBER(FIND("Approver-1", patch[[#This Row],[comments]]))), "Review-1", "")</f>
        <v/>
      </c>
      <c r="AD19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88" s="7">
        <f>IF(ISBLANK(patch[[#This Row],[number]]),AE1987,patch[[#This Row],[ifCommon]])</f>
        <v>0</v>
      </c>
    </row>
    <row r="1989" spans="1:31">
      <c r="A1989" s="151">
        <v>143571</v>
      </c>
      <c r="B1989" s="151"/>
      <c r="C1989" s="151"/>
      <c r="D1989" s="151"/>
      <c r="E1989" s="151"/>
      <c r="F1989" s="151"/>
      <c r="G1989" s="151"/>
      <c r="H1989" s="151"/>
      <c r="I1989" s="151"/>
      <c r="J1989" s="152">
        <v>42622.673750000002</v>
      </c>
      <c r="K1989" s="151"/>
      <c r="L1989" s="151" t="s">
        <v>59</v>
      </c>
      <c r="M1989" s="152">
        <v>42619.760613425933</v>
      </c>
      <c r="N1989" s="151" t="s">
        <v>3567</v>
      </c>
      <c r="O1989" s="151"/>
      <c r="P1989" s="151"/>
      <c r="Q1989" s="7" t="str">
        <f>IF(ISBLANK(patch[[#This Row],[OwnerEmail]]),Q1988,patch[[#This Row],[OwnerEmail]])</f>
        <v>zongx.li@intel.com</v>
      </c>
      <c r="R1989" s="7" t="str">
        <f>_xlfn.IFNA(VLOOKUP(patch[[#This Row],[tmp-owner.email]],OrgTree!$A:$K, 11, 0), "not ICG SWFW")</f>
        <v>BJ And dev</v>
      </c>
      <c r="S1989" s="7" t="str">
        <f>IF(patch[[#This Row],[reviewer]]=patch[[#This Row],[tmp-owner.email]], "author", _xlfn.IFNA(VLOOKUP(patch[[#This Row],[reviewer]],OrgTree!$A:$K, 11, 0), "not ICG SWFW"))</f>
        <v>BJ And dev</v>
      </c>
      <c r="T1989" s="7" t="str">
        <f>IF(ISBLANK(patch[[#This Row],[mergeDate]]), "", MID(YEAR(patch[[#This Row],[mergeDate]]), 3,2)&amp;"'ww"&amp;WEEKNUM(patch[[#This Row],[mergeDate]]))</f>
        <v>16'ww37</v>
      </c>
      <c r="U1989" s="7" t="str">
        <f>IF(ISBLANK(patch[[#This Row],[mergeDate]]), U1988, MID(YEAR(patch[[#This Row],[mergeDate]]), 3,2)&amp;"'m"&amp;MONTH(patch[[#This Row],[mergeDate]]))</f>
        <v>16'm9</v>
      </c>
      <c r="V1989" s="7" t="str">
        <f>IF(ISBLANK(patch[[#This Row],[project]]), "",SUM(patch[[#This Row],[BJ -1 num]:[SH -1 num]]))</f>
        <v/>
      </c>
      <c r="W1989" s="7" t="str">
        <f>IF(ISBLANK(patch[[#This Row],[project]]), "",COUNTIFS($A:$A,patch[[#This Row],[number]],$S:$S, "BJ And dev",$AC:$AC, "Review-1"))</f>
        <v/>
      </c>
      <c r="X1989" s="7" t="str">
        <f>IF(ISBLANK(patch[[#This Row],[project]]), "",COUNTIFS($A:$A,patch[[#This Row],[number]],$S:$S, "FL And dev",$AC:$AC, "Review-1"))</f>
        <v/>
      </c>
      <c r="Y1989" s="7" t="str">
        <f>IF(ISBLANK(patch[[#This Row],[project]]), "",COUNTIFS($A:$A,patch[[#This Row],[number]],$S:$S, "SH And dev",$AC:$AC, "Review-1"))</f>
        <v/>
      </c>
      <c r="Z1989" s="7" t="str">
        <f>IF(ISBLANK(patch[[#This Row],[project]]), "",COUNTIFS($A:$A,patch[[#This Row],[number]],$S:$S, "BJ And dev",$AD:$AD, "&lt;&gt;IntegratorValidationComment"))</f>
        <v/>
      </c>
      <c r="AA1989" s="7" t="str">
        <f>IF(ISBLANK(patch[[#This Row],[project]]), "",COUNTIFS($A:$A,patch[[#This Row],[number]],$S:$S, "FL And dev",$AD:$AD, "&lt;&gt;IntegratorValidationComment"))</f>
        <v/>
      </c>
      <c r="AB1989" s="7" t="str">
        <f>IF(ISBLANK(patch[[#This Row],[project]]), "",COUNTIFS($A:$A,patch[[#This Row],[number]],$S:$S, "SH And dev",$AD:$AD, "&lt;&gt;IntegratorValidationComment"))</f>
        <v/>
      </c>
      <c r="AC1989" s="7" t="str">
        <f>IF(OR(ISNUMBER(FIND("Review-1", patch[[#This Row],[comments]])), ISNUMBER(FIND("Approver-1", patch[[#This Row],[comments]]))), "Review-1", "")</f>
        <v/>
      </c>
      <c r="AD19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89" s="7">
        <f>IF(ISBLANK(patch[[#This Row],[number]]),AE1988,patch[[#This Row],[ifCommon]])</f>
        <v>0</v>
      </c>
    </row>
    <row r="1990" spans="1:31">
      <c r="A1990" s="151">
        <v>143571</v>
      </c>
      <c r="B1990" s="151"/>
      <c r="C1990" s="151"/>
      <c r="D1990" s="151"/>
      <c r="E1990" s="151"/>
      <c r="F1990" s="151"/>
      <c r="G1990" s="151"/>
      <c r="H1990" s="151"/>
      <c r="I1990" s="151"/>
      <c r="J1990" s="152">
        <v>42622.673750000002</v>
      </c>
      <c r="K1990" s="151"/>
      <c r="L1990" s="151" t="s">
        <v>32</v>
      </c>
      <c r="M1990" s="152">
        <v>42621.451967592591</v>
      </c>
      <c r="N1990" s="151" t="s">
        <v>1873</v>
      </c>
      <c r="O1990" s="151"/>
      <c r="P1990" s="151"/>
      <c r="Q1990" s="7" t="str">
        <f>IF(ISBLANK(patch[[#This Row],[OwnerEmail]]),Q1989,patch[[#This Row],[OwnerEmail]])</f>
        <v>zongx.li@intel.com</v>
      </c>
      <c r="R1990" s="7" t="str">
        <f>_xlfn.IFNA(VLOOKUP(patch[[#This Row],[tmp-owner.email]],OrgTree!$A:$K, 11, 0), "not ICG SWFW")</f>
        <v>BJ And dev</v>
      </c>
      <c r="S1990" s="7" t="str">
        <f>IF(patch[[#This Row],[reviewer]]=patch[[#This Row],[tmp-owner.email]], "author", _xlfn.IFNA(VLOOKUP(patch[[#This Row],[reviewer]],OrgTree!$A:$K, 11, 0), "not ICG SWFW"))</f>
        <v>BJ And dev</v>
      </c>
      <c r="T1990" s="7" t="str">
        <f>IF(ISBLANK(patch[[#This Row],[mergeDate]]), "", MID(YEAR(patch[[#This Row],[mergeDate]]), 3,2)&amp;"'ww"&amp;WEEKNUM(patch[[#This Row],[mergeDate]]))</f>
        <v>16'ww37</v>
      </c>
      <c r="U1990" s="7" t="str">
        <f>IF(ISBLANK(patch[[#This Row],[mergeDate]]), U1989, MID(YEAR(patch[[#This Row],[mergeDate]]), 3,2)&amp;"'m"&amp;MONTH(patch[[#This Row],[mergeDate]]))</f>
        <v>16'm9</v>
      </c>
      <c r="V1990" s="7" t="str">
        <f>IF(ISBLANK(patch[[#This Row],[project]]), "",SUM(patch[[#This Row],[BJ -1 num]:[SH -1 num]]))</f>
        <v/>
      </c>
      <c r="W1990" s="7" t="str">
        <f>IF(ISBLANK(patch[[#This Row],[project]]), "",COUNTIFS($A:$A,patch[[#This Row],[number]],$S:$S, "BJ And dev",$AC:$AC, "Review-1"))</f>
        <v/>
      </c>
      <c r="X1990" s="7" t="str">
        <f>IF(ISBLANK(patch[[#This Row],[project]]), "",COUNTIFS($A:$A,patch[[#This Row],[number]],$S:$S, "FL And dev",$AC:$AC, "Review-1"))</f>
        <v/>
      </c>
      <c r="Y1990" s="7" t="str">
        <f>IF(ISBLANK(patch[[#This Row],[project]]), "",COUNTIFS($A:$A,patch[[#This Row],[number]],$S:$S, "SH And dev",$AC:$AC, "Review-1"))</f>
        <v/>
      </c>
      <c r="Z1990" s="7" t="str">
        <f>IF(ISBLANK(patch[[#This Row],[project]]), "",COUNTIFS($A:$A,patch[[#This Row],[number]],$S:$S, "BJ And dev",$AD:$AD, "&lt;&gt;IntegratorValidationComment"))</f>
        <v/>
      </c>
      <c r="AA1990" s="7" t="str">
        <f>IF(ISBLANK(patch[[#This Row],[project]]), "",COUNTIFS($A:$A,patch[[#This Row],[number]],$S:$S, "FL And dev",$AD:$AD, "&lt;&gt;IntegratorValidationComment"))</f>
        <v/>
      </c>
      <c r="AB1990" s="7" t="str">
        <f>IF(ISBLANK(patch[[#This Row],[project]]), "",COUNTIFS($A:$A,patch[[#This Row],[number]],$S:$S, "SH And dev",$AD:$AD, "&lt;&gt;IntegratorValidationComment"))</f>
        <v/>
      </c>
      <c r="AC1990" s="7" t="str">
        <f>IF(OR(ISNUMBER(FIND("Review-1", patch[[#This Row],[comments]])), ISNUMBER(FIND("Approver-1", patch[[#This Row],[comments]]))), "Review-1", "")</f>
        <v/>
      </c>
      <c r="AD19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90" s="7">
        <f>IF(ISBLANK(patch[[#This Row],[number]]),AE1989,patch[[#This Row],[ifCommon]])</f>
        <v>0</v>
      </c>
    </row>
    <row r="1991" spans="1:31">
      <c r="A1991" s="151">
        <v>143571</v>
      </c>
      <c r="B1991" s="151"/>
      <c r="C1991" s="151"/>
      <c r="D1991" s="151"/>
      <c r="E1991" s="151"/>
      <c r="F1991" s="151"/>
      <c r="G1991" s="151"/>
      <c r="H1991" s="151"/>
      <c r="I1991" s="151"/>
      <c r="J1991" s="152">
        <v>42622.673750000002</v>
      </c>
      <c r="K1991" s="151"/>
      <c r="L1991" s="151" t="s">
        <v>115</v>
      </c>
      <c r="M1991" s="152">
        <v>42622.417245370372</v>
      </c>
      <c r="N1991" s="151" t="s">
        <v>2495</v>
      </c>
      <c r="O1991" s="151"/>
      <c r="P1991" s="151"/>
      <c r="Q1991" s="7" t="str">
        <f>IF(ISBLANK(patch[[#This Row],[OwnerEmail]]),Q1990,patch[[#This Row],[OwnerEmail]])</f>
        <v>zongx.li@intel.com</v>
      </c>
      <c r="R1991" s="7" t="str">
        <f>_xlfn.IFNA(VLOOKUP(patch[[#This Row],[tmp-owner.email]],OrgTree!$A:$K, 11, 0), "not ICG SWFW")</f>
        <v>BJ And dev</v>
      </c>
      <c r="S1991" s="7" t="str">
        <f>IF(patch[[#This Row],[reviewer]]=patch[[#This Row],[tmp-owner.email]], "author", _xlfn.IFNA(VLOOKUP(patch[[#This Row],[reviewer]],OrgTree!$A:$K, 11, 0), "not ICG SWFW"))</f>
        <v>Val</v>
      </c>
      <c r="T1991" s="7" t="str">
        <f>IF(ISBLANK(patch[[#This Row],[mergeDate]]), "", MID(YEAR(patch[[#This Row],[mergeDate]]), 3,2)&amp;"'ww"&amp;WEEKNUM(patch[[#This Row],[mergeDate]]))</f>
        <v>16'ww37</v>
      </c>
      <c r="U1991" s="7" t="str">
        <f>IF(ISBLANK(patch[[#This Row],[mergeDate]]), U1990, MID(YEAR(patch[[#This Row],[mergeDate]]), 3,2)&amp;"'m"&amp;MONTH(patch[[#This Row],[mergeDate]]))</f>
        <v>16'm9</v>
      </c>
      <c r="V1991" s="7" t="str">
        <f>IF(ISBLANK(patch[[#This Row],[project]]), "",SUM(patch[[#This Row],[BJ -1 num]:[SH -1 num]]))</f>
        <v/>
      </c>
      <c r="W1991" s="7" t="str">
        <f>IF(ISBLANK(patch[[#This Row],[project]]), "",COUNTIFS($A:$A,patch[[#This Row],[number]],$S:$S, "BJ And dev",$AC:$AC, "Review-1"))</f>
        <v/>
      </c>
      <c r="X1991" s="7" t="str">
        <f>IF(ISBLANK(patch[[#This Row],[project]]), "",COUNTIFS($A:$A,patch[[#This Row],[number]],$S:$S, "FL And dev",$AC:$AC, "Review-1"))</f>
        <v/>
      </c>
      <c r="Y1991" s="7" t="str">
        <f>IF(ISBLANK(patch[[#This Row],[project]]), "",COUNTIFS($A:$A,patch[[#This Row],[number]],$S:$S, "SH And dev",$AC:$AC, "Review-1"))</f>
        <v/>
      </c>
      <c r="Z1991" s="7" t="str">
        <f>IF(ISBLANK(patch[[#This Row],[project]]), "",COUNTIFS($A:$A,patch[[#This Row],[number]],$S:$S, "BJ And dev",$AD:$AD, "&lt;&gt;IntegratorValidationComment"))</f>
        <v/>
      </c>
      <c r="AA1991" s="7" t="str">
        <f>IF(ISBLANK(patch[[#This Row],[project]]), "",COUNTIFS($A:$A,patch[[#This Row],[number]],$S:$S, "FL And dev",$AD:$AD, "&lt;&gt;IntegratorValidationComment"))</f>
        <v/>
      </c>
      <c r="AB1991" s="7" t="str">
        <f>IF(ISBLANK(patch[[#This Row],[project]]), "",COUNTIFS($A:$A,patch[[#This Row],[number]],$S:$S, "SH And dev",$AD:$AD, "&lt;&gt;IntegratorValidationComment"))</f>
        <v/>
      </c>
      <c r="AC1991" s="7" t="str">
        <f>IF(OR(ISNUMBER(FIND("Review-1", patch[[#This Row],[comments]])), ISNUMBER(FIND("Approver-1", patch[[#This Row],[comments]]))), "Review-1", "")</f>
        <v/>
      </c>
      <c r="AD19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1991" s="7">
        <f>IF(ISBLANK(patch[[#This Row],[number]]),AE1990,patch[[#This Row],[ifCommon]])</f>
        <v>0</v>
      </c>
    </row>
    <row r="1992" spans="1:31">
      <c r="A1992" s="151">
        <v>144102</v>
      </c>
      <c r="B1992" s="151" t="s">
        <v>2490</v>
      </c>
      <c r="C1992" s="151" t="s">
        <v>2491</v>
      </c>
      <c r="D1992" s="151" t="s">
        <v>3568</v>
      </c>
      <c r="E1992" s="151" t="s">
        <v>24</v>
      </c>
      <c r="F1992" s="151" t="s">
        <v>23</v>
      </c>
      <c r="G1992" s="151" t="s">
        <v>3569</v>
      </c>
      <c r="H1992" s="151" t="s">
        <v>3570</v>
      </c>
      <c r="I1992" s="152">
        <v>42621.761956018519</v>
      </c>
      <c r="J1992" s="152">
        <v>42622.673715277779</v>
      </c>
      <c r="K1992" s="151" t="s">
        <v>2445</v>
      </c>
      <c r="L1992" s="151" t="s">
        <v>24</v>
      </c>
      <c r="M1992" s="152">
        <v>42621.761956018519</v>
      </c>
      <c r="N1992" s="151" t="s">
        <v>2428</v>
      </c>
      <c r="O1992" s="151"/>
      <c r="P1992" s="151" t="s">
        <v>3571</v>
      </c>
      <c r="Q1992" s="7" t="str">
        <f>IF(ISBLANK(patch[[#This Row],[OwnerEmail]]),Q1991,patch[[#This Row],[OwnerEmail]])</f>
        <v>qingwu.zhang@intel.com</v>
      </c>
      <c r="R1992" s="7" t="str">
        <f>_xlfn.IFNA(VLOOKUP(patch[[#This Row],[tmp-owner.email]],OrgTree!$A:$K, 11, 0), "not ICG SWFW")</f>
        <v>BJ And dev</v>
      </c>
      <c r="S1992" s="7" t="str">
        <f>IF(patch[[#This Row],[reviewer]]=patch[[#This Row],[tmp-owner.email]], "author", _xlfn.IFNA(VLOOKUP(patch[[#This Row],[reviewer]],OrgTree!$A:$K, 11, 0), "not ICG SWFW"))</f>
        <v>author</v>
      </c>
      <c r="T1992" s="7" t="str">
        <f>IF(ISBLANK(patch[[#This Row],[mergeDate]]), "", MID(YEAR(patch[[#This Row],[mergeDate]]), 3,2)&amp;"'ww"&amp;WEEKNUM(patch[[#This Row],[mergeDate]]))</f>
        <v>16'ww37</v>
      </c>
      <c r="U1992" s="7" t="str">
        <f>IF(ISBLANK(patch[[#This Row],[mergeDate]]), U1991, MID(YEAR(patch[[#This Row],[mergeDate]]), 3,2)&amp;"'m"&amp;MONTH(patch[[#This Row],[mergeDate]]))</f>
        <v>16'm9</v>
      </c>
      <c r="V1992" s="7">
        <f>IF(ISBLANK(patch[[#This Row],[project]]), "",SUM(patch[[#This Row],[BJ -1 num]:[SH -1 num]]))</f>
        <v>0</v>
      </c>
      <c r="W1992" s="7">
        <f>IF(ISBLANK(patch[[#This Row],[project]]), "",COUNTIFS($A:$A,patch[[#This Row],[number]],$S:$S, "BJ And dev",$AC:$AC, "Review-1"))</f>
        <v>0</v>
      </c>
      <c r="X1992" s="7">
        <f>IF(ISBLANK(patch[[#This Row],[project]]), "",COUNTIFS($A:$A,patch[[#This Row],[number]],$S:$S, "FL And dev",$AC:$AC, "Review-1"))</f>
        <v>0</v>
      </c>
      <c r="Y1992" s="7">
        <f>IF(ISBLANK(patch[[#This Row],[project]]), "",COUNTIFS($A:$A,patch[[#This Row],[number]],$S:$S, "SH And dev",$AC:$AC, "Review-1"))</f>
        <v>0</v>
      </c>
      <c r="Z1992" s="7">
        <f>IF(ISBLANK(patch[[#This Row],[project]]), "",COUNTIFS($A:$A,patch[[#This Row],[number]],$S:$S, "BJ And dev",$AD:$AD, "&lt;&gt;IntegratorValidationComment"))</f>
        <v>5</v>
      </c>
      <c r="AA1992" s="7">
        <f>IF(ISBLANK(patch[[#This Row],[project]]), "",COUNTIFS($A:$A,patch[[#This Row],[number]],$S:$S, "FL And dev",$AD:$AD, "&lt;&gt;IntegratorValidationComment"))</f>
        <v>0</v>
      </c>
      <c r="AB1992" s="7">
        <f>IF(ISBLANK(patch[[#This Row],[project]]), "",COUNTIFS($A:$A,patch[[#This Row],[number]],$S:$S, "SH And dev",$AD:$AD, "&lt;&gt;IntegratorValidationComment"))</f>
        <v>0</v>
      </c>
      <c r="AC1992" s="7" t="str">
        <f>IF(OR(ISNUMBER(FIND("Review-1", patch[[#This Row],[comments]])), ISNUMBER(FIND("Approver-1", patch[[#This Row],[comments]]))), "Review-1", "")</f>
        <v/>
      </c>
      <c r="AD19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92" s="7" t="str">
        <f>IF(ISBLANK(patch[[#This Row],[number]]),AE1991,patch[[#This Row],[ifCommon]])</f>
        <v>not AndrHAL</v>
      </c>
    </row>
    <row r="1993" spans="1:31">
      <c r="A1993" s="151">
        <v>144102</v>
      </c>
      <c r="B1993" s="151"/>
      <c r="C1993" s="151"/>
      <c r="D1993" s="151"/>
      <c r="E1993" s="151"/>
      <c r="F1993" s="151"/>
      <c r="G1993" s="151"/>
      <c r="H1993" s="151"/>
      <c r="I1993" s="151"/>
      <c r="J1993" s="152">
        <v>42622.673715277779</v>
      </c>
      <c r="K1993" s="151"/>
      <c r="L1993" s="151" t="s">
        <v>24</v>
      </c>
      <c r="M1993" s="152">
        <v>42621.761956018519</v>
      </c>
      <c r="N1993" s="151" t="s">
        <v>25</v>
      </c>
      <c r="O1993" s="151"/>
      <c r="P1993" s="151"/>
      <c r="Q1993" s="7" t="str">
        <f>IF(ISBLANK(patch[[#This Row],[OwnerEmail]]),Q1992,patch[[#This Row],[OwnerEmail]])</f>
        <v>qingwu.zhang@intel.com</v>
      </c>
      <c r="R1993" s="7" t="str">
        <f>_xlfn.IFNA(VLOOKUP(patch[[#This Row],[tmp-owner.email]],OrgTree!$A:$K, 11, 0), "not ICG SWFW")</f>
        <v>BJ And dev</v>
      </c>
      <c r="S1993" s="7" t="str">
        <f>IF(patch[[#This Row],[reviewer]]=patch[[#This Row],[tmp-owner.email]], "author", _xlfn.IFNA(VLOOKUP(patch[[#This Row],[reviewer]],OrgTree!$A:$K, 11, 0), "not ICG SWFW"))</f>
        <v>author</v>
      </c>
      <c r="T1993" s="7" t="str">
        <f>IF(ISBLANK(patch[[#This Row],[mergeDate]]), "", MID(YEAR(patch[[#This Row],[mergeDate]]), 3,2)&amp;"'ww"&amp;WEEKNUM(patch[[#This Row],[mergeDate]]))</f>
        <v>16'ww37</v>
      </c>
      <c r="U1993" s="7" t="str">
        <f>IF(ISBLANK(patch[[#This Row],[mergeDate]]), U1992, MID(YEAR(patch[[#This Row],[mergeDate]]), 3,2)&amp;"'m"&amp;MONTH(patch[[#This Row],[mergeDate]]))</f>
        <v>16'm9</v>
      </c>
      <c r="V1993" s="7" t="str">
        <f>IF(ISBLANK(patch[[#This Row],[project]]), "",SUM(patch[[#This Row],[BJ -1 num]:[SH -1 num]]))</f>
        <v/>
      </c>
      <c r="W1993" s="7" t="str">
        <f>IF(ISBLANK(patch[[#This Row],[project]]), "",COUNTIFS($A:$A,patch[[#This Row],[number]],$S:$S, "BJ And dev",$AC:$AC, "Review-1"))</f>
        <v/>
      </c>
      <c r="X1993" s="7" t="str">
        <f>IF(ISBLANK(patch[[#This Row],[project]]), "",COUNTIFS($A:$A,patch[[#This Row],[number]],$S:$S, "FL And dev",$AC:$AC, "Review-1"))</f>
        <v/>
      </c>
      <c r="Y1993" s="7" t="str">
        <f>IF(ISBLANK(patch[[#This Row],[project]]), "",COUNTIFS($A:$A,patch[[#This Row],[number]],$S:$S, "SH And dev",$AC:$AC, "Review-1"))</f>
        <v/>
      </c>
      <c r="Z1993" s="7" t="str">
        <f>IF(ISBLANK(patch[[#This Row],[project]]), "",COUNTIFS($A:$A,patch[[#This Row],[number]],$S:$S, "BJ And dev",$AD:$AD, "&lt;&gt;IntegratorValidationComment"))</f>
        <v/>
      </c>
      <c r="AA1993" s="7" t="str">
        <f>IF(ISBLANK(patch[[#This Row],[project]]), "",COUNTIFS($A:$A,patch[[#This Row],[number]],$S:$S, "FL And dev",$AD:$AD, "&lt;&gt;IntegratorValidationComment"))</f>
        <v/>
      </c>
      <c r="AB1993" s="7" t="str">
        <f>IF(ISBLANK(patch[[#This Row],[project]]), "",COUNTIFS($A:$A,patch[[#This Row],[number]],$S:$S, "SH And dev",$AD:$AD, "&lt;&gt;IntegratorValidationComment"))</f>
        <v/>
      </c>
      <c r="AC1993" s="7" t="str">
        <f>IF(OR(ISNUMBER(FIND("Review-1", patch[[#This Row],[comments]])), ISNUMBER(FIND("Approver-1", patch[[#This Row],[comments]]))), "Review-1", "")</f>
        <v/>
      </c>
      <c r="AD19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93" s="7">
        <f>IF(ISBLANK(patch[[#This Row],[number]]),AE1992,patch[[#This Row],[ifCommon]])</f>
        <v>0</v>
      </c>
    </row>
    <row r="1994" spans="1:31">
      <c r="A1994" s="151">
        <v>144102</v>
      </c>
      <c r="B1994" s="151"/>
      <c r="C1994" s="151"/>
      <c r="D1994" s="151"/>
      <c r="E1994" s="151"/>
      <c r="F1994" s="151"/>
      <c r="G1994" s="151"/>
      <c r="H1994" s="151"/>
      <c r="I1994" s="151"/>
      <c r="J1994" s="152">
        <v>42622.673715277779</v>
      </c>
      <c r="K1994" s="151"/>
      <c r="L1994" s="151" t="s">
        <v>24</v>
      </c>
      <c r="M1994" s="152">
        <v>42621.762662037043</v>
      </c>
      <c r="N1994" s="151" t="s">
        <v>40</v>
      </c>
      <c r="O1994" s="151"/>
      <c r="P1994" s="151"/>
      <c r="Q1994" s="7" t="str">
        <f>IF(ISBLANK(patch[[#This Row],[OwnerEmail]]),Q1993,patch[[#This Row],[OwnerEmail]])</f>
        <v>qingwu.zhang@intel.com</v>
      </c>
      <c r="R1994" s="7" t="str">
        <f>_xlfn.IFNA(VLOOKUP(patch[[#This Row],[tmp-owner.email]],OrgTree!$A:$K, 11, 0), "not ICG SWFW")</f>
        <v>BJ And dev</v>
      </c>
      <c r="S1994" s="7" t="str">
        <f>IF(patch[[#This Row],[reviewer]]=patch[[#This Row],[tmp-owner.email]], "author", _xlfn.IFNA(VLOOKUP(patch[[#This Row],[reviewer]],OrgTree!$A:$K, 11, 0), "not ICG SWFW"))</f>
        <v>author</v>
      </c>
      <c r="T1994" s="7" t="str">
        <f>IF(ISBLANK(patch[[#This Row],[mergeDate]]), "", MID(YEAR(patch[[#This Row],[mergeDate]]), 3,2)&amp;"'ww"&amp;WEEKNUM(patch[[#This Row],[mergeDate]]))</f>
        <v>16'ww37</v>
      </c>
      <c r="U1994" s="7" t="str">
        <f>IF(ISBLANK(patch[[#This Row],[mergeDate]]), U1993, MID(YEAR(patch[[#This Row],[mergeDate]]), 3,2)&amp;"'m"&amp;MONTH(patch[[#This Row],[mergeDate]]))</f>
        <v>16'm9</v>
      </c>
      <c r="V1994" s="7" t="str">
        <f>IF(ISBLANK(patch[[#This Row],[project]]), "",SUM(patch[[#This Row],[BJ -1 num]:[SH -1 num]]))</f>
        <v/>
      </c>
      <c r="W1994" s="7" t="str">
        <f>IF(ISBLANK(patch[[#This Row],[project]]), "",COUNTIFS($A:$A,patch[[#This Row],[number]],$S:$S, "BJ And dev",$AC:$AC, "Review-1"))</f>
        <v/>
      </c>
      <c r="X1994" s="7" t="str">
        <f>IF(ISBLANK(patch[[#This Row],[project]]), "",COUNTIFS($A:$A,patch[[#This Row],[number]],$S:$S, "FL And dev",$AC:$AC, "Review-1"))</f>
        <v/>
      </c>
      <c r="Y1994" s="7" t="str">
        <f>IF(ISBLANK(patch[[#This Row],[project]]), "",COUNTIFS($A:$A,patch[[#This Row],[number]],$S:$S, "SH And dev",$AC:$AC, "Review-1"))</f>
        <v/>
      </c>
      <c r="Z1994" s="7" t="str">
        <f>IF(ISBLANK(patch[[#This Row],[project]]), "",COUNTIFS($A:$A,patch[[#This Row],[number]],$S:$S, "BJ And dev",$AD:$AD, "&lt;&gt;IntegratorValidationComment"))</f>
        <v/>
      </c>
      <c r="AA1994" s="7" t="str">
        <f>IF(ISBLANK(patch[[#This Row],[project]]), "",COUNTIFS($A:$A,patch[[#This Row],[number]],$S:$S, "FL And dev",$AD:$AD, "&lt;&gt;IntegratorValidationComment"))</f>
        <v/>
      </c>
      <c r="AB1994" s="7" t="str">
        <f>IF(ISBLANK(patch[[#This Row],[project]]), "",COUNTIFS($A:$A,patch[[#This Row],[number]],$S:$S, "SH And dev",$AD:$AD, "&lt;&gt;IntegratorValidationComment"))</f>
        <v/>
      </c>
      <c r="AC1994" s="7" t="str">
        <f>IF(OR(ISNUMBER(FIND("Review-1", patch[[#This Row],[comments]])), ISNUMBER(FIND("Approver-1", patch[[#This Row],[comments]]))), "Review-1", "")</f>
        <v/>
      </c>
      <c r="AD19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94" s="7">
        <f>IF(ISBLANK(patch[[#This Row],[number]]),AE1993,patch[[#This Row],[ifCommon]])</f>
        <v>0</v>
      </c>
    </row>
    <row r="1995" spans="1:31">
      <c r="A1995" s="151">
        <v>144102</v>
      </c>
      <c r="B1995" s="151"/>
      <c r="C1995" s="151"/>
      <c r="D1995" s="151"/>
      <c r="E1995" s="151"/>
      <c r="F1995" s="151"/>
      <c r="G1995" s="151"/>
      <c r="H1995" s="151"/>
      <c r="I1995" s="151"/>
      <c r="J1995" s="152">
        <v>42622.673715277779</v>
      </c>
      <c r="K1995" s="151"/>
      <c r="L1995" s="151" t="s">
        <v>59</v>
      </c>
      <c r="M1995" s="152">
        <v>42621.7653125</v>
      </c>
      <c r="N1995" s="151" t="s">
        <v>3572</v>
      </c>
      <c r="O1995" s="151"/>
      <c r="P1995" s="151"/>
      <c r="Q1995" s="7" t="str">
        <f>IF(ISBLANK(patch[[#This Row],[OwnerEmail]]),Q1994,patch[[#This Row],[OwnerEmail]])</f>
        <v>qingwu.zhang@intel.com</v>
      </c>
      <c r="R1995" s="7" t="str">
        <f>_xlfn.IFNA(VLOOKUP(patch[[#This Row],[tmp-owner.email]],OrgTree!$A:$K, 11, 0), "not ICG SWFW")</f>
        <v>BJ And dev</v>
      </c>
      <c r="S1995" s="7" t="str">
        <f>IF(patch[[#This Row],[reviewer]]=patch[[#This Row],[tmp-owner.email]], "author", _xlfn.IFNA(VLOOKUP(patch[[#This Row],[reviewer]],OrgTree!$A:$K, 11, 0), "not ICG SWFW"))</f>
        <v>BJ And dev</v>
      </c>
      <c r="T1995" s="7" t="str">
        <f>IF(ISBLANK(patch[[#This Row],[mergeDate]]), "", MID(YEAR(patch[[#This Row],[mergeDate]]), 3,2)&amp;"'ww"&amp;WEEKNUM(patch[[#This Row],[mergeDate]]))</f>
        <v>16'ww37</v>
      </c>
      <c r="U1995" s="7" t="str">
        <f>IF(ISBLANK(patch[[#This Row],[mergeDate]]), U1994, MID(YEAR(patch[[#This Row],[mergeDate]]), 3,2)&amp;"'m"&amp;MONTH(patch[[#This Row],[mergeDate]]))</f>
        <v>16'm9</v>
      </c>
      <c r="V1995" s="7" t="str">
        <f>IF(ISBLANK(patch[[#This Row],[project]]), "",SUM(patch[[#This Row],[BJ -1 num]:[SH -1 num]]))</f>
        <v/>
      </c>
      <c r="W1995" s="7" t="str">
        <f>IF(ISBLANK(patch[[#This Row],[project]]), "",COUNTIFS($A:$A,patch[[#This Row],[number]],$S:$S, "BJ And dev",$AC:$AC, "Review-1"))</f>
        <v/>
      </c>
      <c r="X1995" s="7" t="str">
        <f>IF(ISBLANK(patch[[#This Row],[project]]), "",COUNTIFS($A:$A,patch[[#This Row],[number]],$S:$S, "FL And dev",$AC:$AC, "Review-1"))</f>
        <v/>
      </c>
      <c r="Y1995" s="7" t="str">
        <f>IF(ISBLANK(patch[[#This Row],[project]]), "",COUNTIFS($A:$A,patch[[#This Row],[number]],$S:$S, "SH And dev",$AC:$AC, "Review-1"))</f>
        <v/>
      </c>
      <c r="Z1995" s="7" t="str">
        <f>IF(ISBLANK(patch[[#This Row],[project]]), "",COUNTIFS($A:$A,patch[[#This Row],[number]],$S:$S, "BJ And dev",$AD:$AD, "&lt;&gt;IntegratorValidationComment"))</f>
        <v/>
      </c>
      <c r="AA1995" s="7" t="str">
        <f>IF(ISBLANK(patch[[#This Row],[project]]), "",COUNTIFS($A:$A,patch[[#This Row],[number]],$S:$S, "FL And dev",$AD:$AD, "&lt;&gt;IntegratorValidationComment"))</f>
        <v/>
      </c>
      <c r="AB1995" s="7" t="str">
        <f>IF(ISBLANK(patch[[#This Row],[project]]), "",COUNTIFS($A:$A,patch[[#This Row],[number]],$S:$S, "SH And dev",$AD:$AD, "&lt;&gt;IntegratorValidationComment"))</f>
        <v/>
      </c>
      <c r="AC1995" s="7" t="str">
        <f>IF(OR(ISNUMBER(FIND("Review-1", patch[[#This Row],[comments]])), ISNUMBER(FIND("Approver-1", patch[[#This Row],[comments]]))), "Review-1", "")</f>
        <v/>
      </c>
      <c r="AD19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95" s="7">
        <f>IF(ISBLANK(patch[[#This Row],[number]]),AE1994,patch[[#This Row],[ifCommon]])</f>
        <v>0</v>
      </c>
    </row>
    <row r="1996" spans="1:31">
      <c r="A1996" s="151">
        <v>144102</v>
      </c>
      <c r="B1996" s="151"/>
      <c r="C1996" s="151"/>
      <c r="D1996" s="151"/>
      <c r="E1996" s="151"/>
      <c r="F1996" s="151"/>
      <c r="G1996" s="151"/>
      <c r="H1996" s="151"/>
      <c r="I1996" s="151"/>
      <c r="J1996" s="152">
        <v>42622.673715277779</v>
      </c>
      <c r="K1996" s="151"/>
      <c r="L1996" s="151" t="s">
        <v>59</v>
      </c>
      <c r="M1996" s="152">
        <v>42621.773541666669</v>
      </c>
      <c r="N1996" s="151" t="s">
        <v>40</v>
      </c>
      <c r="O1996" s="151"/>
      <c r="P1996" s="151"/>
      <c r="Q1996" s="7" t="str">
        <f>IF(ISBLANK(patch[[#This Row],[OwnerEmail]]),Q1995,patch[[#This Row],[OwnerEmail]])</f>
        <v>qingwu.zhang@intel.com</v>
      </c>
      <c r="R1996" s="7" t="str">
        <f>_xlfn.IFNA(VLOOKUP(patch[[#This Row],[tmp-owner.email]],OrgTree!$A:$K, 11, 0), "not ICG SWFW")</f>
        <v>BJ And dev</v>
      </c>
      <c r="S1996" s="7" t="str">
        <f>IF(patch[[#This Row],[reviewer]]=patch[[#This Row],[tmp-owner.email]], "author", _xlfn.IFNA(VLOOKUP(patch[[#This Row],[reviewer]],OrgTree!$A:$K, 11, 0), "not ICG SWFW"))</f>
        <v>BJ And dev</v>
      </c>
      <c r="T1996" s="7" t="str">
        <f>IF(ISBLANK(patch[[#This Row],[mergeDate]]), "", MID(YEAR(patch[[#This Row],[mergeDate]]), 3,2)&amp;"'ww"&amp;WEEKNUM(patch[[#This Row],[mergeDate]]))</f>
        <v>16'ww37</v>
      </c>
      <c r="U1996" s="7" t="str">
        <f>IF(ISBLANK(patch[[#This Row],[mergeDate]]), U1995, MID(YEAR(patch[[#This Row],[mergeDate]]), 3,2)&amp;"'m"&amp;MONTH(patch[[#This Row],[mergeDate]]))</f>
        <v>16'm9</v>
      </c>
      <c r="V1996" s="7" t="str">
        <f>IF(ISBLANK(patch[[#This Row],[project]]), "",SUM(patch[[#This Row],[BJ -1 num]:[SH -1 num]]))</f>
        <v/>
      </c>
      <c r="W1996" s="7" t="str">
        <f>IF(ISBLANK(patch[[#This Row],[project]]), "",COUNTIFS($A:$A,patch[[#This Row],[number]],$S:$S, "BJ And dev",$AC:$AC, "Review-1"))</f>
        <v/>
      </c>
      <c r="X1996" s="7" t="str">
        <f>IF(ISBLANK(patch[[#This Row],[project]]), "",COUNTIFS($A:$A,patch[[#This Row],[number]],$S:$S, "FL And dev",$AC:$AC, "Review-1"))</f>
        <v/>
      </c>
      <c r="Y1996" s="7" t="str">
        <f>IF(ISBLANK(patch[[#This Row],[project]]), "",COUNTIFS($A:$A,patch[[#This Row],[number]],$S:$S, "SH And dev",$AC:$AC, "Review-1"))</f>
        <v/>
      </c>
      <c r="Z1996" s="7" t="str">
        <f>IF(ISBLANK(patch[[#This Row],[project]]), "",COUNTIFS($A:$A,patch[[#This Row],[number]],$S:$S, "BJ And dev",$AD:$AD, "&lt;&gt;IntegratorValidationComment"))</f>
        <v/>
      </c>
      <c r="AA1996" s="7" t="str">
        <f>IF(ISBLANK(patch[[#This Row],[project]]), "",COUNTIFS($A:$A,patch[[#This Row],[number]],$S:$S, "FL And dev",$AD:$AD, "&lt;&gt;IntegratorValidationComment"))</f>
        <v/>
      </c>
      <c r="AB1996" s="7" t="str">
        <f>IF(ISBLANK(patch[[#This Row],[project]]), "",COUNTIFS($A:$A,patch[[#This Row],[number]],$S:$S, "SH And dev",$AD:$AD, "&lt;&gt;IntegratorValidationComment"))</f>
        <v/>
      </c>
      <c r="AC1996" s="7" t="str">
        <f>IF(OR(ISNUMBER(FIND("Review-1", patch[[#This Row],[comments]])), ISNUMBER(FIND("Approver-1", patch[[#This Row],[comments]]))), "Review-1", "")</f>
        <v/>
      </c>
      <c r="AD19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96" s="7">
        <f>IF(ISBLANK(patch[[#This Row],[number]]),AE1995,patch[[#This Row],[ifCommon]])</f>
        <v>0</v>
      </c>
    </row>
    <row r="1997" spans="1:31">
      <c r="A1997" s="151">
        <v>144102</v>
      </c>
      <c r="B1997" s="151"/>
      <c r="C1997" s="151"/>
      <c r="D1997" s="151"/>
      <c r="E1997" s="151"/>
      <c r="F1997" s="151"/>
      <c r="G1997" s="151"/>
      <c r="H1997" s="151"/>
      <c r="I1997" s="151"/>
      <c r="J1997" s="152">
        <v>42622.673715277779</v>
      </c>
      <c r="K1997" s="151"/>
      <c r="L1997" s="151" t="s">
        <v>68</v>
      </c>
      <c r="M1997" s="152">
        <v>42621.782164351847</v>
      </c>
      <c r="N1997" s="151" t="s">
        <v>2447</v>
      </c>
      <c r="O1997" s="151" t="s">
        <v>3573</v>
      </c>
      <c r="P1997" s="151"/>
      <c r="Q1997" s="7" t="str">
        <f>IF(ISBLANK(patch[[#This Row],[OwnerEmail]]),Q1996,patch[[#This Row],[OwnerEmail]])</f>
        <v>qingwu.zhang@intel.com</v>
      </c>
      <c r="R1997" s="7" t="str">
        <f>_xlfn.IFNA(VLOOKUP(patch[[#This Row],[tmp-owner.email]],OrgTree!$A:$K, 11, 0), "not ICG SWFW")</f>
        <v>BJ And dev</v>
      </c>
      <c r="S1997" s="7" t="str">
        <f>IF(patch[[#This Row],[reviewer]]=patch[[#This Row],[tmp-owner.email]], "author", _xlfn.IFNA(VLOOKUP(patch[[#This Row],[reviewer]],OrgTree!$A:$K, 11, 0), "not ICG SWFW"))</f>
        <v>BJ And dev</v>
      </c>
      <c r="T1997" s="7" t="str">
        <f>IF(ISBLANK(patch[[#This Row],[mergeDate]]), "", MID(YEAR(patch[[#This Row],[mergeDate]]), 3,2)&amp;"'ww"&amp;WEEKNUM(patch[[#This Row],[mergeDate]]))</f>
        <v>16'ww37</v>
      </c>
      <c r="U1997" s="7" t="str">
        <f>IF(ISBLANK(patch[[#This Row],[mergeDate]]), U1996, MID(YEAR(patch[[#This Row],[mergeDate]]), 3,2)&amp;"'m"&amp;MONTH(patch[[#This Row],[mergeDate]]))</f>
        <v>16'm9</v>
      </c>
      <c r="V1997" s="7" t="str">
        <f>IF(ISBLANK(patch[[#This Row],[project]]), "",SUM(patch[[#This Row],[BJ -1 num]:[SH -1 num]]))</f>
        <v/>
      </c>
      <c r="W1997" s="7" t="str">
        <f>IF(ISBLANK(patch[[#This Row],[project]]), "",COUNTIFS($A:$A,patch[[#This Row],[number]],$S:$S, "BJ And dev",$AC:$AC, "Review-1"))</f>
        <v/>
      </c>
      <c r="X1997" s="7" t="str">
        <f>IF(ISBLANK(patch[[#This Row],[project]]), "",COUNTIFS($A:$A,patch[[#This Row],[number]],$S:$S, "FL And dev",$AC:$AC, "Review-1"))</f>
        <v/>
      </c>
      <c r="Y1997" s="7" t="str">
        <f>IF(ISBLANK(patch[[#This Row],[project]]), "",COUNTIFS($A:$A,patch[[#This Row],[number]],$S:$S, "SH And dev",$AC:$AC, "Review-1"))</f>
        <v/>
      </c>
      <c r="Z1997" s="7" t="str">
        <f>IF(ISBLANK(patch[[#This Row],[project]]), "",COUNTIFS($A:$A,patch[[#This Row],[number]],$S:$S, "BJ And dev",$AD:$AD, "&lt;&gt;IntegratorValidationComment"))</f>
        <v/>
      </c>
      <c r="AA1997" s="7" t="str">
        <f>IF(ISBLANK(patch[[#This Row],[project]]), "",COUNTIFS($A:$A,patch[[#This Row],[number]],$S:$S, "FL And dev",$AD:$AD, "&lt;&gt;IntegratorValidationComment"))</f>
        <v/>
      </c>
      <c r="AB1997" s="7" t="str">
        <f>IF(ISBLANK(patch[[#This Row],[project]]), "",COUNTIFS($A:$A,patch[[#This Row],[number]],$S:$S, "SH And dev",$AD:$AD, "&lt;&gt;IntegratorValidationComment"))</f>
        <v/>
      </c>
      <c r="AC1997" s="7" t="str">
        <f>IF(OR(ISNUMBER(FIND("Review-1", patch[[#This Row],[comments]])), ISNUMBER(FIND("Approver-1", patch[[#This Row],[comments]]))), "Review-1", "")</f>
        <v/>
      </c>
      <c r="AD19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97" s="7">
        <f>IF(ISBLANK(patch[[#This Row],[number]]),AE1996,patch[[#This Row],[ifCommon]])</f>
        <v>0</v>
      </c>
    </row>
    <row r="1998" spans="1:31">
      <c r="A1998" s="151">
        <v>144102</v>
      </c>
      <c r="B1998" s="151"/>
      <c r="C1998" s="151"/>
      <c r="D1998" s="151"/>
      <c r="E1998" s="151"/>
      <c r="F1998" s="151"/>
      <c r="G1998" s="151"/>
      <c r="H1998" s="151"/>
      <c r="I1998" s="151"/>
      <c r="J1998" s="152">
        <v>42622.673715277779</v>
      </c>
      <c r="K1998" s="151"/>
      <c r="L1998" s="151" t="s">
        <v>68</v>
      </c>
      <c r="M1998" s="152">
        <v>42621.782673611109</v>
      </c>
      <c r="N1998" s="151" t="s">
        <v>58</v>
      </c>
      <c r="O1998" s="151"/>
      <c r="P1998" s="151"/>
      <c r="Q1998" s="7" t="str">
        <f>IF(ISBLANK(patch[[#This Row],[OwnerEmail]]),Q1997,patch[[#This Row],[OwnerEmail]])</f>
        <v>qingwu.zhang@intel.com</v>
      </c>
      <c r="R1998" s="7" t="str">
        <f>_xlfn.IFNA(VLOOKUP(patch[[#This Row],[tmp-owner.email]],OrgTree!$A:$K, 11, 0), "not ICG SWFW")</f>
        <v>BJ And dev</v>
      </c>
      <c r="S1998" s="7" t="str">
        <f>IF(patch[[#This Row],[reviewer]]=patch[[#This Row],[tmp-owner.email]], "author", _xlfn.IFNA(VLOOKUP(patch[[#This Row],[reviewer]],OrgTree!$A:$K, 11, 0), "not ICG SWFW"))</f>
        <v>BJ And dev</v>
      </c>
      <c r="T1998" s="7" t="str">
        <f>IF(ISBLANK(patch[[#This Row],[mergeDate]]), "", MID(YEAR(patch[[#This Row],[mergeDate]]), 3,2)&amp;"'ww"&amp;WEEKNUM(patch[[#This Row],[mergeDate]]))</f>
        <v>16'ww37</v>
      </c>
      <c r="U1998" s="7" t="str">
        <f>IF(ISBLANK(patch[[#This Row],[mergeDate]]), U1997, MID(YEAR(patch[[#This Row],[mergeDate]]), 3,2)&amp;"'m"&amp;MONTH(patch[[#This Row],[mergeDate]]))</f>
        <v>16'm9</v>
      </c>
      <c r="V1998" s="7" t="str">
        <f>IF(ISBLANK(patch[[#This Row],[project]]), "",SUM(patch[[#This Row],[BJ -1 num]:[SH -1 num]]))</f>
        <v/>
      </c>
      <c r="W1998" s="7" t="str">
        <f>IF(ISBLANK(patch[[#This Row],[project]]), "",COUNTIFS($A:$A,patch[[#This Row],[number]],$S:$S, "BJ And dev",$AC:$AC, "Review-1"))</f>
        <v/>
      </c>
      <c r="X1998" s="7" t="str">
        <f>IF(ISBLANK(patch[[#This Row],[project]]), "",COUNTIFS($A:$A,patch[[#This Row],[number]],$S:$S, "FL And dev",$AC:$AC, "Review-1"))</f>
        <v/>
      </c>
      <c r="Y1998" s="7" t="str">
        <f>IF(ISBLANK(patch[[#This Row],[project]]), "",COUNTIFS($A:$A,patch[[#This Row],[number]],$S:$S, "SH And dev",$AC:$AC, "Review-1"))</f>
        <v/>
      </c>
      <c r="Z1998" s="7" t="str">
        <f>IF(ISBLANK(patch[[#This Row],[project]]), "",COUNTIFS($A:$A,patch[[#This Row],[number]],$S:$S, "BJ And dev",$AD:$AD, "&lt;&gt;IntegratorValidationComment"))</f>
        <v/>
      </c>
      <c r="AA1998" s="7" t="str">
        <f>IF(ISBLANK(patch[[#This Row],[project]]), "",COUNTIFS($A:$A,patch[[#This Row],[number]],$S:$S, "FL And dev",$AD:$AD, "&lt;&gt;IntegratorValidationComment"))</f>
        <v/>
      </c>
      <c r="AB1998" s="7" t="str">
        <f>IF(ISBLANK(patch[[#This Row],[project]]), "",COUNTIFS($A:$A,patch[[#This Row],[number]],$S:$S, "SH And dev",$AD:$AD, "&lt;&gt;IntegratorValidationComment"))</f>
        <v/>
      </c>
      <c r="AC1998" s="7" t="str">
        <f>IF(OR(ISNUMBER(FIND("Review-1", patch[[#This Row],[comments]])), ISNUMBER(FIND("Approver-1", patch[[#This Row],[comments]]))), "Review-1", "")</f>
        <v/>
      </c>
      <c r="AD19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98" s="7">
        <f>IF(ISBLANK(patch[[#This Row],[number]]),AE1997,patch[[#This Row],[ifCommon]])</f>
        <v>0</v>
      </c>
    </row>
    <row r="1999" spans="1:31">
      <c r="A1999" s="151">
        <v>144102</v>
      </c>
      <c r="B1999" s="151"/>
      <c r="C1999" s="151"/>
      <c r="D1999" s="151"/>
      <c r="E1999" s="151"/>
      <c r="F1999" s="151"/>
      <c r="G1999" s="151"/>
      <c r="H1999" s="151"/>
      <c r="I1999" s="151"/>
      <c r="J1999" s="152">
        <v>42622.673715277779</v>
      </c>
      <c r="K1999" s="151"/>
      <c r="L1999" s="151" t="s">
        <v>32</v>
      </c>
      <c r="M1999" s="152">
        <v>42621.867048611108</v>
      </c>
      <c r="N1999" s="151" t="s">
        <v>2447</v>
      </c>
      <c r="O1999" s="151" t="s">
        <v>3574</v>
      </c>
      <c r="P1999" s="151"/>
      <c r="Q1999" s="7" t="str">
        <f>IF(ISBLANK(patch[[#This Row],[OwnerEmail]]),Q1998,patch[[#This Row],[OwnerEmail]])</f>
        <v>qingwu.zhang@intel.com</v>
      </c>
      <c r="R1999" s="7" t="str">
        <f>_xlfn.IFNA(VLOOKUP(patch[[#This Row],[tmp-owner.email]],OrgTree!$A:$K, 11, 0), "not ICG SWFW")</f>
        <v>BJ And dev</v>
      </c>
      <c r="S1999" s="7" t="str">
        <f>IF(patch[[#This Row],[reviewer]]=patch[[#This Row],[tmp-owner.email]], "author", _xlfn.IFNA(VLOOKUP(patch[[#This Row],[reviewer]],OrgTree!$A:$K, 11, 0), "not ICG SWFW"))</f>
        <v>BJ And dev</v>
      </c>
      <c r="T1999" s="7" t="str">
        <f>IF(ISBLANK(patch[[#This Row],[mergeDate]]), "", MID(YEAR(patch[[#This Row],[mergeDate]]), 3,2)&amp;"'ww"&amp;WEEKNUM(patch[[#This Row],[mergeDate]]))</f>
        <v>16'ww37</v>
      </c>
      <c r="U1999" s="7" t="str">
        <f>IF(ISBLANK(patch[[#This Row],[mergeDate]]), U1998, MID(YEAR(patch[[#This Row],[mergeDate]]), 3,2)&amp;"'m"&amp;MONTH(patch[[#This Row],[mergeDate]]))</f>
        <v>16'm9</v>
      </c>
      <c r="V1999" s="7" t="str">
        <f>IF(ISBLANK(patch[[#This Row],[project]]), "",SUM(patch[[#This Row],[BJ -1 num]:[SH -1 num]]))</f>
        <v/>
      </c>
      <c r="W1999" s="7" t="str">
        <f>IF(ISBLANK(patch[[#This Row],[project]]), "",COUNTIFS($A:$A,patch[[#This Row],[number]],$S:$S, "BJ And dev",$AC:$AC, "Review-1"))</f>
        <v/>
      </c>
      <c r="X1999" s="7" t="str">
        <f>IF(ISBLANK(patch[[#This Row],[project]]), "",COUNTIFS($A:$A,patch[[#This Row],[number]],$S:$S, "FL And dev",$AC:$AC, "Review-1"))</f>
        <v/>
      </c>
      <c r="Y1999" s="7" t="str">
        <f>IF(ISBLANK(patch[[#This Row],[project]]), "",COUNTIFS($A:$A,patch[[#This Row],[number]],$S:$S, "SH And dev",$AC:$AC, "Review-1"))</f>
        <v/>
      </c>
      <c r="Z1999" s="7" t="str">
        <f>IF(ISBLANK(patch[[#This Row],[project]]), "",COUNTIFS($A:$A,patch[[#This Row],[number]],$S:$S, "BJ And dev",$AD:$AD, "&lt;&gt;IntegratorValidationComment"))</f>
        <v/>
      </c>
      <c r="AA1999" s="7" t="str">
        <f>IF(ISBLANK(patch[[#This Row],[project]]), "",COUNTIFS($A:$A,patch[[#This Row],[number]],$S:$S, "FL And dev",$AD:$AD, "&lt;&gt;IntegratorValidationComment"))</f>
        <v/>
      </c>
      <c r="AB1999" s="7" t="str">
        <f>IF(ISBLANK(patch[[#This Row],[project]]), "",COUNTIFS($A:$A,patch[[#This Row],[number]],$S:$S, "SH And dev",$AD:$AD, "&lt;&gt;IntegratorValidationComment"))</f>
        <v/>
      </c>
      <c r="AC1999" s="7" t="str">
        <f>IF(OR(ISNUMBER(FIND("Review-1", patch[[#This Row],[comments]])), ISNUMBER(FIND("Approver-1", patch[[#This Row],[comments]]))), "Review-1", "")</f>
        <v/>
      </c>
      <c r="AD19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1999" s="7">
        <f>IF(ISBLANK(patch[[#This Row],[number]]),AE1998,patch[[#This Row],[ifCommon]])</f>
        <v>0</v>
      </c>
    </row>
    <row r="2000" spans="1:31">
      <c r="A2000" s="151">
        <v>144102</v>
      </c>
      <c r="B2000" s="151"/>
      <c r="C2000" s="151"/>
      <c r="D2000" s="151"/>
      <c r="E2000" s="151"/>
      <c r="F2000" s="151"/>
      <c r="G2000" s="151"/>
      <c r="H2000" s="151"/>
      <c r="I2000" s="152"/>
      <c r="J2000" s="152">
        <v>42622.673715277779</v>
      </c>
      <c r="K2000" s="151"/>
      <c r="L2000" s="151" t="s">
        <v>115</v>
      </c>
      <c r="M2000" s="152">
        <v>42622.417175925933</v>
      </c>
      <c r="N2000" s="151" t="s">
        <v>2494</v>
      </c>
      <c r="O2000" s="151"/>
      <c r="P2000" s="151"/>
      <c r="Q2000" s="7" t="str">
        <f>IF(ISBLANK(patch[[#This Row],[OwnerEmail]]),Q1999,patch[[#This Row],[OwnerEmail]])</f>
        <v>qingwu.zhang@intel.com</v>
      </c>
      <c r="R2000" s="7" t="str">
        <f>_xlfn.IFNA(VLOOKUP(patch[[#This Row],[tmp-owner.email]],OrgTree!$A:$K, 11, 0), "not ICG SWFW")</f>
        <v>BJ And dev</v>
      </c>
      <c r="S2000" s="7" t="str">
        <f>IF(patch[[#This Row],[reviewer]]=patch[[#This Row],[tmp-owner.email]], "author", _xlfn.IFNA(VLOOKUP(patch[[#This Row],[reviewer]],OrgTree!$A:$K, 11, 0), "not ICG SWFW"))</f>
        <v>Val</v>
      </c>
      <c r="T2000" s="7" t="str">
        <f>IF(ISBLANK(patch[[#This Row],[mergeDate]]), "", MID(YEAR(patch[[#This Row],[mergeDate]]), 3,2)&amp;"'ww"&amp;WEEKNUM(patch[[#This Row],[mergeDate]]))</f>
        <v>16'ww37</v>
      </c>
      <c r="U2000" s="7" t="str">
        <f>IF(ISBLANK(patch[[#This Row],[mergeDate]]), U1999, MID(YEAR(patch[[#This Row],[mergeDate]]), 3,2)&amp;"'m"&amp;MONTH(patch[[#This Row],[mergeDate]]))</f>
        <v>16'm9</v>
      </c>
      <c r="V2000" s="7" t="str">
        <f>IF(ISBLANK(patch[[#This Row],[project]]), "",SUM(patch[[#This Row],[BJ -1 num]:[SH -1 num]]))</f>
        <v/>
      </c>
      <c r="W2000" s="7" t="str">
        <f>IF(ISBLANK(patch[[#This Row],[project]]), "",COUNTIFS($A:$A,patch[[#This Row],[number]],$S:$S, "BJ And dev",$AC:$AC, "Review-1"))</f>
        <v/>
      </c>
      <c r="X2000" s="7" t="str">
        <f>IF(ISBLANK(patch[[#This Row],[project]]), "",COUNTIFS($A:$A,patch[[#This Row],[number]],$S:$S, "FL And dev",$AC:$AC, "Review-1"))</f>
        <v/>
      </c>
      <c r="Y2000" s="7" t="str">
        <f>IF(ISBLANK(patch[[#This Row],[project]]), "",COUNTIFS($A:$A,patch[[#This Row],[number]],$S:$S, "SH And dev",$AC:$AC, "Review-1"))</f>
        <v/>
      </c>
      <c r="Z2000" s="7" t="str">
        <f>IF(ISBLANK(patch[[#This Row],[project]]), "",COUNTIFS($A:$A,patch[[#This Row],[number]],$S:$S, "BJ And dev",$AD:$AD, "&lt;&gt;IntegratorValidationComment"))</f>
        <v/>
      </c>
      <c r="AA2000" s="7" t="str">
        <f>IF(ISBLANK(patch[[#This Row],[project]]), "",COUNTIFS($A:$A,patch[[#This Row],[number]],$S:$S, "FL And dev",$AD:$AD, "&lt;&gt;IntegratorValidationComment"))</f>
        <v/>
      </c>
      <c r="AB2000" s="7" t="str">
        <f>IF(ISBLANK(patch[[#This Row],[project]]), "",COUNTIFS($A:$A,patch[[#This Row],[number]],$S:$S, "SH And dev",$AD:$AD, "&lt;&gt;IntegratorValidationComment"))</f>
        <v/>
      </c>
      <c r="AC2000" s="7" t="str">
        <f>IF(OR(ISNUMBER(FIND("Review-1", patch[[#This Row],[comments]])), ISNUMBER(FIND("Approver-1", patch[[#This Row],[comments]]))), "Review-1", "")</f>
        <v/>
      </c>
      <c r="AD20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000" s="7">
        <f>IF(ISBLANK(patch[[#This Row],[number]]),AE1999,patch[[#This Row],[ifCommon]])</f>
        <v>0</v>
      </c>
    </row>
    <row r="2001" spans="1:31">
      <c r="A2001" s="151">
        <v>143804</v>
      </c>
      <c r="B2001" s="151" t="s">
        <v>2493</v>
      </c>
      <c r="C2001" s="151" t="s">
        <v>2491</v>
      </c>
      <c r="D2001" s="151" t="s">
        <v>3575</v>
      </c>
      <c r="E2001" s="151" t="s">
        <v>1203</v>
      </c>
      <c r="F2001" s="151" t="s">
        <v>23</v>
      </c>
      <c r="G2001" s="151" t="s">
        <v>3576</v>
      </c>
      <c r="H2001" s="151" t="s">
        <v>3577</v>
      </c>
      <c r="I2001" s="152">
        <v>42620.598333333342</v>
      </c>
      <c r="J2001" s="152">
        <v>42621.695092592592</v>
      </c>
      <c r="K2001" s="151" t="s">
        <v>2445</v>
      </c>
      <c r="L2001" s="151" t="s">
        <v>1203</v>
      </c>
      <c r="M2001" s="152">
        <v>42620.598333333342</v>
      </c>
      <c r="N2001" s="151" t="s">
        <v>2428</v>
      </c>
      <c r="O2001" s="151"/>
      <c r="P2001" s="151" t="s">
        <v>3578</v>
      </c>
      <c r="Q2001" s="7" t="str">
        <f>IF(ISBLANK(patch[[#This Row],[OwnerEmail]]),Q2000,patch[[#This Row],[OwnerEmail]])</f>
        <v>xi.cao@intel.com</v>
      </c>
      <c r="R2001" s="7" t="str">
        <f>_xlfn.IFNA(VLOOKUP(patch[[#This Row],[tmp-owner.email]],OrgTree!$A:$K, 11, 0), "not ICG SWFW")</f>
        <v>BJ And dev</v>
      </c>
      <c r="S2001" s="7" t="str">
        <f>IF(patch[[#This Row],[reviewer]]=patch[[#This Row],[tmp-owner.email]], "author", _xlfn.IFNA(VLOOKUP(patch[[#This Row],[reviewer]],OrgTree!$A:$K, 11, 0), "not ICG SWFW"))</f>
        <v>author</v>
      </c>
      <c r="T2001" s="7" t="str">
        <f>IF(ISBLANK(patch[[#This Row],[mergeDate]]), "", MID(YEAR(patch[[#This Row],[mergeDate]]), 3,2)&amp;"'ww"&amp;WEEKNUM(patch[[#This Row],[mergeDate]]))</f>
        <v>16'ww37</v>
      </c>
      <c r="U2001" s="7" t="str">
        <f>IF(ISBLANK(patch[[#This Row],[mergeDate]]), U2000, MID(YEAR(patch[[#This Row],[mergeDate]]), 3,2)&amp;"'m"&amp;MONTH(patch[[#This Row],[mergeDate]]))</f>
        <v>16'm9</v>
      </c>
      <c r="V2001" s="7">
        <f>IF(ISBLANK(patch[[#This Row],[project]]), "",SUM(patch[[#This Row],[BJ -1 num]:[SH -1 num]]))</f>
        <v>0</v>
      </c>
      <c r="W2001" s="7">
        <f>IF(ISBLANK(patch[[#This Row],[project]]), "",COUNTIFS($A:$A,patch[[#This Row],[number]],$S:$S, "BJ And dev",$AC:$AC, "Review-1"))</f>
        <v>0</v>
      </c>
      <c r="X2001" s="7">
        <f>IF(ISBLANK(patch[[#This Row],[project]]), "",COUNTIFS($A:$A,patch[[#This Row],[number]],$S:$S, "FL And dev",$AC:$AC, "Review-1"))</f>
        <v>0</v>
      </c>
      <c r="Y2001" s="7">
        <f>IF(ISBLANK(patch[[#This Row],[project]]), "",COUNTIFS($A:$A,patch[[#This Row],[number]],$S:$S, "SH And dev",$AC:$AC, "Review-1"))</f>
        <v>0</v>
      </c>
      <c r="Z2001" s="7">
        <f>IF(ISBLANK(patch[[#This Row],[project]]), "",COUNTIFS($A:$A,patch[[#This Row],[number]],$S:$S, "BJ And dev",$AD:$AD, "&lt;&gt;IntegratorValidationComment"))</f>
        <v>4</v>
      </c>
      <c r="AA2001" s="7">
        <f>IF(ISBLANK(patch[[#This Row],[project]]), "",COUNTIFS($A:$A,patch[[#This Row],[number]],$S:$S, "FL And dev",$AD:$AD, "&lt;&gt;IntegratorValidationComment"))</f>
        <v>0</v>
      </c>
      <c r="AB2001" s="7">
        <f>IF(ISBLANK(patch[[#This Row],[project]]), "",COUNTIFS($A:$A,patch[[#This Row],[number]],$S:$S, "SH And dev",$AD:$AD, "&lt;&gt;IntegratorValidationComment"))</f>
        <v>0</v>
      </c>
      <c r="AC2001" s="7" t="str">
        <f>IF(OR(ISNUMBER(FIND("Review-1", patch[[#This Row],[comments]])), ISNUMBER(FIND("Approver-1", patch[[#This Row],[comments]]))), "Review-1", "")</f>
        <v/>
      </c>
      <c r="AD20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01" s="7" t="str">
        <f>IF(ISBLANK(patch[[#This Row],[number]]),AE2000,patch[[#This Row],[ifCommon]])</f>
        <v>not AndrHAL</v>
      </c>
    </row>
    <row r="2002" spans="1:31">
      <c r="A2002" s="151">
        <v>143804</v>
      </c>
      <c r="B2002" s="151"/>
      <c r="C2002" s="151"/>
      <c r="D2002" s="151"/>
      <c r="E2002" s="151"/>
      <c r="F2002" s="151"/>
      <c r="G2002" s="151"/>
      <c r="H2002" s="151"/>
      <c r="I2002" s="151"/>
      <c r="J2002" s="152">
        <v>42621.695092592592</v>
      </c>
      <c r="K2002" s="151"/>
      <c r="L2002" s="151" t="s">
        <v>1203</v>
      </c>
      <c r="M2002" s="152">
        <v>42620.598333333342</v>
      </c>
      <c r="N2002" s="151" t="s">
        <v>25</v>
      </c>
      <c r="O2002" s="151"/>
      <c r="P2002" s="151"/>
      <c r="Q2002" s="7" t="str">
        <f>IF(ISBLANK(patch[[#This Row],[OwnerEmail]]),Q2001,patch[[#This Row],[OwnerEmail]])</f>
        <v>xi.cao@intel.com</v>
      </c>
      <c r="R2002" s="7" t="str">
        <f>_xlfn.IFNA(VLOOKUP(patch[[#This Row],[tmp-owner.email]],OrgTree!$A:$K, 11, 0), "not ICG SWFW")</f>
        <v>BJ And dev</v>
      </c>
      <c r="S2002" s="7" t="str">
        <f>IF(patch[[#This Row],[reviewer]]=patch[[#This Row],[tmp-owner.email]], "author", _xlfn.IFNA(VLOOKUP(patch[[#This Row],[reviewer]],OrgTree!$A:$K, 11, 0), "not ICG SWFW"))</f>
        <v>author</v>
      </c>
      <c r="T2002" s="7" t="str">
        <f>IF(ISBLANK(patch[[#This Row],[mergeDate]]), "", MID(YEAR(patch[[#This Row],[mergeDate]]), 3,2)&amp;"'ww"&amp;WEEKNUM(patch[[#This Row],[mergeDate]]))</f>
        <v>16'ww37</v>
      </c>
      <c r="U2002" s="7" t="str">
        <f>IF(ISBLANK(patch[[#This Row],[mergeDate]]), U2001, MID(YEAR(patch[[#This Row],[mergeDate]]), 3,2)&amp;"'m"&amp;MONTH(patch[[#This Row],[mergeDate]]))</f>
        <v>16'm9</v>
      </c>
      <c r="V2002" s="7" t="str">
        <f>IF(ISBLANK(patch[[#This Row],[project]]), "",SUM(patch[[#This Row],[BJ -1 num]:[SH -1 num]]))</f>
        <v/>
      </c>
      <c r="W2002" s="7" t="str">
        <f>IF(ISBLANK(patch[[#This Row],[project]]), "",COUNTIFS($A:$A,patch[[#This Row],[number]],$S:$S, "BJ And dev",$AC:$AC, "Review-1"))</f>
        <v/>
      </c>
      <c r="X2002" s="7" t="str">
        <f>IF(ISBLANK(patch[[#This Row],[project]]), "",COUNTIFS($A:$A,patch[[#This Row],[number]],$S:$S, "FL And dev",$AC:$AC, "Review-1"))</f>
        <v/>
      </c>
      <c r="Y2002" s="7" t="str">
        <f>IF(ISBLANK(patch[[#This Row],[project]]), "",COUNTIFS($A:$A,patch[[#This Row],[number]],$S:$S, "SH And dev",$AC:$AC, "Review-1"))</f>
        <v/>
      </c>
      <c r="Z2002" s="7" t="str">
        <f>IF(ISBLANK(patch[[#This Row],[project]]), "",COUNTIFS($A:$A,patch[[#This Row],[number]],$S:$S, "BJ And dev",$AD:$AD, "&lt;&gt;IntegratorValidationComment"))</f>
        <v/>
      </c>
      <c r="AA2002" s="7" t="str">
        <f>IF(ISBLANK(patch[[#This Row],[project]]), "",COUNTIFS($A:$A,patch[[#This Row],[number]],$S:$S, "FL And dev",$AD:$AD, "&lt;&gt;IntegratorValidationComment"))</f>
        <v/>
      </c>
      <c r="AB2002" s="7" t="str">
        <f>IF(ISBLANK(patch[[#This Row],[project]]), "",COUNTIFS($A:$A,patch[[#This Row],[number]],$S:$S, "SH And dev",$AD:$AD, "&lt;&gt;IntegratorValidationComment"))</f>
        <v/>
      </c>
      <c r="AC2002" s="7" t="str">
        <f>IF(OR(ISNUMBER(FIND("Review-1", patch[[#This Row],[comments]])), ISNUMBER(FIND("Approver-1", patch[[#This Row],[comments]]))), "Review-1", "")</f>
        <v/>
      </c>
      <c r="AD20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02" s="7">
        <f>IF(ISBLANK(patch[[#This Row],[number]]),AE2001,patch[[#This Row],[ifCommon]])</f>
        <v>0</v>
      </c>
    </row>
    <row r="2003" spans="1:31">
      <c r="A2003" s="151">
        <v>143804</v>
      </c>
      <c r="B2003" s="151"/>
      <c r="C2003" s="151"/>
      <c r="D2003" s="151"/>
      <c r="E2003" s="151"/>
      <c r="F2003" s="151"/>
      <c r="G2003" s="151"/>
      <c r="H2003" s="151"/>
      <c r="I2003" s="152"/>
      <c r="J2003" s="152">
        <v>42621.695092592592</v>
      </c>
      <c r="K2003" s="151"/>
      <c r="L2003" s="151" t="s">
        <v>1203</v>
      </c>
      <c r="M2003" s="152">
        <v>42620.598645833343</v>
      </c>
      <c r="N2003" s="151" t="s">
        <v>40</v>
      </c>
      <c r="O2003" s="151"/>
      <c r="P2003" s="151"/>
      <c r="Q2003" s="7" t="str">
        <f>IF(ISBLANK(patch[[#This Row],[OwnerEmail]]),Q2002,patch[[#This Row],[OwnerEmail]])</f>
        <v>xi.cao@intel.com</v>
      </c>
      <c r="R2003" s="7" t="str">
        <f>_xlfn.IFNA(VLOOKUP(patch[[#This Row],[tmp-owner.email]],OrgTree!$A:$K, 11, 0), "not ICG SWFW")</f>
        <v>BJ And dev</v>
      </c>
      <c r="S2003" s="7" t="str">
        <f>IF(patch[[#This Row],[reviewer]]=patch[[#This Row],[tmp-owner.email]], "author", _xlfn.IFNA(VLOOKUP(patch[[#This Row],[reviewer]],OrgTree!$A:$K, 11, 0), "not ICG SWFW"))</f>
        <v>author</v>
      </c>
      <c r="T2003" s="7" t="str">
        <f>IF(ISBLANK(patch[[#This Row],[mergeDate]]), "", MID(YEAR(patch[[#This Row],[mergeDate]]), 3,2)&amp;"'ww"&amp;WEEKNUM(patch[[#This Row],[mergeDate]]))</f>
        <v>16'ww37</v>
      </c>
      <c r="U2003" s="7" t="str">
        <f>IF(ISBLANK(patch[[#This Row],[mergeDate]]), U2002, MID(YEAR(patch[[#This Row],[mergeDate]]), 3,2)&amp;"'m"&amp;MONTH(patch[[#This Row],[mergeDate]]))</f>
        <v>16'm9</v>
      </c>
      <c r="V2003" s="7" t="str">
        <f>IF(ISBLANK(patch[[#This Row],[project]]), "",SUM(patch[[#This Row],[BJ -1 num]:[SH -1 num]]))</f>
        <v/>
      </c>
      <c r="W2003" s="7" t="str">
        <f>IF(ISBLANK(patch[[#This Row],[project]]), "",COUNTIFS($A:$A,patch[[#This Row],[number]],$S:$S, "BJ And dev",$AC:$AC, "Review-1"))</f>
        <v/>
      </c>
      <c r="X2003" s="7" t="str">
        <f>IF(ISBLANK(patch[[#This Row],[project]]), "",COUNTIFS($A:$A,patch[[#This Row],[number]],$S:$S, "FL And dev",$AC:$AC, "Review-1"))</f>
        <v/>
      </c>
      <c r="Y2003" s="7" t="str">
        <f>IF(ISBLANK(patch[[#This Row],[project]]), "",COUNTIFS($A:$A,patch[[#This Row],[number]],$S:$S, "SH And dev",$AC:$AC, "Review-1"))</f>
        <v/>
      </c>
      <c r="Z2003" s="7" t="str">
        <f>IF(ISBLANK(patch[[#This Row],[project]]), "",COUNTIFS($A:$A,patch[[#This Row],[number]],$S:$S, "BJ And dev",$AD:$AD, "&lt;&gt;IntegratorValidationComment"))</f>
        <v/>
      </c>
      <c r="AA2003" s="7" t="str">
        <f>IF(ISBLANK(patch[[#This Row],[project]]), "",COUNTIFS($A:$A,patch[[#This Row],[number]],$S:$S, "FL And dev",$AD:$AD, "&lt;&gt;IntegratorValidationComment"))</f>
        <v/>
      </c>
      <c r="AB2003" s="7" t="str">
        <f>IF(ISBLANK(patch[[#This Row],[project]]), "",COUNTIFS($A:$A,patch[[#This Row],[number]],$S:$S, "SH And dev",$AD:$AD, "&lt;&gt;IntegratorValidationComment"))</f>
        <v/>
      </c>
      <c r="AC2003" s="7" t="str">
        <f>IF(OR(ISNUMBER(FIND("Review-1", patch[[#This Row],[comments]])), ISNUMBER(FIND("Approver-1", patch[[#This Row],[comments]]))), "Review-1", "")</f>
        <v/>
      </c>
      <c r="AD20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03" s="7">
        <f>IF(ISBLANK(patch[[#This Row],[number]]),AE2002,patch[[#This Row],[ifCommon]])</f>
        <v>0</v>
      </c>
    </row>
    <row r="2004" spans="1:31">
      <c r="A2004" s="151">
        <v>143804</v>
      </c>
      <c r="B2004" s="151"/>
      <c r="C2004" s="151"/>
      <c r="D2004" s="151"/>
      <c r="E2004" s="151"/>
      <c r="F2004" s="151"/>
      <c r="G2004" s="151"/>
      <c r="H2004" s="151"/>
      <c r="I2004" s="151"/>
      <c r="J2004" s="152">
        <v>42621.695092592592</v>
      </c>
      <c r="K2004" s="151"/>
      <c r="L2004" s="151" t="s">
        <v>32</v>
      </c>
      <c r="M2004" s="152">
        <v>42620.601226851853</v>
      </c>
      <c r="N2004" s="151" t="s">
        <v>40</v>
      </c>
      <c r="O2004" s="151"/>
      <c r="P2004" s="151"/>
      <c r="Q2004" s="7" t="str">
        <f>IF(ISBLANK(patch[[#This Row],[OwnerEmail]]),Q2003,patch[[#This Row],[OwnerEmail]])</f>
        <v>xi.cao@intel.com</v>
      </c>
      <c r="R2004" s="7" t="str">
        <f>_xlfn.IFNA(VLOOKUP(patch[[#This Row],[tmp-owner.email]],OrgTree!$A:$K, 11, 0), "not ICG SWFW")</f>
        <v>BJ And dev</v>
      </c>
      <c r="S2004" s="7" t="str">
        <f>IF(patch[[#This Row],[reviewer]]=patch[[#This Row],[tmp-owner.email]], "author", _xlfn.IFNA(VLOOKUP(patch[[#This Row],[reviewer]],OrgTree!$A:$K, 11, 0), "not ICG SWFW"))</f>
        <v>BJ And dev</v>
      </c>
      <c r="T2004" s="7" t="str">
        <f>IF(ISBLANK(patch[[#This Row],[mergeDate]]), "", MID(YEAR(patch[[#This Row],[mergeDate]]), 3,2)&amp;"'ww"&amp;WEEKNUM(patch[[#This Row],[mergeDate]]))</f>
        <v>16'ww37</v>
      </c>
      <c r="U2004" s="7" t="str">
        <f>IF(ISBLANK(patch[[#This Row],[mergeDate]]), U2003, MID(YEAR(patch[[#This Row],[mergeDate]]), 3,2)&amp;"'m"&amp;MONTH(patch[[#This Row],[mergeDate]]))</f>
        <v>16'm9</v>
      </c>
      <c r="V2004" s="7" t="str">
        <f>IF(ISBLANK(patch[[#This Row],[project]]), "",SUM(patch[[#This Row],[BJ -1 num]:[SH -1 num]]))</f>
        <v/>
      </c>
      <c r="W2004" s="7" t="str">
        <f>IF(ISBLANK(patch[[#This Row],[project]]), "",COUNTIFS($A:$A,patch[[#This Row],[number]],$S:$S, "BJ And dev",$AC:$AC, "Review-1"))</f>
        <v/>
      </c>
      <c r="X2004" s="7" t="str">
        <f>IF(ISBLANK(patch[[#This Row],[project]]), "",COUNTIFS($A:$A,patch[[#This Row],[number]],$S:$S, "FL And dev",$AC:$AC, "Review-1"))</f>
        <v/>
      </c>
      <c r="Y2004" s="7" t="str">
        <f>IF(ISBLANK(patch[[#This Row],[project]]), "",COUNTIFS($A:$A,patch[[#This Row],[number]],$S:$S, "SH And dev",$AC:$AC, "Review-1"))</f>
        <v/>
      </c>
      <c r="Z2004" s="7" t="str">
        <f>IF(ISBLANK(patch[[#This Row],[project]]), "",COUNTIFS($A:$A,patch[[#This Row],[number]],$S:$S, "BJ And dev",$AD:$AD, "&lt;&gt;IntegratorValidationComment"))</f>
        <v/>
      </c>
      <c r="AA2004" s="7" t="str">
        <f>IF(ISBLANK(patch[[#This Row],[project]]), "",COUNTIFS($A:$A,patch[[#This Row],[number]],$S:$S, "FL And dev",$AD:$AD, "&lt;&gt;IntegratorValidationComment"))</f>
        <v/>
      </c>
      <c r="AB2004" s="7" t="str">
        <f>IF(ISBLANK(patch[[#This Row],[project]]), "",COUNTIFS($A:$A,patch[[#This Row],[number]],$S:$S, "SH And dev",$AD:$AD, "&lt;&gt;IntegratorValidationComment"))</f>
        <v/>
      </c>
      <c r="AC2004" s="7" t="str">
        <f>IF(OR(ISNUMBER(FIND("Review-1", patch[[#This Row],[comments]])), ISNUMBER(FIND("Approver-1", patch[[#This Row],[comments]]))), "Review-1", "")</f>
        <v/>
      </c>
      <c r="AD20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04" s="7">
        <f>IF(ISBLANK(patch[[#This Row],[number]]),AE2003,patch[[#This Row],[ifCommon]])</f>
        <v>0</v>
      </c>
    </row>
    <row r="2005" spans="1:31">
      <c r="A2005" s="151">
        <v>143804</v>
      </c>
      <c r="B2005" s="151"/>
      <c r="C2005" s="151"/>
      <c r="D2005" s="151"/>
      <c r="E2005" s="151"/>
      <c r="F2005" s="151"/>
      <c r="G2005" s="151"/>
      <c r="H2005" s="151"/>
      <c r="I2005" s="151"/>
      <c r="J2005" s="152">
        <v>42621.695092592592</v>
      </c>
      <c r="K2005" s="151"/>
      <c r="L2005" s="151" t="s">
        <v>59</v>
      </c>
      <c r="M2005" s="152">
        <v>42620.604699074072</v>
      </c>
      <c r="N2005" s="151" t="s">
        <v>3579</v>
      </c>
      <c r="O2005" s="151"/>
      <c r="P2005" s="151"/>
      <c r="Q2005" s="7" t="str">
        <f>IF(ISBLANK(patch[[#This Row],[OwnerEmail]]),Q2004,patch[[#This Row],[OwnerEmail]])</f>
        <v>xi.cao@intel.com</v>
      </c>
      <c r="R2005" s="7" t="str">
        <f>_xlfn.IFNA(VLOOKUP(patch[[#This Row],[tmp-owner.email]],OrgTree!$A:$K, 11, 0), "not ICG SWFW")</f>
        <v>BJ And dev</v>
      </c>
      <c r="S2005" s="7" t="str">
        <f>IF(patch[[#This Row],[reviewer]]=patch[[#This Row],[tmp-owner.email]], "author", _xlfn.IFNA(VLOOKUP(patch[[#This Row],[reviewer]],OrgTree!$A:$K, 11, 0), "not ICG SWFW"))</f>
        <v>BJ And dev</v>
      </c>
      <c r="T2005" s="7" t="str">
        <f>IF(ISBLANK(patch[[#This Row],[mergeDate]]), "", MID(YEAR(patch[[#This Row],[mergeDate]]), 3,2)&amp;"'ww"&amp;WEEKNUM(patch[[#This Row],[mergeDate]]))</f>
        <v>16'ww37</v>
      </c>
      <c r="U2005" s="7" t="str">
        <f>IF(ISBLANK(patch[[#This Row],[mergeDate]]), U2004, MID(YEAR(patch[[#This Row],[mergeDate]]), 3,2)&amp;"'m"&amp;MONTH(patch[[#This Row],[mergeDate]]))</f>
        <v>16'm9</v>
      </c>
      <c r="V2005" s="7" t="str">
        <f>IF(ISBLANK(patch[[#This Row],[project]]), "",SUM(patch[[#This Row],[BJ -1 num]:[SH -1 num]]))</f>
        <v/>
      </c>
      <c r="W2005" s="7" t="str">
        <f>IF(ISBLANK(patch[[#This Row],[project]]), "",COUNTIFS($A:$A,patch[[#This Row],[number]],$S:$S, "BJ And dev",$AC:$AC, "Review-1"))</f>
        <v/>
      </c>
      <c r="X2005" s="7" t="str">
        <f>IF(ISBLANK(patch[[#This Row],[project]]), "",COUNTIFS($A:$A,patch[[#This Row],[number]],$S:$S, "FL And dev",$AC:$AC, "Review-1"))</f>
        <v/>
      </c>
      <c r="Y2005" s="7" t="str">
        <f>IF(ISBLANK(patch[[#This Row],[project]]), "",COUNTIFS($A:$A,patch[[#This Row],[number]],$S:$S, "SH And dev",$AC:$AC, "Review-1"))</f>
        <v/>
      </c>
      <c r="Z2005" s="7" t="str">
        <f>IF(ISBLANK(patch[[#This Row],[project]]), "",COUNTIFS($A:$A,patch[[#This Row],[number]],$S:$S, "BJ And dev",$AD:$AD, "&lt;&gt;IntegratorValidationComment"))</f>
        <v/>
      </c>
      <c r="AA2005" s="7" t="str">
        <f>IF(ISBLANK(patch[[#This Row],[project]]), "",COUNTIFS($A:$A,patch[[#This Row],[number]],$S:$S, "FL And dev",$AD:$AD, "&lt;&gt;IntegratorValidationComment"))</f>
        <v/>
      </c>
      <c r="AB2005" s="7" t="str">
        <f>IF(ISBLANK(patch[[#This Row],[project]]), "",COUNTIFS($A:$A,patch[[#This Row],[number]],$S:$S, "SH And dev",$AD:$AD, "&lt;&gt;IntegratorValidationComment"))</f>
        <v/>
      </c>
      <c r="AC2005" s="7" t="str">
        <f>IF(OR(ISNUMBER(FIND("Review-1", patch[[#This Row],[comments]])), ISNUMBER(FIND("Approver-1", patch[[#This Row],[comments]]))), "Review-1", "")</f>
        <v/>
      </c>
      <c r="AD20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05" s="7">
        <f>IF(ISBLANK(patch[[#This Row],[number]]),AE2004,patch[[#This Row],[ifCommon]])</f>
        <v>0</v>
      </c>
    </row>
    <row r="2006" spans="1:31">
      <c r="A2006" s="151">
        <v>143804</v>
      </c>
      <c r="B2006" s="151"/>
      <c r="C2006" s="151"/>
      <c r="D2006" s="151"/>
      <c r="E2006" s="151"/>
      <c r="F2006" s="151"/>
      <c r="G2006" s="151"/>
      <c r="H2006" s="151"/>
      <c r="I2006" s="151"/>
      <c r="J2006" s="152">
        <v>42621.695092592592</v>
      </c>
      <c r="K2006" s="151"/>
      <c r="L2006" s="151" t="s">
        <v>63</v>
      </c>
      <c r="M2006" s="152">
        <v>42620.622037037043</v>
      </c>
      <c r="N2006" s="151" t="s">
        <v>40</v>
      </c>
      <c r="O2006" s="151"/>
      <c r="P2006" s="151"/>
      <c r="Q2006" s="7" t="str">
        <f>IF(ISBLANK(patch[[#This Row],[OwnerEmail]]),Q2005,patch[[#This Row],[OwnerEmail]])</f>
        <v>xi.cao@intel.com</v>
      </c>
      <c r="R2006" s="7" t="str">
        <f>_xlfn.IFNA(VLOOKUP(patch[[#This Row],[tmp-owner.email]],OrgTree!$A:$K, 11, 0), "not ICG SWFW")</f>
        <v>BJ And dev</v>
      </c>
      <c r="S2006" s="7" t="str">
        <f>IF(patch[[#This Row],[reviewer]]=patch[[#This Row],[tmp-owner.email]], "author", _xlfn.IFNA(VLOOKUP(patch[[#This Row],[reviewer]],OrgTree!$A:$K, 11, 0), "not ICG SWFW"))</f>
        <v>BJ And dev</v>
      </c>
      <c r="T2006" s="7" t="str">
        <f>IF(ISBLANK(patch[[#This Row],[mergeDate]]), "", MID(YEAR(patch[[#This Row],[mergeDate]]), 3,2)&amp;"'ww"&amp;WEEKNUM(patch[[#This Row],[mergeDate]]))</f>
        <v>16'ww37</v>
      </c>
      <c r="U2006" s="7" t="str">
        <f>IF(ISBLANK(patch[[#This Row],[mergeDate]]), U2005, MID(YEAR(patch[[#This Row],[mergeDate]]), 3,2)&amp;"'m"&amp;MONTH(patch[[#This Row],[mergeDate]]))</f>
        <v>16'm9</v>
      </c>
      <c r="V2006" s="7" t="str">
        <f>IF(ISBLANK(patch[[#This Row],[project]]), "",SUM(patch[[#This Row],[BJ -1 num]:[SH -1 num]]))</f>
        <v/>
      </c>
      <c r="W2006" s="7" t="str">
        <f>IF(ISBLANK(patch[[#This Row],[project]]), "",COUNTIFS($A:$A,patch[[#This Row],[number]],$S:$S, "BJ And dev",$AC:$AC, "Review-1"))</f>
        <v/>
      </c>
      <c r="X2006" s="7" t="str">
        <f>IF(ISBLANK(patch[[#This Row],[project]]), "",COUNTIFS($A:$A,patch[[#This Row],[number]],$S:$S, "FL And dev",$AC:$AC, "Review-1"))</f>
        <v/>
      </c>
      <c r="Y2006" s="7" t="str">
        <f>IF(ISBLANK(patch[[#This Row],[project]]), "",COUNTIFS($A:$A,patch[[#This Row],[number]],$S:$S, "SH And dev",$AC:$AC, "Review-1"))</f>
        <v/>
      </c>
      <c r="Z2006" s="7" t="str">
        <f>IF(ISBLANK(patch[[#This Row],[project]]), "",COUNTIFS($A:$A,patch[[#This Row],[number]],$S:$S, "BJ And dev",$AD:$AD, "&lt;&gt;IntegratorValidationComment"))</f>
        <v/>
      </c>
      <c r="AA2006" s="7" t="str">
        <f>IF(ISBLANK(patch[[#This Row],[project]]), "",COUNTIFS($A:$A,patch[[#This Row],[number]],$S:$S, "FL And dev",$AD:$AD, "&lt;&gt;IntegratorValidationComment"))</f>
        <v/>
      </c>
      <c r="AB2006" s="7" t="str">
        <f>IF(ISBLANK(patch[[#This Row],[project]]), "",COUNTIFS($A:$A,patch[[#This Row],[number]],$S:$S, "SH And dev",$AD:$AD, "&lt;&gt;IntegratorValidationComment"))</f>
        <v/>
      </c>
      <c r="AC2006" s="7" t="str">
        <f>IF(OR(ISNUMBER(FIND("Review-1", patch[[#This Row],[comments]])), ISNUMBER(FIND("Approver-1", patch[[#This Row],[comments]]))), "Review-1", "")</f>
        <v/>
      </c>
      <c r="AD20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06" s="7">
        <f>IF(ISBLANK(patch[[#This Row],[number]]),AE2005,patch[[#This Row],[ifCommon]])</f>
        <v>0</v>
      </c>
    </row>
    <row r="2007" spans="1:31">
      <c r="A2007" s="151">
        <v>143804</v>
      </c>
      <c r="B2007" s="151"/>
      <c r="C2007" s="151"/>
      <c r="D2007" s="151"/>
      <c r="E2007" s="151"/>
      <c r="F2007" s="151"/>
      <c r="G2007" s="151"/>
      <c r="H2007" s="151"/>
      <c r="I2007" s="151"/>
      <c r="J2007" s="152">
        <v>42621.695092592592</v>
      </c>
      <c r="K2007" s="151"/>
      <c r="L2007" s="151" t="s">
        <v>32</v>
      </c>
      <c r="M2007" s="152">
        <v>42620.669930555552</v>
      </c>
      <c r="N2007" s="151" t="s">
        <v>58</v>
      </c>
      <c r="O2007" s="151"/>
      <c r="P2007" s="151"/>
      <c r="Q2007" s="7" t="str">
        <f>IF(ISBLANK(patch[[#This Row],[OwnerEmail]]),Q2006,patch[[#This Row],[OwnerEmail]])</f>
        <v>xi.cao@intel.com</v>
      </c>
      <c r="R2007" s="7" t="str">
        <f>_xlfn.IFNA(VLOOKUP(patch[[#This Row],[tmp-owner.email]],OrgTree!$A:$K, 11, 0), "not ICG SWFW")</f>
        <v>BJ And dev</v>
      </c>
      <c r="S2007" s="7" t="str">
        <f>IF(patch[[#This Row],[reviewer]]=patch[[#This Row],[tmp-owner.email]], "author", _xlfn.IFNA(VLOOKUP(patch[[#This Row],[reviewer]],OrgTree!$A:$K, 11, 0), "not ICG SWFW"))</f>
        <v>BJ And dev</v>
      </c>
      <c r="T2007" s="7" t="str">
        <f>IF(ISBLANK(patch[[#This Row],[mergeDate]]), "", MID(YEAR(patch[[#This Row],[mergeDate]]), 3,2)&amp;"'ww"&amp;WEEKNUM(patch[[#This Row],[mergeDate]]))</f>
        <v>16'ww37</v>
      </c>
      <c r="U2007" s="7" t="str">
        <f>IF(ISBLANK(patch[[#This Row],[mergeDate]]), U2006, MID(YEAR(patch[[#This Row],[mergeDate]]), 3,2)&amp;"'m"&amp;MONTH(patch[[#This Row],[mergeDate]]))</f>
        <v>16'm9</v>
      </c>
      <c r="V2007" s="7" t="str">
        <f>IF(ISBLANK(patch[[#This Row],[project]]), "",SUM(patch[[#This Row],[BJ -1 num]:[SH -1 num]]))</f>
        <v/>
      </c>
      <c r="W2007" s="7" t="str">
        <f>IF(ISBLANK(patch[[#This Row],[project]]), "",COUNTIFS($A:$A,patch[[#This Row],[number]],$S:$S, "BJ And dev",$AC:$AC, "Review-1"))</f>
        <v/>
      </c>
      <c r="X2007" s="7" t="str">
        <f>IF(ISBLANK(patch[[#This Row],[project]]), "",COUNTIFS($A:$A,patch[[#This Row],[number]],$S:$S, "FL And dev",$AC:$AC, "Review-1"))</f>
        <v/>
      </c>
      <c r="Y2007" s="7" t="str">
        <f>IF(ISBLANK(patch[[#This Row],[project]]), "",COUNTIFS($A:$A,patch[[#This Row],[number]],$S:$S, "SH And dev",$AC:$AC, "Review-1"))</f>
        <v/>
      </c>
      <c r="Z2007" s="7" t="str">
        <f>IF(ISBLANK(patch[[#This Row],[project]]), "",COUNTIFS($A:$A,patch[[#This Row],[number]],$S:$S, "BJ And dev",$AD:$AD, "&lt;&gt;IntegratorValidationComment"))</f>
        <v/>
      </c>
      <c r="AA2007" s="7" t="str">
        <f>IF(ISBLANK(patch[[#This Row],[project]]), "",COUNTIFS($A:$A,patch[[#This Row],[number]],$S:$S, "FL And dev",$AD:$AD, "&lt;&gt;IntegratorValidationComment"))</f>
        <v/>
      </c>
      <c r="AB2007" s="7" t="str">
        <f>IF(ISBLANK(patch[[#This Row],[project]]), "",COUNTIFS($A:$A,patch[[#This Row],[number]],$S:$S, "SH And dev",$AD:$AD, "&lt;&gt;IntegratorValidationComment"))</f>
        <v/>
      </c>
      <c r="AC2007" s="7" t="str">
        <f>IF(OR(ISNUMBER(FIND("Review-1", patch[[#This Row],[comments]])), ISNUMBER(FIND("Approver-1", patch[[#This Row],[comments]]))), "Review-1", "")</f>
        <v/>
      </c>
      <c r="AD20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07" s="7">
        <f>IF(ISBLANK(patch[[#This Row],[number]]),AE2006,patch[[#This Row],[ifCommon]])</f>
        <v>0</v>
      </c>
    </row>
    <row r="2008" spans="1:31">
      <c r="A2008" s="151">
        <v>143804</v>
      </c>
      <c r="B2008" s="151"/>
      <c r="C2008" s="151"/>
      <c r="D2008" s="151"/>
      <c r="E2008" s="151"/>
      <c r="F2008" s="151"/>
      <c r="G2008" s="151"/>
      <c r="H2008" s="151"/>
      <c r="I2008" s="151"/>
      <c r="J2008" s="152">
        <v>42621.695092592592</v>
      </c>
      <c r="K2008" s="151"/>
      <c r="L2008" s="151" t="s">
        <v>115</v>
      </c>
      <c r="M2008" s="152">
        <v>42621.420023148137</v>
      </c>
      <c r="N2008" s="151" t="s">
        <v>2494</v>
      </c>
      <c r="O2008" s="151"/>
      <c r="P2008" s="151"/>
      <c r="Q2008" s="7" t="str">
        <f>IF(ISBLANK(patch[[#This Row],[OwnerEmail]]),Q2007,patch[[#This Row],[OwnerEmail]])</f>
        <v>xi.cao@intel.com</v>
      </c>
      <c r="R2008" s="7" t="str">
        <f>_xlfn.IFNA(VLOOKUP(patch[[#This Row],[tmp-owner.email]],OrgTree!$A:$K, 11, 0), "not ICG SWFW")</f>
        <v>BJ And dev</v>
      </c>
      <c r="S2008" s="7" t="str">
        <f>IF(patch[[#This Row],[reviewer]]=patch[[#This Row],[tmp-owner.email]], "author", _xlfn.IFNA(VLOOKUP(patch[[#This Row],[reviewer]],OrgTree!$A:$K, 11, 0), "not ICG SWFW"))</f>
        <v>Val</v>
      </c>
      <c r="T2008" s="7" t="str">
        <f>IF(ISBLANK(patch[[#This Row],[mergeDate]]), "", MID(YEAR(patch[[#This Row],[mergeDate]]), 3,2)&amp;"'ww"&amp;WEEKNUM(patch[[#This Row],[mergeDate]]))</f>
        <v>16'ww37</v>
      </c>
      <c r="U2008" s="7" t="str">
        <f>IF(ISBLANK(patch[[#This Row],[mergeDate]]), U2007, MID(YEAR(patch[[#This Row],[mergeDate]]), 3,2)&amp;"'m"&amp;MONTH(patch[[#This Row],[mergeDate]]))</f>
        <v>16'm9</v>
      </c>
      <c r="V2008" s="7" t="str">
        <f>IF(ISBLANK(patch[[#This Row],[project]]), "",SUM(patch[[#This Row],[BJ -1 num]:[SH -1 num]]))</f>
        <v/>
      </c>
      <c r="W2008" s="7" t="str">
        <f>IF(ISBLANK(patch[[#This Row],[project]]), "",COUNTIFS($A:$A,patch[[#This Row],[number]],$S:$S, "BJ And dev",$AC:$AC, "Review-1"))</f>
        <v/>
      </c>
      <c r="X2008" s="7" t="str">
        <f>IF(ISBLANK(patch[[#This Row],[project]]), "",COUNTIFS($A:$A,patch[[#This Row],[number]],$S:$S, "FL And dev",$AC:$AC, "Review-1"))</f>
        <v/>
      </c>
      <c r="Y2008" s="7" t="str">
        <f>IF(ISBLANK(patch[[#This Row],[project]]), "",COUNTIFS($A:$A,patch[[#This Row],[number]],$S:$S, "SH And dev",$AC:$AC, "Review-1"))</f>
        <v/>
      </c>
      <c r="Z2008" s="7" t="str">
        <f>IF(ISBLANK(patch[[#This Row],[project]]), "",COUNTIFS($A:$A,patch[[#This Row],[number]],$S:$S, "BJ And dev",$AD:$AD, "&lt;&gt;IntegratorValidationComment"))</f>
        <v/>
      </c>
      <c r="AA2008" s="7" t="str">
        <f>IF(ISBLANK(patch[[#This Row],[project]]), "",COUNTIFS($A:$A,patch[[#This Row],[number]],$S:$S, "FL And dev",$AD:$AD, "&lt;&gt;IntegratorValidationComment"))</f>
        <v/>
      </c>
      <c r="AB2008" s="7" t="str">
        <f>IF(ISBLANK(patch[[#This Row],[project]]), "",COUNTIFS($A:$A,patch[[#This Row],[number]],$S:$S, "SH And dev",$AD:$AD, "&lt;&gt;IntegratorValidationComment"))</f>
        <v/>
      </c>
      <c r="AC2008" s="7" t="str">
        <f>IF(OR(ISNUMBER(FIND("Review-1", patch[[#This Row],[comments]])), ISNUMBER(FIND("Approver-1", patch[[#This Row],[comments]]))), "Review-1", "")</f>
        <v/>
      </c>
      <c r="AD20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008" s="7">
        <f>IF(ISBLANK(patch[[#This Row],[number]]),AE2007,patch[[#This Row],[ifCommon]])</f>
        <v>0</v>
      </c>
    </row>
    <row r="2009" spans="1:31">
      <c r="A2009" s="151">
        <v>143756</v>
      </c>
      <c r="B2009" s="151" t="s">
        <v>2490</v>
      </c>
      <c r="C2009" s="151" t="s">
        <v>2491</v>
      </c>
      <c r="D2009" s="151" t="s">
        <v>3580</v>
      </c>
      <c r="E2009" s="151" t="s">
        <v>68</v>
      </c>
      <c r="F2009" s="151" t="s">
        <v>23</v>
      </c>
      <c r="G2009" s="151" t="s">
        <v>3581</v>
      </c>
      <c r="H2009" s="151" t="s">
        <v>3582</v>
      </c>
      <c r="I2009" s="152">
        <v>42620.489386574067</v>
      </c>
      <c r="J2009" s="152">
        <v>42621.695</v>
      </c>
      <c r="K2009" s="151" t="s">
        <v>2445</v>
      </c>
      <c r="L2009" s="151" t="s">
        <v>68</v>
      </c>
      <c r="M2009" s="152">
        <v>42620.489386574067</v>
      </c>
      <c r="N2009" s="151" t="s">
        <v>25</v>
      </c>
      <c r="O2009" s="151"/>
      <c r="P2009" s="151" t="s">
        <v>3583</v>
      </c>
      <c r="Q2009" s="7" t="str">
        <f>IF(ISBLANK(patch[[#This Row],[OwnerEmail]]),Q2008,patch[[#This Row],[OwnerEmail]])</f>
        <v>hongbiao.xie@intel.com</v>
      </c>
      <c r="R2009" s="7" t="str">
        <f>_xlfn.IFNA(VLOOKUP(patch[[#This Row],[tmp-owner.email]],OrgTree!$A:$K, 11, 0), "not ICG SWFW")</f>
        <v>BJ And dev</v>
      </c>
      <c r="S2009" s="7" t="str">
        <f>IF(patch[[#This Row],[reviewer]]=patch[[#This Row],[tmp-owner.email]], "author", _xlfn.IFNA(VLOOKUP(patch[[#This Row],[reviewer]],OrgTree!$A:$K, 11, 0), "not ICG SWFW"))</f>
        <v>author</v>
      </c>
      <c r="T2009" s="7" t="str">
        <f>IF(ISBLANK(patch[[#This Row],[mergeDate]]), "", MID(YEAR(patch[[#This Row],[mergeDate]]), 3,2)&amp;"'ww"&amp;WEEKNUM(patch[[#This Row],[mergeDate]]))</f>
        <v>16'ww37</v>
      </c>
      <c r="U2009" s="7" t="str">
        <f>IF(ISBLANK(patch[[#This Row],[mergeDate]]), U2008, MID(YEAR(patch[[#This Row],[mergeDate]]), 3,2)&amp;"'m"&amp;MONTH(patch[[#This Row],[mergeDate]]))</f>
        <v>16'm9</v>
      </c>
      <c r="V2009" s="7">
        <f>IF(ISBLANK(patch[[#This Row],[project]]), "",SUM(patch[[#This Row],[BJ -1 num]:[SH -1 num]]))</f>
        <v>0</v>
      </c>
      <c r="W2009" s="7">
        <f>IF(ISBLANK(patch[[#This Row],[project]]), "",COUNTIFS($A:$A,patch[[#This Row],[number]],$S:$S, "BJ And dev",$AC:$AC, "Review-1"))</f>
        <v>0</v>
      </c>
      <c r="X2009" s="7">
        <f>IF(ISBLANK(patch[[#This Row],[project]]), "",COUNTIFS($A:$A,patch[[#This Row],[number]],$S:$S, "FL And dev",$AC:$AC, "Review-1"))</f>
        <v>0</v>
      </c>
      <c r="Y2009" s="7">
        <f>IF(ISBLANK(patch[[#This Row],[project]]), "",COUNTIFS($A:$A,patch[[#This Row],[number]],$S:$S, "SH And dev",$AC:$AC, "Review-1"))</f>
        <v>0</v>
      </c>
      <c r="Z2009" s="7">
        <f>IF(ISBLANK(patch[[#This Row],[project]]), "",COUNTIFS($A:$A,patch[[#This Row],[number]],$S:$S, "BJ And dev",$AD:$AD, "&lt;&gt;IntegratorValidationComment"))</f>
        <v>5</v>
      </c>
      <c r="AA2009" s="7">
        <f>IF(ISBLANK(patch[[#This Row],[project]]), "",COUNTIFS($A:$A,patch[[#This Row],[number]],$S:$S, "FL And dev",$AD:$AD, "&lt;&gt;IntegratorValidationComment"))</f>
        <v>0</v>
      </c>
      <c r="AB2009" s="7">
        <f>IF(ISBLANK(patch[[#This Row],[project]]), "",COUNTIFS($A:$A,patch[[#This Row],[number]],$S:$S, "SH And dev",$AD:$AD, "&lt;&gt;IntegratorValidationComment"))</f>
        <v>0</v>
      </c>
      <c r="AC2009" s="7" t="str">
        <f>IF(OR(ISNUMBER(FIND("Review-1", patch[[#This Row],[comments]])), ISNUMBER(FIND("Approver-1", patch[[#This Row],[comments]]))), "Review-1", "")</f>
        <v/>
      </c>
      <c r="AD20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09" s="7" t="str">
        <f>IF(ISBLANK(patch[[#This Row],[number]]),AE2008,patch[[#This Row],[ifCommon]])</f>
        <v>not AndrHAL</v>
      </c>
    </row>
    <row r="2010" spans="1:31">
      <c r="A2010" s="151">
        <v>143756</v>
      </c>
      <c r="B2010" s="151"/>
      <c r="C2010" s="151"/>
      <c r="D2010" s="151"/>
      <c r="E2010" s="151"/>
      <c r="F2010" s="151"/>
      <c r="G2010" s="151"/>
      <c r="H2010" s="151"/>
      <c r="I2010" s="152"/>
      <c r="J2010" s="152">
        <v>42621.695</v>
      </c>
      <c r="K2010" s="151"/>
      <c r="L2010" s="151" t="s">
        <v>68</v>
      </c>
      <c r="M2010" s="152">
        <v>42620.489398148151</v>
      </c>
      <c r="N2010" s="151" t="s">
        <v>2428</v>
      </c>
      <c r="O2010" s="151"/>
      <c r="P2010" s="151"/>
      <c r="Q2010" s="7" t="str">
        <f>IF(ISBLANK(patch[[#This Row],[OwnerEmail]]),Q2009,patch[[#This Row],[OwnerEmail]])</f>
        <v>hongbiao.xie@intel.com</v>
      </c>
      <c r="R2010" s="7" t="str">
        <f>_xlfn.IFNA(VLOOKUP(patch[[#This Row],[tmp-owner.email]],OrgTree!$A:$K, 11, 0), "not ICG SWFW")</f>
        <v>BJ And dev</v>
      </c>
      <c r="S2010" s="7" t="str">
        <f>IF(patch[[#This Row],[reviewer]]=patch[[#This Row],[tmp-owner.email]], "author", _xlfn.IFNA(VLOOKUP(patch[[#This Row],[reviewer]],OrgTree!$A:$K, 11, 0), "not ICG SWFW"))</f>
        <v>author</v>
      </c>
      <c r="T2010" s="7" t="str">
        <f>IF(ISBLANK(patch[[#This Row],[mergeDate]]), "", MID(YEAR(patch[[#This Row],[mergeDate]]), 3,2)&amp;"'ww"&amp;WEEKNUM(patch[[#This Row],[mergeDate]]))</f>
        <v>16'ww37</v>
      </c>
      <c r="U2010" s="7" t="str">
        <f>IF(ISBLANK(patch[[#This Row],[mergeDate]]), U2009, MID(YEAR(patch[[#This Row],[mergeDate]]), 3,2)&amp;"'m"&amp;MONTH(patch[[#This Row],[mergeDate]]))</f>
        <v>16'm9</v>
      </c>
      <c r="V2010" s="7" t="str">
        <f>IF(ISBLANK(patch[[#This Row],[project]]), "",SUM(patch[[#This Row],[BJ -1 num]:[SH -1 num]]))</f>
        <v/>
      </c>
      <c r="W2010" s="7" t="str">
        <f>IF(ISBLANK(patch[[#This Row],[project]]), "",COUNTIFS($A:$A,patch[[#This Row],[number]],$S:$S, "BJ And dev",$AC:$AC, "Review-1"))</f>
        <v/>
      </c>
      <c r="X2010" s="7" t="str">
        <f>IF(ISBLANK(patch[[#This Row],[project]]), "",COUNTIFS($A:$A,patch[[#This Row],[number]],$S:$S, "FL And dev",$AC:$AC, "Review-1"))</f>
        <v/>
      </c>
      <c r="Y2010" s="7" t="str">
        <f>IF(ISBLANK(patch[[#This Row],[project]]), "",COUNTIFS($A:$A,patch[[#This Row],[number]],$S:$S, "SH And dev",$AC:$AC, "Review-1"))</f>
        <v/>
      </c>
      <c r="Z2010" s="7" t="str">
        <f>IF(ISBLANK(patch[[#This Row],[project]]), "",COUNTIFS($A:$A,patch[[#This Row],[number]],$S:$S, "BJ And dev",$AD:$AD, "&lt;&gt;IntegratorValidationComment"))</f>
        <v/>
      </c>
      <c r="AA2010" s="7" t="str">
        <f>IF(ISBLANK(patch[[#This Row],[project]]), "",COUNTIFS($A:$A,patch[[#This Row],[number]],$S:$S, "FL And dev",$AD:$AD, "&lt;&gt;IntegratorValidationComment"))</f>
        <v/>
      </c>
      <c r="AB2010" s="7" t="str">
        <f>IF(ISBLANK(patch[[#This Row],[project]]), "",COUNTIFS($A:$A,patch[[#This Row],[number]],$S:$S, "SH And dev",$AD:$AD, "&lt;&gt;IntegratorValidationComment"))</f>
        <v/>
      </c>
      <c r="AC2010" s="7" t="str">
        <f>IF(OR(ISNUMBER(FIND("Review-1", patch[[#This Row],[comments]])), ISNUMBER(FIND("Approver-1", patch[[#This Row],[comments]]))), "Review-1", "")</f>
        <v/>
      </c>
      <c r="AD20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10" s="7">
        <f>IF(ISBLANK(patch[[#This Row],[number]]),AE2009,patch[[#This Row],[ifCommon]])</f>
        <v>0</v>
      </c>
    </row>
    <row r="2011" spans="1:31">
      <c r="A2011" s="151">
        <v>143756</v>
      </c>
      <c r="B2011" s="151"/>
      <c r="C2011" s="151"/>
      <c r="D2011" s="151"/>
      <c r="E2011" s="151"/>
      <c r="F2011" s="151"/>
      <c r="G2011" s="151"/>
      <c r="H2011" s="151"/>
      <c r="I2011" s="151"/>
      <c r="J2011" s="152">
        <v>42621.695</v>
      </c>
      <c r="K2011" s="151"/>
      <c r="L2011" s="151" t="s">
        <v>68</v>
      </c>
      <c r="M2011" s="152">
        <v>42620.491631944453</v>
      </c>
      <c r="N2011" s="151" t="s">
        <v>40</v>
      </c>
      <c r="O2011" s="151"/>
      <c r="P2011" s="151"/>
      <c r="Q2011" s="7" t="str">
        <f>IF(ISBLANK(patch[[#This Row],[OwnerEmail]]),Q2010,patch[[#This Row],[OwnerEmail]])</f>
        <v>hongbiao.xie@intel.com</v>
      </c>
      <c r="R2011" s="7" t="str">
        <f>_xlfn.IFNA(VLOOKUP(patch[[#This Row],[tmp-owner.email]],OrgTree!$A:$K, 11, 0), "not ICG SWFW")</f>
        <v>BJ And dev</v>
      </c>
      <c r="S2011" s="7" t="str">
        <f>IF(patch[[#This Row],[reviewer]]=patch[[#This Row],[tmp-owner.email]], "author", _xlfn.IFNA(VLOOKUP(patch[[#This Row],[reviewer]],OrgTree!$A:$K, 11, 0), "not ICG SWFW"))</f>
        <v>author</v>
      </c>
      <c r="T2011" s="7" t="str">
        <f>IF(ISBLANK(patch[[#This Row],[mergeDate]]), "", MID(YEAR(patch[[#This Row],[mergeDate]]), 3,2)&amp;"'ww"&amp;WEEKNUM(patch[[#This Row],[mergeDate]]))</f>
        <v>16'ww37</v>
      </c>
      <c r="U2011" s="7" t="str">
        <f>IF(ISBLANK(patch[[#This Row],[mergeDate]]), U2010, MID(YEAR(patch[[#This Row],[mergeDate]]), 3,2)&amp;"'m"&amp;MONTH(patch[[#This Row],[mergeDate]]))</f>
        <v>16'm9</v>
      </c>
      <c r="V2011" s="7" t="str">
        <f>IF(ISBLANK(patch[[#This Row],[project]]), "",SUM(patch[[#This Row],[BJ -1 num]:[SH -1 num]]))</f>
        <v/>
      </c>
      <c r="W2011" s="7" t="str">
        <f>IF(ISBLANK(patch[[#This Row],[project]]), "",COUNTIFS($A:$A,patch[[#This Row],[number]],$S:$S, "BJ And dev",$AC:$AC, "Review-1"))</f>
        <v/>
      </c>
      <c r="X2011" s="7" t="str">
        <f>IF(ISBLANK(patch[[#This Row],[project]]), "",COUNTIFS($A:$A,patch[[#This Row],[number]],$S:$S, "FL And dev",$AC:$AC, "Review-1"))</f>
        <v/>
      </c>
      <c r="Y2011" s="7" t="str">
        <f>IF(ISBLANK(patch[[#This Row],[project]]), "",COUNTIFS($A:$A,patch[[#This Row],[number]],$S:$S, "SH And dev",$AC:$AC, "Review-1"))</f>
        <v/>
      </c>
      <c r="Z2011" s="7" t="str">
        <f>IF(ISBLANK(patch[[#This Row],[project]]), "",COUNTIFS($A:$A,patch[[#This Row],[number]],$S:$S, "BJ And dev",$AD:$AD, "&lt;&gt;IntegratorValidationComment"))</f>
        <v/>
      </c>
      <c r="AA2011" s="7" t="str">
        <f>IF(ISBLANK(patch[[#This Row],[project]]), "",COUNTIFS($A:$A,patch[[#This Row],[number]],$S:$S, "FL And dev",$AD:$AD, "&lt;&gt;IntegratorValidationComment"))</f>
        <v/>
      </c>
      <c r="AB2011" s="7" t="str">
        <f>IF(ISBLANK(patch[[#This Row],[project]]), "",COUNTIFS($A:$A,patch[[#This Row],[number]],$S:$S, "SH And dev",$AD:$AD, "&lt;&gt;IntegratorValidationComment"))</f>
        <v/>
      </c>
      <c r="AC2011" s="7" t="str">
        <f>IF(OR(ISNUMBER(FIND("Review-1", patch[[#This Row],[comments]])), ISNUMBER(FIND("Approver-1", patch[[#This Row],[comments]]))), "Review-1", "")</f>
        <v/>
      </c>
      <c r="AD20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11" s="7">
        <f>IF(ISBLANK(patch[[#This Row],[number]]),AE2010,patch[[#This Row],[ifCommon]])</f>
        <v>0</v>
      </c>
    </row>
    <row r="2012" spans="1:31">
      <c r="A2012" s="151">
        <v>143756</v>
      </c>
      <c r="B2012" s="151"/>
      <c r="C2012" s="151"/>
      <c r="D2012" s="151"/>
      <c r="E2012" s="151"/>
      <c r="F2012" s="151"/>
      <c r="G2012" s="151"/>
      <c r="H2012" s="151"/>
      <c r="I2012" s="151"/>
      <c r="J2012" s="152">
        <v>42621.695</v>
      </c>
      <c r="K2012" s="151"/>
      <c r="L2012" s="151" t="s">
        <v>59</v>
      </c>
      <c r="M2012" s="152">
        <v>42620.494131944448</v>
      </c>
      <c r="N2012" s="151" t="s">
        <v>40</v>
      </c>
      <c r="O2012" s="151"/>
      <c r="P2012" s="151"/>
      <c r="Q2012" s="7" t="str">
        <f>IF(ISBLANK(patch[[#This Row],[OwnerEmail]]),Q2011,patch[[#This Row],[OwnerEmail]])</f>
        <v>hongbiao.xie@intel.com</v>
      </c>
      <c r="R2012" s="7" t="str">
        <f>_xlfn.IFNA(VLOOKUP(patch[[#This Row],[tmp-owner.email]],OrgTree!$A:$K, 11, 0), "not ICG SWFW")</f>
        <v>BJ And dev</v>
      </c>
      <c r="S2012" s="7" t="str">
        <f>IF(patch[[#This Row],[reviewer]]=patch[[#This Row],[tmp-owner.email]], "author", _xlfn.IFNA(VLOOKUP(patch[[#This Row],[reviewer]],OrgTree!$A:$K, 11, 0), "not ICG SWFW"))</f>
        <v>BJ And dev</v>
      </c>
      <c r="T2012" s="7" t="str">
        <f>IF(ISBLANK(patch[[#This Row],[mergeDate]]), "", MID(YEAR(patch[[#This Row],[mergeDate]]), 3,2)&amp;"'ww"&amp;WEEKNUM(patch[[#This Row],[mergeDate]]))</f>
        <v>16'ww37</v>
      </c>
      <c r="U2012" s="7" t="str">
        <f>IF(ISBLANK(patch[[#This Row],[mergeDate]]), U2011, MID(YEAR(patch[[#This Row],[mergeDate]]), 3,2)&amp;"'m"&amp;MONTH(patch[[#This Row],[mergeDate]]))</f>
        <v>16'm9</v>
      </c>
      <c r="V2012" s="7" t="str">
        <f>IF(ISBLANK(patch[[#This Row],[project]]), "",SUM(patch[[#This Row],[BJ -1 num]:[SH -1 num]]))</f>
        <v/>
      </c>
      <c r="W2012" s="7" t="str">
        <f>IF(ISBLANK(patch[[#This Row],[project]]), "",COUNTIFS($A:$A,patch[[#This Row],[number]],$S:$S, "BJ And dev",$AC:$AC, "Review-1"))</f>
        <v/>
      </c>
      <c r="X2012" s="7" t="str">
        <f>IF(ISBLANK(patch[[#This Row],[project]]), "",COUNTIFS($A:$A,patch[[#This Row],[number]],$S:$S, "FL And dev",$AC:$AC, "Review-1"))</f>
        <v/>
      </c>
      <c r="Y2012" s="7" t="str">
        <f>IF(ISBLANK(patch[[#This Row],[project]]), "",COUNTIFS($A:$A,patch[[#This Row],[number]],$S:$S, "SH And dev",$AC:$AC, "Review-1"))</f>
        <v/>
      </c>
      <c r="Z2012" s="7" t="str">
        <f>IF(ISBLANK(patch[[#This Row],[project]]), "",COUNTIFS($A:$A,patch[[#This Row],[number]],$S:$S, "BJ And dev",$AD:$AD, "&lt;&gt;IntegratorValidationComment"))</f>
        <v/>
      </c>
      <c r="AA2012" s="7" t="str">
        <f>IF(ISBLANK(patch[[#This Row],[project]]), "",COUNTIFS($A:$A,patch[[#This Row],[number]],$S:$S, "FL And dev",$AD:$AD, "&lt;&gt;IntegratorValidationComment"))</f>
        <v/>
      </c>
      <c r="AB2012" s="7" t="str">
        <f>IF(ISBLANK(patch[[#This Row],[project]]), "",COUNTIFS($A:$A,patch[[#This Row],[number]],$S:$S, "SH And dev",$AD:$AD, "&lt;&gt;IntegratorValidationComment"))</f>
        <v/>
      </c>
      <c r="AC2012" s="7" t="str">
        <f>IF(OR(ISNUMBER(FIND("Review-1", patch[[#This Row],[comments]])), ISNUMBER(FIND("Approver-1", patch[[#This Row],[comments]]))), "Review-1", "")</f>
        <v/>
      </c>
      <c r="AD20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12" s="7">
        <f>IF(ISBLANK(patch[[#This Row],[number]]),AE2011,patch[[#This Row],[ifCommon]])</f>
        <v>0</v>
      </c>
    </row>
    <row r="2013" spans="1:31">
      <c r="A2013" s="151">
        <v>143756</v>
      </c>
      <c r="B2013" s="151"/>
      <c r="C2013" s="151"/>
      <c r="D2013" s="151"/>
      <c r="E2013" s="151"/>
      <c r="F2013" s="151"/>
      <c r="G2013" s="151"/>
      <c r="H2013" s="151"/>
      <c r="I2013" s="151"/>
      <c r="J2013" s="152">
        <v>42621.695</v>
      </c>
      <c r="K2013" s="151"/>
      <c r="L2013" s="151" t="s">
        <v>59</v>
      </c>
      <c r="M2013" s="152">
        <v>42620.495254629634</v>
      </c>
      <c r="N2013" s="151" t="s">
        <v>3584</v>
      </c>
      <c r="O2013" s="151"/>
      <c r="P2013" s="151"/>
      <c r="Q2013" s="7" t="str">
        <f>IF(ISBLANK(patch[[#This Row],[OwnerEmail]]),Q2012,patch[[#This Row],[OwnerEmail]])</f>
        <v>hongbiao.xie@intel.com</v>
      </c>
      <c r="R2013" s="7" t="str">
        <f>_xlfn.IFNA(VLOOKUP(patch[[#This Row],[tmp-owner.email]],OrgTree!$A:$K, 11, 0), "not ICG SWFW")</f>
        <v>BJ And dev</v>
      </c>
      <c r="S2013" s="7" t="str">
        <f>IF(patch[[#This Row],[reviewer]]=patch[[#This Row],[tmp-owner.email]], "author", _xlfn.IFNA(VLOOKUP(patch[[#This Row],[reviewer]],OrgTree!$A:$K, 11, 0), "not ICG SWFW"))</f>
        <v>BJ And dev</v>
      </c>
      <c r="T2013" s="7" t="str">
        <f>IF(ISBLANK(patch[[#This Row],[mergeDate]]), "", MID(YEAR(patch[[#This Row],[mergeDate]]), 3,2)&amp;"'ww"&amp;WEEKNUM(patch[[#This Row],[mergeDate]]))</f>
        <v>16'ww37</v>
      </c>
      <c r="U2013" s="7" t="str">
        <f>IF(ISBLANK(patch[[#This Row],[mergeDate]]), U2012, MID(YEAR(patch[[#This Row],[mergeDate]]), 3,2)&amp;"'m"&amp;MONTH(patch[[#This Row],[mergeDate]]))</f>
        <v>16'm9</v>
      </c>
      <c r="V2013" s="7" t="str">
        <f>IF(ISBLANK(patch[[#This Row],[project]]), "",SUM(patch[[#This Row],[BJ -1 num]:[SH -1 num]]))</f>
        <v/>
      </c>
      <c r="W2013" s="7" t="str">
        <f>IF(ISBLANK(patch[[#This Row],[project]]), "",COUNTIFS($A:$A,patch[[#This Row],[number]],$S:$S, "BJ And dev",$AC:$AC, "Review-1"))</f>
        <v/>
      </c>
      <c r="X2013" s="7" t="str">
        <f>IF(ISBLANK(patch[[#This Row],[project]]), "",COUNTIFS($A:$A,patch[[#This Row],[number]],$S:$S, "FL And dev",$AC:$AC, "Review-1"))</f>
        <v/>
      </c>
      <c r="Y2013" s="7" t="str">
        <f>IF(ISBLANK(patch[[#This Row],[project]]), "",COUNTIFS($A:$A,patch[[#This Row],[number]],$S:$S, "SH And dev",$AC:$AC, "Review-1"))</f>
        <v/>
      </c>
      <c r="Z2013" s="7" t="str">
        <f>IF(ISBLANK(patch[[#This Row],[project]]), "",COUNTIFS($A:$A,patch[[#This Row],[number]],$S:$S, "BJ And dev",$AD:$AD, "&lt;&gt;IntegratorValidationComment"))</f>
        <v/>
      </c>
      <c r="AA2013" s="7" t="str">
        <f>IF(ISBLANK(patch[[#This Row],[project]]), "",COUNTIFS($A:$A,patch[[#This Row],[number]],$S:$S, "FL And dev",$AD:$AD, "&lt;&gt;IntegratorValidationComment"))</f>
        <v/>
      </c>
      <c r="AB2013" s="7" t="str">
        <f>IF(ISBLANK(patch[[#This Row],[project]]), "",COUNTIFS($A:$A,patch[[#This Row],[number]],$S:$S, "SH And dev",$AD:$AD, "&lt;&gt;IntegratorValidationComment"))</f>
        <v/>
      </c>
      <c r="AC2013" s="7" t="str">
        <f>IF(OR(ISNUMBER(FIND("Review-1", patch[[#This Row],[comments]])), ISNUMBER(FIND("Approver-1", patch[[#This Row],[comments]]))), "Review-1", "")</f>
        <v/>
      </c>
      <c r="AD20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13" s="7">
        <f>IF(ISBLANK(patch[[#This Row],[number]]),AE2012,patch[[#This Row],[ifCommon]])</f>
        <v>0</v>
      </c>
    </row>
    <row r="2014" spans="1:31">
      <c r="A2014" s="151">
        <v>143756</v>
      </c>
      <c r="B2014" s="151"/>
      <c r="C2014" s="151"/>
      <c r="D2014" s="151"/>
      <c r="E2014" s="151"/>
      <c r="F2014" s="151"/>
      <c r="G2014" s="151"/>
      <c r="H2014" s="151"/>
      <c r="I2014" s="151"/>
      <c r="J2014" s="152">
        <v>42621.695</v>
      </c>
      <c r="K2014" s="151"/>
      <c r="L2014" s="151" t="s">
        <v>1237</v>
      </c>
      <c r="M2014" s="152">
        <v>42620.505277777767</v>
      </c>
      <c r="N2014" s="151" t="s">
        <v>40</v>
      </c>
      <c r="O2014" s="151"/>
      <c r="P2014" s="151"/>
      <c r="Q2014" s="7" t="str">
        <f>IF(ISBLANK(patch[[#This Row],[OwnerEmail]]),Q2013,patch[[#This Row],[OwnerEmail]])</f>
        <v>hongbiao.xie@intel.com</v>
      </c>
      <c r="R2014" s="7" t="str">
        <f>_xlfn.IFNA(VLOOKUP(patch[[#This Row],[tmp-owner.email]],OrgTree!$A:$K, 11, 0), "not ICG SWFW")</f>
        <v>BJ And dev</v>
      </c>
      <c r="S2014" s="7" t="str">
        <f>IF(patch[[#This Row],[reviewer]]=patch[[#This Row],[tmp-owner.email]], "author", _xlfn.IFNA(VLOOKUP(patch[[#This Row],[reviewer]],OrgTree!$A:$K, 11, 0), "not ICG SWFW"))</f>
        <v>BJ And dev</v>
      </c>
      <c r="T2014" s="7" t="str">
        <f>IF(ISBLANK(patch[[#This Row],[mergeDate]]), "", MID(YEAR(patch[[#This Row],[mergeDate]]), 3,2)&amp;"'ww"&amp;WEEKNUM(patch[[#This Row],[mergeDate]]))</f>
        <v>16'ww37</v>
      </c>
      <c r="U2014" s="7" t="str">
        <f>IF(ISBLANK(patch[[#This Row],[mergeDate]]), U2013, MID(YEAR(patch[[#This Row],[mergeDate]]), 3,2)&amp;"'m"&amp;MONTH(patch[[#This Row],[mergeDate]]))</f>
        <v>16'm9</v>
      </c>
      <c r="V2014" s="7" t="str">
        <f>IF(ISBLANK(patch[[#This Row],[project]]), "",SUM(patch[[#This Row],[BJ -1 num]:[SH -1 num]]))</f>
        <v/>
      </c>
      <c r="W2014" s="7" t="str">
        <f>IF(ISBLANK(patch[[#This Row],[project]]), "",COUNTIFS($A:$A,patch[[#This Row],[number]],$S:$S, "BJ And dev",$AC:$AC, "Review-1"))</f>
        <v/>
      </c>
      <c r="X2014" s="7" t="str">
        <f>IF(ISBLANK(patch[[#This Row],[project]]), "",COUNTIFS($A:$A,patch[[#This Row],[number]],$S:$S, "FL And dev",$AC:$AC, "Review-1"))</f>
        <v/>
      </c>
      <c r="Y2014" s="7" t="str">
        <f>IF(ISBLANK(patch[[#This Row],[project]]), "",COUNTIFS($A:$A,patch[[#This Row],[number]],$S:$S, "SH And dev",$AC:$AC, "Review-1"))</f>
        <v/>
      </c>
      <c r="Z2014" s="7" t="str">
        <f>IF(ISBLANK(patch[[#This Row],[project]]), "",COUNTIFS($A:$A,patch[[#This Row],[number]],$S:$S, "BJ And dev",$AD:$AD, "&lt;&gt;IntegratorValidationComment"))</f>
        <v/>
      </c>
      <c r="AA2014" s="7" t="str">
        <f>IF(ISBLANK(patch[[#This Row],[project]]), "",COUNTIFS($A:$A,patch[[#This Row],[number]],$S:$S, "FL And dev",$AD:$AD, "&lt;&gt;IntegratorValidationComment"))</f>
        <v/>
      </c>
      <c r="AB2014" s="7" t="str">
        <f>IF(ISBLANK(patch[[#This Row],[project]]), "",COUNTIFS($A:$A,patch[[#This Row],[number]],$S:$S, "SH And dev",$AD:$AD, "&lt;&gt;IntegratorValidationComment"))</f>
        <v/>
      </c>
      <c r="AC2014" s="7" t="str">
        <f>IF(OR(ISNUMBER(FIND("Review-1", patch[[#This Row],[comments]])), ISNUMBER(FIND("Approver-1", patch[[#This Row],[comments]]))), "Review-1", "")</f>
        <v/>
      </c>
      <c r="AD20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14" s="7">
        <f>IF(ISBLANK(patch[[#This Row],[number]]),AE2013,patch[[#This Row],[ifCommon]])</f>
        <v>0</v>
      </c>
    </row>
    <row r="2015" spans="1:31">
      <c r="A2015" s="151">
        <v>143756</v>
      </c>
      <c r="B2015" s="151"/>
      <c r="C2015" s="151"/>
      <c r="D2015" s="151"/>
      <c r="E2015" s="151"/>
      <c r="F2015" s="151"/>
      <c r="G2015" s="151"/>
      <c r="H2015" s="151"/>
      <c r="I2015" s="151"/>
      <c r="J2015" s="152">
        <v>42621.695</v>
      </c>
      <c r="K2015" s="151"/>
      <c r="L2015" s="151" t="s">
        <v>32</v>
      </c>
      <c r="M2015" s="152">
        <v>42620.507476851853</v>
      </c>
      <c r="N2015" s="151" t="s">
        <v>1880</v>
      </c>
      <c r="O2015" s="151"/>
      <c r="P2015" s="151"/>
      <c r="Q2015" s="7" t="str">
        <f>IF(ISBLANK(patch[[#This Row],[OwnerEmail]]),Q2014,patch[[#This Row],[OwnerEmail]])</f>
        <v>hongbiao.xie@intel.com</v>
      </c>
      <c r="R2015" s="7" t="str">
        <f>_xlfn.IFNA(VLOOKUP(patch[[#This Row],[tmp-owner.email]],OrgTree!$A:$K, 11, 0), "not ICG SWFW")</f>
        <v>BJ And dev</v>
      </c>
      <c r="S2015" s="7" t="str">
        <f>IF(patch[[#This Row],[reviewer]]=patch[[#This Row],[tmp-owner.email]], "author", _xlfn.IFNA(VLOOKUP(patch[[#This Row],[reviewer]],OrgTree!$A:$K, 11, 0), "not ICG SWFW"))</f>
        <v>BJ And dev</v>
      </c>
      <c r="T2015" s="7" t="str">
        <f>IF(ISBLANK(patch[[#This Row],[mergeDate]]), "", MID(YEAR(patch[[#This Row],[mergeDate]]), 3,2)&amp;"'ww"&amp;WEEKNUM(patch[[#This Row],[mergeDate]]))</f>
        <v>16'ww37</v>
      </c>
      <c r="U2015" s="7" t="str">
        <f>IF(ISBLANK(patch[[#This Row],[mergeDate]]), U2014, MID(YEAR(patch[[#This Row],[mergeDate]]), 3,2)&amp;"'m"&amp;MONTH(patch[[#This Row],[mergeDate]]))</f>
        <v>16'm9</v>
      </c>
      <c r="V2015" s="7" t="str">
        <f>IF(ISBLANK(patch[[#This Row],[project]]), "",SUM(patch[[#This Row],[BJ -1 num]:[SH -1 num]]))</f>
        <v/>
      </c>
      <c r="W2015" s="7" t="str">
        <f>IF(ISBLANK(patch[[#This Row],[project]]), "",COUNTIFS($A:$A,patch[[#This Row],[number]],$S:$S, "BJ And dev",$AC:$AC, "Review-1"))</f>
        <v/>
      </c>
      <c r="X2015" s="7" t="str">
        <f>IF(ISBLANK(patch[[#This Row],[project]]), "",COUNTIFS($A:$A,patch[[#This Row],[number]],$S:$S, "FL And dev",$AC:$AC, "Review-1"))</f>
        <v/>
      </c>
      <c r="Y2015" s="7" t="str">
        <f>IF(ISBLANK(patch[[#This Row],[project]]), "",COUNTIFS($A:$A,patch[[#This Row],[number]],$S:$S, "SH And dev",$AC:$AC, "Review-1"))</f>
        <v/>
      </c>
      <c r="Z2015" s="7" t="str">
        <f>IF(ISBLANK(patch[[#This Row],[project]]), "",COUNTIFS($A:$A,patch[[#This Row],[number]],$S:$S, "BJ And dev",$AD:$AD, "&lt;&gt;IntegratorValidationComment"))</f>
        <v/>
      </c>
      <c r="AA2015" s="7" t="str">
        <f>IF(ISBLANK(patch[[#This Row],[project]]), "",COUNTIFS($A:$A,patch[[#This Row],[number]],$S:$S, "FL And dev",$AD:$AD, "&lt;&gt;IntegratorValidationComment"))</f>
        <v/>
      </c>
      <c r="AB2015" s="7" t="str">
        <f>IF(ISBLANK(patch[[#This Row],[project]]), "",COUNTIFS($A:$A,patch[[#This Row],[number]],$S:$S, "SH And dev",$AD:$AD, "&lt;&gt;IntegratorValidationComment"))</f>
        <v/>
      </c>
      <c r="AC2015" s="7" t="str">
        <f>IF(OR(ISNUMBER(FIND("Review-1", patch[[#This Row],[comments]])), ISNUMBER(FIND("Approver-1", patch[[#This Row],[comments]]))), "Review-1", "")</f>
        <v/>
      </c>
      <c r="AD20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15" s="7">
        <f>IF(ISBLANK(patch[[#This Row],[number]]),AE2014,patch[[#This Row],[ifCommon]])</f>
        <v>0</v>
      </c>
    </row>
    <row r="2016" spans="1:31">
      <c r="A2016" s="151">
        <v>143756</v>
      </c>
      <c r="B2016" s="151"/>
      <c r="C2016" s="151"/>
      <c r="D2016" s="151"/>
      <c r="E2016" s="151"/>
      <c r="F2016" s="151"/>
      <c r="G2016" s="151"/>
      <c r="H2016" s="151"/>
      <c r="I2016" s="151"/>
      <c r="J2016" s="152">
        <v>42621.695</v>
      </c>
      <c r="K2016" s="151"/>
      <c r="L2016" s="151" t="s">
        <v>72</v>
      </c>
      <c r="M2016" s="152">
        <v>42620.566712962973</v>
      </c>
      <c r="N2016" s="151" t="s">
        <v>40</v>
      </c>
      <c r="O2016" s="151"/>
      <c r="P2016" s="151"/>
      <c r="Q2016" s="7" t="str">
        <f>IF(ISBLANK(patch[[#This Row],[OwnerEmail]]),Q2015,patch[[#This Row],[OwnerEmail]])</f>
        <v>hongbiao.xie@intel.com</v>
      </c>
      <c r="R2016" s="7" t="str">
        <f>_xlfn.IFNA(VLOOKUP(patch[[#This Row],[tmp-owner.email]],OrgTree!$A:$K, 11, 0), "not ICG SWFW")</f>
        <v>BJ And dev</v>
      </c>
      <c r="S2016" s="7" t="str">
        <f>IF(patch[[#This Row],[reviewer]]=patch[[#This Row],[tmp-owner.email]], "author", _xlfn.IFNA(VLOOKUP(patch[[#This Row],[reviewer]],OrgTree!$A:$K, 11, 0), "not ICG SWFW"))</f>
        <v>BJ And dev</v>
      </c>
      <c r="T2016" s="7" t="str">
        <f>IF(ISBLANK(patch[[#This Row],[mergeDate]]), "", MID(YEAR(patch[[#This Row],[mergeDate]]), 3,2)&amp;"'ww"&amp;WEEKNUM(patch[[#This Row],[mergeDate]]))</f>
        <v>16'ww37</v>
      </c>
      <c r="U2016" s="7" t="str">
        <f>IF(ISBLANK(patch[[#This Row],[mergeDate]]), U2015, MID(YEAR(patch[[#This Row],[mergeDate]]), 3,2)&amp;"'m"&amp;MONTH(patch[[#This Row],[mergeDate]]))</f>
        <v>16'm9</v>
      </c>
      <c r="V2016" s="7" t="str">
        <f>IF(ISBLANK(patch[[#This Row],[project]]), "",SUM(patch[[#This Row],[BJ -1 num]:[SH -1 num]]))</f>
        <v/>
      </c>
      <c r="W2016" s="7" t="str">
        <f>IF(ISBLANK(patch[[#This Row],[project]]), "",COUNTIFS($A:$A,patch[[#This Row],[number]],$S:$S, "BJ And dev",$AC:$AC, "Review-1"))</f>
        <v/>
      </c>
      <c r="X2016" s="7" t="str">
        <f>IF(ISBLANK(patch[[#This Row],[project]]), "",COUNTIFS($A:$A,patch[[#This Row],[number]],$S:$S, "FL And dev",$AC:$AC, "Review-1"))</f>
        <v/>
      </c>
      <c r="Y2016" s="7" t="str">
        <f>IF(ISBLANK(patch[[#This Row],[project]]), "",COUNTIFS($A:$A,patch[[#This Row],[number]],$S:$S, "SH And dev",$AC:$AC, "Review-1"))</f>
        <v/>
      </c>
      <c r="Z2016" s="7" t="str">
        <f>IF(ISBLANK(patch[[#This Row],[project]]), "",COUNTIFS($A:$A,patch[[#This Row],[number]],$S:$S, "BJ And dev",$AD:$AD, "&lt;&gt;IntegratorValidationComment"))</f>
        <v/>
      </c>
      <c r="AA2016" s="7" t="str">
        <f>IF(ISBLANK(patch[[#This Row],[project]]), "",COUNTIFS($A:$A,patch[[#This Row],[number]],$S:$S, "FL And dev",$AD:$AD, "&lt;&gt;IntegratorValidationComment"))</f>
        <v/>
      </c>
      <c r="AB2016" s="7" t="str">
        <f>IF(ISBLANK(patch[[#This Row],[project]]), "",COUNTIFS($A:$A,patch[[#This Row],[number]],$S:$S, "SH And dev",$AD:$AD, "&lt;&gt;IntegratorValidationComment"))</f>
        <v/>
      </c>
      <c r="AC2016" s="7" t="str">
        <f>IF(OR(ISNUMBER(FIND("Review-1", patch[[#This Row],[comments]])), ISNUMBER(FIND("Approver-1", patch[[#This Row],[comments]]))), "Review-1", "")</f>
        <v/>
      </c>
      <c r="AD20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16" s="7">
        <f>IF(ISBLANK(patch[[#This Row],[number]]),AE2015,patch[[#This Row],[ifCommon]])</f>
        <v>0</v>
      </c>
    </row>
    <row r="2017" spans="1:31">
      <c r="A2017" s="151">
        <v>143756</v>
      </c>
      <c r="B2017" s="151"/>
      <c r="C2017" s="151"/>
      <c r="D2017" s="151"/>
      <c r="E2017" s="151"/>
      <c r="F2017" s="151"/>
      <c r="G2017" s="151"/>
      <c r="H2017" s="151"/>
      <c r="I2017" s="152"/>
      <c r="J2017" s="152">
        <v>42621.695</v>
      </c>
      <c r="K2017" s="151"/>
      <c r="L2017" s="151" t="s">
        <v>115</v>
      </c>
      <c r="M2017" s="152">
        <v>42621.419918981483</v>
      </c>
      <c r="N2017" s="151" t="s">
        <v>2494</v>
      </c>
      <c r="O2017" s="151"/>
      <c r="P2017" s="151"/>
      <c r="Q2017" s="7" t="str">
        <f>IF(ISBLANK(patch[[#This Row],[OwnerEmail]]),Q2016,patch[[#This Row],[OwnerEmail]])</f>
        <v>hongbiao.xie@intel.com</v>
      </c>
      <c r="R2017" s="7" t="str">
        <f>_xlfn.IFNA(VLOOKUP(patch[[#This Row],[tmp-owner.email]],OrgTree!$A:$K, 11, 0), "not ICG SWFW")</f>
        <v>BJ And dev</v>
      </c>
      <c r="S2017" s="7" t="str">
        <f>IF(patch[[#This Row],[reviewer]]=patch[[#This Row],[tmp-owner.email]], "author", _xlfn.IFNA(VLOOKUP(patch[[#This Row],[reviewer]],OrgTree!$A:$K, 11, 0), "not ICG SWFW"))</f>
        <v>Val</v>
      </c>
      <c r="T2017" s="7" t="str">
        <f>IF(ISBLANK(patch[[#This Row],[mergeDate]]), "", MID(YEAR(patch[[#This Row],[mergeDate]]), 3,2)&amp;"'ww"&amp;WEEKNUM(patch[[#This Row],[mergeDate]]))</f>
        <v>16'ww37</v>
      </c>
      <c r="U2017" s="7" t="str">
        <f>IF(ISBLANK(patch[[#This Row],[mergeDate]]), U2016, MID(YEAR(patch[[#This Row],[mergeDate]]), 3,2)&amp;"'m"&amp;MONTH(patch[[#This Row],[mergeDate]]))</f>
        <v>16'm9</v>
      </c>
      <c r="V2017" s="7" t="str">
        <f>IF(ISBLANK(patch[[#This Row],[project]]), "",SUM(patch[[#This Row],[BJ -1 num]:[SH -1 num]]))</f>
        <v/>
      </c>
      <c r="W2017" s="7" t="str">
        <f>IF(ISBLANK(patch[[#This Row],[project]]), "",COUNTIFS($A:$A,patch[[#This Row],[number]],$S:$S, "BJ And dev",$AC:$AC, "Review-1"))</f>
        <v/>
      </c>
      <c r="X2017" s="7" t="str">
        <f>IF(ISBLANK(patch[[#This Row],[project]]), "",COUNTIFS($A:$A,patch[[#This Row],[number]],$S:$S, "FL And dev",$AC:$AC, "Review-1"))</f>
        <v/>
      </c>
      <c r="Y2017" s="7" t="str">
        <f>IF(ISBLANK(patch[[#This Row],[project]]), "",COUNTIFS($A:$A,patch[[#This Row],[number]],$S:$S, "SH And dev",$AC:$AC, "Review-1"))</f>
        <v/>
      </c>
      <c r="Z2017" s="7" t="str">
        <f>IF(ISBLANK(patch[[#This Row],[project]]), "",COUNTIFS($A:$A,patch[[#This Row],[number]],$S:$S, "BJ And dev",$AD:$AD, "&lt;&gt;IntegratorValidationComment"))</f>
        <v/>
      </c>
      <c r="AA2017" s="7" t="str">
        <f>IF(ISBLANK(patch[[#This Row],[project]]), "",COUNTIFS($A:$A,patch[[#This Row],[number]],$S:$S, "FL And dev",$AD:$AD, "&lt;&gt;IntegratorValidationComment"))</f>
        <v/>
      </c>
      <c r="AB2017" s="7" t="str">
        <f>IF(ISBLANK(patch[[#This Row],[project]]), "",COUNTIFS($A:$A,patch[[#This Row],[number]],$S:$S, "SH And dev",$AD:$AD, "&lt;&gt;IntegratorValidationComment"))</f>
        <v/>
      </c>
      <c r="AC2017" s="7" t="str">
        <f>IF(OR(ISNUMBER(FIND("Review-1", patch[[#This Row],[comments]])), ISNUMBER(FIND("Approver-1", patch[[#This Row],[comments]]))), "Review-1", "")</f>
        <v/>
      </c>
      <c r="AD20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017" s="7">
        <f>IF(ISBLANK(patch[[#This Row],[number]]),AE2016,patch[[#This Row],[ifCommon]])</f>
        <v>0</v>
      </c>
    </row>
    <row r="2018" spans="1:31">
      <c r="A2018" s="151">
        <v>142561</v>
      </c>
      <c r="B2018" s="151" t="s">
        <v>2490</v>
      </c>
      <c r="C2018" s="151" t="s">
        <v>2491</v>
      </c>
      <c r="D2018" s="151" t="s">
        <v>3585</v>
      </c>
      <c r="E2018" s="151" t="s">
        <v>32</v>
      </c>
      <c r="F2018" s="151" t="s">
        <v>23</v>
      </c>
      <c r="G2018" s="151" t="s">
        <v>3586</v>
      </c>
      <c r="H2018" s="151" t="s">
        <v>3587</v>
      </c>
      <c r="I2018" s="152">
        <v>42613.785555555558</v>
      </c>
      <c r="J2018" s="152">
        <v>42621.694907407407</v>
      </c>
      <c r="K2018" s="151" t="s">
        <v>2445</v>
      </c>
      <c r="L2018" s="151" t="s">
        <v>32</v>
      </c>
      <c r="M2018" s="152">
        <v>42613.785555555558</v>
      </c>
      <c r="N2018" s="151" t="s">
        <v>25</v>
      </c>
      <c r="O2018" s="151"/>
      <c r="P2018" s="151" t="s">
        <v>3493</v>
      </c>
      <c r="Q2018" s="7" t="str">
        <f>IF(ISBLANK(patch[[#This Row],[OwnerEmail]]),Q2017,patch[[#This Row],[OwnerEmail]])</f>
        <v>gang.a.hu@intel.com</v>
      </c>
      <c r="R2018" s="7" t="str">
        <f>_xlfn.IFNA(VLOOKUP(patch[[#This Row],[tmp-owner.email]],OrgTree!$A:$K, 11, 0), "not ICG SWFW")</f>
        <v>BJ And dev</v>
      </c>
      <c r="S2018" s="7" t="str">
        <f>IF(patch[[#This Row],[reviewer]]=patch[[#This Row],[tmp-owner.email]], "author", _xlfn.IFNA(VLOOKUP(patch[[#This Row],[reviewer]],OrgTree!$A:$K, 11, 0), "not ICG SWFW"))</f>
        <v>author</v>
      </c>
      <c r="T2018" s="7" t="str">
        <f>IF(ISBLANK(patch[[#This Row],[mergeDate]]), "", MID(YEAR(patch[[#This Row],[mergeDate]]), 3,2)&amp;"'ww"&amp;WEEKNUM(patch[[#This Row],[mergeDate]]))</f>
        <v>16'ww37</v>
      </c>
      <c r="U2018" s="7" t="str">
        <f>IF(ISBLANK(patch[[#This Row],[mergeDate]]), U2017, MID(YEAR(patch[[#This Row],[mergeDate]]), 3,2)&amp;"'m"&amp;MONTH(patch[[#This Row],[mergeDate]]))</f>
        <v>16'm9</v>
      </c>
      <c r="V2018" s="7">
        <f>IF(ISBLANK(patch[[#This Row],[project]]), "",SUM(patch[[#This Row],[BJ -1 num]:[SH -1 num]]))</f>
        <v>0</v>
      </c>
      <c r="W2018" s="7">
        <f>IF(ISBLANK(patch[[#This Row],[project]]), "",COUNTIFS($A:$A,patch[[#This Row],[number]],$S:$S, "BJ And dev",$AC:$AC, "Review-1"))</f>
        <v>0</v>
      </c>
      <c r="X2018" s="7">
        <f>IF(ISBLANK(patch[[#This Row],[project]]), "",COUNTIFS($A:$A,patch[[#This Row],[number]],$S:$S, "FL And dev",$AC:$AC, "Review-1"))</f>
        <v>0</v>
      </c>
      <c r="Y2018" s="7">
        <f>IF(ISBLANK(patch[[#This Row],[project]]), "",COUNTIFS($A:$A,patch[[#This Row],[number]],$S:$S, "SH And dev",$AC:$AC, "Review-1"))</f>
        <v>0</v>
      </c>
      <c r="Z2018" s="7">
        <f>IF(ISBLANK(patch[[#This Row],[project]]), "",COUNTIFS($A:$A,patch[[#This Row],[number]],$S:$S, "BJ And dev",$AD:$AD, "&lt;&gt;IntegratorValidationComment"))</f>
        <v>16</v>
      </c>
      <c r="AA2018" s="7">
        <f>IF(ISBLANK(patch[[#This Row],[project]]), "",COUNTIFS($A:$A,patch[[#This Row],[number]],$S:$S, "FL And dev",$AD:$AD, "&lt;&gt;IntegratorValidationComment"))</f>
        <v>0</v>
      </c>
      <c r="AB2018" s="7">
        <f>IF(ISBLANK(patch[[#This Row],[project]]), "",COUNTIFS($A:$A,patch[[#This Row],[number]],$S:$S, "SH And dev",$AD:$AD, "&lt;&gt;IntegratorValidationComment"))</f>
        <v>0</v>
      </c>
      <c r="AC2018" s="7" t="str">
        <f>IF(OR(ISNUMBER(FIND("Review-1", patch[[#This Row],[comments]])), ISNUMBER(FIND("Approver-1", patch[[#This Row],[comments]]))), "Review-1", "")</f>
        <v/>
      </c>
      <c r="AD20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18" s="7" t="str">
        <f>IF(ISBLANK(patch[[#This Row],[number]]),AE2017,patch[[#This Row],[ifCommon]])</f>
        <v>not AndrHAL</v>
      </c>
    </row>
    <row r="2019" spans="1:31">
      <c r="A2019" s="151">
        <v>142561</v>
      </c>
      <c r="B2019" s="151"/>
      <c r="C2019" s="151"/>
      <c r="D2019" s="151"/>
      <c r="E2019" s="151"/>
      <c r="F2019" s="151"/>
      <c r="G2019" s="151"/>
      <c r="H2019" s="151"/>
      <c r="I2019" s="151"/>
      <c r="J2019" s="152">
        <v>42621.694907407407</v>
      </c>
      <c r="K2019" s="151"/>
      <c r="L2019" s="151" t="s">
        <v>32</v>
      </c>
      <c r="M2019" s="152">
        <v>42613.785578703697</v>
      </c>
      <c r="N2019" s="151" t="s">
        <v>2428</v>
      </c>
      <c r="O2019" s="151"/>
      <c r="P2019" s="151"/>
      <c r="Q2019" s="7" t="str">
        <f>IF(ISBLANK(patch[[#This Row],[OwnerEmail]]),Q2018,patch[[#This Row],[OwnerEmail]])</f>
        <v>gang.a.hu@intel.com</v>
      </c>
      <c r="R2019" s="7" t="str">
        <f>_xlfn.IFNA(VLOOKUP(patch[[#This Row],[tmp-owner.email]],OrgTree!$A:$K, 11, 0), "not ICG SWFW")</f>
        <v>BJ And dev</v>
      </c>
      <c r="S2019" s="7" t="str">
        <f>IF(patch[[#This Row],[reviewer]]=patch[[#This Row],[tmp-owner.email]], "author", _xlfn.IFNA(VLOOKUP(patch[[#This Row],[reviewer]],OrgTree!$A:$K, 11, 0), "not ICG SWFW"))</f>
        <v>author</v>
      </c>
      <c r="T2019" s="7" t="str">
        <f>IF(ISBLANK(patch[[#This Row],[mergeDate]]), "", MID(YEAR(patch[[#This Row],[mergeDate]]), 3,2)&amp;"'ww"&amp;WEEKNUM(patch[[#This Row],[mergeDate]]))</f>
        <v>16'ww37</v>
      </c>
      <c r="U2019" s="7" t="str">
        <f>IF(ISBLANK(patch[[#This Row],[mergeDate]]), U2018, MID(YEAR(patch[[#This Row],[mergeDate]]), 3,2)&amp;"'m"&amp;MONTH(patch[[#This Row],[mergeDate]]))</f>
        <v>16'm9</v>
      </c>
      <c r="V2019" s="7" t="str">
        <f>IF(ISBLANK(patch[[#This Row],[project]]), "",SUM(patch[[#This Row],[BJ -1 num]:[SH -1 num]]))</f>
        <v/>
      </c>
      <c r="W2019" s="7" t="str">
        <f>IF(ISBLANK(patch[[#This Row],[project]]), "",COUNTIFS($A:$A,patch[[#This Row],[number]],$S:$S, "BJ And dev",$AC:$AC, "Review-1"))</f>
        <v/>
      </c>
      <c r="X2019" s="7" t="str">
        <f>IF(ISBLANK(patch[[#This Row],[project]]), "",COUNTIFS($A:$A,patch[[#This Row],[number]],$S:$S, "FL And dev",$AC:$AC, "Review-1"))</f>
        <v/>
      </c>
      <c r="Y2019" s="7" t="str">
        <f>IF(ISBLANK(patch[[#This Row],[project]]), "",COUNTIFS($A:$A,patch[[#This Row],[number]],$S:$S, "SH And dev",$AC:$AC, "Review-1"))</f>
        <v/>
      </c>
      <c r="Z2019" s="7" t="str">
        <f>IF(ISBLANK(patch[[#This Row],[project]]), "",COUNTIFS($A:$A,patch[[#This Row],[number]],$S:$S, "BJ And dev",$AD:$AD, "&lt;&gt;IntegratorValidationComment"))</f>
        <v/>
      </c>
      <c r="AA2019" s="7" t="str">
        <f>IF(ISBLANK(patch[[#This Row],[project]]), "",COUNTIFS($A:$A,patch[[#This Row],[number]],$S:$S, "FL And dev",$AD:$AD, "&lt;&gt;IntegratorValidationComment"))</f>
        <v/>
      </c>
      <c r="AB2019" s="7" t="str">
        <f>IF(ISBLANK(patch[[#This Row],[project]]), "",COUNTIFS($A:$A,patch[[#This Row],[number]],$S:$S, "SH And dev",$AD:$AD, "&lt;&gt;IntegratorValidationComment"))</f>
        <v/>
      </c>
      <c r="AC2019" s="7" t="str">
        <f>IF(OR(ISNUMBER(FIND("Review-1", patch[[#This Row],[comments]])), ISNUMBER(FIND("Approver-1", patch[[#This Row],[comments]]))), "Review-1", "")</f>
        <v/>
      </c>
      <c r="AD20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19" s="7">
        <f>IF(ISBLANK(patch[[#This Row],[number]]),AE2018,patch[[#This Row],[ifCommon]])</f>
        <v>0</v>
      </c>
    </row>
    <row r="2020" spans="1:31">
      <c r="A2020" s="151">
        <v>142561</v>
      </c>
      <c r="B2020" s="151"/>
      <c r="C2020" s="151"/>
      <c r="D2020" s="151"/>
      <c r="E2020" s="151"/>
      <c r="F2020" s="151"/>
      <c r="G2020" s="151"/>
      <c r="H2020" s="151"/>
      <c r="I2020" s="151"/>
      <c r="J2020" s="152">
        <v>42621.694907407407</v>
      </c>
      <c r="K2020" s="151"/>
      <c r="L2020" s="151" t="s">
        <v>59</v>
      </c>
      <c r="M2020" s="152">
        <v>42613.792233796303</v>
      </c>
      <c r="N2020" s="151" t="s">
        <v>3588</v>
      </c>
      <c r="O2020" s="151"/>
      <c r="P2020" s="151"/>
      <c r="Q2020" s="7" t="str">
        <f>IF(ISBLANK(patch[[#This Row],[OwnerEmail]]),Q2019,patch[[#This Row],[OwnerEmail]])</f>
        <v>gang.a.hu@intel.com</v>
      </c>
      <c r="R2020" s="7" t="str">
        <f>_xlfn.IFNA(VLOOKUP(patch[[#This Row],[tmp-owner.email]],OrgTree!$A:$K, 11, 0), "not ICG SWFW")</f>
        <v>BJ And dev</v>
      </c>
      <c r="S2020" s="7" t="str">
        <f>IF(patch[[#This Row],[reviewer]]=patch[[#This Row],[tmp-owner.email]], "author", _xlfn.IFNA(VLOOKUP(patch[[#This Row],[reviewer]],OrgTree!$A:$K, 11, 0), "not ICG SWFW"))</f>
        <v>BJ And dev</v>
      </c>
      <c r="T2020" s="7" t="str">
        <f>IF(ISBLANK(patch[[#This Row],[mergeDate]]), "", MID(YEAR(patch[[#This Row],[mergeDate]]), 3,2)&amp;"'ww"&amp;WEEKNUM(patch[[#This Row],[mergeDate]]))</f>
        <v>16'ww37</v>
      </c>
      <c r="U2020" s="7" t="str">
        <f>IF(ISBLANK(patch[[#This Row],[mergeDate]]), U2019, MID(YEAR(patch[[#This Row],[mergeDate]]), 3,2)&amp;"'m"&amp;MONTH(patch[[#This Row],[mergeDate]]))</f>
        <v>16'm9</v>
      </c>
      <c r="V2020" s="7" t="str">
        <f>IF(ISBLANK(patch[[#This Row],[project]]), "",SUM(patch[[#This Row],[BJ -1 num]:[SH -1 num]]))</f>
        <v/>
      </c>
      <c r="W2020" s="7" t="str">
        <f>IF(ISBLANK(patch[[#This Row],[project]]), "",COUNTIFS($A:$A,patch[[#This Row],[number]],$S:$S, "BJ And dev",$AC:$AC, "Review-1"))</f>
        <v/>
      </c>
      <c r="X2020" s="7" t="str">
        <f>IF(ISBLANK(patch[[#This Row],[project]]), "",COUNTIFS($A:$A,patch[[#This Row],[number]],$S:$S, "FL And dev",$AC:$AC, "Review-1"))</f>
        <v/>
      </c>
      <c r="Y2020" s="7" t="str">
        <f>IF(ISBLANK(patch[[#This Row],[project]]), "",COUNTIFS($A:$A,patch[[#This Row],[number]],$S:$S, "SH And dev",$AC:$AC, "Review-1"))</f>
        <v/>
      </c>
      <c r="Z2020" s="7" t="str">
        <f>IF(ISBLANK(patch[[#This Row],[project]]), "",COUNTIFS($A:$A,patch[[#This Row],[number]],$S:$S, "BJ And dev",$AD:$AD, "&lt;&gt;IntegratorValidationComment"))</f>
        <v/>
      </c>
      <c r="AA2020" s="7" t="str">
        <f>IF(ISBLANK(patch[[#This Row],[project]]), "",COUNTIFS($A:$A,patch[[#This Row],[number]],$S:$S, "FL And dev",$AD:$AD, "&lt;&gt;IntegratorValidationComment"))</f>
        <v/>
      </c>
      <c r="AB2020" s="7" t="str">
        <f>IF(ISBLANK(patch[[#This Row],[project]]), "",COUNTIFS($A:$A,patch[[#This Row],[number]],$S:$S, "SH And dev",$AD:$AD, "&lt;&gt;IntegratorValidationComment"))</f>
        <v/>
      </c>
      <c r="AC2020" s="7" t="str">
        <f>IF(OR(ISNUMBER(FIND("Review-1", patch[[#This Row],[comments]])), ISNUMBER(FIND("Approver-1", patch[[#This Row],[comments]]))), "Review-1", "")</f>
        <v/>
      </c>
      <c r="AD20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20" s="7">
        <f>IF(ISBLANK(patch[[#This Row],[number]]),AE2019,patch[[#This Row],[ifCommon]])</f>
        <v>0</v>
      </c>
    </row>
    <row r="2021" spans="1:31">
      <c r="A2021" s="151">
        <v>142561</v>
      </c>
      <c r="B2021" s="151"/>
      <c r="C2021" s="151"/>
      <c r="D2021" s="151"/>
      <c r="E2021" s="151"/>
      <c r="F2021" s="151"/>
      <c r="G2021" s="151"/>
      <c r="H2021" s="151"/>
      <c r="I2021" s="151"/>
      <c r="J2021" s="152">
        <v>42621.694907407407</v>
      </c>
      <c r="K2021" s="151"/>
      <c r="L2021" s="151" t="s">
        <v>59</v>
      </c>
      <c r="M2021" s="152">
        <v>42613.794571759259</v>
      </c>
      <c r="N2021" s="151" t="s">
        <v>3589</v>
      </c>
      <c r="O2021" s="151"/>
      <c r="P2021" s="151"/>
      <c r="Q2021" s="7" t="str">
        <f>IF(ISBLANK(patch[[#This Row],[OwnerEmail]]),Q2020,patch[[#This Row],[OwnerEmail]])</f>
        <v>gang.a.hu@intel.com</v>
      </c>
      <c r="R2021" s="7" t="str">
        <f>_xlfn.IFNA(VLOOKUP(patch[[#This Row],[tmp-owner.email]],OrgTree!$A:$K, 11, 0), "not ICG SWFW")</f>
        <v>BJ And dev</v>
      </c>
      <c r="S2021" s="7" t="str">
        <f>IF(patch[[#This Row],[reviewer]]=patch[[#This Row],[tmp-owner.email]], "author", _xlfn.IFNA(VLOOKUP(patch[[#This Row],[reviewer]],OrgTree!$A:$K, 11, 0), "not ICG SWFW"))</f>
        <v>BJ And dev</v>
      </c>
      <c r="T2021" s="7" t="str">
        <f>IF(ISBLANK(patch[[#This Row],[mergeDate]]), "", MID(YEAR(patch[[#This Row],[mergeDate]]), 3,2)&amp;"'ww"&amp;WEEKNUM(patch[[#This Row],[mergeDate]]))</f>
        <v>16'ww37</v>
      </c>
      <c r="U2021" s="7" t="str">
        <f>IF(ISBLANK(patch[[#This Row],[mergeDate]]), U2020, MID(YEAR(patch[[#This Row],[mergeDate]]), 3,2)&amp;"'m"&amp;MONTH(patch[[#This Row],[mergeDate]]))</f>
        <v>16'm9</v>
      </c>
      <c r="V2021" s="7" t="str">
        <f>IF(ISBLANK(patch[[#This Row],[project]]), "",SUM(patch[[#This Row],[BJ -1 num]:[SH -1 num]]))</f>
        <v/>
      </c>
      <c r="W2021" s="7" t="str">
        <f>IF(ISBLANK(patch[[#This Row],[project]]), "",COUNTIFS($A:$A,patch[[#This Row],[number]],$S:$S, "BJ And dev",$AC:$AC, "Review-1"))</f>
        <v/>
      </c>
      <c r="X2021" s="7" t="str">
        <f>IF(ISBLANK(patch[[#This Row],[project]]), "",COUNTIFS($A:$A,patch[[#This Row],[number]],$S:$S, "FL And dev",$AC:$AC, "Review-1"))</f>
        <v/>
      </c>
      <c r="Y2021" s="7" t="str">
        <f>IF(ISBLANK(patch[[#This Row],[project]]), "",COUNTIFS($A:$A,patch[[#This Row],[number]],$S:$S, "SH And dev",$AC:$AC, "Review-1"))</f>
        <v/>
      </c>
      <c r="Z2021" s="7" t="str">
        <f>IF(ISBLANK(patch[[#This Row],[project]]), "",COUNTIFS($A:$A,patch[[#This Row],[number]],$S:$S, "BJ And dev",$AD:$AD, "&lt;&gt;IntegratorValidationComment"))</f>
        <v/>
      </c>
      <c r="AA2021" s="7" t="str">
        <f>IF(ISBLANK(patch[[#This Row],[project]]), "",COUNTIFS($A:$A,patch[[#This Row],[number]],$S:$S, "FL And dev",$AD:$AD, "&lt;&gt;IntegratorValidationComment"))</f>
        <v/>
      </c>
      <c r="AB2021" s="7" t="str">
        <f>IF(ISBLANK(patch[[#This Row],[project]]), "",COUNTIFS($A:$A,patch[[#This Row],[number]],$S:$S, "SH And dev",$AD:$AD, "&lt;&gt;IntegratorValidationComment"))</f>
        <v/>
      </c>
      <c r="AC2021" s="7" t="str">
        <f>IF(OR(ISNUMBER(FIND("Review-1", patch[[#This Row],[comments]])), ISNUMBER(FIND("Approver-1", patch[[#This Row],[comments]]))), "Review-1", "")</f>
        <v/>
      </c>
      <c r="AD20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21" s="7">
        <f>IF(ISBLANK(patch[[#This Row],[number]]),AE2020,patch[[#This Row],[ifCommon]])</f>
        <v>0</v>
      </c>
    </row>
    <row r="2022" spans="1:31">
      <c r="A2022" s="151">
        <v>142561</v>
      </c>
      <c r="B2022" s="151"/>
      <c r="C2022" s="151"/>
      <c r="D2022" s="151"/>
      <c r="E2022" s="151"/>
      <c r="F2022" s="151"/>
      <c r="G2022" s="151"/>
      <c r="H2022" s="151"/>
      <c r="I2022" s="151"/>
      <c r="J2022" s="152">
        <v>42621.694907407407</v>
      </c>
      <c r="K2022" s="151"/>
      <c r="L2022" s="151" t="s">
        <v>32</v>
      </c>
      <c r="M2022" s="152">
        <v>42614.44222222222</v>
      </c>
      <c r="N2022" s="151" t="s">
        <v>29</v>
      </c>
      <c r="O2022" s="151"/>
      <c r="P2022" s="151"/>
      <c r="Q2022" s="7" t="str">
        <f>IF(ISBLANK(patch[[#This Row],[OwnerEmail]]),Q2021,patch[[#This Row],[OwnerEmail]])</f>
        <v>gang.a.hu@intel.com</v>
      </c>
      <c r="R2022" s="7" t="str">
        <f>_xlfn.IFNA(VLOOKUP(patch[[#This Row],[tmp-owner.email]],OrgTree!$A:$K, 11, 0), "not ICG SWFW")</f>
        <v>BJ And dev</v>
      </c>
      <c r="S2022" s="7" t="str">
        <f>IF(patch[[#This Row],[reviewer]]=patch[[#This Row],[tmp-owner.email]], "author", _xlfn.IFNA(VLOOKUP(patch[[#This Row],[reviewer]],OrgTree!$A:$K, 11, 0), "not ICG SWFW"))</f>
        <v>author</v>
      </c>
      <c r="T2022" s="7" t="str">
        <f>IF(ISBLANK(patch[[#This Row],[mergeDate]]), "", MID(YEAR(patch[[#This Row],[mergeDate]]), 3,2)&amp;"'ww"&amp;WEEKNUM(patch[[#This Row],[mergeDate]]))</f>
        <v>16'ww37</v>
      </c>
      <c r="U2022" s="7" t="str">
        <f>IF(ISBLANK(patch[[#This Row],[mergeDate]]), U2021, MID(YEAR(patch[[#This Row],[mergeDate]]), 3,2)&amp;"'m"&amp;MONTH(patch[[#This Row],[mergeDate]]))</f>
        <v>16'm9</v>
      </c>
      <c r="V2022" s="7" t="str">
        <f>IF(ISBLANK(patch[[#This Row],[project]]), "",SUM(patch[[#This Row],[BJ -1 num]:[SH -1 num]]))</f>
        <v/>
      </c>
      <c r="W2022" s="7" t="str">
        <f>IF(ISBLANK(patch[[#This Row],[project]]), "",COUNTIFS($A:$A,patch[[#This Row],[number]],$S:$S, "BJ And dev",$AC:$AC, "Review-1"))</f>
        <v/>
      </c>
      <c r="X2022" s="7" t="str">
        <f>IF(ISBLANK(patch[[#This Row],[project]]), "",COUNTIFS($A:$A,patch[[#This Row],[number]],$S:$S, "FL And dev",$AC:$AC, "Review-1"))</f>
        <v/>
      </c>
      <c r="Y2022" s="7" t="str">
        <f>IF(ISBLANK(patch[[#This Row],[project]]), "",COUNTIFS($A:$A,patch[[#This Row],[number]],$S:$S, "SH And dev",$AC:$AC, "Review-1"))</f>
        <v/>
      </c>
      <c r="Z2022" s="7" t="str">
        <f>IF(ISBLANK(patch[[#This Row],[project]]), "",COUNTIFS($A:$A,patch[[#This Row],[number]],$S:$S, "BJ And dev",$AD:$AD, "&lt;&gt;IntegratorValidationComment"))</f>
        <v/>
      </c>
      <c r="AA2022" s="7" t="str">
        <f>IF(ISBLANK(patch[[#This Row],[project]]), "",COUNTIFS($A:$A,patch[[#This Row],[number]],$S:$S, "FL And dev",$AD:$AD, "&lt;&gt;IntegratorValidationComment"))</f>
        <v/>
      </c>
      <c r="AB2022" s="7" t="str">
        <f>IF(ISBLANK(patch[[#This Row],[project]]), "",COUNTIFS($A:$A,patch[[#This Row],[number]],$S:$S, "SH And dev",$AD:$AD, "&lt;&gt;IntegratorValidationComment"))</f>
        <v/>
      </c>
      <c r="AC2022" s="7" t="str">
        <f>IF(OR(ISNUMBER(FIND("Review-1", patch[[#This Row],[comments]])), ISNUMBER(FIND("Approver-1", patch[[#This Row],[comments]]))), "Review-1", "")</f>
        <v/>
      </c>
      <c r="AD20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22" s="7">
        <f>IF(ISBLANK(patch[[#This Row],[number]]),AE2021,patch[[#This Row],[ifCommon]])</f>
        <v>0</v>
      </c>
    </row>
    <row r="2023" spans="1:31">
      <c r="A2023" s="151">
        <v>142561</v>
      </c>
      <c r="B2023" s="151"/>
      <c r="C2023" s="151"/>
      <c r="D2023" s="151"/>
      <c r="E2023" s="151"/>
      <c r="F2023" s="151"/>
      <c r="G2023" s="151"/>
      <c r="H2023" s="151"/>
      <c r="I2023" s="151"/>
      <c r="J2023" s="152">
        <v>42621.694907407407</v>
      </c>
      <c r="K2023" s="151"/>
      <c r="L2023" s="151" t="s">
        <v>32</v>
      </c>
      <c r="M2023" s="152">
        <v>42614.44222222222</v>
      </c>
      <c r="N2023" s="151" t="s">
        <v>2429</v>
      </c>
      <c r="O2023" s="151"/>
      <c r="P2023" s="151"/>
      <c r="Q2023" s="7" t="str">
        <f>IF(ISBLANK(patch[[#This Row],[OwnerEmail]]),Q2022,patch[[#This Row],[OwnerEmail]])</f>
        <v>gang.a.hu@intel.com</v>
      </c>
      <c r="R2023" s="7" t="str">
        <f>_xlfn.IFNA(VLOOKUP(patch[[#This Row],[tmp-owner.email]],OrgTree!$A:$K, 11, 0), "not ICG SWFW")</f>
        <v>BJ And dev</v>
      </c>
      <c r="S2023" s="7" t="str">
        <f>IF(patch[[#This Row],[reviewer]]=patch[[#This Row],[tmp-owner.email]], "author", _xlfn.IFNA(VLOOKUP(patch[[#This Row],[reviewer]],OrgTree!$A:$K, 11, 0), "not ICG SWFW"))</f>
        <v>author</v>
      </c>
      <c r="T2023" s="7" t="str">
        <f>IF(ISBLANK(patch[[#This Row],[mergeDate]]), "", MID(YEAR(patch[[#This Row],[mergeDate]]), 3,2)&amp;"'ww"&amp;WEEKNUM(patch[[#This Row],[mergeDate]]))</f>
        <v>16'ww37</v>
      </c>
      <c r="U2023" s="7" t="str">
        <f>IF(ISBLANK(patch[[#This Row],[mergeDate]]), U2022, MID(YEAR(patch[[#This Row],[mergeDate]]), 3,2)&amp;"'m"&amp;MONTH(patch[[#This Row],[mergeDate]]))</f>
        <v>16'm9</v>
      </c>
      <c r="V2023" s="7" t="str">
        <f>IF(ISBLANK(patch[[#This Row],[project]]), "",SUM(patch[[#This Row],[BJ -1 num]:[SH -1 num]]))</f>
        <v/>
      </c>
      <c r="W2023" s="7" t="str">
        <f>IF(ISBLANK(patch[[#This Row],[project]]), "",COUNTIFS($A:$A,patch[[#This Row],[number]],$S:$S, "BJ And dev",$AC:$AC, "Review-1"))</f>
        <v/>
      </c>
      <c r="X2023" s="7" t="str">
        <f>IF(ISBLANK(patch[[#This Row],[project]]), "",COUNTIFS($A:$A,patch[[#This Row],[number]],$S:$S, "FL And dev",$AC:$AC, "Review-1"))</f>
        <v/>
      </c>
      <c r="Y2023" s="7" t="str">
        <f>IF(ISBLANK(patch[[#This Row],[project]]), "",COUNTIFS($A:$A,patch[[#This Row],[number]],$S:$S, "SH And dev",$AC:$AC, "Review-1"))</f>
        <v/>
      </c>
      <c r="Z2023" s="7" t="str">
        <f>IF(ISBLANK(patch[[#This Row],[project]]), "",COUNTIFS($A:$A,patch[[#This Row],[number]],$S:$S, "BJ And dev",$AD:$AD, "&lt;&gt;IntegratorValidationComment"))</f>
        <v/>
      </c>
      <c r="AA2023" s="7" t="str">
        <f>IF(ISBLANK(patch[[#This Row],[project]]), "",COUNTIFS($A:$A,patch[[#This Row],[number]],$S:$S, "FL And dev",$AD:$AD, "&lt;&gt;IntegratorValidationComment"))</f>
        <v/>
      </c>
      <c r="AB2023" s="7" t="str">
        <f>IF(ISBLANK(patch[[#This Row],[project]]), "",COUNTIFS($A:$A,patch[[#This Row],[number]],$S:$S, "SH And dev",$AD:$AD, "&lt;&gt;IntegratorValidationComment"))</f>
        <v/>
      </c>
      <c r="AC2023" s="7" t="str">
        <f>IF(OR(ISNUMBER(FIND("Review-1", patch[[#This Row],[comments]])), ISNUMBER(FIND("Approver-1", patch[[#This Row],[comments]]))), "Review-1", "")</f>
        <v/>
      </c>
      <c r="AD20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23" s="7">
        <f>IF(ISBLANK(patch[[#This Row],[number]]),AE2022,patch[[#This Row],[ifCommon]])</f>
        <v>0</v>
      </c>
    </row>
    <row r="2024" spans="1:31">
      <c r="A2024" s="151">
        <v>142561</v>
      </c>
      <c r="B2024" s="151"/>
      <c r="C2024" s="151"/>
      <c r="D2024" s="151"/>
      <c r="E2024" s="151"/>
      <c r="F2024" s="151"/>
      <c r="G2024" s="151"/>
      <c r="H2024" s="151"/>
      <c r="I2024" s="151"/>
      <c r="J2024" s="152">
        <v>42621.694907407407</v>
      </c>
      <c r="K2024" s="151"/>
      <c r="L2024" s="151" t="s">
        <v>59</v>
      </c>
      <c r="M2024" s="152">
        <v>42614.44635416667</v>
      </c>
      <c r="N2024" s="151" t="s">
        <v>3590</v>
      </c>
      <c r="O2024" s="151"/>
      <c r="P2024" s="151"/>
      <c r="Q2024" s="7" t="str">
        <f>IF(ISBLANK(patch[[#This Row],[OwnerEmail]]),Q2023,patch[[#This Row],[OwnerEmail]])</f>
        <v>gang.a.hu@intel.com</v>
      </c>
      <c r="R2024" s="7" t="str">
        <f>_xlfn.IFNA(VLOOKUP(patch[[#This Row],[tmp-owner.email]],OrgTree!$A:$K, 11, 0), "not ICG SWFW")</f>
        <v>BJ And dev</v>
      </c>
      <c r="S2024" s="7" t="str">
        <f>IF(patch[[#This Row],[reviewer]]=patch[[#This Row],[tmp-owner.email]], "author", _xlfn.IFNA(VLOOKUP(patch[[#This Row],[reviewer]],OrgTree!$A:$K, 11, 0), "not ICG SWFW"))</f>
        <v>BJ And dev</v>
      </c>
      <c r="T2024" s="7" t="str">
        <f>IF(ISBLANK(patch[[#This Row],[mergeDate]]), "", MID(YEAR(patch[[#This Row],[mergeDate]]), 3,2)&amp;"'ww"&amp;WEEKNUM(patch[[#This Row],[mergeDate]]))</f>
        <v>16'ww37</v>
      </c>
      <c r="U2024" s="7" t="str">
        <f>IF(ISBLANK(patch[[#This Row],[mergeDate]]), U2023, MID(YEAR(patch[[#This Row],[mergeDate]]), 3,2)&amp;"'m"&amp;MONTH(patch[[#This Row],[mergeDate]]))</f>
        <v>16'm9</v>
      </c>
      <c r="V2024" s="7" t="str">
        <f>IF(ISBLANK(patch[[#This Row],[project]]), "",SUM(patch[[#This Row],[BJ -1 num]:[SH -1 num]]))</f>
        <v/>
      </c>
      <c r="W2024" s="7" t="str">
        <f>IF(ISBLANK(patch[[#This Row],[project]]), "",COUNTIFS($A:$A,patch[[#This Row],[number]],$S:$S, "BJ And dev",$AC:$AC, "Review-1"))</f>
        <v/>
      </c>
      <c r="X2024" s="7" t="str">
        <f>IF(ISBLANK(patch[[#This Row],[project]]), "",COUNTIFS($A:$A,patch[[#This Row],[number]],$S:$S, "FL And dev",$AC:$AC, "Review-1"))</f>
        <v/>
      </c>
      <c r="Y2024" s="7" t="str">
        <f>IF(ISBLANK(patch[[#This Row],[project]]), "",COUNTIFS($A:$A,patch[[#This Row],[number]],$S:$S, "SH And dev",$AC:$AC, "Review-1"))</f>
        <v/>
      </c>
      <c r="Z2024" s="7" t="str">
        <f>IF(ISBLANK(patch[[#This Row],[project]]), "",COUNTIFS($A:$A,patch[[#This Row],[number]],$S:$S, "BJ And dev",$AD:$AD, "&lt;&gt;IntegratorValidationComment"))</f>
        <v/>
      </c>
      <c r="AA2024" s="7" t="str">
        <f>IF(ISBLANK(patch[[#This Row],[project]]), "",COUNTIFS($A:$A,patch[[#This Row],[number]],$S:$S, "FL And dev",$AD:$AD, "&lt;&gt;IntegratorValidationComment"))</f>
        <v/>
      </c>
      <c r="AB2024" s="7" t="str">
        <f>IF(ISBLANK(patch[[#This Row],[project]]), "",COUNTIFS($A:$A,patch[[#This Row],[number]],$S:$S, "SH And dev",$AD:$AD, "&lt;&gt;IntegratorValidationComment"))</f>
        <v/>
      </c>
      <c r="AC2024" s="7" t="str">
        <f>IF(OR(ISNUMBER(FIND("Review-1", patch[[#This Row],[comments]])), ISNUMBER(FIND("Approver-1", patch[[#This Row],[comments]]))), "Review-1", "")</f>
        <v/>
      </c>
      <c r="AD20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24" s="7">
        <f>IF(ISBLANK(patch[[#This Row],[number]]),AE2023,patch[[#This Row],[ifCommon]])</f>
        <v>0</v>
      </c>
    </row>
    <row r="2025" spans="1:31">
      <c r="A2025" s="151">
        <v>142561</v>
      </c>
      <c r="B2025" s="151"/>
      <c r="C2025" s="151"/>
      <c r="D2025" s="151"/>
      <c r="E2025" s="151"/>
      <c r="F2025" s="151"/>
      <c r="G2025" s="151"/>
      <c r="H2025" s="151"/>
      <c r="I2025" s="151"/>
      <c r="J2025" s="152">
        <v>42621.694907407407</v>
      </c>
      <c r="K2025" s="151"/>
      <c r="L2025" s="151" t="s">
        <v>59</v>
      </c>
      <c r="M2025" s="152">
        <v>42614.452372685177</v>
      </c>
      <c r="N2025" s="151" t="s">
        <v>3591</v>
      </c>
      <c r="O2025" s="151"/>
      <c r="P2025" s="151"/>
      <c r="Q2025" s="7" t="str">
        <f>IF(ISBLANK(patch[[#This Row],[OwnerEmail]]),Q2024,patch[[#This Row],[OwnerEmail]])</f>
        <v>gang.a.hu@intel.com</v>
      </c>
      <c r="R2025" s="7" t="str">
        <f>_xlfn.IFNA(VLOOKUP(patch[[#This Row],[tmp-owner.email]],OrgTree!$A:$K, 11, 0), "not ICG SWFW")</f>
        <v>BJ And dev</v>
      </c>
      <c r="S2025" s="7" t="str">
        <f>IF(patch[[#This Row],[reviewer]]=patch[[#This Row],[tmp-owner.email]], "author", _xlfn.IFNA(VLOOKUP(patch[[#This Row],[reviewer]],OrgTree!$A:$K, 11, 0), "not ICG SWFW"))</f>
        <v>BJ And dev</v>
      </c>
      <c r="T2025" s="7" t="str">
        <f>IF(ISBLANK(patch[[#This Row],[mergeDate]]), "", MID(YEAR(patch[[#This Row],[mergeDate]]), 3,2)&amp;"'ww"&amp;WEEKNUM(patch[[#This Row],[mergeDate]]))</f>
        <v>16'ww37</v>
      </c>
      <c r="U2025" s="7" t="str">
        <f>IF(ISBLANK(patch[[#This Row],[mergeDate]]), U2024, MID(YEAR(patch[[#This Row],[mergeDate]]), 3,2)&amp;"'m"&amp;MONTH(patch[[#This Row],[mergeDate]]))</f>
        <v>16'm9</v>
      </c>
      <c r="V2025" s="7" t="str">
        <f>IF(ISBLANK(patch[[#This Row],[project]]), "",SUM(patch[[#This Row],[BJ -1 num]:[SH -1 num]]))</f>
        <v/>
      </c>
      <c r="W2025" s="7" t="str">
        <f>IF(ISBLANK(patch[[#This Row],[project]]), "",COUNTIFS($A:$A,patch[[#This Row],[number]],$S:$S, "BJ And dev",$AC:$AC, "Review-1"))</f>
        <v/>
      </c>
      <c r="X2025" s="7" t="str">
        <f>IF(ISBLANK(patch[[#This Row],[project]]), "",COUNTIFS($A:$A,patch[[#This Row],[number]],$S:$S, "FL And dev",$AC:$AC, "Review-1"))</f>
        <v/>
      </c>
      <c r="Y2025" s="7" t="str">
        <f>IF(ISBLANK(patch[[#This Row],[project]]), "",COUNTIFS($A:$A,patch[[#This Row],[number]],$S:$S, "SH And dev",$AC:$AC, "Review-1"))</f>
        <v/>
      </c>
      <c r="Z2025" s="7" t="str">
        <f>IF(ISBLANK(patch[[#This Row],[project]]), "",COUNTIFS($A:$A,patch[[#This Row],[number]],$S:$S, "BJ And dev",$AD:$AD, "&lt;&gt;IntegratorValidationComment"))</f>
        <v/>
      </c>
      <c r="AA2025" s="7" t="str">
        <f>IF(ISBLANK(patch[[#This Row],[project]]), "",COUNTIFS($A:$A,patch[[#This Row],[number]],$S:$S, "FL And dev",$AD:$AD, "&lt;&gt;IntegratorValidationComment"))</f>
        <v/>
      </c>
      <c r="AB2025" s="7" t="str">
        <f>IF(ISBLANK(patch[[#This Row],[project]]), "",COUNTIFS($A:$A,patch[[#This Row],[number]],$S:$S, "SH And dev",$AD:$AD, "&lt;&gt;IntegratorValidationComment"))</f>
        <v/>
      </c>
      <c r="AC2025" s="7" t="str">
        <f>IF(OR(ISNUMBER(FIND("Review-1", patch[[#This Row],[comments]])), ISNUMBER(FIND("Approver-1", patch[[#This Row],[comments]]))), "Review-1", "")</f>
        <v/>
      </c>
      <c r="AD20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25" s="7">
        <f>IF(ISBLANK(patch[[#This Row],[number]]),AE2024,patch[[#This Row],[ifCommon]])</f>
        <v>0</v>
      </c>
    </row>
    <row r="2026" spans="1:31">
      <c r="A2026" s="151">
        <v>142561</v>
      </c>
      <c r="B2026" s="151"/>
      <c r="C2026" s="151"/>
      <c r="D2026" s="151"/>
      <c r="E2026" s="151"/>
      <c r="F2026" s="151"/>
      <c r="G2026" s="151"/>
      <c r="H2026" s="151"/>
      <c r="I2026" s="151"/>
      <c r="J2026" s="152">
        <v>42621.694907407407</v>
      </c>
      <c r="K2026" s="151"/>
      <c r="L2026" s="151" t="s">
        <v>32</v>
      </c>
      <c r="M2026" s="152">
        <v>42614.859768518523</v>
      </c>
      <c r="N2026" s="151" t="s">
        <v>2704</v>
      </c>
      <c r="O2026" s="151"/>
      <c r="P2026" s="151"/>
      <c r="Q2026" s="7" t="str">
        <f>IF(ISBLANK(patch[[#This Row],[OwnerEmail]]),Q2025,patch[[#This Row],[OwnerEmail]])</f>
        <v>gang.a.hu@intel.com</v>
      </c>
      <c r="R2026" s="7" t="str">
        <f>_xlfn.IFNA(VLOOKUP(patch[[#This Row],[tmp-owner.email]],OrgTree!$A:$K, 11, 0), "not ICG SWFW")</f>
        <v>BJ And dev</v>
      </c>
      <c r="S2026" s="7" t="str">
        <f>IF(patch[[#This Row],[reviewer]]=patch[[#This Row],[tmp-owner.email]], "author", _xlfn.IFNA(VLOOKUP(patch[[#This Row],[reviewer]],OrgTree!$A:$K, 11, 0), "not ICG SWFW"))</f>
        <v>author</v>
      </c>
      <c r="T2026" s="7" t="str">
        <f>IF(ISBLANK(patch[[#This Row],[mergeDate]]), "", MID(YEAR(patch[[#This Row],[mergeDate]]), 3,2)&amp;"'ww"&amp;WEEKNUM(patch[[#This Row],[mergeDate]]))</f>
        <v>16'ww37</v>
      </c>
      <c r="U2026" s="7" t="str">
        <f>IF(ISBLANK(patch[[#This Row],[mergeDate]]), U2025, MID(YEAR(patch[[#This Row],[mergeDate]]), 3,2)&amp;"'m"&amp;MONTH(patch[[#This Row],[mergeDate]]))</f>
        <v>16'm9</v>
      </c>
      <c r="V2026" s="7" t="str">
        <f>IF(ISBLANK(patch[[#This Row],[project]]), "",SUM(patch[[#This Row],[BJ -1 num]:[SH -1 num]]))</f>
        <v/>
      </c>
      <c r="W2026" s="7" t="str">
        <f>IF(ISBLANK(patch[[#This Row],[project]]), "",COUNTIFS($A:$A,patch[[#This Row],[number]],$S:$S, "BJ And dev",$AC:$AC, "Review-1"))</f>
        <v/>
      </c>
      <c r="X2026" s="7" t="str">
        <f>IF(ISBLANK(patch[[#This Row],[project]]), "",COUNTIFS($A:$A,patch[[#This Row],[number]],$S:$S, "FL And dev",$AC:$AC, "Review-1"))</f>
        <v/>
      </c>
      <c r="Y2026" s="7" t="str">
        <f>IF(ISBLANK(patch[[#This Row],[project]]), "",COUNTIFS($A:$A,patch[[#This Row],[number]],$S:$S, "SH And dev",$AC:$AC, "Review-1"))</f>
        <v/>
      </c>
      <c r="Z2026" s="7" t="str">
        <f>IF(ISBLANK(patch[[#This Row],[project]]), "",COUNTIFS($A:$A,patch[[#This Row],[number]],$S:$S, "BJ And dev",$AD:$AD, "&lt;&gt;IntegratorValidationComment"))</f>
        <v/>
      </c>
      <c r="AA2026" s="7" t="str">
        <f>IF(ISBLANK(patch[[#This Row],[project]]), "",COUNTIFS($A:$A,patch[[#This Row],[number]],$S:$S, "FL And dev",$AD:$AD, "&lt;&gt;IntegratorValidationComment"))</f>
        <v/>
      </c>
      <c r="AB2026" s="7" t="str">
        <f>IF(ISBLANK(patch[[#This Row],[project]]), "",COUNTIFS($A:$A,patch[[#This Row],[number]],$S:$S, "SH And dev",$AD:$AD, "&lt;&gt;IntegratorValidationComment"))</f>
        <v/>
      </c>
      <c r="AC2026" s="7" t="str">
        <f>IF(OR(ISNUMBER(FIND("Review-1", patch[[#This Row],[comments]])), ISNUMBER(FIND("Approver-1", patch[[#This Row],[comments]]))), "Review-1", "")</f>
        <v/>
      </c>
      <c r="AD20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26" s="7">
        <f>IF(ISBLANK(patch[[#This Row],[number]]),AE2025,patch[[#This Row],[ifCommon]])</f>
        <v>0</v>
      </c>
    </row>
    <row r="2027" spans="1:31">
      <c r="A2027" s="151">
        <v>142561</v>
      </c>
      <c r="B2027" s="151"/>
      <c r="C2027" s="151"/>
      <c r="D2027" s="151"/>
      <c r="E2027" s="151"/>
      <c r="F2027" s="151"/>
      <c r="G2027" s="151"/>
      <c r="H2027" s="151"/>
      <c r="I2027" s="152"/>
      <c r="J2027" s="152">
        <v>42621.694907407407</v>
      </c>
      <c r="K2027" s="151"/>
      <c r="L2027" s="151" t="s">
        <v>32</v>
      </c>
      <c r="M2027" s="152">
        <v>42614.859780092593</v>
      </c>
      <c r="N2027" s="151" t="s">
        <v>2450</v>
      </c>
      <c r="O2027" s="151"/>
      <c r="P2027" s="151"/>
      <c r="Q2027" s="7" t="str">
        <f>IF(ISBLANK(patch[[#This Row],[OwnerEmail]]),Q2026,patch[[#This Row],[OwnerEmail]])</f>
        <v>gang.a.hu@intel.com</v>
      </c>
      <c r="R2027" s="7" t="str">
        <f>_xlfn.IFNA(VLOOKUP(patch[[#This Row],[tmp-owner.email]],OrgTree!$A:$K, 11, 0), "not ICG SWFW")</f>
        <v>BJ And dev</v>
      </c>
      <c r="S2027" s="7" t="str">
        <f>IF(patch[[#This Row],[reviewer]]=patch[[#This Row],[tmp-owner.email]], "author", _xlfn.IFNA(VLOOKUP(patch[[#This Row],[reviewer]],OrgTree!$A:$K, 11, 0), "not ICG SWFW"))</f>
        <v>author</v>
      </c>
      <c r="T2027" s="7" t="str">
        <f>IF(ISBLANK(patch[[#This Row],[mergeDate]]), "", MID(YEAR(patch[[#This Row],[mergeDate]]), 3,2)&amp;"'ww"&amp;WEEKNUM(patch[[#This Row],[mergeDate]]))</f>
        <v>16'ww37</v>
      </c>
      <c r="U2027" s="7" t="str">
        <f>IF(ISBLANK(patch[[#This Row],[mergeDate]]), U2026, MID(YEAR(patch[[#This Row],[mergeDate]]), 3,2)&amp;"'m"&amp;MONTH(patch[[#This Row],[mergeDate]]))</f>
        <v>16'm9</v>
      </c>
      <c r="V2027" s="7" t="str">
        <f>IF(ISBLANK(patch[[#This Row],[project]]), "",SUM(patch[[#This Row],[BJ -1 num]:[SH -1 num]]))</f>
        <v/>
      </c>
      <c r="W2027" s="7" t="str">
        <f>IF(ISBLANK(patch[[#This Row],[project]]), "",COUNTIFS($A:$A,patch[[#This Row],[number]],$S:$S, "BJ And dev",$AC:$AC, "Review-1"))</f>
        <v/>
      </c>
      <c r="X2027" s="7" t="str">
        <f>IF(ISBLANK(patch[[#This Row],[project]]), "",COUNTIFS($A:$A,patch[[#This Row],[number]],$S:$S, "FL And dev",$AC:$AC, "Review-1"))</f>
        <v/>
      </c>
      <c r="Y2027" s="7" t="str">
        <f>IF(ISBLANK(patch[[#This Row],[project]]), "",COUNTIFS($A:$A,patch[[#This Row],[number]],$S:$S, "SH And dev",$AC:$AC, "Review-1"))</f>
        <v/>
      </c>
      <c r="Z2027" s="7" t="str">
        <f>IF(ISBLANK(patch[[#This Row],[project]]), "",COUNTIFS($A:$A,patch[[#This Row],[number]],$S:$S, "BJ And dev",$AD:$AD, "&lt;&gt;IntegratorValidationComment"))</f>
        <v/>
      </c>
      <c r="AA2027" s="7" t="str">
        <f>IF(ISBLANK(patch[[#This Row],[project]]), "",COUNTIFS($A:$A,patch[[#This Row],[number]],$S:$S, "FL And dev",$AD:$AD, "&lt;&gt;IntegratorValidationComment"))</f>
        <v/>
      </c>
      <c r="AB2027" s="7" t="str">
        <f>IF(ISBLANK(patch[[#This Row],[project]]), "",COUNTIFS($A:$A,patch[[#This Row],[number]],$S:$S, "SH And dev",$AD:$AD, "&lt;&gt;IntegratorValidationComment"))</f>
        <v/>
      </c>
      <c r="AC2027" s="7" t="str">
        <f>IF(OR(ISNUMBER(FIND("Review-1", patch[[#This Row],[comments]])), ISNUMBER(FIND("Approver-1", patch[[#This Row],[comments]]))), "Review-1", "")</f>
        <v/>
      </c>
      <c r="AD20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27" s="7">
        <f>IF(ISBLANK(patch[[#This Row],[number]]),AE2026,patch[[#This Row],[ifCommon]])</f>
        <v>0</v>
      </c>
    </row>
    <row r="2028" spans="1:31">
      <c r="A2028" s="151">
        <v>142561</v>
      </c>
      <c r="B2028" s="151"/>
      <c r="C2028" s="151"/>
      <c r="D2028" s="151"/>
      <c r="E2028" s="151"/>
      <c r="F2028" s="151"/>
      <c r="G2028" s="151"/>
      <c r="H2028" s="151"/>
      <c r="I2028" s="151"/>
      <c r="J2028" s="152">
        <v>42621.694907407407</v>
      </c>
      <c r="K2028" s="151"/>
      <c r="L2028" s="151" t="s">
        <v>32</v>
      </c>
      <c r="M2028" s="152">
        <v>42614.859907407408</v>
      </c>
      <c r="N2028" s="151" t="s">
        <v>48</v>
      </c>
      <c r="O2028" s="151"/>
      <c r="P2028" s="151"/>
      <c r="Q2028" s="7" t="str">
        <f>IF(ISBLANK(patch[[#This Row],[OwnerEmail]]),Q2027,patch[[#This Row],[OwnerEmail]])</f>
        <v>gang.a.hu@intel.com</v>
      </c>
      <c r="R2028" s="7" t="str">
        <f>_xlfn.IFNA(VLOOKUP(patch[[#This Row],[tmp-owner.email]],OrgTree!$A:$K, 11, 0), "not ICG SWFW")</f>
        <v>BJ And dev</v>
      </c>
      <c r="S2028" s="7" t="str">
        <f>IF(patch[[#This Row],[reviewer]]=patch[[#This Row],[tmp-owner.email]], "author", _xlfn.IFNA(VLOOKUP(patch[[#This Row],[reviewer]],OrgTree!$A:$K, 11, 0), "not ICG SWFW"))</f>
        <v>author</v>
      </c>
      <c r="T2028" s="7" t="str">
        <f>IF(ISBLANK(patch[[#This Row],[mergeDate]]), "", MID(YEAR(patch[[#This Row],[mergeDate]]), 3,2)&amp;"'ww"&amp;WEEKNUM(patch[[#This Row],[mergeDate]]))</f>
        <v>16'ww37</v>
      </c>
      <c r="U2028" s="7" t="str">
        <f>IF(ISBLANK(patch[[#This Row],[mergeDate]]), U2027, MID(YEAR(patch[[#This Row],[mergeDate]]), 3,2)&amp;"'m"&amp;MONTH(patch[[#This Row],[mergeDate]]))</f>
        <v>16'm9</v>
      </c>
      <c r="V2028" s="7" t="str">
        <f>IF(ISBLANK(patch[[#This Row],[project]]), "",SUM(patch[[#This Row],[BJ -1 num]:[SH -1 num]]))</f>
        <v/>
      </c>
      <c r="W2028" s="7" t="str">
        <f>IF(ISBLANK(patch[[#This Row],[project]]), "",COUNTIFS($A:$A,patch[[#This Row],[number]],$S:$S, "BJ And dev",$AC:$AC, "Review-1"))</f>
        <v/>
      </c>
      <c r="X2028" s="7" t="str">
        <f>IF(ISBLANK(patch[[#This Row],[project]]), "",COUNTIFS($A:$A,patch[[#This Row],[number]],$S:$S, "FL And dev",$AC:$AC, "Review-1"))</f>
        <v/>
      </c>
      <c r="Y2028" s="7" t="str">
        <f>IF(ISBLANK(patch[[#This Row],[project]]), "",COUNTIFS($A:$A,patch[[#This Row],[number]],$S:$S, "SH And dev",$AC:$AC, "Review-1"))</f>
        <v/>
      </c>
      <c r="Z2028" s="7" t="str">
        <f>IF(ISBLANK(patch[[#This Row],[project]]), "",COUNTIFS($A:$A,patch[[#This Row],[number]],$S:$S, "BJ And dev",$AD:$AD, "&lt;&gt;IntegratorValidationComment"))</f>
        <v/>
      </c>
      <c r="AA2028" s="7" t="str">
        <f>IF(ISBLANK(patch[[#This Row],[project]]), "",COUNTIFS($A:$A,patch[[#This Row],[number]],$S:$S, "FL And dev",$AD:$AD, "&lt;&gt;IntegratorValidationComment"))</f>
        <v/>
      </c>
      <c r="AB2028" s="7" t="str">
        <f>IF(ISBLANK(patch[[#This Row],[project]]), "",COUNTIFS($A:$A,patch[[#This Row],[number]],$S:$S, "SH And dev",$AD:$AD, "&lt;&gt;IntegratorValidationComment"))</f>
        <v/>
      </c>
      <c r="AC2028" s="7" t="str">
        <f>IF(OR(ISNUMBER(FIND("Review-1", patch[[#This Row],[comments]])), ISNUMBER(FIND("Approver-1", patch[[#This Row],[comments]]))), "Review-1", "")</f>
        <v/>
      </c>
      <c r="AD20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28" s="7">
        <f>IF(ISBLANK(patch[[#This Row],[number]]),AE2027,patch[[#This Row],[ifCommon]])</f>
        <v>0</v>
      </c>
    </row>
    <row r="2029" spans="1:31">
      <c r="A2029" s="151">
        <v>142561</v>
      </c>
      <c r="B2029" s="151"/>
      <c r="C2029" s="151"/>
      <c r="D2029" s="151"/>
      <c r="E2029" s="151"/>
      <c r="F2029" s="151"/>
      <c r="G2029" s="151"/>
      <c r="H2029" s="151"/>
      <c r="I2029" s="151"/>
      <c r="J2029" s="152">
        <v>42621.694907407407</v>
      </c>
      <c r="K2029" s="151"/>
      <c r="L2029" s="151" t="s">
        <v>59</v>
      </c>
      <c r="M2029" s="152">
        <v>42615.377476851849</v>
      </c>
      <c r="N2029" s="151" t="s">
        <v>3592</v>
      </c>
      <c r="O2029" s="151"/>
      <c r="P2029" s="151"/>
      <c r="Q2029" s="7" t="str">
        <f>IF(ISBLANK(patch[[#This Row],[OwnerEmail]]),Q2028,patch[[#This Row],[OwnerEmail]])</f>
        <v>gang.a.hu@intel.com</v>
      </c>
      <c r="R2029" s="7" t="str">
        <f>_xlfn.IFNA(VLOOKUP(patch[[#This Row],[tmp-owner.email]],OrgTree!$A:$K, 11, 0), "not ICG SWFW")</f>
        <v>BJ And dev</v>
      </c>
      <c r="S2029" s="7" t="str">
        <f>IF(patch[[#This Row],[reviewer]]=patch[[#This Row],[tmp-owner.email]], "author", _xlfn.IFNA(VLOOKUP(patch[[#This Row],[reviewer]],OrgTree!$A:$K, 11, 0), "not ICG SWFW"))</f>
        <v>BJ And dev</v>
      </c>
      <c r="T2029" s="7" t="str">
        <f>IF(ISBLANK(patch[[#This Row],[mergeDate]]), "", MID(YEAR(patch[[#This Row],[mergeDate]]), 3,2)&amp;"'ww"&amp;WEEKNUM(patch[[#This Row],[mergeDate]]))</f>
        <v>16'ww37</v>
      </c>
      <c r="U2029" s="7" t="str">
        <f>IF(ISBLANK(patch[[#This Row],[mergeDate]]), U2028, MID(YEAR(patch[[#This Row],[mergeDate]]), 3,2)&amp;"'m"&amp;MONTH(patch[[#This Row],[mergeDate]]))</f>
        <v>16'm9</v>
      </c>
      <c r="V2029" s="7" t="str">
        <f>IF(ISBLANK(patch[[#This Row],[project]]), "",SUM(patch[[#This Row],[BJ -1 num]:[SH -1 num]]))</f>
        <v/>
      </c>
      <c r="W2029" s="7" t="str">
        <f>IF(ISBLANK(patch[[#This Row],[project]]), "",COUNTIFS($A:$A,patch[[#This Row],[number]],$S:$S, "BJ And dev",$AC:$AC, "Review-1"))</f>
        <v/>
      </c>
      <c r="X2029" s="7" t="str">
        <f>IF(ISBLANK(patch[[#This Row],[project]]), "",COUNTIFS($A:$A,patch[[#This Row],[number]],$S:$S, "FL And dev",$AC:$AC, "Review-1"))</f>
        <v/>
      </c>
      <c r="Y2029" s="7" t="str">
        <f>IF(ISBLANK(patch[[#This Row],[project]]), "",COUNTIFS($A:$A,patch[[#This Row],[number]],$S:$S, "SH And dev",$AC:$AC, "Review-1"))</f>
        <v/>
      </c>
      <c r="Z2029" s="7" t="str">
        <f>IF(ISBLANK(patch[[#This Row],[project]]), "",COUNTIFS($A:$A,patch[[#This Row],[number]],$S:$S, "BJ And dev",$AD:$AD, "&lt;&gt;IntegratorValidationComment"))</f>
        <v/>
      </c>
      <c r="AA2029" s="7" t="str">
        <f>IF(ISBLANK(patch[[#This Row],[project]]), "",COUNTIFS($A:$A,patch[[#This Row],[number]],$S:$S, "FL And dev",$AD:$AD, "&lt;&gt;IntegratorValidationComment"))</f>
        <v/>
      </c>
      <c r="AB2029" s="7" t="str">
        <f>IF(ISBLANK(patch[[#This Row],[project]]), "",COUNTIFS($A:$A,patch[[#This Row],[number]],$S:$S, "SH And dev",$AD:$AD, "&lt;&gt;IntegratorValidationComment"))</f>
        <v/>
      </c>
      <c r="AC2029" s="7" t="str">
        <f>IF(OR(ISNUMBER(FIND("Review-1", patch[[#This Row],[comments]])), ISNUMBER(FIND("Approver-1", patch[[#This Row],[comments]]))), "Review-1", "")</f>
        <v/>
      </c>
      <c r="AD20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29" s="7">
        <f>IF(ISBLANK(patch[[#This Row],[number]]),AE2028,patch[[#This Row],[ifCommon]])</f>
        <v>0</v>
      </c>
    </row>
    <row r="2030" spans="1:31">
      <c r="A2030" s="151">
        <v>142561</v>
      </c>
      <c r="B2030" s="151"/>
      <c r="C2030" s="151"/>
      <c r="D2030" s="151"/>
      <c r="E2030" s="151"/>
      <c r="F2030" s="151"/>
      <c r="G2030" s="151"/>
      <c r="H2030" s="151"/>
      <c r="I2030" s="151"/>
      <c r="J2030" s="152">
        <v>42621.694907407407</v>
      </c>
      <c r="K2030" s="151"/>
      <c r="L2030" s="151" t="s">
        <v>59</v>
      </c>
      <c r="M2030" s="152">
        <v>42615.386018518519</v>
      </c>
      <c r="N2030" s="151" t="s">
        <v>3593</v>
      </c>
      <c r="O2030" s="151"/>
      <c r="P2030" s="151"/>
      <c r="Q2030" s="7" t="str">
        <f>IF(ISBLANK(patch[[#This Row],[OwnerEmail]]),Q2029,patch[[#This Row],[OwnerEmail]])</f>
        <v>gang.a.hu@intel.com</v>
      </c>
      <c r="R2030" s="7" t="str">
        <f>_xlfn.IFNA(VLOOKUP(patch[[#This Row],[tmp-owner.email]],OrgTree!$A:$K, 11, 0), "not ICG SWFW")</f>
        <v>BJ And dev</v>
      </c>
      <c r="S2030" s="7" t="str">
        <f>IF(patch[[#This Row],[reviewer]]=patch[[#This Row],[tmp-owner.email]], "author", _xlfn.IFNA(VLOOKUP(patch[[#This Row],[reviewer]],OrgTree!$A:$K, 11, 0), "not ICG SWFW"))</f>
        <v>BJ And dev</v>
      </c>
      <c r="T2030" s="7" t="str">
        <f>IF(ISBLANK(patch[[#This Row],[mergeDate]]), "", MID(YEAR(patch[[#This Row],[mergeDate]]), 3,2)&amp;"'ww"&amp;WEEKNUM(patch[[#This Row],[mergeDate]]))</f>
        <v>16'ww37</v>
      </c>
      <c r="U2030" s="7" t="str">
        <f>IF(ISBLANK(patch[[#This Row],[mergeDate]]), U2029, MID(YEAR(patch[[#This Row],[mergeDate]]), 3,2)&amp;"'m"&amp;MONTH(patch[[#This Row],[mergeDate]]))</f>
        <v>16'm9</v>
      </c>
      <c r="V2030" s="7" t="str">
        <f>IF(ISBLANK(patch[[#This Row],[project]]), "",SUM(patch[[#This Row],[BJ -1 num]:[SH -1 num]]))</f>
        <v/>
      </c>
      <c r="W2030" s="7" t="str">
        <f>IF(ISBLANK(patch[[#This Row],[project]]), "",COUNTIFS($A:$A,patch[[#This Row],[number]],$S:$S, "BJ And dev",$AC:$AC, "Review-1"))</f>
        <v/>
      </c>
      <c r="X2030" s="7" t="str">
        <f>IF(ISBLANK(patch[[#This Row],[project]]), "",COUNTIFS($A:$A,patch[[#This Row],[number]],$S:$S, "FL And dev",$AC:$AC, "Review-1"))</f>
        <v/>
      </c>
      <c r="Y2030" s="7" t="str">
        <f>IF(ISBLANK(patch[[#This Row],[project]]), "",COUNTIFS($A:$A,patch[[#This Row],[number]],$S:$S, "SH And dev",$AC:$AC, "Review-1"))</f>
        <v/>
      </c>
      <c r="Z2030" s="7" t="str">
        <f>IF(ISBLANK(patch[[#This Row],[project]]), "",COUNTIFS($A:$A,patch[[#This Row],[number]],$S:$S, "BJ And dev",$AD:$AD, "&lt;&gt;IntegratorValidationComment"))</f>
        <v/>
      </c>
      <c r="AA2030" s="7" t="str">
        <f>IF(ISBLANK(patch[[#This Row],[project]]), "",COUNTIFS($A:$A,patch[[#This Row],[number]],$S:$S, "FL And dev",$AD:$AD, "&lt;&gt;IntegratorValidationComment"))</f>
        <v/>
      </c>
      <c r="AB2030" s="7" t="str">
        <f>IF(ISBLANK(patch[[#This Row],[project]]), "",COUNTIFS($A:$A,patch[[#This Row],[number]],$S:$S, "SH And dev",$AD:$AD, "&lt;&gt;IntegratorValidationComment"))</f>
        <v/>
      </c>
      <c r="AC2030" s="7" t="str">
        <f>IF(OR(ISNUMBER(FIND("Review-1", patch[[#This Row],[comments]])), ISNUMBER(FIND("Approver-1", patch[[#This Row],[comments]]))), "Review-1", "")</f>
        <v/>
      </c>
      <c r="AD20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30" s="7">
        <f>IF(ISBLANK(patch[[#This Row],[number]]),AE2029,patch[[#This Row],[ifCommon]])</f>
        <v>0</v>
      </c>
    </row>
    <row r="2031" spans="1:31">
      <c r="A2031" s="151">
        <v>142561</v>
      </c>
      <c r="B2031" s="151"/>
      <c r="C2031" s="151"/>
      <c r="D2031" s="151"/>
      <c r="E2031" s="151"/>
      <c r="F2031" s="151"/>
      <c r="G2031" s="151"/>
      <c r="H2031" s="151"/>
      <c r="I2031" s="151"/>
      <c r="J2031" s="152">
        <v>42621.694907407407</v>
      </c>
      <c r="K2031" s="151"/>
      <c r="L2031" s="151" t="s">
        <v>32</v>
      </c>
      <c r="M2031" s="152">
        <v>42615.501840277779</v>
      </c>
      <c r="N2031" s="151" t="s">
        <v>2536</v>
      </c>
      <c r="O2031" s="151"/>
      <c r="P2031" s="151"/>
      <c r="Q2031" s="7" t="str">
        <f>IF(ISBLANK(patch[[#This Row],[OwnerEmail]]),Q2030,patch[[#This Row],[OwnerEmail]])</f>
        <v>gang.a.hu@intel.com</v>
      </c>
      <c r="R2031" s="7" t="str">
        <f>_xlfn.IFNA(VLOOKUP(patch[[#This Row],[tmp-owner.email]],OrgTree!$A:$K, 11, 0), "not ICG SWFW")</f>
        <v>BJ And dev</v>
      </c>
      <c r="S2031" s="7" t="str">
        <f>IF(patch[[#This Row],[reviewer]]=patch[[#This Row],[tmp-owner.email]], "author", _xlfn.IFNA(VLOOKUP(patch[[#This Row],[reviewer]],OrgTree!$A:$K, 11, 0), "not ICG SWFW"))</f>
        <v>author</v>
      </c>
      <c r="T2031" s="7" t="str">
        <f>IF(ISBLANK(patch[[#This Row],[mergeDate]]), "", MID(YEAR(patch[[#This Row],[mergeDate]]), 3,2)&amp;"'ww"&amp;WEEKNUM(patch[[#This Row],[mergeDate]]))</f>
        <v>16'ww37</v>
      </c>
      <c r="U2031" s="7" t="str">
        <f>IF(ISBLANK(patch[[#This Row],[mergeDate]]), U2030, MID(YEAR(patch[[#This Row],[mergeDate]]), 3,2)&amp;"'m"&amp;MONTH(patch[[#This Row],[mergeDate]]))</f>
        <v>16'm9</v>
      </c>
      <c r="V2031" s="7" t="str">
        <f>IF(ISBLANK(patch[[#This Row],[project]]), "",SUM(patch[[#This Row],[BJ -1 num]:[SH -1 num]]))</f>
        <v/>
      </c>
      <c r="W2031" s="7" t="str">
        <f>IF(ISBLANK(patch[[#This Row],[project]]), "",COUNTIFS($A:$A,patch[[#This Row],[number]],$S:$S, "BJ And dev",$AC:$AC, "Review-1"))</f>
        <v/>
      </c>
      <c r="X2031" s="7" t="str">
        <f>IF(ISBLANK(patch[[#This Row],[project]]), "",COUNTIFS($A:$A,patch[[#This Row],[number]],$S:$S, "FL And dev",$AC:$AC, "Review-1"))</f>
        <v/>
      </c>
      <c r="Y2031" s="7" t="str">
        <f>IF(ISBLANK(patch[[#This Row],[project]]), "",COUNTIFS($A:$A,patch[[#This Row],[number]],$S:$S, "SH And dev",$AC:$AC, "Review-1"))</f>
        <v/>
      </c>
      <c r="Z2031" s="7" t="str">
        <f>IF(ISBLANK(patch[[#This Row],[project]]), "",COUNTIFS($A:$A,patch[[#This Row],[number]],$S:$S, "BJ And dev",$AD:$AD, "&lt;&gt;IntegratorValidationComment"))</f>
        <v/>
      </c>
      <c r="AA2031" s="7" t="str">
        <f>IF(ISBLANK(patch[[#This Row],[project]]), "",COUNTIFS($A:$A,patch[[#This Row],[number]],$S:$S, "FL And dev",$AD:$AD, "&lt;&gt;IntegratorValidationComment"))</f>
        <v/>
      </c>
      <c r="AB2031" s="7" t="str">
        <f>IF(ISBLANK(patch[[#This Row],[project]]), "",COUNTIFS($A:$A,patch[[#This Row],[number]],$S:$S, "SH And dev",$AD:$AD, "&lt;&gt;IntegratorValidationComment"))</f>
        <v/>
      </c>
      <c r="AC2031" s="7" t="str">
        <f>IF(OR(ISNUMBER(FIND("Review-1", patch[[#This Row],[comments]])), ISNUMBER(FIND("Approver-1", patch[[#This Row],[comments]]))), "Review-1", "")</f>
        <v/>
      </c>
      <c r="AD20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31" s="7">
        <f>IF(ISBLANK(patch[[#This Row],[number]]),AE2030,patch[[#This Row],[ifCommon]])</f>
        <v>0</v>
      </c>
    </row>
    <row r="2032" spans="1:31">
      <c r="A2032" s="151">
        <v>142561</v>
      </c>
      <c r="B2032" s="151"/>
      <c r="C2032" s="151"/>
      <c r="D2032" s="151"/>
      <c r="E2032" s="151"/>
      <c r="F2032" s="151"/>
      <c r="G2032" s="151"/>
      <c r="H2032" s="151"/>
      <c r="I2032" s="151"/>
      <c r="J2032" s="152">
        <v>42621.694907407407</v>
      </c>
      <c r="K2032" s="151"/>
      <c r="L2032" s="151" t="s">
        <v>32</v>
      </c>
      <c r="M2032" s="152">
        <v>42615.501851851863</v>
      </c>
      <c r="N2032" s="151" t="s">
        <v>2451</v>
      </c>
      <c r="O2032" s="151"/>
      <c r="P2032" s="151"/>
      <c r="Q2032" s="7" t="str">
        <f>IF(ISBLANK(patch[[#This Row],[OwnerEmail]]),Q2031,patch[[#This Row],[OwnerEmail]])</f>
        <v>gang.a.hu@intel.com</v>
      </c>
      <c r="R2032" s="7" t="str">
        <f>_xlfn.IFNA(VLOOKUP(patch[[#This Row],[tmp-owner.email]],OrgTree!$A:$K, 11, 0), "not ICG SWFW")</f>
        <v>BJ And dev</v>
      </c>
      <c r="S2032" s="7" t="str">
        <f>IF(patch[[#This Row],[reviewer]]=patch[[#This Row],[tmp-owner.email]], "author", _xlfn.IFNA(VLOOKUP(patch[[#This Row],[reviewer]],OrgTree!$A:$K, 11, 0), "not ICG SWFW"))</f>
        <v>author</v>
      </c>
      <c r="T2032" s="7" t="str">
        <f>IF(ISBLANK(patch[[#This Row],[mergeDate]]), "", MID(YEAR(patch[[#This Row],[mergeDate]]), 3,2)&amp;"'ww"&amp;WEEKNUM(patch[[#This Row],[mergeDate]]))</f>
        <v>16'ww37</v>
      </c>
      <c r="U2032" s="7" t="str">
        <f>IF(ISBLANK(patch[[#This Row],[mergeDate]]), U2031, MID(YEAR(patch[[#This Row],[mergeDate]]), 3,2)&amp;"'m"&amp;MONTH(patch[[#This Row],[mergeDate]]))</f>
        <v>16'm9</v>
      </c>
      <c r="V2032" s="7" t="str">
        <f>IF(ISBLANK(patch[[#This Row],[project]]), "",SUM(patch[[#This Row],[BJ -1 num]:[SH -1 num]]))</f>
        <v/>
      </c>
      <c r="W2032" s="7" t="str">
        <f>IF(ISBLANK(patch[[#This Row],[project]]), "",COUNTIFS($A:$A,patch[[#This Row],[number]],$S:$S, "BJ And dev",$AC:$AC, "Review-1"))</f>
        <v/>
      </c>
      <c r="X2032" s="7" t="str">
        <f>IF(ISBLANK(patch[[#This Row],[project]]), "",COUNTIFS($A:$A,patch[[#This Row],[number]],$S:$S, "FL And dev",$AC:$AC, "Review-1"))</f>
        <v/>
      </c>
      <c r="Y2032" s="7" t="str">
        <f>IF(ISBLANK(patch[[#This Row],[project]]), "",COUNTIFS($A:$A,patch[[#This Row],[number]],$S:$S, "SH And dev",$AC:$AC, "Review-1"))</f>
        <v/>
      </c>
      <c r="Z2032" s="7" t="str">
        <f>IF(ISBLANK(patch[[#This Row],[project]]), "",COUNTIFS($A:$A,patch[[#This Row],[number]],$S:$S, "BJ And dev",$AD:$AD, "&lt;&gt;IntegratorValidationComment"))</f>
        <v/>
      </c>
      <c r="AA2032" s="7" t="str">
        <f>IF(ISBLANK(patch[[#This Row],[project]]), "",COUNTIFS($A:$A,patch[[#This Row],[number]],$S:$S, "FL And dev",$AD:$AD, "&lt;&gt;IntegratorValidationComment"))</f>
        <v/>
      </c>
      <c r="AB2032" s="7" t="str">
        <f>IF(ISBLANK(patch[[#This Row],[project]]), "",COUNTIFS($A:$A,patch[[#This Row],[number]],$S:$S, "SH And dev",$AD:$AD, "&lt;&gt;IntegratorValidationComment"))</f>
        <v/>
      </c>
      <c r="AC2032" s="7" t="str">
        <f>IF(OR(ISNUMBER(FIND("Review-1", patch[[#This Row],[comments]])), ISNUMBER(FIND("Approver-1", patch[[#This Row],[comments]]))), "Review-1", "")</f>
        <v/>
      </c>
      <c r="AD20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32" s="7">
        <f>IF(ISBLANK(patch[[#This Row],[number]]),AE2031,patch[[#This Row],[ifCommon]])</f>
        <v>0</v>
      </c>
    </row>
    <row r="2033" spans="1:31">
      <c r="A2033" s="151">
        <v>142561</v>
      </c>
      <c r="B2033" s="151"/>
      <c r="C2033" s="151"/>
      <c r="D2033" s="151"/>
      <c r="E2033" s="151"/>
      <c r="F2033" s="151"/>
      <c r="G2033" s="151"/>
      <c r="H2033" s="151"/>
      <c r="I2033" s="151"/>
      <c r="J2033" s="152">
        <v>42621.694907407407</v>
      </c>
      <c r="K2033" s="151"/>
      <c r="L2033" s="151" t="s">
        <v>59</v>
      </c>
      <c r="M2033" s="152">
        <v>42615.510937500003</v>
      </c>
      <c r="N2033" s="151" t="s">
        <v>3594</v>
      </c>
      <c r="O2033" s="151"/>
      <c r="P2033" s="151"/>
      <c r="Q2033" s="7" t="str">
        <f>IF(ISBLANK(patch[[#This Row],[OwnerEmail]]),Q2032,patch[[#This Row],[OwnerEmail]])</f>
        <v>gang.a.hu@intel.com</v>
      </c>
      <c r="R2033" s="7" t="str">
        <f>_xlfn.IFNA(VLOOKUP(patch[[#This Row],[tmp-owner.email]],OrgTree!$A:$K, 11, 0), "not ICG SWFW")</f>
        <v>BJ And dev</v>
      </c>
      <c r="S2033" s="7" t="str">
        <f>IF(patch[[#This Row],[reviewer]]=patch[[#This Row],[tmp-owner.email]], "author", _xlfn.IFNA(VLOOKUP(patch[[#This Row],[reviewer]],OrgTree!$A:$K, 11, 0), "not ICG SWFW"))</f>
        <v>BJ And dev</v>
      </c>
      <c r="T2033" s="7" t="str">
        <f>IF(ISBLANK(patch[[#This Row],[mergeDate]]), "", MID(YEAR(patch[[#This Row],[mergeDate]]), 3,2)&amp;"'ww"&amp;WEEKNUM(patch[[#This Row],[mergeDate]]))</f>
        <v>16'ww37</v>
      </c>
      <c r="U2033" s="7" t="str">
        <f>IF(ISBLANK(patch[[#This Row],[mergeDate]]), U2032, MID(YEAR(patch[[#This Row],[mergeDate]]), 3,2)&amp;"'m"&amp;MONTH(patch[[#This Row],[mergeDate]]))</f>
        <v>16'm9</v>
      </c>
      <c r="V2033" s="7" t="str">
        <f>IF(ISBLANK(patch[[#This Row],[project]]), "",SUM(patch[[#This Row],[BJ -1 num]:[SH -1 num]]))</f>
        <v/>
      </c>
      <c r="W2033" s="7" t="str">
        <f>IF(ISBLANK(patch[[#This Row],[project]]), "",COUNTIFS($A:$A,patch[[#This Row],[number]],$S:$S, "BJ And dev",$AC:$AC, "Review-1"))</f>
        <v/>
      </c>
      <c r="X2033" s="7" t="str">
        <f>IF(ISBLANK(patch[[#This Row],[project]]), "",COUNTIFS($A:$A,patch[[#This Row],[number]],$S:$S, "FL And dev",$AC:$AC, "Review-1"))</f>
        <v/>
      </c>
      <c r="Y2033" s="7" t="str">
        <f>IF(ISBLANK(patch[[#This Row],[project]]), "",COUNTIFS($A:$A,patch[[#This Row],[number]],$S:$S, "SH And dev",$AC:$AC, "Review-1"))</f>
        <v/>
      </c>
      <c r="Z2033" s="7" t="str">
        <f>IF(ISBLANK(patch[[#This Row],[project]]), "",COUNTIFS($A:$A,patch[[#This Row],[number]],$S:$S, "BJ And dev",$AD:$AD, "&lt;&gt;IntegratorValidationComment"))</f>
        <v/>
      </c>
      <c r="AA2033" s="7" t="str">
        <f>IF(ISBLANK(patch[[#This Row],[project]]), "",COUNTIFS($A:$A,patch[[#This Row],[number]],$S:$S, "FL And dev",$AD:$AD, "&lt;&gt;IntegratorValidationComment"))</f>
        <v/>
      </c>
      <c r="AB2033" s="7" t="str">
        <f>IF(ISBLANK(patch[[#This Row],[project]]), "",COUNTIFS($A:$A,patch[[#This Row],[number]],$S:$S, "SH And dev",$AD:$AD, "&lt;&gt;IntegratorValidationComment"))</f>
        <v/>
      </c>
      <c r="AC2033" s="7" t="str">
        <f>IF(OR(ISNUMBER(FIND("Review-1", patch[[#This Row],[comments]])), ISNUMBER(FIND("Approver-1", patch[[#This Row],[comments]]))), "Review-1", "")</f>
        <v/>
      </c>
      <c r="AD20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33" s="7">
        <f>IF(ISBLANK(patch[[#This Row],[number]]),AE2032,patch[[#This Row],[ifCommon]])</f>
        <v>0</v>
      </c>
    </row>
    <row r="2034" spans="1:31">
      <c r="A2034" s="151">
        <v>142561</v>
      </c>
      <c r="B2034" s="151"/>
      <c r="C2034" s="151"/>
      <c r="D2034" s="151"/>
      <c r="E2034" s="151"/>
      <c r="F2034" s="151"/>
      <c r="G2034" s="151"/>
      <c r="H2034" s="151"/>
      <c r="I2034" s="151"/>
      <c r="J2034" s="152">
        <v>42621.694907407407</v>
      </c>
      <c r="K2034" s="151"/>
      <c r="L2034" s="151" t="s">
        <v>59</v>
      </c>
      <c r="M2034" s="152">
        <v>42615.525717592587</v>
      </c>
      <c r="N2034" s="151" t="s">
        <v>3595</v>
      </c>
      <c r="O2034" s="151"/>
      <c r="P2034" s="151"/>
      <c r="Q2034" s="7" t="str">
        <f>IF(ISBLANK(patch[[#This Row],[OwnerEmail]]),Q2033,patch[[#This Row],[OwnerEmail]])</f>
        <v>gang.a.hu@intel.com</v>
      </c>
      <c r="R2034" s="7" t="str">
        <f>_xlfn.IFNA(VLOOKUP(patch[[#This Row],[tmp-owner.email]],OrgTree!$A:$K, 11, 0), "not ICG SWFW")</f>
        <v>BJ And dev</v>
      </c>
      <c r="S2034" s="7" t="str">
        <f>IF(patch[[#This Row],[reviewer]]=patch[[#This Row],[tmp-owner.email]], "author", _xlfn.IFNA(VLOOKUP(patch[[#This Row],[reviewer]],OrgTree!$A:$K, 11, 0), "not ICG SWFW"))</f>
        <v>BJ And dev</v>
      </c>
      <c r="T2034" s="7" t="str">
        <f>IF(ISBLANK(patch[[#This Row],[mergeDate]]), "", MID(YEAR(patch[[#This Row],[mergeDate]]), 3,2)&amp;"'ww"&amp;WEEKNUM(patch[[#This Row],[mergeDate]]))</f>
        <v>16'ww37</v>
      </c>
      <c r="U2034" s="7" t="str">
        <f>IF(ISBLANK(patch[[#This Row],[mergeDate]]), U2033, MID(YEAR(patch[[#This Row],[mergeDate]]), 3,2)&amp;"'m"&amp;MONTH(patch[[#This Row],[mergeDate]]))</f>
        <v>16'm9</v>
      </c>
      <c r="V2034" s="7" t="str">
        <f>IF(ISBLANK(patch[[#This Row],[project]]), "",SUM(patch[[#This Row],[BJ -1 num]:[SH -1 num]]))</f>
        <v/>
      </c>
      <c r="W2034" s="7" t="str">
        <f>IF(ISBLANK(patch[[#This Row],[project]]), "",COUNTIFS($A:$A,patch[[#This Row],[number]],$S:$S, "BJ And dev",$AC:$AC, "Review-1"))</f>
        <v/>
      </c>
      <c r="X2034" s="7" t="str">
        <f>IF(ISBLANK(patch[[#This Row],[project]]), "",COUNTIFS($A:$A,patch[[#This Row],[number]],$S:$S, "FL And dev",$AC:$AC, "Review-1"))</f>
        <v/>
      </c>
      <c r="Y2034" s="7" t="str">
        <f>IF(ISBLANK(patch[[#This Row],[project]]), "",COUNTIFS($A:$A,patch[[#This Row],[number]],$S:$S, "SH And dev",$AC:$AC, "Review-1"))</f>
        <v/>
      </c>
      <c r="Z2034" s="7" t="str">
        <f>IF(ISBLANK(patch[[#This Row],[project]]), "",COUNTIFS($A:$A,patch[[#This Row],[number]],$S:$S, "BJ And dev",$AD:$AD, "&lt;&gt;IntegratorValidationComment"))</f>
        <v/>
      </c>
      <c r="AA2034" s="7" t="str">
        <f>IF(ISBLANK(patch[[#This Row],[project]]), "",COUNTIFS($A:$A,patch[[#This Row],[number]],$S:$S, "FL And dev",$AD:$AD, "&lt;&gt;IntegratorValidationComment"))</f>
        <v/>
      </c>
      <c r="AB2034" s="7" t="str">
        <f>IF(ISBLANK(patch[[#This Row],[project]]), "",COUNTIFS($A:$A,patch[[#This Row],[number]],$S:$S, "SH And dev",$AD:$AD, "&lt;&gt;IntegratorValidationComment"))</f>
        <v/>
      </c>
      <c r="AC2034" s="7" t="str">
        <f>IF(OR(ISNUMBER(FIND("Review-1", patch[[#This Row],[comments]])), ISNUMBER(FIND("Approver-1", patch[[#This Row],[comments]]))), "Review-1", "")</f>
        <v/>
      </c>
      <c r="AD20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34" s="7">
        <f>IF(ISBLANK(patch[[#This Row],[number]]),AE2033,patch[[#This Row],[ifCommon]])</f>
        <v>0</v>
      </c>
    </row>
    <row r="2035" spans="1:31">
      <c r="A2035" s="151">
        <v>142561</v>
      </c>
      <c r="B2035" s="151"/>
      <c r="C2035" s="151"/>
      <c r="D2035" s="151"/>
      <c r="E2035" s="151"/>
      <c r="F2035" s="151"/>
      <c r="G2035" s="151"/>
      <c r="H2035" s="151"/>
      <c r="I2035" s="151"/>
      <c r="J2035" s="152">
        <v>42621.694907407407</v>
      </c>
      <c r="K2035" s="151"/>
      <c r="L2035" s="151" t="s">
        <v>32</v>
      </c>
      <c r="M2035" s="152">
        <v>42620.645173611112</v>
      </c>
      <c r="N2035" s="151" t="s">
        <v>2452</v>
      </c>
      <c r="O2035" s="151"/>
      <c r="P2035" s="151"/>
      <c r="Q2035" s="7" t="str">
        <f>IF(ISBLANK(patch[[#This Row],[OwnerEmail]]),Q2034,patch[[#This Row],[OwnerEmail]])</f>
        <v>gang.a.hu@intel.com</v>
      </c>
      <c r="R2035" s="7" t="str">
        <f>_xlfn.IFNA(VLOOKUP(patch[[#This Row],[tmp-owner.email]],OrgTree!$A:$K, 11, 0), "not ICG SWFW")</f>
        <v>BJ And dev</v>
      </c>
      <c r="S2035" s="7" t="str">
        <f>IF(patch[[#This Row],[reviewer]]=patch[[#This Row],[tmp-owner.email]], "author", _xlfn.IFNA(VLOOKUP(patch[[#This Row],[reviewer]],OrgTree!$A:$K, 11, 0), "not ICG SWFW"))</f>
        <v>author</v>
      </c>
      <c r="T2035" s="7" t="str">
        <f>IF(ISBLANK(patch[[#This Row],[mergeDate]]), "", MID(YEAR(patch[[#This Row],[mergeDate]]), 3,2)&amp;"'ww"&amp;WEEKNUM(patch[[#This Row],[mergeDate]]))</f>
        <v>16'ww37</v>
      </c>
      <c r="U2035" s="7" t="str">
        <f>IF(ISBLANK(patch[[#This Row],[mergeDate]]), U2034, MID(YEAR(patch[[#This Row],[mergeDate]]), 3,2)&amp;"'m"&amp;MONTH(patch[[#This Row],[mergeDate]]))</f>
        <v>16'm9</v>
      </c>
      <c r="V2035" s="7" t="str">
        <f>IF(ISBLANK(patch[[#This Row],[project]]), "",SUM(patch[[#This Row],[BJ -1 num]:[SH -1 num]]))</f>
        <v/>
      </c>
      <c r="W2035" s="7" t="str">
        <f>IF(ISBLANK(patch[[#This Row],[project]]), "",COUNTIFS($A:$A,patch[[#This Row],[number]],$S:$S, "BJ And dev",$AC:$AC, "Review-1"))</f>
        <v/>
      </c>
      <c r="X2035" s="7" t="str">
        <f>IF(ISBLANK(patch[[#This Row],[project]]), "",COUNTIFS($A:$A,patch[[#This Row],[number]],$S:$S, "FL And dev",$AC:$AC, "Review-1"))</f>
        <v/>
      </c>
      <c r="Y2035" s="7" t="str">
        <f>IF(ISBLANK(patch[[#This Row],[project]]), "",COUNTIFS($A:$A,patch[[#This Row],[number]],$S:$S, "SH And dev",$AC:$AC, "Review-1"))</f>
        <v/>
      </c>
      <c r="Z2035" s="7" t="str">
        <f>IF(ISBLANK(patch[[#This Row],[project]]), "",COUNTIFS($A:$A,patch[[#This Row],[number]],$S:$S, "BJ And dev",$AD:$AD, "&lt;&gt;IntegratorValidationComment"))</f>
        <v/>
      </c>
      <c r="AA2035" s="7" t="str">
        <f>IF(ISBLANK(patch[[#This Row],[project]]), "",COUNTIFS($A:$A,patch[[#This Row],[number]],$S:$S, "FL And dev",$AD:$AD, "&lt;&gt;IntegratorValidationComment"))</f>
        <v/>
      </c>
      <c r="AB2035" s="7" t="str">
        <f>IF(ISBLANK(patch[[#This Row],[project]]), "",COUNTIFS($A:$A,patch[[#This Row],[number]],$S:$S, "SH And dev",$AD:$AD, "&lt;&gt;IntegratorValidationComment"))</f>
        <v/>
      </c>
      <c r="AC2035" s="7" t="str">
        <f>IF(OR(ISNUMBER(FIND("Review-1", patch[[#This Row],[comments]])), ISNUMBER(FIND("Approver-1", patch[[#This Row],[comments]]))), "Review-1", "")</f>
        <v/>
      </c>
      <c r="AD20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35" s="7">
        <f>IF(ISBLANK(patch[[#This Row],[number]]),AE2034,patch[[#This Row],[ifCommon]])</f>
        <v>0</v>
      </c>
    </row>
    <row r="2036" spans="1:31">
      <c r="A2036" s="151">
        <v>142561</v>
      </c>
      <c r="B2036" s="151"/>
      <c r="C2036" s="151"/>
      <c r="D2036" s="151"/>
      <c r="E2036" s="151"/>
      <c r="F2036" s="151"/>
      <c r="G2036" s="151"/>
      <c r="H2036" s="151"/>
      <c r="I2036" s="151"/>
      <c r="J2036" s="152">
        <v>42621.694907407407</v>
      </c>
      <c r="K2036" s="151"/>
      <c r="L2036" s="151" t="s">
        <v>32</v>
      </c>
      <c r="M2036" s="152">
        <v>42620.645185185182</v>
      </c>
      <c r="N2036" s="151" t="s">
        <v>2453</v>
      </c>
      <c r="O2036" s="151"/>
      <c r="P2036" s="151"/>
      <c r="Q2036" s="7" t="str">
        <f>IF(ISBLANK(patch[[#This Row],[OwnerEmail]]),Q2035,patch[[#This Row],[OwnerEmail]])</f>
        <v>gang.a.hu@intel.com</v>
      </c>
      <c r="R2036" s="7" t="str">
        <f>_xlfn.IFNA(VLOOKUP(patch[[#This Row],[tmp-owner.email]],OrgTree!$A:$K, 11, 0), "not ICG SWFW")</f>
        <v>BJ And dev</v>
      </c>
      <c r="S2036" s="7" t="str">
        <f>IF(patch[[#This Row],[reviewer]]=patch[[#This Row],[tmp-owner.email]], "author", _xlfn.IFNA(VLOOKUP(patch[[#This Row],[reviewer]],OrgTree!$A:$K, 11, 0), "not ICG SWFW"))</f>
        <v>author</v>
      </c>
      <c r="T2036" s="7" t="str">
        <f>IF(ISBLANK(patch[[#This Row],[mergeDate]]), "", MID(YEAR(patch[[#This Row],[mergeDate]]), 3,2)&amp;"'ww"&amp;WEEKNUM(patch[[#This Row],[mergeDate]]))</f>
        <v>16'ww37</v>
      </c>
      <c r="U2036" s="7" t="str">
        <f>IF(ISBLANK(patch[[#This Row],[mergeDate]]), U2035, MID(YEAR(patch[[#This Row],[mergeDate]]), 3,2)&amp;"'m"&amp;MONTH(patch[[#This Row],[mergeDate]]))</f>
        <v>16'm9</v>
      </c>
      <c r="V2036" s="7" t="str">
        <f>IF(ISBLANK(patch[[#This Row],[project]]), "",SUM(patch[[#This Row],[BJ -1 num]:[SH -1 num]]))</f>
        <v/>
      </c>
      <c r="W2036" s="7" t="str">
        <f>IF(ISBLANK(patch[[#This Row],[project]]), "",COUNTIFS($A:$A,patch[[#This Row],[number]],$S:$S, "BJ And dev",$AC:$AC, "Review-1"))</f>
        <v/>
      </c>
      <c r="X2036" s="7" t="str">
        <f>IF(ISBLANK(patch[[#This Row],[project]]), "",COUNTIFS($A:$A,patch[[#This Row],[number]],$S:$S, "FL And dev",$AC:$AC, "Review-1"))</f>
        <v/>
      </c>
      <c r="Y2036" s="7" t="str">
        <f>IF(ISBLANK(patch[[#This Row],[project]]), "",COUNTIFS($A:$A,patch[[#This Row],[number]],$S:$S, "SH And dev",$AC:$AC, "Review-1"))</f>
        <v/>
      </c>
      <c r="Z2036" s="7" t="str">
        <f>IF(ISBLANK(patch[[#This Row],[project]]), "",COUNTIFS($A:$A,patch[[#This Row],[number]],$S:$S, "BJ And dev",$AD:$AD, "&lt;&gt;IntegratorValidationComment"))</f>
        <v/>
      </c>
      <c r="AA2036" s="7" t="str">
        <f>IF(ISBLANK(patch[[#This Row],[project]]), "",COUNTIFS($A:$A,patch[[#This Row],[number]],$S:$S, "FL And dev",$AD:$AD, "&lt;&gt;IntegratorValidationComment"))</f>
        <v/>
      </c>
      <c r="AB2036" s="7" t="str">
        <f>IF(ISBLANK(patch[[#This Row],[project]]), "",COUNTIFS($A:$A,patch[[#This Row],[number]],$S:$S, "SH And dev",$AD:$AD, "&lt;&gt;IntegratorValidationComment"))</f>
        <v/>
      </c>
      <c r="AC2036" s="7" t="str">
        <f>IF(OR(ISNUMBER(FIND("Review-1", patch[[#This Row],[comments]])), ISNUMBER(FIND("Approver-1", patch[[#This Row],[comments]]))), "Review-1", "")</f>
        <v/>
      </c>
      <c r="AD20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36" s="7">
        <f>IF(ISBLANK(patch[[#This Row],[number]]),AE2035,patch[[#This Row],[ifCommon]])</f>
        <v>0</v>
      </c>
    </row>
    <row r="2037" spans="1:31">
      <c r="A2037" s="151">
        <v>142561</v>
      </c>
      <c r="B2037" s="151"/>
      <c r="C2037" s="151"/>
      <c r="D2037" s="151"/>
      <c r="E2037" s="151"/>
      <c r="F2037" s="151"/>
      <c r="G2037" s="151"/>
      <c r="H2037" s="151"/>
      <c r="I2037" s="151"/>
      <c r="J2037" s="152">
        <v>42621.694907407407</v>
      </c>
      <c r="K2037" s="151"/>
      <c r="L2037" s="151" t="s">
        <v>59</v>
      </c>
      <c r="M2037" s="152">
        <v>42620.646874999999</v>
      </c>
      <c r="N2037" s="151" t="s">
        <v>3596</v>
      </c>
      <c r="O2037" s="151"/>
      <c r="P2037" s="151"/>
      <c r="Q2037" s="7" t="str">
        <f>IF(ISBLANK(patch[[#This Row],[OwnerEmail]]),Q2036,patch[[#This Row],[OwnerEmail]])</f>
        <v>gang.a.hu@intel.com</v>
      </c>
      <c r="R2037" s="7" t="str">
        <f>_xlfn.IFNA(VLOOKUP(patch[[#This Row],[tmp-owner.email]],OrgTree!$A:$K, 11, 0), "not ICG SWFW")</f>
        <v>BJ And dev</v>
      </c>
      <c r="S2037" s="7" t="str">
        <f>IF(patch[[#This Row],[reviewer]]=patch[[#This Row],[tmp-owner.email]], "author", _xlfn.IFNA(VLOOKUP(patch[[#This Row],[reviewer]],OrgTree!$A:$K, 11, 0), "not ICG SWFW"))</f>
        <v>BJ And dev</v>
      </c>
      <c r="T2037" s="7" t="str">
        <f>IF(ISBLANK(patch[[#This Row],[mergeDate]]), "", MID(YEAR(patch[[#This Row],[mergeDate]]), 3,2)&amp;"'ww"&amp;WEEKNUM(patch[[#This Row],[mergeDate]]))</f>
        <v>16'ww37</v>
      </c>
      <c r="U2037" s="7" t="str">
        <f>IF(ISBLANK(patch[[#This Row],[mergeDate]]), U2036, MID(YEAR(patch[[#This Row],[mergeDate]]), 3,2)&amp;"'m"&amp;MONTH(patch[[#This Row],[mergeDate]]))</f>
        <v>16'm9</v>
      </c>
      <c r="V2037" s="7" t="str">
        <f>IF(ISBLANK(patch[[#This Row],[project]]), "",SUM(patch[[#This Row],[BJ -1 num]:[SH -1 num]]))</f>
        <v/>
      </c>
      <c r="W2037" s="7" t="str">
        <f>IF(ISBLANK(patch[[#This Row],[project]]), "",COUNTIFS($A:$A,patch[[#This Row],[number]],$S:$S, "BJ And dev",$AC:$AC, "Review-1"))</f>
        <v/>
      </c>
      <c r="X2037" s="7" t="str">
        <f>IF(ISBLANK(patch[[#This Row],[project]]), "",COUNTIFS($A:$A,patch[[#This Row],[number]],$S:$S, "FL And dev",$AC:$AC, "Review-1"))</f>
        <v/>
      </c>
      <c r="Y2037" s="7" t="str">
        <f>IF(ISBLANK(patch[[#This Row],[project]]), "",COUNTIFS($A:$A,patch[[#This Row],[number]],$S:$S, "SH And dev",$AC:$AC, "Review-1"))</f>
        <v/>
      </c>
      <c r="Z2037" s="7" t="str">
        <f>IF(ISBLANK(patch[[#This Row],[project]]), "",COUNTIFS($A:$A,patch[[#This Row],[number]],$S:$S, "BJ And dev",$AD:$AD, "&lt;&gt;IntegratorValidationComment"))</f>
        <v/>
      </c>
      <c r="AA2037" s="7" t="str">
        <f>IF(ISBLANK(patch[[#This Row],[project]]), "",COUNTIFS($A:$A,patch[[#This Row],[number]],$S:$S, "FL And dev",$AD:$AD, "&lt;&gt;IntegratorValidationComment"))</f>
        <v/>
      </c>
      <c r="AB2037" s="7" t="str">
        <f>IF(ISBLANK(patch[[#This Row],[project]]), "",COUNTIFS($A:$A,patch[[#This Row],[number]],$S:$S, "SH And dev",$AD:$AD, "&lt;&gt;IntegratorValidationComment"))</f>
        <v/>
      </c>
      <c r="AC2037" s="7" t="str">
        <f>IF(OR(ISNUMBER(FIND("Review-1", patch[[#This Row],[comments]])), ISNUMBER(FIND("Approver-1", patch[[#This Row],[comments]]))), "Review-1", "")</f>
        <v/>
      </c>
      <c r="AD20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37" s="7">
        <f>IF(ISBLANK(patch[[#This Row],[number]]),AE2036,patch[[#This Row],[ifCommon]])</f>
        <v>0</v>
      </c>
    </row>
    <row r="2038" spans="1:31">
      <c r="A2038" s="151">
        <v>142561</v>
      </c>
      <c r="B2038" s="151"/>
      <c r="C2038" s="151"/>
      <c r="D2038" s="151"/>
      <c r="E2038" s="151"/>
      <c r="F2038" s="151"/>
      <c r="G2038" s="151"/>
      <c r="H2038" s="151"/>
      <c r="I2038" s="151"/>
      <c r="J2038" s="152">
        <v>42621.694907407407</v>
      </c>
      <c r="K2038" s="151"/>
      <c r="L2038" s="151" t="s">
        <v>63</v>
      </c>
      <c r="M2038" s="152">
        <v>42620.646990740737</v>
      </c>
      <c r="N2038" s="151" t="s">
        <v>1853</v>
      </c>
      <c r="O2038" s="151"/>
      <c r="P2038" s="151"/>
      <c r="Q2038" s="7" t="str">
        <f>IF(ISBLANK(patch[[#This Row],[OwnerEmail]]),Q2037,patch[[#This Row],[OwnerEmail]])</f>
        <v>gang.a.hu@intel.com</v>
      </c>
      <c r="R2038" s="7" t="str">
        <f>_xlfn.IFNA(VLOOKUP(patch[[#This Row],[tmp-owner.email]],OrgTree!$A:$K, 11, 0), "not ICG SWFW")</f>
        <v>BJ And dev</v>
      </c>
      <c r="S2038" s="7" t="str">
        <f>IF(patch[[#This Row],[reviewer]]=patch[[#This Row],[tmp-owner.email]], "author", _xlfn.IFNA(VLOOKUP(patch[[#This Row],[reviewer]],OrgTree!$A:$K, 11, 0), "not ICG SWFW"))</f>
        <v>BJ And dev</v>
      </c>
      <c r="T2038" s="7" t="str">
        <f>IF(ISBLANK(patch[[#This Row],[mergeDate]]), "", MID(YEAR(patch[[#This Row],[mergeDate]]), 3,2)&amp;"'ww"&amp;WEEKNUM(patch[[#This Row],[mergeDate]]))</f>
        <v>16'ww37</v>
      </c>
      <c r="U2038" s="7" t="str">
        <f>IF(ISBLANK(patch[[#This Row],[mergeDate]]), U2037, MID(YEAR(patch[[#This Row],[mergeDate]]), 3,2)&amp;"'m"&amp;MONTH(patch[[#This Row],[mergeDate]]))</f>
        <v>16'm9</v>
      </c>
      <c r="V2038" s="7" t="str">
        <f>IF(ISBLANK(patch[[#This Row],[project]]), "",SUM(patch[[#This Row],[BJ -1 num]:[SH -1 num]]))</f>
        <v/>
      </c>
      <c r="W2038" s="7" t="str">
        <f>IF(ISBLANK(patch[[#This Row],[project]]), "",COUNTIFS($A:$A,patch[[#This Row],[number]],$S:$S, "BJ And dev",$AC:$AC, "Review-1"))</f>
        <v/>
      </c>
      <c r="X2038" s="7" t="str">
        <f>IF(ISBLANK(patch[[#This Row],[project]]), "",COUNTIFS($A:$A,patch[[#This Row],[number]],$S:$S, "FL And dev",$AC:$AC, "Review-1"))</f>
        <v/>
      </c>
      <c r="Y2038" s="7" t="str">
        <f>IF(ISBLANK(patch[[#This Row],[project]]), "",COUNTIFS($A:$A,patch[[#This Row],[number]],$S:$S, "SH And dev",$AC:$AC, "Review-1"))</f>
        <v/>
      </c>
      <c r="Z2038" s="7" t="str">
        <f>IF(ISBLANK(patch[[#This Row],[project]]), "",COUNTIFS($A:$A,patch[[#This Row],[number]],$S:$S, "BJ And dev",$AD:$AD, "&lt;&gt;IntegratorValidationComment"))</f>
        <v/>
      </c>
      <c r="AA2038" s="7" t="str">
        <f>IF(ISBLANK(patch[[#This Row],[project]]), "",COUNTIFS($A:$A,patch[[#This Row],[number]],$S:$S, "FL And dev",$AD:$AD, "&lt;&gt;IntegratorValidationComment"))</f>
        <v/>
      </c>
      <c r="AB2038" s="7" t="str">
        <f>IF(ISBLANK(patch[[#This Row],[project]]), "",COUNTIFS($A:$A,patch[[#This Row],[number]],$S:$S, "SH And dev",$AD:$AD, "&lt;&gt;IntegratorValidationComment"))</f>
        <v/>
      </c>
      <c r="AC2038" s="7" t="str">
        <f>IF(OR(ISNUMBER(FIND("Review-1", patch[[#This Row],[comments]])), ISNUMBER(FIND("Approver-1", patch[[#This Row],[comments]]))), "Review-1", "")</f>
        <v/>
      </c>
      <c r="AD20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38" s="7">
        <f>IF(ISBLANK(patch[[#This Row],[number]]),AE2037,patch[[#This Row],[ifCommon]])</f>
        <v>0</v>
      </c>
    </row>
    <row r="2039" spans="1:31">
      <c r="A2039" s="151">
        <v>142561</v>
      </c>
      <c r="B2039" s="151"/>
      <c r="C2039" s="151"/>
      <c r="D2039" s="151"/>
      <c r="E2039" s="151"/>
      <c r="F2039" s="151"/>
      <c r="G2039" s="151"/>
      <c r="H2039" s="151"/>
      <c r="I2039" s="151"/>
      <c r="J2039" s="152">
        <v>42621.694907407407</v>
      </c>
      <c r="K2039" s="151"/>
      <c r="L2039" s="151" t="s">
        <v>59</v>
      </c>
      <c r="M2039" s="152">
        <v>42620.647615740738</v>
      </c>
      <c r="N2039" s="151" t="s">
        <v>3597</v>
      </c>
      <c r="O2039" s="151"/>
      <c r="P2039" s="151"/>
      <c r="Q2039" s="7" t="str">
        <f>IF(ISBLANK(patch[[#This Row],[OwnerEmail]]),Q2038,patch[[#This Row],[OwnerEmail]])</f>
        <v>gang.a.hu@intel.com</v>
      </c>
      <c r="R2039" s="7" t="str">
        <f>_xlfn.IFNA(VLOOKUP(patch[[#This Row],[tmp-owner.email]],OrgTree!$A:$K, 11, 0), "not ICG SWFW")</f>
        <v>BJ And dev</v>
      </c>
      <c r="S2039" s="7" t="str">
        <f>IF(patch[[#This Row],[reviewer]]=patch[[#This Row],[tmp-owner.email]], "author", _xlfn.IFNA(VLOOKUP(patch[[#This Row],[reviewer]],OrgTree!$A:$K, 11, 0), "not ICG SWFW"))</f>
        <v>BJ And dev</v>
      </c>
      <c r="T2039" s="7" t="str">
        <f>IF(ISBLANK(patch[[#This Row],[mergeDate]]), "", MID(YEAR(patch[[#This Row],[mergeDate]]), 3,2)&amp;"'ww"&amp;WEEKNUM(patch[[#This Row],[mergeDate]]))</f>
        <v>16'ww37</v>
      </c>
      <c r="U2039" s="7" t="str">
        <f>IF(ISBLANK(patch[[#This Row],[mergeDate]]), U2038, MID(YEAR(patch[[#This Row],[mergeDate]]), 3,2)&amp;"'m"&amp;MONTH(patch[[#This Row],[mergeDate]]))</f>
        <v>16'm9</v>
      </c>
      <c r="V2039" s="7" t="str">
        <f>IF(ISBLANK(patch[[#This Row],[project]]), "",SUM(patch[[#This Row],[BJ -1 num]:[SH -1 num]]))</f>
        <v/>
      </c>
      <c r="W2039" s="7" t="str">
        <f>IF(ISBLANK(patch[[#This Row],[project]]), "",COUNTIFS($A:$A,patch[[#This Row],[number]],$S:$S, "BJ And dev",$AC:$AC, "Review-1"))</f>
        <v/>
      </c>
      <c r="X2039" s="7" t="str">
        <f>IF(ISBLANK(patch[[#This Row],[project]]), "",COUNTIFS($A:$A,patch[[#This Row],[number]],$S:$S, "FL And dev",$AC:$AC, "Review-1"))</f>
        <v/>
      </c>
      <c r="Y2039" s="7" t="str">
        <f>IF(ISBLANK(patch[[#This Row],[project]]), "",COUNTIFS($A:$A,patch[[#This Row],[number]],$S:$S, "SH And dev",$AC:$AC, "Review-1"))</f>
        <v/>
      </c>
      <c r="Z2039" s="7" t="str">
        <f>IF(ISBLANK(patch[[#This Row],[project]]), "",COUNTIFS($A:$A,patch[[#This Row],[number]],$S:$S, "BJ And dev",$AD:$AD, "&lt;&gt;IntegratorValidationComment"))</f>
        <v/>
      </c>
      <c r="AA2039" s="7" t="str">
        <f>IF(ISBLANK(patch[[#This Row],[project]]), "",COUNTIFS($A:$A,patch[[#This Row],[number]],$S:$S, "FL And dev",$AD:$AD, "&lt;&gt;IntegratorValidationComment"))</f>
        <v/>
      </c>
      <c r="AB2039" s="7" t="str">
        <f>IF(ISBLANK(patch[[#This Row],[project]]), "",COUNTIFS($A:$A,patch[[#This Row],[number]],$S:$S, "SH And dev",$AD:$AD, "&lt;&gt;IntegratorValidationComment"))</f>
        <v/>
      </c>
      <c r="AC2039" s="7" t="str">
        <f>IF(OR(ISNUMBER(FIND("Review-1", patch[[#This Row],[comments]])), ISNUMBER(FIND("Approver-1", patch[[#This Row],[comments]]))), "Review-1", "")</f>
        <v/>
      </c>
      <c r="AD20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39" s="7">
        <f>IF(ISBLANK(patch[[#This Row],[number]]),AE2038,patch[[#This Row],[ifCommon]])</f>
        <v>0</v>
      </c>
    </row>
    <row r="2040" spans="1:31">
      <c r="A2040" s="151">
        <v>142561</v>
      </c>
      <c r="B2040" s="151"/>
      <c r="C2040" s="151"/>
      <c r="D2040" s="151"/>
      <c r="E2040" s="151"/>
      <c r="F2040" s="151"/>
      <c r="G2040" s="151"/>
      <c r="H2040" s="151"/>
      <c r="I2040" s="151"/>
      <c r="J2040" s="152">
        <v>42621.694907407407</v>
      </c>
      <c r="K2040" s="151"/>
      <c r="L2040" s="151" t="s">
        <v>55</v>
      </c>
      <c r="M2040" s="152">
        <v>42620.648240740738</v>
      </c>
      <c r="N2040" s="151" t="s">
        <v>1853</v>
      </c>
      <c r="O2040" s="151"/>
      <c r="P2040" s="151"/>
      <c r="Q2040" s="7" t="str">
        <f>IF(ISBLANK(patch[[#This Row],[OwnerEmail]]),Q2039,patch[[#This Row],[OwnerEmail]])</f>
        <v>gang.a.hu@intel.com</v>
      </c>
      <c r="R2040" s="7" t="str">
        <f>_xlfn.IFNA(VLOOKUP(patch[[#This Row],[tmp-owner.email]],OrgTree!$A:$K, 11, 0), "not ICG SWFW")</f>
        <v>BJ And dev</v>
      </c>
      <c r="S2040" s="7" t="str">
        <f>IF(patch[[#This Row],[reviewer]]=patch[[#This Row],[tmp-owner.email]], "author", _xlfn.IFNA(VLOOKUP(patch[[#This Row],[reviewer]],OrgTree!$A:$K, 11, 0), "not ICG SWFW"))</f>
        <v>BJ And dev</v>
      </c>
      <c r="T2040" s="7" t="str">
        <f>IF(ISBLANK(patch[[#This Row],[mergeDate]]), "", MID(YEAR(patch[[#This Row],[mergeDate]]), 3,2)&amp;"'ww"&amp;WEEKNUM(patch[[#This Row],[mergeDate]]))</f>
        <v>16'ww37</v>
      </c>
      <c r="U2040" s="7" t="str">
        <f>IF(ISBLANK(patch[[#This Row],[mergeDate]]), U2039, MID(YEAR(patch[[#This Row],[mergeDate]]), 3,2)&amp;"'m"&amp;MONTH(patch[[#This Row],[mergeDate]]))</f>
        <v>16'm9</v>
      </c>
      <c r="V2040" s="7" t="str">
        <f>IF(ISBLANK(patch[[#This Row],[project]]), "",SUM(patch[[#This Row],[BJ -1 num]:[SH -1 num]]))</f>
        <v/>
      </c>
      <c r="W2040" s="7" t="str">
        <f>IF(ISBLANK(patch[[#This Row],[project]]), "",COUNTIFS($A:$A,patch[[#This Row],[number]],$S:$S, "BJ And dev",$AC:$AC, "Review-1"))</f>
        <v/>
      </c>
      <c r="X2040" s="7" t="str">
        <f>IF(ISBLANK(patch[[#This Row],[project]]), "",COUNTIFS($A:$A,patch[[#This Row],[number]],$S:$S, "FL And dev",$AC:$AC, "Review-1"))</f>
        <v/>
      </c>
      <c r="Y2040" s="7" t="str">
        <f>IF(ISBLANK(patch[[#This Row],[project]]), "",COUNTIFS($A:$A,patch[[#This Row],[number]],$S:$S, "SH And dev",$AC:$AC, "Review-1"))</f>
        <v/>
      </c>
      <c r="Z2040" s="7" t="str">
        <f>IF(ISBLANK(patch[[#This Row],[project]]), "",COUNTIFS($A:$A,patch[[#This Row],[number]],$S:$S, "BJ And dev",$AD:$AD, "&lt;&gt;IntegratorValidationComment"))</f>
        <v/>
      </c>
      <c r="AA2040" s="7" t="str">
        <f>IF(ISBLANK(patch[[#This Row],[project]]), "",COUNTIFS($A:$A,patch[[#This Row],[number]],$S:$S, "FL And dev",$AD:$AD, "&lt;&gt;IntegratorValidationComment"))</f>
        <v/>
      </c>
      <c r="AB2040" s="7" t="str">
        <f>IF(ISBLANK(patch[[#This Row],[project]]), "",COUNTIFS($A:$A,patch[[#This Row],[number]],$S:$S, "SH And dev",$AD:$AD, "&lt;&gt;IntegratorValidationComment"))</f>
        <v/>
      </c>
      <c r="AC2040" s="7" t="str">
        <f>IF(OR(ISNUMBER(FIND("Review-1", patch[[#This Row],[comments]])), ISNUMBER(FIND("Approver-1", patch[[#This Row],[comments]]))), "Review-1", "")</f>
        <v/>
      </c>
      <c r="AD20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40" s="7">
        <f>IF(ISBLANK(patch[[#This Row],[number]]),AE2039,patch[[#This Row],[ifCommon]])</f>
        <v>0</v>
      </c>
    </row>
    <row r="2041" spans="1:31">
      <c r="A2041" s="151">
        <v>142561</v>
      </c>
      <c r="B2041" s="151"/>
      <c r="C2041" s="151"/>
      <c r="D2041" s="151"/>
      <c r="E2041" s="151"/>
      <c r="F2041" s="151"/>
      <c r="G2041" s="151"/>
      <c r="H2041" s="151"/>
      <c r="I2041" s="151"/>
      <c r="J2041" s="152">
        <v>42621.694907407407</v>
      </c>
      <c r="K2041" s="151"/>
      <c r="L2041" s="151" t="s">
        <v>32</v>
      </c>
      <c r="M2041" s="152">
        <v>42620.657939814817</v>
      </c>
      <c r="N2041" s="151" t="s">
        <v>2512</v>
      </c>
      <c r="O2041" s="151"/>
      <c r="P2041" s="151"/>
      <c r="Q2041" s="7" t="str">
        <f>IF(ISBLANK(patch[[#This Row],[OwnerEmail]]),Q2040,patch[[#This Row],[OwnerEmail]])</f>
        <v>gang.a.hu@intel.com</v>
      </c>
      <c r="R2041" s="7" t="str">
        <f>_xlfn.IFNA(VLOOKUP(patch[[#This Row],[tmp-owner.email]],OrgTree!$A:$K, 11, 0), "not ICG SWFW")</f>
        <v>BJ And dev</v>
      </c>
      <c r="S2041" s="7" t="str">
        <f>IF(patch[[#This Row],[reviewer]]=patch[[#This Row],[tmp-owner.email]], "author", _xlfn.IFNA(VLOOKUP(patch[[#This Row],[reviewer]],OrgTree!$A:$K, 11, 0), "not ICG SWFW"))</f>
        <v>author</v>
      </c>
      <c r="T2041" s="7" t="str">
        <f>IF(ISBLANK(patch[[#This Row],[mergeDate]]), "", MID(YEAR(patch[[#This Row],[mergeDate]]), 3,2)&amp;"'ww"&amp;WEEKNUM(patch[[#This Row],[mergeDate]]))</f>
        <v>16'ww37</v>
      </c>
      <c r="U2041" s="7" t="str">
        <f>IF(ISBLANK(patch[[#This Row],[mergeDate]]), U2040, MID(YEAR(patch[[#This Row],[mergeDate]]), 3,2)&amp;"'m"&amp;MONTH(patch[[#This Row],[mergeDate]]))</f>
        <v>16'm9</v>
      </c>
      <c r="V2041" s="7" t="str">
        <f>IF(ISBLANK(patch[[#This Row],[project]]), "",SUM(patch[[#This Row],[BJ -1 num]:[SH -1 num]]))</f>
        <v/>
      </c>
      <c r="W2041" s="7" t="str">
        <f>IF(ISBLANK(patch[[#This Row],[project]]), "",COUNTIFS($A:$A,patch[[#This Row],[number]],$S:$S, "BJ And dev",$AC:$AC, "Review-1"))</f>
        <v/>
      </c>
      <c r="X2041" s="7" t="str">
        <f>IF(ISBLANK(patch[[#This Row],[project]]), "",COUNTIFS($A:$A,patch[[#This Row],[number]],$S:$S, "FL And dev",$AC:$AC, "Review-1"))</f>
        <v/>
      </c>
      <c r="Y2041" s="7" t="str">
        <f>IF(ISBLANK(patch[[#This Row],[project]]), "",COUNTIFS($A:$A,patch[[#This Row],[number]],$S:$S, "SH And dev",$AC:$AC, "Review-1"))</f>
        <v/>
      </c>
      <c r="Z2041" s="7" t="str">
        <f>IF(ISBLANK(patch[[#This Row],[project]]), "",COUNTIFS($A:$A,patch[[#This Row],[number]],$S:$S, "BJ And dev",$AD:$AD, "&lt;&gt;IntegratorValidationComment"))</f>
        <v/>
      </c>
      <c r="AA2041" s="7" t="str">
        <f>IF(ISBLANK(patch[[#This Row],[project]]), "",COUNTIFS($A:$A,patch[[#This Row],[number]],$S:$S, "FL And dev",$AD:$AD, "&lt;&gt;IntegratorValidationComment"))</f>
        <v/>
      </c>
      <c r="AB2041" s="7" t="str">
        <f>IF(ISBLANK(patch[[#This Row],[project]]), "",COUNTIFS($A:$A,patch[[#This Row],[number]],$S:$S, "SH And dev",$AD:$AD, "&lt;&gt;IntegratorValidationComment"))</f>
        <v/>
      </c>
      <c r="AC2041" s="7" t="str">
        <f>IF(OR(ISNUMBER(FIND("Review-1", patch[[#This Row],[comments]])), ISNUMBER(FIND("Approver-1", patch[[#This Row],[comments]]))), "Review-1", "")</f>
        <v/>
      </c>
      <c r="AD20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41" s="7">
        <f>IF(ISBLANK(patch[[#This Row],[number]]),AE2040,patch[[#This Row],[ifCommon]])</f>
        <v>0</v>
      </c>
    </row>
    <row r="2042" spans="1:31">
      <c r="A2042" s="151">
        <v>142561</v>
      </c>
      <c r="B2042" s="151"/>
      <c r="C2042" s="151"/>
      <c r="D2042" s="151"/>
      <c r="E2042" s="151"/>
      <c r="F2042" s="151"/>
      <c r="G2042" s="151"/>
      <c r="H2042" s="151"/>
      <c r="I2042" s="151"/>
      <c r="J2042" s="152">
        <v>42621.694907407407</v>
      </c>
      <c r="K2042" s="151"/>
      <c r="L2042" s="151" t="s">
        <v>32</v>
      </c>
      <c r="M2042" s="152">
        <v>42620.657951388886</v>
      </c>
      <c r="N2042" s="151" t="s">
        <v>2465</v>
      </c>
      <c r="O2042" s="151"/>
      <c r="P2042" s="151"/>
      <c r="Q2042" s="7" t="str">
        <f>IF(ISBLANK(patch[[#This Row],[OwnerEmail]]),Q2041,patch[[#This Row],[OwnerEmail]])</f>
        <v>gang.a.hu@intel.com</v>
      </c>
      <c r="R2042" s="7" t="str">
        <f>_xlfn.IFNA(VLOOKUP(patch[[#This Row],[tmp-owner.email]],OrgTree!$A:$K, 11, 0), "not ICG SWFW")</f>
        <v>BJ And dev</v>
      </c>
      <c r="S2042" s="7" t="str">
        <f>IF(patch[[#This Row],[reviewer]]=patch[[#This Row],[tmp-owner.email]], "author", _xlfn.IFNA(VLOOKUP(patch[[#This Row],[reviewer]],OrgTree!$A:$K, 11, 0), "not ICG SWFW"))</f>
        <v>author</v>
      </c>
      <c r="T2042" s="7" t="str">
        <f>IF(ISBLANK(patch[[#This Row],[mergeDate]]), "", MID(YEAR(patch[[#This Row],[mergeDate]]), 3,2)&amp;"'ww"&amp;WEEKNUM(patch[[#This Row],[mergeDate]]))</f>
        <v>16'ww37</v>
      </c>
      <c r="U2042" s="7" t="str">
        <f>IF(ISBLANK(patch[[#This Row],[mergeDate]]), U2041, MID(YEAR(patch[[#This Row],[mergeDate]]), 3,2)&amp;"'m"&amp;MONTH(patch[[#This Row],[mergeDate]]))</f>
        <v>16'm9</v>
      </c>
      <c r="V2042" s="7" t="str">
        <f>IF(ISBLANK(patch[[#This Row],[project]]), "",SUM(patch[[#This Row],[BJ -1 num]:[SH -1 num]]))</f>
        <v/>
      </c>
      <c r="W2042" s="7" t="str">
        <f>IF(ISBLANK(patch[[#This Row],[project]]), "",COUNTIFS($A:$A,patch[[#This Row],[number]],$S:$S, "BJ And dev",$AC:$AC, "Review-1"))</f>
        <v/>
      </c>
      <c r="X2042" s="7" t="str">
        <f>IF(ISBLANK(patch[[#This Row],[project]]), "",COUNTIFS($A:$A,patch[[#This Row],[number]],$S:$S, "FL And dev",$AC:$AC, "Review-1"))</f>
        <v/>
      </c>
      <c r="Y2042" s="7" t="str">
        <f>IF(ISBLANK(patch[[#This Row],[project]]), "",COUNTIFS($A:$A,patch[[#This Row],[number]],$S:$S, "SH And dev",$AC:$AC, "Review-1"))</f>
        <v/>
      </c>
      <c r="Z2042" s="7" t="str">
        <f>IF(ISBLANK(patch[[#This Row],[project]]), "",COUNTIFS($A:$A,patch[[#This Row],[number]],$S:$S, "BJ And dev",$AD:$AD, "&lt;&gt;IntegratorValidationComment"))</f>
        <v/>
      </c>
      <c r="AA2042" s="7" t="str">
        <f>IF(ISBLANK(patch[[#This Row],[project]]), "",COUNTIFS($A:$A,patch[[#This Row],[number]],$S:$S, "FL And dev",$AD:$AD, "&lt;&gt;IntegratorValidationComment"))</f>
        <v/>
      </c>
      <c r="AB2042" s="7" t="str">
        <f>IF(ISBLANK(patch[[#This Row],[project]]), "",COUNTIFS($A:$A,patch[[#This Row],[number]],$S:$S, "SH And dev",$AD:$AD, "&lt;&gt;IntegratorValidationComment"))</f>
        <v/>
      </c>
      <c r="AC2042" s="7" t="str">
        <f>IF(OR(ISNUMBER(FIND("Review-1", patch[[#This Row],[comments]])), ISNUMBER(FIND("Approver-1", patch[[#This Row],[comments]]))), "Review-1", "")</f>
        <v/>
      </c>
      <c r="AD20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42" s="7">
        <f>IF(ISBLANK(patch[[#This Row],[number]]),AE2041,patch[[#This Row],[ifCommon]])</f>
        <v>0</v>
      </c>
    </row>
    <row r="2043" spans="1:31">
      <c r="A2043" s="151">
        <v>142561</v>
      </c>
      <c r="B2043" s="151"/>
      <c r="C2043" s="151"/>
      <c r="D2043" s="151"/>
      <c r="E2043" s="151"/>
      <c r="F2043" s="151"/>
      <c r="G2043" s="151"/>
      <c r="H2043" s="151"/>
      <c r="I2043" s="152"/>
      <c r="J2043" s="152">
        <v>42621.694907407407</v>
      </c>
      <c r="K2043" s="151"/>
      <c r="L2043" s="151" t="s">
        <v>59</v>
      </c>
      <c r="M2043" s="152">
        <v>42620.661516203712</v>
      </c>
      <c r="N2043" s="151" t="s">
        <v>3598</v>
      </c>
      <c r="O2043" s="151"/>
      <c r="P2043" s="151"/>
      <c r="Q2043" s="7" t="str">
        <f>IF(ISBLANK(patch[[#This Row],[OwnerEmail]]),Q2042,patch[[#This Row],[OwnerEmail]])</f>
        <v>gang.a.hu@intel.com</v>
      </c>
      <c r="R2043" s="7" t="str">
        <f>_xlfn.IFNA(VLOOKUP(patch[[#This Row],[tmp-owner.email]],OrgTree!$A:$K, 11, 0), "not ICG SWFW")</f>
        <v>BJ And dev</v>
      </c>
      <c r="S2043" s="7" t="str">
        <f>IF(patch[[#This Row],[reviewer]]=patch[[#This Row],[tmp-owner.email]], "author", _xlfn.IFNA(VLOOKUP(patch[[#This Row],[reviewer]],OrgTree!$A:$K, 11, 0), "not ICG SWFW"))</f>
        <v>BJ And dev</v>
      </c>
      <c r="T2043" s="7" t="str">
        <f>IF(ISBLANK(patch[[#This Row],[mergeDate]]), "", MID(YEAR(patch[[#This Row],[mergeDate]]), 3,2)&amp;"'ww"&amp;WEEKNUM(patch[[#This Row],[mergeDate]]))</f>
        <v>16'ww37</v>
      </c>
      <c r="U2043" s="7" t="str">
        <f>IF(ISBLANK(patch[[#This Row],[mergeDate]]), U2042, MID(YEAR(patch[[#This Row],[mergeDate]]), 3,2)&amp;"'m"&amp;MONTH(patch[[#This Row],[mergeDate]]))</f>
        <v>16'm9</v>
      </c>
      <c r="V2043" s="7" t="str">
        <f>IF(ISBLANK(patch[[#This Row],[project]]), "",SUM(patch[[#This Row],[BJ -1 num]:[SH -1 num]]))</f>
        <v/>
      </c>
      <c r="W2043" s="7" t="str">
        <f>IF(ISBLANK(patch[[#This Row],[project]]), "",COUNTIFS($A:$A,patch[[#This Row],[number]],$S:$S, "BJ And dev",$AC:$AC, "Review-1"))</f>
        <v/>
      </c>
      <c r="X2043" s="7" t="str">
        <f>IF(ISBLANK(patch[[#This Row],[project]]), "",COUNTIFS($A:$A,patch[[#This Row],[number]],$S:$S, "FL And dev",$AC:$AC, "Review-1"))</f>
        <v/>
      </c>
      <c r="Y2043" s="7" t="str">
        <f>IF(ISBLANK(patch[[#This Row],[project]]), "",COUNTIFS($A:$A,patch[[#This Row],[number]],$S:$S, "SH And dev",$AC:$AC, "Review-1"))</f>
        <v/>
      </c>
      <c r="Z2043" s="7" t="str">
        <f>IF(ISBLANK(patch[[#This Row],[project]]), "",COUNTIFS($A:$A,patch[[#This Row],[number]],$S:$S, "BJ And dev",$AD:$AD, "&lt;&gt;IntegratorValidationComment"))</f>
        <v/>
      </c>
      <c r="AA2043" s="7" t="str">
        <f>IF(ISBLANK(patch[[#This Row],[project]]), "",COUNTIFS($A:$A,patch[[#This Row],[number]],$S:$S, "FL And dev",$AD:$AD, "&lt;&gt;IntegratorValidationComment"))</f>
        <v/>
      </c>
      <c r="AB2043" s="7" t="str">
        <f>IF(ISBLANK(patch[[#This Row],[project]]), "",COUNTIFS($A:$A,patch[[#This Row],[number]],$S:$S, "SH And dev",$AD:$AD, "&lt;&gt;IntegratorValidationComment"))</f>
        <v/>
      </c>
      <c r="AC2043" s="7" t="str">
        <f>IF(OR(ISNUMBER(FIND("Review-1", patch[[#This Row],[comments]])), ISNUMBER(FIND("Approver-1", patch[[#This Row],[comments]]))), "Review-1", "")</f>
        <v/>
      </c>
      <c r="AD20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43" s="7">
        <f>IF(ISBLANK(patch[[#This Row],[number]]),AE2042,patch[[#This Row],[ifCommon]])</f>
        <v>0</v>
      </c>
    </row>
    <row r="2044" spans="1:31">
      <c r="A2044" s="151">
        <v>142561</v>
      </c>
      <c r="B2044" s="151"/>
      <c r="C2044" s="151"/>
      <c r="D2044" s="151"/>
      <c r="E2044" s="151"/>
      <c r="F2044" s="151"/>
      <c r="G2044" s="151"/>
      <c r="H2044" s="151"/>
      <c r="I2044" s="151"/>
      <c r="J2044" s="152">
        <v>42621.694907407407</v>
      </c>
      <c r="K2044" s="151"/>
      <c r="L2044" s="151" t="s">
        <v>59</v>
      </c>
      <c r="M2044" s="152">
        <v>42620.662893518522</v>
      </c>
      <c r="N2044" s="151" t="s">
        <v>3599</v>
      </c>
      <c r="O2044" s="151"/>
      <c r="P2044" s="151"/>
      <c r="Q2044" s="7" t="str">
        <f>IF(ISBLANK(patch[[#This Row],[OwnerEmail]]),Q2043,patch[[#This Row],[OwnerEmail]])</f>
        <v>gang.a.hu@intel.com</v>
      </c>
      <c r="R2044" s="7" t="str">
        <f>_xlfn.IFNA(VLOOKUP(patch[[#This Row],[tmp-owner.email]],OrgTree!$A:$K, 11, 0), "not ICG SWFW")</f>
        <v>BJ And dev</v>
      </c>
      <c r="S2044" s="7" t="str">
        <f>IF(patch[[#This Row],[reviewer]]=patch[[#This Row],[tmp-owner.email]], "author", _xlfn.IFNA(VLOOKUP(patch[[#This Row],[reviewer]],OrgTree!$A:$K, 11, 0), "not ICG SWFW"))</f>
        <v>BJ And dev</v>
      </c>
      <c r="T2044" s="7" t="str">
        <f>IF(ISBLANK(patch[[#This Row],[mergeDate]]), "", MID(YEAR(patch[[#This Row],[mergeDate]]), 3,2)&amp;"'ww"&amp;WEEKNUM(patch[[#This Row],[mergeDate]]))</f>
        <v>16'ww37</v>
      </c>
      <c r="U2044" s="7" t="str">
        <f>IF(ISBLANK(patch[[#This Row],[mergeDate]]), U2043, MID(YEAR(patch[[#This Row],[mergeDate]]), 3,2)&amp;"'m"&amp;MONTH(patch[[#This Row],[mergeDate]]))</f>
        <v>16'm9</v>
      </c>
      <c r="V2044" s="7" t="str">
        <f>IF(ISBLANK(patch[[#This Row],[project]]), "",SUM(patch[[#This Row],[BJ -1 num]:[SH -1 num]]))</f>
        <v/>
      </c>
      <c r="W2044" s="7" t="str">
        <f>IF(ISBLANK(patch[[#This Row],[project]]), "",COUNTIFS($A:$A,patch[[#This Row],[number]],$S:$S, "BJ And dev",$AC:$AC, "Review-1"))</f>
        <v/>
      </c>
      <c r="X2044" s="7" t="str">
        <f>IF(ISBLANK(patch[[#This Row],[project]]), "",COUNTIFS($A:$A,patch[[#This Row],[number]],$S:$S, "FL And dev",$AC:$AC, "Review-1"))</f>
        <v/>
      </c>
      <c r="Y2044" s="7" t="str">
        <f>IF(ISBLANK(patch[[#This Row],[project]]), "",COUNTIFS($A:$A,patch[[#This Row],[number]],$S:$S, "SH And dev",$AC:$AC, "Review-1"))</f>
        <v/>
      </c>
      <c r="Z2044" s="7" t="str">
        <f>IF(ISBLANK(patch[[#This Row],[project]]), "",COUNTIFS($A:$A,patch[[#This Row],[number]],$S:$S, "BJ And dev",$AD:$AD, "&lt;&gt;IntegratorValidationComment"))</f>
        <v/>
      </c>
      <c r="AA2044" s="7" t="str">
        <f>IF(ISBLANK(patch[[#This Row],[project]]), "",COUNTIFS($A:$A,patch[[#This Row],[number]],$S:$S, "FL And dev",$AD:$AD, "&lt;&gt;IntegratorValidationComment"))</f>
        <v/>
      </c>
      <c r="AB2044" s="7" t="str">
        <f>IF(ISBLANK(patch[[#This Row],[project]]), "",COUNTIFS($A:$A,patch[[#This Row],[number]],$S:$S, "SH And dev",$AD:$AD, "&lt;&gt;IntegratorValidationComment"))</f>
        <v/>
      </c>
      <c r="AC2044" s="7" t="str">
        <f>IF(OR(ISNUMBER(FIND("Review-1", patch[[#This Row],[comments]])), ISNUMBER(FIND("Approver-1", patch[[#This Row],[comments]]))), "Review-1", "")</f>
        <v/>
      </c>
      <c r="AD20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44" s="7">
        <f>IF(ISBLANK(patch[[#This Row],[number]]),AE2043,patch[[#This Row],[ifCommon]])</f>
        <v>0</v>
      </c>
    </row>
    <row r="2045" spans="1:31">
      <c r="A2045" s="151">
        <v>142561</v>
      </c>
      <c r="B2045" s="151"/>
      <c r="C2045" s="151"/>
      <c r="D2045" s="151"/>
      <c r="E2045" s="151"/>
      <c r="F2045" s="151"/>
      <c r="G2045" s="151"/>
      <c r="H2045" s="151"/>
      <c r="I2045" s="151"/>
      <c r="J2045" s="152">
        <v>42621.694907407407</v>
      </c>
      <c r="K2045" s="151"/>
      <c r="L2045" s="151" t="s">
        <v>32</v>
      </c>
      <c r="M2045" s="152">
        <v>42620.67260416667</v>
      </c>
      <c r="N2045" s="151" t="s">
        <v>2488</v>
      </c>
      <c r="O2045" s="151"/>
      <c r="P2045" s="151"/>
      <c r="Q2045" s="7" t="str">
        <f>IF(ISBLANK(patch[[#This Row],[OwnerEmail]]),Q2044,patch[[#This Row],[OwnerEmail]])</f>
        <v>gang.a.hu@intel.com</v>
      </c>
      <c r="R2045" s="7" t="str">
        <f>_xlfn.IFNA(VLOOKUP(patch[[#This Row],[tmp-owner.email]],OrgTree!$A:$K, 11, 0), "not ICG SWFW")</f>
        <v>BJ And dev</v>
      </c>
      <c r="S2045" s="7" t="str">
        <f>IF(patch[[#This Row],[reviewer]]=patch[[#This Row],[tmp-owner.email]], "author", _xlfn.IFNA(VLOOKUP(patch[[#This Row],[reviewer]],OrgTree!$A:$K, 11, 0), "not ICG SWFW"))</f>
        <v>author</v>
      </c>
      <c r="T2045" s="7" t="str">
        <f>IF(ISBLANK(patch[[#This Row],[mergeDate]]), "", MID(YEAR(patch[[#This Row],[mergeDate]]), 3,2)&amp;"'ww"&amp;WEEKNUM(patch[[#This Row],[mergeDate]]))</f>
        <v>16'ww37</v>
      </c>
      <c r="U2045" s="7" t="str">
        <f>IF(ISBLANK(patch[[#This Row],[mergeDate]]), U2044, MID(YEAR(patch[[#This Row],[mergeDate]]), 3,2)&amp;"'m"&amp;MONTH(patch[[#This Row],[mergeDate]]))</f>
        <v>16'm9</v>
      </c>
      <c r="V2045" s="7" t="str">
        <f>IF(ISBLANK(patch[[#This Row],[project]]), "",SUM(patch[[#This Row],[BJ -1 num]:[SH -1 num]]))</f>
        <v/>
      </c>
      <c r="W2045" s="7" t="str">
        <f>IF(ISBLANK(patch[[#This Row],[project]]), "",COUNTIFS($A:$A,patch[[#This Row],[number]],$S:$S, "BJ And dev",$AC:$AC, "Review-1"))</f>
        <v/>
      </c>
      <c r="X2045" s="7" t="str">
        <f>IF(ISBLANK(patch[[#This Row],[project]]), "",COUNTIFS($A:$A,patch[[#This Row],[number]],$S:$S, "FL And dev",$AC:$AC, "Review-1"))</f>
        <v/>
      </c>
      <c r="Y2045" s="7" t="str">
        <f>IF(ISBLANK(patch[[#This Row],[project]]), "",COUNTIFS($A:$A,patch[[#This Row],[number]],$S:$S, "SH And dev",$AC:$AC, "Review-1"))</f>
        <v/>
      </c>
      <c r="Z2045" s="7" t="str">
        <f>IF(ISBLANK(patch[[#This Row],[project]]), "",COUNTIFS($A:$A,patch[[#This Row],[number]],$S:$S, "BJ And dev",$AD:$AD, "&lt;&gt;IntegratorValidationComment"))</f>
        <v/>
      </c>
      <c r="AA2045" s="7" t="str">
        <f>IF(ISBLANK(patch[[#This Row],[project]]), "",COUNTIFS($A:$A,patch[[#This Row],[number]],$S:$S, "FL And dev",$AD:$AD, "&lt;&gt;IntegratorValidationComment"))</f>
        <v/>
      </c>
      <c r="AB2045" s="7" t="str">
        <f>IF(ISBLANK(patch[[#This Row],[project]]), "",COUNTIFS($A:$A,patch[[#This Row],[number]],$S:$S, "SH And dev",$AD:$AD, "&lt;&gt;IntegratorValidationComment"))</f>
        <v/>
      </c>
      <c r="AC2045" s="7" t="str">
        <f>IF(OR(ISNUMBER(FIND("Review-1", patch[[#This Row],[comments]])), ISNUMBER(FIND("Approver-1", patch[[#This Row],[comments]]))), "Review-1", "")</f>
        <v/>
      </c>
      <c r="AD20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45" s="7">
        <f>IF(ISBLANK(patch[[#This Row],[number]]),AE2044,patch[[#This Row],[ifCommon]])</f>
        <v>0</v>
      </c>
    </row>
    <row r="2046" spans="1:31">
      <c r="A2046" s="151">
        <v>142561</v>
      </c>
      <c r="B2046" s="151"/>
      <c r="C2046" s="151"/>
      <c r="D2046" s="151"/>
      <c r="E2046" s="151"/>
      <c r="F2046" s="151"/>
      <c r="G2046" s="151"/>
      <c r="H2046" s="151"/>
      <c r="I2046" s="151"/>
      <c r="J2046" s="152">
        <v>42621.694907407407</v>
      </c>
      <c r="K2046" s="151"/>
      <c r="L2046" s="151" t="s">
        <v>32</v>
      </c>
      <c r="M2046" s="152">
        <v>42620.672615740739</v>
      </c>
      <c r="N2046" s="151" t="s">
        <v>2466</v>
      </c>
      <c r="O2046" s="151"/>
      <c r="P2046" s="151"/>
      <c r="Q2046" s="7" t="str">
        <f>IF(ISBLANK(patch[[#This Row],[OwnerEmail]]),Q2045,patch[[#This Row],[OwnerEmail]])</f>
        <v>gang.a.hu@intel.com</v>
      </c>
      <c r="R2046" s="7" t="str">
        <f>_xlfn.IFNA(VLOOKUP(patch[[#This Row],[tmp-owner.email]],OrgTree!$A:$K, 11, 0), "not ICG SWFW")</f>
        <v>BJ And dev</v>
      </c>
      <c r="S2046" s="7" t="str">
        <f>IF(patch[[#This Row],[reviewer]]=patch[[#This Row],[tmp-owner.email]], "author", _xlfn.IFNA(VLOOKUP(patch[[#This Row],[reviewer]],OrgTree!$A:$K, 11, 0), "not ICG SWFW"))</f>
        <v>author</v>
      </c>
      <c r="T2046" s="7" t="str">
        <f>IF(ISBLANK(patch[[#This Row],[mergeDate]]), "", MID(YEAR(patch[[#This Row],[mergeDate]]), 3,2)&amp;"'ww"&amp;WEEKNUM(patch[[#This Row],[mergeDate]]))</f>
        <v>16'ww37</v>
      </c>
      <c r="U2046" s="7" t="str">
        <f>IF(ISBLANK(patch[[#This Row],[mergeDate]]), U2045, MID(YEAR(patch[[#This Row],[mergeDate]]), 3,2)&amp;"'m"&amp;MONTH(patch[[#This Row],[mergeDate]]))</f>
        <v>16'm9</v>
      </c>
      <c r="V2046" s="7" t="str">
        <f>IF(ISBLANK(patch[[#This Row],[project]]), "",SUM(patch[[#This Row],[BJ -1 num]:[SH -1 num]]))</f>
        <v/>
      </c>
      <c r="W2046" s="7" t="str">
        <f>IF(ISBLANK(patch[[#This Row],[project]]), "",COUNTIFS($A:$A,patch[[#This Row],[number]],$S:$S, "BJ And dev",$AC:$AC, "Review-1"))</f>
        <v/>
      </c>
      <c r="X2046" s="7" t="str">
        <f>IF(ISBLANK(patch[[#This Row],[project]]), "",COUNTIFS($A:$A,patch[[#This Row],[number]],$S:$S, "FL And dev",$AC:$AC, "Review-1"))</f>
        <v/>
      </c>
      <c r="Y2046" s="7" t="str">
        <f>IF(ISBLANK(patch[[#This Row],[project]]), "",COUNTIFS($A:$A,patch[[#This Row],[number]],$S:$S, "SH And dev",$AC:$AC, "Review-1"))</f>
        <v/>
      </c>
      <c r="Z2046" s="7" t="str">
        <f>IF(ISBLANK(patch[[#This Row],[project]]), "",COUNTIFS($A:$A,patch[[#This Row],[number]],$S:$S, "BJ And dev",$AD:$AD, "&lt;&gt;IntegratorValidationComment"))</f>
        <v/>
      </c>
      <c r="AA2046" s="7" t="str">
        <f>IF(ISBLANK(patch[[#This Row],[project]]), "",COUNTIFS($A:$A,patch[[#This Row],[number]],$S:$S, "FL And dev",$AD:$AD, "&lt;&gt;IntegratorValidationComment"))</f>
        <v/>
      </c>
      <c r="AB2046" s="7" t="str">
        <f>IF(ISBLANK(patch[[#This Row],[project]]), "",COUNTIFS($A:$A,patch[[#This Row],[number]],$S:$S, "SH And dev",$AD:$AD, "&lt;&gt;IntegratorValidationComment"))</f>
        <v/>
      </c>
      <c r="AC2046" s="7" t="str">
        <f>IF(OR(ISNUMBER(FIND("Review-1", patch[[#This Row],[comments]])), ISNUMBER(FIND("Approver-1", patch[[#This Row],[comments]]))), "Review-1", "")</f>
        <v/>
      </c>
      <c r="AD20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46" s="7">
        <f>IF(ISBLANK(patch[[#This Row],[number]]),AE2045,patch[[#This Row],[ifCommon]])</f>
        <v>0</v>
      </c>
    </row>
    <row r="2047" spans="1:31">
      <c r="A2047" s="151">
        <v>142561</v>
      </c>
      <c r="B2047" s="151"/>
      <c r="C2047" s="151"/>
      <c r="D2047" s="151"/>
      <c r="E2047" s="151"/>
      <c r="F2047" s="151"/>
      <c r="G2047" s="151"/>
      <c r="H2047" s="151"/>
      <c r="I2047" s="151"/>
      <c r="J2047" s="152">
        <v>42621.694907407407</v>
      </c>
      <c r="K2047" s="151"/>
      <c r="L2047" s="151" t="s">
        <v>59</v>
      </c>
      <c r="M2047" s="152">
        <v>42620.675740740742</v>
      </c>
      <c r="N2047" s="151" t="s">
        <v>3600</v>
      </c>
      <c r="O2047" s="151"/>
      <c r="P2047" s="151"/>
      <c r="Q2047" s="7" t="str">
        <f>IF(ISBLANK(patch[[#This Row],[OwnerEmail]]),Q2046,patch[[#This Row],[OwnerEmail]])</f>
        <v>gang.a.hu@intel.com</v>
      </c>
      <c r="R2047" s="7" t="str">
        <f>_xlfn.IFNA(VLOOKUP(patch[[#This Row],[tmp-owner.email]],OrgTree!$A:$K, 11, 0), "not ICG SWFW")</f>
        <v>BJ And dev</v>
      </c>
      <c r="S2047" s="7" t="str">
        <f>IF(patch[[#This Row],[reviewer]]=patch[[#This Row],[tmp-owner.email]], "author", _xlfn.IFNA(VLOOKUP(patch[[#This Row],[reviewer]],OrgTree!$A:$K, 11, 0), "not ICG SWFW"))</f>
        <v>BJ And dev</v>
      </c>
      <c r="T2047" s="7" t="str">
        <f>IF(ISBLANK(patch[[#This Row],[mergeDate]]), "", MID(YEAR(patch[[#This Row],[mergeDate]]), 3,2)&amp;"'ww"&amp;WEEKNUM(patch[[#This Row],[mergeDate]]))</f>
        <v>16'ww37</v>
      </c>
      <c r="U2047" s="7" t="str">
        <f>IF(ISBLANK(patch[[#This Row],[mergeDate]]), U2046, MID(YEAR(patch[[#This Row],[mergeDate]]), 3,2)&amp;"'m"&amp;MONTH(patch[[#This Row],[mergeDate]]))</f>
        <v>16'm9</v>
      </c>
      <c r="V2047" s="7" t="str">
        <f>IF(ISBLANK(patch[[#This Row],[project]]), "",SUM(patch[[#This Row],[BJ -1 num]:[SH -1 num]]))</f>
        <v/>
      </c>
      <c r="W2047" s="7" t="str">
        <f>IF(ISBLANK(patch[[#This Row],[project]]), "",COUNTIFS($A:$A,patch[[#This Row],[number]],$S:$S, "BJ And dev",$AC:$AC, "Review-1"))</f>
        <v/>
      </c>
      <c r="X2047" s="7" t="str">
        <f>IF(ISBLANK(patch[[#This Row],[project]]), "",COUNTIFS($A:$A,patch[[#This Row],[number]],$S:$S, "FL And dev",$AC:$AC, "Review-1"))</f>
        <v/>
      </c>
      <c r="Y2047" s="7" t="str">
        <f>IF(ISBLANK(patch[[#This Row],[project]]), "",COUNTIFS($A:$A,patch[[#This Row],[number]],$S:$S, "SH And dev",$AC:$AC, "Review-1"))</f>
        <v/>
      </c>
      <c r="Z2047" s="7" t="str">
        <f>IF(ISBLANK(patch[[#This Row],[project]]), "",COUNTIFS($A:$A,patch[[#This Row],[number]],$S:$S, "BJ And dev",$AD:$AD, "&lt;&gt;IntegratorValidationComment"))</f>
        <v/>
      </c>
      <c r="AA2047" s="7" t="str">
        <f>IF(ISBLANK(patch[[#This Row],[project]]), "",COUNTIFS($A:$A,patch[[#This Row],[number]],$S:$S, "FL And dev",$AD:$AD, "&lt;&gt;IntegratorValidationComment"))</f>
        <v/>
      </c>
      <c r="AB2047" s="7" t="str">
        <f>IF(ISBLANK(patch[[#This Row],[project]]), "",COUNTIFS($A:$A,patch[[#This Row],[number]],$S:$S, "SH And dev",$AD:$AD, "&lt;&gt;IntegratorValidationComment"))</f>
        <v/>
      </c>
      <c r="AC2047" s="7" t="str">
        <f>IF(OR(ISNUMBER(FIND("Review-1", patch[[#This Row],[comments]])), ISNUMBER(FIND("Approver-1", patch[[#This Row],[comments]]))), "Review-1", "")</f>
        <v/>
      </c>
      <c r="AD20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47" s="7">
        <f>IF(ISBLANK(patch[[#This Row],[number]]),AE2046,patch[[#This Row],[ifCommon]])</f>
        <v>0</v>
      </c>
    </row>
    <row r="2048" spans="1:31">
      <c r="A2048" s="151">
        <v>142561</v>
      </c>
      <c r="B2048" s="151"/>
      <c r="C2048" s="151"/>
      <c r="D2048" s="151"/>
      <c r="E2048" s="151"/>
      <c r="F2048" s="151"/>
      <c r="G2048" s="151"/>
      <c r="H2048" s="151"/>
      <c r="I2048" s="151"/>
      <c r="J2048" s="152">
        <v>42621.694907407407</v>
      </c>
      <c r="K2048" s="151"/>
      <c r="L2048" s="151" t="s">
        <v>55</v>
      </c>
      <c r="M2048" s="152">
        <v>42620.722766203697</v>
      </c>
      <c r="N2048" s="151" t="s">
        <v>2519</v>
      </c>
      <c r="O2048" s="151"/>
      <c r="P2048" s="151"/>
      <c r="Q2048" s="7" t="str">
        <f>IF(ISBLANK(patch[[#This Row],[OwnerEmail]]),Q2047,patch[[#This Row],[OwnerEmail]])</f>
        <v>gang.a.hu@intel.com</v>
      </c>
      <c r="R2048" s="7" t="str">
        <f>_xlfn.IFNA(VLOOKUP(patch[[#This Row],[tmp-owner.email]],OrgTree!$A:$K, 11, 0), "not ICG SWFW")</f>
        <v>BJ And dev</v>
      </c>
      <c r="S2048" s="7" t="str">
        <f>IF(patch[[#This Row],[reviewer]]=patch[[#This Row],[tmp-owner.email]], "author", _xlfn.IFNA(VLOOKUP(patch[[#This Row],[reviewer]],OrgTree!$A:$K, 11, 0), "not ICG SWFW"))</f>
        <v>BJ And dev</v>
      </c>
      <c r="T2048" s="7" t="str">
        <f>IF(ISBLANK(patch[[#This Row],[mergeDate]]), "", MID(YEAR(patch[[#This Row],[mergeDate]]), 3,2)&amp;"'ww"&amp;WEEKNUM(patch[[#This Row],[mergeDate]]))</f>
        <v>16'ww37</v>
      </c>
      <c r="U2048" s="7" t="str">
        <f>IF(ISBLANK(patch[[#This Row],[mergeDate]]), U2047, MID(YEAR(patch[[#This Row],[mergeDate]]), 3,2)&amp;"'m"&amp;MONTH(patch[[#This Row],[mergeDate]]))</f>
        <v>16'm9</v>
      </c>
      <c r="V2048" s="7" t="str">
        <f>IF(ISBLANK(patch[[#This Row],[project]]), "",SUM(patch[[#This Row],[BJ -1 num]:[SH -1 num]]))</f>
        <v/>
      </c>
      <c r="W2048" s="7" t="str">
        <f>IF(ISBLANK(patch[[#This Row],[project]]), "",COUNTIFS($A:$A,patch[[#This Row],[number]],$S:$S, "BJ And dev",$AC:$AC, "Review-1"))</f>
        <v/>
      </c>
      <c r="X2048" s="7" t="str">
        <f>IF(ISBLANK(patch[[#This Row],[project]]), "",COUNTIFS($A:$A,patch[[#This Row],[number]],$S:$S, "FL And dev",$AC:$AC, "Review-1"))</f>
        <v/>
      </c>
      <c r="Y2048" s="7" t="str">
        <f>IF(ISBLANK(patch[[#This Row],[project]]), "",COUNTIFS($A:$A,patch[[#This Row],[number]],$S:$S, "SH And dev",$AC:$AC, "Review-1"))</f>
        <v/>
      </c>
      <c r="Z2048" s="7" t="str">
        <f>IF(ISBLANK(patch[[#This Row],[project]]), "",COUNTIFS($A:$A,patch[[#This Row],[number]],$S:$S, "BJ And dev",$AD:$AD, "&lt;&gt;IntegratorValidationComment"))</f>
        <v/>
      </c>
      <c r="AA2048" s="7" t="str">
        <f>IF(ISBLANK(patch[[#This Row],[project]]), "",COUNTIFS($A:$A,patch[[#This Row],[number]],$S:$S, "FL And dev",$AD:$AD, "&lt;&gt;IntegratorValidationComment"))</f>
        <v/>
      </c>
      <c r="AB2048" s="7" t="str">
        <f>IF(ISBLANK(patch[[#This Row],[project]]), "",COUNTIFS($A:$A,patch[[#This Row],[number]],$S:$S, "SH And dev",$AD:$AD, "&lt;&gt;IntegratorValidationComment"))</f>
        <v/>
      </c>
      <c r="AC2048" s="7" t="str">
        <f>IF(OR(ISNUMBER(FIND("Review-1", patch[[#This Row],[comments]])), ISNUMBER(FIND("Approver-1", patch[[#This Row],[comments]]))), "Review-1", "")</f>
        <v/>
      </c>
      <c r="AD20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48" s="7">
        <f>IF(ISBLANK(patch[[#This Row],[number]]),AE2047,patch[[#This Row],[ifCommon]])</f>
        <v>0</v>
      </c>
    </row>
    <row r="2049" spans="1:31">
      <c r="A2049" s="151">
        <v>142561</v>
      </c>
      <c r="B2049" s="151"/>
      <c r="C2049" s="151"/>
      <c r="D2049" s="151"/>
      <c r="E2049" s="151"/>
      <c r="F2049" s="151"/>
      <c r="G2049" s="151"/>
      <c r="H2049" s="151"/>
      <c r="I2049" s="151"/>
      <c r="J2049" s="152">
        <v>42621.694907407407</v>
      </c>
      <c r="K2049" s="151"/>
      <c r="L2049" s="151" t="s">
        <v>115</v>
      </c>
      <c r="M2049" s="152">
        <v>42621.419710648152</v>
      </c>
      <c r="N2049" s="151" t="s">
        <v>2489</v>
      </c>
      <c r="O2049" s="151"/>
      <c r="P2049" s="151"/>
      <c r="Q2049" s="7" t="str">
        <f>IF(ISBLANK(patch[[#This Row],[OwnerEmail]]),Q2048,patch[[#This Row],[OwnerEmail]])</f>
        <v>gang.a.hu@intel.com</v>
      </c>
      <c r="R2049" s="7" t="str">
        <f>_xlfn.IFNA(VLOOKUP(patch[[#This Row],[tmp-owner.email]],OrgTree!$A:$K, 11, 0), "not ICG SWFW")</f>
        <v>BJ And dev</v>
      </c>
      <c r="S2049" s="7" t="str">
        <f>IF(patch[[#This Row],[reviewer]]=patch[[#This Row],[tmp-owner.email]], "author", _xlfn.IFNA(VLOOKUP(patch[[#This Row],[reviewer]],OrgTree!$A:$K, 11, 0), "not ICG SWFW"))</f>
        <v>Val</v>
      </c>
      <c r="T2049" s="7" t="str">
        <f>IF(ISBLANK(patch[[#This Row],[mergeDate]]), "", MID(YEAR(patch[[#This Row],[mergeDate]]), 3,2)&amp;"'ww"&amp;WEEKNUM(patch[[#This Row],[mergeDate]]))</f>
        <v>16'ww37</v>
      </c>
      <c r="U2049" s="7" t="str">
        <f>IF(ISBLANK(patch[[#This Row],[mergeDate]]), U2048, MID(YEAR(patch[[#This Row],[mergeDate]]), 3,2)&amp;"'m"&amp;MONTH(patch[[#This Row],[mergeDate]]))</f>
        <v>16'm9</v>
      </c>
      <c r="V2049" s="7" t="str">
        <f>IF(ISBLANK(patch[[#This Row],[project]]), "",SUM(patch[[#This Row],[BJ -1 num]:[SH -1 num]]))</f>
        <v/>
      </c>
      <c r="W2049" s="7" t="str">
        <f>IF(ISBLANK(patch[[#This Row],[project]]), "",COUNTIFS($A:$A,patch[[#This Row],[number]],$S:$S, "BJ And dev",$AC:$AC, "Review-1"))</f>
        <v/>
      </c>
      <c r="X2049" s="7" t="str">
        <f>IF(ISBLANK(patch[[#This Row],[project]]), "",COUNTIFS($A:$A,patch[[#This Row],[number]],$S:$S, "FL And dev",$AC:$AC, "Review-1"))</f>
        <v/>
      </c>
      <c r="Y2049" s="7" t="str">
        <f>IF(ISBLANK(patch[[#This Row],[project]]), "",COUNTIFS($A:$A,patch[[#This Row],[number]],$S:$S, "SH And dev",$AC:$AC, "Review-1"))</f>
        <v/>
      </c>
      <c r="Z2049" s="7" t="str">
        <f>IF(ISBLANK(patch[[#This Row],[project]]), "",COUNTIFS($A:$A,patch[[#This Row],[number]],$S:$S, "BJ And dev",$AD:$AD, "&lt;&gt;IntegratorValidationComment"))</f>
        <v/>
      </c>
      <c r="AA2049" s="7" t="str">
        <f>IF(ISBLANK(patch[[#This Row],[project]]), "",COUNTIFS($A:$A,patch[[#This Row],[number]],$S:$S, "FL And dev",$AD:$AD, "&lt;&gt;IntegratorValidationComment"))</f>
        <v/>
      </c>
      <c r="AB2049" s="7" t="str">
        <f>IF(ISBLANK(patch[[#This Row],[project]]), "",COUNTIFS($A:$A,patch[[#This Row],[number]],$S:$S, "SH And dev",$AD:$AD, "&lt;&gt;IntegratorValidationComment"))</f>
        <v/>
      </c>
      <c r="AC2049" s="7" t="str">
        <f>IF(OR(ISNUMBER(FIND("Review-1", patch[[#This Row],[comments]])), ISNUMBER(FIND("Approver-1", patch[[#This Row],[comments]]))), "Review-1", "")</f>
        <v/>
      </c>
      <c r="AD20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049" s="7">
        <f>IF(ISBLANK(patch[[#This Row],[number]]),AE2048,patch[[#This Row],[ifCommon]])</f>
        <v>0</v>
      </c>
    </row>
    <row r="2050" spans="1:31">
      <c r="A2050" s="151">
        <v>141459</v>
      </c>
      <c r="B2050" s="151" t="s">
        <v>2490</v>
      </c>
      <c r="C2050" s="151" t="s">
        <v>2491</v>
      </c>
      <c r="D2050" s="151" t="s">
        <v>3601</v>
      </c>
      <c r="E2050" s="151" t="s">
        <v>32</v>
      </c>
      <c r="F2050" s="151" t="s">
        <v>23</v>
      </c>
      <c r="G2050" s="151" t="s">
        <v>3602</v>
      </c>
      <c r="H2050" s="151" t="s">
        <v>3603</v>
      </c>
      <c r="I2050" s="152">
        <v>42607.757384259261</v>
      </c>
      <c r="J2050" s="152">
        <v>42621.694803240738</v>
      </c>
      <c r="K2050" s="151" t="s">
        <v>2445</v>
      </c>
      <c r="L2050" s="151" t="s">
        <v>32</v>
      </c>
      <c r="M2050" s="152">
        <v>42607.757384259261</v>
      </c>
      <c r="N2050" s="151" t="s">
        <v>2428</v>
      </c>
      <c r="O2050" s="151"/>
      <c r="P2050" s="151" t="s">
        <v>3493</v>
      </c>
      <c r="Q2050" s="7" t="str">
        <f>IF(ISBLANK(patch[[#This Row],[OwnerEmail]]),Q2049,patch[[#This Row],[OwnerEmail]])</f>
        <v>gang.a.hu@intel.com</v>
      </c>
      <c r="R2050" s="7" t="str">
        <f>_xlfn.IFNA(VLOOKUP(patch[[#This Row],[tmp-owner.email]],OrgTree!$A:$K, 11, 0), "not ICG SWFW")</f>
        <v>BJ And dev</v>
      </c>
      <c r="S2050" s="7" t="str">
        <f>IF(patch[[#This Row],[reviewer]]=patch[[#This Row],[tmp-owner.email]], "author", _xlfn.IFNA(VLOOKUP(patch[[#This Row],[reviewer]],OrgTree!$A:$K, 11, 0), "not ICG SWFW"))</f>
        <v>author</v>
      </c>
      <c r="T2050" s="7" t="str">
        <f>IF(ISBLANK(patch[[#This Row],[mergeDate]]), "", MID(YEAR(patch[[#This Row],[mergeDate]]), 3,2)&amp;"'ww"&amp;WEEKNUM(patch[[#This Row],[mergeDate]]))</f>
        <v>16'ww37</v>
      </c>
      <c r="U2050" s="7" t="str">
        <f>IF(ISBLANK(patch[[#This Row],[mergeDate]]), U2049, MID(YEAR(patch[[#This Row],[mergeDate]]), 3,2)&amp;"'m"&amp;MONTH(patch[[#This Row],[mergeDate]]))</f>
        <v>16'm9</v>
      </c>
      <c r="V2050" s="7">
        <f>IF(ISBLANK(patch[[#This Row],[project]]), "",SUM(patch[[#This Row],[BJ -1 num]:[SH -1 num]]))</f>
        <v>0</v>
      </c>
      <c r="W2050" s="7">
        <f>IF(ISBLANK(patch[[#This Row],[project]]), "",COUNTIFS($A:$A,patch[[#This Row],[number]],$S:$S, "BJ And dev",$AC:$AC, "Review-1"))</f>
        <v>0</v>
      </c>
      <c r="X2050" s="7">
        <f>IF(ISBLANK(patch[[#This Row],[project]]), "",COUNTIFS($A:$A,patch[[#This Row],[number]],$S:$S, "FL And dev",$AC:$AC, "Review-1"))</f>
        <v>0</v>
      </c>
      <c r="Y2050" s="7">
        <f>IF(ISBLANK(patch[[#This Row],[project]]), "",COUNTIFS($A:$A,patch[[#This Row],[number]],$S:$S, "SH And dev",$AC:$AC, "Review-1"))</f>
        <v>0</v>
      </c>
      <c r="Z2050" s="7">
        <f>IF(ISBLANK(patch[[#This Row],[project]]), "",COUNTIFS($A:$A,patch[[#This Row],[number]],$S:$S, "BJ And dev",$AD:$AD, "&lt;&gt;IntegratorValidationComment"))</f>
        <v>22</v>
      </c>
      <c r="AA2050" s="7">
        <f>IF(ISBLANK(patch[[#This Row],[project]]), "",COUNTIFS($A:$A,patch[[#This Row],[number]],$S:$S, "FL And dev",$AD:$AD, "&lt;&gt;IntegratorValidationComment"))</f>
        <v>0</v>
      </c>
      <c r="AB2050" s="7">
        <f>IF(ISBLANK(patch[[#This Row],[project]]), "",COUNTIFS($A:$A,patch[[#This Row],[number]],$S:$S, "SH And dev",$AD:$AD, "&lt;&gt;IntegratorValidationComment"))</f>
        <v>0</v>
      </c>
      <c r="AC2050" s="7" t="str">
        <f>IF(OR(ISNUMBER(FIND("Review-1", patch[[#This Row],[comments]])), ISNUMBER(FIND("Approver-1", patch[[#This Row],[comments]]))), "Review-1", "")</f>
        <v/>
      </c>
      <c r="AD20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50" s="7" t="str">
        <f>IF(ISBLANK(patch[[#This Row],[number]]),AE2049,patch[[#This Row],[ifCommon]])</f>
        <v>not AndrHAL</v>
      </c>
    </row>
    <row r="2051" spans="1:31">
      <c r="A2051" s="151">
        <v>141459</v>
      </c>
      <c r="B2051" s="151"/>
      <c r="C2051" s="151"/>
      <c r="D2051" s="151"/>
      <c r="E2051" s="151"/>
      <c r="F2051" s="151"/>
      <c r="G2051" s="151"/>
      <c r="H2051" s="151"/>
      <c r="I2051" s="151"/>
      <c r="J2051" s="152">
        <v>42621.694803240738</v>
      </c>
      <c r="K2051" s="151"/>
      <c r="L2051" s="151" t="s">
        <v>32</v>
      </c>
      <c r="M2051" s="152">
        <v>42607.757384259261</v>
      </c>
      <c r="N2051" s="151" t="s">
        <v>25</v>
      </c>
      <c r="O2051" s="151"/>
      <c r="P2051" s="151"/>
      <c r="Q2051" s="7" t="str">
        <f>IF(ISBLANK(patch[[#This Row],[OwnerEmail]]),Q2050,patch[[#This Row],[OwnerEmail]])</f>
        <v>gang.a.hu@intel.com</v>
      </c>
      <c r="R2051" s="7" t="str">
        <f>_xlfn.IFNA(VLOOKUP(patch[[#This Row],[tmp-owner.email]],OrgTree!$A:$K, 11, 0), "not ICG SWFW")</f>
        <v>BJ And dev</v>
      </c>
      <c r="S2051" s="7" t="str">
        <f>IF(patch[[#This Row],[reviewer]]=patch[[#This Row],[tmp-owner.email]], "author", _xlfn.IFNA(VLOOKUP(patch[[#This Row],[reviewer]],OrgTree!$A:$K, 11, 0), "not ICG SWFW"))</f>
        <v>author</v>
      </c>
      <c r="T2051" s="7" t="str">
        <f>IF(ISBLANK(patch[[#This Row],[mergeDate]]), "", MID(YEAR(patch[[#This Row],[mergeDate]]), 3,2)&amp;"'ww"&amp;WEEKNUM(patch[[#This Row],[mergeDate]]))</f>
        <v>16'ww37</v>
      </c>
      <c r="U2051" s="7" t="str">
        <f>IF(ISBLANK(patch[[#This Row],[mergeDate]]), U2050, MID(YEAR(patch[[#This Row],[mergeDate]]), 3,2)&amp;"'m"&amp;MONTH(patch[[#This Row],[mergeDate]]))</f>
        <v>16'm9</v>
      </c>
      <c r="V2051" s="7" t="str">
        <f>IF(ISBLANK(patch[[#This Row],[project]]), "",SUM(patch[[#This Row],[BJ -1 num]:[SH -1 num]]))</f>
        <v/>
      </c>
      <c r="W2051" s="7" t="str">
        <f>IF(ISBLANK(patch[[#This Row],[project]]), "",COUNTIFS($A:$A,patch[[#This Row],[number]],$S:$S, "BJ And dev",$AC:$AC, "Review-1"))</f>
        <v/>
      </c>
      <c r="X2051" s="7" t="str">
        <f>IF(ISBLANK(patch[[#This Row],[project]]), "",COUNTIFS($A:$A,patch[[#This Row],[number]],$S:$S, "FL And dev",$AC:$AC, "Review-1"))</f>
        <v/>
      </c>
      <c r="Y2051" s="7" t="str">
        <f>IF(ISBLANK(patch[[#This Row],[project]]), "",COUNTIFS($A:$A,patch[[#This Row],[number]],$S:$S, "SH And dev",$AC:$AC, "Review-1"))</f>
        <v/>
      </c>
      <c r="Z2051" s="7" t="str">
        <f>IF(ISBLANK(patch[[#This Row],[project]]), "",COUNTIFS($A:$A,patch[[#This Row],[number]],$S:$S, "BJ And dev",$AD:$AD, "&lt;&gt;IntegratorValidationComment"))</f>
        <v/>
      </c>
      <c r="AA2051" s="7" t="str">
        <f>IF(ISBLANK(patch[[#This Row],[project]]), "",COUNTIFS($A:$A,patch[[#This Row],[number]],$S:$S, "FL And dev",$AD:$AD, "&lt;&gt;IntegratorValidationComment"))</f>
        <v/>
      </c>
      <c r="AB2051" s="7" t="str">
        <f>IF(ISBLANK(patch[[#This Row],[project]]), "",COUNTIFS($A:$A,patch[[#This Row],[number]],$S:$S, "SH And dev",$AD:$AD, "&lt;&gt;IntegratorValidationComment"))</f>
        <v/>
      </c>
      <c r="AC2051" s="7" t="str">
        <f>IF(OR(ISNUMBER(FIND("Review-1", patch[[#This Row],[comments]])), ISNUMBER(FIND("Approver-1", patch[[#This Row],[comments]]))), "Review-1", "")</f>
        <v/>
      </c>
      <c r="AD20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51" s="7">
        <f>IF(ISBLANK(patch[[#This Row],[number]]),AE2050,patch[[#This Row],[ifCommon]])</f>
        <v>0</v>
      </c>
    </row>
    <row r="2052" spans="1:31">
      <c r="A2052" s="151">
        <v>141459</v>
      </c>
      <c r="B2052" s="151"/>
      <c r="C2052" s="151"/>
      <c r="D2052" s="151"/>
      <c r="E2052" s="151"/>
      <c r="F2052" s="151"/>
      <c r="G2052" s="151"/>
      <c r="H2052" s="151"/>
      <c r="I2052" s="151"/>
      <c r="J2052" s="152">
        <v>42621.694803240738</v>
      </c>
      <c r="K2052" s="151"/>
      <c r="L2052" s="151" t="s">
        <v>59</v>
      </c>
      <c r="M2052" s="152">
        <v>42607.765115740738</v>
      </c>
      <c r="N2052" s="151" t="s">
        <v>3604</v>
      </c>
      <c r="O2052" s="151"/>
      <c r="P2052" s="151"/>
      <c r="Q2052" s="7" t="str">
        <f>IF(ISBLANK(patch[[#This Row],[OwnerEmail]]),Q2051,patch[[#This Row],[OwnerEmail]])</f>
        <v>gang.a.hu@intel.com</v>
      </c>
      <c r="R2052" s="7" t="str">
        <f>_xlfn.IFNA(VLOOKUP(patch[[#This Row],[tmp-owner.email]],OrgTree!$A:$K, 11, 0), "not ICG SWFW")</f>
        <v>BJ And dev</v>
      </c>
      <c r="S2052" s="7" t="str">
        <f>IF(patch[[#This Row],[reviewer]]=patch[[#This Row],[tmp-owner.email]], "author", _xlfn.IFNA(VLOOKUP(patch[[#This Row],[reviewer]],OrgTree!$A:$K, 11, 0), "not ICG SWFW"))</f>
        <v>BJ And dev</v>
      </c>
      <c r="T2052" s="7" t="str">
        <f>IF(ISBLANK(patch[[#This Row],[mergeDate]]), "", MID(YEAR(patch[[#This Row],[mergeDate]]), 3,2)&amp;"'ww"&amp;WEEKNUM(patch[[#This Row],[mergeDate]]))</f>
        <v>16'ww37</v>
      </c>
      <c r="U2052" s="7" t="str">
        <f>IF(ISBLANK(patch[[#This Row],[mergeDate]]), U2051, MID(YEAR(patch[[#This Row],[mergeDate]]), 3,2)&amp;"'m"&amp;MONTH(patch[[#This Row],[mergeDate]]))</f>
        <v>16'm9</v>
      </c>
      <c r="V2052" s="7" t="str">
        <f>IF(ISBLANK(patch[[#This Row],[project]]), "",SUM(patch[[#This Row],[BJ -1 num]:[SH -1 num]]))</f>
        <v/>
      </c>
      <c r="W2052" s="7" t="str">
        <f>IF(ISBLANK(patch[[#This Row],[project]]), "",COUNTIFS($A:$A,patch[[#This Row],[number]],$S:$S, "BJ And dev",$AC:$AC, "Review-1"))</f>
        <v/>
      </c>
      <c r="X2052" s="7" t="str">
        <f>IF(ISBLANK(patch[[#This Row],[project]]), "",COUNTIFS($A:$A,patch[[#This Row],[number]],$S:$S, "FL And dev",$AC:$AC, "Review-1"))</f>
        <v/>
      </c>
      <c r="Y2052" s="7" t="str">
        <f>IF(ISBLANK(patch[[#This Row],[project]]), "",COUNTIFS($A:$A,patch[[#This Row],[number]],$S:$S, "SH And dev",$AC:$AC, "Review-1"))</f>
        <v/>
      </c>
      <c r="Z2052" s="7" t="str">
        <f>IF(ISBLANK(patch[[#This Row],[project]]), "",COUNTIFS($A:$A,patch[[#This Row],[number]],$S:$S, "BJ And dev",$AD:$AD, "&lt;&gt;IntegratorValidationComment"))</f>
        <v/>
      </c>
      <c r="AA2052" s="7" t="str">
        <f>IF(ISBLANK(patch[[#This Row],[project]]), "",COUNTIFS($A:$A,patch[[#This Row],[number]],$S:$S, "FL And dev",$AD:$AD, "&lt;&gt;IntegratorValidationComment"))</f>
        <v/>
      </c>
      <c r="AB2052" s="7" t="str">
        <f>IF(ISBLANK(patch[[#This Row],[project]]), "",COUNTIFS($A:$A,patch[[#This Row],[number]],$S:$S, "SH And dev",$AD:$AD, "&lt;&gt;IntegratorValidationComment"))</f>
        <v/>
      </c>
      <c r="AC2052" s="7" t="str">
        <f>IF(OR(ISNUMBER(FIND("Review-1", patch[[#This Row],[comments]])), ISNUMBER(FIND("Approver-1", patch[[#This Row],[comments]]))), "Review-1", "")</f>
        <v/>
      </c>
      <c r="AD20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52" s="7">
        <f>IF(ISBLANK(patch[[#This Row],[number]]),AE2051,patch[[#This Row],[ifCommon]])</f>
        <v>0</v>
      </c>
    </row>
    <row r="2053" spans="1:31">
      <c r="A2053" s="151">
        <v>141459</v>
      </c>
      <c r="B2053" s="151"/>
      <c r="C2053" s="151"/>
      <c r="D2053" s="151"/>
      <c r="E2053" s="151"/>
      <c r="F2053" s="151"/>
      <c r="G2053" s="151"/>
      <c r="H2053" s="151"/>
      <c r="I2053" s="151"/>
      <c r="J2053" s="152">
        <v>42621.694803240738</v>
      </c>
      <c r="K2053" s="151"/>
      <c r="L2053" s="151" t="s">
        <v>59</v>
      </c>
      <c r="M2053" s="152">
        <v>42607.767881944441</v>
      </c>
      <c r="N2053" s="151" t="s">
        <v>3605</v>
      </c>
      <c r="O2053" s="151"/>
      <c r="P2053" s="151"/>
      <c r="Q2053" s="7" t="str">
        <f>IF(ISBLANK(patch[[#This Row],[OwnerEmail]]),Q2052,patch[[#This Row],[OwnerEmail]])</f>
        <v>gang.a.hu@intel.com</v>
      </c>
      <c r="R2053" s="7" t="str">
        <f>_xlfn.IFNA(VLOOKUP(patch[[#This Row],[tmp-owner.email]],OrgTree!$A:$K, 11, 0), "not ICG SWFW")</f>
        <v>BJ And dev</v>
      </c>
      <c r="S2053" s="7" t="str">
        <f>IF(patch[[#This Row],[reviewer]]=patch[[#This Row],[tmp-owner.email]], "author", _xlfn.IFNA(VLOOKUP(patch[[#This Row],[reviewer]],OrgTree!$A:$K, 11, 0), "not ICG SWFW"))</f>
        <v>BJ And dev</v>
      </c>
      <c r="T2053" s="7" t="str">
        <f>IF(ISBLANK(patch[[#This Row],[mergeDate]]), "", MID(YEAR(patch[[#This Row],[mergeDate]]), 3,2)&amp;"'ww"&amp;WEEKNUM(patch[[#This Row],[mergeDate]]))</f>
        <v>16'ww37</v>
      </c>
      <c r="U2053" s="7" t="str">
        <f>IF(ISBLANK(patch[[#This Row],[mergeDate]]), U2052, MID(YEAR(patch[[#This Row],[mergeDate]]), 3,2)&amp;"'m"&amp;MONTH(patch[[#This Row],[mergeDate]]))</f>
        <v>16'm9</v>
      </c>
      <c r="V2053" s="7" t="str">
        <f>IF(ISBLANK(patch[[#This Row],[project]]), "",SUM(patch[[#This Row],[BJ -1 num]:[SH -1 num]]))</f>
        <v/>
      </c>
      <c r="W2053" s="7" t="str">
        <f>IF(ISBLANK(patch[[#This Row],[project]]), "",COUNTIFS($A:$A,patch[[#This Row],[number]],$S:$S, "BJ And dev",$AC:$AC, "Review-1"))</f>
        <v/>
      </c>
      <c r="X2053" s="7" t="str">
        <f>IF(ISBLANK(patch[[#This Row],[project]]), "",COUNTIFS($A:$A,patch[[#This Row],[number]],$S:$S, "FL And dev",$AC:$AC, "Review-1"))</f>
        <v/>
      </c>
      <c r="Y2053" s="7" t="str">
        <f>IF(ISBLANK(patch[[#This Row],[project]]), "",COUNTIFS($A:$A,patch[[#This Row],[number]],$S:$S, "SH And dev",$AC:$AC, "Review-1"))</f>
        <v/>
      </c>
      <c r="Z2053" s="7" t="str">
        <f>IF(ISBLANK(patch[[#This Row],[project]]), "",COUNTIFS($A:$A,patch[[#This Row],[number]],$S:$S, "BJ And dev",$AD:$AD, "&lt;&gt;IntegratorValidationComment"))</f>
        <v/>
      </c>
      <c r="AA2053" s="7" t="str">
        <f>IF(ISBLANK(patch[[#This Row],[project]]), "",COUNTIFS($A:$A,patch[[#This Row],[number]],$S:$S, "FL And dev",$AD:$AD, "&lt;&gt;IntegratorValidationComment"))</f>
        <v/>
      </c>
      <c r="AB2053" s="7" t="str">
        <f>IF(ISBLANK(patch[[#This Row],[project]]), "",COUNTIFS($A:$A,patch[[#This Row],[number]],$S:$S, "SH And dev",$AD:$AD, "&lt;&gt;IntegratorValidationComment"))</f>
        <v/>
      </c>
      <c r="AC2053" s="7" t="str">
        <f>IF(OR(ISNUMBER(FIND("Review-1", patch[[#This Row],[comments]])), ISNUMBER(FIND("Approver-1", patch[[#This Row],[comments]]))), "Review-1", "")</f>
        <v/>
      </c>
      <c r="AD20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53" s="7">
        <f>IF(ISBLANK(patch[[#This Row],[number]]),AE2052,patch[[#This Row],[ifCommon]])</f>
        <v>0</v>
      </c>
    </row>
    <row r="2054" spans="1:31">
      <c r="A2054" s="151">
        <v>141459</v>
      </c>
      <c r="B2054" s="151"/>
      <c r="C2054" s="151"/>
      <c r="D2054" s="151"/>
      <c r="E2054" s="151"/>
      <c r="F2054" s="151"/>
      <c r="G2054" s="151"/>
      <c r="H2054" s="151"/>
      <c r="I2054" s="151"/>
      <c r="J2054" s="152">
        <v>42621.694803240738</v>
      </c>
      <c r="K2054" s="151"/>
      <c r="L2054" s="151" t="s">
        <v>32</v>
      </c>
      <c r="M2054" s="152">
        <v>42608.726469907408</v>
      </c>
      <c r="N2054" s="151" t="s">
        <v>40</v>
      </c>
      <c r="O2054" s="151"/>
      <c r="P2054" s="151"/>
      <c r="Q2054" s="7" t="str">
        <f>IF(ISBLANK(patch[[#This Row],[OwnerEmail]]),Q2053,patch[[#This Row],[OwnerEmail]])</f>
        <v>gang.a.hu@intel.com</v>
      </c>
      <c r="R2054" s="7" t="str">
        <f>_xlfn.IFNA(VLOOKUP(patch[[#This Row],[tmp-owner.email]],OrgTree!$A:$K, 11, 0), "not ICG SWFW")</f>
        <v>BJ And dev</v>
      </c>
      <c r="S2054" s="7" t="str">
        <f>IF(patch[[#This Row],[reviewer]]=patch[[#This Row],[tmp-owner.email]], "author", _xlfn.IFNA(VLOOKUP(patch[[#This Row],[reviewer]],OrgTree!$A:$K, 11, 0), "not ICG SWFW"))</f>
        <v>author</v>
      </c>
      <c r="T2054" s="7" t="str">
        <f>IF(ISBLANK(patch[[#This Row],[mergeDate]]), "", MID(YEAR(patch[[#This Row],[mergeDate]]), 3,2)&amp;"'ww"&amp;WEEKNUM(patch[[#This Row],[mergeDate]]))</f>
        <v>16'ww37</v>
      </c>
      <c r="U2054" s="7" t="str">
        <f>IF(ISBLANK(patch[[#This Row],[mergeDate]]), U2053, MID(YEAR(patch[[#This Row],[mergeDate]]), 3,2)&amp;"'m"&amp;MONTH(patch[[#This Row],[mergeDate]]))</f>
        <v>16'm9</v>
      </c>
      <c r="V2054" s="7" t="str">
        <f>IF(ISBLANK(patch[[#This Row],[project]]), "",SUM(patch[[#This Row],[BJ -1 num]:[SH -1 num]]))</f>
        <v/>
      </c>
      <c r="W2054" s="7" t="str">
        <f>IF(ISBLANK(patch[[#This Row],[project]]), "",COUNTIFS($A:$A,patch[[#This Row],[number]],$S:$S, "BJ And dev",$AC:$AC, "Review-1"))</f>
        <v/>
      </c>
      <c r="X2054" s="7" t="str">
        <f>IF(ISBLANK(patch[[#This Row],[project]]), "",COUNTIFS($A:$A,patch[[#This Row],[number]],$S:$S, "FL And dev",$AC:$AC, "Review-1"))</f>
        <v/>
      </c>
      <c r="Y2054" s="7" t="str">
        <f>IF(ISBLANK(patch[[#This Row],[project]]), "",COUNTIFS($A:$A,patch[[#This Row],[number]],$S:$S, "SH And dev",$AC:$AC, "Review-1"))</f>
        <v/>
      </c>
      <c r="Z2054" s="7" t="str">
        <f>IF(ISBLANK(patch[[#This Row],[project]]), "",COUNTIFS($A:$A,patch[[#This Row],[number]],$S:$S, "BJ And dev",$AD:$AD, "&lt;&gt;IntegratorValidationComment"))</f>
        <v/>
      </c>
      <c r="AA2054" s="7" t="str">
        <f>IF(ISBLANK(patch[[#This Row],[project]]), "",COUNTIFS($A:$A,patch[[#This Row],[number]],$S:$S, "FL And dev",$AD:$AD, "&lt;&gt;IntegratorValidationComment"))</f>
        <v/>
      </c>
      <c r="AB2054" s="7" t="str">
        <f>IF(ISBLANK(patch[[#This Row],[project]]), "",COUNTIFS($A:$A,patch[[#This Row],[number]],$S:$S, "SH And dev",$AD:$AD, "&lt;&gt;IntegratorValidationComment"))</f>
        <v/>
      </c>
      <c r="AC2054" s="7" t="str">
        <f>IF(OR(ISNUMBER(FIND("Review-1", patch[[#This Row],[comments]])), ISNUMBER(FIND("Approver-1", patch[[#This Row],[comments]]))), "Review-1", "")</f>
        <v/>
      </c>
      <c r="AD20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54" s="7">
        <f>IF(ISBLANK(patch[[#This Row],[number]]),AE2053,patch[[#This Row],[ifCommon]])</f>
        <v>0</v>
      </c>
    </row>
    <row r="2055" spans="1:31">
      <c r="A2055" s="151">
        <v>141459</v>
      </c>
      <c r="B2055" s="151"/>
      <c r="C2055" s="151"/>
      <c r="D2055" s="151"/>
      <c r="E2055" s="151"/>
      <c r="F2055" s="151"/>
      <c r="G2055" s="151"/>
      <c r="H2055" s="151"/>
      <c r="I2055" s="151"/>
      <c r="J2055" s="152">
        <v>42621.694803240738</v>
      </c>
      <c r="K2055" s="151"/>
      <c r="L2055" s="151" t="s">
        <v>32</v>
      </c>
      <c r="M2055" s="152">
        <v>42608.728437500002</v>
      </c>
      <c r="N2055" s="151" t="s">
        <v>2460</v>
      </c>
      <c r="O2055" s="151"/>
      <c r="P2055" s="151"/>
      <c r="Q2055" s="7" t="str">
        <f>IF(ISBLANK(patch[[#This Row],[OwnerEmail]]),Q2054,patch[[#This Row],[OwnerEmail]])</f>
        <v>gang.a.hu@intel.com</v>
      </c>
      <c r="R2055" s="7" t="str">
        <f>_xlfn.IFNA(VLOOKUP(patch[[#This Row],[tmp-owner.email]],OrgTree!$A:$K, 11, 0), "not ICG SWFW")</f>
        <v>BJ And dev</v>
      </c>
      <c r="S2055" s="7" t="str">
        <f>IF(patch[[#This Row],[reviewer]]=patch[[#This Row],[tmp-owner.email]], "author", _xlfn.IFNA(VLOOKUP(patch[[#This Row],[reviewer]],OrgTree!$A:$K, 11, 0), "not ICG SWFW"))</f>
        <v>author</v>
      </c>
      <c r="T2055" s="7" t="str">
        <f>IF(ISBLANK(patch[[#This Row],[mergeDate]]), "", MID(YEAR(patch[[#This Row],[mergeDate]]), 3,2)&amp;"'ww"&amp;WEEKNUM(patch[[#This Row],[mergeDate]]))</f>
        <v>16'ww37</v>
      </c>
      <c r="U2055" s="7" t="str">
        <f>IF(ISBLANK(patch[[#This Row],[mergeDate]]), U2054, MID(YEAR(patch[[#This Row],[mergeDate]]), 3,2)&amp;"'m"&amp;MONTH(patch[[#This Row],[mergeDate]]))</f>
        <v>16'm9</v>
      </c>
      <c r="V2055" s="7" t="str">
        <f>IF(ISBLANK(patch[[#This Row],[project]]), "",SUM(patch[[#This Row],[BJ -1 num]:[SH -1 num]]))</f>
        <v/>
      </c>
      <c r="W2055" s="7" t="str">
        <f>IF(ISBLANK(patch[[#This Row],[project]]), "",COUNTIFS($A:$A,patch[[#This Row],[number]],$S:$S, "BJ And dev",$AC:$AC, "Review-1"))</f>
        <v/>
      </c>
      <c r="X2055" s="7" t="str">
        <f>IF(ISBLANK(patch[[#This Row],[project]]), "",COUNTIFS($A:$A,patch[[#This Row],[number]],$S:$S, "FL And dev",$AC:$AC, "Review-1"))</f>
        <v/>
      </c>
      <c r="Y2055" s="7" t="str">
        <f>IF(ISBLANK(patch[[#This Row],[project]]), "",COUNTIFS($A:$A,patch[[#This Row],[number]],$S:$S, "SH And dev",$AC:$AC, "Review-1"))</f>
        <v/>
      </c>
      <c r="Z2055" s="7" t="str">
        <f>IF(ISBLANK(patch[[#This Row],[project]]), "",COUNTIFS($A:$A,patch[[#This Row],[number]],$S:$S, "BJ And dev",$AD:$AD, "&lt;&gt;IntegratorValidationComment"))</f>
        <v/>
      </c>
      <c r="AA2055" s="7" t="str">
        <f>IF(ISBLANK(patch[[#This Row],[project]]), "",COUNTIFS($A:$A,patch[[#This Row],[number]],$S:$S, "FL And dev",$AD:$AD, "&lt;&gt;IntegratorValidationComment"))</f>
        <v/>
      </c>
      <c r="AB2055" s="7" t="str">
        <f>IF(ISBLANK(patch[[#This Row],[project]]), "",COUNTIFS($A:$A,patch[[#This Row],[number]],$S:$S, "SH And dev",$AD:$AD, "&lt;&gt;IntegratorValidationComment"))</f>
        <v/>
      </c>
      <c r="AC2055" s="7" t="str">
        <f>IF(OR(ISNUMBER(FIND("Review-1", patch[[#This Row],[comments]])), ISNUMBER(FIND("Approver-1", patch[[#This Row],[comments]]))), "Review-1", "")</f>
        <v/>
      </c>
      <c r="AD20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55" s="7">
        <f>IF(ISBLANK(patch[[#This Row],[number]]),AE2054,patch[[#This Row],[ifCommon]])</f>
        <v>0</v>
      </c>
    </row>
    <row r="2056" spans="1:31">
      <c r="A2056" s="151">
        <v>141459</v>
      </c>
      <c r="B2056" s="151"/>
      <c r="C2056" s="151"/>
      <c r="D2056" s="151"/>
      <c r="E2056" s="151"/>
      <c r="F2056" s="151"/>
      <c r="G2056" s="151"/>
      <c r="H2056" s="151"/>
      <c r="I2056" s="151"/>
      <c r="J2056" s="152">
        <v>42621.694803240738</v>
      </c>
      <c r="K2056" s="151"/>
      <c r="L2056" s="151" t="s">
        <v>32</v>
      </c>
      <c r="M2056" s="152">
        <v>42608.728437500002</v>
      </c>
      <c r="N2056" s="151" t="s">
        <v>2429</v>
      </c>
      <c r="O2056" s="151"/>
      <c r="P2056" s="151"/>
      <c r="Q2056" s="7" t="str">
        <f>IF(ISBLANK(patch[[#This Row],[OwnerEmail]]),Q2055,patch[[#This Row],[OwnerEmail]])</f>
        <v>gang.a.hu@intel.com</v>
      </c>
      <c r="R2056" s="7" t="str">
        <f>_xlfn.IFNA(VLOOKUP(patch[[#This Row],[tmp-owner.email]],OrgTree!$A:$K, 11, 0), "not ICG SWFW")</f>
        <v>BJ And dev</v>
      </c>
      <c r="S2056" s="7" t="str">
        <f>IF(patch[[#This Row],[reviewer]]=patch[[#This Row],[tmp-owner.email]], "author", _xlfn.IFNA(VLOOKUP(patch[[#This Row],[reviewer]],OrgTree!$A:$K, 11, 0), "not ICG SWFW"))</f>
        <v>author</v>
      </c>
      <c r="T2056" s="7" t="str">
        <f>IF(ISBLANK(patch[[#This Row],[mergeDate]]), "", MID(YEAR(patch[[#This Row],[mergeDate]]), 3,2)&amp;"'ww"&amp;WEEKNUM(patch[[#This Row],[mergeDate]]))</f>
        <v>16'ww37</v>
      </c>
      <c r="U2056" s="7" t="str">
        <f>IF(ISBLANK(patch[[#This Row],[mergeDate]]), U2055, MID(YEAR(patch[[#This Row],[mergeDate]]), 3,2)&amp;"'m"&amp;MONTH(patch[[#This Row],[mergeDate]]))</f>
        <v>16'm9</v>
      </c>
      <c r="V2056" s="7" t="str">
        <f>IF(ISBLANK(patch[[#This Row],[project]]), "",SUM(patch[[#This Row],[BJ -1 num]:[SH -1 num]]))</f>
        <v/>
      </c>
      <c r="W2056" s="7" t="str">
        <f>IF(ISBLANK(patch[[#This Row],[project]]), "",COUNTIFS($A:$A,patch[[#This Row],[number]],$S:$S, "BJ And dev",$AC:$AC, "Review-1"))</f>
        <v/>
      </c>
      <c r="X2056" s="7" t="str">
        <f>IF(ISBLANK(patch[[#This Row],[project]]), "",COUNTIFS($A:$A,patch[[#This Row],[number]],$S:$S, "FL And dev",$AC:$AC, "Review-1"))</f>
        <v/>
      </c>
      <c r="Y2056" s="7" t="str">
        <f>IF(ISBLANK(patch[[#This Row],[project]]), "",COUNTIFS($A:$A,patch[[#This Row],[number]],$S:$S, "SH And dev",$AC:$AC, "Review-1"))</f>
        <v/>
      </c>
      <c r="Z2056" s="7" t="str">
        <f>IF(ISBLANK(patch[[#This Row],[project]]), "",COUNTIFS($A:$A,patch[[#This Row],[number]],$S:$S, "BJ And dev",$AD:$AD, "&lt;&gt;IntegratorValidationComment"))</f>
        <v/>
      </c>
      <c r="AA2056" s="7" t="str">
        <f>IF(ISBLANK(patch[[#This Row],[project]]), "",COUNTIFS($A:$A,patch[[#This Row],[number]],$S:$S, "FL And dev",$AD:$AD, "&lt;&gt;IntegratorValidationComment"))</f>
        <v/>
      </c>
      <c r="AB2056" s="7" t="str">
        <f>IF(ISBLANK(patch[[#This Row],[project]]), "",COUNTIFS($A:$A,patch[[#This Row],[number]],$S:$S, "SH And dev",$AD:$AD, "&lt;&gt;IntegratorValidationComment"))</f>
        <v/>
      </c>
      <c r="AC2056" s="7" t="str">
        <f>IF(OR(ISNUMBER(FIND("Review-1", patch[[#This Row],[comments]])), ISNUMBER(FIND("Approver-1", patch[[#This Row],[comments]]))), "Review-1", "")</f>
        <v/>
      </c>
      <c r="AD20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56" s="7">
        <f>IF(ISBLANK(patch[[#This Row],[number]]),AE2055,patch[[#This Row],[ifCommon]])</f>
        <v>0</v>
      </c>
    </row>
    <row r="2057" spans="1:31">
      <c r="A2057" s="151">
        <v>141459</v>
      </c>
      <c r="B2057" s="151"/>
      <c r="C2057" s="151"/>
      <c r="D2057" s="151"/>
      <c r="E2057" s="151"/>
      <c r="F2057" s="151"/>
      <c r="G2057" s="151"/>
      <c r="H2057" s="151"/>
      <c r="I2057" s="151"/>
      <c r="J2057" s="152">
        <v>42621.694803240738</v>
      </c>
      <c r="K2057" s="151"/>
      <c r="L2057" s="151" t="s">
        <v>59</v>
      </c>
      <c r="M2057" s="152">
        <v>42608.730787037042</v>
      </c>
      <c r="N2057" s="151" t="s">
        <v>3606</v>
      </c>
      <c r="O2057" s="151"/>
      <c r="P2057" s="151"/>
      <c r="Q2057" s="7" t="str">
        <f>IF(ISBLANK(patch[[#This Row],[OwnerEmail]]),Q2056,patch[[#This Row],[OwnerEmail]])</f>
        <v>gang.a.hu@intel.com</v>
      </c>
      <c r="R2057" s="7" t="str">
        <f>_xlfn.IFNA(VLOOKUP(patch[[#This Row],[tmp-owner.email]],OrgTree!$A:$K, 11, 0), "not ICG SWFW")</f>
        <v>BJ And dev</v>
      </c>
      <c r="S2057" s="7" t="str">
        <f>IF(patch[[#This Row],[reviewer]]=patch[[#This Row],[tmp-owner.email]], "author", _xlfn.IFNA(VLOOKUP(patch[[#This Row],[reviewer]],OrgTree!$A:$K, 11, 0), "not ICG SWFW"))</f>
        <v>BJ And dev</v>
      </c>
      <c r="T2057" s="7" t="str">
        <f>IF(ISBLANK(patch[[#This Row],[mergeDate]]), "", MID(YEAR(patch[[#This Row],[mergeDate]]), 3,2)&amp;"'ww"&amp;WEEKNUM(patch[[#This Row],[mergeDate]]))</f>
        <v>16'ww37</v>
      </c>
      <c r="U2057" s="7" t="str">
        <f>IF(ISBLANK(patch[[#This Row],[mergeDate]]), U2056, MID(YEAR(patch[[#This Row],[mergeDate]]), 3,2)&amp;"'m"&amp;MONTH(patch[[#This Row],[mergeDate]]))</f>
        <v>16'm9</v>
      </c>
      <c r="V2057" s="7" t="str">
        <f>IF(ISBLANK(patch[[#This Row],[project]]), "",SUM(patch[[#This Row],[BJ -1 num]:[SH -1 num]]))</f>
        <v/>
      </c>
      <c r="W2057" s="7" t="str">
        <f>IF(ISBLANK(patch[[#This Row],[project]]), "",COUNTIFS($A:$A,patch[[#This Row],[number]],$S:$S, "BJ And dev",$AC:$AC, "Review-1"))</f>
        <v/>
      </c>
      <c r="X2057" s="7" t="str">
        <f>IF(ISBLANK(patch[[#This Row],[project]]), "",COUNTIFS($A:$A,patch[[#This Row],[number]],$S:$S, "FL And dev",$AC:$AC, "Review-1"))</f>
        <v/>
      </c>
      <c r="Y2057" s="7" t="str">
        <f>IF(ISBLANK(patch[[#This Row],[project]]), "",COUNTIFS($A:$A,patch[[#This Row],[number]],$S:$S, "SH And dev",$AC:$AC, "Review-1"))</f>
        <v/>
      </c>
      <c r="Z2057" s="7" t="str">
        <f>IF(ISBLANK(patch[[#This Row],[project]]), "",COUNTIFS($A:$A,patch[[#This Row],[number]],$S:$S, "BJ And dev",$AD:$AD, "&lt;&gt;IntegratorValidationComment"))</f>
        <v/>
      </c>
      <c r="AA2057" s="7" t="str">
        <f>IF(ISBLANK(patch[[#This Row],[project]]), "",COUNTIFS($A:$A,patch[[#This Row],[number]],$S:$S, "FL And dev",$AD:$AD, "&lt;&gt;IntegratorValidationComment"))</f>
        <v/>
      </c>
      <c r="AB2057" s="7" t="str">
        <f>IF(ISBLANK(patch[[#This Row],[project]]), "",COUNTIFS($A:$A,patch[[#This Row],[number]],$S:$S, "SH And dev",$AD:$AD, "&lt;&gt;IntegratorValidationComment"))</f>
        <v/>
      </c>
      <c r="AC2057" s="7" t="str">
        <f>IF(OR(ISNUMBER(FIND("Review-1", patch[[#This Row],[comments]])), ISNUMBER(FIND("Approver-1", patch[[#This Row],[comments]]))), "Review-1", "")</f>
        <v/>
      </c>
      <c r="AD20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57" s="7">
        <f>IF(ISBLANK(patch[[#This Row],[number]]),AE2056,patch[[#This Row],[ifCommon]])</f>
        <v>0</v>
      </c>
    </row>
    <row r="2058" spans="1:31">
      <c r="A2058" s="151">
        <v>141459</v>
      </c>
      <c r="B2058" s="151"/>
      <c r="C2058" s="151"/>
      <c r="D2058" s="151"/>
      <c r="E2058" s="151"/>
      <c r="F2058" s="151"/>
      <c r="G2058" s="151"/>
      <c r="H2058" s="151"/>
      <c r="I2058" s="151"/>
      <c r="J2058" s="152">
        <v>42621.694803240738</v>
      </c>
      <c r="K2058" s="151"/>
      <c r="L2058" s="151" t="s">
        <v>59</v>
      </c>
      <c r="M2058" s="152">
        <v>42608.736261574071</v>
      </c>
      <c r="N2058" s="151" t="s">
        <v>3607</v>
      </c>
      <c r="O2058" s="151"/>
      <c r="P2058" s="151"/>
      <c r="Q2058" s="7" t="str">
        <f>IF(ISBLANK(patch[[#This Row],[OwnerEmail]]),Q2057,patch[[#This Row],[OwnerEmail]])</f>
        <v>gang.a.hu@intel.com</v>
      </c>
      <c r="R2058" s="7" t="str">
        <f>_xlfn.IFNA(VLOOKUP(patch[[#This Row],[tmp-owner.email]],OrgTree!$A:$K, 11, 0), "not ICG SWFW")</f>
        <v>BJ And dev</v>
      </c>
      <c r="S2058" s="7" t="str">
        <f>IF(patch[[#This Row],[reviewer]]=patch[[#This Row],[tmp-owner.email]], "author", _xlfn.IFNA(VLOOKUP(patch[[#This Row],[reviewer]],OrgTree!$A:$K, 11, 0), "not ICG SWFW"))</f>
        <v>BJ And dev</v>
      </c>
      <c r="T2058" s="7" t="str">
        <f>IF(ISBLANK(patch[[#This Row],[mergeDate]]), "", MID(YEAR(patch[[#This Row],[mergeDate]]), 3,2)&amp;"'ww"&amp;WEEKNUM(patch[[#This Row],[mergeDate]]))</f>
        <v>16'ww37</v>
      </c>
      <c r="U2058" s="7" t="str">
        <f>IF(ISBLANK(patch[[#This Row],[mergeDate]]), U2057, MID(YEAR(patch[[#This Row],[mergeDate]]), 3,2)&amp;"'m"&amp;MONTH(patch[[#This Row],[mergeDate]]))</f>
        <v>16'm9</v>
      </c>
      <c r="V2058" s="7" t="str">
        <f>IF(ISBLANK(patch[[#This Row],[project]]), "",SUM(patch[[#This Row],[BJ -1 num]:[SH -1 num]]))</f>
        <v/>
      </c>
      <c r="W2058" s="7" t="str">
        <f>IF(ISBLANK(patch[[#This Row],[project]]), "",COUNTIFS($A:$A,patch[[#This Row],[number]],$S:$S, "BJ And dev",$AC:$AC, "Review-1"))</f>
        <v/>
      </c>
      <c r="X2058" s="7" t="str">
        <f>IF(ISBLANK(patch[[#This Row],[project]]), "",COUNTIFS($A:$A,patch[[#This Row],[number]],$S:$S, "FL And dev",$AC:$AC, "Review-1"))</f>
        <v/>
      </c>
      <c r="Y2058" s="7" t="str">
        <f>IF(ISBLANK(patch[[#This Row],[project]]), "",COUNTIFS($A:$A,patch[[#This Row],[number]],$S:$S, "SH And dev",$AC:$AC, "Review-1"))</f>
        <v/>
      </c>
      <c r="Z2058" s="7" t="str">
        <f>IF(ISBLANK(patch[[#This Row],[project]]), "",COUNTIFS($A:$A,patch[[#This Row],[number]],$S:$S, "BJ And dev",$AD:$AD, "&lt;&gt;IntegratorValidationComment"))</f>
        <v/>
      </c>
      <c r="AA2058" s="7" t="str">
        <f>IF(ISBLANK(patch[[#This Row],[project]]), "",COUNTIFS($A:$A,patch[[#This Row],[number]],$S:$S, "FL And dev",$AD:$AD, "&lt;&gt;IntegratorValidationComment"))</f>
        <v/>
      </c>
      <c r="AB2058" s="7" t="str">
        <f>IF(ISBLANK(patch[[#This Row],[project]]), "",COUNTIFS($A:$A,patch[[#This Row],[number]],$S:$S, "SH And dev",$AD:$AD, "&lt;&gt;IntegratorValidationComment"))</f>
        <v/>
      </c>
      <c r="AC2058" s="7" t="str">
        <f>IF(OR(ISNUMBER(FIND("Review-1", patch[[#This Row],[comments]])), ISNUMBER(FIND("Approver-1", patch[[#This Row],[comments]]))), "Review-1", "")</f>
        <v/>
      </c>
      <c r="AD20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58" s="7">
        <f>IF(ISBLANK(patch[[#This Row],[number]]),AE2057,patch[[#This Row],[ifCommon]])</f>
        <v>0</v>
      </c>
    </row>
    <row r="2059" spans="1:31">
      <c r="A2059" s="151">
        <v>141459</v>
      </c>
      <c r="B2059" s="151"/>
      <c r="C2059" s="151"/>
      <c r="D2059" s="151"/>
      <c r="E2059" s="151"/>
      <c r="F2059" s="151"/>
      <c r="G2059" s="151"/>
      <c r="H2059" s="151"/>
      <c r="I2059" s="151"/>
      <c r="J2059" s="152">
        <v>42621.694803240738</v>
      </c>
      <c r="K2059" s="151"/>
      <c r="L2059" s="151" t="s">
        <v>32</v>
      </c>
      <c r="M2059" s="152">
        <v>42611.479895833327</v>
      </c>
      <c r="N2059" s="151" t="s">
        <v>47</v>
      </c>
      <c r="O2059" s="151"/>
      <c r="P2059" s="151"/>
      <c r="Q2059" s="7" t="str">
        <f>IF(ISBLANK(patch[[#This Row],[OwnerEmail]]),Q2058,patch[[#This Row],[OwnerEmail]])</f>
        <v>gang.a.hu@intel.com</v>
      </c>
      <c r="R2059" s="7" t="str">
        <f>_xlfn.IFNA(VLOOKUP(patch[[#This Row],[tmp-owner.email]],OrgTree!$A:$K, 11, 0), "not ICG SWFW")</f>
        <v>BJ And dev</v>
      </c>
      <c r="S2059" s="7" t="str">
        <f>IF(patch[[#This Row],[reviewer]]=patch[[#This Row],[tmp-owner.email]], "author", _xlfn.IFNA(VLOOKUP(patch[[#This Row],[reviewer]],OrgTree!$A:$K, 11, 0), "not ICG SWFW"))</f>
        <v>author</v>
      </c>
      <c r="T2059" s="7" t="str">
        <f>IF(ISBLANK(patch[[#This Row],[mergeDate]]), "", MID(YEAR(patch[[#This Row],[mergeDate]]), 3,2)&amp;"'ww"&amp;WEEKNUM(patch[[#This Row],[mergeDate]]))</f>
        <v>16'ww37</v>
      </c>
      <c r="U2059" s="7" t="str">
        <f>IF(ISBLANK(patch[[#This Row],[mergeDate]]), U2058, MID(YEAR(patch[[#This Row],[mergeDate]]), 3,2)&amp;"'m"&amp;MONTH(patch[[#This Row],[mergeDate]]))</f>
        <v>16'm9</v>
      </c>
      <c r="V2059" s="7" t="str">
        <f>IF(ISBLANK(patch[[#This Row],[project]]), "",SUM(patch[[#This Row],[BJ -1 num]:[SH -1 num]]))</f>
        <v/>
      </c>
      <c r="W2059" s="7" t="str">
        <f>IF(ISBLANK(patch[[#This Row],[project]]), "",COUNTIFS($A:$A,patch[[#This Row],[number]],$S:$S, "BJ And dev",$AC:$AC, "Review-1"))</f>
        <v/>
      </c>
      <c r="X2059" s="7" t="str">
        <f>IF(ISBLANK(patch[[#This Row],[project]]), "",COUNTIFS($A:$A,patch[[#This Row],[number]],$S:$S, "FL And dev",$AC:$AC, "Review-1"))</f>
        <v/>
      </c>
      <c r="Y2059" s="7" t="str">
        <f>IF(ISBLANK(patch[[#This Row],[project]]), "",COUNTIFS($A:$A,patch[[#This Row],[number]],$S:$S, "SH And dev",$AC:$AC, "Review-1"))</f>
        <v/>
      </c>
      <c r="Z2059" s="7" t="str">
        <f>IF(ISBLANK(patch[[#This Row],[project]]), "",COUNTIFS($A:$A,patch[[#This Row],[number]],$S:$S, "BJ And dev",$AD:$AD, "&lt;&gt;IntegratorValidationComment"))</f>
        <v/>
      </c>
      <c r="AA2059" s="7" t="str">
        <f>IF(ISBLANK(patch[[#This Row],[project]]), "",COUNTIFS($A:$A,patch[[#This Row],[number]],$S:$S, "FL And dev",$AD:$AD, "&lt;&gt;IntegratorValidationComment"))</f>
        <v/>
      </c>
      <c r="AB2059" s="7" t="str">
        <f>IF(ISBLANK(patch[[#This Row],[project]]), "",COUNTIFS($A:$A,patch[[#This Row],[number]],$S:$S, "SH And dev",$AD:$AD, "&lt;&gt;IntegratorValidationComment"))</f>
        <v/>
      </c>
      <c r="AC2059" s="7" t="str">
        <f>IF(OR(ISNUMBER(FIND("Review-1", patch[[#This Row],[comments]])), ISNUMBER(FIND("Approver-1", patch[[#This Row],[comments]]))), "Review-1", "")</f>
        <v/>
      </c>
      <c r="AD20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59" s="7">
        <f>IF(ISBLANK(patch[[#This Row],[number]]),AE2058,patch[[#This Row],[ifCommon]])</f>
        <v>0</v>
      </c>
    </row>
    <row r="2060" spans="1:31">
      <c r="A2060" s="151">
        <v>141459</v>
      </c>
      <c r="B2060" s="151"/>
      <c r="C2060" s="151"/>
      <c r="D2060" s="151"/>
      <c r="E2060" s="151"/>
      <c r="F2060" s="151"/>
      <c r="G2060" s="151"/>
      <c r="H2060" s="151"/>
      <c r="I2060" s="151"/>
      <c r="J2060" s="152">
        <v>42621.694803240738</v>
      </c>
      <c r="K2060" s="151"/>
      <c r="L2060" s="151" t="s">
        <v>32</v>
      </c>
      <c r="M2060" s="152">
        <v>42611.479907407411</v>
      </c>
      <c r="N2060" s="151" t="s">
        <v>2450</v>
      </c>
      <c r="O2060" s="151"/>
      <c r="P2060" s="151"/>
      <c r="Q2060" s="7" t="str">
        <f>IF(ISBLANK(patch[[#This Row],[OwnerEmail]]),Q2059,patch[[#This Row],[OwnerEmail]])</f>
        <v>gang.a.hu@intel.com</v>
      </c>
      <c r="R2060" s="7" t="str">
        <f>_xlfn.IFNA(VLOOKUP(patch[[#This Row],[tmp-owner.email]],OrgTree!$A:$K, 11, 0), "not ICG SWFW")</f>
        <v>BJ And dev</v>
      </c>
      <c r="S2060" s="7" t="str">
        <f>IF(patch[[#This Row],[reviewer]]=patch[[#This Row],[tmp-owner.email]], "author", _xlfn.IFNA(VLOOKUP(patch[[#This Row],[reviewer]],OrgTree!$A:$K, 11, 0), "not ICG SWFW"))</f>
        <v>author</v>
      </c>
      <c r="T2060" s="7" t="str">
        <f>IF(ISBLANK(patch[[#This Row],[mergeDate]]), "", MID(YEAR(patch[[#This Row],[mergeDate]]), 3,2)&amp;"'ww"&amp;WEEKNUM(patch[[#This Row],[mergeDate]]))</f>
        <v>16'ww37</v>
      </c>
      <c r="U2060" s="7" t="str">
        <f>IF(ISBLANK(patch[[#This Row],[mergeDate]]), U2059, MID(YEAR(patch[[#This Row],[mergeDate]]), 3,2)&amp;"'m"&amp;MONTH(patch[[#This Row],[mergeDate]]))</f>
        <v>16'm9</v>
      </c>
      <c r="V2060" s="7" t="str">
        <f>IF(ISBLANK(patch[[#This Row],[project]]), "",SUM(patch[[#This Row],[BJ -1 num]:[SH -1 num]]))</f>
        <v/>
      </c>
      <c r="W2060" s="7" t="str">
        <f>IF(ISBLANK(patch[[#This Row],[project]]), "",COUNTIFS($A:$A,patch[[#This Row],[number]],$S:$S, "BJ And dev",$AC:$AC, "Review-1"))</f>
        <v/>
      </c>
      <c r="X2060" s="7" t="str">
        <f>IF(ISBLANK(patch[[#This Row],[project]]), "",COUNTIFS($A:$A,patch[[#This Row],[number]],$S:$S, "FL And dev",$AC:$AC, "Review-1"))</f>
        <v/>
      </c>
      <c r="Y2060" s="7" t="str">
        <f>IF(ISBLANK(patch[[#This Row],[project]]), "",COUNTIFS($A:$A,patch[[#This Row],[number]],$S:$S, "SH And dev",$AC:$AC, "Review-1"))</f>
        <v/>
      </c>
      <c r="Z2060" s="7" t="str">
        <f>IF(ISBLANK(patch[[#This Row],[project]]), "",COUNTIFS($A:$A,patch[[#This Row],[number]],$S:$S, "BJ And dev",$AD:$AD, "&lt;&gt;IntegratorValidationComment"))</f>
        <v/>
      </c>
      <c r="AA2060" s="7" t="str">
        <f>IF(ISBLANK(patch[[#This Row],[project]]), "",COUNTIFS($A:$A,patch[[#This Row],[number]],$S:$S, "FL And dev",$AD:$AD, "&lt;&gt;IntegratorValidationComment"))</f>
        <v/>
      </c>
      <c r="AB2060" s="7" t="str">
        <f>IF(ISBLANK(patch[[#This Row],[project]]), "",COUNTIFS($A:$A,patch[[#This Row],[number]],$S:$S, "SH And dev",$AD:$AD, "&lt;&gt;IntegratorValidationComment"))</f>
        <v/>
      </c>
      <c r="AC2060" s="7" t="str">
        <f>IF(OR(ISNUMBER(FIND("Review-1", patch[[#This Row],[comments]])), ISNUMBER(FIND("Approver-1", patch[[#This Row],[comments]]))), "Review-1", "")</f>
        <v/>
      </c>
      <c r="AD20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60" s="7">
        <f>IF(ISBLANK(patch[[#This Row],[number]]),AE2059,patch[[#This Row],[ifCommon]])</f>
        <v>0</v>
      </c>
    </row>
    <row r="2061" spans="1:31">
      <c r="A2061" s="151">
        <v>141459</v>
      </c>
      <c r="B2061" s="151"/>
      <c r="C2061" s="151"/>
      <c r="D2061" s="151"/>
      <c r="E2061" s="151"/>
      <c r="F2061" s="151"/>
      <c r="G2061" s="151"/>
      <c r="H2061" s="151"/>
      <c r="I2061" s="152"/>
      <c r="J2061" s="152">
        <v>42621.694803240738</v>
      </c>
      <c r="K2061" s="151"/>
      <c r="L2061" s="151" t="s">
        <v>59</v>
      </c>
      <c r="M2061" s="152">
        <v>42611.487083333333</v>
      </c>
      <c r="N2061" s="151" t="s">
        <v>3608</v>
      </c>
      <c r="O2061" s="151"/>
      <c r="P2061" s="151"/>
      <c r="Q2061" s="7" t="str">
        <f>IF(ISBLANK(patch[[#This Row],[OwnerEmail]]),Q2060,patch[[#This Row],[OwnerEmail]])</f>
        <v>gang.a.hu@intel.com</v>
      </c>
      <c r="R2061" s="7" t="str">
        <f>_xlfn.IFNA(VLOOKUP(patch[[#This Row],[tmp-owner.email]],OrgTree!$A:$K, 11, 0), "not ICG SWFW")</f>
        <v>BJ And dev</v>
      </c>
      <c r="S2061" s="7" t="str">
        <f>IF(patch[[#This Row],[reviewer]]=patch[[#This Row],[tmp-owner.email]], "author", _xlfn.IFNA(VLOOKUP(patch[[#This Row],[reviewer]],OrgTree!$A:$K, 11, 0), "not ICG SWFW"))</f>
        <v>BJ And dev</v>
      </c>
      <c r="T2061" s="7" t="str">
        <f>IF(ISBLANK(patch[[#This Row],[mergeDate]]), "", MID(YEAR(patch[[#This Row],[mergeDate]]), 3,2)&amp;"'ww"&amp;WEEKNUM(patch[[#This Row],[mergeDate]]))</f>
        <v>16'ww37</v>
      </c>
      <c r="U2061" s="7" t="str">
        <f>IF(ISBLANK(patch[[#This Row],[mergeDate]]), U2060, MID(YEAR(patch[[#This Row],[mergeDate]]), 3,2)&amp;"'m"&amp;MONTH(patch[[#This Row],[mergeDate]]))</f>
        <v>16'm9</v>
      </c>
      <c r="V2061" s="7" t="str">
        <f>IF(ISBLANK(patch[[#This Row],[project]]), "",SUM(patch[[#This Row],[BJ -1 num]:[SH -1 num]]))</f>
        <v/>
      </c>
      <c r="W2061" s="7" t="str">
        <f>IF(ISBLANK(patch[[#This Row],[project]]), "",COUNTIFS($A:$A,patch[[#This Row],[number]],$S:$S, "BJ And dev",$AC:$AC, "Review-1"))</f>
        <v/>
      </c>
      <c r="X2061" s="7" t="str">
        <f>IF(ISBLANK(patch[[#This Row],[project]]), "",COUNTIFS($A:$A,patch[[#This Row],[number]],$S:$S, "FL And dev",$AC:$AC, "Review-1"))</f>
        <v/>
      </c>
      <c r="Y2061" s="7" t="str">
        <f>IF(ISBLANK(patch[[#This Row],[project]]), "",COUNTIFS($A:$A,patch[[#This Row],[number]],$S:$S, "SH And dev",$AC:$AC, "Review-1"))</f>
        <v/>
      </c>
      <c r="Z2061" s="7" t="str">
        <f>IF(ISBLANK(patch[[#This Row],[project]]), "",COUNTIFS($A:$A,patch[[#This Row],[number]],$S:$S, "BJ And dev",$AD:$AD, "&lt;&gt;IntegratorValidationComment"))</f>
        <v/>
      </c>
      <c r="AA2061" s="7" t="str">
        <f>IF(ISBLANK(patch[[#This Row],[project]]), "",COUNTIFS($A:$A,patch[[#This Row],[number]],$S:$S, "FL And dev",$AD:$AD, "&lt;&gt;IntegratorValidationComment"))</f>
        <v/>
      </c>
      <c r="AB2061" s="7" t="str">
        <f>IF(ISBLANK(patch[[#This Row],[project]]), "",COUNTIFS($A:$A,patch[[#This Row],[number]],$S:$S, "SH And dev",$AD:$AD, "&lt;&gt;IntegratorValidationComment"))</f>
        <v/>
      </c>
      <c r="AC2061" s="7" t="str">
        <f>IF(OR(ISNUMBER(FIND("Review-1", patch[[#This Row],[comments]])), ISNUMBER(FIND("Approver-1", patch[[#This Row],[comments]]))), "Review-1", "")</f>
        <v/>
      </c>
      <c r="AD20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61" s="7">
        <f>IF(ISBLANK(patch[[#This Row],[number]]),AE2060,patch[[#This Row],[ifCommon]])</f>
        <v>0</v>
      </c>
    </row>
    <row r="2062" spans="1:31">
      <c r="A2062" s="151">
        <v>141459</v>
      </c>
      <c r="B2062" s="151"/>
      <c r="C2062" s="151"/>
      <c r="D2062" s="151"/>
      <c r="E2062" s="151"/>
      <c r="F2062" s="151"/>
      <c r="G2062" s="151"/>
      <c r="H2062" s="151"/>
      <c r="I2062" s="151"/>
      <c r="J2062" s="152">
        <v>42621.694803240738</v>
      </c>
      <c r="K2062" s="151"/>
      <c r="L2062" s="151" t="s">
        <v>59</v>
      </c>
      <c r="M2062" s="152">
        <v>42611.489212962973</v>
      </c>
      <c r="N2062" s="151" t="s">
        <v>3609</v>
      </c>
      <c r="O2062" s="151"/>
      <c r="P2062" s="151"/>
      <c r="Q2062" s="7" t="str">
        <f>IF(ISBLANK(patch[[#This Row],[OwnerEmail]]),Q2061,patch[[#This Row],[OwnerEmail]])</f>
        <v>gang.a.hu@intel.com</v>
      </c>
      <c r="R2062" s="7" t="str">
        <f>_xlfn.IFNA(VLOOKUP(patch[[#This Row],[tmp-owner.email]],OrgTree!$A:$K, 11, 0), "not ICG SWFW")</f>
        <v>BJ And dev</v>
      </c>
      <c r="S2062" s="7" t="str">
        <f>IF(patch[[#This Row],[reviewer]]=patch[[#This Row],[tmp-owner.email]], "author", _xlfn.IFNA(VLOOKUP(patch[[#This Row],[reviewer]],OrgTree!$A:$K, 11, 0), "not ICG SWFW"))</f>
        <v>BJ And dev</v>
      </c>
      <c r="T2062" s="7" t="str">
        <f>IF(ISBLANK(patch[[#This Row],[mergeDate]]), "", MID(YEAR(patch[[#This Row],[mergeDate]]), 3,2)&amp;"'ww"&amp;WEEKNUM(patch[[#This Row],[mergeDate]]))</f>
        <v>16'ww37</v>
      </c>
      <c r="U2062" s="7" t="str">
        <f>IF(ISBLANK(patch[[#This Row],[mergeDate]]), U2061, MID(YEAR(patch[[#This Row],[mergeDate]]), 3,2)&amp;"'m"&amp;MONTH(patch[[#This Row],[mergeDate]]))</f>
        <v>16'm9</v>
      </c>
      <c r="V2062" s="7" t="str">
        <f>IF(ISBLANK(patch[[#This Row],[project]]), "",SUM(patch[[#This Row],[BJ -1 num]:[SH -1 num]]))</f>
        <v/>
      </c>
      <c r="W2062" s="7" t="str">
        <f>IF(ISBLANK(patch[[#This Row],[project]]), "",COUNTIFS($A:$A,patch[[#This Row],[number]],$S:$S, "BJ And dev",$AC:$AC, "Review-1"))</f>
        <v/>
      </c>
      <c r="X2062" s="7" t="str">
        <f>IF(ISBLANK(patch[[#This Row],[project]]), "",COUNTIFS($A:$A,patch[[#This Row],[number]],$S:$S, "FL And dev",$AC:$AC, "Review-1"))</f>
        <v/>
      </c>
      <c r="Y2062" s="7" t="str">
        <f>IF(ISBLANK(patch[[#This Row],[project]]), "",COUNTIFS($A:$A,patch[[#This Row],[number]],$S:$S, "SH And dev",$AC:$AC, "Review-1"))</f>
        <v/>
      </c>
      <c r="Z2062" s="7" t="str">
        <f>IF(ISBLANK(patch[[#This Row],[project]]), "",COUNTIFS($A:$A,patch[[#This Row],[number]],$S:$S, "BJ And dev",$AD:$AD, "&lt;&gt;IntegratorValidationComment"))</f>
        <v/>
      </c>
      <c r="AA2062" s="7" t="str">
        <f>IF(ISBLANK(patch[[#This Row],[project]]), "",COUNTIFS($A:$A,patch[[#This Row],[number]],$S:$S, "FL And dev",$AD:$AD, "&lt;&gt;IntegratorValidationComment"))</f>
        <v/>
      </c>
      <c r="AB2062" s="7" t="str">
        <f>IF(ISBLANK(patch[[#This Row],[project]]), "",COUNTIFS($A:$A,patch[[#This Row],[number]],$S:$S, "SH And dev",$AD:$AD, "&lt;&gt;IntegratorValidationComment"))</f>
        <v/>
      </c>
      <c r="AC2062" s="7" t="str">
        <f>IF(OR(ISNUMBER(FIND("Review-1", patch[[#This Row],[comments]])), ISNUMBER(FIND("Approver-1", patch[[#This Row],[comments]]))), "Review-1", "")</f>
        <v/>
      </c>
      <c r="AD20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62" s="7">
        <f>IF(ISBLANK(patch[[#This Row],[number]]),AE2061,patch[[#This Row],[ifCommon]])</f>
        <v>0</v>
      </c>
    </row>
    <row r="2063" spans="1:31">
      <c r="A2063" s="151">
        <v>141459</v>
      </c>
      <c r="B2063" s="151"/>
      <c r="C2063" s="151"/>
      <c r="D2063" s="151"/>
      <c r="E2063" s="151"/>
      <c r="F2063" s="151"/>
      <c r="G2063" s="151"/>
      <c r="H2063" s="151"/>
      <c r="I2063" s="151"/>
      <c r="J2063" s="152">
        <v>42621.694803240738</v>
      </c>
      <c r="K2063" s="151"/>
      <c r="L2063" s="151" t="s">
        <v>32</v>
      </c>
      <c r="M2063" s="152">
        <v>42611.700891203713</v>
      </c>
      <c r="N2063" s="151" t="s">
        <v>2451</v>
      </c>
      <c r="O2063" s="151"/>
      <c r="P2063" s="151"/>
      <c r="Q2063" s="7" t="str">
        <f>IF(ISBLANK(patch[[#This Row],[OwnerEmail]]),Q2062,patch[[#This Row],[OwnerEmail]])</f>
        <v>gang.a.hu@intel.com</v>
      </c>
      <c r="R2063" s="7" t="str">
        <f>_xlfn.IFNA(VLOOKUP(patch[[#This Row],[tmp-owner.email]],OrgTree!$A:$K, 11, 0), "not ICG SWFW")</f>
        <v>BJ And dev</v>
      </c>
      <c r="S2063" s="7" t="str">
        <f>IF(patch[[#This Row],[reviewer]]=patch[[#This Row],[tmp-owner.email]], "author", _xlfn.IFNA(VLOOKUP(patch[[#This Row],[reviewer]],OrgTree!$A:$K, 11, 0), "not ICG SWFW"))</f>
        <v>author</v>
      </c>
      <c r="T2063" s="7" t="str">
        <f>IF(ISBLANK(patch[[#This Row],[mergeDate]]), "", MID(YEAR(patch[[#This Row],[mergeDate]]), 3,2)&amp;"'ww"&amp;WEEKNUM(patch[[#This Row],[mergeDate]]))</f>
        <v>16'ww37</v>
      </c>
      <c r="U2063" s="7" t="str">
        <f>IF(ISBLANK(patch[[#This Row],[mergeDate]]), U2062, MID(YEAR(patch[[#This Row],[mergeDate]]), 3,2)&amp;"'m"&amp;MONTH(patch[[#This Row],[mergeDate]]))</f>
        <v>16'm9</v>
      </c>
      <c r="V2063" s="7" t="str">
        <f>IF(ISBLANK(patch[[#This Row],[project]]), "",SUM(patch[[#This Row],[BJ -1 num]:[SH -1 num]]))</f>
        <v/>
      </c>
      <c r="W2063" s="7" t="str">
        <f>IF(ISBLANK(patch[[#This Row],[project]]), "",COUNTIFS($A:$A,patch[[#This Row],[number]],$S:$S, "BJ And dev",$AC:$AC, "Review-1"))</f>
        <v/>
      </c>
      <c r="X2063" s="7" t="str">
        <f>IF(ISBLANK(patch[[#This Row],[project]]), "",COUNTIFS($A:$A,patch[[#This Row],[number]],$S:$S, "FL And dev",$AC:$AC, "Review-1"))</f>
        <v/>
      </c>
      <c r="Y2063" s="7" t="str">
        <f>IF(ISBLANK(patch[[#This Row],[project]]), "",COUNTIFS($A:$A,patch[[#This Row],[number]],$S:$S, "SH And dev",$AC:$AC, "Review-1"))</f>
        <v/>
      </c>
      <c r="Z2063" s="7" t="str">
        <f>IF(ISBLANK(patch[[#This Row],[project]]), "",COUNTIFS($A:$A,patch[[#This Row],[number]],$S:$S, "BJ And dev",$AD:$AD, "&lt;&gt;IntegratorValidationComment"))</f>
        <v/>
      </c>
      <c r="AA2063" s="7" t="str">
        <f>IF(ISBLANK(patch[[#This Row],[project]]), "",COUNTIFS($A:$A,patch[[#This Row],[number]],$S:$S, "FL And dev",$AD:$AD, "&lt;&gt;IntegratorValidationComment"))</f>
        <v/>
      </c>
      <c r="AB2063" s="7" t="str">
        <f>IF(ISBLANK(patch[[#This Row],[project]]), "",COUNTIFS($A:$A,patch[[#This Row],[number]],$S:$S, "SH And dev",$AD:$AD, "&lt;&gt;IntegratorValidationComment"))</f>
        <v/>
      </c>
      <c r="AC2063" s="7" t="str">
        <f>IF(OR(ISNUMBER(FIND("Review-1", patch[[#This Row],[comments]])), ISNUMBER(FIND("Approver-1", patch[[#This Row],[comments]]))), "Review-1", "")</f>
        <v/>
      </c>
      <c r="AD20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63" s="7">
        <f>IF(ISBLANK(patch[[#This Row],[number]]),AE2062,patch[[#This Row],[ifCommon]])</f>
        <v>0</v>
      </c>
    </row>
    <row r="2064" spans="1:31">
      <c r="A2064" s="151">
        <v>141459</v>
      </c>
      <c r="B2064" s="151"/>
      <c r="C2064" s="151"/>
      <c r="D2064" s="151"/>
      <c r="E2064" s="151"/>
      <c r="F2064" s="151"/>
      <c r="G2064" s="151"/>
      <c r="H2064" s="151"/>
      <c r="I2064" s="151"/>
      <c r="J2064" s="152">
        <v>42621.694803240738</v>
      </c>
      <c r="K2064" s="151"/>
      <c r="L2064" s="151" t="s">
        <v>32</v>
      </c>
      <c r="M2064" s="152">
        <v>42611.700891203713</v>
      </c>
      <c r="N2064" s="151" t="s">
        <v>49</v>
      </c>
      <c r="O2064" s="151"/>
      <c r="P2064" s="151"/>
      <c r="Q2064" s="7" t="str">
        <f>IF(ISBLANK(patch[[#This Row],[OwnerEmail]]),Q2063,patch[[#This Row],[OwnerEmail]])</f>
        <v>gang.a.hu@intel.com</v>
      </c>
      <c r="R2064" s="7" t="str">
        <f>_xlfn.IFNA(VLOOKUP(patch[[#This Row],[tmp-owner.email]],OrgTree!$A:$K, 11, 0), "not ICG SWFW")</f>
        <v>BJ And dev</v>
      </c>
      <c r="S2064" s="7" t="str">
        <f>IF(patch[[#This Row],[reviewer]]=patch[[#This Row],[tmp-owner.email]], "author", _xlfn.IFNA(VLOOKUP(patch[[#This Row],[reviewer]],OrgTree!$A:$K, 11, 0), "not ICG SWFW"))</f>
        <v>author</v>
      </c>
      <c r="T2064" s="7" t="str">
        <f>IF(ISBLANK(patch[[#This Row],[mergeDate]]), "", MID(YEAR(patch[[#This Row],[mergeDate]]), 3,2)&amp;"'ww"&amp;WEEKNUM(patch[[#This Row],[mergeDate]]))</f>
        <v>16'ww37</v>
      </c>
      <c r="U2064" s="7" t="str">
        <f>IF(ISBLANK(patch[[#This Row],[mergeDate]]), U2063, MID(YEAR(patch[[#This Row],[mergeDate]]), 3,2)&amp;"'m"&amp;MONTH(patch[[#This Row],[mergeDate]]))</f>
        <v>16'm9</v>
      </c>
      <c r="V2064" s="7" t="str">
        <f>IF(ISBLANK(patch[[#This Row],[project]]), "",SUM(patch[[#This Row],[BJ -1 num]:[SH -1 num]]))</f>
        <v/>
      </c>
      <c r="W2064" s="7" t="str">
        <f>IF(ISBLANK(patch[[#This Row],[project]]), "",COUNTIFS($A:$A,patch[[#This Row],[number]],$S:$S, "BJ And dev",$AC:$AC, "Review-1"))</f>
        <v/>
      </c>
      <c r="X2064" s="7" t="str">
        <f>IF(ISBLANK(patch[[#This Row],[project]]), "",COUNTIFS($A:$A,patch[[#This Row],[number]],$S:$S, "FL And dev",$AC:$AC, "Review-1"))</f>
        <v/>
      </c>
      <c r="Y2064" s="7" t="str">
        <f>IF(ISBLANK(patch[[#This Row],[project]]), "",COUNTIFS($A:$A,patch[[#This Row],[number]],$S:$S, "SH And dev",$AC:$AC, "Review-1"))</f>
        <v/>
      </c>
      <c r="Z2064" s="7" t="str">
        <f>IF(ISBLANK(patch[[#This Row],[project]]), "",COUNTIFS($A:$A,patch[[#This Row],[number]],$S:$S, "BJ And dev",$AD:$AD, "&lt;&gt;IntegratorValidationComment"))</f>
        <v/>
      </c>
      <c r="AA2064" s="7" t="str">
        <f>IF(ISBLANK(patch[[#This Row],[project]]), "",COUNTIFS($A:$A,patch[[#This Row],[number]],$S:$S, "FL And dev",$AD:$AD, "&lt;&gt;IntegratorValidationComment"))</f>
        <v/>
      </c>
      <c r="AB2064" s="7" t="str">
        <f>IF(ISBLANK(patch[[#This Row],[project]]), "",COUNTIFS($A:$A,patch[[#This Row],[number]],$S:$S, "SH And dev",$AD:$AD, "&lt;&gt;IntegratorValidationComment"))</f>
        <v/>
      </c>
      <c r="AC2064" s="7" t="str">
        <f>IF(OR(ISNUMBER(FIND("Review-1", patch[[#This Row],[comments]])), ISNUMBER(FIND("Approver-1", patch[[#This Row],[comments]]))), "Review-1", "")</f>
        <v/>
      </c>
      <c r="AD20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64" s="7">
        <f>IF(ISBLANK(patch[[#This Row],[number]]),AE2063,patch[[#This Row],[ifCommon]])</f>
        <v>0</v>
      </c>
    </row>
    <row r="2065" spans="1:31">
      <c r="A2065" s="151">
        <v>141459</v>
      </c>
      <c r="B2065" s="151"/>
      <c r="C2065" s="151"/>
      <c r="D2065" s="151"/>
      <c r="E2065" s="151"/>
      <c r="F2065" s="151"/>
      <c r="G2065" s="151"/>
      <c r="H2065" s="151"/>
      <c r="I2065" s="151"/>
      <c r="J2065" s="152">
        <v>42621.694803240738</v>
      </c>
      <c r="K2065" s="151"/>
      <c r="L2065" s="151" t="s">
        <v>59</v>
      </c>
      <c r="M2065" s="152">
        <v>42611.70207175926</v>
      </c>
      <c r="N2065" s="151" t="s">
        <v>3610</v>
      </c>
      <c r="O2065" s="151"/>
      <c r="P2065" s="151"/>
      <c r="Q2065" s="7" t="str">
        <f>IF(ISBLANK(patch[[#This Row],[OwnerEmail]]),Q2064,patch[[#This Row],[OwnerEmail]])</f>
        <v>gang.a.hu@intel.com</v>
      </c>
      <c r="R2065" s="7" t="str">
        <f>_xlfn.IFNA(VLOOKUP(patch[[#This Row],[tmp-owner.email]],OrgTree!$A:$K, 11, 0), "not ICG SWFW")</f>
        <v>BJ And dev</v>
      </c>
      <c r="S2065" s="7" t="str">
        <f>IF(patch[[#This Row],[reviewer]]=patch[[#This Row],[tmp-owner.email]], "author", _xlfn.IFNA(VLOOKUP(patch[[#This Row],[reviewer]],OrgTree!$A:$K, 11, 0), "not ICG SWFW"))</f>
        <v>BJ And dev</v>
      </c>
      <c r="T2065" s="7" t="str">
        <f>IF(ISBLANK(patch[[#This Row],[mergeDate]]), "", MID(YEAR(patch[[#This Row],[mergeDate]]), 3,2)&amp;"'ww"&amp;WEEKNUM(patch[[#This Row],[mergeDate]]))</f>
        <v>16'ww37</v>
      </c>
      <c r="U2065" s="7" t="str">
        <f>IF(ISBLANK(patch[[#This Row],[mergeDate]]), U2064, MID(YEAR(patch[[#This Row],[mergeDate]]), 3,2)&amp;"'m"&amp;MONTH(patch[[#This Row],[mergeDate]]))</f>
        <v>16'm9</v>
      </c>
      <c r="V2065" s="7" t="str">
        <f>IF(ISBLANK(patch[[#This Row],[project]]), "",SUM(patch[[#This Row],[BJ -1 num]:[SH -1 num]]))</f>
        <v/>
      </c>
      <c r="W2065" s="7" t="str">
        <f>IF(ISBLANK(patch[[#This Row],[project]]), "",COUNTIFS($A:$A,patch[[#This Row],[number]],$S:$S, "BJ And dev",$AC:$AC, "Review-1"))</f>
        <v/>
      </c>
      <c r="X2065" s="7" t="str">
        <f>IF(ISBLANK(patch[[#This Row],[project]]), "",COUNTIFS($A:$A,patch[[#This Row],[number]],$S:$S, "FL And dev",$AC:$AC, "Review-1"))</f>
        <v/>
      </c>
      <c r="Y2065" s="7" t="str">
        <f>IF(ISBLANK(patch[[#This Row],[project]]), "",COUNTIFS($A:$A,patch[[#This Row],[number]],$S:$S, "SH And dev",$AC:$AC, "Review-1"))</f>
        <v/>
      </c>
      <c r="Z2065" s="7" t="str">
        <f>IF(ISBLANK(patch[[#This Row],[project]]), "",COUNTIFS($A:$A,patch[[#This Row],[number]],$S:$S, "BJ And dev",$AD:$AD, "&lt;&gt;IntegratorValidationComment"))</f>
        <v/>
      </c>
      <c r="AA2065" s="7" t="str">
        <f>IF(ISBLANK(patch[[#This Row],[project]]), "",COUNTIFS($A:$A,patch[[#This Row],[number]],$S:$S, "FL And dev",$AD:$AD, "&lt;&gt;IntegratorValidationComment"))</f>
        <v/>
      </c>
      <c r="AB2065" s="7" t="str">
        <f>IF(ISBLANK(patch[[#This Row],[project]]), "",COUNTIFS($A:$A,patch[[#This Row],[number]],$S:$S, "SH And dev",$AD:$AD, "&lt;&gt;IntegratorValidationComment"))</f>
        <v/>
      </c>
      <c r="AC2065" s="7" t="str">
        <f>IF(OR(ISNUMBER(FIND("Review-1", patch[[#This Row],[comments]])), ISNUMBER(FIND("Approver-1", patch[[#This Row],[comments]]))), "Review-1", "")</f>
        <v/>
      </c>
      <c r="AD20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65" s="7">
        <f>IF(ISBLANK(patch[[#This Row],[number]]),AE2064,patch[[#This Row],[ifCommon]])</f>
        <v>0</v>
      </c>
    </row>
    <row r="2066" spans="1:31">
      <c r="A2066" s="151">
        <v>141459</v>
      </c>
      <c r="B2066" s="151"/>
      <c r="C2066" s="151"/>
      <c r="D2066" s="151"/>
      <c r="E2066" s="151"/>
      <c r="F2066" s="151"/>
      <c r="G2066" s="151"/>
      <c r="H2066" s="151"/>
      <c r="I2066" s="151"/>
      <c r="J2066" s="152">
        <v>42621.694803240738</v>
      </c>
      <c r="K2066" s="151"/>
      <c r="L2066" s="151" t="s">
        <v>59</v>
      </c>
      <c r="M2066" s="152">
        <v>42611.703634259262</v>
      </c>
      <c r="N2066" s="151" t="s">
        <v>3611</v>
      </c>
      <c r="O2066" s="151"/>
      <c r="P2066" s="151"/>
      <c r="Q2066" s="7" t="str">
        <f>IF(ISBLANK(patch[[#This Row],[OwnerEmail]]),Q2065,patch[[#This Row],[OwnerEmail]])</f>
        <v>gang.a.hu@intel.com</v>
      </c>
      <c r="R2066" s="7" t="str">
        <f>_xlfn.IFNA(VLOOKUP(patch[[#This Row],[tmp-owner.email]],OrgTree!$A:$K, 11, 0), "not ICG SWFW")</f>
        <v>BJ And dev</v>
      </c>
      <c r="S2066" s="7" t="str">
        <f>IF(patch[[#This Row],[reviewer]]=patch[[#This Row],[tmp-owner.email]], "author", _xlfn.IFNA(VLOOKUP(patch[[#This Row],[reviewer]],OrgTree!$A:$K, 11, 0), "not ICG SWFW"))</f>
        <v>BJ And dev</v>
      </c>
      <c r="T2066" s="7" t="str">
        <f>IF(ISBLANK(patch[[#This Row],[mergeDate]]), "", MID(YEAR(patch[[#This Row],[mergeDate]]), 3,2)&amp;"'ww"&amp;WEEKNUM(patch[[#This Row],[mergeDate]]))</f>
        <v>16'ww37</v>
      </c>
      <c r="U2066" s="7" t="str">
        <f>IF(ISBLANK(patch[[#This Row],[mergeDate]]), U2065, MID(YEAR(patch[[#This Row],[mergeDate]]), 3,2)&amp;"'m"&amp;MONTH(patch[[#This Row],[mergeDate]]))</f>
        <v>16'm9</v>
      </c>
      <c r="V2066" s="7" t="str">
        <f>IF(ISBLANK(patch[[#This Row],[project]]), "",SUM(patch[[#This Row],[BJ -1 num]:[SH -1 num]]))</f>
        <v/>
      </c>
      <c r="W2066" s="7" t="str">
        <f>IF(ISBLANK(patch[[#This Row],[project]]), "",COUNTIFS($A:$A,patch[[#This Row],[number]],$S:$S, "BJ And dev",$AC:$AC, "Review-1"))</f>
        <v/>
      </c>
      <c r="X2066" s="7" t="str">
        <f>IF(ISBLANK(patch[[#This Row],[project]]), "",COUNTIFS($A:$A,patch[[#This Row],[number]],$S:$S, "FL And dev",$AC:$AC, "Review-1"))</f>
        <v/>
      </c>
      <c r="Y2066" s="7" t="str">
        <f>IF(ISBLANK(patch[[#This Row],[project]]), "",COUNTIFS($A:$A,patch[[#This Row],[number]],$S:$S, "SH And dev",$AC:$AC, "Review-1"))</f>
        <v/>
      </c>
      <c r="Z2066" s="7" t="str">
        <f>IF(ISBLANK(patch[[#This Row],[project]]), "",COUNTIFS($A:$A,patch[[#This Row],[number]],$S:$S, "BJ And dev",$AD:$AD, "&lt;&gt;IntegratorValidationComment"))</f>
        <v/>
      </c>
      <c r="AA2066" s="7" t="str">
        <f>IF(ISBLANK(patch[[#This Row],[project]]), "",COUNTIFS($A:$A,patch[[#This Row],[number]],$S:$S, "FL And dev",$AD:$AD, "&lt;&gt;IntegratorValidationComment"))</f>
        <v/>
      </c>
      <c r="AB2066" s="7" t="str">
        <f>IF(ISBLANK(patch[[#This Row],[project]]), "",COUNTIFS($A:$A,patch[[#This Row],[number]],$S:$S, "SH And dev",$AD:$AD, "&lt;&gt;IntegratorValidationComment"))</f>
        <v/>
      </c>
      <c r="AC2066" s="7" t="str">
        <f>IF(OR(ISNUMBER(FIND("Review-1", patch[[#This Row],[comments]])), ISNUMBER(FIND("Approver-1", patch[[#This Row],[comments]]))), "Review-1", "")</f>
        <v/>
      </c>
      <c r="AD20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66" s="7">
        <f>IF(ISBLANK(patch[[#This Row],[number]]),AE2065,patch[[#This Row],[ifCommon]])</f>
        <v>0</v>
      </c>
    </row>
    <row r="2067" spans="1:31">
      <c r="A2067" s="151">
        <v>141459</v>
      </c>
      <c r="B2067" s="151"/>
      <c r="C2067" s="151"/>
      <c r="D2067" s="151"/>
      <c r="E2067" s="151"/>
      <c r="F2067" s="151"/>
      <c r="G2067" s="151"/>
      <c r="H2067" s="151"/>
      <c r="I2067" s="151"/>
      <c r="J2067" s="152">
        <v>42621.694803240738</v>
      </c>
      <c r="K2067" s="151"/>
      <c r="L2067" s="151" t="s">
        <v>59</v>
      </c>
      <c r="M2067" s="152">
        <v>42613.756018518521</v>
      </c>
      <c r="N2067" s="151" t="s">
        <v>3612</v>
      </c>
      <c r="O2067" s="151"/>
      <c r="P2067" s="151"/>
      <c r="Q2067" s="7" t="str">
        <f>IF(ISBLANK(patch[[#This Row],[OwnerEmail]]),Q2066,patch[[#This Row],[OwnerEmail]])</f>
        <v>gang.a.hu@intel.com</v>
      </c>
      <c r="R2067" s="7" t="str">
        <f>_xlfn.IFNA(VLOOKUP(patch[[#This Row],[tmp-owner.email]],OrgTree!$A:$K, 11, 0), "not ICG SWFW")</f>
        <v>BJ And dev</v>
      </c>
      <c r="S2067" s="7" t="str">
        <f>IF(patch[[#This Row],[reviewer]]=patch[[#This Row],[tmp-owner.email]], "author", _xlfn.IFNA(VLOOKUP(patch[[#This Row],[reviewer]],OrgTree!$A:$K, 11, 0), "not ICG SWFW"))</f>
        <v>BJ And dev</v>
      </c>
      <c r="T2067" s="7" t="str">
        <f>IF(ISBLANK(patch[[#This Row],[mergeDate]]), "", MID(YEAR(patch[[#This Row],[mergeDate]]), 3,2)&amp;"'ww"&amp;WEEKNUM(patch[[#This Row],[mergeDate]]))</f>
        <v>16'ww37</v>
      </c>
      <c r="U2067" s="7" t="str">
        <f>IF(ISBLANK(patch[[#This Row],[mergeDate]]), U2066, MID(YEAR(patch[[#This Row],[mergeDate]]), 3,2)&amp;"'m"&amp;MONTH(patch[[#This Row],[mergeDate]]))</f>
        <v>16'm9</v>
      </c>
      <c r="V2067" s="7" t="str">
        <f>IF(ISBLANK(patch[[#This Row],[project]]), "",SUM(patch[[#This Row],[BJ -1 num]:[SH -1 num]]))</f>
        <v/>
      </c>
      <c r="W2067" s="7" t="str">
        <f>IF(ISBLANK(patch[[#This Row],[project]]), "",COUNTIFS($A:$A,patch[[#This Row],[number]],$S:$S, "BJ And dev",$AC:$AC, "Review-1"))</f>
        <v/>
      </c>
      <c r="X2067" s="7" t="str">
        <f>IF(ISBLANK(patch[[#This Row],[project]]), "",COUNTIFS($A:$A,patch[[#This Row],[number]],$S:$S, "FL And dev",$AC:$AC, "Review-1"))</f>
        <v/>
      </c>
      <c r="Y2067" s="7" t="str">
        <f>IF(ISBLANK(patch[[#This Row],[project]]), "",COUNTIFS($A:$A,patch[[#This Row],[number]],$S:$S, "SH And dev",$AC:$AC, "Review-1"))</f>
        <v/>
      </c>
      <c r="Z2067" s="7" t="str">
        <f>IF(ISBLANK(patch[[#This Row],[project]]), "",COUNTIFS($A:$A,patch[[#This Row],[number]],$S:$S, "BJ And dev",$AD:$AD, "&lt;&gt;IntegratorValidationComment"))</f>
        <v/>
      </c>
      <c r="AA2067" s="7" t="str">
        <f>IF(ISBLANK(patch[[#This Row],[project]]), "",COUNTIFS($A:$A,patch[[#This Row],[number]],$S:$S, "FL And dev",$AD:$AD, "&lt;&gt;IntegratorValidationComment"))</f>
        <v/>
      </c>
      <c r="AB2067" s="7" t="str">
        <f>IF(ISBLANK(patch[[#This Row],[project]]), "",COUNTIFS($A:$A,patch[[#This Row],[number]],$S:$S, "SH And dev",$AD:$AD, "&lt;&gt;IntegratorValidationComment"))</f>
        <v/>
      </c>
      <c r="AC2067" s="7" t="str">
        <f>IF(OR(ISNUMBER(FIND("Review-1", patch[[#This Row],[comments]])), ISNUMBER(FIND("Approver-1", patch[[#This Row],[comments]]))), "Review-1", "")</f>
        <v/>
      </c>
      <c r="AD20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67" s="7">
        <f>IF(ISBLANK(patch[[#This Row],[number]]),AE2066,patch[[#This Row],[ifCommon]])</f>
        <v>0</v>
      </c>
    </row>
    <row r="2068" spans="1:31">
      <c r="A2068" s="151">
        <v>141459</v>
      </c>
      <c r="B2068" s="151"/>
      <c r="C2068" s="151"/>
      <c r="D2068" s="151"/>
      <c r="E2068" s="151"/>
      <c r="F2068" s="151"/>
      <c r="G2068" s="151"/>
      <c r="H2068" s="151"/>
      <c r="I2068" s="151"/>
      <c r="J2068" s="152">
        <v>42621.694803240738</v>
      </c>
      <c r="K2068" s="151"/>
      <c r="L2068" s="151" t="s">
        <v>32</v>
      </c>
      <c r="M2068" s="152">
        <v>42613.785555555558</v>
      </c>
      <c r="N2068" s="151" t="s">
        <v>2453</v>
      </c>
      <c r="O2068" s="151"/>
      <c r="P2068" s="151"/>
      <c r="Q2068" s="7" t="str">
        <f>IF(ISBLANK(patch[[#This Row],[OwnerEmail]]),Q2067,patch[[#This Row],[OwnerEmail]])</f>
        <v>gang.a.hu@intel.com</v>
      </c>
      <c r="R2068" s="7" t="str">
        <f>_xlfn.IFNA(VLOOKUP(patch[[#This Row],[tmp-owner.email]],OrgTree!$A:$K, 11, 0), "not ICG SWFW")</f>
        <v>BJ And dev</v>
      </c>
      <c r="S2068" s="7" t="str">
        <f>IF(patch[[#This Row],[reviewer]]=patch[[#This Row],[tmp-owner.email]], "author", _xlfn.IFNA(VLOOKUP(patch[[#This Row],[reviewer]],OrgTree!$A:$K, 11, 0), "not ICG SWFW"))</f>
        <v>author</v>
      </c>
      <c r="T2068" s="7" t="str">
        <f>IF(ISBLANK(patch[[#This Row],[mergeDate]]), "", MID(YEAR(patch[[#This Row],[mergeDate]]), 3,2)&amp;"'ww"&amp;WEEKNUM(patch[[#This Row],[mergeDate]]))</f>
        <v>16'ww37</v>
      </c>
      <c r="U2068" s="7" t="str">
        <f>IF(ISBLANK(patch[[#This Row],[mergeDate]]), U2067, MID(YEAR(patch[[#This Row],[mergeDate]]), 3,2)&amp;"'m"&amp;MONTH(patch[[#This Row],[mergeDate]]))</f>
        <v>16'm9</v>
      </c>
      <c r="V2068" s="7" t="str">
        <f>IF(ISBLANK(patch[[#This Row],[project]]), "",SUM(patch[[#This Row],[BJ -1 num]:[SH -1 num]]))</f>
        <v/>
      </c>
      <c r="W2068" s="7" t="str">
        <f>IF(ISBLANK(patch[[#This Row],[project]]), "",COUNTIFS($A:$A,patch[[#This Row],[number]],$S:$S, "BJ And dev",$AC:$AC, "Review-1"))</f>
        <v/>
      </c>
      <c r="X2068" s="7" t="str">
        <f>IF(ISBLANK(patch[[#This Row],[project]]), "",COUNTIFS($A:$A,patch[[#This Row],[number]],$S:$S, "FL And dev",$AC:$AC, "Review-1"))</f>
        <v/>
      </c>
      <c r="Y2068" s="7" t="str">
        <f>IF(ISBLANK(patch[[#This Row],[project]]), "",COUNTIFS($A:$A,patch[[#This Row],[number]],$S:$S, "SH And dev",$AC:$AC, "Review-1"))</f>
        <v/>
      </c>
      <c r="Z2068" s="7" t="str">
        <f>IF(ISBLANK(patch[[#This Row],[project]]), "",COUNTIFS($A:$A,patch[[#This Row],[number]],$S:$S, "BJ And dev",$AD:$AD, "&lt;&gt;IntegratorValidationComment"))</f>
        <v/>
      </c>
      <c r="AA2068" s="7" t="str">
        <f>IF(ISBLANK(patch[[#This Row],[project]]), "",COUNTIFS($A:$A,patch[[#This Row],[number]],$S:$S, "FL And dev",$AD:$AD, "&lt;&gt;IntegratorValidationComment"))</f>
        <v/>
      </c>
      <c r="AB2068" s="7" t="str">
        <f>IF(ISBLANK(patch[[#This Row],[project]]), "",COUNTIFS($A:$A,patch[[#This Row],[number]],$S:$S, "SH And dev",$AD:$AD, "&lt;&gt;IntegratorValidationComment"))</f>
        <v/>
      </c>
      <c r="AC2068" s="7" t="str">
        <f>IF(OR(ISNUMBER(FIND("Review-1", patch[[#This Row],[comments]])), ISNUMBER(FIND("Approver-1", patch[[#This Row],[comments]]))), "Review-1", "")</f>
        <v/>
      </c>
      <c r="AD20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68" s="7">
        <f>IF(ISBLANK(patch[[#This Row],[number]]),AE2067,patch[[#This Row],[ifCommon]])</f>
        <v>0</v>
      </c>
    </row>
    <row r="2069" spans="1:31">
      <c r="A2069" s="151">
        <v>141459</v>
      </c>
      <c r="B2069" s="151"/>
      <c r="C2069" s="151"/>
      <c r="D2069" s="151"/>
      <c r="E2069" s="151"/>
      <c r="F2069" s="151"/>
      <c r="G2069" s="151"/>
      <c r="H2069" s="151"/>
      <c r="I2069" s="152"/>
      <c r="J2069" s="152">
        <v>42621.694803240738</v>
      </c>
      <c r="K2069" s="151"/>
      <c r="L2069" s="151" t="s">
        <v>32</v>
      </c>
      <c r="M2069" s="152">
        <v>42613.785555555558</v>
      </c>
      <c r="N2069" s="151" t="s">
        <v>1836</v>
      </c>
      <c r="O2069" s="151"/>
      <c r="P2069" s="151"/>
      <c r="Q2069" s="7" t="str">
        <f>IF(ISBLANK(patch[[#This Row],[OwnerEmail]]),Q2068,patch[[#This Row],[OwnerEmail]])</f>
        <v>gang.a.hu@intel.com</v>
      </c>
      <c r="R2069" s="7" t="str">
        <f>_xlfn.IFNA(VLOOKUP(patch[[#This Row],[tmp-owner.email]],OrgTree!$A:$K, 11, 0), "not ICG SWFW")</f>
        <v>BJ And dev</v>
      </c>
      <c r="S2069" s="7" t="str">
        <f>IF(patch[[#This Row],[reviewer]]=patch[[#This Row],[tmp-owner.email]], "author", _xlfn.IFNA(VLOOKUP(patch[[#This Row],[reviewer]],OrgTree!$A:$K, 11, 0), "not ICG SWFW"))</f>
        <v>author</v>
      </c>
      <c r="T2069" s="7" t="str">
        <f>IF(ISBLANK(patch[[#This Row],[mergeDate]]), "", MID(YEAR(patch[[#This Row],[mergeDate]]), 3,2)&amp;"'ww"&amp;WEEKNUM(patch[[#This Row],[mergeDate]]))</f>
        <v>16'ww37</v>
      </c>
      <c r="U2069" s="7" t="str">
        <f>IF(ISBLANK(patch[[#This Row],[mergeDate]]), U2068, MID(YEAR(patch[[#This Row],[mergeDate]]), 3,2)&amp;"'m"&amp;MONTH(patch[[#This Row],[mergeDate]]))</f>
        <v>16'm9</v>
      </c>
      <c r="V2069" s="7" t="str">
        <f>IF(ISBLANK(patch[[#This Row],[project]]), "",SUM(patch[[#This Row],[BJ -1 num]:[SH -1 num]]))</f>
        <v/>
      </c>
      <c r="W2069" s="7" t="str">
        <f>IF(ISBLANK(patch[[#This Row],[project]]), "",COUNTIFS($A:$A,patch[[#This Row],[number]],$S:$S, "BJ And dev",$AC:$AC, "Review-1"))</f>
        <v/>
      </c>
      <c r="X2069" s="7" t="str">
        <f>IF(ISBLANK(patch[[#This Row],[project]]), "",COUNTIFS($A:$A,patch[[#This Row],[number]],$S:$S, "FL And dev",$AC:$AC, "Review-1"))</f>
        <v/>
      </c>
      <c r="Y2069" s="7" t="str">
        <f>IF(ISBLANK(patch[[#This Row],[project]]), "",COUNTIFS($A:$A,patch[[#This Row],[number]],$S:$S, "SH And dev",$AC:$AC, "Review-1"))</f>
        <v/>
      </c>
      <c r="Z2069" s="7" t="str">
        <f>IF(ISBLANK(patch[[#This Row],[project]]), "",COUNTIFS($A:$A,patch[[#This Row],[number]],$S:$S, "BJ And dev",$AD:$AD, "&lt;&gt;IntegratorValidationComment"))</f>
        <v/>
      </c>
      <c r="AA2069" s="7" t="str">
        <f>IF(ISBLANK(patch[[#This Row],[project]]), "",COUNTIFS($A:$A,patch[[#This Row],[number]],$S:$S, "FL And dev",$AD:$AD, "&lt;&gt;IntegratorValidationComment"))</f>
        <v/>
      </c>
      <c r="AB2069" s="7" t="str">
        <f>IF(ISBLANK(patch[[#This Row],[project]]), "",COUNTIFS($A:$A,patch[[#This Row],[number]],$S:$S, "SH And dev",$AD:$AD, "&lt;&gt;IntegratorValidationComment"))</f>
        <v/>
      </c>
      <c r="AC2069" s="7" t="str">
        <f>IF(OR(ISNUMBER(FIND("Review-1", patch[[#This Row],[comments]])), ISNUMBER(FIND("Approver-1", patch[[#This Row],[comments]]))), "Review-1", "")</f>
        <v/>
      </c>
      <c r="AD20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69" s="7">
        <f>IF(ISBLANK(patch[[#This Row],[number]]),AE2068,patch[[#This Row],[ifCommon]])</f>
        <v>0</v>
      </c>
    </row>
    <row r="2070" spans="1:31">
      <c r="A2070" s="151">
        <v>141459</v>
      </c>
      <c r="B2070" s="151"/>
      <c r="C2070" s="151"/>
      <c r="D2070" s="151"/>
      <c r="E2070" s="151"/>
      <c r="F2070" s="151"/>
      <c r="G2070" s="151"/>
      <c r="H2070" s="151"/>
      <c r="I2070" s="151"/>
      <c r="J2070" s="152">
        <v>42621.694803240738</v>
      </c>
      <c r="K2070" s="151"/>
      <c r="L2070" s="151" t="s">
        <v>59</v>
      </c>
      <c r="M2070" s="152">
        <v>42613.792986111112</v>
      </c>
      <c r="N2070" s="151" t="s">
        <v>3613</v>
      </c>
      <c r="O2070" s="151"/>
      <c r="P2070" s="151"/>
      <c r="Q2070" s="7" t="str">
        <f>IF(ISBLANK(patch[[#This Row],[OwnerEmail]]),Q2069,patch[[#This Row],[OwnerEmail]])</f>
        <v>gang.a.hu@intel.com</v>
      </c>
      <c r="R2070" s="7" t="str">
        <f>_xlfn.IFNA(VLOOKUP(patch[[#This Row],[tmp-owner.email]],OrgTree!$A:$K, 11, 0), "not ICG SWFW")</f>
        <v>BJ And dev</v>
      </c>
      <c r="S2070" s="7" t="str">
        <f>IF(patch[[#This Row],[reviewer]]=patch[[#This Row],[tmp-owner.email]], "author", _xlfn.IFNA(VLOOKUP(patch[[#This Row],[reviewer]],OrgTree!$A:$K, 11, 0), "not ICG SWFW"))</f>
        <v>BJ And dev</v>
      </c>
      <c r="T2070" s="7" t="str">
        <f>IF(ISBLANK(patch[[#This Row],[mergeDate]]), "", MID(YEAR(patch[[#This Row],[mergeDate]]), 3,2)&amp;"'ww"&amp;WEEKNUM(patch[[#This Row],[mergeDate]]))</f>
        <v>16'ww37</v>
      </c>
      <c r="U2070" s="7" t="str">
        <f>IF(ISBLANK(patch[[#This Row],[mergeDate]]), U2069, MID(YEAR(patch[[#This Row],[mergeDate]]), 3,2)&amp;"'m"&amp;MONTH(patch[[#This Row],[mergeDate]]))</f>
        <v>16'm9</v>
      </c>
      <c r="V2070" s="7" t="str">
        <f>IF(ISBLANK(patch[[#This Row],[project]]), "",SUM(patch[[#This Row],[BJ -1 num]:[SH -1 num]]))</f>
        <v/>
      </c>
      <c r="W2070" s="7" t="str">
        <f>IF(ISBLANK(patch[[#This Row],[project]]), "",COUNTIFS($A:$A,patch[[#This Row],[number]],$S:$S, "BJ And dev",$AC:$AC, "Review-1"))</f>
        <v/>
      </c>
      <c r="X2070" s="7" t="str">
        <f>IF(ISBLANK(patch[[#This Row],[project]]), "",COUNTIFS($A:$A,patch[[#This Row],[number]],$S:$S, "FL And dev",$AC:$AC, "Review-1"))</f>
        <v/>
      </c>
      <c r="Y2070" s="7" t="str">
        <f>IF(ISBLANK(patch[[#This Row],[project]]), "",COUNTIFS($A:$A,patch[[#This Row],[number]],$S:$S, "SH And dev",$AC:$AC, "Review-1"))</f>
        <v/>
      </c>
      <c r="Z2070" s="7" t="str">
        <f>IF(ISBLANK(patch[[#This Row],[project]]), "",COUNTIFS($A:$A,patch[[#This Row],[number]],$S:$S, "BJ And dev",$AD:$AD, "&lt;&gt;IntegratorValidationComment"))</f>
        <v/>
      </c>
      <c r="AA2070" s="7" t="str">
        <f>IF(ISBLANK(patch[[#This Row],[project]]), "",COUNTIFS($A:$A,patch[[#This Row],[number]],$S:$S, "FL And dev",$AD:$AD, "&lt;&gt;IntegratorValidationComment"))</f>
        <v/>
      </c>
      <c r="AB2070" s="7" t="str">
        <f>IF(ISBLANK(patch[[#This Row],[project]]), "",COUNTIFS($A:$A,patch[[#This Row],[number]],$S:$S, "SH And dev",$AD:$AD, "&lt;&gt;IntegratorValidationComment"))</f>
        <v/>
      </c>
      <c r="AC2070" s="7" t="str">
        <f>IF(OR(ISNUMBER(FIND("Review-1", patch[[#This Row],[comments]])), ISNUMBER(FIND("Approver-1", patch[[#This Row],[comments]]))), "Review-1", "")</f>
        <v/>
      </c>
      <c r="AD20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70" s="7">
        <f>IF(ISBLANK(patch[[#This Row],[number]]),AE2069,patch[[#This Row],[ifCommon]])</f>
        <v>0</v>
      </c>
    </row>
    <row r="2071" spans="1:31">
      <c r="A2071" s="151">
        <v>141459</v>
      </c>
      <c r="B2071" s="151"/>
      <c r="C2071" s="151"/>
      <c r="D2071" s="151"/>
      <c r="E2071" s="151"/>
      <c r="F2071" s="151"/>
      <c r="G2071" s="151"/>
      <c r="H2071" s="151"/>
      <c r="I2071" s="151"/>
      <c r="J2071" s="152">
        <v>42621.694803240738</v>
      </c>
      <c r="K2071" s="151"/>
      <c r="L2071" s="151" t="s">
        <v>59</v>
      </c>
      <c r="M2071" s="152">
        <v>42613.79582175926</v>
      </c>
      <c r="N2071" s="151" t="s">
        <v>3614</v>
      </c>
      <c r="O2071" s="151"/>
      <c r="P2071" s="151"/>
      <c r="Q2071" s="7" t="str">
        <f>IF(ISBLANK(patch[[#This Row],[OwnerEmail]]),Q2070,patch[[#This Row],[OwnerEmail]])</f>
        <v>gang.a.hu@intel.com</v>
      </c>
      <c r="R2071" s="7" t="str">
        <f>_xlfn.IFNA(VLOOKUP(patch[[#This Row],[tmp-owner.email]],OrgTree!$A:$K, 11, 0), "not ICG SWFW")</f>
        <v>BJ And dev</v>
      </c>
      <c r="S2071" s="7" t="str">
        <f>IF(patch[[#This Row],[reviewer]]=patch[[#This Row],[tmp-owner.email]], "author", _xlfn.IFNA(VLOOKUP(patch[[#This Row],[reviewer]],OrgTree!$A:$K, 11, 0), "not ICG SWFW"))</f>
        <v>BJ And dev</v>
      </c>
      <c r="T2071" s="7" t="str">
        <f>IF(ISBLANK(patch[[#This Row],[mergeDate]]), "", MID(YEAR(patch[[#This Row],[mergeDate]]), 3,2)&amp;"'ww"&amp;WEEKNUM(patch[[#This Row],[mergeDate]]))</f>
        <v>16'ww37</v>
      </c>
      <c r="U2071" s="7" t="str">
        <f>IF(ISBLANK(patch[[#This Row],[mergeDate]]), U2070, MID(YEAR(patch[[#This Row],[mergeDate]]), 3,2)&amp;"'m"&amp;MONTH(patch[[#This Row],[mergeDate]]))</f>
        <v>16'm9</v>
      </c>
      <c r="V2071" s="7" t="str">
        <f>IF(ISBLANK(patch[[#This Row],[project]]), "",SUM(patch[[#This Row],[BJ -1 num]:[SH -1 num]]))</f>
        <v/>
      </c>
      <c r="W2071" s="7" t="str">
        <f>IF(ISBLANK(patch[[#This Row],[project]]), "",COUNTIFS($A:$A,patch[[#This Row],[number]],$S:$S, "BJ And dev",$AC:$AC, "Review-1"))</f>
        <v/>
      </c>
      <c r="X2071" s="7" t="str">
        <f>IF(ISBLANK(patch[[#This Row],[project]]), "",COUNTIFS($A:$A,patch[[#This Row],[number]],$S:$S, "FL And dev",$AC:$AC, "Review-1"))</f>
        <v/>
      </c>
      <c r="Y2071" s="7" t="str">
        <f>IF(ISBLANK(patch[[#This Row],[project]]), "",COUNTIFS($A:$A,patch[[#This Row],[number]],$S:$S, "SH And dev",$AC:$AC, "Review-1"))</f>
        <v/>
      </c>
      <c r="Z2071" s="7" t="str">
        <f>IF(ISBLANK(patch[[#This Row],[project]]), "",COUNTIFS($A:$A,patch[[#This Row],[number]],$S:$S, "BJ And dev",$AD:$AD, "&lt;&gt;IntegratorValidationComment"))</f>
        <v/>
      </c>
      <c r="AA2071" s="7" t="str">
        <f>IF(ISBLANK(patch[[#This Row],[project]]), "",COUNTIFS($A:$A,patch[[#This Row],[number]],$S:$S, "FL And dev",$AD:$AD, "&lt;&gt;IntegratorValidationComment"))</f>
        <v/>
      </c>
      <c r="AB2071" s="7" t="str">
        <f>IF(ISBLANK(patch[[#This Row],[project]]), "",COUNTIFS($A:$A,patch[[#This Row],[number]],$S:$S, "SH And dev",$AD:$AD, "&lt;&gt;IntegratorValidationComment"))</f>
        <v/>
      </c>
      <c r="AC2071" s="7" t="str">
        <f>IF(OR(ISNUMBER(FIND("Review-1", patch[[#This Row],[comments]])), ISNUMBER(FIND("Approver-1", patch[[#This Row],[comments]]))), "Review-1", "")</f>
        <v/>
      </c>
      <c r="AD20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71" s="7">
        <f>IF(ISBLANK(patch[[#This Row],[number]]),AE2070,patch[[#This Row],[ifCommon]])</f>
        <v>0</v>
      </c>
    </row>
    <row r="2072" spans="1:31">
      <c r="A2072" s="151">
        <v>141459</v>
      </c>
      <c r="B2072" s="151"/>
      <c r="C2072" s="151"/>
      <c r="D2072" s="151"/>
      <c r="E2072" s="151"/>
      <c r="F2072" s="151"/>
      <c r="G2072" s="151"/>
      <c r="H2072" s="151"/>
      <c r="I2072" s="151"/>
      <c r="J2072" s="152">
        <v>42621.694803240738</v>
      </c>
      <c r="K2072" s="151"/>
      <c r="L2072" s="151" t="s">
        <v>32</v>
      </c>
      <c r="M2072" s="152">
        <v>42614.859583333331</v>
      </c>
      <c r="N2072" s="151" t="s">
        <v>2512</v>
      </c>
      <c r="O2072" s="151"/>
      <c r="P2072" s="151"/>
      <c r="Q2072" s="7" t="str">
        <f>IF(ISBLANK(patch[[#This Row],[OwnerEmail]]),Q2071,patch[[#This Row],[OwnerEmail]])</f>
        <v>gang.a.hu@intel.com</v>
      </c>
      <c r="R2072" s="7" t="str">
        <f>_xlfn.IFNA(VLOOKUP(patch[[#This Row],[tmp-owner.email]],OrgTree!$A:$K, 11, 0), "not ICG SWFW")</f>
        <v>BJ And dev</v>
      </c>
      <c r="S2072" s="7" t="str">
        <f>IF(patch[[#This Row],[reviewer]]=patch[[#This Row],[tmp-owner.email]], "author", _xlfn.IFNA(VLOOKUP(patch[[#This Row],[reviewer]],OrgTree!$A:$K, 11, 0), "not ICG SWFW"))</f>
        <v>author</v>
      </c>
      <c r="T2072" s="7" t="str">
        <f>IF(ISBLANK(patch[[#This Row],[mergeDate]]), "", MID(YEAR(patch[[#This Row],[mergeDate]]), 3,2)&amp;"'ww"&amp;WEEKNUM(patch[[#This Row],[mergeDate]]))</f>
        <v>16'ww37</v>
      </c>
      <c r="U2072" s="7" t="str">
        <f>IF(ISBLANK(patch[[#This Row],[mergeDate]]), U2071, MID(YEAR(patch[[#This Row],[mergeDate]]), 3,2)&amp;"'m"&amp;MONTH(patch[[#This Row],[mergeDate]]))</f>
        <v>16'm9</v>
      </c>
      <c r="V2072" s="7" t="str">
        <f>IF(ISBLANK(patch[[#This Row],[project]]), "",SUM(patch[[#This Row],[BJ -1 num]:[SH -1 num]]))</f>
        <v/>
      </c>
      <c r="W2072" s="7" t="str">
        <f>IF(ISBLANK(patch[[#This Row],[project]]), "",COUNTIFS($A:$A,patch[[#This Row],[number]],$S:$S, "BJ And dev",$AC:$AC, "Review-1"))</f>
        <v/>
      </c>
      <c r="X2072" s="7" t="str">
        <f>IF(ISBLANK(patch[[#This Row],[project]]), "",COUNTIFS($A:$A,patch[[#This Row],[number]],$S:$S, "FL And dev",$AC:$AC, "Review-1"))</f>
        <v/>
      </c>
      <c r="Y2072" s="7" t="str">
        <f>IF(ISBLANK(patch[[#This Row],[project]]), "",COUNTIFS($A:$A,patch[[#This Row],[number]],$S:$S, "SH And dev",$AC:$AC, "Review-1"))</f>
        <v/>
      </c>
      <c r="Z2072" s="7" t="str">
        <f>IF(ISBLANK(patch[[#This Row],[project]]), "",COUNTIFS($A:$A,patch[[#This Row],[number]],$S:$S, "BJ And dev",$AD:$AD, "&lt;&gt;IntegratorValidationComment"))</f>
        <v/>
      </c>
      <c r="AA2072" s="7" t="str">
        <f>IF(ISBLANK(patch[[#This Row],[project]]), "",COUNTIFS($A:$A,patch[[#This Row],[number]],$S:$S, "FL And dev",$AD:$AD, "&lt;&gt;IntegratorValidationComment"))</f>
        <v/>
      </c>
      <c r="AB2072" s="7" t="str">
        <f>IF(ISBLANK(patch[[#This Row],[project]]), "",COUNTIFS($A:$A,patch[[#This Row],[number]],$S:$S, "SH And dev",$AD:$AD, "&lt;&gt;IntegratorValidationComment"))</f>
        <v/>
      </c>
      <c r="AC2072" s="7" t="str">
        <f>IF(OR(ISNUMBER(FIND("Review-1", patch[[#This Row],[comments]])), ISNUMBER(FIND("Approver-1", patch[[#This Row],[comments]]))), "Review-1", "")</f>
        <v/>
      </c>
      <c r="AD20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72" s="7">
        <f>IF(ISBLANK(patch[[#This Row],[number]]),AE2071,patch[[#This Row],[ifCommon]])</f>
        <v>0</v>
      </c>
    </row>
    <row r="2073" spans="1:31">
      <c r="A2073" s="151">
        <v>141459</v>
      </c>
      <c r="B2073" s="151"/>
      <c r="C2073" s="151"/>
      <c r="D2073" s="151"/>
      <c r="E2073" s="151"/>
      <c r="F2073" s="151"/>
      <c r="G2073" s="151"/>
      <c r="H2073" s="151"/>
      <c r="I2073" s="151"/>
      <c r="J2073" s="152">
        <v>42621.694803240738</v>
      </c>
      <c r="K2073" s="151"/>
      <c r="L2073" s="151" t="s">
        <v>32</v>
      </c>
      <c r="M2073" s="152">
        <v>42614.859583333331</v>
      </c>
      <c r="N2073" s="151" t="s">
        <v>2465</v>
      </c>
      <c r="O2073" s="151"/>
      <c r="P2073" s="151"/>
      <c r="Q2073" s="7" t="str">
        <f>IF(ISBLANK(patch[[#This Row],[OwnerEmail]]),Q2072,patch[[#This Row],[OwnerEmail]])</f>
        <v>gang.a.hu@intel.com</v>
      </c>
      <c r="R2073" s="7" t="str">
        <f>_xlfn.IFNA(VLOOKUP(patch[[#This Row],[tmp-owner.email]],OrgTree!$A:$K, 11, 0), "not ICG SWFW")</f>
        <v>BJ And dev</v>
      </c>
      <c r="S2073" s="7" t="str">
        <f>IF(patch[[#This Row],[reviewer]]=patch[[#This Row],[tmp-owner.email]], "author", _xlfn.IFNA(VLOOKUP(patch[[#This Row],[reviewer]],OrgTree!$A:$K, 11, 0), "not ICG SWFW"))</f>
        <v>author</v>
      </c>
      <c r="T2073" s="7" t="str">
        <f>IF(ISBLANK(patch[[#This Row],[mergeDate]]), "", MID(YEAR(patch[[#This Row],[mergeDate]]), 3,2)&amp;"'ww"&amp;WEEKNUM(patch[[#This Row],[mergeDate]]))</f>
        <v>16'ww37</v>
      </c>
      <c r="U2073" s="7" t="str">
        <f>IF(ISBLANK(patch[[#This Row],[mergeDate]]), U2072, MID(YEAR(patch[[#This Row],[mergeDate]]), 3,2)&amp;"'m"&amp;MONTH(patch[[#This Row],[mergeDate]]))</f>
        <v>16'm9</v>
      </c>
      <c r="V2073" s="7" t="str">
        <f>IF(ISBLANK(patch[[#This Row],[project]]), "",SUM(patch[[#This Row],[BJ -1 num]:[SH -1 num]]))</f>
        <v/>
      </c>
      <c r="W2073" s="7" t="str">
        <f>IF(ISBLANK(patch[[#This Row],[project]]), "",COUNTIFS($A:$A,patch[[#This Row],[number]],$S:$S, "BJ And dev",$AC:$AC, "Review-1"))</f>
        <v/>
      </c>
      <c r="X2073" s="7" t="str">
        <f>IF(ISBLANK(patch[[#This Row],[project]]), "",COUNTIFS($A:$A,patch[[#This Row],[number]],$S:$S, "FL And dev",$AC:$AC, "Review-1"))</f>
        <v/>
      </c>
      <c r="Y2073" s="7" t="str">
        <f>IF(ISBLANK(patch[[#This Row],[project]]), "",COUNTIFS($A:$A,patch[[#This Row],[number]],$S:$S, "SH And dev",$AC:$AC, "Review-1"))</f>
        <v/>
      </c>
      <c r="Z2073" s="7" t="str">
        <f>IF(ISBLANK(patch[[#This Row],[project]]), "",COUNTIFS($A:$A,patch[[#This Row],[number]],$S:$S, "BJ And dev",$AD:$AD, "&lt;&gt;IntegratorValidationComment"))</f>
        <v/>
      </c>
      <c r="AA2073" s="7" t="str">
        <f>IF(ISBLANK(patch[[#This Row],[project]]), "",COUNTIFS($A:$A,patch[[#This Row],[number]],$S:$S, "FL And dev",$AD:$AD, "&lt;&gt;IntegratorValidationComment"))</f>
        <v/>
      </c>
      <c r="AB2073" s="7" t="str">
        <f>IF(ISBLANK(patch[[#This Row],[project]]), "",COUNTIFS($A:$A,patch[[#This Row],[number]],$S:$S, "SH And dev",$AD:$AD, "&lt;&gt;IntegratorValidationComment"))</f>
        <v/>
      </c>
      <c r="AC2073" s="7" t="str">
        <f>IF(OR(ISNUMBER(FIND("Review-1", patch[[#This Row],[comments]])), ISNUMBER(FIND("Approver-1", patch[[#This Row],[comments]]))), "Review-1", "")</f>
        <v/>
      </c>
      <c r="AD20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73" s="7">
        <f>IF(ISBLANK(patch[[#This Row],[number]]),AE2072,patch[[#This Row],[ifCommon]])</f>
        <v>0</v>
      </c>
    </row>
    <row r="2074" spans="1:31">
      <c r="A2074" s="151">
        <v>141459</v>
      </c>
      <c r="B2074" s="151"/>
      <c r="C2074" s="151"/>
      <c r="D2074" s="151"/>
      <c r="E2074" s="151"/>
      <c r="F2074" s="151"/>
      <c r="G2074" s="151"/>
      <c r="H2074" s="151"/>
      <c r="I2074" s="151"/>
      <c r="J2074" s="152">
        <v>42621.694803240738</v>
      </c>
      <c r="K2074" s="151"/>
      <c r="L2074" s="151" t="s">
        <v>59</v>
      </c>
      <c r="M2074" s="152">
        <v>42615.377476851849</v>
      </c>
      <c r="N2074" s="151" t="s">
        <v>3615</v>
      </c>
      <c r="O2074" s="151"/>
      <c r="P2074" s="151"/>
      <c r="Q2074" s="7" t="str">
        <f>IF(ISBLANK(patch[[#This Row],[OwnerEmail]]),Q2073,patch[[#This Row],[OwnerEmail]])</f>
        <v>gang.a.hu@intel.com</v>
      </c>
      <c r="R2074" s="7" t="str">
        <f>_xlfn.IFNA(VLOOKUP(patch[[#This Row],[tmp-owner.email]],OrgTree!$A:$K, 11, 0), "not ICG SWFW")</f>
        <v>BJ And dev</v>
      </c>
      <c r="S2074" s="7" t="str">
        <f>IF(patch[[#This Row],[reviewer]]=patch[[#This Row],[tmp-owner.email]], "author", _xlfn.IFNA(VLOOKUP(patch[[#This Row],[reviewer]],OrgTree!$A:$K, 11, 0), "not ICG SWFW"))</f>
        <v>BJ And dev</v>
      </c>
      <c r="T2074" s="7" t="str">
        <f>IF(ISBLANK(patch[[#This Row],[mergeDate]]), "", MID(YEAR(patch[[#This Row],[mergeDate]]), 3,2)&amp;"'ww"&amp;WEEKNUM(patch[[#This Row],[mergeDate]]))</f>
        <v>16'ww37</v>
      </c>
      <c r="U2074" s="7" t="str">
        <f>IF(ISBLANK(patch[[#This Row],[mergeDate]]), U2073, MID(YEAR(patch[[#This Row],[mergeDate]]), 3,2)&amp;"'m"&amp;MONTH(patch[[#This Row],[mergeDate]]))</f>
        <v>16'm9</v>
      </c>
      <c r="V2074" s="7" t="str">
        <f>IF(ISBLANK(patch[[#This Row],[project]]), "",SUM(patch[[#This Row],[BJ -1 num]:[SH -1 num]]))</f>
        <v/>
      </c>
      <c r="W2074" s="7" t="str">
        <f>IF(ISBLANK(patch[[#This Row],[project]]), "",COUNTIFS($A:$A,patch[[#This Row],[number]],$S:$S, "BJ And dev",$AC:$AC, "Review-1"))</f>
        <v/>
      </c>
      <c r="X2074" s="7" t="str">
        <f>IF(ISBLANK(patch[[#This Row],[project]]), "",COUNTIFS($A:$A,patch[[#This Row],[number]],$S:$S, "FL And dev",$AC:$AC, "Review-1"))</f>
        <v/>
      </c>
      <c r="Y2074" s="7" t="str">
        <f>IF(ISBLANK(patch[[#This Row],[project]]), "",COUNTIFS($A:$A,patch[[#This Row],[number]],$S:$S, "SH And dev",$AC:$AC, "Review-1"))</f>
        <v/>
      </c>
      <c r="Z2074" s="7" t="str">
        <f>IF(ISBLANK(patch[[#This Row],[project]]), "",COUNTIFS($A:$A,patch[[#This Row],[number]],$S:$S, "BJ And dev",$AD:$AD, "&lt;&gt;IntegratorValidationComment"))</f>
        <v/>
      </c>
      <c r="AA2074" s="7" t="str">
        <f>IF(ISBLANK(patch[[#This Row],[project]]), "",COUNTIFS($A:$A,patch[[#This Row],[number]],$S:$S, "FL And dev",$AD:$AD, "&lt;&gt;IntegratorValidationComment"))</f>
        <v/>
      </c>
      <c r="AB2074" s="7" t="str">
        <f>IF(ISBLANK(patch[[#This Row],[project]]), "",COUNTIFS($A:$A,patch[[#This Row],[number]],$S:$S, "SH And dev",$AD:$AD, "&lt;&gt;IntegratorValidationComment"))</f>
        <v/>
      </c>
      <c r="AC2074" s="7" t="str">
        <f>IF(OR(ISNUMBER(FIND("Review-1", patch[[#This Row],[comments]])), ISNUMBER(FIND("Approver-1", patch[[#This Row],[comments]]))), "Review-1", "")</f>
        <v/>
      </c>
      <c r="AD20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74" s="7">
        <f>IF(ISBLANK(patch[[#This Row],[number]]),AE2073,patch[[#This Row],[ifCommon]])</f>
        <v>0</v>
      </c>
    </row>
    <row r="2075" spans="1:31">
      <c r="A2075" s="151">
        <v>141459</v>
      </c>
      <c r="B2075" s="151"/>
      <c r="C2075" s="151"/>
      <c r="D2075" s="151"/>
      <c r="E2075" s="151"/>
      <c r="F2075" s="151"/>
      <c r="G2075" s="151"/>
      <c r="H2075" s="151"/>
      <c r="I2075" s="151"/>
      <c r="J2075" s="152">
        <v>42621.694803240738</v>
      </c>
      <c r="K2075" s="151"/>
      <c r="L2075" s="151" t="s">
        <v>59</v>
      </c>
      <c r="M2075" s="152">
        <v>42615.383287037039</v>
      </c>
      <c r="N2075" s="151" t="s">
        <v>3616</v>
      </c>
      <c r="O2075" s="151"/>
      <c r="P2075" s="151"/>
      <c r="Q2075" s="7" t="str">
        <f>IF(ISBLANK(patch[[#This Row],[OwnerEmail]]),Q2074,patch[[#This Row],[OwnerEmail]])</f>
        <v>gang.a.hu@intel.com</v>
      </c>
      <c r="R2075" s="7" t="str">
        <f>_xlfn.IFNA(VLOOKUP(patch[[#This Row],[tmp-owner.email]],OrgTree!$A:$K, 11, 0), "not ICG SWFW")</f>
        <v>BJ And dev</v>
      </c>
      <c r="S2075" s="7" t="str">
        <f>IF(patch[[#This Row],[reviewer]]=patch[[#This Row],[tmp-owner.email]], "author", _xlfn.IFNA(VLOOKUP(patch[[#This Row],[reviewer]],OrgTree!$A:$K, 11, 0), "not ICG SWFW"))</f>
        <v>BJ And dev</v>
      </c>
      <c r="T2075" s="7" t="str">
        <f>IF(ISBLANK(patch[[#This Row],[mergeDate]]), "", MID(YEAR(patch[[#This Row],[mergeDate]]), 3,2)&amp;"'ww"&amp;WEEKNUM(patch[[#This Row],[mergeDate]]))</f>
        <v>16'ww37</v>
      </c>
      <c r="U2075" s="7" t="str">
        <f>IF(ISBLANK(patch[[#This Row],[mergeDate]]), U2074, MID(YEAR(patch[[#This Row],[mergeDate]]), 3,2)&amp;"'m"&amp;MONTH(patch[[#This Row],[mergeDate]]))</f>
        <v>16'm9</v>
      </c>
      <c r="V2075" s="7" t="str">
        <f>IF(ISBLANK(patch[[#This Row],[project]]), "",SUM(patch[[#This Row],[BJ -1 num]:[SH -1 num]]))</f>
        <v/>
      </c>
      <c r="W2075" s="7" t="str">
        <f>IF(ISBLANK(patch[[#This Row],[project]]), "",COUNTIFS($A:$A,patch[[#This Row],[number]],$S:$S, "BJ And dev",$AC:$AC, "Review-1"))</f>
        <v/>
      </c>
      <c r="X2075" s="7" t="str">
        <f>IF(ISBLANK(patch[[#This Row],[project]]), "",COUNTIFS($A:$A,patch[[#This Row],[number]],$S:$S, "FL And dev",$AC:$AC, "Review-1"))</f>
        <v/>
      </c>
      <c r="Y2075" s="7" t="str">
        <f>IF(ISBLANK(patch[[#This Row],[project]]), "",COUNTIFS($A:$A,patch[[#This Row],[number]],$S:$S, "SH And dev",$AC:$AC, "Review-1"))</f>
        <v/>
      </c>
      <c r="Z2075" s="7" t="str">
        <f>IF(ISBLANK(patch[[#This Row],[project]]), "",COUNTIFS($A:$A,patch[[#This Row],[number]],$S:$S, "BJ And dev",$AD:$AD, "&lt;&gt;IntegratorValidationComment"))</f>
        <v/>
      </c>
      <c r="AA2075" s="7" t="str">
        <f>IF(ISBLANK(patch[[#This Row],[project]]), "",COUNTIFS($A:$A,patch[[#This Row],[number]],$S:$S, "FL And dev",$AD:$AD, "&lt;&gt;IntegratorValidationComment"))</f>
        <v/>
      </c>
      <c r="AB2075" s="7" t="str">
        <f>IF(ISBLANK(patch[[#This Row],[project]]), "",COUNTIFS($A:$A,patch[[#This Row],[number]],$S:$S, "SH And dev",$AD:$AD, "&lt;&gt;IntegratorValidationComment"))</f>
        <v/>
      </c>
      <c r="AC2075" s="7" t="str">
        <f>IF(OR(ISNUMBER(FIND("Review-1", patch[[#This Row],[comments]])), ISNUMBER(FIND("Approver-1", patch[[#This Row],[comments]]))), "Review-1", "")</f>
        <v/>
      </c>
      <c r="AD20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75" s="7">
        <f>IF(ISBLANK(patch[[#This Row],[number]]),AE2074,patch[[#This Row],[ifCommon]])</f>
        <v>0</v>
      </c>
    </row>
    <row r="2076" spans="1:31">
      <c r="A2076" s="151">
        <v>141459</v>
      </c>
      <c r="B2076" s="151"/>
      <c r="C2076" s="151"/>
      <c r="D2076" s="151"/>
      <c r="E2076" s="151"/>
      <c r="F2076" s="151"/>
      <c r="G2076" s="151"/>
      <c r="H2076" s="151"/>
      <c r="I2076" s="151"/>
      <c r="J2076" s="152">
        <v>42621.694803240738</v>
      </c>
      <c r="K2076" s="151"/>
      <c r="L2076" s="151" t="s">
        <v>32</v>
      </c>
      <c r="M2076" s="152">
        <v>42615.501666666663</v>
      </c>
      <c r="N2076" s="151" t="s">
        <v>2488</v>
      </c>
      <c r="O2076" s="151"/>
      <c r="P2076" s="151"/>
      <c r="Q2076" s="7" t="str">
        <f>IF(ISBLANK(patch[[#This Row],[OwnerEmail]]),Q2075,patch[[#This Row],[OwnerEmail]])</f>
        <v>gang.a.hu@intel.com</v>
      </c>
      <c r="R2076" s="7" t="str">
        <f>_xlfn.IFNA(VLOOKUP(patch[[#This Row],[tmp-owner.email]],OrgTree!$A:$K, 11, 0), "not ICG SWFW")</f>
        <v>BJ And dev</v>
      </c>
      <c r="S2076" s="7" t="str">
        <f>IF(patch[[#This Row],[reviewer]]=patch[[#This Row],[tmp-owner.email]], "author", _xlfn.IFNA(VLOOKUP(patch[[#This Row],[reviewer]],OrgTree!$A:$K, 11, 0), "not ICG SWFW"))</f>
        <v>author</v>
      </c>
      <c r="T2076" s="7" t="str">
        <f>IF(ISBLANK(patch[[#This Row],[mergeDate]]), "", MID(YEAR(patch[[#This Row],[mergeDate]]), 3,2)&amp;"'ww"&amp;WEEKNUM(patch[[#This Row],[mergeDate]]))</f>
        <v>16'ww37</v>
      </c>
      <c r="U2076" s="7" t="str">
        <f>IF(ISBLANK(patch[[#This Row],[mergeDate]]), U2075, MID(YEAR(patch[[#This Row],[mergeDate]]), 3,2)&amp;"'m"&amp;MONTH(patch[[#This Row],[mergeDate]]))</f>
        <v>16'm9</v>
      </c>
      <c r="V2076" s="7" t="str">
        <f>IF(ISBLANK(patch[[#This Row],[project]]), "",SUM(patch[[#This Row],[BJ -1 num]:[SH -1 num]]))</f>
        <v/>
      </c>
      <c r="W2076" s="7" t="str">
        <f>IF(ISBLANK(patch[[#This Row],[project]]), "",COUNTIFS($A:$A,patch[[#This Row],[number]],$S:$S, "BJ And dev",$AC:$AC, "Review-1"))</f>
        <v/>
      </c>
      <c r="X2076" s="7" t="str">
        <f>IF(ISBLANK(patch[[#This Row],[project]]), "",COUNTIFS($A:$A,patch[[#This Row],[number]],$S:$S, "FL And dev",$AC:$AC, "Review-1"))</f>
        <v/>
      </c>
      <c r="Y2076" s="7" t="str">
        <f>IF(ISBLANK(patch[[#This Row],[project]]), "",COUNTIFS($A:$A,patch[[#This Row],[number]],$S:$S, "SH And dev",$AC:$AC, "Review-1"))</f>
        <v/>
      </c>
      <c r="Z2076" s="7" t="str">
        <f>IF(ISBLANK(patch[[#This Row],[project]]), "",COUNTIFS($A:$A,patch[[#This Row],[number]],$S:$S, "BJ And dev",$AD:$AD, "&lt;&gt;IntegratorValidationComment"))</f>
        <v/>
      </c>
      <c r="AA2076" s="7" t="str">
        <f>IF(ISBLANK(patch[[#This Row],[project]]), "",COUNTIFS($A:$A,patch[[#This Row],[number]],$S:$S, "FL And dev",$AD:$AD, "&lt;&gt;IntegratorValidationComment"))</f>
        <v/>
      </c>
      <c r="AB2076" s="7" t="str">
        <f>IF(ISBLANK(patch[[#This Row],[project]]), "",COUNTIFS($A:$A,patch[[#This Row],[number]],$S:$S, "SH And dev",$AD:$AD, "&lt;&gt;IntegratorValidationComment"))</f>
        <v/>
      </c>
      <c r="AC2076" s="7" t="str">
        <f>IF(OR(ISNUMBER(FIND("Review-1", patch[[#This Row],[comments]])), ISNUMBER(FIND("Approver-1", patch[[#This Row],[comments]]))), "Review-1", "")</f>
        <v/>
      </c>
      <c r="AD20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76" s="7">
        <f>IF(ISBLANK(patch[[#This Row],[number]]),AE2075,patch[[#This Row],[ifCommon]])</f>
        <v>0</v>
      </c>
    </row>
    <row r="2077" spans="1:31">
      <c r="A2077" s="151">
        <v>141459</v>
      </c>
      <c r="B2077" s="151"/>
      <c r="C2077" s="151"/>
      <c r="D2077" s="151"/>
      <c r="E2077" s="151"/>
      <c r="F2077" s="151"/>
      <c r="G2077" s="151"/>
      <c r="H2077" s="151"/>
      <c r="I2077" s="151"/>
      <c r="J2077" s="152">
        <v>42621.694803240738</v>
      </c>
      <c r="K2077" s="151"/>
      <c r="L2077" s="151" t="s">
        <v>32</v>
      </c>
      <c r="M2077" s="152">
        <v>42615.50167824074</v>
      </c>
      <c r="N2077" s="151" t="s">
        <v>2466</v>
      </c>
      <c r="O2077" s="151"/>
      <c r="P2077" s="151"/>
      <c r="Q2077" s="7" t="str">
        <f>IF(ISBLANK(patch[[#This Row],[OwnerEmail]]),Q2076,patch[[#This Row],[OwnerEmail]])</f>
        <v>gang.a.hu@intel.com</v>
      </c>
      <c r="R2077" s="7" t="str">
        <f>_xlfn.IFNA(VLOOKUP(patch[[#This Row],[tmp-owner.email]],OrgTree!$A:$K, 11, 0), "not ICG SWFW")</f>
        <v>BJ And dev</v>
      </c>
      <c r="S2077" s="7" t="str">
        <f>IF(patch[[#This Row],[reviewer]]=patch[[#This Row],[tmp-owner.email]], "author", _xlfn.IFNA(VLOOKUP(patch[[#This Row],[reviewer]],OrgTree!$A:$K, 11, 0), "not ICG SWFW"))</f>
        <v>author</v>
      </c>
      <c r="T2077" s="7" t="str">
        <f>IF(ISBLANK(patch[[#This Row],[mergeDate]]), "", MID(YEAR(patch[[#This Row],[mergeDate]]), 3,2)&amp;"'ww"&amp;WEEKNUM(patch[[#This Row],[mergeDate]]))</f>
        <v>16'ww37</v>
      </c>
      <c r="U2077" s="7" t="str">
        <f>IF(ISBLANK(patch[[#This Row],[mergeDate]]), U2076, MID(YEAR(patch[[#This Row],[mergeDate]]), 3,2)&amp;"'m"&amp;MONTH(patch[[#This Row],[mergeDate]]))</f>
        <v>16'm9</v>
      </c>
      <c r="V2077" s="7" t="str">
        <f>IF(ISBLANK(patch[[#This Row],[project]]), "",SUM(patch[[#This Row],[BJ -1 num]:[SH -1 num]]))</f>
        <v/>
      </c>
      <c r="W2077" s="7" t="str">
        <f>IF(ISBLANK(patch[[#This Row],[project]]), "",COUNTIFS($A:$A,patch[[#This Row],[number]],$S:$S, "BJ And dev",$AC:$AC, "Review-1"))</f>
        <v/>
      </c>
      <c r="X2077" s="7" t="str">
        <f>IF(ISBLANK(patch[[#This Row],[project]]), "",COUNTIFS($A:$A,patch[[#This Row],[number]],$S:$S, "FL And dev",$AC:$AC, "Review-1"))</f>
        <v/>
      </c>
      <c r="Y2077" s="7" t="str">
        <f>IF(ISBLANK(patch[[#This Row],[project]]), "",COUNTIFS($A:$A,patch[[#This Row],[number]],$S:$S, "SH And dev",$AC:$AC, "Review-1"))</f>
        <v/>
      </c>
      <c r="Z2077" s="7" t="str">
        <f>IF(ISBLANK(patch[[#This Row],[project]]), "",COUNTIFS($A:$A,patch[[#This Row],[number]],$S:$S, "BJ And dev",$AD:$AD, "&lt;&gt;IntegratorValidationComment"))</f>
        <v/>
      </c>
      <c r="AA2077" s="7" t="str">
        <f>IF(ISBLANK(patch[[#This Row],[project]]), "",COUNTIFS($A:$A,patch[[#This Row],[number]],$S:$S, "FL And dev",$AD:$AD, "&lt;&gt;IntegratorValidationComment"))</f>
        <v/>
      </c>
      <c r="AB2077" s="7" t="str">
        <f>IF(ISBLANK(patch[[#This Row],[project]]), "",COUNTIFS($A:$A,patch[[#This Row],[number]],$S:$S, "SH And dev",$AD:$AD, "&lt;&gt;IntegratorValidationComment"))</f>
        <v/>
      </c>
      <c r="AC2077" s="7" t="str">
        <f>IF(OR(ISNUMBER(FIND("Review-1", patch[[#This Row],[comments]])), ISNUMBER(FIND("Approver-1", patch[[#This Row],[comments]]))), "Review-1", "")</f>
        <v/>
      </c>
      <c r="AD20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77" s="7">
        <f>IF(ISBLANK(patch[[#This Row],[number]]),AE2076,patch[[#This Row],[ifCommon]])</f>
        <v>0</v>
      </c>
    </row>
    <row r="2078" spans="1:31">
      <c r="A2078" s="151">
        <v>141459</v>
      </c>
      <c r="B2078" s="151"/>
      <c r="C2078" s="151"/>
      <c r="D2078" s="151"/>
      <c r="E2078" s="151"/>
      <c r="F2078" s="151"/>
      <c r="G2078" s="151"/>
      <c r="H2078" s="151"/>
      <c r="I2078" s="151"/>
      <c r="J2078" s="152">
        <v>42621.694803240738</v>
      </c>
      <c r="K2078" s="151"/>
      <c r="L2078" s="151" t="s">
        <v>59</v>
      </c>
      <c r="M2078" s="152">
        <v>42615.510925925933</v>
      </c>
      <c r="N2078" s="151" t="s">
        <v>3617</v>
      </c>
      <c r="O2078" s="151"/>
      <c r="P2078" s="151"/>
      <c r="Q2078" s="7" t="str">
        <f>IF(ISBLANK(patch[[#This Row],[OwnerEmail]]),Q2077,patch[[#This Row],[OwnerEmail]])</f>
        <v>gang.a.hu@intel.com</v>
      </c>
      <c r="R2078" s="7" t="str">
        <f>_xlfn.IFNA(VLOOKUP(patch[[#This Row],[tmp-owner.email]],OrgTree!$A:$K, 11, 0), "not ICG SWFW")</f>
        <v>BJ And dev</v>
      </c>
      <c r="S2078" s="7" t="str">
        <f>IF(patch[[#This Row],[reviewer]]=patch[[#This Row],[tmp-owner.email]], "author", _xlfn.IFNA(VLOOKUP(patch[[#This Row],[reviewer]],OrgTree!$A:$K, 11, 0), "not ICG SWFW"))</f>
        <v>BJ And dev</v>
      </c>
      <c r="T2078" s="7" t="str">
        <f>IF(ISBLANK(patch[[#This Row],[mergeDate]]), "", MID(YEAR(patch[[#This Row],[mergeDate]]), 3,2)&amp;"'ww"&amp;WEEKNUM(patch[[#This Row],[mergeDate]]))</f>
        <v>16'ww37</v>
      </c>
      <c r="U2078" s="7" t="str">
        <f>IF(ISBLANK(patch[[#This Row],[mergeDate]]), U2077, MID(YEAR(patch[[#This Row],[mergeDate]]), 3,2)&amp;"'m"&amp;MONTH(patch[[#This Row],[mergeDate]]))</f>
        <v>16'm9</v>
      </c>
      <c r="V2078" s="7" t="str">
        <f>IF(ISBLANK(patch[[#This Row],[project]]), "",SUM(patch[[#This Row],[BJ -1 num]:[SH -1 num]]))</f>
        <v/>
      </c>
      <c r="W2078" s="7" t="str">
        <f>IF(ISBLANK(patch[[#This Row],[project]]), "",COUNTIFS($A:$A,patch[[#This Row],[number]],$S:$S, "BJ And dev",$AC:$AC, "Review-1"))</f>
        <v/>
      </c>
      <c r="X2078" s="7" t="str">
        <f>IF(ISBLANK(patch[[#This Row],[project]]), "",COUNTIFS($A:$A,patch[[#This Row],[number]],$S:$S, "FL And dev",$AC:$AC, "Review-1"))</f>
        <v/>
      </c>
      <c r="Y2078" s="7" t="str">
        <f>IF(ISBLANK(patch[[#This Row],[project]]), "",COUNTIFS($A:$A,patch[[#This Row],[number]],$S:$S, "SH And dev",$AC:$AC, "Review-1"))</f>
        <v/>
      </c>
      <c r="Z2078" s="7" t="str">
        <f>IF(ISBLANK(patch[[#This Row],[project]]), "",COUNTIFS($A:$A,patch[[#This Row],[number]],$S:$S, "BJ And dev",$AD:$AD, "&lt;&gt;IntegratorValidationComment"))</f>
        <v/>
      </c>
      <c r="AA2078" s="7" t="str">
        <f>IF(ISBLANK(patch[[#This Row],[project]]), "",COUNTIFS($A:$A,patch[[#This Row],[number]],$S:$S, "FL And dev",$AD:$AD, "&lt;&gt;IntegratorValidationComment"))</f>
        <v/>
      </c>
      <c r="AB2078" s="7" t="str">
        <f>IF(ISBLANK(patch[[#This Row],[project]]), "",COUNTIFS($A:$A,patch[[#This Row],[number]],$S:$S, "SH And dev",$AD:$AD, "&lt;&gt;IntegratorValidationComment"))</f>
        <v/>
      </c>
      <c r="AC2078" s="7" t="str">
        <f>IF(OR(ISNUMBER(FIND("Review-1", patch[[#This Row],[comments]])), ISNUMBER(FIND("Approver-1", patch[[#This Row],[comments]]))), "Review-1", "")</f>
        <v/>
      </c>
      <c r="AD20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78" s="7">
        <f>IF(ISBLANK(patch[[#This Row],[number]]),AE2077,patch[[#This Row],[ifCommon]])</f>
        <v>0</v>
      </c>
    </row>
    <row r="2079" spans="1:31">
      <c r="A2079" s="151">
        <v>141459</v>
      </c>
      <c r="B2079" s="151"/>
      <c r="C2079" s="151"/>
      <c r="D2079" s="151"/>
      <c r="E2079" s="151"/>
      <c r="F2079" s="151"/>
      <c r="G2079" s="151"/>
      <c r="H2079" s="151"/>
      <c r="I2079" s="151"/>
      <c r="J2079" s="152">
        <v>42621.694803240738</v>
      </c>
      <c r="K2079" s="151"/>
      <c r="L2079" s="151" t="s">
        <v>59</v>
      </c>
      <c r="M2079" s="152">
        <v>42615.520208333342</v>
      </c>
      <c r="N2079" s="151" t="s">
        <v>3618</v>
      </c>
      <c r="O2079" s="151"/>
      <c r="P2079" s="151"/>
      <c r="Q2079" s="7" t="str">
        <f>IF(ISBLANK(patch[[#This Row],[OwnerEmail]]),Q2078,patch[[#This Row],[OwnerEmail]])</f>
        <v>gang.a.hu@intel.com</v>
      </c>
      <c r="R2079" s="7" t="str">
        <f>_xlfn.IFNA(VLOOKUP(patch[[#This Row],[tmp-owner.email]],OrgTree!$A:$K, 11, 0), "not ICG SWFW")</f>
        <v>BJ And dev</v>
      </c>
      <c r="S2079" s="7" t="str">
        <f>IF(patch[[#This Row],[reviewer]]=patch[[#This Row],[tmp-owner.email]], "author", _xlfn.IFNA(VLOOKUP(patch[[#This Row],[reviewer]],OrgTree!$A:$K, 11, 0), "not ICG SWFW"))</f>
        <v>BJ And dev</v>
      </c>
      <c r="T2079" s="7" t="str">
        <f>IF(ISBLANK(patch[[#This Row],[mergeDate]]), "", MID(YEAR(patch[[#This Row],[mergeDate]]), 3,2)&amp;"'ww"&amp;WEEKNUM(patch[[#This Row],[mergeDate]]))</f>
        <v>16'ww37</v>
      </c>
      <c r="U2079" s="7" t="str">
        <f>IF(ISBLANK(patch[[#This Row],[mergeDate]]), U2078, MID(YEAR(patch[[#This Row],[mergeDate]]), 3,2)&amp;"'m"&amp;MONTH(patch[[#This Row],[mergeDate]]))</f>
        <v>16'm9</v>
      </c>
      <c r="V2079" s="7" t="str">
        <f>IF(ISBLANK(patch[[#This Row],[project]]), "",SUM(patch[[#This Row],[BJ -1 num]:[SH -1 num]]))</f>
        <v/>
      </c>
      <c r="W2079" s="7" t="str">
        <f>IF(ISBLANK(patch[[#This Row],[project]]), "",COUNTIFS($A:$A,patch[[#This Row],[number]],$S:$S, "BJ And dev",$AC:$AC, "Review-1"))</f>
        <v/>
      </c>
      <c r="X2079" s="7" t="str">
        <f>IF(ISBLANK(patch[[#This Row],[project]]), "",COUNTIFS($A:$A,patch[[#This Row],[number]],$S:$S, "FL And dev",$AC:$AC, "Review-1"))</f>
        <v/>
      </c>
      <c r="Y2079" s="7" t="str">
        <f>IF(ISBLANK(patch[[#This Row],[project]]), "",COUNTIFS($A:$A,patch[[#This Row],[number]],$S:$S, "SH And dev",$AC:$AC, "Review-1"))</f>
        <v/>
      </c>
      <c r="Z2079" s="7" t="str">
        <f>IF(ISBLANK(patch[[#This Row],[project]]), "",COUNTIFS($A:$A,patch[[#This Row],[number]],$S:$S, "BJ And dev",$AD:$AD, "&lt;&gt;IntegratorValidationComment"))</f>
        <v/>
      </c>
      <c r="AA2079" s="7" t="str">
        <f>IF(ISBLANK(patch[[#This Row],[project]]), "",COUNTIFS($A:$A,patch[[#This Row],[number]],$S:$S, "FL And dev",$AD:$AD, "&lt;&gt;IntegratorValidationComment"))</f>
        <v/>
      </c>
      <c r="AB2079" s="7" t="str">
        <f>IF(ISBLANK(patch[[#This Row],[project]]), "",COUNTIFS($A:$A,patch[[#This Row],[number]],$S:$S, "SH And dev",$AD:$AD, "&lt;&gt;IntegratorValidationComment"))</f>
        <v/>
      </c>
      <c r="AC2079" s="7" t="str">
        <f>IF(OR(ISNUMBER(FIND("Review-1", patch[[#This Row],[comments]])), ISNUMBER(FIND("Approver-1", patch[[#This Row],[comments]]))), "Review-1", "")</f>
        <v/>
      </c>
      <c r="AD20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79" s="7">
        <f>IF(ISBLANK(patch[[#This Row],[number]]),AE2078,patch[[#This Row],[ifCommon]])</f>
        <v>0</v>
      </c>
    </row>
    <row r="2080" spans="1:31">
      <c r="A2080" s="151">
        <v>141459</v>
      </c>
      <c r="B2080" s="151"/>
      <c r="C2080" s="151"/>
      <c r="D2080" s="151"/>
      <c r="E2080" s="151"/>
      <c r="F2080" s="151"/>
      <c r="G2080" s="151"/>
      <c r="H2080" s="151"/>
      <c r="I2080" s="151"/>
      <c r="J2080" s="152">
        <v>42621.694803240738</v>
      </c>
      <c r="K2080" s="151"/>
      <c r="L2080" s="151" t="s">
        <v>32</v>
      </c>
      <c r="M2080" s="152">
        <v>42620.639849537038</v>
      </c>
      <c r="N2080" s="151" t="s">
        <v>2524</v>
      </c>
      <c r="O2080" s="151"/>
      <c r="P2080" s="151"/>
      <c r="Q2080" s="7" t="str">
        <f>IF(ISBLANK(patch[[#This Row],[OwnerEmail]]),Q2079,patch[[#This Row],[OwnerEmail]])</f>
        <v>gang.a.hu@intel.com</v>
      </c>
      <c r="R2080" s="7" t="str">
        <f>_xlfn.IFNA(VLOOKUP(patch[[#This Row],[tmp-owner.email]],OrgTree!$A:$K, 11, 0), "not ICG SWFW")</f>
        <v>BJ And dev</v>
      </c>
      <c r="S2080" s="7" t="str">
        <f>IF(patch[[#This Row],[reviewer]]=patch[[#This Row],[tmp-owner.email]], "author", _xlfn.IFNA(VLOOKUP(patch[[#This Row],[reviewer]],OrgTree!$A:$K, 11, 0), "not ICG SWFW"))</f>
        <v>author</v>
      </c>
      <c r="T2080" s="7" t="str">
        <f>IF(ISBLANK(patch[[#This Row],[mergeDate]]), "", MID(YEAR(patch[[#This Row],[mergeDate]]), 3,2)&amp;"'ww"&amp;WEEKNUM(patch[[#This Row],[mergeDate]]))</f>
        <v>16'ww37</v>
      </c>
      <c r="U2080" s="7" t="str">
        <f>IF(ISBLANK(patch[[#This Row],[mergeDate]]), U2079, MID(YEAR(patch[[#This Row],[mergeDate]]), 3,2)&amp;"'m"&amp;MONTH(patch[[#This Row],[mergeDate]]))</f>
        <v>16'm9</v>
      </c>
      <c r="V2080" s="7" t="str">
        <f>IF(ISBLANK(patch[[#This Row],[project]]), "",SUM(patch[[#This Row],[BJ -1 num]:[SH -1 num]]))</f>
        <v/>
      </c>
      <c r="W2080" s="7" t="str">
        <f>IF(ISBLANK(patch[[#This Row],[project]]), "",COUNTIFS($A:$A,patch[[#This Row],[number]],$S:$S, "BJ And dev",$AC:$AC, "Review-1"))</f>
        <v/>
      </c>
      <c r="X2080" s="7" t="str">
        <f>IF(ISBLANK(patch[[#This Row],[project]]), "",COUNTIFS($A:$A,patch[[#This Row],[number]],$S:$S, "FL And dev",$AC:$AC, "Review-1"))</f>
        <v/>
      </c>
      <c r="Y2080" s="7" t="str">
        <f>IF(ISBLANK(patch[[#This Row],[project]]), "",COUNTIFS($A:$A,patch[[#This Row],[number]],$S:$S, "SH And dev",$AC:$AC, "Review-1"))</f>
        <v/>
      </c>
      <c r="Z2080" s="7" t="str">
        <f>IF(ISBLANK(patch[[#This Row],[project]]), "",COUNTIFS($A:$A,patch[[#This Row],[number]],$S:$S, "BJ And dev",$AD:$AD, "&lt;&gt;IntegratorValidationComment"))</f>
        <v/>
      </c>
      <c r="AA2080" s="7" t="str">
        <f>IF(ISBLANK(patch[[#This Row],[project]]), "",COUNTIFS($A:$A,patch[[#This Row],[number]],$S:$S, "FL And dev",$AD:$AD, "&lt;&gt;IntegratorValidationComment"))</f>
        <v/>
      </c>
      <c r="AB2080" s="7" t="str">
        <f>IF(ISBLANK(patch[[#This Row],[project]]), "",COUNTIFS($A:$A,patch[[#This Row],[number]],$S:$S, "SH And dev",$AD:$AD, "&lt;&gt;IntegratorValidationComment"))</f>
        <v/>
      </c>
      <c r="AC2080" s="7" t="str">
        <f>IF(OR(ISNUMBER(FIND("Review-1", patch[[#This Row],[comments]])), ISNUMBER(FIND("Approver-1", patch[[#This Row],[comments]]))), "Review-1", "")</f>
        <v/>
      </c>
      <c r="AD20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80" s="7">
        <f>IF(ISBLANK(patch[[#This Row],[number]]),AE2079,patch[[#This Row],[ifCommon]])</f>
        <v>0</v>
      </c>
    </row>
    <row r="2081" spans="1:31">
      <c r="A2081" s="151">
        <v>141459</v>
      </c>
      <c r="B2081" s="151"/>
      <c r="C2081" s="151"/>
      <c r="D2081" s="151"/>
      <c r="E2081" s="151"/>
      <c r="F2081" s="151"/>
      <c r="G2081" s="151"/>
      <c r="H2081" s="151"/>
      <c r="I2081" s="151"/>
      <c r="J2081" s="152">
        <v>42621.694803240738</v>
      </c>
      <c r="K2081" s="151"/>
      <c r="L2081" s="151" t="s">
        <v>32</v>
      </c>
      <c r="M2081" s="152">
        <v>42620.639861111107</v>
      </c>
      <c r="N2081" s="151" t="s">
        <v>2467</v>
      </c>
      <c r="O2081" s="151"/>
      <c r="P2081" s="151"/>
      <c r="Q2081" s="7" t="str">
        <f>IF(ISBLANK(patch[[#This Row],[OwnerEmail]]),Q2080,patch[[#This Row],[OwnerEmail]])</f>
        <v>gang.a.hu@intel.com</v>
      </c>
      <c r="R2081" s="7" t="str">
        <f>_xlfn.IFNA(VLOOKUP(patch[[#This Row],[tmp-owner.email]],OrgTree!$A:$K, 11, 0), "not ICG SWFW")</f>
        <v>BJ And dev</v>
      </c>
      <c r="S2081" s="7" t="str">
        <f>IF(patch[[#This Row],[reviewer]]=patch[[#This Row],[tmp-owner.email]], "author", _xlfn.IFNA(VLOOKUP(patch[[#This Row],[reviewer]],OrgTree!$A:$K, 11, 0), "not ICG SWFW"))</f>
        <v>author</v>
      </c>
      <c r="T2081" s="7" t="str">
        <f>IF(ISBLANK(patch[[#This Row],[mergeDate]]), "", MID(YEAR(patch[[#This Row],[mergeDate]]), 3,2)&amp;"'ww"&amp;WEEKNUM(patch[[#This Row],[mergeDate]]))</f>
        <v>16'ww37</v>
      </c>
      <c r="U2081" s="7" t="str">
        <f>IF(ISBLANK(patch[[#This Row],[mergeDate]]), U2080, MID(YEAR(patch[[#This Row],[mergeDate]]), 3,2)&amp;"'m"&amp;MONTH(patch[[#This Row],[mergeDate]]))</f>
        <v>16'm9</v>
      </c>
      <c r="V2081" s="7" t="str">
        <f>IF(ISBLANK(patch[[#This Row],[project]]), "",SUM(patch[[#This Row],[BJ -1 num]:[SH -1 num]]))</f>
        <v/>
      </c>
      <c r="W2081" s="7" t="str">
        <f>IF(ISBLANK(patch[[#This Row],[project]]), "",COUNTIFS($A:$A,patch[[#This Row],[number]],$S:$S, "BJ And dev",$AC:$AC, "Review-1"))</f>
        <v/>
      </c>
      <c r="X2081" s="7" t="str">
        <f>IF(ISBLANK(patch[[#This Row],[project]]), "",COUNTIFS($A:$A,patch[[#This Row],[number]],$S:$S, "FL And dev",$AC:$AC, "Review-1"))</f>
        <v/>
      </c>
      <c r="Y2081" s="7" t="str">
        <f>IF(ISBLANK(patch[[#This Row],[project]]), "",COUNTIFS($A:$A,patch[[#This Row],[number]],$S:$S, "SH And dev",$AC:$AC, "Review-1"))</f>
        <v/>
      </c>
      <c r="Z2081" s="7" t="str">
        <f>IF(ISBLANK(patch[[#This Row],[project]]), "",COUNTIFS($A:$A,patch[[#This Row],[number]],$S:$S, "BJ And dev",$AD:$AD, "&lt;&gt;IntegratorValidationComment"))</f>
        <v/>
      </c>
      <c r="AA2081" s="7" t="str">
        <f>IF(ISBLANK(patch[[#This Row],[project]]), "",COUNTIFS($A:$A,patch[[#This Row],[number]],$S:$S, "FL And dev",$AD:$AD, "&lt;&gt;IntegratorValidationComment"))</f>
        <v/>
      </c>
      <c r="AB2081" s="7" t="str">
        <f>IF(ISBLANK(patch[[#This Row],[project]]), "",COUNTIFS($A:$A,patch[[#This Row],[number]],$S:$S, "SH And dev",$AD:$AD, "&lt;&gt;IntegratorValidationComment"))</f>
        <v/>
      </c>
      <c r="AC2081" s="7" t="str">
        <f>IF(OR(ISNUMBER(FIND("Review-1", patch[[#This Row],[comments]])), ISNUMBER(FIND("Approver-1", patch[[#This Row],[comments]]))), "Review-1", "")</f>
        <v/>
      </c>
      <c r="AD20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81" s="7">
        <f>IF(ISBLANK(patch[[#This Row],[number]]),AE2080,patch[[#This Row],[ifCommon]])</f>
        <v>0</v>
      </c>
    </row>
    <row r="2082" spans="1:31">
      <c r="A2082" s="151">
        <v>141459</v>
      </c>
      <c r="B2082" s="151"/>
      <c r="C2082" s="151"/>
      <c r="D2082" s="151"/>
      <c r="E2082" s="151"/>
      <c r="F2082" s="151"/>
      <c r="G2082" s="151"/>
      <c r="H2082" s="151"/>
      <c r="I2082" s="151"/>
      <c r="J2082" s="152">
        <v>42621.694803240738</v>
      </c>
      <c r="K2082" s="151"/>
      <c r="L2082" s="151" t="s">
        <v>63</v>
      </c>
      <c r="M2082" s="152">
        <v>42620.646377314813</v>
      </c>
      <c r="N2082" s="151" t="s">
        <v>1849</v>
      </c>
      <c r="O2082" s="151"/>
      <c r="P2082" s="151"/>
      <c r="Q2082" s="7" t="str">
        <f>IF(ISBLANK(patch[[#This Row],[OwnerEmail]]),Q2081,patch[[#This Row],[OwnerEmail]])</f>
        <v>gang.a.hu@intel.com</v>
      </c>
      <c r="R2082" s="7" t="str">
        <f>_xlfn.IFNA(VLOOKUP(patch[[#This Row],[tmp-owner.email]],OrgTree!$A:$K, 11, 0), "not ICG SWFW")</f>
        <v>BJ And dev</v>
      </c>
      <c r="S2082" s="7" t="str">
        <f>IF(patch[[#This Row],[reviewer]]=patch[[#This Row],[tmp-owner.email]], "author", _xlfn.IFNA(VLOOKUP(patch[[#This Row],[reviewer]],OrgTree!$A:$K, 11, 0), "not ICG SWFW"))</f>
        <v>BJ And dev</v>
      </c>
      <c r="T2082" s="7" t="str">
        <f>IF(ISBLANK(patch[[#This Row],[mergeDate]]), "", MID(YEAR(patch[[#This Row],[mergeDate]]), 3,2)&amp;"'ww"&amp;WEEKNUM(patch[[#This Row],[mergeDate]]))</f>
        <v>16'ww37</v>
      </c>
      <c r="U2082" s="7" t="str">
        <f>IF(ISBLANK(patch[[#This Row],[mergeDate]]), U2081, MID(YEAR(patch[[#This Row],[mergeDate]]), 3,2)&amp;"'m"&amp;MONTH(patch[[#This Row],[mergeDate]]))</f>
        <v>16'm9</v>
      </c>
      <c r="V2082" s="7" t="str">
        <f>IF(ISBLANK(patch[[#This Row],[project]]), "",SUM(patch[[#This Row],[BJ -1 num]:[SH -1 num]]))</f>
        <v/>
      </c>
      <c r="W2082" s="7" t="str">
        <f>IF(ISBLANK(patch[[#This Row],[project]]), "",COUNTIFS($A:$A,patch[[#This Row],[number]],$S:$S, "BJ And dev",$AC:$AC, "Review-1"))</f>
        <v/>
      </c>
      <c r="X2082" s="7" t="str">
        <f>IF(ISBLANK(patch[[#This Row],[project]]), "",COUNTIFS($A:$A,patch[[#This Row],[number]],$S:$S, "FL And dev",$AC:$AC, "Review-1"))</f>
        <v/>
      </c>
      <c r="Y2082" s="7" t="str">
        <f>IF(ISBLANK(patch[[#This Row],[project]]), "",COUNTIFS($A:$A,patch[[#This Row],[number]],$S:$S, "SH And dev",$AC:$AC, "Review-1"))</f>
        <v/>
      </c>
      <c r="Z2082" s="7" t="str">
        <f>IF(ISBLANK(patch[[#This Row],[project]]), "",COUNTIFS($A:$A,patch[[#This Row],[number]],$S:$S, "BJ And dev",$AD:$AD, "&lt;&gt;IntegratorValidationComment"))</f>
        <v/>
      </c>
      <c r="AA2082" s="7" t="str">
        <f>IF(ISBLANK(patch[[#This Row],[project]]), "",COUNTIFS($A:$A,patch[[#This Row],[number]],$S:$S, "FL And dev",$AD:$AD, "&lt;&gt;IntegratorValidationComment"))</f>
        <v/>
      </c>
      <c r="AB2082" s="7" t="str">
        <f>IF(ISBLANK(patch[[#This Row],[project]]), "",COUNTIFS($A:$A,patch[[#This Row],[number]],$S:$S, "SH And dev",$AD:$AD, "&lt;&gt;IntegratorValidationComment"))</f>
        <v/>
      </c>
      <c r="AC2082" s="7" t="str">
        <f>IF(OR(ISNUMBER(FIND("Review-1", patch[[#This Row],[comments]])), ISNUMBER(FIND("Approver-1", patch[[#This Row],[comments]]))), "Review-1", "")</f>
        <v/>
      </c>
      <c r="AD20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82" s="7">
        <f>IF(ISBLANK(patch[[#This Row],[number]]),AE2081,patch[[#This Row],[ifCommon]])</f>
        <v>0</v>
      </c>
    </row>
    <row r="2083" spans="1:31">
      <c r="A2083" s="151">
        <v>141459</v>
      </c>
      <c r="B2083" s="151"/>
      <c r="C2083" s="151"/>
      <c r="D2083" s="151"/>
      <c r="E2083" s="151"/>
      <c r="F2083" s="151"/>
      <c r="G2083" s="151"/>
      <c r="H2083" s="151"/>
      <c r="I2083" s="151"/>
      <c r="J2083" s="152">
        <v>42621.694803240738</v>
      </c>
      <c r="K2083" s="151"/>
      <c r="L2083" s="151" t="s">
        <v>59</v>
      </c>
      <c r="M2083" s="152">
        <v>42620.646527777782</v>
      </c>
      <c r="N2083" s="151" t="s">
        <v>3619</v>
      </c>
      <c r="O2083" s="151"/>
      <c r="P2083" s="151"/>
      <c r="Q2083" s="7" t="str">
        <f>IF(ISBLANK(patch[[#This Row],[OwnerEmail]]),Q2082,patch[[#This Row],[OwnerEmail]])</f>
        <v>gang.a.hu@intel.com</v>
      </c>
      <c r="R2083" s="7" t="str">
        <f>_xlfn.IFNA(VLOOKUP(patch[[#This Row],[tmp-owner.email]],OrgTree!$A:$K, 11, 0), "not ICG SWFW")</f>
        <v>BJ And dev</v>
      </c>
      <c r="S2083" s="7" t="str">
        <f>IF(patch[[#This Row],[reviewer]]=patch[[#This Row],[tmp-owner.email]], "author", _xlfn.IFNA(VLOOKUP(patch[[#This Row],[reviewer]],OrgTree!$A:$K, 11, 0), "not ICG SWFW"))</f>
        <v>BJ And dev</v>
      </c>
      <c r="T2083" s="7" t="str">
        <f>IF(ISBLANK(patch[[#This Row],[mergeDate]]), "", MID(YEAR(patch[[#This Row],[mergeDate]]), 3,2)&amp;"'ww"&amp;WEEKNUM(patch[[#This Row],[mergeDate]]))</f>
        <v>16'ww37</v>
      </c>
      <c r="U2083" s="7" t="str">
        <f>IF(ISBLANK(patch[[#This Row],[mergeDate]]), U2082, MID(YEAR(patch[[#This Row],[mergeDate]]), 3,2)&amp;"'m"&amp;MONTH(patch[[#This Row],[mergeDate]]))</f>
        <v>16'm9</v>
      </c>
      <c r="V2083" s="7" t="str">
        <f>IF(ISBLANK(patch[[#This Row],[project]]), "",SUM(patch[[#This Row],[BJ -1 num]:[SH -1 num]]))</f>
        <v/>
      </c>
      <c r="W2083" s="7" t="str">
        <f>IF(ISBLANK(patch[[#This Row],[project]]), "",COUNTIFS($A:$A,patch[[#This Row],[number]],$S:$S, "BJ And dev",$AC:$AC, "Review-1"))</f>
        <v/>
      </c>
      <c r="X2083" s="7" t="str">
        <f>IF(ISBLANK(patch[[#This Row],[project]]), "",COUNTIFS($A:$A,patch[[#This Row],[number]],$S:$S, "FL And dev",$AC:$AC, "Review-1"))</f>
        <v/>
      </c>
      <c r="Y2083" s="7" t="str">
        <f>IF(ISBLANK(patch[[#This Row],[project]]), "",COUNTIFS($A:$A,patch[[#This Row],[number]],$S:$S, "SH And dev",$AC:$AC, "Review-1"))</f>
        <v/>
      </c>
      <c r="Z2083" s="7" t="str">
        <f>IF(ISBLANK(patch[[#This Row],[project]]), "",COUNTIFS($A:$A,patch[[#This Row],[number]],$S:$S, "BJ And dev",$AD:$AD, "&lt;&gt;IntegratorValidationComment"))</f>
        <v/>
      </c>
      <c r="AA2083" s="7" t="str">
        <f>IF(ISBLANK(patch[[#This Row],[project]]), "",COUNTIFS($A:$A,patch[[#This Row],[number]],$S:$S, "FL And dev",$AD:$AD, "&lt;&gt;IntegratorValidationComment"))</f>
        <v/>
      </c>
      <c r="AB2083" s="7" t="str">
        <f>IF(ISBLANK(patch[[#This Row],[project]]), "",COUNTIFS($A:$A,patch[[#This Row],[number]],$S:$S, "SH And dev",$AD:$AD, "&lt;&gt;IntegratorValidationComment"))</f>
        <v/>
      </c>
      <c r="AC2083" s="7" t="str">
        <f>IF(OR(ISNUMBER(FIND("Review-1", patch[[#This Row],[comments]])), ISNUMBER(FIND("Approver-1", patch[[#This Row],[comments]]))), "Review-1", "")</f>
        <v/>
      </c>
      <c r="AD20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83" s="7">
        <f>IF(ISBLANK(patch[[#This Row],[number]]),AE2082,patch[[#This Row],[ifCommon]])</f>
        <v>0</v>
      </c>
    </row>
    <row r="2084" spans="1:31">
      <c r="A2084" s="151">
        <v>141459</v>
      </c>
      <c r="B2084" s="151"/>
      <c r="C2084" s="151"/>
      <c r="D2084" s="151"/>
      <c r="E2084" s="151"/>
      <c r="F2084" s="151"/>
      <c r="G2084" s="151"/>
      <c r="H2084" s="151"/>
      <c r="I2084" s="151"/>
      <c r="J2084" s="152">
        <v>42621.694803240738</v>
      </c>
      <c r="K2084" s="151"/>
      <c r="L2084" s="151" t="s">
        <v>55</v>
      </c>
      <c r="M2084" s="152">
        <v>42620.64671296296</v>
      </c>
      <c r="N2084" s="151" t="s">
        <v>1849</v>
      </c>
      <c r="O2084" s="151"/>
      <c r="P2084" s="151"/>
      <c r="Q2084" s="7" t="str">
        <f>IF(ISBLANK(patch[[#This Row],[OwnerEmail]]),Q2083,patch[[#This Row],[OwnerEmail]])</f>
        <v>gang.a.hu@intel.com</v>
      </c>
      <c r="R2084" s="7" t="str">
        <f>_xlfn.IFNA(VLOOKUP(patch[[#This Row],[tmp-owner.email]],OrgTree!$A:$K, 11, 0), "not ICG SWFW")</f>
        <v>BJ And dev</v>
      </c>
      <c r="S2084" s="7" t="str">
        <f>IF(patch[[#This Row],[reviewer]]=patch[[#This Row],[tmp-owner.email]], "author", _xlfn.IFNA(VLOOKUP(patch[[#This Row],[reviewer]],OrgTree!$A:$K, 11, 0), "not ICG SWFW"))</f>
        <v>BJ And dev</v>
      </c>
      <c r="T2084" s="7" t="str">
        <f>IF(ISBLANK(patch[[#This Row],[mergeDate]]), "", MID(YEAR(patch[[#This Row],[mergeDate]]), 3,2)&amp;"'ww"&amp;WEEKNUM(patch[[#This Row],[mergeDate]]))</f>
        <v>16'ww37</v>
      </c>
      <c r="U2084" s="7" t="str">
        <f>IF(ISBLANK(patch[[#This Row],[mergeDate]]), U2083, MID(YEAR(patch[[#This Row],[mergeDate]]), 3,2)&amp;"'m"&amp;MONTH(patch[[#This Row],[mergeDate]]))</f>
        <v>16'm9</v>
      </c>
      <c r="V2084" s="7" t="str">
        <f>IF(ISBLANK(patch[[#This Row],[project]]), "",SUM(patch[[#This Row],[BJ -1 num]:[SH -1 num]]))</f>
        <v/>
      </c>
      <c r="W2084" s="7" t="str">
        <f>IF(ISBLANK(patch[[#This Row],[project]]), "",COUNTIFS($A:$A,patch[[#This Row],[number]],$S:$S, "BJ And dev",$AC:$AC, "Review-1"))</f>
        <v/>
      </c>
      <c r="X2084" s="7" t="str">
        <f>IF(ISBLANK(patch[[#This Row],[project]]), "",COUNTIFS($A:$A,patch[[#This Row],[number]],$S:$S, "FL And dev",$AC:$AC, "Review-1"))</f>
        <v/>
      </c>
      <c r="Y2084" s="7" t="str">
        <f>IF(ISBLANK(patch[[#This Row],[project]]), "",COUNTIFS($A:$A,patch[[#This Row],[number]],$S:$S, "SH And dev",$AC:$AC, "Review-1"))</f>
        <v/>
      </c>
      <c r="Z2084" s="7" t="str">
        <f>IF(ISBLANK(patch[[#This Row],[project]]), "",COUNTIFS($A:$A,patch[[#This Row],[number]],$S:$S, "BJ And dev",$AD:$AD, "&lt;&gt;IntegratorValidationComment"))</f>
        <v/>
      </c>
      <c r="AA2084" s="7" t="str">
        <f>IF(ISBLANK(patch[[#This Row],[project]]), "",COUNTIFS($A:$A,patch[[#This Row],[number]],$S:$S, "FL And dev",$AD:$AD, "&lt;&gt;IntegratorValidationComment"))</f>
        <v/>
      </c>
      <c r="AB2084" s="7" t="str">
        <f>IF(ISBLANK(patch[[#This Row],[project]]), "",COUNTIFS($A:$A,patch[[#This Row],[number]],$S:$S, "SH And dev",$AD:$AD, "&lt;&gt;IntegratorValidationComment"))</f>
        <v/>
      </c>
      <c r="AC2084" s="7" t="str">
        <f>IF(OR(ISNUMBER(FIND("Review-1", patch[[#This Row],[comments]])), ISNUMBER(FIND("Approver-1", patch[[#This Row],[comments]]))), "Review-1", "")</f>
        <v/>
      </c>
      <c r="AD20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84" s="7">
        <f>IF(ISBLANK(patch[[#This Row],[number]]),AE2083,patch[[#This Row],[ifCommon]])</f>
        <v>0</v>
      </c>
    </row>
    <row r="2085" spans="1:31">
      <c r="A2085" s="151">
        <v>141459</v>
      </c>
      <c r="B2085" s="151"/>
      <c r="C2085" s="151"/>
      <c r="D2085" s="151"/>
      <c r="E2085" s="151"/>
      <c r="F2085" s="151"/>
      <c r="G2085" s="151"/>
      <c r="H2085" s="151"/>
      <c r="I2085" s="151"/>
      <c r="J2085" s="152">
        <v>42621.694803240738</v>
      </c>
      <c r="K2085" s="151"/>
      <c r="L2085" s="151" t="s">
        <v>32</v>
      </c>
      <c r="M2085" s="152">
        <v>42620.657233796293</v>
      </c>
      <c r="N2085" s="151" t="s">
        <v>2468</v>
      </c>
      <c r="O2085" s="151"/>
      <c r="P2085" s="151"/>
      <c r="Q2085" s="7" t="str">
        <f>IF(ISBLANK(patch[[#This Row],[OwnerEmail]]),Q2084,patch[[#This Row],[OwnerEmail]])</f>
        <v>gang.a.hu@intel.com</v>
      </c>
      <c r="R2085" s="7" t="str">
        <f>_xlfn.IFNA(VLOOKUP(patch[[#This Row],[tmp-owner.email]],OrgTree!$A:$K, 11, 0), "not ICG SWFW")</f>
        <v>BJ And dev</v>
      </c>
      <c r="S2085" s="7" t="str">
        <f>IF(patch[[#This Row],[reviewer]]=patch[[#This Row],[tmp-owner.email]], "author", _xlfn.IFNA(VLOOKUP(patch[[#This Row],[reviewer]],OrgTree!$A:$K, 11, 0), "not ICG SWFW"))</f>
        <v>author</v>
      </c>
      <c r="T2085" s="7" t="str">
        <f>IF(ISBLANK(patch[[#This Row],[mergeDate]]), "", MID(YEAR(patch[[#This Row],[mergeDate]]), 3,2)&amp;"'ww"&amp;WEEKNUM(patch[[#This Row],[mergeDate]]))</f>
        <v>16'ww37</v>
      </c>
      <c r="U2085" s="7" t="str">
        <f>IF(ISBLANK(patch[[#This Row],[mergeDate]]), U2084, MID(YEAR(patch[[#This Row],[mergeDate]]), 3,2)&amp;"'m"&amp;MONTH(patch[[#This Row],[mergeDate]]))</f>
        <v>16'm9</v>
      </c>
      <c r="V2085" s="7" t="str">
        <f>IF(ISBLANK(patch[[#This Row],[project]]), "",SUM(patch[[#This Row],[BJ -1 num]:[SH -1 num]]))</f>
        <v/>
      </c>
      <c r="W2085" s="7" t="str">
        <f>IF(ISBLANK(patch[[#This Row],[project]]), "",COUNTIFS($A:$A,patch[[#This Row],[number]],$S:$S, "BJ And dev",$AC:$AC, "Review-1"))</f>
        <v/>
      </c>
      <c r="X2085" s="7" t="str">
        <f>IF(ISBLANK(patch[[#This Row],[project]]), "",COUNTIFS($A:$A,patch[[#This Row],[number]],$S:$S, "FL And dev",$AC:$AC, "Review-1"))</f>
        <v/>
      </c>
      <c r="Y2085" s="7" t="str">
        <f>IF(ISBLANK(patch[[#This Row],[project]]), "",COUNTIFS($A:$A,patch[[#This Row],[number]],$S:$S, "SH And dev",$AC:$AC, "Review-1"))</f>
        <v/>
      </c>
      <c r="Z2085" s="7" t="str">
        <f>IF(ISBLANK(patch[[#This Row],[project]]), "",COUNTIFS($A:$A,patch[[#This Row],[number]],$S:$S, "BJ And dev",$AD:$AD, "&lt;&gt;IntegratorValidationComment"))</f>
        <v/>
      </c>
      <c r="AA2085" s="7" t="str">
        <f>IF(ISBLANK(patch[[#This Row],[project]]), "",COUNTIFS($A:$A,patch[[#This Row],[number]],$S:$S, "FL And dev",$AD:$AD, "&lt;&gt;IntegratorValidationComment"))</f>
        <v/>
      </c>
      <c r="AB2085" s="7" t="str">
        <f>IF(ISBLANK(patch[[#This Row],[project]]), "",COUNTIFS($A:$A,patch[[#This Row],[number]],$S:$S, "SH And dev",$AD:$AD, "&lt;&gt;IntegratorValidationComment"))</f>
        <v/>
      </c>
      <c r="AC2085" s="7" t="str">
        <f>IF(OR(ISNUMBER(FIND("Review-1", patch[[#This Row],[comments]])), ISNUMBER(FIND("Approver-1", patch[[#This Row],[comments]]))), "Review-1", "")</f>
        <v/>
      </c>
      <c r="AD20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85" s="7">
        <f>IF(ISBLANK(patch[[#This Row],[number]]),AE2084,patch[[#This Row],[ifCommon]])</f>
        <v>0</v>
      </c>
    </row>
    <row r="2086" spans="1:31">
      <c r="A2086" s="151">
        <v>141459</v>
      </c>
      <c r="B2086" s="151"/>
      <c r="C2086" s="151"/>
      <c r="D2086" s="151"/>
      <c r="E2086" s="151"/>
      <c r="F2086" s="151"/>
      <c r="G2086" s="151"/>
      <c r="H2086" s="151"/>
      <c r="I2086" s="151"/>
      <c r="J2086" s="152">
        <v>42621.694803240738</v>
      </c>
      <c r="K2086" s="151"/>
      <c r="L2086" s="151" t="s">
        <v>32</v>
      </c>
      <c r="M2086" s="152">
        <v>42620.657233796293</v>
      </c>
      <c r="N2086" s="151" t="s">
        <v>1896</v>
      </c>
      <c r="O2086" s="151"/>
      <c r="P2086" s="151"/>
      <c r="Q2086" s="7" t="str">
        <f>IF(ISBLANK(patch[[#This Row],[OwnerEmail]]),Q2085,patch[[#This Row],[OwnerEmail]])</f>
        <v>gang.a.hu@intel.com</v>
      </c>
      <c r="R2086" s="7" t="str">
        <f>_xlfn.IFNA(VLOOKUP(patch[[#This Row],[tmp-owner.email]],OrgTree!$A:$K, 11, 0), "not ICG SWFW")</f>
        <v>BJ And dev</v>
      </c>
      <c r="S2086" s="7" t="str">
        <f>IF(patch[[#This Row],[reviewer]]=patch[[#This Row],[tmp-owner.email]], "author", _xlfn.IFNA(VLOOKUP(patch[[#This Row],[reviewer]],OrgTree!$A:$K, 11, 0), "not ICG SWFW"))</f>
        <v>author</v>
      </c>
      <c r="T2086" s="7" t="str">
        <f>IF(ISBLANK(patch[[#This Row],[mergeDate]]), "", MID(YEAR(patch[[#This Row],[mergeDate]]), 3,2)&amp;"'ww"&amp;WEEKNUM(patch[[#This Row],[mergeDate]]))</f>
        <v>16'ww37</v>
      </c>
      <c r="U2086" s="7" t="str">
        <f>IF(ISBLANK(patch[[#This Row],[mergeDate]]), U2085, MID(YEAR(patch[[#This Row],[mergeDate]]), 3,2)&amp;"'m"&amp;MONTH(patch[[#This Row],[mergeDate]]))</f>
        <v>16'm9</v>
      </c>
      <c r="V2086" s="7" t="str">
        <f>IF(ISBLANK(patch[[#This Row],[project]]), "",SUM(patch[[#This Row],[BJ -1 num]:[SH -1 num]]))</f>
        <v/>
      </c>
      <c r="W2086" s="7" t="str">
        <f>IF(ISBLANK(patch[[#This Row],[project]]), "",COUNTIFS($A:$A,patch[[#This Row],[number]],$S:$S, "BJ And dev",$AC:$AC, "Review-1"))</f>
        <v/>
      </c>
      <c r="X2086" s="7" t="str">
        <f>IF(ISBLANK(patch[[#This Row],[project]]), "",COUNTIFS($A:$A,patch[[#This Row],[number]],$S:$S, "FL And dev",$AC:$AC, "Review-1"))</f>
        <v/>
      </c>
      <c r="Y2086" s="7" t="str">
        <f>IF(ISBLANK(patch[[#This Row],[project]]), "",COUNTIFS($A:$A,patch[[#This Row],[number]],$S:$S, "SH And dev",$AC:$AC, "Review-1"))</f>
        <v/>
      </c>
      <c r="Z2086" s="7" t="str">
        <f>IF(ISBLANK(patch[[#This Row],[project]]), "",COUNTIFS($A:$A,patch[[#This Row],[number]],$S:$S, "BJ And dev",$AD:$AD, "&lt;&gt;IntegratorValidationComment"))</f>
        <v/>
      </c>
      <c r="AA2086" s="7" t="str">
        <f>IF(ISBLANK(patch[[#This Row],[project]]), "",COUNTIFS($A:$A,patch[[#This Row],[number]],$S:$S, "FL And dev",$AD:$AD, "&lt;&gt;IntegratorValidationComment"))</f>
        <v/>
      </c>
      <c r="AB2086" s="7" t="str">
        <f>IF(ISBLANK(patch[[#This Row],[project]]), "",COUNTIFS($A:$A,patch[[#This Row],[number]],$S:$S, "SH And dev",$AD:$AD, "&lt;&gt;IntegratorValidationComment"))</f>
        <v/>
      </c>
      <c r="AC2086" s="7" t="str">
        <f>IF(OR(ISNUMBER(FIND("Review-1", patch[[#This Row],[comments]])), ISNUMBER(FIND("Approver-1", patch[[#This Row],[comments]]))), "Review-1", "")</f>
        <v/>
      </c>
      <c r="AD20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86" s="7">
        <f>IF(ISBLANK(patch[[#This Row],[number]]),AE2085,patch[[#This Row],[ifCommon]])</f>
        <v>0</v>
      </c>
    </row>
    <row r="2087" spans="1:31">
      <c r="A2087" s="151">
        <v>141459</v>
      </c>
      <c r="B2087" s="151"/>
      <c r="C2087" s="151"/>
      <c r="D2087" s="151"/>
      <c r="E2087" s="151"/>
      <c r="F2087" s="151"/>
      <c r="G2087" s="151"/>
      <c r="H2087" s="151"/>
      <c r="I2087" s="151"/>
      <c r="J2087" s="152">
        <v>42621.694803240738</v>
      </c>
      <c r="K2087" s="151"/>
      <c r="L2087" s="151" t="s">
        <v>32</v>
      </c>
      <c r="M2087" s="152">
        <v>42620.657731481479</v>
      </c>
      <c r="N2087" s="151" t="s">
        <v>1867</v>
      </c>
      <c r="O2087" s="151"/>
      <c r="P2087" s="151"/>
      <c r="Q2087" s="7" t="str">
        <f>IF(ISBLANK(patch[[#This Row],[OwnerEmail]]),Q2086,patch[[#This Row],[OwnerEmail]])</f>
        <v>gang.a.hu@intel.com</v>
      </c>
      <c r="R2087" s="7" t="str">
        <f>_xlfn.IFNA(VLOOKUP(patch[[#This Row],[tmp-owner.email]],OrgTree!$A:$K, 11, 0), "not ICG SWFW")</f>
        <v>BJ And dev</v>
      </c>
      <c r="S2087" s="7" t="str">
        <f>IF(patch[[#This Row],[reviewer]]=patch[[#This Row],[tmp-owner.email]], "author", _xlfn.IFNA(VLOOKUP(patch[[#This Row],[reviewer]],OrgTree!$A:$K, 11, 0), "not ICG SWFW"))</f>
        <v>author</v>
      </c>
      <c r="T2087" s="7" t="str">
        <f>IF(ISBLANK(patch[[#This Row],[mergeDate]]), "", MID(YEAR(patch[[#This Row],[mergeDate]]), 3,2)&amp;"'ww"&amp;WEEKNUM(patch[[#This Row],[mergeDate]]))</f>
        <v>16'ww37</v>
      </c>
      <c r="U2087" s="7" t="str">
        <f>IF(ISBLANK(patch[[#This Row],[mergeDate]]), U2086, MID(YEAR(patch[[#This Row],[mergeDate]]), 3,2)&amp;"'m"&amp;MONTH(patch[[#This Row],[mergeDate]]))</f>
        <v>16'm9</v>
      </c>
      <c r="V2087" s="7" t="str">
        <f>IF(ISBLANK(patch[[#This Row],[project]]), "",SUM(patch[[#This Row],[BJ -1 num]:[SH -1 num]]))</f>
        <v/>
      </c>
      <c r="W2087" s="7" t="str">
        <f>IF(ISBLANK(patch[[#This Row],[project]]), "",COUNTIFS($A:$A,patch[[#This Row],[number]],$S:$S, "BJ And dev",$AC:$AC, "Review-1"))</f>
        <v/>
      </c>
      <c r="X2087" s="7" t="str">
        <f>IF(ISBLANK(patch[[#This Row],[project]]), "",COUNTIFS($A:$A,patch[[#This Row],[number]],$S:$S, "FL And dev",$AC:$AC, "Review-1"))</f>
        <v/>
      </c>
      <c r="Y2087" s="7" t="str">
        <f>IF(ISBLANK(patch[[#This Row],[project]]), "",COUNTIFS($A:$A,patch[[#This Row],[number]],$S:$S, "SH And dev",$AC:$AC, "Review-1"))</f>
        <v/>
      </c>
      <c r="Z2087" s="7" t="str">
        <f>IF(ISBLANK(patch[[#This Row],[project]]), "",COUNTIFS($A:$A,patch[[#This Row],[number]],$S:$S, "BJ And dev",$AD:$AD, "&lt;&gt;IntegratorValidationComment"))</f>
        <v/>
      </c>
      <c r="AA2087" s="7" t="str">
        <f>IF(ISBLANK(patch[[#This Row],[project]]), "",COUNTIFS($A:$A,patch[[#This Row],[number]],$S:$S, "FL And dev",$AD:$AD, "&lt;&gt;IntegratorValidationComment"))</f>
        <v/>
      </c>
      <c r="AB2087" s="7" t="str">
        <f>IF(ISBLANK(patch[[#This Row],[project]]), "",COUNTIFS($A:$A,patch[[#This Row],[number]],$S:$S, "SH And dev",$AD:$AD, "&lt;&gt;IntegratorValidationComment"))</f>
        <v/>
      </c>
      <c r="AC2087" s="7" t="str">
        <f>IF(OR(ISNUMBER(FIND("Review-1", patch[[#This Row],[comments]])), ISNUMBER(FIND("Approver-1", patch[[#This Row],[comments]]))), "Review-1", "")</f>
        <v/>
      </c>
      <c r="AD20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87" s="7">
        <f>IF(ISBLANK(patch[[#This Row],[number]]),AE2086,patch[[#This Row],[ifCommon]])</f>
        <v>0</v>
      </c>
    </row>
    <row r="2088" spans="1:31">
      <c r="A2088" s="151">
        <v>141459</v>
      </c>
      <c r="B2088" s="151"/>
      <c r="C2088" s="151"/>
      <c r="D2088" s="151"/>
      <c r="E2088" s="151"/>
      <c r="F2088" s="151"/>
      <c r="G2088" s="151"/>
      <c r="H2088" s="151"/>
      <c r="I2088" s="151"/>
      <c r="J2088" s="152">
        <v>42621.694803240738</v>
      </c>
      <c r="K2088" s="151"/>
      <c r="L2088" s="151" t="s">
        <v>59</v>
      </c>
      <c r="M2088" s="152">
        <v>42620.661122685182</v>
      </c>
      <c r="N2088" s="151" t="s">
        <v>3620</v>
      </c>
      <c r="O2088" s="151"/>
      <c r="P2088" s="151"/>
      <c r="Q2088" s="7" t="str">
        <f>IF(ISBLANK(patch[[#This Row],[OwnerEmail]]),Q2087,patch[[#This Row],[OwnerEmail]])</f>
        <v>gang.a.hu@intel.com</v>
      </c>
      <c r="R2088" s="7" t="str">
        <f>_xlfn.IFNA(VLOOKUP(patch[[#This Row],[tmp-owner.email]],OrgTree!$A:$K, 11, 0), "not ICG SWFW")</f>
        <v>BJ And dev</v>
      </c>
      <c r="S2088" s="7" t="str">
        <f>IF(patch[[#This Row],[reviewer]]=patch[[#This Row],[tmp-owner.email]], "author", _xlfn.IFNA(VLOOKUP(patch[[#This Row],[reviewer]],OrgTree!$A:$K, 11, 0), "not ICG SWFW"))</f>
        <v>BJ And dev</v>
      </c>
      <c r="T2088" s="7" t="str">
        <f>IF(ISBLANK(patch[[#This Row],[mergeDate]]), "", MID(YEAR(patch[[#This Row],[mergeDate]]), 3,2)&amp;"'ww"&amp;WEEKNUM(patch[[#This Row],[mergeDate]]))</f>
        <v>16'ww37</v>
      </c>
      <c r="U2088" s="7" t="str">
        <f>IF(ISBLANK(patch[[#This Row],[mergeDate]]), U2087, MID(YEAR(patch[[#This Row],[mergeDate]]), 3,2)&amp;"'m"&amp;MONTH(patch[[#This Row],[mergeDate]]))</f>
        <v>16'm9</v>
      </c>
      <c r="V2088" s="7" t="str">
        <f>IF(ISBLANK(patch[[#This Row],[project]]), "",SUM(patch[[#This Row],[BJ -1 num]:[SH -1 num]]))</f>
        <v/>
      </c>
      <c r="W2088" s="7" t="str">
        <f>IF(ISBLANK(patch[[#This Row],[project]]), "",COUNTIFS($A:$A,patch[[#This Row],[number]],$S:$S, "BJ And dev",$AC:$AC, "Review-1"))</f>
        <v/>
      </c>
      <c r="X2088" s="7" t="str">
        <f>IF(ISBLANK(patch[[#This Row],[project]]), "",COUNTIFS($A:$A,patch[[#This Row],[number]],$S:$S, "FL And dev",$AC:$AC, "Review-1"))</f>
        <v/>
      </c>
      <c r="Y2088" s="7" t="str">
        <f>IF(ISBLANK(patch[[#This Row],[project]]), "",COUNTIFS($A:$A,patch[[#This Row],[number]],$S:$S, "SH And dev",$AC:$AC, "Review-1"))</f>
        <v/>
      </c>
      <c r="Z2088" s="7" t="str">
        <f>IF(ISBLANK(patch[[#This Row],[project]]), "",COUNTIFS($A:$A,patch[[#This Row],[number]],$S:$S, "BJ And dev",$AD:$AD, "&lt;&gt;IntegratorValidationComment"))</f>
        <v/>
      </c>
      <c r="AA2088" s="7" t="str">
        <f>IF(ISBLANK(patch[[#This Row],[project]]), "",COUNTIFS($A:$A,patch[[#This Row],[number]],$S:$S, "FL And dev",$AD:$AD, "&lt;&gt;IntegratorValidationComment"))</f>
        <v/>
      </c>
      <c r="AB2088" s="7" t="str">
        <f>IF(ISBLANK(patch[[#This Row],[project]]), "",COUNTIFS($A:$A,patch[[#This Row],[number]],$S:$S, "SH And dev",$AD:$AD, "&lt;&gt;IntegratorValidationComment"))</f>
        <v/>
      </c>
      <c r="AC2088" s="7" t="str">
        <f>IF(OR(ISNUMBER(FIND("Review-1", patch[[#This Row],[comments]])), ISNUMBER(FIND("Approver-1", patch[[#This Row],[comments]]))), "Review-1", "")</f>
        <v/>
      </c>
      <c r="AD20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88" s="7">
        <f>IF(ISBLANK(patch[[#This Row],[number]]),AE2087,patch[[#This Row],[ifCommon]])</f>
        <v>0</v>
      </c>
    </row>
    <row r="2089" spans="1:31">
      <c r="A2089" s="151">
        <v>141459</v>
      </c>
      <c r="B2089" s="151"/>
      <c r="C2089" s="151"/>
      <c r="D2089" s="151"/>
      <c r="E2089" s="151"/>
      <c r="F2089" s="151"/>
      <c r="G2089" s="151"/>
      <c r="H2089" s="151"/>
      <c r="I2089" s="151"/>
      <c r="J2089" s="152">
        <v>42621.694803240738</v>
      </c>
      <c r="K2089" s="151"/>
      <c r="L2089" s="151" t="s">
        <v>59</v>
      </c>
      <c r="M2089" s="152">
        <v>42620.662083333344</v>
      </c>
      <c r="N2089" s="151" t="s">
        <v>3621</v>
      </c>
      <c r="O2089" s="151"/>
      <c r="P2089" s="151"/>
      <c r="Q2089" s="7" t="str">
        <f>IF(ISBLANK(patch[[#This Row],[OwnerEmail]]),Q2088,patch[[#This Row],[OwnerEmail]])</f>
        <v>gang.a.hu@intel.com</v>
      </c>
      <c r="R2089" s="7" t="str">
        <f>_xlfn.IFNA(VLOOKUP(patch[[#This Row],[tmp-owner.email]],OrgTree!$A:$K, 11, 0), "not ICG SWFW")</f>
        <v>BJ And dev</v>
      </c>
      <c r="S2089" s="7" t="str">
        <f>IF(patch[[#This Row],[reviewer]]=patch[[#This Row],[tmp-owner.email]], "author", _xlfn.IFNA(VLOOKUP(patch[[#This Row],[reviewer]],OrgTree!$A:$K, 11, 0), "not ICG SWFW"))</f>
        <v>BJ And dev</v>
      </c>
      <c r="T2089" s="7" t="str">
        <f>IF(ISBLANK(patch[[#This Row],[mergeDate]]), "", MID(YEAR(patch[[#This Row],[mergeDate]]), 3,2)&amp;"'ww"&amp;WEEKNUM(patch[[#This Row],[mergeDate]]))</f>
        <v>16'ww37</v>
      </c>
      <c r="U2089" s="7" t="str">
        <f>IF(ISBLANK(patch[[#This Row],[mergeDate]]), U2088, MID(YEAR(patch[[#This Row],[mergeDate]]), 3,2)&amp;"'m"&amp;MONTH(patch[[#This Row],[mergeDate]]))</f>
        <v>16'm9</v>
      </c>
      <c r="V2089" s="7" t="str">
        <f>IF(ISBLANK(patch[[#This Row],[project]]), "",SUM(patch[[#This Row],[BJ -1 num]:[SH -1 num]]))</f>
        <v/>
      </c>
      <c r="W2089" s="7" t="str">
        <f>IF(ISBLANK(patch[[#This Row],[project]]), "",COUNTIFS($A:$A,patch[[#This Row],[number]],$S:$S, "BJ And dev",$AC:$AC, "Review-1"))</f>
        <v/>
      </c>
      <c r="X2089" s="7" t="str">
        <f>IF(ISBLANK(patch[[#This Row],[project]]), "",COUNTIFS($A:$A,patch[[#This Row],[number]],$S:$S, "FL And dev",$AC:$AC, "Review-1"))</f>
        <v/>
      </c>
      <c r="Y2089" s="7" t="str">
        <f>IF(ISBLANK(patch[[#This Row],[project]]), "",COUNTIFS($A:$A,patch[[#This Row],[number]],$S:$S, "SH And dev",$AC:$AC, "Review-1"))</f>
        <v/>
      </c>
      <c r="Z2089" s="7" t="str">
        <f>IF(ISBLANK(patch[[#This Row],[project]]), "",COUNTIFS($A:$A,patch[[#This Row],[number]],$S:$S, "BJ And dev",$AD:$AD, "&lt;&gt;IntegratorValidationComment"))</f>
        <v/>
      </c>
      <c r="AA2089" s="7" t="str">
        <f>IF(ISBLANK(patch[[#This Row],[project]]), "",COUNTIFS($A:$A,patch[[#This Row],[number]],$S:$S, "FL And dev",$AD:$AD, "&lt;&gt;IntegratorValidationComment"))</f>
        <v/>
      </c>
      <c r="AB2089" s="7" t="str">
        <f>IF(ISBLANK(patch[[#This Row],[project]]), "",COUNTIFS($A:$A,patch[[#This Row],[number]],$S:$S, "SH And dev",$AD:$AD, "&lt;&gt;IntegratorValidationComment"))</f>
        <v/>
      </c>
      <c r="AC2089" s="7" t="str">
        <f>IF(OR(ISNUMBER(FIND("Review-1", patch[[#This Row],[comments]])), ISNUMBER(FIND("Approver-1", patch[[#This Row],[comments]]))), "Review-1", "")</f>
        <v/>
      </c>
      <c r="AD20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89" s="7">
        <f>IF(ISBLANK(patch[[#This Row],[number]]),AE2088,patch[[#This Row],[ifCommon]])</f>
        <v>0</v>
      </c>
    </row>
    <row r="2090" spans="1:31">
      <c r="A2090" s="151">
        <v>141459</v>
      </c>
      <c r="B2090" s="151"/>
      <c r="C2090" s="151"/>
      <c r="D2090" s="151"/>
      <c r="E2090" s="151"/>
      <c r="F2090" s="151"/>
      <c r="G2090" s="151"/>
      <c r="H2090" s="151"/>
      <c r="I2090" s="151"/>
      <c r="J2090" s="152">
        <v>42621.694803240738</v>
      </c>
      <c r="K2090" s="151"/>
      <c r="L2090" s="151" t="s">
        <v>32</v>
      </c>
      <c r="M2090" s="152">
        <v>42620.672453703701</v>
      </c>
      <c r="N2090" s="151" t="s">
        <v>2569</v>
      </c>
      <c r="O2090" s="151"/>
      <c r="P2090" s="151"/>
      <c r="Q2090" s="7" t="str">
        <f>IF(ISBLANK(patch[[#This Row],[OwnerEmail]]),Q2089,patch[[#This Row],[OwnerEmail]])</f>
        <v>gang.a.hu@intel.com</v>
      </c>
      <c r="R2090" s="7" t="str">
        <f>_xlfn.IFNA(VLOOKUP(patch[[#This Row],[tmp-owner.email]],OrgTree!$A:$K, 11, 0), "not ICG SWFW")</f>
        <v>BJ And dev</v>
      </c>
      <c r="S2090" s="7" t="str">
        <f>IF(patch[[#This Row],[reviewer]]=patch[[#This Row],[tmp-owner.email]], "author", _xlfn.IFNA(VLOOKUP(patch[[#This Row],[reviewer]],OrgTree!$A:$K, 11, 0), "not ICG SWFW"))</f>
        <v>author</v>
      </c>
      <c r="T2090" s="7" t="str">
        <f>IF(ISBLANK(patch[[#This Row],[mergeDate]]), "", MID(YEAR(patch[[#This Row],[mergeDate]]), 3,2)&amp;"'ww"&amp;WEEKNUM(patch[[#This Row],[mergeDate]]))</f>
        <v>16'ww37</v>
      </c>
      <c r="U2090" s="7" t="str">
        <f>IF(ISBLANK(patch[[#This Row],[mergeDate]]), U2089, MID(YEAR(patch[[#This Row],[mergeDate]]), 3,2)&amp;"'m"&amp;MONTH(patch[[#This Row],[mergeDate]]))</f>
        <v>16'm9</v>
      </c>
      <c r="V2090" s="7" t="str">
        <f>IF(ISBLANK(patch[[#This Row],[project]]), "",SUM(patch[[#This Row],[BJ -1 num]:[SH -1 num]]))</f>
        <v/>
      </c>
      <c r="W2090" s="7" t="str">
        <f>IF(ISBLANK(patch[[#This Row],[project]]), "",COUNTIFS($A:$A,patch[[#This Row],[number]],$S:$S, "BJ And dev",$AC:$AC, "Review-1"))</f>
        <v/>
      </c>
      <c r="X2090" s="7" t="str">
        <f>IF(ISBLANK(patch[[#This Row],[project]]), "",COUNTIFS($A:$A,patch[[#This Row],[number]],$S:$S, "FL And dev",$AC:$AC, "Review-1"))</f>
        <v/>
      </c>
      <c r="Y2090" s="7" t="str">
        <f>IF(ISBLANK(patch[[#This Row],[project]]), "",COUNTIFS($A:$A,patch[[#This Row],[number]],$S:$S, "SH And dev",$AC:$AC, "Review-1"))</f>
        <v/>
      </c>
      <c r="Z2090" s="7" t="str">
        <f>IF(ISBLANK(patch[[#This Row],[project]]), "",COUNTIFS($A:$A,patch[[#This Row],[number]],$S:$S, "BJ And dev",$AD:$AD, "&lt;&gt;IntegratorValidationComment"))</f>
        <v/>
      </c>
      <c r="AA2090" s="7" t="str">
        <f>IF(ISBLANK(patch[[#This Row],[project]]), "",COUNTIFS($A:$A,patch[[#This Row],[number]],$S:$S, "FL And dev",$AD:$AD, "&lt;&gt;IntegratorValidationComment"))</f>
        <v/>
      </c>
      <c r="AB2090" s="7" t="str">
        <f>IF(ISBLANK(patch[[#This Row],[project]]), "",COUNTIFS($A:$A,patch[[#This Row],[number]],$S:$S, "SH And dev",$AD:$AD, "&lt;&gt;IntegratorValidationComment"))</f>
        <v/>
      </c>
      <c r="AC2090" s="7" t="str">
        <f>IF(OR(ISNUMBER(FIND("Review-1", patch[[#This Row],[comments]])), ISNUMBER(FIND("Approver-1", patch[[#This Row],[comments]]))), "Review-1", "")</f>
        <v/>
      </c>
      <c r="AD20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90" s="7">
        <f>IF(ISBLANK(patch[[#This Row],[number]]),AE2089,patch[[#This Row],[ifCommon]])</f>
        <v>0</v>
      </c>
    </row>
    <row r="2091" spans="1:31">
      <c r="A2091" s="151">
        <v>141459</v>
      </c>
      <c r="B2091" s="151"/>
      <c r="C2091" s="151"/>
      <c r="D2091" s="151"/>
      <c r="E2091" s="151"/>
      <c r="F2091" s="151"/>
      <c r="G2091" s="151"/>
      <c r="H2091" s="151"/>
      <c r="I2091" s="151"/>
      <c r="J2091" s="152">
        <v>42621.694803240738</v>
      </c>
      <c r="K2091" s="151"/>
      <c r="L2091" s="151" t="s">
        <v>32</v>
      </c>
      <c r="M2091" s="152">
        <v>42620.672465277778</v>
      </c>
      <c r="N2091" s="151" t="s">
        <v>2469</v>
      </c>
      <c r="O2091" s="151"/>
      <c r="P2091" s="151"/>
      <c r="Q2091" s="7" t="str">
        <f>IF(ISBLANK(patch[[#This Row],[OwnerEmail]]),Q2090,patch[[#This Row],[OwnerEmail]])</f>
        <v>gang.a.hu@intel.com</v>
      </c>
      <c r="R2091" s="7" t="str">
        <f>_xlfn.IFNA(VLOOKUP(patch[[#This Row],[tmp-owner.email]],OrgTree!$A:$K, 11, 0), "not ICG SWFW")</f>
        <v>BJ And dev</v>
      </c>
      <c r="S2091" s="7" t="str">
        <f>IF(patch[[#This Row],[reviewer]]=patch[[#This Row],[tmp-owner.email]], "author", _xlfn.IFNA(VLOOKUP(patch[[#This Row],[reviewer]],OrgTree!$A:$K, 11, 0), "not ICG SWFW"))</f>
        <v>author</v>
      </c>
      <c r="T2091" s="7" t="str">
        <f>IF(ISBLANK(patch[[#This Row],[mergeDate]]), "", MID(YEAR(patch[[#This Row],[mergeDate]]), 3,2)&amp;"'ww"&amp;WEEKNUM(patch[[#This Row],[mergeDate]]))</f>
        <v>16'ww37</v>
      </c>
      <c r="U2091" s="7" t="str">
        <f>IF(ISBLANK(patch[[#This Row],[mergeDate]]), U2090, MID(YEAR(patch[[#This Row],[mergeDate]]), 3,2)&amp;"'m"&amp;MONTH(patch[[#This Row],[mergeDate]]))</f>
        <v>16'm9</v>
      </c>
      <c r="V2091" s="7" t="str">
        <f>IF(ISBLANK(patch[[#This Row],[project]]), "",SUM(patch[[#This Row],[BJ -1 num]:[SH -1 num]]))</f>
        <v/>
      </c>
      <c r="W2091" s="7" t="str">
        <f>IF(ISBLANK(patch[[#This Row],[project]]), "",COUNTIFS($A:$A,patch[[#This Row],[number]],$S:$S, "BJ And dev",$AC:$AC, "Review-1"))</f>
        <v/>
      </c>
      <c r="X2091" s="7" t="str">
        <f>IF(ISBLANK(patch[[#This Row],[project]]), "",COUNTIFS($A:$A,patch[[#This Row],[number]],$S:$S, "FL And dev",$AC:$AC, "Review-1"))</f>
        <v/>
      </c>
      <c r="Y2091" s="7" t="str">
        <f>IF(ISBLANK(patch[[#This Row],[project]]), "",COUNTIFS($A:$A,patch[[#This Row],[number]],$S:$S, "SH And dev",$AC:$AC, "Review-1"))</f>
        <v/>
      </c>
      <c r="Z2091" s="7" t="str">
        <f>IF(ISBLANK(patch[[#This Row],[project]]), "",COUNTIFS($A:$A,patch[[#This Row],[number]],$S:$S, "BJ And dev",$AD:$AD, "&lt;&gt;IntegratorValidationComment"))</f>
        <v/>
      </c>
      <c r="AA2091" s="7" t="str">
        <f>IF(ISBLANK(patch[[#This Row],[project]]), "",COUNTIFS($A:$A,patch[[#This Row],[number]],$S:$S, "FL And dev",$AD:$AD, "&lt;&gt;IntegratorValidationComment"))</f>
        <v/>
      </c>
      <c r="AB2091" s="7" t="str">
        <f>IF(ISBLANK(patch[[#This Row],[project]]), "",COUNTIFS($A:$A,patch[[#This Row],[number]],$S:$S, "SH And dev",$AD:$AD, "&lt;&gt;IntegratorValidationComment"))</f>
        <v/>
      </c>
      <c r="AC2091" s="7" t="str">
        <f>IF(OR(ISNUMBER(FIND("Review-1", patch[[#This Row],[comments]])), ISNUMBER(FIND("Approver-1", patch[[#This Row],[comments]]))), "Review-1", "")</f>
        <v/>
      </c>
      <c r="AD20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91" s="7">
        <f>IF(ISBLANK(patch[[#This Row],[number]]),AE2090,patch[[#This Row],[ifCommon]])</f>
        <v>0</v>
      </c>
    </row>
    <row r="2092" spans="1:31">
      <c r="A2092" s="151">
        <v>141459</v>
      </c>
      <c r="B2092" s="151"/>
      <c r="C2092" s="151"/>
      <c r="D2092" s="151"/>
      <c r="E2092" s="151"/>
      <c r="F2092" s="151"/>
      <c r="G2092" s="151"/>
      <c r="H2092" s="151"/>
      <c r="I2092" s="151"/>
      <c r="J2092" s="152">
        <v>42621.694803240738</v>
      </c>
      <c r="K2092" s="151"/>
      <c r="L2092" s="151" t="s">
        <v>59</v>
      </c>
      <c r="M2092" s="152">
        <v>42620.675497685188</v>
      </c>
      <c r="N2092" s="151" t="s">
        <v>3622</v>
      </c>
      <c r="O2092" s="151"/>
      <c r="P2092" s="151"/>
      <c r="Q2092" s="7" t="str">
        <f>IF(ISBLANK(patch[[#This Row],[OwnerEmail]]),Q2091,patch[[#This Row],[OwnerEmail]])</f>
        <v>gang.a.hu@intel.com</v>
      </c>
      <c r="R2092" s="7" t="str">
        <f>_xlfn.IFNA(VLOOKUP(patch[[#This Row],[tmp-owner.email]],OrgTree!$A:$K, 11, 0), "not ICG SWFW")</f>
        <v>BJ And dev</v>
      </c>
      <c r="S2092" s="7" t="str">
        <f>IF(patch[[#This Row],[reviewer]]=patch[[#This Row],[tmp-owner.email]], "author", _xlfn.IFNA(VLOOKUP(patch[[#This Row],[reviewer]],OrgTree!$A:$K, 11, 0), "not ICG SWFW"))</f>
        <v>BJ And dev</v>
      </c>
      <c r="T2092" s="7" t="str">
        <f>IF(ISBLANK(patch[[#This Row],[mergeDate]]), "", MID(YEAR(patch[[#This Row],[mergeDate]]), 3,2)&amp;"'ww"&amp;WEEKNUM(patch[[#This Row],[mergeDate]]))</f>
        <v>16'ww37</v>
      </c>
      <c r="U2092" s="7" t="str">
        <f>IF(ISBLANK(patch[[#This Row],[mergeDate]]), U2091, MID(YEAR(patch[[#This Row],[mergeDate]]), 3,2)&amp;"'m"&amp;MONTH(patch[[#This Row],[mergeDate]]))</f>
        <v>16'm9</v>
      </c>
      <c r="V2092" s="7" t="str">
        <f>IF(ISBLANK(patch[[#This Row],[project]]), "",SUM(patch[[#This Row],[BJ -1 num]:[SH -1 num]]))</f>
        <v/>
      </c>
      <c r="W2092" s="7" t="str">
        <f>IF(ISBLANK(patch[[#This Row],[project]]), "",COUNTIFS($A:$A,patch[[#This Row],[number]],$S:$S, "BJ And dev",$AC:$AC, "Review-1"))</f>
        <v/>
      </c>
      <c r="X2092" s="7" t="str">
        <f>IF(ISBLANK(patch[[#This Row],[project]]), "",COUNTIFS($A:$A,patch[[#This Row],[number]],$S:$S, "FL And dev",$AC:$AC, "Review-1"))</f>
        <v/>
      </c>
      <c r="Y2092" s="7" t="str">
        <f>IF(ISBLANK(patch[[#This Row],[project]]), "",COUNTIFS($A:$A,patch[[#This Row],[number]],$S:$S, "SH And dev",$AC:$AC, "Review-1"))</f>
        <v/>
      </c>
      <c r="Z2092" s="7" t="str">
        <f>IF(ISBLANK(patch[[#This Row],[project]]), "",COUNTIFS($A:$A,patch[[#This Row],[number]],$S:$S, "BJ And dev",$AD:$AD, "&lt;&gt;IntegratorValidationComment"))</f>
        <v/>
      </c>
      <c r="AA2092" s="7" t="str">
        <f>IF(ISBLANK(patch[[#This Row],[project]]), "",COUNTIFS($A:$A,patch[[#This Row],[number]],$S:$S, "FL And dev",$AD:$AD, "&lt;&gt;IntegratorValidationComment"))</f>
        <v/>
      </c>
      <c r="AB2092" s="7" t="str">
        <f>IF(ISBLANK(patch[[#This Row],[project]]), "",COUNTIFS($A:$A,patch[[#This Row],[number]],$S:$S, "SH And dev",$AD:$AD, "&lt;&gt;IntegratorValidationComment"))</f>
        <v/>
      </c>
      <c r="AC2092" s="7" t="str">
        <f>IF(OR(ISNUMBER(FIND("Review-1", patch[[#This Row],[comments]])), ISNUMBER(FIND("Approver-1", patch[[#This Row],[comments]]))), "Review-1", "")</f>
        <v/>
      </c>
      <c r="AD20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92" s="7">
        <f>IF(ISBLANK(patch[[#This Row],[number]]),AE2091,patch[[#This Row],[ifCommon]])</f>
        <v>0</v>
      </c>
    </row>
    <row r="2093" spans="1:31">
      <c r="A2093" s="151">
        <v>141459</v>
      </c>
      <c r="B2093" s="151"/>
      <c r="C2093" s="151"/>
      <c r="D2093" s="151"/>
      <c r="E2093" s="151"/>
      <c r="F2093" s="151"/>
      <c r="G2093" s="151"/>
      <c r="H2093" s="151"/>
      <c r="I2093" s="151"/>
      <c r="J2093" s="152">
        <v>42621.694803240738</v>
      </c>
      <c r="K2093" s="151"/>
      <c r="L2093" s="151" t="s">
        <v>55</v>
      </c>
      <c r="M2093" s="152">
        <v>42620.722500000003</v>
      </c>
      <c r="N2093" s="151" t="s">
        <v>1914</v>
      </c>
      <c r="O2093" s="151"/>
      <c r="P2093" s="151"/>
      <c r="Q2093" s="7" t="str">
        <f>IF(ISBLANK(patch[[#This Row],[OwnerEmail]]),Q2092,patch[[#This Row],[OwnerEmail]])</f>
        <v>gang.a.hu@intel.com</v>
      </c>
      <c r="R2093" s="7" t="str">
        <f>_xlfn.IFNA(VLOOKUP(patch[[#This Row],[tmp-owner.email]],OrgTree!$A:$K, 11, 0), "not ICG SWFW")</f>
        <v>BJ And dev</v>
      </c>
      <c r="S2093" s="7" t="str">
        <f>IF(patch[[#This Row],[reviewer]]=patch[[#This Row],[tmp-owner.email]], "author", _xlfn.IFNA(VLOOKUP(patch[[#This Row],[reviewer]],OrgTree!$A:$K, 11, 0), "not ICG SWFW"))</f>
        <v>BJ And dev</v>
      </c>
      <c r="T2093" s="7" t="str">
        <f>IF(ISBLANK(patch[[#This Row],[mergeDate]]), "", MID(YEAR(patch[[#This Row],[mergeDate]]), 3,2)&amp;"'ww"&amp;WEEKNUM(patch[[#This Row],[mergeDate]]))</f>
        <v>16'ww37</v>
      </c>
      <c r="U2093" s="7" t="str">
        <f>IF(ISBLANK(patch[[#This Row],[mergeDate]]), U2092, MID(YEAR(patch[[#This Row],[mergeDate]]), 3,2)&amp;"'m"&amp;MONTH(patch[[#This Row],[mergeDate]]))</f>
        <v>16'm9</v>
      </c>
      <c r="V2093" s="7" t="str">
        <f>IF(ISBLANK(patch[[#This Row],[project]]), "",SUM(patch[[#This Row],[BJ -1 num]:[SH -1 num]]))</f>
        <v/>
      </c>
      <c r="W2093" s="7" t="str">
        <f>IF(ISBLANK(patch[[#This Row],[project]]), "",COUNTIFS($A:$A,patch[[#This Row],[number]],$S:$S, "BJ And dev",$AC:$AC, "Review-1"))</f>
        <v/>
      </c>
      <c r="X2093" s="7" t="str">
        <f>IF(ISBLANK(patch[[#This Row],[project]]), "",COUNTIFS($A:$A,patch[[#This Row],[number]],$S:$S, "FL And dev",$AC:$AC, "Review-1"))</f>
        <v/>
      </c>
      <c r="Y2093" s="7" t="str">
        <f>IF(ISBLANK(patch[[#This Row],[project]]), "",COUNTIFS($A:$A,patch[[#This Row],[number]],$S:$S, "SH And dev",$AC:$AC, "Review-1"))</f>
        <v/>
      </c>
      <c r="Z2093" s="7" t="str">
        <f>IF(ISBLANK(patch[[#This Row],[project]]), "",COUNTIFS($A:$A,patch[[#This Row],[number]],$S:$S, "BJ And dev",$AD:$AD, "&lt;&gt;IntegratorValidationComment"))</f>
        <v/>
      </c>
      <c r="AA2093" s="7" t="str">
        <f>IF(ISBLANK(patch[[#This Row],[project]]), "",COUNTIFS($A:$A,patch[[#This Row],[number]],$S:$S, "FL And dev",$AD:$AD, "&lt;&gt;IntegratorValidationComment"))</f>
        <v/>
      </c>
      <c r="AB2093" s="7" t="str">
        <f>IF(ISBLANK(patch[[#This Row],[project]]), "",COUNTIFS($A:$A,patch[[#This Row],[number]],$S:$S, "SH And dev",$AD:$AD, "&lt;&gt;IntegratorValidationComment"))</f>
        <v/>
      </c>
      <c r="AC2093" s="7" t="str">
        <f>IF(OR(ISNUMBER(FIND("Review-1", patch[[#This Row],[comments]])), ISNUMBER(FIND("Approver-1", patch[[#This Row],[comments]]))), "Review-1", "")</f>
        <v/>
      </c>
      <c r="AD20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93" s="7">
        <f>IF(ISBLANK(patch[[#This Row],[number]]),AE2092,patch[[#This Row],[ifCommon]])</f>
        <v>0</v>
      </c>
    </row>
    <row r="2094" spans="1:31">
      <c r="A2094" s="151">
        <v>141459</v>
      </c>
      <c r="B2094" s="151"/>
      <c r="C2094" s="151"/>
      <c r="D2094" s="151"/>
      <c r="E2094" s="151"/>
      <c r="F2094" s="151"/>
      <c r="G2094" s="151"/>
      <c r="H2094" s="151"/>
      <c r="I2094" s="151"/>
      <c r="J2094" s="152">
        <v>42621.694803240738</v>
      </c>
      <c r="K2094" s="151"/>
      <c r="L2094" s="151" t="s">
        <v>115</v>
      </c>
      <c r="M2094" s="152">
        <v>42621.41978009259</v>
      </c>
      <c r="N2094" s="151" t="s">
        <v>2531</v>
      </c>
      <c r="O2094" s="151"/>
      <c r="P2094" s="151"/>
      <c r="Q2094" s="7" t="str">
        <f>IF(ISBLANK(patch[[#This Row],[OwnerEmail]]),Q2093,patch[[#This Row],[OwnerEmail]])</f>
        <v>gang.a.hu@intel.com</v>
      </c>
      <c r="R2094" s="7" t="str">
        <f>_xlfn.IFNA(VLOOKUP(patch[[#This Row],[tmp-owner.email]],OrgTree!$A:$K, 11, 0), "not ICG SWFW")</f>
        <v>BJ And dev</v>
      </c>
      <c r="S2094" s="7" t="str">
        <f>IF(patch[[#This Row],[reviewer]]=patch[[#This Row],[tmp-owner.email]], "author", _xlfn.IFNA(VLOOKUP(patch[[#This Row],[reviewer]],OrgTree!$A:$K, 11, 0), "not ICG SWFW"))</f>
        <v>Val</v>
      </c>
      <c r="T2094" s="7" t="str">
        <f>IF(ISBLANK(patch[[#This Row],[mergeDate]]), "", MID(YEAR(patch[[#This Row],[mergeDate]]), 3,2)&amp;"'ww"&amp;WEEKNUM(patch[[#This Row],[mergeDate]]))</f>
        <v>16'ww37</v>
      </c>
      <c r="U2094" s="7" t="str">
        <f>IF(ISBLANK(patch[[#This Row],[mergeDate]]), U2093, MID(YEAR(patch[[#This Row],[mergeDate]]), 3,2)&amp;"'m"&amp;MONTH(patch[[#This Row],[mergeDate]]))</f>
        <v>16'm9</v>
      </c>
      <c r="V2094" s="7" t="str">
        <f>IF(ISBLANK(patch[[#This Row],[project]]), "",SUM(patch[[#This Row],[BJ -1 num]:[SH -1 num]]))</f>
        <v/>
      </c>
      <c r="W2094" s="7" t="str">
        <f>IF(ISBLANK(patch[[#This Row],[project]]), "",COUNTIFS($A:$A,patch[[#This Row],[number]],$S:$S, "BJ And dev",$AC:$AC, "Review-1"))</f>
        <v/>
      </c>
      <c r="X2094" s="7" t="str">
        <f>IF(ISBLANK(patch[[#This Row],[project]]), "",COUNTIFS($A:$A,patch[[#This Row],[number]],$S:$S, "FL And dev",$AC:$AC, "Review-1"))</f>
        <v/>
      </c>
      <c r="Y2094" s="7" t="str">
        <f>IF(ISBLANK(patch[[#This Row],[project]]), "",COUNTIFS($A:$A,patch[[#This Row],[number]],$S:$S, "SH And dev",$AC:$AC, "Review-1"))</f>
        <v/>
      </c>
      <c r="Z2094" s="7" t="str">
        <f>IF(ISBLANK(patch[[#This Row],[project]]), "",COUNTIFS($A:$A,patch[[#This Row],[number]],$S:$S, "BJ And dev",$AD:$AD, "&lt;&gt;IntegratorValidationComment"))</f>
        <v/>
      </c>
      <c r="AA2094" s="7" t="str">
        <f>IF(ISBLANK(patch[[#This Row],[project]]), "",COUNTIFS($A:$A,patch[[#This Row],[number]],$S:$S, "FL And dev",$AD:$AD, "&lt;&gt;IntegratorValidationComment"))</f>
        <v/>
      </c>
      <c r="AB2094" s="7" t="str">
        <f>IF(ISBLANK(patch[[#This Row],[project]]), "",COUNTIFS($A:$A,patch[[#This Row],[number]],$S:$S, "SH And dev",$AD:$AD, "&lt;&gt;IntegratorValidationComment"))</f>
        <v/>
      </c>
      <c r="AC2094" s="7" t="str">
        <f>IF(OR(ISNUMBER(FIND("Review-1", patch[[#This Row],[comments]])), ISNUMBER(FIND("Approver-1", patch[[#This Row],[comments]]))), "Review-1", "")</f>
        <v/>
      </c>
      <c r="AD20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094" s="7">
        <f>IF(ISBLANK(patch[[#This Row],[number]]),AE2093,patch[[#This Row],[ifCommon]])</f>
        <v>0</v>
      </c>
    </row>
    <row r="2095" spans="1:31">
      <c r="A2095" s="151">
        <v>143821</v>
      </c>
      <c r="B2095" s="151" t="s">
        <v>2490</v>
      </c>
      <c r="C2095" s="151" t="s">
        <v>2491</v>
      </c>
      <c r="D2095" s="151" t="s">
        <v>3623</v>
      </c>
      <c r="E2095" s="151" t="s">
        <v>32</v>
      </c>
      <c r="F2095" s="151" t="s">
        <v>23</v>
      </c>
      <c r="G2095" s="151" t="s">
        <v>3624</v>
      </c>
      <c r="H2095" s="151" t="s">
        <v>3625</v>
      </c>
      <c r="I2095" s="152">
        <v>42620.650763888887</v>
      </c>
      <c r="J2095" s="152">
        <v>42621.694710648153</v>
      </c>
      <c r="K2095" s="151" t="s">
        <v>2445</v>
      </c>
      <c r="L2095" s="151" t="s">
        <v>32</v>
      </c>
      <c r="M2095" s="152">
        <v>42620.650763888887</v>
      </c>
      <c r="N2095" s="151" t="s">
        <v>2428</v>
      </c>
      <c r="O2095" s="151"/>
      <c r="P2095" s="151" t="s">
        <v>3626</v>
      </c>
      <c r="Q2095" s="7" t="str">
        <f>IF(ISBLANK(patch[[#This Row],[OwnerEmail]]),Q2094,patch[[#This Row],[OwnerEmail]])</f>
        <v>gang.a.hu@intel.com</v>
      </c>
      <c r="R2095" s="7" t="str">
        <f>_xlfn.IFNA(VLOOKUP(patch[[#This Row],[tmp-owner.email]],OrgTree!$A:$K, 11, 0), "not ICG SWFW")</f>
        <v>BJ And dev</v>
      </c>
      <c r="S2095" s="7" t="str">
        <f>IF(patch[[#This Row],[reviewer]]=patch[[#This Row],[tmp-owner.email]], "author", _xlfn.IFNA(VLOOKUP(patch[[#This Row],[reviewer]],OrgTree!$A:$K, 11, 0), "not ICG SWFW"))</f>
        <v>author</v>
      </c>
      <c r="T2095" s="7" t="str">
        <f>IF(ISBLANK(patch[[#This Row],[mergeDate]]), "", MID(YEAR(patch[[#This Row],[mergeDate]]), 3,2)&amp;"'ww"&amp;WEEKNUM(patch[[#This Row],[mergeDate]]))</f>
        <v>16'ww37</v>
      </c>
      <c r="U2095" s="7" t="str">
        <f>IF(ISBLANK(patch[[#This Row],[mergeDate]]), U2094, MID(YEAR(patch[[#This Row],[mergeDate]]), 3,2)&amp;"'m"&amp;MONTH(patch[[#This Row],[mergeDate]]))</f>
        <v>16'm9</v>
      </c>
      <c r="V2095" s="7">
        <f>IF(ISBLANK(patch[[#This Row],[project]]), "",SUM(patch[[#This Row],[BJ -1 num]:[SH -1 num]]))</f>
        <v>0</v>
      </c>
      <c r="W2095" s="7">
        <f>IF(ISBLANK(patch[[#This Row],[project]]), "",COUNTIFS($A:$A,patch[[#This Row],[number]],$S:$S, "BJ And dev",$AC:$AC, "Review-1"))</f>
        <v>0</v>
      </c>
      <c r="X2095" s="7">
        <f>IF(ISBLANK(patch[[#This Row],[project]]), "",COUNTIFS($A:$A,patch[[#This Row],[number]],$S:$S, "FL And dev",$AC:$AC, "Review-1"))</f>
        <v>0</v>
      </c>
      <c r="Y2095" s="7">
        <f>IF(ISBLANK(patch[[#This Row],[project]]), "",COUNTIFS($A:$A,patch[[#This Row],[number]],$S:$S, "SH And dev",$AC:$AC, "Review-1"))</f>
        <v>0</v>
      </c>
      <c r="Z2095" s="7">
        <f>IF(ISBLANK(patch[[#This Row],[project]]), "",COUNTIFS($A:$A,patch[[#This Row],[number]],$S:$S, "BJ And dev",$AD:$AD, "&lt;&gt;IntegratorValidationComment"))</f>
        <v>8</v>
      </c>
      <c r="AA2095" s="7">
        <f>IF(ISBLANK(patch[[#This Row],[project]]), "",COUNTIFS($A:$A,patch[[#This Row],[number]],$S:$S, "FL And dev",$AD:$AD, "&lt;&gt;IntegratorValidationComment"))</f>
        <v>0</v>
      </c>
      <c r="AB2095" s="7">
        <f>IF(ISBLANK(patch[[#This Row],[project]]), "",COUNTIFS($A:$A,patch[[#This Row],[number]],$S:$S, "SH And dev",$AD:$AD, "&lt;&gt;IntegratorValidationComment"))</f>
        <v>0</v>
      </c>
      <c r="AC2095" s="7" t="str">
        <f>IF(OR(ISNUMBER(FIND("Review-1", patch[[#This Row],[comments]])), ISNUMBER(FIND("Approver-1", patch[[#This Row],[comments]]))), "Review-1", "")</f>
        <v/>
      </c>
      <c r="AD20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95" s="7" t="str">
        <f>IF(ISBLANK(patch[[#This Row],[number]]),AE2094,patch[[#This Row],[ifCommon]])</f>
        <v>not AndrHAL</v>
      </c>
    </row>
    <row r="2096" spans="1:31">
      <c r="A2096" s="151">
        <v>143821</v>
      </c>
      <c r="B2096" s="151"/>
      <c r="C2096" s="151"/>
      <c r="D2096" s="151"/>
      <c r="E2096" s="151"/>
      <c r="F2096" s="151"/>
      <c r="G2096" s="151"/>
      <c r="H2096" s="151"/>
      <c r="I2096" s="151"/>
      <c r="J2096" s="152">
        <v>42621.694710648153</v>
      </c>
      <c r="K2096" s="151"/>
      <c r="L2096" s="151" t="s">
        <v>32</v>
      </c>
      <c r="M2096" s="152">
        <v>42620.650763888887</v>
      </c>
      <c r="N2096" s="151" t="s">
        <v>25</v>
      </c>
      <c r="O2096" s="151"/>
      <c r="P2096" s="151"/>
      <c r="Q2096" s="7" t="str">
        <f>IF(ISBLANK(patch[[#This Row],[OwnerEmail]]),Q2095,patch[[#This Row],[OwnerEmail]])</f>
        <v>gang.a.hu@intel.com</v>
      </c>
      <c r="R2096" s="7" t="str">
        <f>_xlfn.IFNA(VLOOKUP(patch[[#This Row],[tmp-owner.email]],OrgTree!$A:$K, 11, 0), "not ICG SWFW")</f>
        <v>BJ And dev</v>
      </c>
      <c r="S2096" s="7" t="str">
        <f>IF(patch[[#This Row],[reviewer]]=patch[[#This Row],[tmp-owner.email]], "author", _xlfn.IFNA(VLOOKUP(patch[[#This Row],[reviewer]],OrgTree!$A:$K, 11, 0), "not ICG SWFW"))</f>
        <v>author</v>
      </c>
      <c r="T2096" s="7" t="str">
        <f>IF(ISBLANK(patch[[#This Row],[mergeDate]]), "", MID(YEAR(patch[[#This Row],[mergeDate]]), 3,2)&amp;"'ww"&amp;WEEKNUM(patch[[#This Row],[mergeDate]]))</f>
        <v>16'ww37</v>
      </c>
      <c r="U2096" s="7" t="str">
        <f>IF(ISBLANK(patch[[#This Row],[mergeDate]]), U2095, MID(YEAR(patch[[#This Row],[mergeDate]]), 3,2)&amp;"'m"&amp;MONTH(patch[[#This Row],[mergeDate]]))</f>
        <v>16'm9</v>
      </c>
      <c r="V2096" s="7" t="str">
        <f>IF(ISBLANK(patch[[#This Row],[project]]), "",SUM(patch[[#This Row],[BJ -1 num]:[SH -1 num]]))</f>
        <v/>
      </c>
      <c r="W2096" s="7" t="str">
        <f>IF(ISBLANK(patch[[#This Row],[project]]), "",COUNTIFS($A:$A,patch[[#This Row],[number]],$S:$S, "BJ And dev",$AC:$AC, "Review-1"))</f>
        <v/>
      </c>
      <c r="X2096" s="7" t="str">
        <f>IF(ISBLANK(patch[[#This Row],[project]]), "",COUNTIFS($A:$A,patch[[#This Row],[number]],$S:$S, "FL And dev",$AC:$AC, "Review-1"))</f>
        <v/>
      </c>
      <c r="Y2096" s="7" t="str">
        <f>IF(ISBLANK(patch[[#This Row],[project]]), "",COUNTIFS($A:$A,patch[[#This Row],[number]],$S:$S, "SH And dev",$AC:$AC, "Review-1"))</f>
        <v/>
      </c>
      <c r="Z2096" s="7" t="str">
        <f>IF(ISBLANK(patch[[#This Row],[project]]), "",COUNTIFS($A:$A,patch[[#This Row],[number]],$S:$S, "BJ And dev",$AD:$AD, "&lt;&gt;IntegratorValidationComment"))</f>
        <v/>
      </c>
      <c r="AA2096" s="7" t="str">
        <f>IF(ISBLANK(patch[[#This Row],[project]]), "",COUNTIFS($A:$A,patch[[#This Row],[number]],$S:$S, "FL And dev",$AD:$AD, "&lt;&gt;IntegratorValidationComment"))</f>
        <v/>
      </c>
      <c r="AB2096" s="7" t="str">
        <f>IF(ISBLANK(patch[[#This Row],[project]]), "",COUNTIFS($A:$A,patch[[#This Row],[number]],$S:$S, "SH And dev",$AD:$AD, "&lt;&gt;IntegratorValidationComment"))</f>
        <v/>
      </c>
      <c r="AC2096" s="7" t="str">
        <f>IF(OR(ISNUMBER(FIND("Review-1", patch[[#This Row],[comments]])), ISNUMBER(FIND("Approver-1", patch[[#This Row],[comments]]))), "Review-1", "")</f>
        <v/>
      </c>
      <c r="AD20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96" s="7">
        <f>IF(ISBLANK(patch[[#This Row],[number]]),AE2095,patch[[#This Row],[ifCommon]])</f>
        <v>0</v>
      </c>
    </row>
    <row r="2097" spans="1:31">
      <c r="A2097" s="151">
        <v>143821</v>
      </c>
      <c r="B2097" s="151"/>
      <c r="C2097" s="151"/>
      <c r="D2097" s="151"/>
      <c r="E2097" s="151"/>
      <c r="F2097" s="151"/>
      <c r="G2097" s="151"/>
      <c r="H2097" s="151"/>
      <c r="I2097" s="151"/>
      <c r="J2097" s="152">
        <v>42621.694710648153</v>
      </c>
      <c r="K2097" s="151"/>
      <c r="L2097" s="151" t="s">
        <v>32</v>
      </c>
      <c r="M2097" s="152">
        <v>42620.652291666673</v>
      </c>
      <c r="N2097" s="151" t="s">
        <v>40</v>
      </c>
      <c r="O2097" s="151"/>
      <c r="P2097" s="151"/>
      <c r="Q2097" s="7" t="str">
        <f>IF(ISBLANK(patch[[#This Row],[OwnerEmail]]),Q2096,patch[[#This Row],[OwnerEmail]])</f>
        <v>gang.a.hu@intel.com</v>
      </c>
      <c r="R2097" s="7" t="str">
        <f>_xlfn.IFNA(VLOOKUP(patch[[#This Row],[tmp-owner.email]],OrgTree!$A:$K, 11, 0), "not ICG SWFW")</f>
        <v>BJ And dev</v>
      </c>
      <c r="S2097" s="7" t="str">
        <f>IF(patch[[#This Row],[reviewer]]=patch[[#This Row],[tmp-owner.email]], "author", _xlfn.IFNA(VLOOKUP(patch[[#This Row],[reviewer]],OrgTree!$A:$K, 11, 0), "not ICG SWFW"))</f>
        <v>author</v>
      </c>
      <c r="T2097" s="7" t="str">
        <f>IF(ISBLANK(patch[[#This Row],[mergeDate]]), "", MID(YEAR(patch[[#This Row],[mergeDate]]), 3,2)&amp;"'ww"&amp;WEEKNUM(patch[[#This Row],[mergeDate]]))</f>
        <v>16'ww37</v>
      </c>
      <c r="U2097" s="7" t="str">
        <f>IF(ISBLANK(patch[[#This Row],[mergeDate]]), U2096, MID(YEAR(patch[[#This Row],[mergeDate]]), 3,2)&amp;"'m"&amp;MONTH(patch[[#This Row],[mergeDate]]))</f>
        <v>16'm9</v>
      </c>
      <c r="V2097" s="7" t="str">
        <f>IF(ISBLANK(patch[[#This Row],[project]]), "",SUM(patch[[#This Row],[BJ -1 num]:[SH -1 num]]))</f>
        <v/>
      </c>
      <c r="W2097" s="7" t="str">
        <f>IF(ISBLANK(patch[[#This Row],[project]]), "",COUNTIFS($A:$A,patch[[#This Row],[number]],$S:$S, "BJ And dev",$AC:$AC, "Review-1"))</f>
        <v/>
      </c>
      <c r="X2097" s="7" t="str">
        <f>IF(ISBLANK(patch[[#This Row],[project]]), "",COUNTIFS($A:$A,patch[[#This Row],[number]],$S:$S, "FL And dev",$AC:$AC, "Review-1"))</f>
        <v/>
      </c>
      <c r="Y2097" s="7" t="str">
        <f>IF(ISBLANK(patch[[#This Row],[project]]), "",COUNTIFS($A:$A,patch[[#This Row],[number]],$S:$S, "SH And dev",$AC:$AC, "Review-1"))</f>
        <v/>
      </c>
      <c r="Z2097" s="7" t="str">
        <f>IF(ISBLANK(patch[[#This Row],[project]]), "",COUNTIFS($A:$A,patch[[#This Row],[number]],$S:$S, "BJ And dev",$AD:$AD, "&lt;&gt;IntegratorValidationComment"))</f>
        <v/>
      </c>
      <c r="AA2097" s="7" t="str">
        <f>IF(ISBLANK(patch[[#This Row],[project]]), "",COUNTIFS($A:$A,patch[[#This Row],[number]],$S:$S, "FL And dev",$AD:$AD, "&lt;&gt;IntegratorValidationComment"))</f>
        <v/>
      </c>
      <c r="AB2097" s="7" t="str">
        <f>IF(ISBLANK(patch[[#This Row],[project]]), "",COUNTIFS($A:$A,patch[[#This Row],[number]],$S:$S, "SH And dev",$AD:$AD, "&lt;&gt;IntegratorValidationComment"))</f>
        <v/>
      </c>
      <c r="AC2097" s="7" t="str">
        <f>IF(OR(ISNUMBER(FIND("Review-1", patch[[#This Row],[comments]])), ISNUMBER(FIND("Approver-1", patch[[#This Row],[comments]]))), "Review-1", "")</f>
        <v/>
      </c>
      <c r="AD20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97" s="7">
        <f>IF(ISBLANK(patch[[#This Row],[number]]),AE2096,patch[[#This Row],[ifCommon]])</f>
        <v>0</v>
      </c>
    </row>
    <row r="2098" spans="1:31">
      <c r="A2098" s="151">
        <v>143821</v>
      </c>
      <c r="B2098" s="151"/>
      <c r="C2098" s="151"/>
      <c r="D2098" s="151"/>
      <c r="E2098" s="151"/>
      <c r="F2098" s="151"/>
      <c r="G2098" s="151"/>
      <c r="H2098" s="151"/>
      <c r="I2098" s="151"/>
      <c r="J2098" s="152">
        <v>42621.694710648153</v>
      </c>
      <c r="K2098" s="151"/>
      <c r="L2098" s="151" t="s">
        <v>63</v>
      </c>
      <c r="M2098" s="152">
        <v>42620.653333333343</v>
      </c>
      <c r="N2098" s="151" t="s">
        <v>40</v>
      </c>
      <c r="O2098" s="151"/>
      <c r="P2098" s="151"/>
      <c r="Q2098" s="7" t="str">
        <f>IF(ISBLANK(patch[[#This Row],[OwnerEmail]]),Q2097,patch[[#This Row],[OwnerEmail]])</f>
        <v>gang.a.hu@intel.com</v>
      </c>
      <c r="R2098" s="7" t="str">
        <f>_xlfn.IFNA(VLOOKUP(patch[[#This Row],[tmp-owner.email]],OrgTree!$A:$K, 11, 0), "not ICG SWFW")</f>
        <v>BJ And dev</v>
      </c>
      <c r="S2098" s="7" t="str">
        <f>IF(patch[[#This Row],[reviewer]]=patch[[#This Row],[tmp-owner.email]], "author", _xlfn.IFNA(VLOOKUP(patch[[#This Row],[reviewer]],OrgTree!$A:$K, 11, 0), "not ICG SWFW"))</f>
        <v>BJ And dev</v>
      </c>
      <c r="T2098" s="7" t="str">
        <f>IF(ISBLANK(patch[[#This Row],[mergeDate]]), "", MID(YEAR(patch[[#This Row],[mergeDate]]), 3,2)&amp;"'ww"&amp;WEEKNUM(patch[[#This Row],[mergeDate]]))</f>
        <v>16'ww37</v>
      </c>
      <c r="U2098" s="7" t="str">
        <f>IF(ISBLANK(patch[[#This Row],[mergeDate]]), U2097, MID(YEAR(patch[[#This Row],[mergeDate]]), 3,2)&amp;"'m"&amp;MONTH(patch[[#This Row],[mergeDate]]))</f>
        <v>16'm9</v>
      </c>
      <c r="V2098" s="7" t="str">
        <f>IF(ISBLANK(patch[[#This Row],[project]]), "",SUM(patch[[#This Row],[BJ -1 num]:[SH -1 num]]))</f>
        <v/>
      </c>
      <c r="W2098" s="7" t="str">
        <f>IF(ISBLANK(patch[[#This Row],[project]]), "",COUNTIFS($A:$A,patch[[#This Row],[number]],$S:$S, "BJ And dev",$AC:$AC, "Review-1"))</f>
        <v/>
      </c>
      <c r="X2098" s="7" t="str">
        <f>IF(ISBLANK(patch[[#This Row],[project]]), "",COUNTIFS($A:$A,patch[[#This Row],[number]],$S:$S, "FL And dev",$AC:$AC, "Review-1"))</f>
        <v/>
      </c>
      <c r="Y2098" s="7" t="str">
        <f>IF(ISBLANK(patch[[#This Row],[project]]), "",COUNTIFS($A:$A,patch[[#This Row],[number]],$S:$S, "SH And dev",$AC:$AC, "Review-1"))</f>
        <v/>
      </c>
      <c r="Z2098" s="7" t="str">
        <f>IF(ISBLANK(patch[[#This Row],[project]]), "",COUNTIFS($A:$A,patch[[#This Row],[number]],$S:$S, "BJ And dev",$AD:$AD, "&lt;&gt;IntegratorValidationComment"))</f>
        <v/>
      </c>
      <c r="AA2098" s="7" t="str">
        <f>IF(ISBLANK(patch[[#This Row],[project]]), "",COUNTIFS($A:$A,patch[[#This Row],[number]],$S:$S, "FL And dev",$AD:$AD, "&lt;&gt;IntegratorValidationComment"))</f>
        <v/>
      </c>
      <c r="AB2098" s="7" t="str">
        <f>IF(ISBLANK(patch[[#This Row],[project]]), "",COUNTIFS($A:$A,patch[[#This Row],[number]],$S:$S, "SH And dev",$AD:$AD, "&lt;&gt;IntegratorValidationComment"))</f>
        <v/>
      </c>
      <c r="AC2098" s="7" t="str">
        <f>IF(OR(ISNUMBER(FIND("Review-1", patch[[#This Row],[comments]])), ISNUMBER(FIND("Approver-1", patch[[#This Row],[comments]]))), "Review-1", "")</f>
        <v/>
      </c>
      <c r="AD20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98" s="7">
        <f>IF(ISBLANK(patch[[#This Row],[number]]),AE2097,patch[[#This Row],[ifCommon]])</f>
        <v>0</v>
      </c>
    </row>
    <row r="2099" spans="1:31">
      <c r="A2099" s="151">
        <v>143821</v>
      </c>
      <c r="B2099" s="151"/>
      <c r="C2099" s="151"/>
      <c r="D2099" s="151"/>
      <c r="E2099" s="151"/>
      <c r="F2099" s="151"/>
      <c r="G2099" s="151"/>
      <c r="H2099" s="151"/>
      <c r="I2099" s="151"/>
      <c r="J2099" s="152">
        <v>42621.694710648153</v>
      </c>
      <c r="K2099" s="151"/>
      <c r="L2099" s="151" t="s">
        <v>59</v>
      </c>
      <c r="M2099" s="152">
        <v>42620.654143518521</v>
      </c>
      <c r="N2099" s="151" t="s">
        <v>3627</v>
      </c>
      <c r="O2099" s="151"/>
      <c r="P2099" s="151"/>
      <c r="Q2099" s="7" t="str">
        <f>IF(ISBLANK(patch[[#This Row],[OwnerEmail]]),Q2098,patch[[#This Row],[OwnerEmail]])</f>
        <v>gang.a.hu@intel.com</v>
      </c>
      <c r="R2099" s="7" t="str">
        <f>_xlfn.IFNA(VLOOKUP(patch[[#This Row],[tmp-owner.email]],OrgTree!$A:$K, 11, 0), "not ICG SWFW")</f>
        <v>BJ And dev</v>
      </c>
      <c r="S2099" s="7" t="str">
        <f>IF(patch[[#This Row],[reviewer]]=patch[[#This Row],[tmp-owner.email]], "author", _xlfn.IFNA(VLOOKUP(patch[[#This Row],[reviewer]],OrgTree!$A:$K, 11, 0), "not ICG SWFW"))</f>
        <v>BJ And dev</v>
      </c>
      <c r="T2099" s="7" t="str">
        <f>IF(ISBLANK(patch[[#This Row],[mergeDate]]), "", MID(YEAR(patch[[#This Row],[mergeDate]]), 3,2)&amp;"'ww"&amp;WEEKNUM(patch[[#This Row],[mergeDate]]))</f>
        <v>16'ww37</v>
      </c>
      <c r="U2099" s="7" t="str">
        <f>IF(ISBLANK(patch[[#This Row],[mergeDate]]), U2098, MID(YEAR(patch[[#This Row],[mergeDate]]), 3,2)&amp;"'m"&amp;MONTH(patch[[#This Row],[mergeDate]]))</f>
        <v>16'm9</v>
      </c>
      <c r="V2099" s="7" t="str">
        <f>IF(ISBLANK(patch[[#This Row],[project]]), "",SUM(patch[[#This Row],[BJ -1 num]:[SH -1 num]]))</f>
        <v/>
      </c>
      <c r="W2099" s="7" t="str">
        <f>IF(ISBLANK(patch[[#This Row],[project]]), "",COUNTIFS($A:$A,patch[[#This Row],[number]],$S:$S, "BJ And dev",$AC:$AC, "Review-1"))</f>
        <v/>
      </c>
      <c r="X2099" s="7" t="str">
        <f>IF(ISBLANK(patch[[#This Row],[project]]), "",COUNTIFS($A:$A,patch[[#This Row],[number]],$S:$S, "FL And dev",$AC:$AC, "Review-1"))</f>
        <v/>
      </c>
      <c r="Y2099" s="7" t="str">
        <f>IF(ISBLANK(patch[[#This Row],[project]]), "",COUNTIFS($A:$A,patch[[#This Row],[number]],$S:$S, "SH And dev",$AC:$AC, "Review-1"))</f>
        <v/>
      </c>
      <c r="Z2099" s="7" t="str">
        <f>IF(ISBLANK(patch[[#This Row],[project]]), "",COUNTIFS($A:$A,patch[[#This Row],[number]],$S:$S, "BJ And dev",$AD:$AD, "&lt;&gt;IntegratorValidationComment"))</f>
        <v/>
      </c>
      <c r="AA2099" s="7" t="str">
        <f>IF(ISBLANK(patch[[#This Row],[project]]), "",COUNTIFS($A:$A,patch[[#This Row],[number]],$S:$S, "FL And dev",$AD:$AD, "&lt;&gt;IntegratorValidationComment"))</f>
        <v/>
      </c>
      <c r="AB2099" s="7" t="str">
        <f>IF(ISBLANK(patch[[#This Row],[project]]), "",COUNTIFS($A:$A,patch[[#This Row],[number]],$S:$S, "SH And dev",$AD:$AD, "&lt;&gt;IntegratorValidationComment"))</f>
        <v/>
      </c>
      <c r="AC2099" s="7" t="str">
        <f>IF(OR(ISNUMBER(FIND("Review-1", patch[[#This Row],[comments]])), ISNUMBER(FIND("Approver-1", patch[[#This Row],[comments]]))), "Review-1", "")</f>
        <v/>
      </c>
      <c r="AD20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099" s="7">
        <f>IF(ISBLANK(patch[[#This Row],[number]]),AE2098,patch[[#This Row],[ifCommon]])</f>
        <v>0</v>
      </c>
    </row>
    <row r="2100" spans="1:31">
      <c r="A2100" s="151">
        <v>143821</v>
      </c>
      <c r="B2100" s="151"/>
      <c r="C2100" s="151"/>
      <c r="D2100" s="151"/>
      <c r="E2100" s="151"/>
      <c r="F2100" s="151"/>
      <c r="G2100" s="151"/>
      <c r="H2100" s="151"/>
      <c r="I2100" s="151"/>
      <c r="J2100" s="152">
        <v>42621.694710648153</v>
      </c>
      <c r="K2100" s="151"/>
      <c r="L2100" s="151" t="s">
        <v>59</v>
      </c>
      <c r="M2100" s="152">
        <v>42620.655092592591</v>
      </c>
      <c r="N2100" s="151" t="s">
        <v>3628</v>
      </c>
      <c r="O2100" s="151"/>
      <c r="P2100" s="151"/>
      <c r="Q2100" s="7" t="str">
        <f>IF(ISBLANK(patch[[#This Row],[OwnerEmail]]),Q2099,patch[[#This Row],[OwnerEmail]])</f>
        <v>gang.a.hu@intel.com</v>
      </c>
      <c r="R2100" s="7" t="str">
        <f>_xlfn.IFNA(VLOOKUP(patch[[#This Row],[tmp-owner.email]],OrgTree!$A:$K, 11, 0), "not ICG SWFW")</f>
        <v>BJ And dev</v>
      </c>
      <c r="S2100" s="7" t="str">
        <f>IF(patch[[#This Row],[reviewer]]=patch[[#This Row],[tmp-owner.email]], "author", _xlfn.IFNA(VLOOKUP(patch[[#This Row],[reviewer]],OrgTree!$A:$K, 11, 0), "not ICG SWFW"))</f>
        <v>BJ And dev</v>
      </c>
      <c r="T2100" s="7" t="str">
        <f>IF(ISBLANK(patch[[#This Row],[mergeDate]]), "", MID(YEAR(patch[[#This Row],[mergeDate]]), 3,2)&amp;"'ww"&amp;WEEKNUM(patch[[#This Row],[mergeDate]]))</f>
        <v>16'ww37</v>
      </c>
      <c r="U2100" s="7" t="str">
        <f>IF(ISBLANK(patch[[#This Row],[mergeDate]]), U2099, MID(YEAR(patch[[#This Row],[mergeDate]]), 3,2)&amp;"'m"&amp;MONTH(patch[[#This Row],[mergeDate]]))</f>
        <v>16'm9</v>
      </c>
      <c r="V2100" s="7" t="str">
        <f>IF(ISBLANK(patch[[#This Row],[project]]), "",SUM(patch[[#This Row],[BJ -1 num]:[SH -1 num]]))</f>
        <v/>
      </c>
      <c r="W2100" s="7" t="str">
        <f>IF(ISBLANK(patch[[#This Row],[project]]), "",COUNTIFS($A:$A,patch[[#This Row],[number]],$S:$S, "BJ And dev",$AC:$AC, "Review-1"))</f>
        <v/>
      </c>
      <c r="X2100" s="7" t="str">
        <f>IF(ISBLANK(patch[[#This Row],[project]]), "",COUNTIFS($A:$A,patch[[#This Row],[number]],$S:$S, "FL And dev",$AC:$AC, "Review-1"))</f>
        <v/>
      </c>
      <c r="Y2100" s="7" t="str">
        <f>IF(ISBLANK(patch[[#This Row],[project]]), "",COUNTIFS($A:$A,patch[[#This Row],[number]],$S:$S, "SH And dev",$AC:$AC, "Review-1"))</f>
        <v/>
      </c>
      <c r="Z2100" s="7" t="str">
        <f>IF(ISBLANK(patch[[#This Row],[project]]), "",COUNTIFS($A:$A,patch[[#This Row],[number]],$S:$S, "BJ And dev",$AD:$AD, "&lt;&gt;IntegratorValidationComment"))</f>
        <v/>
      </c>
      <c r="AA2100" s="7" t="str">
        <f>IF(ISBLANK(patch[[#This Row],[project]]), "",COUNTIFS($A:$A,patch[[#This Row],[number]],$S:$S, "FL And dev",$AD:$AD, "&lt;&gt;IntegratorValidationComment"))</f>
        <v/>
      </c>
      <c r="AB2100" s="7" t="str">
        <f>IF(ISBLANK(patch[[#This Row],[project]]), "",COUNTIFS($A:$A,patch[[#This Row],[number]],$S:$S, "SH And dev",$AD:$AD, "&lt;&gt;IntegratorValidationComment"))</f>
        <v/>
      </c>
      <c r="AC2100" s="7" t="str">
        <f>IF(OR(ISNUMBER(FIND("Review-1", patch[[#This Row],[comments]])), ISNUMBER(FIND("Approver-1", patch[[#This Row],[comments]]))), "Review-1", "")</f>
        <v/>
      </c>
      <c r="AD21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00" s="7">
        <f>IF(ISBLANK(patch[[#This Row],[number]]),AE2099,patch[[#This Row],[ifCommon]])</f>
        <v>0</v>
      </c>
    </row>
    <row r="2101" spans="1:31">
      <c r="A2101" s="151">
        <v>143821</v>
      </c>
      <c r="B2101" s="151"/>
      <c r="C2101" s="151"/>
      <c r="D2101" s="151"/>
      <c r="E2101" s="151"/>
      <c r="F2101" s="151"/>
      <c r="G2101" s="151"/>
      <c r="H2101" s="151"/>
      <c r="I2101" s="151"/>
      <c r="J2101" s="152">
        <v>42621.694710648153</v>
      </c>
      <c r="K2101" s="151"/>
      <c r="L2101" s="151" t="s">
        <v>55</v>
      </c>
      <c r="M2101" s="152">
        <v>42620.66133101852</v>
      </c>
      <c r="N2101" s="151" t="s">
        <v>40</v>
      </c>
      <c r="O2101" s="151"/>
      <c r="P2101" s="151"/>
      <c r="Q2101" s="7" t="str">
        <f>IF(ISBLANK(patch[[#This Row],[OwnerEmail]]),Q2100,patch[[#This Row],[OwnerEmail]])</f>
        <v>gang.a.hu@intel.com</v>
      </c>
      <c r="R2101" s="7" t="str">
        <f>_xlfn.IFNA(VLOOKUP(patch[[#This Row],[tmp-owner.email]],OrgTree!$A:$K, 11, 0), "not ICG SWFW")</f>
        <v>BJ And dev</v>
      </c>
      <c r="S2101" s="7" t="str">
        <f>IF(patch[[#This Row],[reviewer]]=patch[[#This Row],[tmp-owner.email]], "author", _xlfn.IFNA(VLOOKUP(patch[[#This Row],[reviewer]],OrgTree!$A:$K, 11, 0), "not ICG SWFW"))</f>
        <v>BJ And dev</v>
      </c>
      <c r="T2101" s="7" t="str">
        <f>IF(ISBLANK(patch[[#This Row],[mergeDate]]), "", MID(YEAR(patch[[#This Row],[mergeDate]]), 3,2)&amp;"'ww"&amp;WEEKNUM(patch[[#This Row],[mergeDate]]))</f>
        <v>16'ww37</v>
      </c>
      <c r="U2101" s="7" t="str">
        <f>IF(ISBLANK(patch[[#This Row],[mergeDate]]), U2100, MID(YEAR(patch[[#This Row],[mergeDate]]), 3,2)&amp;"'m"&amp;MONTH(patch[[#This Row],[mergeDate]]))</f>
        <v>16'm9</v>
      </c>
      <c r="V2101" s="7" t="str">
        <f>IF(ISBLANK(patch[[#This Row],[project]]), "",SUM(patch[[#This Row],[BJ -1 num]:[SH -1 num]]))</f>
        <v/>
      </c>
      <c r="W2101" s="7" t="str">
        <f>IF(ISBLANK(patch[[#This Row],[project]]), "",COUNTIFS($A:$A,patch[[#This Row],[number]],$S:$S, "BJ And dev",$AC:$AC, "Review-1"))</f>
        <v/>
      </c>
      <c r="X2101" s="7" t="str">
        <f>IF(ISBLANK(patch[[#This Row],[project]]), "",COUNTIFS($A:$A,patch[[#This Row],[number]],$S:$S, "FL And dev",$AC:$AC, "Review-1"))</f>
        <v/>
      </c>
      <c r="Y2101" s="7" t="str">
        <f>IF(ISBLANK(patch[[#This Row],[project]]), "",COUNTIFS($A:$A,patch[[#This Row],[number]],$S:$S, "SH And dev",$AC:$AC, "Review-1"))</f>
        <v/>
      </c>
      <c r="Z2101" s="7" t="str">
        <f>IF(ISBLANK(patch[[#This Row],[project]]), "",COUNTIFS($A:$A,patch[[#This Row],[number]],$S:$S, "BJ And dev",$AD:$AD, "&lt;&gt;IntegratorValidationComment"))</f>
        <v/>
      </c>
      <c r="AA2101" s="7" t="str">
        <f>IF(ISBLANK(patch[[#This Row],[project]]), "",COUNTIFS($A:$A,patch[[#This Row],[number]],$S:$S, "FL And dev",$AD:$AD, "&lt;&gt;IntegratorValidationComment"))</f>
        <v/>
      </c>
      <c r="AB2101" s="7" t="str">
        <f>IF(ISBLANK(patch[[#This Row],[project]]), "",COUNTIFS($A:$A,patch[[#This Row],[number]],$S:$S, "SH And dev",$AD:$AD, "&lt;&gt;IntegratorValidationComment"))</f>
        <v/>
      </c>
      <c r="AC2101" s="7" t="str">
        <f>IF(OR(ISNUMBER(FIND("Review-1", patch[[#This Row],[comments]])), ISNUMBER(FIND("Approver-1", patch[[#This Row],[comments]]))), "Review-1", "")</f>
        <v/>
      </c>
      <c r="AD21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01" s="7">
        <f>IF(ISBLANK(patch[[#This Row],[number]]),AE2100,patch[[#This Row],[ifCommon]])</f>
        <v>0</v>
      </c>
    </row>
    <row r="2102" spans="1:31">
      <c r="A2102" s="151">
        <v>143821</v>
      </c>
      <c r="B2102" s="151"/>
      <c r="C2102" s="151"/>
      <c r="D2102" s="151"/>
      <c r="E2102" s="151"/>
      <c r="F2102" s="151"/>
      <c r="G2102" s="151"/>
      <c r="H2102" s="151"/>
      <c r="I2102" s="151"/>
      <c r="J2102" s="152">
        <v>42621.694710648153</v>
      </c>
      <c r="K2102" s="151"/>
      <c r="L2102" s="151" t="s">
        <v>32</v>
      </c>
      <c r="M2102" s="152">
        <v>42620.6721875</v>
      </c>
      <c r="N2102" s="151" t="s">
        <v>29</v>
      </c>
      <c r="O2102" s="151"/>
      <c r="P2102" s="151"/>
      <c r="Q2102" s="7" t="str">
        <f>IF(ISBLANK(patch[[#This Row],[OwnerEmail]]),Q2101,patch[[#This Row],[OwnerEmail]])</f>
        <v>gang.a.hu@intel.com</v>
      </c>
      <c r="R2102" s="7" t="str">
        <f>_xlfn.IFNA(VLOOKUP(patch[[#This Row],[tmp-owner.email]],OrgTree!$A:$K, 11, 0), "not ICG SWFW")</f>
        <v>BJ And dev</v>
      </c>
      <c r="S2102" s="7" t="str">
        <f>IF(patch[[#This Row],[reviewer]]=patch[[#This Row],[tmp-owner.email]], "author", _xlfn.IFNA(VLOOKUP(patch[[#This Row],[reviewer]],OrgTree!$A:$K, 11, 0), "not ICG SWFW"))</f>
        <v>author</v>
      </c>
      <c r="T2102" s="7" t="str">
        <f>IF(ISBLANK(patch[[#This Row],[mergeDate]]), "", MID(YEAR(patch[[#This Row],[mergeDate]]), 3,2)&amp;"'ww"&amp;WEEKNUM(patch[[#This Row],[mergeDate]]))</f>
        <v>16'ww37</v>
      </c>
      <c r="U2102" s="7" t="str">
        <f>IF(ISBLANK(patch[[#This Row],[mergeDate]]), U2101, MID(YEAR(patch[[#This Row],[mergeDate]]), 3,2)&amp;"'m"&amp;MONTH(patch[[#This Row],[mergeDate]]))</f>
        <v>16'm9</v>
      </c>
      <c r="V2102" s="7" t="str">
        <f>IF(ISBLANK(patch[[#This Row],[project]]), "",SUM(patch[[#This Row],[BJ -1 num]:[SH -1 num]]))</f>
        <v/>
      </c>
      <c r="W2102" s="7" t="str">
        <f>IF(ISBLANK(patch[[#This Row],[project]]), "",COUNTIFS($A:$A,patch[[#This Row],[number]],$S:$S, "BJ And dev",$AC:$AC, "Review-1"))</f>
        <v/>
      </c>
      <c r="X2102" s="7" t="str">
        <f>IF(ISBLANK(patch[[#This Row],[project]]), "",COUNTIFS($A:$A,patch[[#This Row],[number]],$S:$S, "FL And dev",$AC:$AC, "Review-1"))</f>
        <v/>
      </c>
      <c r="Y2102" s="7" t="str">
        <f>IF(ISBLANK(patch[[#This Row],[project]]), "",COUNTIFS($A:$A,patch[[#This Row],[number]],$S:$S, "SH And dev",$AC:$AC, "Review-1"))</f>
        <v/>
      </c>
      <c r="Z2102" s="7" t="str">
        <f>IF(ISBLANK(patch[[#This Row],[project]]), "",COUNTIFS($A:$A,patch[[#This Row],[number]],$S:$S, "BJ And dev",$AD:$AD, "&lt;&gt;IntegratorValidationComment"))</f>
        <v/>
      </c>
      <c r="AA2102" s="7" t="str">
        <f>IF(ISBLANK(patch[[#This Row],[project]]), "",COUNTIFS($A:$A,patch[[#This Row],[number]],$S:$S, "FL And dev",$AD:$AD, "&lt;&gt;IntegratorValidationComment"))</f>
        <v/>
      </c>
      <c r="AB2102" s="7" t="str">
        <f>IF(ISBLANK(patch[[#This Row],[project]]), "",COUNTIFS($A:$A,patch[[#This Row],[number]],$S:$S, "SH And dev",$AD:$AD, "&lt;&gt;IntegratorValidationComment"))</f>
        <v/>
      </c>
      <c r="AC2102" s="7" t="str">
        <f>IF(OR(ISNUMBER(FIND("Review-1", patch[[#This Row],[comments]])), ISNUMBER(FIND("Approver-1", patch[[#This Row],[comments]]))), "Review-1", "")</f>
        <v/>
      </c>
      <c r="AD21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02" s="7">
        <f>IF(ISBLANK(patch[[#This Row],[number]]),AE2101,patch[[#This Row],[ifCommon]])</f>
        <v>0</v>
      </c>
    </row>
    <row r="2103" spans="1:31">
      <c r="A2103" s="151">
        <v>143821</v>
      </c>
      <c r="B2103" s="151"/>
      <c r="C2103" s="151"/>
      <c r="D2103" s="151"/>
      <c r="E2103" s="151"/>
      <c r="F2103" s="151"/>
      <c r="G2103" s="151"/>
      <c r="H2103" s="151"/>
      <c r="I2103" s="151"/>
      <c r="J2103" s="152">
        <v>42621.694710648153</v>
      </c>
      <c r="K2103" s="151"/>
      <c r="L2103" s="151" t="s">
        <v>32</v>
      </c>
      <c r="M2103" s="152">
        <v>42620.6721875</v>
      </c>
      <c r="N2103" s="151" t="s">
        <v>2429</v>
      </c>
      <c r="O2103" s="151"/>
      <c r="P2103" s="151"/>
      <c r="Q2103" s="7" t="str">
        <f>IF(ISBLANK(patch[[#This Row],[OwnerEmail]]),Q2102,patch[[#This Row],[OwnerEmail]])</f>
        <v>gang.a.hu@intel.com</v>
      </c>
      <c r="R2103" s="7" t="str">
        <f>_xlfn.IFNA(VLOOKUP(patch[[#This Row],[tmp-owner.email]],OrgTree!$A:$K, 11, 0), "not ICG SWFW")</f>
        <v>BJ And dev</v>
      </c>
      <c r="S2103" s="7" t="str">
        <f>IF(patch[[#This Row],[reviewer]]=patch[[#This Row],[tmp-owner.email]], "author", _xlfn.IFNA(VLOOKUP(patch[[#This Row],[reviewer]],OrgTree!$A:$K, 11, 0), "not ICG SWFW"))</f>
        <v>author</v>
      </c>
      <c r="T2103" s="7" t="str">
        <f>IF(ISBLANK(patch[[#This Row],[mergeDate]]), "", MID(YEAR(patch[[#This Row],[mergeDate]]), 3,2)&amp;"'ww"&amp;WEEKNUM(patch[[#This Row],[mergeDate]]))</f>
        <v>16'ww37</v>
      </c>
      <c r="U2103" s="7" t="str">
        <f>IF(ISBLANK(patch[[#This Row],[mergeDate]]), U2102, MID(YEAR(patch[[#This Row],[mergeDate]]), 3,2)&amp;"'m"&amp;MONTH(patch[[#This Row],[mergeDate]]))</f>
        <v>16'm9</v>
      </c>
      <c r="V2103" s="7" t="str">
        <f>IF(ISBLANK(patch[[#This Row],[project]]), "",SUM(patch[[#This Row],[BJ -1 num]:[SH -1 num]]))</f>
        <v/>
      </c>
      <c r="W2103" s="7" t="str">
        <f>IF(ISBLANK(patch[[#This Row],[project]]), "",COUNTIFS($A:$A,patch[[#This Row],[number]],$S:$S, "BJ And dev",$AC:$AC, "Review-1"))</f>
        <v/>
      </c>
      <c r="X2103" s="7" t="str">
        <f>IF(ISBLANK(patch[[#This Row],[project]]), "",COUNTIFS($A:$A,patch[[#This Row],[number]],$S:$S, "FL And dev",$AC:$AC, "Review-1"))</f>
        <v/>
      </c>
      <c r="Y2103" s="7" t="str">
        <f>IF(ISBLANK(patch[[#This Row],[project]]), "",COUNTIFS($A:$A,patch[[#This Row],[number]],$S:$S, "SH And dev",$AC:$AC, "Review-1"))</f>
        <v/>
      </c>
      <c r="Z2103" s="7" t="str">
        <f>IF(ISBLANK(patch[[#This Row],[project]]), "",COUNTIFS($A:$A,patch[[#This Row],[number]],$S:$S, "BJ And dev",$AD:$AD, "&lt;&gt;IntegratorValidationComment"))</f>
        <v/>
      </c>
      <c r="AA2103" s="7" t="str">
        <f>IF(ISBLANK(patch[[#This Row],[project]]), "",COUNTIFS($A:$A,patch[[#This Row],[number]],$S:$S, "FL And dev",$AD:$AD, "&lt;&gt;IntegratorValidationComment"))</f>
        <v/>
      </c>
      <c r="AB2103" s="7" t="str">
        <f>IF(ISBLANK(patch[[#This Row],[project]]), "",COUNTIFS($A:$A,patch[[#This Row],[number]],$S:$S, "SH And dev",$AD:$AD, "&lt;&gt;IntegratorValidationComment"))</f>
        <v/>
      </c>
      <c r="AC2103" s="7" t="str">
        <f>IF(OR(ISNUMBER(FIND("Review-1", patch[[#This Row],[comments]])), ISNUMBER(FIND("Approver-1", patch[[#This Row],[comments]]))), "Review-1", "")</f>
        <v/>
      </c>
      <c r="AD21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03" s="7">
        <f>IF(ISBLANK(patch[[#This Row],[number]]),AE2102,patch[[#This Row],[ifCommon]])</f>
        <v>0</v>
      </c>
    </row>
    <row r="2104" spans="1:31">
      <c r="A2104" s="151">
        <v>143821</v>
      </c>
      <c r="B2104" s="151"/>
      <c r="C2104" s="151"/>
      <c r="D2104" s="151"/>
      <c r="E2104" s="151"/>
      <c r="F2104" s="151"/>
      <c r="G2104" s="151"/>
      <c r="H2104" s="151"/>
      <c r="I2104" s="151"/>
      <c r="J2104" s="152">
        <v>42621.694710648153</v>
      </c>
      <c r="K2104" s="151"/>
      <c r="L2104" s="151" t="s">
        <v>32</v>
      </c>
      <c r="M2104" s="152">
        <v>42620.672361111108</v>
      </c>
      <c r="N2104" s="151" t="s">
        <v>27</v>
      </c>
      <c r="O2104" s="151"/>
      <c r="P2104" s="151"/>
      <c r="Q2104" s="7" t="str">
        <f>IF(ISBLANK(patch[[#This Row],[OwnerEmail]]),Q2103,patch[[#This Row],[OwnerEmail]])</f>
        <v>gang.a.hu@intel.com</v>
      </c>
      <c r="R2104" s="7" t="str">
        <f>_xlfn.IFNA(VLOOKUP(patch[[#This Row],[tmp-owner.email]],OrgTree!$A:$K, 11, 0), "not ICG SWFW")</f>
        <v>BJ And dev</v>
      </c>
      <c r="S2104" s="7" t="str">
        <f>IF(patch[[#This Row],[reviewer]]=patch[[#This Row],[tmp-owner.email]], "author", _xlfn.IFNA(VLOOKUP(patch[[#This Row],[reviewer]],OrgTree!$A:$K, 11, 0), "not ICG SWFW"))</f>
        <v>author</v>
      </c>
      <c r="T2104" s="7" t="str">
        <f>IF(ISBLANK(patch[[#This Row],[mergeDate]]), "", MID(YEAR(patch[[#This Row],[mergeDate]]), 3,2)&amp;"'ww"&amp;WEEKNUM(patch[[#This Row],[mergeDate]]))</f>
        <v>16'ww37</v>
      </c>
      <c r="U2104" s="7" t="str">
        <f>IF(ISBLANK(patch[[#This Row],[mergeDate]]), U2103, MID(YEAR(patch[[#This Row],[mergeDate]]), 3,2)&amp;"'m"&amp;MONTH(patch[[#This Row],[mergeDate]]))</f>
        <v>16'm9</v>
      </c>
      <c r="V2104" s="7" t="str">
        <f>IF(ISBLANK(patch[[#This Row],[project]]), "",SUM(patch[[#This Row],[BJ -1 num]:[SH -1 num]]))</f>
        <v/>
      </c>
      <c r="W2104" s="7" t="str">
        <f>IF(ISBLANK(patch[[#This Row],[project]]), "",COUNTIFS($A:$A,patch[[#This Row],[number]],$S:$S, "BJ And dev",$AC:$AC, "Review-1"))</f>
        <v/>
      </c>
      <c r="X2104" s="7" t="str">
        <f>IF(ISBLANK(patch[[#This Row],[project]]), "",COUNTIFS($A:$A,patch[[#This Row],[number]],$S:$S, "FL And dev",$AC:$AC, "Review-1"))</f>
        <v/>
      </c>
      <c r="Y2104" s="7" t="str">
        <f>IF(ISBLANK(patch[[#This Row],[project]]), "",COUNTIFS($A:$A,patch[[#This Row],[number]],$S:$S, "SH And dev",$AC:$AC, "Review-1"))</f>
        <v/>
      </c>
      <c r="Z2104" s="7" t="str">
        <f>IF(ISBLANK(patch[[#This Row],[project]]), "",COUNTIFS($A:$A,patch[[#This Row],[number]],$S:$S, "BJ And dev",$AD:$AD, "&lt;&gt;IntegratorValidationComment"))</f>
        <v/>
      </c>
      <c r="AA2104" s="7" t="str">
        <f>IF(ISBLANK(patch[[#This Row],[project]]), "",COUNTIFS($A:$A,patch[[#This Row],[number]],$S:$S, "FL And dev",$AD:$AD, "&lt;&gt;IntegratorValidationComment"))</f>
        <v/>
      </c>
      <c r="AB2104" s="7" t="str">
        <f>IF(ISBLANK(patch[[#This Row],[project]]), "",COUNTIFS($A:$A,patch[[#This Row],[number]],$S:$S, "SH And dev",$AD:$AD, "&lt;&gt;IntegratorValidationComment"))</f>
        <v/>
      </c>
      <c r="AC2104" s="7" t="str">
        <f>IF(OR(ISNUMBER(FIND("Review-1", patch[[#This Row],[comments]])), ISNUMBER(FIND("Approver-1", patch[[#This Row],[comments]]))), "Review-1", "")</f>
        <v/>
      </c>
      <c r="AD21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04" s="7">
        <f>IF(ISBLANK(patch[[#This Row],[number]]),AE2103,patch[[#This Row],[ifCommon]])</f>
        <v>0</v>
      </c>
    </row>
    <row r="2105" spans="1:31">
      <c r="A2105" s="151">
        <v>143821</v>
      </c>
      <c r="B2105" s="151"/>
      <c r="C2105" s="151"/>
      <c r="D2105" s="151"/>
      <c r="E2105" s="151"/>
      <c r="F2105" s="151"/>
      <c r="G2105" s="151"/>
      <c r="H2105" s="151"/>
      <c r="I2105" s="151"/>
      <c r="J2105" s="152">
        <v>42621.694710648153</v>
      </c>
      <c r="K2105" s="151"/>
      <c r="L2105" s="151" t="s">
        <v>59</v>
      </c>
      <c r="M2105" s="152">
        <v>42620.674525462957</v>
      </c>
      <c r="N2105" s="151" t="s">
        <v>27</v>
      </c>
      <c r="O2105" s="151"/>
      <c r="P2105" s="151"/>
      <c r="Q2105" s="7" t="str">
        <f>IF(ISBLANK(patch[[#This Row],[OwnerEmail]]),Q2104,patch[[#This Row],[OwnerEmail]])</f>
        <v>gang.a.hu@intel.com</v>
      </c>
      <c r="R2105" s="7" t="str">
        <f>_xlfn.IFNA(VLOOKUP(patch[[#This Row],[tmp-owner.email]],OrgTree!$A:$K, 11, 0), "not ICG SWFW")</f>
        <v>BJ And dev</v>
      </c>
      <c r="S2105" s="7" t="str">
        <f>IF(patch[[#This Row],[reviewer]]=patch[[#This Row],[tmp-owner.email]], "author", _xlfn.IFNA(VLOOKUP(patch[[#This Row],[reviewer]],OrgTree!$A:$K, 11, 0), "not ICG SWFW"))</f>
        <v>BJ And dev</v>
      </c>
      <c r="T2105" s="7" t="str">
        <f>IF(ISBLANK(patch[[#This Row],[mergeDate]]), "", MID(YEAR(patch[[#This Row],[mergeDate]]), 3,2)&amp;"'ww"&amp;WEEKNUM(patch[[#This Row],[mergeDate]]))</f>
        <v>16'ww37</v>
      </c>
      <c r="U2105" s="7" t="str">
        <f>IF(ISBLANK(patch[[#This Row],[mergeDate]]), U2104, MID(YEAR(patch[[#This Row],[mergeDate]]), 3,2)&amp;"'m"&amp;MONTH(patch[[#This Row],[mergeDate]]))</f>
        <v>16'm9</v>
      </c>
      <c r="V2105" s="7" t="str">
        <f>IF(ISBLANK(patch[[#This Row],[project]]), "",SUM(patch[[#This Row],[BJ -1 num]:[SH -1 num]]))</f>
        <v/>
      </c>
      <c r="W2105" s="7" t="str">
        <f>IF(ISBLANK(patch[[#This Row],[project]]), "",COUNTIFS($A:$A,patch[[#This Row],[number]],$S:$S, "BJ And dev",$AC:$AC, "Review-1"))</f>
        <v/>
      </c>
      <c r="X2105" s="7" t="str">
        <f>IF(ISBLANK(patch[[#This Row],[project]]), "",COUNTIFS($A:$A,patch[[#This Row],[number]],$S:$S, "FL And dev",$AC:$AC, "Review-1"))</f>
        <v/>
      </c>
      <c r="Y2105" s="7" t="str">
        <f>IF(ISBLANK(patch[[#This Row],[project]]), "",COUNTIFS($A:$A,patch[[#This Row],[number]],$S:$S, "SH And dev",$AC:$AC, "Review-1"))</f>
        <v/>
      </c>
      <c r="Z2105" s="7" t="str">
        <f>IF(ISBLANK(patch[[#This Row],[project]]), "",COUNTIFS($A:$A,patch[[#This Row],[number]],$S:$S, "BJ And dev",$AD:$AD, "&lt;&gt;IntegratorValidationComment"))</f>
        <v/>
      </c>
      <c r="AA2105" s="7" t="str">
        <f>IF(ISBLANK(patch[[#This Row],[project]]), "",COUNTIFS($A:$A,patch[[#This Row],[number]],$S:$S, "FL And dev",$AD:$AD, "&lt;&gt;IntegratorValidationComment"))</f>
        <v/>
      </c>
      <c r="AB2105" s="7" t="str">
        <f>IF(ISBLANK(patch[[#This Row],[project]]), "",COUNTIFS($A:$A,patch[[#This Row],[number]],$S:$S, "SH And dev",$AD:$AD, "&lt;&gt;IntegratorValidationComment"))</f>
        <v/>
      </c>
      <c r="AC2105" s="7" t="str">
        <f>IF(OR(ISNUMBER(FIND("Review-1", patch[[#This Row],[comments]])), ISNUMBER(FIND("Approver-1", patch[[#This Row],[comments]]))), "Review-1", "")</f>
        <v/>
      </c>
      <c r="AD21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05" s="7">
        <f>IF(ISBLANK(patch[[#This Row],[number]]),AE2104,patch[[#This Row],[ifCommon]])</f>
        <v>0</v>
      </c>
    </row>
    <row r="2106" spans="1:31">
      <c r="A2106" s="151">
        <v>143821</v>
      </c>
      <c r="B2106" s="151"/>
      <c r="C2106" s="151"/>
      <c r="D2106" s="151"/>
      <c r="E2106" s="151"/>
      <c r="F2106" s="151"/>
      <c r="G2106" s="151"/>
      <c r="H2106" s="151"/>
      <c r="I2106" s="151"/>
      <c r="J2106" s="152">
        <v>42621.694710648153</v>
      </c>
      <c r="K2106" s="151"/>
      <c r="L2106" s="151" t="s">
        <v>59</v>
      </c>
      <c r="M2106" s="152">
        <v>42620.675706018519</v>
      </c>
      <c r="N2106" s="151" t="s">
        <v>3629</v>
      </c>
      <c r="O2106" s="151"/>
      <c r="P2106" s="151"/>
      <c r="Q2106" s="7" t="str">
        <f>IF(ISBLANK(patch[[#This Row],[OwnerEmail]]),Q2105,patch[[#This Row],[OwnerEmail]])</f>
        <v>gang.a.hu@intel.com</v>
      </c>
      <c r="R2106" s="7" t="str">
        <f>_xlfn.IFNA(VLOOKUP(patch[[#This Row],[tmp-owner.email]],OrgTree!$A:$K, 11, 0), "not ICG SWFW")</f>
        <v>BJ And dev</v>
      </c>
      <c r="S2106" s="7" t="str">
        <f>IF(patch[[#This Row],[reviewer]]=patch[[#This Row],[tmp-owner.email]], "author", _xlfn.IFNA(VLOOKUP(patch[[#This Row],[reviewer]],OrgTree!$A:$K, 11, 0), "not ICG SWFW"))</f>
        <v>BJ And dev</v>
      </c>
      <c r="T2106" s="7" t="str">
        <f>IF(ISBLANK(patch[[#This Row],[mergeDate]]), "", MID(YEAR(patch[[#This Row],[mergeDate]]), 3,2)&amp;"'ww"&amp;WEEKNUM(patch[[#This Row],[mergeDate]]))</f>
        <v>16'ww37</v>
      </c>
      <c r="U2106" s="7" t="str">
        <f>IF(ISBLANK(patch[[#This Row],[mergeDate]]), U2105, MID(YEAR(patch[[#This Row],[mergeDate]]), 3,2)&amp;"'m"&amp;MONTH(patch[[#This Row],[mergeDate]]))</f>
        <v>16'm9</v>
      </c>
      <c r="V2106" s="7" t="str">
        <f>IF(ISBLANK(patch[[#This Row],[project]]), "",SUM(patch[[#This Row],[BJ -1 num]:[SH -1 num]]))</f>
        <v/>
      </c>
      <c r="W2106" s="7" t="str">
        <f>IF(ISBLANK(patch[[#This Row],[project]]), "",COUNTIFS($A:$A,patch[[#This Row],[number]],$S:$S, "BJ And dev",$AC:$AC, "Review-1"))</f>
        <v/>
      </c>
      <c r="X2106" s="7" t="str">
        <f>IF(ISBLANK(patch[[#This Row],[project]]), "",COUNTIFS($A:$A,patch[[#This Row],[number]],$S:$S, "FL And dev",$AC:$AC, "Review-1"))</f>
        <v/>
      </c>
      <c r="Y2106" s="7" t="str">
        <f>IF(ISBLANK(patch[[#This Row],[project]]), "",COUNTIFS($A:$A,patch[[#This Row],[number]],$S:$S, "SH And dev",$AC:$AC, "Review-1"))</f>
        <v/>
      </c>
      <c r="Z2106" s="7" t="str">
        <f>IF(ISBLANK(patch[[#This Row],[project]]), "",COUNTIFS($A:$A,patch[[#This Row],[number]],$S:$S, "BJ And dev",$AD:$AD, "&lt;&gt;IntegratorValidationComment"))</f>
        <v/>
      </c>
      <c r="AA2106" s="7" t="str">
        <f>IF(ISBLANK(patch[[#This Row],[project]]), "",COUNTIFS($A:$A,patch[[#This Row],[number]],$S:$S, "FL And dev",$AD:$AD, "&lt;&gt;IntegratorValidationComment"))</f>
        <v/>
      </c>
      <c r="AB2106" s="7" t="str">
        <f>IF(ISBLANK(patch[[#This Row],[project]]), "",COUNTIFS($A:$A,patch[[#This Row],[number]],$S:$S, "SH And dev",$AD:$AD, "&lt;&gt;IntegratorValidationComment"))</f>
        <v/>
      </c>
      <c r="AC2106" s="7" t="str">
        <f>IF(OR(ISNUMBER(FIND("Review-1", patch[[#This Row],[comments]])), ISNUMBER(FIND("Approver-1", patch[[#This Row],[comments]]))), "Review-1", "")</f>
        <v/>
      </c>
      <c r="AD21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06" s="7">
        <f>IF(ISBLANK(patch[[#This Row],[number]]),AE2105,patch[[#This Row],[ifCommon]])</f>
        <v>0</v>
      </c>
    </row>
    <row r="2107" spans="1:31">
      <c r="A2107" s="151">
        <v>143821</v>
      </c>
      <c r="B2107" s="151"/>
      <c r="C2107" s="151"/>
      <c r="D2107" s="151"/>
      <c r="E2107" s="151"/>
      <c r="F2107" s="151"/>
      <c r="G2107" s="151"/>
      <c r="H2107" s="151"/>
      <c r="I2107" s="151"/>
      <c r="J2107" s="152">
        <v>42621.694710648153</v>
      </c>
      <c r="K2107" s="151"/>
      <c r="L2107" s="151" t="s">
        <v>55</v>
      </c>
      <c r="M2107" s="152">
        <v>42620.723090277781</v>
      </c>
      <c r="N2107" s="151" t="s">
        <v>42</v>
      </c>
      <c r="O2107" s="151"/>
      <c r="P2107" s="151"/>
      <c r="Q2107" s="7" t="str">
        <f>IF(ISBLANK(patch[[#This Row],[OwnerEmail]]),Q2106,patch[[#This Row],[OwnerEmail]])</f>
        <v>gang.a.hu@intel.com</v>
      </c>
      <c r="R2107" s="7" t="str">
        <f>_xlfn.IFNA(VLOOKUP(patch[[#This Row],[tmp-owner.email]],OrgTree!$A:$K, 11, 0), "not ICG SWFW")</f>
        <v>BJ And dev</v>
      </c>
      <c r="S2107" s="7" t="str">
        <f>IF(patch[[#This Row],[reviewer]]=patch[[#This Row],[tmp-owner.email]], "author", _xlfn.IFNA(VLOOKUP(patch[[#This Row],[reviewer]],OrgTree!$A:$K, 11, 0), "not ICG SWFW"))</f>
        <v>BJ And dev</v>
      </c>
      <c r="T2107" s="7" t="str">
        <f>IF(ISBLANK(patch[[#This Row],[mergeDate]]), "", MID(YEAR(patch[[#This Row],[mergeDate]]), 3,2)&amp;"'ww"&amp;WEEKNUM(patch[[#This Row],[mergeDate]]))</f>
        <v>16'ww37</v>
      </c>
      <c r="U2107" s="7" t="str">
        <f>IF(ISBLANK(patch[[#This Row],[mergeDate]]), U2106, MID(YEAR(patch[[#This Row],[mergeDate]]), 3,2)&amp;"'m"&amp;MONTH(patch[[#This Row],[mergeDate]]))</f>
        <v>16'm9</v>
      </c>
      <c r="V2107" s="7" t="str">
        <f>IF(ISBLANK(patch[[#This Row],[project]]), "",SUM(patch[[#This Row],[BJ -1 num]:[SH -1 num]]))</f>
        <v/>
      </c>
      <c r="W2107" s="7" t="str">
        <f>IF(ISBLANK(patch[[#This Row],[project]]), "",COUNTIFS($A:$A,patch[[#This Row],[number]],$S:$S, "BJ And dev",$AC:$AC, "Review-1"))</f>
        <v/>
      </c>
      <c r="X2107" s="7" t="str">
        <f>IF(ISBLANK(patch[[#This Row],[project]]), "",COUNTIFS($A:$A,patch[[#This Row],[number]],$S:$S, "FL And dev",$AC:$AC, "Review-1"))</f>
        <v/>
      </c>
      <c r="Y2107" s="7" t="str">
        <f>IF(ISBLANK(patch[[#This Row],[project]]), "",COUNTIFS($A:$A,patch[[#This Row],[number]],$S:$S, "SH And dev",$AC:$AC, "Review-1"))</f>
        <v/>
      </c>
      <c r="Z2107" s="7" t="str">
        <f>IF(ISBLANK(patch[[#This Row],[project]]), "",COUNTIFS($A:$A,patch[[#This Row],[number]],$S:$S, "BJ And dev",$AD:$AD, "&lt;&gt;IntegratorValidationComment"))</f>
        <v/>
      </c>
      <c r="AA2107" s="7" t="str">
        <f>IF(ISBLANK(patch[[#This Row],[project]]), "",COUNTIFS($A:$A,patch[[#This Row],[number]],$S:$S, "FL And dev",$AD:$AD, "&lt;&gt;IntegratorValidationComment"))</f>
        <v/>
      </c>
      <c r="AB2107" s="7" t="str">
        <f>IF(ISBLANK(patch[[#This Row],[project]]), "",COUNTIFS($A:$A,patch[[#This Row],[number]],$S:$S, "SH And dev",$AD:$AD, "&lt;&gt;IntegratorValidationComment"))</f>
        <v/>
      </c>
      <c r="AC2107" s="7" t="str">
        <f>IF(OR(ISNUMBER(FIND("Review-1", patch[[#This Row],[comments]])), ISNUMBER(FIND("Approver-1", patch[[#This Row],[comments]]))), "Review-1", "")</f>
        <v/>
      </c>
      <c r="AD21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07" s="7">
        <f>IF(ISBLANK(patch[[#This Row],[number]]),AE2106,patch[[#This Row],[ifCommon]])</f>
        <v>0</v>
      </c>
    </row>
    <row r="2108" spans="1:31">
      <c r="A2108" s="151">
        <v>143821</v>
      </c>
      <c r="B2108" s="151"/>
      <c r="C2108" s="151"/>
      <c r="D2108" s="151"/>
      <c r="E2108" s="151"/>
      <c r="F2108" s="151"/>
      <c r="G2108" s="151"/>
      <c r="H2108" s="151"/>
      <c r="I2108" s="151"/>
      <c r="J2108" s="152">
        <v>42621.694710648153</v>
      </c>
      <c r="K2108" s="151"/>
      <c r="L2108" s="151" t="s">
        <v>55</v>
      </c>
      <c r="M2108" s="152">
        <v>42620.723136574074</v>
      </c>
      <c r="N2108" s="151" t="s">
        <v>27</v>
      </c>
      <c r="O2108" s="151"/>
      <c r="P2108" s="151"/>
      <c r="Q2108" s="7" t="str">
        <f>IF(ISBLANK(patch[[#This Row],[OwnerEmail]]),Q2107,patch[[#This Row],[OwnerEmail]])</f>
        <v>gang.a.hu@intel.com</v>
      </c>
      <c r="R2108" s="7" t="str">
        <f>_xlfn.IFNA(VLOOKUP(patch[[#This Row],[tmp-owner.email]],OrgTree!$A:$K, 11, 0), "not ICG SWFW")</f>
        <v>BJ And dev</v>
      </c>
      <c r="S2108" s="7" t="str">
        <f>IF(patch[[#This Row],[reviewer]]=patch[[#This Row],[tmp-owner.email]], "author", _xlfn.IFNA(VLOOKUP(patch[[#This Row],[reviewer]],OrgTree!$A:$K, 11, 0), "not ICG SWFW"))</f>
        <v>BJ And dev</v>
      </c>
      <c r="T2108" s="7" t="str">
        <f>IF(ISBLANK(patch[[#This Row],[mergeDate]]), "", MID(YEAR(patch[[#This Row],[mergeDate]]), 3,2)&amp;"'ww"&amp;WEEKNUM(patch[[#This Row],[mergeDate]]))</f>
        <v>16'ww37</v>
      </c>
      <c r="U2108" s="7" t="str">
        <f>IF(ISBLANK(patch[[#This Row],[mergeDate]]), U2107, MID(YEAR(patch[[#This Row],[mergeDate]]), 3,2)&amp;"'m"&amp;MONTH(patch[[#This Row],[mergeDate]]))</f>
        <v>16'm9</v>
      </c>
      <c r="V2108" s="7" t="str">
        <f>IF(ISBLANK(patch[[#This Row],[project]]), "",SUM(patch[[#This Row],[BJ -1 num]:[SH -1 num]]))</f>
        <v/>
      </c>
      <c r="W2108" s="7" t="str">
        <f>IF(ISBLANK(patch[[#This Row],[project]]), "",COUNTIFS($A:$A,patch[[#This Row],[number]],$S:$S, "BJ And dev",$AC:$AC, "Review-1"))</f>
        <v/>
      </c>
      <c r="X2108" s="7" t="str">
        <f>IF(ISBLANK(patch[[#This Row],[project]]), "",COUNTIFS($A:$A,patch[[#This Row],[number]],$S:$S, "FL And dev",$AC:$AC, "Review-1"))</f>
        <v/>
      </c>
      <c r="Y2108" s="7" t="str">
        <f>IF(ISBLANK(patch[[#This Row],[project]]), "",COUNTIFS($A:$A,patch[[#This Row],[number]],$S:$S, "SH And dev",$AC:$AC, "Review-1"))</f>
        <v/>
      </c>
      <c r="Z2108" s="7" t="str">
        <f>IF(ISBLANK(patch[[#This Row],[project]]), "",COUNTIFS($A:$A,patch[[#This Row],[number]],$S:$S, "BJ And dev",$AD:$AD, "&lt;&gt;IntegratorValidationComment"))</f>
        <v/>
      </c>
      <c r="AA2108" s="7" t="str">
        <f>IF(ISBLANK(patch[[#This Row],[project]]), "",COUNTIFS($A:$A,patch[[#This Row],[number]],$S:$S, "FL And dev",$AD:$AD, "&lt;&gt;IntegratorValidationComment"))</f>
        <v/>
      </c>
      <c r="AB2108" s="7" t="str">
        <f>IF(ISBLANK(patch[[#This Row],[project]]), "",COUNTIFS($A:$A,patch[[#This Row],[number]],$S:$S, "SH And dev",$AD:$AD, "&lt;&gt;IntegratorValidationComment"))</f>
        <v/>
      </c>
      <c r="AC2108" s="7" t="str">
        <f>IF(OR(ISNUMBER(FIND("Review-1", patch[[#This Row],[comments]])), ISNUMBER(FIND("Approver-1", patch[[#This Row],[comments]]))), "Review-1", "")</f>
        <v/>
      </c>
      <c r="AD21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08" s="7">
        <f>IF(ISBLANK(patch[[#This Row],[number]]),AE2107,patch[[#This Row],[ifCommon]])</f>
        <v>0</v>
      </c>
    </row>
    <row r="2109" spans="1:31">
      <c r="A2109" s="151">
        <v>143821</v>
      </c>
      <c r="B2109" s="151"/>
      <c r="C2109" s="151"/>
      <c r="D2109" s="151"/>
      <c r="E2109" s="151"/>
      <c r="F2109" s="151"/>
      <c r="G2109" s="151"/>
      <c r="H2109" s="151"/>
      <c r="I2109" s="151"/>
      <c r="J2109" s="152">
        <v>42621.694710648153</v>
      </c>
      <c r="K2109" s="151"/>
      <c r="L2109" s="151" t="s">
        <v>115</v>
      </c>
      <c r="M2109" s="152">
        <v>42621.41983796296</v>
      </c>
      <c r="N2109" s="151" t="s">
        <v>2495</v>
      </c>
      <c r="O2109" s="151"/>
      <c r="P2109" s="151"/>
      <c r="Q2109" s="7" t="str">
        <f>IF(ISBLANK(patch[[#This Row],[OwnerEmail]]),Q2108,patch[[#This Row],[OwnerEmail]])</f>
        <v>gang.a.hu@intel.com</v>
      </c>
      <c r="R2109" s="7" t="str">
        <f>_xlfn.IFNA(VLOOKUP(patch[[#This Row],[tmp-owner.email]],OrgTree!$A:$K, 11, 0), "not ICG SWFW")</f>
        <v>BJ And dev</v>
      </c>
      <c r="S2109" s="7" t="str">
        <f>IF(patch[[#This Row],[reviewer]]=patch[[#This Row],[tmp-owner.email]], "author", _xlfn.IFNA(VLOOKUP(patch[[#This Row],[reviewer]],OrgTree!$A:$K, 11, 0), "not ICG SWFW"))</f>
        <v>Val</v>
      </c>
      <c r="T2109" s="7" t="str">
        <f>IF(ISBLANK(patch[[#This Row],[mergeDate]]), "", MID(YEAR(patch[[#This Row],[mergeDate]]), 3,2)&amp;"'ww"&amp;WEEKNUM(patch[[#This Row],[mergeDate]]))</f>
        <v>16'ww37</v>
      </c>
      <c r="U2109" s="7" t="str">
        <f>IF(ISBLANK(patch[[#This Row],[mergeDate]]), U2108, MID(YEAR(patch[[#This Row],[mergeDate]]), 3,2)&amp;"'m"&amp;MONTH(patch[[#This Row],[mergeDate]]))</f>
        <v>16'm9</v>
      </c>
      <c r="V2109" s="7" t="str">
        <f>IF(ISBLANK(patch[[#This Row],[project]]), "",SUM(patch[[#This Row],[BJ -1 num]:[SH -1 num]]))</f>
        <v/>
      </c>
      <c r="W2109" s="7" t="str">
        <f>IF(ISBLANK(patch[[#This Row],[project]]), "",COUNTIFS($A:$A,patch[[#This Row],[number]],$S:$S, "BJ And dev",$AC:$AC, "Review-1"))</f>
        <v/>
      </c>
      <c r="X2109" s="7" t="str">
        <f>IF(ISBLANK(patch[[#This Row],[project]]), "",COUNTIFS($A:$A,patch[[#This Row],[number]],$S:$S, "FL And dev",$AC:$AC, "Review-1"))</f>
        <v/>
      </c>
      <c r="Y2109" s="7" t="str">
        <f>IF(ISBLANK(patch[[#This Row],[project]]), "",COUNTIFS($A:$A,patch[[#This Row],[number]],$S:$S, "SH And dev",$AC:$AC, "Review-1"))</f>
        <v/>
      </c>
      <c r="Z2109" s="7" t="str">
        <f>IF(ISBLANK(patch[[#This Row],[project]]), "",COUNTIFS($A:$A,patch[[#This Row],[number]],$S:$S, "BJ And dev",$AD:$AD, "&lt;&gt;IntegratorValidationComment"))</f>
        <v/>
      </c>
      <c r="AA2109" s="7" t="str">
        <f>IF(ISBLANK(patch[[#This Row],[project]]), "",COUNTIFS($A:$A,patch[[#This Row],[number]],$S:$S, "FL And dev",$AD:$AD, "&lt;&gt;IntegratorValidationComment"))</f>
        <v/>
      </c>
      <c r="AB2109" s="7" t="str">
        <f>IF(ISBLANK(patch[[#This Row],[project]]), "",COUNTIFS($A:$A,patch[[#This Row],[number]],$S:$S, "SH And dev",$AD:$AD, "&lt;&gt;IntegratorValidationComment"))</f>
        <v/>
      </c>
      <c r="AC2109" s="7" t="str">
        <f>IF(OR(ISNUMBER(FIND("Review-1", patch[[#This Row],[comments]])), ISNUMBER(FIND("Approver-1", patch[[#This Row],[comments]]))), "Review-1", "")</f>
        <v/>
      </c>
      <c r="AD21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109" s="7">
        <f>IF(ISBLANK(patch[[#This Row],[number]]),AE2108,patch[[#This Row],[ifCommon]])</f>
        <v>0</v>
      </c>
    </row>
    <row r="2110" spans="1:31">
      <c r="A2110" s="151">
        <v>143589</v>
      </c>
      <c r="B2110" s="151" t="s">
        <v>2490</v>
      </c>
      <c r="C2110" s="151" t="s">
        <v>2491</v>
      </c>
      <c r="D2110" s="151" t="s">
        <v>3630</v>
      </c>
      <c r="E2110" s="151" t="s">
        <v>59</v>
      </c>
      <c r="F2110" s="151" t="s">
        <v>23</v>
      </c>
      <c r="G2110" s="151" t="s">
        <v>3631</v>
      </c>
      <c r="H2110" s="151" t="s">
        <v>3632</v>
      </c>
      <c r="I2110" s="152">
        <v>42619.812685185178</v>
      </c>
      <c r="J2110" s="152">
        <v>42621.694606481477</v>
      </c>
      <c r="K2110" s="151" t="s">
        <v>2445</v>
      </c>
      <c r="L2110" s="151" t="s">
        <v>59</v>
      </c>
      <c r="M2110" s="152">
        <v>42619.812685185178</v>
      </c>
      <c r="N2110" s="151" t="s">
        <v>25</v>
      </c>
      <c r="O2110" s="151"/>
      <c r="P2110" s="151" t="s">
        <v>3206</v>
      </c>
      <c r="Q2110" s="7" t="str">
        <f>IF(ISBLANK(patch[[#This Row],[OwnerEmail]]),Q2109,patch[[#This Row],[OwnerEmail]])</f>
        <v>xiaozhou.liu@intel.com</v>
      </c>
      <c r="R2110" s="7" t="str">
        <f>_xlfn.IFNA(VLOOKUP(patch[[#This Row],[tmp-owner.email]],OrgTree!$A:$K, 11, 0), "not ICG SWFW")</f>
        <v>BJ And dev</v>
      </c>
      <c r="S2110" s="7" t="str">
        <f>IF(patch[[#This Row],[reviewer]]=patch[[#This Row],[tmp-owner.email]], "author", _xlfn.IFNA(VLOOKUP(patch[[#This Row],[reviewer]],OrgTree!$A:$K, 11, 0), "not ICG SWFW"))</f>
        <v>author</v>
      </c>
      <c r="T2110" s="7" t="str">
        <f>IF(ISBLANK(patch[[#This Row],[mergeDate]]), "", MID(YEAR(patch[[#This Row],[mergeDate]]), 3,2)&amp;"'ww"&amp;WEEKNUM(patch[[#This Row],[mergeDate]]))</f>
        <v>16'ww37</v>
      </c>
      <c r="U2110" s="7" t="str">
        <f>IF(ISBLANK(patch[[#This Row],[mergeDate]]), U2109, MID(YEAR(patch[[#This Row],[mergeDate]]), 3,2)&amp;"'m"&amp;MONTH(patch[[#This Row],[mergeDate]]))</f>
        <v>16'm9</v>
      </c>
      <c r="V2110" s="7">
        <f>IF(ISBLANK(patch[[#This Row],[project]]), "",SUM(patch[[#This Row],[BJ -1 num]:[SH -1 num]]))</f>
        <v>0</v>
      </c>
      <c r="W2110" s="7">
        <f>IF(ISBLANK(patch[[#This Row],[project]]), "",COUNTIFS($A:$A,patch[[#This Row],[number]],$S:$S, "BJ And dev",$AC:$AC, "Review-1"))</f>
        <v>0</v>
      </c>
      <c r="X2110" s="7">
        <f>IF(ISBLANK(patch[[#This Row],[project]]), "",COUNTIFS($A:$A,patch[[#This Row],[number]],$S:$S, "FL And dev",$AC:$AC, "Review-1"))</f>
        <v>0</v>
      </c>
      <c r="Y2110" s="7">
        <f>IF(ISBLANK(patch[[#This Row],[project]]), "",COUNTIFS($A:$A,patch[[#This Row],[number]],$S:$S, "SH And dev",$AC:$AC, "Review-1"))</f>
        <v>0</v>
      </c>
      <c r="Z2110" s="7">
        <f>IF(ISBLANK(patch[[#This Row],[project]]), "",COUNTIFS($A:$A,patch[[#This Row],[number]],$S:$S, "BJ And dev",$AD:$AD, "&lt;&gt;IntegratorValidationComment"))</f>
        <v>3</v>
      </c>
      <c r="AA2110" s="7">
        <f>IF(ISBLANK(patch[[#This Row],[project]]), "",COUNTIFS($A:$A,patch[[#This Row],[number]],$S:$S, "FL And dev",$AD:$AD, "&lt;&gt;IntegratorValidationComment"))</f>
        <v>0</v>
      </c>
      <c r="AB2110" s="7">
        <f>IF(ISBLANK(patch[[#This Row],[project]]), "",COUNTIFS($A:$A,patch[[#This Row],[number]],$S:$S, "SH And dev",$AD:$AD, "&lt;&gt;IntegratorValidationComment"))</f>
        <v>0</v>
      </c>
      <c r="AC2110" s="7" t="str">
        <f>IF(OR(ISNUMBER(FIND("Review-1", patch[[#This Row],[comments]])), ISNUMBER(FIND("Approver-1", patch[[#This Row],[comments]]))), "Review-1", "")</f>
        <v/>
      </c>
      <c r="AD21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10" s="7" t="str">
        <f>IF(ISBLANK(patch[[#This Row],[number]]),AE2109,patch[[#This Row],[ifCommon]])</f>
        <v>not AndrHAL</v>
      </c>
    </row>
    <row r="2111" spans="1:31">
      <c r="A2111" s="151">
        <v>143589</v>
      </c>
      <c r="B2111" s="151"/>
      <c r="C2111" s="151"/>
      <c r="D2111" s="151"/>
      <c r="E2111" s="151"/>
      <c r="F2111" s="151"/>
      <c r="G2111" s="151"/>
      <c r="H2111" s="151"/>
      <c r="I2111" s="151"/>
      <c r="J2111" s="152">
        <v>42621.694606481477</v>
      </c>
      <c r="K2111" s="151"/>
      <c r="L2111" s="151" t="s">
        <v>59</v>
      </c>
      <c r="M2111" s="152">
        <v>42619.812719907408</v>
      </c>
      <c r="N2111" s="151" t="s">
        <v>2428</v>
      </c>
      <c r="O2111" s="151"/>
      <c r="P2111" s="151"/>
      <c r="Q2111" s="7" t="str">
        <f>IF(ISBLANK(patch[[#This Row],[OwnerEmail]]),Q2110,patch[[#This Row],[OwnerEmail]])</f>
        <v>xiaozhou.liu@intel.com</v>
      </c>
      <c r="R2111" s="7" t="str">
        <f>_xlfn.IFNA(VLOOKUP(patch[[#This Row],[tmp-owner.email]],OrgTree!$A:$K, 11, 0), "not ICG SWFW")</f>
        <v>BJ And dev</v>
      </c>
      <c r="S2111" s="7" t="str">
        <f>IF(patch[[#This Row],[reviewer]]=patch[[#This Row],[tmp-owner.email]], "author", _xlfn.IFNA(VLOOKUP(patch[[#This Row],[reviewer]],OrgTree!$A:$K, 11, 0), "not ICG SWFW"))</f>
        <v>author</v>
      </c>
      <c r="T2111" s="7" t="str">
        <f>IF(ISBLANK(patch[[#This Row],[mergeDate]]), "", MID(YEAR(patch[[#This Row],[mergeDate]]), 3,2)&amp;"'ww"&amp;WEEKNUM(patch[[#This Row],[mergeDate]]))</f>
        <v>16'ww37</v>
      </c>
      <c r="U2111" s="7" t="str">
        <f>IF(ISBLANK(patch[[#This Row],[mergeDate]]), U2110, MID(YEAR(patch[[#This Row],[mergeDate]]), 3,2)&amp;"'m"&amp;MONTH(patch[[#This Row],[mergeDate]]))</f>
        <v>16'm9</v>
      </c>
      <c r="V2111" s="7" t="str">
        <f>IF(ISBLANK(patch[[#This Row],[project]]), "",SUM(patch[[#This Row],[BJ -1 num]:[SH -1 num]]))</f>
        <v/>
      </c>
      <c r="W2111" s="7" t="str">
        <f>IF(ISBLANK(patch[[#This Row],[project]]), "",COUNTIFS($A:$A,patch[[#This Row],[number]],$S:$S, "BJ And dev",$AC:$AC, "Review-1"))</f>
        <v/>
      </c>
      <c r="X2111" s="7" t="str">
        <f>IF(ISBLANK(patch[[#This Row],[project]]), "",COUNTIFS($A:$A,patch[[#This Row],[number]],$S:$S, "FL And dev",$AC:$AC, "Review-1"))</f>
        <v/>
      </c>
      <c r="Y2111" s="7" t="str">
        <f>IF(ISBLANK(patch[[#This Row],[project]]), "",COUNTIFS($A:$A,patch[[#This Row],[number]],$S:$S, "SH And dev",$AC:$AC, "Review-1"))</f>
        <v/>
      </c>
      <c r="Z2111" s="7" t="str">
        <f>IF(ISBLANK(patch[[#This Row],[project]]), "",COUNTIFS($A:$A,patch[[#This Row],[number]],$S:$S, "BJ And dev",$AD:$AD, "&lt;&gt;IntegratorValidationComment"))</f>
        <v/>
      </c>
      <c r="AA2111" s="7" t="str">
        <f>IF(ISBLANK(patch[[#This Row],[project]]), "",COUNTIFS($A:$A,patch[[#This Row],[number]],$S:$S, "FL And dev",$AD:$AD, "&lt;&gt;IntegratorValidationComment"))</f>
        <v/>
      </c>
      <c r="AB2111" s="7" t="str">
        <f>IF(ISBLANK(patch[[#This Row],[project]]), "",COUNTIFS($A:$A,patch[[#This Row],[number]],$S:$S, "SH And dev",$AD:$AD, "&lt;&gt;IntegratorValidationComment"))</f>
        <v/>
      </c>
      <c r="AC2111" s="7" t="str">
        <f>IF(OR(ISNUMBER(FIND("Review-1", patch[[#This Row],[comments]])), ISNUMBER(FIND("Approver-1", patch[[#This Row],[comments]]))), "Review-1", "")</f>
        <v/>
      </c>
      <c r="AD21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11" s="7">
        <f>IF(ISBLANK(patch[[#This Row],[number]]),AE2110,patch[[#This Row],[ifCommon]])</f>
        <v>0</v>
      </c>
    </row>
    <row r="2112" spans="1:31">
      <c r="A2112" s="151">
        <v>143589</v>
      </c>
      <c r="B2112" s="151"/>
      <c r="C2112" s="151"/>
      <c r="D2112" s="151"/>
      <c r="E2112" s="151"/>
      <c r="F2112" s="151"/>
      <c r="G2112" s="151"/>
      <c r="H2112" s="151"/>
      <c r="I2112" s="151"/>
      <c r="J2112" s="152">
        <v>42621.694606481477</v>
      </c>
      <c r="K2112" s="151"/>
      <c r="L2112" s="151" t="s">
        <v>59</v>
      </c>
      <c r="M2112" s="152">
        <v>42619.813796296286</v>
      </c>
      <c r="N2112" s="151" t="s">
        <v>40</v>
      </c>
      <c r="O2112" s="151"/>
      <c r="P2112" s="151"/>
      <c r="Q2112" s="7" t="str">
        <f>IF(ISBLANK(patch[[#This Row],[OwnerEmail]]),Q2111,patch[[#This Row],[OwnerEmail]])</f>
        <v>xiaozhou.liu@intel.com</v>
      </c>
      <c r="R2112" s="7" t="str">
        <f>_xlfn.IFNA(VLOOKUP(patch[[#This Row],[tmp-owner.email]],OrgTree!$A:$K, 11, 0), "not ICG SWFW")</f>
        <v>BJ And dev</v>
      </c>
      <c r="S2112" s="7" t="str">
        <f>IF(patch[[#This Row],[reviewer]]=patch[[#This Row],[tmp-owner.email]], "author", _xlfn.IFNA(VLOOKUP(patch[[#This Row],[reviewer]],OrgTree!$A:$K, 11, 0), "not ICG SWFW"))</f>
        <v>author</v>
      </c>
      <c r="T2112" s="7" t="str">
        <f>IF(ISBLANK(patch[[#This Row],[mergeDate]]), "", MID(YEAR(patch[[#This Row],[mergeDate]]), 3,2)&amp;"'ww"&amp;WEEKNUM(patch[[#This Row],[mergeDate]]))</f>
        <v>16'ww37</v>
      </c>
      <c r="U2112" s="7" t="str">
        <f>IF(ISBLANK(patch[[#This Row],[mergeDate]]), U2111, MID(YEAR(patch[[#This Row],[mergeDate]]), 3,2)&amp;"'m"&amp;MONTH(patch[[#This Row],[mergeDate]]))</f>
        <v>16'm9</v>
      </c>
      <c r="V2112" s="7" t="str">
        <f>IF(ISBLANK(patch[[#This Row],[project]]), "",SUM(patch[[#This Row],[BJ -1 num]:[SH -1 num]]))</f>
        <v/>
      </c>
      <c r="W2112" s="7" t="str">
        <f>IF(ISBLANK(patch[[#This Row],[project]]), "",COUNTIFS($A:$A,patch[[#This Row],[number]],$S:$S, "BJ And dev",$AC:$AC, "Review-1"))</f>
        <v/>
      </c>
      <c r="X2112" s="7" t="str">
        <f>IF(ISBLANK(patch[[#This Row],[project]]), "",COUNTIFS($A:$A,patch[[#This Row],[number]],$S:$S, "FL And dev",$AC:$AC, "Review-1"))</f>
        <v/>
      </c>
      <c r="Y2112" s="7" t="str">
        <f>IF(ISBLANK(patch[[#This Row],[project]]), "",COUNTIFS($A:$A,patch[[#This Row],[number]],$S:$S, "SH And dev",$AC:$AC, "Review-1"))</f>
        <v/>
      </c>
      <c r="Z2112" s="7" t="str">
        <f>IF(ISBLANK(patch[[#This Row],[project]]), "",COUNTIFS($A:$A,patch[[#This Row],[number]],$S:$S, "BJ And dev",$AD:$AD, "&lt;&gt;IntegratorValidationComment"))</f>
        <v/>
      </c>
      <c r="AA2112" s="7" t="str">
        <f>IF(ISBLANK(patch[[#This Row],[project]]), "",COUNTIFS($A:$A,patch[[#This Row],[number]],$S:$S, "FL And dev",$AD:$AD, "&lt;&gt;IntegratorValidationComment"))</f>
        <v/>
      </c>
      <c r="AB2112" s="7" t="str">
        <f>IF(ISBLANK(patch[[#This Row],[project]]), "",COUNTIFS($A:$A,patch[[#This Row],[number]],$S:$S, "SH And dev",$AD:$AD, "&lt;&gt;IntegratorValidationComment"))</f>
        <v/>
      </c>
      <c r="AC2112" s="7" t="str">
        <f>IF(OR(ISNUMBER(FIND("Review-1", patch[[#This Row],[comments]])), ISNUMBER(FIND("Approver-1", patch[[#This Row],[comments]]))), "Review-1", "")</f>
        <v/>
      </c>
      <c r="AD21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12" s="7">
        <f>IF(ISBLANK(patch[[#This Row],[number]]),AE2111,patch[[#This Row],[ifCommon]])</f>
        <v>0</v>
      </c>
    </row>
    <row r="2113" spans="1:31">
      <c r="A2113" s="151">
        <v>143589</v>
      </c>
      <c r="B2113" s="151"/>
      <c r="C2113" s="151"/>
      <c r="D2113" s="151"/>
      <c r="E2113" s="151"/>
      <c r="F2113" s="151"/>
      <c r="G2113" s="151"/>
      <c r="H2113" s="151"/>
      <c r="I2113" s="151"/>
      <c r="J2113" s="152">
        <v>42621.694606481477</v>
      </c>
      <c r="K2113" s="151"/>
      <c r="L2113" s="151" t="s">
        <v>59</v>
      </c>
      <c r="M2113" s="152">
        <v>42619.821423611109</v>
      </c>
      <c r="N2113" s="151" t="s">
        <v>3633</v>
      </c>
      <c r="O2113" s="151"/>
      <c r="P2113" s="151"/>
      <c r="Q2113" s="7" t="str">
        <f>IF(ISBLANK(patch[[#This Row],[OwnerEmail]]),Q2112,patch[[#This Row],[OwnerEmail]])</f>
        <v>xiaozhou.liu@intel.com</v>
      </c>
      <c r="R2113" s="7" t="str">
        <f>_xlfn.IFNA(VLOOKUP(patch[[#This Row],[tmp-owner.email]],OrgTree!$A:$K, 11, 0), "not ICG SWFW")</f>
        <v>BJ And dev</v>
      </c>
      <c r="S2113" s="7" t="str">
        <f>IF(patch[[#This Row],[reviewer]]=patch[[#This Row],[tmp-owner.email]], "author", _xlfn.IFNA(VLOOKUP(patch[[#This Row],[reviewer]],OrgTree!$A:$K, 11, 0), "not ICG SWFW"))</f>
        <v>author</v>
      </c>
      <c r="T2113" s="7" t="str">
        <f>IF(ISBLANK(patch[[#This Row],[mergeDate]]), "", MID(YEAR(patch[[#This Row],[mergeDate]]), 3,2)&amp;"'ww"&amp;WEEKNUM(patch[[#This Row],[mergeDate]]))</f>
        <v>16'ww37</v>
      </c>
      <c r="U2113" s="7" t="str">
        <f>IF(ISBLANK(patch[[#This Row],[mergeDate]]), U2112, MID(YEAR(patch[[#This Row],[mergeDate]]), 3,2)&amp;"'m"&amp;MONTH(patch[[#This Row],[mergeDate]]))</f>
        <v>16'm9</v>
      </c>
      <c r="V2113" s="7" t="str">
        <f>IF(ISBLANK(patch[[#This Row],[project]]), "",SUM(patch[[#This Row],[BJ -1 num]:[SH -1 num]]))</f>
        <v/>
      </c>
      <c r="W2113" s="7" t="str">
        <f>IF(ISBLANK(patch[[#This Row],[project]]), "",COUNTIFS($A:$A,patch[[#This Row],[number]],$S:$S, "BJ And dev",$AC:$AC, "Review-1"))</f>
        <v/>
      </c>
      <c r="X2113" s="7" t="str">
        <f>IF(ISBLANK(patch[[#This Row],[project]]), "",COUNTIFS($A:$A,patch[[#This Row],[number]],$S:$S, "FL And dev",$AC:$AC, "Review-1"))</f>
        <v/>
      </c>
      <c r="Y2113" s="7" t="str">
        <f>IF(ISBLANK(patch[[#This Row],[project]]), "",COUNTIFS($A:$A,patch[[#This Row],[number]],$S:$S, "SH And dev",$AC:$AC, "Review-1"))</f>
        <v/>
      </c>
      <c r="Z2113" s="7" t="str">
        <f>IF(ISBLANK(patch[[#This Row],[project]]), "",COUNTIFS($A:$A,patch[[#This Row],[number]],$S:$S, "BJ And dev",$AD:$AD, "&lt;&gt;IntegratorValidationComment"))</f>
        <v/>
      </c>
      <c r="AA2113" s="7" t="str">
        <f>IF(ISBLANK(patch[[#This Row],[project]]), "",COUNTIFS($A:$A,patch[[#This Row],[number]],$S:$S, "FL And dev",$AD:$AD, "&lt;&gt;IntegratorValidationComment"))</f>
        <v/>
      </c>
      <c r="AB2113" s="7" t="str">
        <f>IF(ISBLANK(patch[[#This Row],[project]]), "",COUNTIFS($A:$A,patch[[#This Row],[number]],$S:$S, "SH And dev",$AD:$AD, "&lt;&gt;IntegratorValidationComment"))</f>
        <v/>
      </c>
      <c r="AC2113" s="7" t="str">
        <f>IF(OR(ISNUMBER(FIND("Review-1", patch[[#This Row],[comments]])), ISNUMBER(FIND("Approver-1", patch[[#This Row],[comments]]))), "Review-1", "")</f>
        <v/>
      </c>
      <c r="AD21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13" s="7">
        <f>IF(ISBLANK(patch[[#This Row],[number]]),AE2112,patch[[#This Row],[ifCommon]])</f>
        <v>0</v>
      </c>
    </row>
    <row r="2114" spans="1:31">
      <c r="A2114" s="151">
        <v>143589</v>
      </c>
      <c r="B2114" s="151"/>
      <c r="C2114" s="151"/>
      <c r="D2114" s="151"/>
      <c r="E2114" s="151"/>
      <c r="F2114" s="151"/>
      <c r="G2114" s="151"/>
      <c r="H2114" s="151"/>
      <c r="I2114" s="151"/>
      <c r="J2114" s="152">
        <v>42621.694606481477</v>
      </c>
      <c r="K2114" s="151"/>
      <c r="L2114" s="151" t="s">
        <v>55</v>
      </c>
      <c r="M2114" s="152">
        <v>42620.657430555562</v>
      </c>
      <c r="N2114" s="151" t="s">
        <v>40</v>
      </c>
      <c r="O2114" s="151"/>
      <c r="P2114" s="151"/>
      <c r="Q2114" s="7" t="str">
        <f>IF(ISBLANK(patch[[#This Row],[OwnerEmail]]),Q2113,patch[[#This Row],[OwnerEmail]])</f>
        <v>xiaozhou.liu@intel.com</v>
      </c>
      <c r="R2114" s="7" t="str">
        <f>_xlfn.IFNA(VLOOKUP(patch[[#This Row],[tmp-owner.email]],OrgTree!$A:$K, 11, 0), "not ICG SWFW")</f>
        <v>BJ And dev</v>
      </c>
      <c r="S2114" s="7" t="str">
        <f>IF(patch[[#This Row],[reviewer]]=patch[[#This Row],[tmp-owner.email]], "author", _xlfn.IFNA(VLOOKUP(patch[[#This Row],[reviewer]],OrgTree!$A:$K, 11, 0), "not ICG SWFW"))</f>
        <v>BJ And dev</v>
      </c>
      <c r="T2114" s="7" t="str">
        <f>IF(ISBLANK(patch[[#This Row],[mergeDate]]), "", MID(YEAR(patch[[#This Row],[mergeDate]]), 3,2)&amp;"'ww"&amp;WEEKNUM(patch[[#This Row],[mergeDate]]))</f>
        <v>16'ww37</v>
      </c>
      <c r="U2114" s="7" t="str">
        <f>IF(ISBLANK(patch[[#This Row],[mergeDate]]), U2113, MID(YEAR(patch[[#This Row],[mergeDate]]), 3,2)&amp;"'m"&amp;MONTH(patch[[#This Row],[mergeDate]]))</f>
        <v>16'm9</v>
      </c>
      <c r="V2114" s="7" t="str">
        <f>IF(ISBLANK(patch[[#This Row],[project]]), "",SUM(patch[[#This Row],[BJ -1 num]:[SH -1 num]]))</f>
        <v/>
      </c>
      <c r="W2114" s="7" t="str">
        <f>IF(ISBLANK(patch[[#This Row],[project]]), "",COUNTIFS($A:$A,patch[[#This Row],[number]],$S:$S, "BJ And dev",$AC:$AC, "Review-1"))</f>
        <v/>
      </c>
      <c r="X2114" s="7" t="str">
        <f>IF(ISBLANK(patch[[#This Row],[project]]), "",COUNTIFS($A:$A,patch[[#This Row],[number]],$S:$S, "FL And dev",$AC:$AC, "Review-1"))</f>
        <v/>
      </c>
      <c r="Y2114" s="7" t="str">
        <f>IF(ISBLANK(patch[[#This Row],[project]]), "",COUNTIFS($A:$A,patch[[#This Row],[number]],$S:$S, "SH And dev",$AC:$AC, "Review-1"))</f>
        <v/>
      </c>
      <c r="Z2114" s="7" t="str">
        <f>IF(ISBLANK(patch[[#This Row],[project]]), "",COUNTIFS($A:$A,patch[[#This Row],[number]],$S:$S, "BJ And dev",$AD:$AD, "&lt;&gt;IntegratorValidationComment"))</f>
        <v/>
      </c>
      <c r="AA2114" s="7" t="str">
        <f>IF(ISBLANK(patch[[#This Row],[project]]), "",COUNTIFS($A:$A,patch[[#This Row],[number]],$S:$S, "FL And dev",$AD:$AD, "&lt;&gt;IntegratorValidationComment"))</f>
        <v/>
      </c>
      <c r="AB2114" s="7" t="str">
        <f>IF(ISBLANK(patch[[#This Row],[project]]), "",COUNTIFS($A:$A,patch[[#This Row],[number]],$S:$S, "SH And dev",$AD:$AD, "&lt;&gt;IntegratorValidationComment"))</f>
        <v/>
      </c>
      <c r="AC2114" s="7" t="str">
        <f>IF(OR(ISNUMBER(FIND("Review-1", patch[[#This Row],[comments]])), ISNUMBER(FIND("Approver-1", patch[[#This Row],[comments]]))), "Review-1", "")</f>
        <v/>
      </c>
      <c r="AD21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14" s="7">
        <f>IF(ISBLANK(patch[[#This Row],[number]]),AE2113,patch[[#This Row],[ifCommon]])</f>
        <v>0</v>
      </c>
    </row>
    <row r="2115" spans="1:31">
      <c r="A2115" s="151">
        <v>143589</v>
      </c>
      <c r="B2115" s="151"/>
      <c r="C2115" s="151"/>
      <c r="D2115" s="151"/>
      <c r="E2115" s="151"/>
      <c r="F2115" s="151"/>
      <c r="G2115" s="151"/>
      <c r="H2115" s="151"/>
      <c r="I2115" s="152"/>
      <c r="J2115" s="152">
        <v>42621.694606481477</v>
      </c>
      <c r="K2115" s="151"/>
      <c r="L2115" s="151" t="s">
        <v>24</v>
      </c>
      <c r="M2115" s="152">
        <v>42620.788159722222</v>
      </c>
      <c r="N2115" s="151" t="s">
        <v>40</v>
      </c>
      <c r="O2115" s="151"/>
      <c r="P2115" s="151"/>
      <c r="Q2115" s="7" t="str">
        <f>IF(ISBLANK(patch[[#This Row],[OwnerEmail]]),Q2114,patch[[#This Row],[OwnerEmail]])</f>
        <v>xiaozhou.liu@intel.com</v>
      </c>
      <c r="R2115" s="7" t="str">
        <f>_xlfn.IFNA(VLOOKUP(patch[[#This Row],[tmp-owner.email]],OrgTree!$A:$K, 11, 0), "not ICG SWFW")</f>
        <v>BJ And dev</v>
      </c>
      <c r="S2115" s="7" t="str">
        <f>IF(patch[[#This Row],[reviewer]]=patch[[#This Row],[tmp-owner.email]], "author", _xlfn.IFNA(VLOOKUP(patch[[#This Row],[reviewer]],OrgTree!$A:$K, 11, 0), "not ICG SWFW"))</f>
        <v>BJ And dev</v>
      </c>
      <c r="T2115" s="7" t="str">
        <f>IF(ISBLANK(patch[[#This Row],[mergeDate]]), "", MID(YEAR(patch[[#This Row],[mergeDate]]), 3,2)&amp;"'ww"&amp;WEEKNUM(patch[[#This Row],[mergeDate]]))</f>
        <v>16'ww37</v>
      </c>
      <c r="U2115" s="7" t="str">
        <f>IF(ISBLANK(patch[[#This Row],[mergeDate]]), U2114, MID(YEAR(patch[[#This Row],[mergeDate]]), 3,2)&amp;"'m"&amp;MONTH(patch[[#This Row],[mergeDate]]))</f>
        <v>16'm9</v>
      </c>
      <c r="V2115" s="7" t="str">
        <f>IF(ISBLANK(patch[[#This Row],[project]]), "",SUM(patch[[#This Row],[BJ -1 num]:[SH -1 num]]))</f>
        <v/>
      </c>
      <c r="W2115" s="7" t="str">
        <f>IF(ISBLANK(patch[[#This Row],[project]]), "",COUNTIFS($A:$A,patch[[#This Row],[number]],$S:$S, "BJ And dev",$AC:$AC, "Review-1"))</f>
        <v/>
      </c>
      <c r="X2115" s="7" t="str">
        <f>IF(ISBLANK(patch[[#This Row],[project]]), "",COUNTIFS($A:$A,patch[[#This Row],[number]],$S:$S, "FL And dev",$AC:$AC, "Review-1"))</f>
        <v/>
      </c>
      <c r="Y2115" s="7" t="str">
        <f>IF(ISBLANK(patch[[#This Row],[project]]), "",COUNTIFS($A:$A,patch[[#This Row],[number]],$S:$S, "SH And dev",$AC:$AC, "Review-1"))</f>
        <v/>
      </c>
      <c r="Z2115" s="7" t="str">
        <f>IF(ISBLANK(patch[[#This Row],[project]]), "",COUNTIFS($A:$A,patch[[#This Row],[number]],$S:$S, "BJ And dev",$AD:$AD, "&lt;&gt;IntegratorValidationComment"))</f>
        <v/>
      </c>
      <c r="AA2115" s="7" t="str">
        <f>IF(ISBLANK(patch[[#This Row],[project]]), "",COUNTIFS($A:$A,patch[[#This Row],[number]],$S:$S, "FL And dev",$AD:$AD, "&lt;&gt;IntegratorValidationComment"))</f>
        <v/>
      </c>
      <c r="AB2115" s="7" t="str">
        <f>IF(ISBLANK(patch[[#This Row],[project]]), "",COUNTIFS($A:$A,patch[[#This Row],[number]],$S:$S, "SH And dev",$AD:$AD, "&lt;&gt;IntegratorValidationComment"))</f>
        <v/>
      </c>
      <c r="AC2115" s="7" t="str">
        <f>IF(OR(ISNUMBER(FIND("Review-1", patch[[#This Row],[comments]])), ISNUMBER(FIND("Approver-1", patch[[#This Row],[comments]]))), "Review-1", "")</f>
        <v/>
      </c>
      <c r="AD21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15" s="7">
        <f>IF(ISBLANK(patch[[#This Row],[number]]),AE2114,patch[[#This Row],[ifCommon]])</f>
        <v>0</v>
      </c>
    </row>
    <row r="2116" spans="1:31">
      <c r="A2116" s="151">
        <v>143589</v>
      </c>
      <c r="B2116" s="151"/>
      <c r="C2116" s="151"/>
      <c r="D2116" s="151"/>
      <c r="E2116" s="151"/>
      <c r="F2116" s="151"/>
      <c r="G2116" s="151"/>
      <c r="H2116" s="151"/>
      <c r="I2116" s="151"/>
      <c r="J2116" s="152">
        <v>42621.694606481477</v>
      </c>
      <c r="K2116" s="151"/>
      <c r="L2116" s="151" t="s">
        <v>24</v>
      </c>
      <c r="M2116" s="152">
        <v>42620.790856481479</v>
      </c>
      <c r="N2116" s="151" t="s">
        <v>58</v>
      </c>
      <c r="O2116" s="151"/>
      <c r="P2116" s="151"/>
      <c r="Q2116" s="7" t="str">
        <f>IF(ISBLANK(patch[[#This Row],[OwnerEmail]]),Q2115,patch[[#This Row],[OwnerEmail]])</f>
        <v>xiaozhou.liu@intel.com</v>
      </c>
      <c r="R2116" s="7" t="str">
        <f>_xlfn.IFNA(VLOOKUP(patch[[#This Row],[tmp-owner.email]],OrgTree!$A:$K, 11, 0), "not ICG SWFW")</f>
        <v>BJ And dev</v>
      </c>
      <c r="S2116" s="7" t="str">
        <f>IF(patch[[#This Row],[reviewer]]=patch[[#This Row],[tmp-owner.email]], "author", _xlfn.IFNA(VLOOKUP(patch[[#This Row],[reviewer]],OrgTree!$A:$K, 11, 0), "not ICG SWFW"))</f>
        <v>BJ And dev</v>
      </c>
      <c r="T2116" s="7" t="str">
        <f>IF(ISBLANK(patch[[#This Row],[mergeDate]]), "", MID(YEAR(patch[[#This Row],[mergeDate]]), 3,2)&amp;"'ww"&amp;WEEKNUM(patch[[#This Row],[mergeDate]]))</f>
        <v>16'ww37</v>
      </c>
      <c r="U2116" s="7" t="str">
        <f>IF(ISBLANK(patch[[#This Row],[mergeDate]]), U2115, MID(YEAR(patch[[#This Row],[mergeDate]]), 3,2)&amp;"'m"&amp;MONTH(patch[[#This Row],[mergeDate]]))</f>
        <v>16'm9</v>
      </c>
      <c r="V2116" s="7" t="str">
        <f>IF(ISBLANK(patch[[#This Row],[project]]), "",SUM(patch[[#This Row],[BJ -1 num]:[SH -1 num]]))</f>
        <v/>
      </c>
      <c r="W2116" s="7" t="str">
        <f>IF(ISBLANK(patch[[#This Row],[project]]), "",COUNTIFS($A:$A,patch[[#This Row],[number]],$S:$S, "BJ And dev",$AC:$AC, "Review-1"))</f>
        <v/>
      </c>
      <c r="X2116" s="7" t="str">
        <f>IF(ISBLANK(patch[[#This Row],[project]]), "",COUNTIFS($A:$A,patch[[#This Row],[number]],$S:$S, "FL And dev",$AC:$AC, "Review-1"))</f>
        <v/>
      </c>
      <c r="Y2116" s="7" t="str">
        <f>IF(ISBLANK(patch[[#This Row],[project]]), "",COUNTIFS($A:$A,patch[[#This Row],[number]],$S:$S, "SH And dev",$AC:$AC, "Review-1"))</f>
        <v/>
      </c>
      <c r="Z2116" s="7" t="str">
        <f>IF(ISBLANK(patch[[#This Row],[project]]), "",COUNTIFS($A:$A,patch[[#This Row],[number]],$S:$S, "BJ And dev",$AD:$AD, "&lt;&gt;IntegratorValidationComment"))</f>
        <v/>
      </c>
      <c r="AA2116" s="7" t="str">
        <f>IF(ISBLANK(patch[[#This Row],[project]]), "",COUNTIFS($A:$A,patch[[#This Row],[number]],$S:$S, "FL And dev",$AD:$AD, "&lt;&gt;IntegratorValidationComment"))</f>
        <v/>
      </c>
      <c r="AB2116" s="7" t="str">
        <f>IF(ISBLANK(patch[[#This Row],[project]]), "",COUNTIFS($A:$A,patch[[#This Row],[number]],$S:$S, "SH And dev",$AD:$AD, "&lt;&gt;IntegratorValidationComment"))</f>
        <v/>
      </c>
      <c r="AC2116" s="7" t="str">
        <f>IF(OR(ISNUMBER(FIND("Review-1", patch[[#This Row],[comments]])), ISNUMBER(FIND("Approver-1", patch[[#This Row],[comments]]))), "Review-1", "")</f>
        <v/>
      </c>
      <c r="AD21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16" s="7">
        <f>IF(ISBLANK(patch[[#This Row],[number]]),AE2115,patch[[#This Row],[ifCommon]])</f>
        <v>0</v>
      </c>
    </row>
    <row r="2117" spans="1:31">
      <c r="A2117" s="151">
        <v>143589</v>
      </c>
      <c r="B2117" s="151"/>
      <c r="C2117" s="151"/>
      <c r="D2117" s="151"/>
      <c r="E2117" s="151"/>
      <c r="F2117" s="151"/>
      <c r="G2117" s="151"/>
      <c r="H2117" s="151"/>
      <c r="I2117" s="151"/>
      <c r="J2117" s="152">
        <v>42621.694606481477</v>
      </c>
      <c r="K2117" s="151"/>
      <c r="L2117" s="151" t="s">
        <v>115</v>
      </c>
      <c r="M2117" s="152">
        <v>42621.41951388889</v>
      </c>
      <c r="N2117" s="151" t="s">
        <v>2494</v>
      </c>
      <c r="O2117" s="151"/>
      <c r="P2117" s="151"/>
      <c r="Q2117" s="7" t="str">
        <f>IF(ISBLANK(patch[[#This Row],[OwnerEmail]]),Q2116,patch[[#This Row],[OwnerEmail]])</f>
        <v>xiaozhou.liu@intel.com</v>
      </c>
      <c r="R2117" s="7" t="str">
        <f>_xlfn.IFNA(VLOOKUP(patch[[#This Row],[tmp-owner.email]],OrgTree!$A:$K, 11, 0), "not ICG SWFW")</f>
        <v>BJ And dev</v>
      </c>
      <c r="S2117" s="7" t="str">
        <f>IF(patch[[#This Row],[reviewer]]=patch[[#This Row],[tmp-owner.email]], "author", _xlfn.IFNA(VLOOKUP(patch[[#This Row],[reviewer]],OrgTree!$A:$K, 11, 0), "not ICG SWFW"))</f>
        <v>Val</v>
      </c>
      <c r="T2117" s="7" t="str">
        <f>IF(ISBLANK(patch[[#This Row],[mergeDate]]), "", MID(YEAR(patch[[#This Row],[mergeDate]]), 3,2)&amp;"'ww"&amp;WEEKNUM(patch[[#This Row],[mergeDate]]))</f>
        <v>16'ww37</v>
      </c>
      <c r="U2117" s="7" t="str">
        <f>IF(ISBLANK(patch[[#This Row],[mergeDate]]), U2116, MID(YEAR(patch[[#This Row],[mergeDate]]), 3,2)&amp;"'m"&amp;MONTH(patch[[#This Row],[mergeDate]]))</f>
        <v>16'm9</v>
      </c>
      <c r="V2117" s="7" t="str">
        <f>IF(ISBLANK(patch[[#This Row],[project]]), "",SUM(patch[[#This Row],[BJ -1 num]:[SH -1 num]]))</f>
        <v/>
      </c>
      <c r="W2117" s="7" t="str">
        <f>IF(ISBLANK(patch[[#This Row],[project]]), "",COUNTIFS($A:$A,patch[[#This Row],[number]],$S:$S, "BJ And dev",$AC:$AC, "Review-1"))</f>
        <v/>
      </c>
      <c r="X2117" s="7" t="str">
        <f>IF(ISBLANK(patch[[#This Row],[project]]), "",COUNTIFS($A:$A,patch[[#This Row],[number]],$S:$S, "FL And dev",$AC:$AC, "Review-1"))</f>
        <v/>
      </c>
      <c r="Y2117" s="7" t="str">
        <f>IF(ISBLANK(patch[[#This Row],[project]]), "",COUNTIFS($A:$A,patch[[#This Row],[number]],$S:$S, "SH And dev",$AC:$AC, "Review-1"))</f>
        <v/>
      </c>
      <c r="Z2117" s="7" t="str">
        <f>IF(ISBLANK(patch[[#This Row],[project]]), "",COUNTIFS($A:$A,patch[[#This Row],[number]],$S:$S, "BJ And dev",$AD:$AD, "&lt;&gt;IntegratorValidationComment"))</f>
        <v/>
      </c>
      <c r="AA2117" s="7" t="str">
        <f>IF(ISBLANK(patch[[#This Row],[project]]), "",COUNTIFS($A:$A,patch[[#This Row],[number]],$S:$S, "FL And dev",$AD:$AD, "&lt;&gt;IntegratorValidationComment"))</f>
        <v/>
      </c>
      <c r="AB2117" s="7" t="str">
        <f>IF(ISBLANK(patch[[#This Row],[project]]), "",COUNTIFS($A:$A,patch[[#This Row],[number]],$S:$S, "SH And dev",$AD:$AD, "&lt;&gt;IntegratorValidationComment"))</f>
        <v/>
      </c>
      <c r="AC2117" s="7" t="str">
        <f>IF(OR(ISNUMBER(FIND("Review-1", patch[[#This Row],[comments]])), ISNUMBER(FIND("Approver-1", patch[[#This Row],[comments]]))), "Review-1", "")</f>
        <v/>
      </c>
      <c r="AD21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117" s="7">
        <f>IF(ISBLANK(patch[[#This Row],[number]]),AE2116,patch[[#This Row],[ifCommon]])</f>
        <v>0</v>
      </c>
    </row>
    <row r="2118" spans="1:31">
      <c r="A2118" s="151">
        <v>143589</v>
      </c>
      <c r="B2118" s="151"/>
      <c r="C2118" s="151"/>
      <c r="D2118" s="151"/>
      <c r="E2118" s="151"/>
      <c r="F2118" s="151"/>
      <c r="G2118" s="151"/>
      <c r="H2118" s="151"/>
      <c r="I2118" s="151"/>
      <c r="J2118" s="152">
        <v>42621.694606481477</v>
      </c>
      <c r="K2118" s="151"/>
      <c r="L2118" s="151" t="s">
        <v>115</v>
      </c>
      <c r="M2118" s="152">
        <v>42621.489108796297</v>
      </c>
      <c r="N2118" s="151" t="s">
        <v>2571</v>
      </c>
      <c r="O2118" s="151"/>
      <c r="P2118" s="151"/>
      <c r="Q2118" s="7" t="str">
        <f>IF(ISBLANK(patch[[#This Row],[OwnerEmail]]),Q2117,patch[[#This Row],[OwnerEmail]])</f>
        <v>xiaozhou.liu@intel.com</v>
      </c>
      <c r="R2118" s="7" t="str">
        <f>_xlfn.IFNA(VLOOKUP(patch[[#This Row],[tmp-owner.email]],OrgTree!$A:$K, 11, 0), "not ICG SWFW")</f>
        <v>BJ And dev</v>
      </c>
      <c r="S2118" s="7" t="str">
        <f>IF(patch[[#This Row],[reviewer]]=patch[[#This Row],[tmp-owner.email]], "author", _xlfn.IFNA(VLOOKUP(patch[[#This Row],[reviewer]],OrgTree!$A:$K, 11, 0), "not ICG SWFW"))</f>
        <v>Val</v>
      </c>
      <c r="T2118" s="7" t="str">
        <f>IF(ISBLANK(patch[[#This Row],[mergeDate]]), "", MID(YEAR(patch[[#This Row],[mergeDate]]), 3,2)&amp;"'ww"&amp;WEEKNUM(patch[[#This Row],[mergeDate]]))</f>
        <v>16'ww37</v>
      </c>
      <c r="U2118" s="7" t="str">
        <f>IF(ISBLANK(patch[[#This Row],[mergeDate]]), U2117, MID(YEAR(patch[[#This Row],[mergeDate]]), 3,2)&amp;"'m"&amp;MONTH(patch[[#This Row],[mergeDate]]))</f>
        <v>16'm9</v>
      </c>
      <c r="V2118" s="7" t="str">
        <f>IF(ISBLANK(patch[[#This Row],[project]]), "",SUM(patch[[#This Row],[BJ -1 num]:[SH -1 num]]))</f>
        <v/>
      </c>
      <c r="W2118" s="7" t="str">
        <f>IF(ISBLANK(patch[[#This Row],[project]]), "",COUNTIFS($A:$A,patch[[#This Row],[number]],$S:$S, "BJ And dev",$AC:$AC, "Review-1"))</f>
        <v/>
      </c>
      <c r="X2118" s="7" t="str">
        <f>IF(ISBLANK(patch[[#This Row],[project]]), "",COUNTIFS($A:$A,patch[[#This Row],[number]],$S:$S, "FL And dev",$AC:$AC, "Review-1"))</f>
        <v/>
      </c>
      <c r="Y2118" s="7" t="str">
        <f>IF(ISBLANK(patch[[#This Row],[project]]), "",COUNTIFS($A:$A,patch[[#This Row],[number]],$S:$S, "SH And dev",$AC:$AC, "Review-1"))</f>
        <v/>
      </c>
      <c r="Z2118" s="7" t="str">
        <f>IF(ISBLANK(patch[[#This Row],[project]]), "",COUNTIFS($A:$A,patch[[#This Row],[number]],$S:$S, "BJ And dev",$AD:$AD, "&lt;&gt;IntegratorValidationComment"))</f>
        <v/>
      </c>
      <c r="AA2118" s="7" t="str">
        <f>IF(ISBLANK(patch[[#This Row],[project]]), "",COUNTIFS($A:$A,patch[[#This Row],[number]],$S:$S, "FL And dev",$AD:$AD, "&lt;&gt;IntegratorValidationComment"))</f>
        <v/>
      </c>
      <c r="AB2118" s="7" t="str">
        <f>IF(ISBLANK(patch[[#This Row],[project]]), "",COUNTIFS($A:$A,patch[[#This Row],[number]],$S:$S, "SH And dev",$AD:$AD, "&lt;&gt;IntegratorValidationComment"))</f>
        <v/>
      </c>
      <c r="AC2118" s="7" t="str">
        <f>IF(OR(ISNUMBER(FIND("Review-1", patch[[#This Row],[comments]])), ISNUMBER(FIND("Approver-1", patch[[#This Row],[comments]]))), "Review-1", "")</f>
        <v/>
      </c>
      <c r="AD21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118" s="7">
        <f>IF(ISBLANK(patch[[#This Row],[number]]),AE2117,patch[[#This Row],[ifCommon]])</f>
        <v>0</v>
      </c>
    </row>
    <row r="2119" spans="1:31">
      <c r="A2119" s="151">
        <v>143589</v>
      </c>
      <c r="B2119" s="151"/>
      <c r="C2119" s="151"/>
      <c r="D2119" s="151"/>
      <c r="E2119" s="151"/>
      <c r="F2119" s="151"/>
      <c r="G2119" s="151"/>
      <c r="H2119" s="151"/>
      <c r="I2119" s="151"/>
      <c r="J2119" s="152">
        <v>42621.694606481477</v>
      </c>
      <c r="K2119" s="151"/>
      <c r="L2119" s="151" t="s">
        <v>59</v>
      </c>
      <c r="M2119" s="152">
        <v>42621.491122685176</v>
      </c>
      <c r="N2119" s="151" t="s">
        <v>2460</v>
      </c>
      <c r="O2119" s="151"/>
      <c r="P2119" s="151"/>
      <c r="Q2119" s="7" t="str">
        <f>IF(ISBLANK(patch[[#This Row],[OwnerEmail]]),Q2118,patch[[#This Row],[OwnerEmail]])</f>
        <v>xiaozhou.liu@intel.com</v>
      </c>
      <c r="R2119" s="7" t="str">
        <f>_xlfn.IFNA(VLOOKUP(patch[[#This Row],[tmp-owner.email]],OrgTree!$A:$K, 11, 0), "not ICG SWFW")</f>
        <v>BJ And dev</v>
      </c>
      <c r="S2119" s="7" t="str">
        <f>IF(patch[[#This Row],[reviewer]]=patch[[#This Row],[tmp-owner.email]], "author", _xlfn.IFNA(VLOOKUP(patch[[#This Row],[reviewer]],OrgTree!$A:$K, 11, 0), "not ICG SWFW"))</f>
        <v>author</v>
      </c>
      <c r="T2119" s="7" t="str">
        <f>IF(ISBLANK(patch[[#This Row],[mergeDate]]), "", MID(YEAR(patch[[#This Row],[mergeDate]]), 3,2)&amp;"'ww"&amp;WEEKNUM(patch[[#This Row],[mergeDate]]))</f>
        <v>16'ww37</v>
      </c>
      <c r="U2119" s="7" t="str">
        <f>IF(ISBLANK(patch[[#This Row],[mergeDate]]), U2118, MID(YEAR(patch[[#This Row],[mergeDate]]), 3,2)&amp;"'m"&amp;MONTH(patch[[#This Row],[mergeDate]]))</f>
        <v>16'm9</v>
      </c>
      <c r="V2119" s="7" t="str">
        <f>IF(ISBLANK(patch[[#This Row],[project]]), "",SUM(patch[[#This Row],[BJ -1 num]:[SH -1 num]]))</f>
        <v/>
      </c>
      <c r="W2119" s="7" t="str">
        <f>IF(ISBLANK(patch[[#This Row],[project]]), "",COUNTIFS($A:$A,patch[[#This Row],[number]],$S:$S, "BJ And dev",$AC:$AC, "Review-1"))</f>
        <v/>
      </c>
      <c r="X2119" s="7" t="str">
        <f>IF(ISBLANK(patch[[#This Row],[project]]), "",COUNTIFS($A:$A,patch[[#This Row],[number]],$S:$S, "FL And dev",$AC:$AC, "Review-1"))</f>
        <v/>
      </c>
      <c r="Y2119" s="7" t="str">
        <f>IF(ISBLANK(patch[[#This Row],[project]]), "",COUNTIFS($A:$A,patch[[#This Row],[number]],$S:$S, "SH And dev",$AC:$AC, "Review-1"))</f>
        <v/>
      </c>
      <c r="Z2119" s="7" t="str">
        <f>IF(ISBLANK(patch[[#This Row],[project]]), "",COUNTIFS($A:$A,patch[[#This Row],[number]],$S:$S, "BJ And dev",$AD:$AD, "&lt;&gt;IntegratorValidationComment"))</f>
        <v/>
      </c>
      <c r="AA2119" s="7" t="str">
        <f>IF(ISBLANK(patch[[#This Row],[project]]), "",COUNTIFS($A:$A,patch[[#This Row],[number]],$S:$S, "FL And dev",$AD:$AD, "&lt;&gt;IntegratorValidationComment"))</f>
        <v/>
      </c>
      <c r="AB2119" s="7" t="str">
        <f>IF(ISBLANK(patch[[#This Row],[project]]), "",COUNTIFS($A:$A,patch[[#This Row],[number]],$S:$S, "SH And dev",$AD:$AD, "&lt;&gt;IntegratorValidationComment"))</f>
        <v/>
      </c>
      <c r="AC2119" s="7" t="str">
        <f>IF(OR(ISNUMBER(FIND("Review-1", patch[[#This Row],[comments]])), ISNUMBER(FIND("Approver-1", patch[[#This Row],[comments]]))), "Review-1", "")</f>
        <v/>
      </c>
      <c r="AD21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19" s="7">
        <f>IF(ISBLANK(patch[[#This Row],[number]]),AE2118,patch[[#This Row],[ifCommon]])</f>
        <v>0</v>
      </c>
    </row>
    <row r="2120" spans="1:31">
      <c r="A2120" s="151">
        <v>143589</v>
      </c>
      <c r="B2120" s="151"/>
      <c r="C2120" s="151"/>
      <c r="D2120" s="151"/>
      <c r="E2120" s="151"/>
      <c r="F2120" s="151"/>
      <c r="G2120" s="151"/>
      <c r="H2120" s="151"/>
      <c r="I2120" s="151"/>
      <c r="J2120" s="152">
        <v>42621.694606481477</v>
      </c>
      <c r="K2120" s="151"/>
      <c r="L2120" s="151" t="s">
        <v>59</v>
      </c>
      <c r="M2120" s="152">
        <v>42621.49114583333</v>
      </c>
      <c r="N2120" s="151" t="s">
        <v>2429</v>
      </c>
      <c r="O2120" s="151"/>
      <c r="P2120" s="151"/>
      <c r="Q2120" s="7" t="str">
        <f>IF(ISBLANK(patch[[#This Row],[OwnerEmail]]),Q2119,patch[[#This Row],[OwnerEmail]])</f>
        <v>xiaozhou.liu@intel.com</v>
      </c>
      <c r="R2120" s="7" t="str">
        <f>_xlfn.IFNA(VLOOKUP(patch[[#This Row],[tmp-owner.email]],OrgTree!$A:$K, 11, 0), "not ICG SWFW")</f>
        <v>BJ And dev</v>
      </c>
      <c r="S2120" s="7" t="str">
        <f>IF(patch[[#This Row],[reviewer]]=patch[[#This Row],[tmp-owner.email]], "author", _xlfn.IFNA(VLOOKUP(patch[[#This Row],[reviewer]],OrgTree!$A:$K, 11, 0), "not ICG SWFW"))</f>
        <v>author</v>
      </c>
      <c r="T2120" s="7" t="str">
        <f>IF(ISBLANK(patch[[#This Row],[mergeDate]]), "", MID(YEAR(patch[[#This Row],[mergeDate]]), 3,2)&amp;"'ww"&amp;WEEKNUM(patch[[#This Row],[mergeDate]]))</f>
        <v>16'ww37</v>
      </c>
      <c r="U2120" s="7" t="str">
        <f>IF(ISBLANK(patch[[#This Row],[mergeDate]]), U2119, MID(YEAR(patch[[#This Row],[mergeDate]]), 3,2)&amp;"'m"&amp;MONTH(patch[[#This Row],[mergeDate]]))</f>
        <v>16'm9</v>
      </c>
      <c r="V2120" s="7" t="str">
        <f>IF(ISBLANK(patch[[#This Row],[project]]), "",SUM(patch[[#This Row],[BJ -1 num]:[SH -1 num]]))</f>
        <v/>
      </c>
      <c r="W2120" s="7" t="str">
        <f>IF(ISBLANK(patch[[#This Row],[project]]), "",COUNTIFS($A:$A,patch[[#This Row],[number]],$S:$S, "BJ And dev",$AC:$AC, "Review-1"))</f>
        <v/>
      </c>
      <c r="X2120" s="7" t="str">
        <f>IF(ISBLANK(patch[[#This Row],[project]]), "",COUNTIFS($A:$A,patch[[#This Row],[number]],$S:$S, "FL And dev",$AC:$AC, "Review-1"))</f>
        <v/>
      </c>
      <c r="Y2120" s="7" t="str">
        <f>IF(ISBLANK(patch[[#This Row],[project]]), "",COUNTIFS($A:$A,patch[[#This Row],[number]],$S:$S, "SH And dev",$AC:$AC, "Review-1"))</f>
        <v/>
      </c>
      <c r="Z2120" s="7" t="str">
        <f>IF(ISBLANK(patch[[#This Row],[project]]), "",COUNTIFS($A:$A,patch[[#This Row],[number]],$S:$S, "BJ And dev",$AD:$AD, "&lt;&gt;IntegratorValidationComment"))</f>
        <v/>
      </c>
      <c r="AA2120" s="7" t="str">
        <f>IF(ISBLANK(patch[[#This Row],[project]]), "",COUNTIFS($A:$A,patch[[#This Row],[number]],$S:$S, "FL And dev",$AD:$AD, "&lt;&gt;IntegratorValidationComment"))</f>
        <v/>
      </c>
      <c r="AB2120" s="7" t="str">
        <f>IF(ISBLANK(patch[[#This Row],[project]]), "",COUNTIFS($A:$A,patch[[#This Row],[number]],$S:$S, "SH And dev",$AD:$AD, "&lt;&gt;IntegratorValidationComment"))</f>
        <v/>
      </c>
      <c r="AC2120" s="7" t="str">
        <f>IF(OR(ISNUMBER(FIND("Review-1", patch[[#This Row],[comments]])), ISNUMBER(FIND("Approver-1", patch[[#This Row],[comments]]))), "Review-1", "")</f>
        <v/>
      </c>
      <c r="AD21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20" s="7">
        <f>IF(ISBLANK(patch[[#This Row],[number]]),AE2119,patch[[#This Row],[ifCommon]])</f>
        <v>0</v>
      </c>
    </row>
    <row r="2121" spans="1:31">
      <c r="A2121" s="151">
        <v>143589</v>
      </c>
      <c r="B2121" s="151"/>
      <c r="C2121" s="151"/>
      <c r="D2121" s="151"/>
      <c r="E2121" s="151"/>
      <c r="F2121" s="151"/>
      <c r="G2121" s="151"/>
      <c r="H2121" s="151"/>
      <c r="I2121" s="151"/>
      <c r="J2121" s="152">
        <v>42621.694606481477</v>
      </c>
      <c r="K2121" s="151"/>
      <c r="L2121" s="151" t="s">
        <v>115</v>
      </c>
      <c r="M2121" s="152">
        <v>42621.492766203701</v>
      </c>
      <c r="N2121" s="151" t="s">
        <v>2495</v>
      </c>
      <c r="O2121" s="151"/>
      <c r="P2121" s="151"/>
      <c r="Q2121" s="7" t="str">
        <f>IF(ISBLANK(patch[[#This Row],[OwnerEmail]]),Q2120,patch[[#This Row],[OwnerEmail]])</f>
        <v>xiaozhou.liu@intel.com</v>
      </c>
      <c r="R2121" s="7" t="str">
        <f>_xlfn.IFNA(VLOOKUP(patch[[#This Row],[tmp-owner.email]],OrgTree!$A:$K, 11, 0), "not ICG SWFW")</f>
        <v>BJ And dev</v>
      </c>
      <c r="S2121" s="7" t="str">
        <f>IF(patch[[#This Row],[reviewer]]=patch[[#This Row],[tmp-owner.email]], "author", _xlfn.IFNA(VLOOKUP(patch[[#This Row],[reviewer]],OrgTree!$A:$K, 11, 0), "not ICG SWFW"))</f>
        <v>Val</v>
      </c>
      <c r="T2121" s="7" t="str">
        <f>IF(ISBLANK(patch[[#This Row],[mergeDate]]), "", MID(YEAR(patch[[#This Row],[mergeDate]]), 3,2)&amp;"'ww"&amp;WEEKNUM(patch[[#This Row],[mergeDate]]))</f>
        <v>16'ww37</v>
      </c>
      <c r="U2121" s="7" t="str">
        <f>IF(ISBLANK(patch[[#This Row],[mergeDate]]), U2120, MID(YEAR(patch[[#This Row],[mergeDate]]), 3,2)&amp;"'m"&amp;MONTH(patch[[#This Row],[mergeDate]]))</f>
        <v>16'm9</v>
      </c>
      <c r="V2121" s="7" t="str">
        <f>IF(ISBLANK(patch[[#This Row],[project]]), "",SUM(patch[[#This Row],[BJ -1 num]:[SH -1 num]]))</f>
        <v/>
      </c>
      <c r="W2121" s="7" t="str">
        <f>IF(ISBLANK(patch[[#This Row],[project]]), "",COUNTIFS($A:$A,patch[[#This Row],[number]],$S:$S, "BJ And dev",$AC:$AC, "Review-1"))</f>
        <v/>
      </c>
      <c r="X2121" s="7" t="str">
        <f>IF(ISBLANK(patch[[#This Row],[project]]), "",COUNTIFS($A:$A,patch[[#This Row],[number]],$S:$S, "FL And dev",$AC:$AC, "Review-1"))</f>
        <v/>
      </c>
      <c r="Y2121" s="7" t="str">
        <f>IF(ISBLANK(patch[[#This Row],[project]]), "",COUNTIFS($A:$A,patch[[#This Row],[number]],$S:$S, "SH And dev",$AC:$AC, "Review-1"))</f>
        <v/>
      </c>
      <c r="Z2121" s="7" t="str">
        <f>IF(ISBLANK(patch[[#This Row],[project]]), "",COUNTIFS($A:$A,patch[[#This Row],[number]],$S:$S, "BJ And dev",$AD:$AD, "&lt;&gt;IntegratorValidationComment"))</f>
        <v/>
      </c>
      <c r="AA2121" s="7" t="str">
        <f>IF(ISBLANK(patch[[#This Row],[project]]), "",COUNTIFS($A:$A,patch[[#This Row],[number]],$S:$S, "FL And dev",$AD:$AD, "&lt;&gt;IntegratorValidationComment"))</f>
        <v/>
      </c>
      <c r="AB2121" s="7" t="str">
        <f>IF(ISBLANK(patch[[#This Row],[project]]), "",COUNTIFS($A:$A,patch[[#This Row],[number]],$S:$S, "SH And dev",$AD:$AD, "&lt;&gt;IntegratorValidationComment"))</f>
        <v/>
      </c>
      <c r="AC2121" s="7" t="str">
        <f>IF(OR(ISNUMBER(FIND("Review-1", patch[[#This Row],[comments]])), ISNUMBER(FIND("Approver-1", patch[[#This Row],[comments]]))), "Review-1", "")</f>
        <v/>
      </c>
      <c r="AD21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121" s="7">
        <f>IF(ISBLANK(patch[[#This Row],[number]]),AE2120,patch[[#This Row],[ifCommon]])</f>
        <v>0</v>
      </c>
    </row>
    <row r="2122" spans="1:31">
      <c r="A2122" s="151">
        <v>143589</v>
      </c>
      <c r="B2122" s="151"/>
      <c r="C2122" s="151"/>
      <c r="D2122" s="151"/>
      <c r="E2122" s="151"/>
      <c r="F2122" s="151"/>
      <c r="G2122" s="151"/>
      <c r="H2122" s="151"/>
      <c r="I2122" s="151"/>
      <c r="J2122" s="152">
        <v>42621.694606481477</v>
      </c>
      <c r="K2122" s="151"/>
      <c r="L2122" s="151" t="s">
        <v>59</v>
      </c>
      <c r="M2122" s="152">
        <v>42621.494837962957</v>
      </c>
      <c r="N2122" s="151" t="s">
        <v>3634</v>
      </c>
      <c r="O2122" s="151"/>
      <c r="P2122" s="151"/>
      <c r="Q2122" s="7" t="str">
        <f>IF(ISBLANK(patch[[#This Row],[OwnerEmail]]),Q2121,patch[[#This Row],[OwnerEmail]])</f>
        <v>xiaozhou.liu@intel.com</v>
      </c>
      <c r="R2122" s="7" t="str">
        <f>_xlfn.IFNA(VLOOKUP(patch[[#This Row],[tmp-owner.email]],OrgTree!$A:$K, 11, 0), "not ICG SWFW")</f>
        <v>BJ And dev</v>
      </c>
      <c r="S2122" s="7" t="str">
        <f>IF(patch[[#This Row],[reviewer]]=patch[[#This Row],[tmp-owner.email]], "author", _xlfn.IFNA(VLOOKUP(patch[[#This Row],[reviewer]],OrgTree!$A:$K, 11, 0), "not ICG SWFW"))</f>
        <v>author</v>
      </c>
      <c r="T2122" s="7" t="str">
        <f>IF(ISBLANK(patch[[#This Row],[mergeDate]]), "", MID(YEAR(patch[[#This Row],[mergeDate]]), 3,2)&amp;"'ww"&amp;WEEKNUM(patch[[#This Row],[mergeDate]]))</f>
        <v>16'ww37</v>
      </c>
      <c r="U2122" s="7" t="str">
        <f>IF(ISBLANK(patch[[#This Row],[mergeDate]]), U2121, MID(YEAR(patch[[#This Row],[mergeDate]]), 3,2)&amp;"'m"&amp;MONTH(patch[[#This Row],[mergeDate]]))</f>
        <v>16'm9</v>
      </c>
      <c r="V2122" s="7" t="str">
        <f>IF(ISBLANK(patch[[#This Row],[project]]), "",SUM(patch[[#This Row],[BJ -1 num]:[SH -1 num]]))</f>
        <v/>
      </c>
      <c r="W2122" s="7" t="str">
        <f>IF(ISBLANK(patch[[#This Row],[project]]), "",COUNTIFS($A:$A,patch[[#This Row],[number]],$S:$S, "BJ And dev",$AC:$AC, "Review-1"))</f>
        <v/>
      </c>
      <c r="X2122" s="7" t="str">
        <f>IF(ISBLANK(patch[[#This Row],[project]]), "",COUNTIFS($A:$A,patch[[#This Row],[number]],$S:$S, "FL And dev",$AC:$AC, "Review-1"))</f>
        <v/>
      </c>
      <c r="Y2122" s="7" t="str">
        <f>IF(ISBLANK(patch[[#This Row],[project]]), "",COUNTIFS($A:$A,patch[[#This Row],[number]],$S:$S, "SH And dev",$AC:$AC, "Review-1"))</f>
        <v/>
      </c>
      <c r="Z2122" s="7" t="str">
        <f>IF(ISBLANK(patch[[#This Row],[project]]), "",COUNTIFS($A:$A,patch[[#This Row],[number]],$S:$S, "BJ And dev",$AD:$AD, "&lt;&gt;IntegratorValidationComment"))</f>
        <v/>
      </c>
      <c r="AA2122" s="7" t="str">
        <f>IF(ISBLANK(patch[[#This Row],[project]]), "",COUNTIFS($A:$A,patch[[#This Row],[number]],$S:$S, "FL And dev",$AD:$AD, "&lt;&gt;IntegratorValidationComment"))</f>
        <v/>
      </c>
      <c r="AB2122" s="7" t="str">
        <f>IF(ISBLANK(patch[[#This Row],[project]]), "",COUNTIFS($A:$A,patch[[#This Row],[number]],$S:$S, "SH And dev",$AD:$AD, "&lt;&gt;IntegratorValidationComment"))</f>
        <v/>
      </c>
      <c r="AC2122" s="7" t="str">
        <f>IF(OR(ISNUMBER(FIND("Review-1", patch[[#This Row],[comments]])), ISNUMBER(FIND("Approver-1", patch[[#This Row],[comments]]))), "Review-1", "")</f>
        <v/>
      </c>
      <c r="AD21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22" s="7">
        <f>IF(ISBLANK(patch[[#This Row],[number]]),AE2121,patch[[#This Row],[ifCommon]])</f>
        <v>0</v>
      </c>
    </row>
    <row r="2123" spans="1:31">
      <c r="A2123" s="151">
        <v>143588</v>
      </c>
      <c r="B2123" s="151" t="s">
        <v>2490</v>
      </c>
      <c r="C2123" s="151" t="s">
        <v>2491</v>
      </c>
      <c r="D2123" s="151" t="s">
        <v>3635</v>
      </c>
      <c r="E2123" s="151" t="s">
        <v>59</v>
      </c>
      <c r="F2123" s="151" t="s">
        <v>23</v>
      </c>
      <c r="G2123" s="151" t="s">
        <v>3636</v>
      </c>
      <c r="H2123" s="151" t="s">
        <v>3637</v>
      </c>
      <c r="I2123" s="152">
        <v>42619.812685185178</v>
      </c>
      <c r="J2123" s="152">
        <v>42621.694513888891</v>
      </c>
      <c r="K2123" s="151" t="s">
        <v>2445</v>
      </c>
      <c r="L2123" s="151" t="s">
        <v>59</v>
      </c>
      <c r="M2123" s="152">
        <v>42619.812685185178</v>
      </c>
      <c r="N2123" s="151" t="s">
        <v>25</v>
      </c>
      <c r="O2123" s="151"/>
      <c r="P2123" s="151" t="s">
        <v>3206</v>
      </c>
      <c r="Q2123" s="7" t="str">
        <f>IF(ISBLANK(patch[[#This Row],[OwnerEmail]]),Q2122,patch[[#This Row],[OwnerEmail]])</f>
        <v>xiaozhou.liu@intel.com</v>
      </c>
      <c r="R2123" s="7" t="str">
        <f>_xlfn.IFNA(VLOOKUP(patch[[#This Row],[tmp-owner.email]],OrgTree!$A:$K, 11, 0), "not ICG SWFW")</f>
        <v>BJ And dev</v>
      </c>
      <c r="S2123" s="7" t="str">
        <f>IF(patch[[#This Row],[reviewer]]=patch[[#This Row],[tmp-owner.email]], "author", _xlfn.IFNA(VLOOKUP(patch[[#This Row],[reviewer]],OrgTree!$A:$K, 11, 0), "not ICG SWFW"))</f>
        <v>author</v>
      </c>
      <c r="T2123" s="7" t="str">
        <f>IF(ISBLANK(patch[[#This Row],[mergeDate]]), "", MID(YEAR(patch[[#This Row],[mergeDate]]), 3,2)&amp;"'ww"&amp;WEEKNUM(patch[[#This Row],[mergeDate]]))</f>
        <v>16'ww37</v>
      </c>
      <c r="U2123" s="7" t="str">
        <f>IF(ISBLANK(patch[[#This Row],[mergeDate]]), U2122, MID(YEAR(patch[[#This Row],[mergeDate]]), 3,2)&amp;"'m"&amp;MONTH(patch[[#This Row],[mergeDate]]))</f>
        <v>16'm9</v>
      </c>
      <c r="V2123" s="7">
        <f>IF(ISBLANK(patch[[#This Row],[project]]), "",SUM(patch[[#This Row],[BJ -1 num]:[SH -1 num]]))</f>
        <v>0</v>
      </c>
      <c r="W2123" s="7">
        <f>IF(ISBLANK(patch[[#This Row],[project]]), "",COUNTIFS($A:$A,patch[[#This Row],[number]],$S:$S, "BJ And dev",$AC:$AC, "Review-1"))</f>
        <v>0</v>
      </c>
      <c r="X2123" s="7">
        <f>IF(ISBLANK(patch[[#This Row],[project]]), "",COUNTIFS($A:$A,patch[[#This Row],[number]],$S:$S, "FL And dev",$AC:$AC, "Review-1"))</f>
        <v>0</v>
      </c>
      <c r="Y2123" s="7">
        <f>IF(ISBLANK(patch[[#This Row],[project]]), "",COUNTIFS($A:$A,patch[[#This Row],[number]],$S:$S, "SH And dev",$AC:$AC, "Review-1"))</f>
        <v>0</v>
      </c>
      <c r="Z2123" s="7">
        <f>IF(ISBLANK(patch[[#This Row],[project]]), "",COUNTIFS($A:$A,patch[[#This Row],[number]],$S:$S, "BJ And dev",$AD:$AD, "&lt;&gt;IntegratorValidationComment"))</f>
        <v>5</v>
      </c>
      <c r="AA2123" s="7">
        <f>IF(ISBLANK(patch[[#This Row],[project]]), "",COUNTIFS($A:$A,patch[[#This Row],[number]],$S:$S, "FL And dev",$AD:$AD, "&lt;&gt;IntegratorValidationComment"))</f>
        <v>0</v>
      </c>
      <c r="AB2123" s="7">
        <f>IF(ISBLANK(patch[[#This Row],[project]]), "",COUNTIFS($A:$A,patch[[#This Row],[number]],$S:$S, "SH And dev",$AD:$AD, "&lt;&gt;IntegratorValidationComment"))</f>
        <v>0</v>
      </c>
      <c r="AC2123" s="7" t="str">
        <f>IF(OR(ISNUMBER(FIND("Review-1", patch[[#This Row],[comments]])), ISNUMBER(FIND("Approver-1", patch[[#This Row],[comments]]))), "Review-1", "")</f>
        <v/>
      </c>
      <c r="AD21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23" s="7" t="str">
        <f>IF(ISBLANK(patch[[#This Row],[number]]),AE2122,patch[[#This Row],[ifCommon]])</f>
        <v>not AndrHAL</v>
      </c>
    </row>
    <row r="2124" spans="1:31">
      <c r="A2124" s="151">
        <v>143588</v>
      </c>
      <c r="B2124" s="151"/>
      <c r="C2124" s="151"/>
      <c r="D2124" s="151"/>
      <c r="E2124" s="151"/>
      <c r="F2124" s="151"/>
      <c r="G2124" s="151"/>
      <c r="H2124" s="151"/>
      <c r="I2124" s="151"/>
      <c r="J2124" s="152">
        <v>42621.694513888891</v>
      </c>
      <c r="K2124" s="151"/>
      <c r="L2124" s="151" t="s">
        <v>59</v>
      </c>
      <c r="M2124" s="152">
        <v>42619.812708333331</v>
      </c>
      <c r="N2124" s="151" t="s">
        <v>2428</v>
      </c>
      <c r="O2124" s="151"/>
      <c r="P2124" s="151"/>
      <c r="Q2124" s="7" t="str">
        <f>IF(ISBLANK(patch[[#This Row],[OwnerEmail]]),Q2123,patch[[#This Row],[OwnerEmail]])</f>
        <v>xiaozhou.liu@intel.com</v>
      </c>
      <c r="R2124" s="7" t="str">
        <f>_xlfn.IFNA(VLOOKUP(patch[[#This Row],[tmp-owner.email]],OrgTree!$A:$K, 11, 0), "not ICG SWFW")</f>
        <v>BJ And dev</v>
      </c>
      <c r="S2124" s="7" t="str">
        <f>IF(patch[[#This Row],[reviewer]]=patch[[#This Row],[tmp-owner.email]], "author", _xlfn.IFNA(VLOOKUP(patch[[#This Row],[reviewer]],OrgTree!$A:$K, 11, 0), "not ICG SWFW"))</f>
        <v>author</v>
      </c>
      <c r="T2124" s="7" t="str">
        <f>IF(ISBLANK(patch[[#This Row],[mergeDate]]), "", MID(YEAR(patch[[#This Row],[mergeDate]]), 3,2)&amp;"'ww"&amp;WEEKNUM(patch[[#This Row],[mergeDate]]))</f>
        <v>16'ww37</v>
      </c>
      <c r="U2124" s="7" t="str">
        <f>IF(ISBLANK(patch[[#This Row],[mergeDate]]), U2123, MID(YEAR(patch[[#This Row],[mergeDate]]), 3,2)&amp;"'m"&amp;MONTH(patch[[#This Row],[mergeDate]]))</f>
        <v>16'm9</v>
      </c>
      <c r="V2124" s="7" t="str">
        <f>IF(ISBLANK(patch[[#This Row],[project]]), "",SUM(patch[[#This Row],[BJ -1 num]:[SH -1 num]]))</f>
        <v/>
      </c>
      <c r="W2124" s="7" t="str">
        <f>IF(ISBLANK(patch[[#This Row],[project]]), "",COUNTIFS($A:$A,patch[[#This Row],[number]],$S:$S, "BJ And dev",$AC:$AC, "Review-1"))</f>
        <v/>
      </c>
      <c r="X2124" s="7" t="str">
        <f>IF(ISBLANK(patch[[#This Row],[project]]), "",COUNTIFS($A:$A,patch[[#This Row],[number]],$S:$S, "FL And dev",$AC:$AC, "Review-1"))</f>
        <v/>
      </c>
      <c r="Y2124" s="7" t="str">
        <f>IF(ISBLANK(patch[[#This Row],[project]]), "",COUNTIFS($A:$A,patch[[#This Row],[number]],$S:$S, "SH And dev",$AC:$AC, "Review-1"))</f>
        <v/>
      </c>
      <c r="Z2124" s="7" t="str">
        <f>IF(ISBLANK(patch[[#This Row],[project]]), "",COUNTIFS($A:$A,patch[[#This Row],[number]],$S:$S, "BJ And dev",$AD:$AD, "&lt;&gt;IntegratorValidationComment"))</f>
        <v/>
      </c>
      <c r="AA2124" s="7" t="str">
        <f>IF(ISBLANK(patch[[#This Row],[project]]), "",COUNTIFS($A:$A,patch[[#This Row],[number]],$S:$S, "FL And dev",$AD:$AD, "&lt;&gt;IntegratorValidationComment"))</f>
        <v/>
      </c>
      <c r="AB2124" s="7" t="str">
        <f>IF(ISBLANK(patch[[#This Row],[project]]), "",COUNTIFS($A:$A,patch[[#This Row],[number]],$S:$S, "SH And dev",$AD:$AD, "&lt;&gt;IntegratorValidationComment"))</f>
        <v/>
      </c>
      <c r="AC2124" s="7" t="str">
        <f>IF(OR(ISNUMBER(FIND("Review-1", patch[[#This Row],[comments]])), ISNUMBER(FIND("Approver-1", patch[[#This Row],[comments]]))), "Review-1", "")</f>
        <v/>
      </c>
      <c r="AD21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24" s="7">
        <f>IF(ISBLANK(patch[[#This Row],[number]]),AE2123,patch[[#This Row],[ifCommon]])</f>
        <v>0</v>
      </c>
    </row>
    <row r="2125" spans="1:31">
      <c r="A2125" s="151">
        <v>143588</v>
      </c>
      <c r="B2125" s="151"/>
      <c r="C2125" s="151"/>
      <c r="D2125" s="151"/>
      <c r="E2125" s="151"/>
      <c r="F2125" s="151"/>
      <c r="G2125" s="151"/>
      <c r="H2125" s="151"/>
      <c r="I2125" s="151"/>
      <c r="J2125" s="152">
        <v>42621.694513888891</v>
      </c>
      <c r="K2125" s="151"/>
      <c r="L2125" s="151" t="s">
        <v>59</v>
      </c>
      <c r="M2125" s="152">
        <v>42619.813750000001</v>
      </c>
      <c r="N2125" s="151" t="s">
        <v>40</v>
      </c>
      <c r="O2125" s="151"/>
      <c r="P2125" s="151"/>
      <c r="Q2125" s="7" t="str">
        <f>IF(ISBLANK(patch[[#This Row],[OwnerEmail]]),Q2124,patch[[#This Row],[OwnerEmail]])</f>
        <v>xiaozhou.liu@intel.com</v>
      </c>
      <c r="R2125" s="7" t="str">
        <f>_xlfn.IFNA(VLOOKUP(patch[[#This Row],[tmp-owner.email]],OrgTree!$A:$K, 11, 0), "not ICG SWFW")</f>
        <v>BJ And dev</v>
      </c>
      <c r="S2125" s="7" t="str">
        <f>IF(patch[[#This Row],[reviewer]]=patch[[#This Row],[tmp-owner.email]], "author", _xlfn.IFNA(VLOOKUP(patch[[#This Row],[reviewer]],OrgTree!$A:$K, 11, 0), "not ICG SWFW"))</f>
        <v>author</v>
      </c>
      <c r="T2125" s="7" t="str">
        <f>IF(ISBLANK(patch[[#This Row],[mergeDate]]), "", MID(YEAR(patch[[#This Row],[mergeDate]]), 3,2)&amp;"'ww"&amp;WEEKNUM(patch[[#This Row],[mergeDate]]))</f>
        <v>16'ww37</v>
      </c>
      <c r="U2125" s="7" t="str">
        <f>IF(ISBLANK(patch[[#This Row],[mergeDate]]), U2124, MID(YEAR(patch[[#This Row],[mergeDate]]), 3,2)&amp;"'m"&amp;MONTH(patch[[#This Row],[mergeDate]]))</f>
        <v>16'm9</v>
      </c>
      <c r="V2125" s="7" t="str">
        <f>IF(ISBLANK(patch[[#This Row],[project]]), "",SUM(patch[[#This Row],[BJ -1 num]:[SH -1 num]]))</f>
        <v/>
      </c>
      <c r="W2125" s="7" t="str">
        <f>IF(ISBLANK(patch[[#This Row],[project]]), "",COUNTIFS($A:$A,patch[[#This Row],[number]],$S:$S, "BJ And dev",$AC:$AC, "Review-1"))</f>
        <v/>
      </c>
      <c r="X2125" s="7" t="str">
        <f>IF(ISBLANK(patch[[#This Row],[project]]), "",COUNTIFS($A:$A,patch[[#This Row],[number]],$S:$S, "FL And dev",$AC:$AC, "Review-1"))</f>
        <v/>
      </c>
      <c r="Y2125" s="7" t="str">
        <f>IF(ISBLANK(patch[[#This Row],[project]]), "",COUNTIFS($A:$A,patch[[#This Row],[number]],$S:$S, "SH And dev",$AC:$AC, "Review-1"))</f>
        <v/>
      </c>
      <c r="Z2125" s="7" t="str">
        <f>IF(ISBLANK(patch[[#This Row],[project]]), "",COUNTIFS($A:$A,patch[[#This Row],[number]],$S:$S, "BJ And dev",$AD:$AD, "&lt;&gt;IntegratorValidationComment"))</f>
        <v/>
      </c>
      <c r="AA2125" s="7" t="str">
        <f>IF(ISBLANK(patch[[#This Row],[project]]), "",COUNTIFS($A:$A,patch[[#This Row],[number]],$S:$S, "FL And dev",$AD:$AD, "&lt;&gt;IntegratorValidationComment"))</f>
        <v/>
      </c>
      <c r="AB2125" s="7" t="str">
        <f>IF(ISBLANK(patch[[#This Row],[project]]), "",COUNTIFS($A:$A,patch[[#This Row],[number]],$S:$S, "SH And dev",$AD:$AD, "&lt;&gt;IntegratorValidationComment"))</f>
        <v/>
      </c>
      <c r="AC2125" s="7" t="str">
        <f>IF(OR(ISNUMBER(FIND("Review-1", patch[[#This Row],[comments]])), ISNUMBER(FIND("Approver-1", patch[[#This Row],[comments]]))), "Review-1", "")</f>
        <v/>
      </c>
      <c r="AD21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25" s="7">
        <f>IF(ISBLANK(patch[[#This Row],[number]]),AE2124,patch[[#This Row],[ifCommon]])</f>
        <v>0</v>
      </c>
    </row>
    <row r="2126" spans="1:31">
      <c r="A2126" s="151">
        <v>143588</v>
      </c>
      <c r="B2126" s="151"/>
      <c r="C2126" s="151"/>
      <c r="D2126" s="151"/>
      <c r="E2126" s="151"/>
      <c r="F2126" s="151"/>
      <c r="G2126" s="151"/>
      <c r="H2126" s="151"/>
      <c r="I2126" s="151"/>
      <c r="J2126" s="152">
        <v>42621.694513888891</v>
      </c>
      <c r="K2126" s="151"/>
      <c r="L2126" s="151" t="s">
        <v>59</v>
      </c>
      <c r="M2126" s="152">
        <v>42619.821562500001</v>
      </c>
      <c r="N2126" s="151" t="s">
        <v>3638</v>
      </c>
      <c r="O2126" s="151"/>
      <c r="P2126" s="151"/>
      <c r="Q2126" s="7" t="str">
        <f>IF(ISBLANK(patch[[#This Row],[OwnerEmail]]),Q2125,patch[[#This Row],[OwnerEmail]])</f>
        <v>xiaozhou.liu@intel.com</v>
      </c>
      <c r="R2126" s="7" t="str">
        <f>_xlfn.IFNA(VLOOKUP(patch[[#This Row],[tmp-owner.email]],OrgTree!$A:$K, 11, 0), "not ICG SWFW")</f>
        <v>BJ And dev</v>
      </c>
      <c r="S2126" s="7" t="str">
        <f>IF(patch[[#This Row],[reviewer]]=patch[[#This Row],[tmp-owner.email]], "author", _xlfn.IFNA(VLOOKUP(patch[[#This Row],[reviewer]],OrgTree!$A:$K, 11, 0), "not ICG SWFW"))</f>
        <v>author</v>
      </c>
      <c r="T2126" s="7" t="str">
        <f>IF(ISBLANK(patch[[#This Row],[mergeDate]]), "", MID(YEAR(patch[[#This Row],[mergeDate]]), 3,2)&amp;"'ww"&amp;WEEKNUM(patch[[#This Row],[mergeDate]]))</f>
        <v>16'ww37</v>
      </c>
      <c r="U2126" s="7" t="str">
        <f>IF(ISBLANK(patch[[#This Row],[mergeDate]]), U2125, MID(YEAR(patch[[#This Row],[mergeDate]]), 3,2)&amp;"'m"&amp;MONTH(patch[[#This Row],[mergeDate]]))</f>
        <v>16'm9</v>
      </c>
      <c r="V2126" s="7" t="str">
        <f>IF(ISBLANK(patch[[#This Row],[project]]), "",SUM(patch[[#This Row],[BJ -1 num]:[SH -1 num]]))</f>
        <v/>
      </c>
      <c r="W2126" s="7" t="str">
        <f>IF(ISBLANK(patch[[#This Row],[project]]), "",COUNTIFS($A:$A,patch[[#This Row],[number]],$S:$S, "BJ And dev",$AC:$AC, "Review-1"))</f>
        <v/>
      </c>
      <c r="X2126" s="7" t="str">
        <f>IF(ISBLANK(patch[[#This Row],[project]]), "",COUNTIFS($A:$A,patch[[#This Row],[number]],$S:$S, "FL And dev",$AC:$AC, "Review-1"))</f>
        <v/>
      </c>
      <c r="Y2126" s="7" t="str">
        <f>IF(ISBLANK(patch[[#This Row],[project]]), "",COUNTIFS($A:$A,patch[[#This Row],[number]],$S:$S, "SH And dev",$AC:$AC, "Review-1"))</f>
        <v/>
      </c>
      <c r="Z2126" s="7" t="str">
        <f>IF(ISBLANK(patch[[#This Row],[project]]), "",COUNTIFS($A:$A,patch[[#This Row],[number]],$S:$S, "BJ And dev",$AD:$AD, "&lt;&gt;IntegratorValidationComment"))</f>
        <v/>
      </c>
      <c r="AA2126" s="7" t="str">
        <f>IF(ISBLANK(patch[[#This Row],[project]]), "",COUNTIFS($A:$A,patch[[#This Row],[number]],$S:$S, "FL And dev",$AD:$AD, "&lt;&gt;IntegratorValidationComment"))</f>
        <v/>
      </c>
      <c r="AB2126" s="7" t="str">
        <f>IF(ISBLANK(patch[[#This Row],[project]]), "",COUNTIFS($A:$A,patch[[#This Row],[number]],$S:$S, "SH And dev",$AD:$AD, "&lt;&gt;IntegratorValidationComment"))</f>
        <v/>
      </c>
      <c r="AC2126" s="7" t="str">
        <f>IF(OR(ISNUMBER(FIND("Review-1", patch[[#This Row],[comments]])), ISNUMBER(FIND("Approver-1", patch[[#This Row],[comments]]))), "Review-1", "")</f>
        <v/>
      </c>
      <c r="AD21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26" s="7">
        <f>IF(ISBLANK(patch[[#This Row],[number]]),AE2125,patch[[#This Row],[ifCommon]])</f>
        <v>0</v>
      </c>
    </row>
    <row r="2127" spans="1:31">
      <c r="A2127" s="151">
        <v>143588</v>
      </c>
      <c r="B2127" s="151"/>
      <c r="C2127" s="151"/>
      <c r="D2127" s="151"/>
      <c r="E2127" s="151"/>
      <c r="F2127" s="151"/>
      <c r="G2127" s="151"/>
      <c r="H2127" s="151"/>
      <c r="I2127" s="151"/>
      <c r="J2127" s="152">
        <v>42621.694513888891</v>
      </c>
      <c r="K2127" s="151"/>
      <c r="L2127" s="151" t="s">
        <v>55</v>
      </c>
      <c r="M2127" s="152">
        <v>42620.655856481477</v>
      </c>
      <c r="N2127" s="151" t="s">
        <v>40</v>
      </c>
      <c r="O2127" s="151"/>
      <c r="P2127" s="151"/>
      <c r="Q2127" s="7" t="str">
        <f>IF(ISBLANK(patch[[#This Row],[OwnerEmail]]),Q2126,patch[[#This Row],[OwnerEmail]])</f>
        <v>xiaozhou.liu@intel.com</v>
      </c>
      <c r="R2127" s="7" t="str">
        <f>_xlfn.IFNA(VLOOKUP(patch[[#This Row],[tmp-owner.email]],OrgTree!$A:$K, 11, 0), "not ICG SWFW")</f>
        <v>BJ And dev</v>
      </c>
      <c r="S2127" s="7" t="str">
        <f>IF(patch[[#This Row],[reviewer]]=patch[[#This Row],[tmp-owner.email]], "author", _xlfn.IFNA(VLOOKUP(patch[[#This Row],[reviewer]],OrgTree!$A:$K, 11, 0), "not ICG SWFW"))</f>
        <v>BJ And dev</v>
      </c>
      <c r="T2127" s="7" t="str">
        <f>IF(ISBLANK(patch[[#This Row],[mergeDate]]), "", MID(YEAR(patch[[#This Row],[mergeDate]]), 3,2)&amp;"'ww"&amp;WEEKNUM(patch[[#This Row],[mergeDate]]))</f>
        <v>16'ww37</v>
      </c>
      <c r="U2127" s="7" t="str">
        <f>IF(ISBLANK(patch[[#This Row],[mergeDate]]), U2126, MID(YEAR(patch[[#This Row],[mergeDate]]), 3,2)&amp;"'m"&amp;MONTH(patch[[#This Row],[mergeDate]]))</f>
        <v>16'm9</v>
      </c>
      <c r="V2127" s="7" t="str">
        <f>IF(ISBLANK(patch[[#This Row],[project]]), "",SUM(patch[[#This Row],[BJ -1 num]:[SH -1 num]]))</f>
        <v/>
      </c>
      <c r="W2127" s="7" t="str">
        <f>IF(ISBLANK(patch[[#This Row],[project]]), "",COUNTIFS($A:$A,patch[[#This Row],[number]],$S:$S, "BJ And dev",$AC:$AC, "Review-1"))</f>
        <v/>
      </c>
      <c r="X2127" s="7" t="str">
        <f>IF(ISBLANK(patch[[#This Row],[project]]), "",COUNTIFS($A:$A,patch[[#This Row],[number]],$S:$S, "FL And dev",$AC:$AC, "Review-1"))</f>
        <v/>
      </c>
      <c r="Y2127" s="7" t="str">
        <f>IF(ISBLANK(patch[[#This Row],[project]]), "",COUNTIFS($A:$A,patch[[#This Row],[number]],$S:$S, "SH And dev",$AC:$AC, "Review-1"))</f>
        <v/>
      </c>
      <c r="Z2127" s="7" t="str">
        <f>IF(ISBLANK(patch[[#This Row],[project]]), "",COUNTIFS($A:$A,patch[[#This Row],[number]],$S:$S, "BJ And dev",$AD:$AD, "&lt;&gt;IntegratorValidationComment"))</f>
        <v/>
      </c>
      <c r="AA2127" s="7" t="str">
        <f>IF(ISBLANK(patch[[#This Row],[project]]), "",COUNTIFS($A:$A,patch[[#This Row],[number]],$S:$S, "FL And dev",$AD:$AD, "&lt;&gt;IntegratorValidationComment"))</f>
        <v/>
      </c>
      <c r="AB2127" s="7" t="str">
        <f>IF(ISBLANK(patch[[#This Row],[project]]), "",COUNTIFS($A:$A,patch[[#This Row],[number]],$S:$S, "SH And dev",$AD:$AD, "&lt;&gt;IntegratorValidationComment"))</f>
        <v/>
      </c>
      <c r="AC2127" s="7" t="str">
        <f>IF(OR(ISNUMBER(FIND("Review-1", patch[[#This Row],[comments]])), ISNUMBER(FIND("Approver-1", patch[[#This Row],[comments]]))), "Review-1", "")</f>
        <v/>
      </c>
      <c r="AD21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27" s="7">
        <f>IF(ISBLANK(patch[[#This Row],[number]]),AE2126,patch[[#This Row],[ifCommon]])</f>
        <v>0</v>
      </c>
    </row>
    <row r="2128" spans="1:31">
      <c r="A2128" s="151">
        <v>143588</v>
      </c>
      <c r="B2128" s="151"/>
      <c r="C2128" s="151"/>
      <c r="D2128" s="151"/>
      <c r="E2128" s="151"/>
      <c r="F2128" s="151"/>
      <c r="G2128" s="151"/>
      <c r="H2128" s="151"/>
      <c r="I2128" s="151"/>
      <c r="J2128" s="152">
        <v>42621.694513888891</v>
      </c>
      <c r="K2128" s="151"/>
      <c r="L2128" s="151" t="s">
        <v>24</v>
      </c>
      <c r="M2128" s="152">
        <v>42620.790798611109</v>
      </c>
      <c r="N2128" s="151" t="s">
        <v>1880</v>
      </c>
      <c r="O2128" s="151"/>
      <c r="P2128" s="151"/>
      <c r="Q2128" s="7" t="str">
        <f>IF(ISBLANK(patch[[#This Row],[OwnerEmail]]),Q2127,patch[[#This Row],[OwnerEmail]])</f>
        <v>xiaozhou.liu@intel.com</v>
      </c>
      <c r="R2128" s="7" t="str">
        <f>_xlfn.IFNA(VLOOKUP(patch[[#This Row],[tmp-owner.email]],OrgTree!$A:$K, 11, 0), "not ICG SWFW")</f>
        <v>BJ And dev</v>
      </c>
      <c r="S2128" s="7" t="str">
        <f>IF(patch[[#This Row],[reviewer]]=patch[[#This Row],[tmp-owner.email]], "author", _xlfn.IFNA(VLOOKUP(patch[[#This Row],[reviewer]],OrgTree!$A:$K, 11, 0), "not ICG SWFW"))</f>
        <v>BJ And dev</v>
      </c>
      <c r="T2128" s="7" t="str">
        <f>IF(ISBLANK(patch[[#This Row],[mergeDate]]), "", MID(YEAR(patch[[#This Row],[mergeDate]]), 3,2)&amp;"'ww"&amp;WEEKNUM(patch[[#This Row],[mergeDate]]))</f>
        <v>16'ww37</v>
      </c>
      <c r="U2128" s="7" t="str">
        <f>IF(ISBLANK(patch[[#This Row],[mergeDate]]), U2127, MID(YEAR(patch[[#This Row],[mergeDate]]), 3,2)&amp;"'m"&amp;MONTH(patch[[#This Row],[mergeDate]]))</f>
        <v>16'm9</v>
      </c>
      <c r="V2128" s="7" t="str">
        <f>IF(ISBLANK(patch[[#This Row],[project]]), "",SUM(patch[[#This Row],[BJ -1 num]:[SH -1 num]]))</f>
        <v/>
      </c>
      <c r="W2128" s="7" t="str">
        <f>IF(ISBLANK(patch[[#This Row],[project]]), "",COUNTIFS($A:$A,patch[[#This Row],[number]],$S:$S, "BJ And dev",$AC:$AC, "Review-1"))</f>
        <v/>
      </c>
      <c r="X2128" s="7" t="str">
        <f>IF(ISBLANK(patch[[#This Row],[project]]), "",COUNTIFS($A:$A,patch[[#This Row],[number]],$S:$S, "FL And dev",$AC:$AC, "Review-1"))</f>
        <v/>
      </c>
      <c r="Y2128" s="7" t="str">
        <f>IF(ISBLANK(patch[[#This Row],[project]]), "",COUNTIFS($A:$A,patch[[#This Row],[number]],$S:$S, "SH And dev",$AC:$AC, "Review-1"))</f>
        <v/>
      </c>
      <c r="Z2128" s="7" t="str">
        <f>IF(ISBLANK(patch[[#This Row],[project]]), "",COUNTIFS($A:$A,patch[[#This Row],[number]],$S:$S, "BJ And dev",$AD:$AD, "&lt;&gt;IntegratorValidationComment"))</f>
        <v/>
      </c>
      <c r="AA2128" s="7" t="str">
        <f>IF(ISBLANK(patch[[#This Row],[project]]), "",COUNTIFS($A:$A,patch[[#This Row],[number]],$S:$S, "FL And dev",$AD:$AD, "&lt;&gt;IntegratorValidationComment"))</f>
        <v/>
      </c>
      <c r="AB2128" s="7" t="str">
        <f>IF(ISBLANK(patch[[#This Row],[project]]), "",COUNTIFS($A:$A,patch[[#This Row],[number]],$S:$S, "SH And dev",$AD:$AD, "&lt;&gt;IntegratorValidationComment"))</f>
        <v/>
      </c>
      <c r="AC2128" s="7" t="str">
        <f>IF(OR(ISNUMBER(FIND("Review-1", patch[[#This Row],[comments]])), ISNUMBER(FIND("Approver-1", patch[[#This Row],[comments]]))), "Review-1", "")</f>
        <v/>
      </c>
      <c r="AD21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28" s="7">
        <f>IF(ISBLANK(patch[[#This Row],[number]]),AE2127,patch[[#This Row],[ifCommon]])</f>
        <v>0</v>
      </c>
    </row>
    <row r="2129" spans="1:31">
      <c r="A2129" s="151">
        <v>143588</v>
      </c>
      <c r="B2129" s="151"/>
      <c r="C2129" s="151"/>
      <c r="D2129" s="151"/>
      <c r="E2129" s="151"/>
      <c r="F2129" s="151"/>
      <c r="G2129" s="151"/>
      <c r="H2129" s="151"/>
      <c r="I2129" s="151"/>
      <c r="J2129" s="152">
        <v>42621.694513888891</v>
      </c>
      <c r="K2129" s="151"/>
      <c r="L2129" s="151" t="s">
        <v>115</v>
      </c>
      <c r="M2129" s="152">
        <v>42621.419583333343</v>
      </c>
      <c r="N2129" s="151" t="s">
        <v>2494</v>
      </c>
      <c r="O2129" s="151"/>
      <c r="P2129" s="151"/>
      <c r="Q2129" s="7" t="str">
        <f>IF(ISBLANK(patch[[#This Row],[OwnerEmail]]),Q2128,patch[[#This Row],[OwnerEmail]])</f>
        <v>xiaozhou.liu@intel.com</v>
      </c>
      <c r="R2129" s="7" t="str">
        <f>_xlfn.IFNA(VLOOKUP(patch[[#This Row],[tmp-owner.email]],OrgTree!$A:$K, 11, 0), "not ICG SWFW")</f>
        <v>BJ And dev</v>
      </c>
      <c r="S2129" s="7" t="str">
        <f>IF(patch[[#This Row],[reviewer]]=patch[[#This Row],[tmp-owner.email]], "author", _xlfn.IFNA(VLOOKUP(patch[[#This Row],[reviewer]],OrgTree!$A:$K, 11, 0), "not ICG SWFW"))</f>
        <v>Val</v>
      </c>
      <c r="T2129" s="7" t="str">
        <f>IF(ISBLANK(patch[[#This Row],[mergeDate]]), "", MID(YEAR(patch[[#This Row],[mergeDate]]), 3,2)&amp;"'ww"&amp;WEEKNUM(patch[[#This Row],[mergeDate]]))</f>
        <v>16'ww37</v>
      </c>
      <c r="U2129" s="7" t="str">
        <f>IF(ISBLANK(patch[[#This Row],[mergeDate]]), U2128, MID(YEAR(patch[[#This Row],[mergeDate]]), 3,2)&amp;"'m"&amp;MONTH(patch[[#This Row],[mergeDate]]))</f>
        <v>16'm9</v>
      </c>
      <c r="V2129" s="7" t="str">
        <f>IF(ISBLANK(patch[[#This Row],[project]]), "",SUM(patch[[#This Row],[BJ -1 num]:[SH -1 num]]))</f>
        <v/>
      </c>
      <c r="W2129" s="7" t="str">
        <f>IF(ISBLANK(patch[[#This Row],[project]]), "",COUNTIFS($A:$A,patch[[#This Row],[number]],$S:$S, "BJ And dev",$AC:$AC, "Review-1"))</f>
        <v/>
      </c>
      <c r="X2129" s="7" t="str">
        <f>IF(ISBLANK(patch[[#This Row],[project]]), "",COUNTIFS($A:$A,patch[[#This Row],[number]],$S:$S, "FL And dev",$AC:$AC, "Review-1"))</f>
        <v/>
      </c>
      <c r="Y2129" s="7" t="str">
        <f>IF(ISBLANK(patch[[#This Row],[project]]), "",COUNTIFS($A:$A,patch[[#This Row],[number]],$S:$S, "SH And dev",$AC:$AC, "Review-1"))</f>
        <v/>
      </c>
      <c r="Z2129" s="7" t="str">
        <f>IF(ISBLANK(patch[[#This Row],[project]]), "",COUNTIFS($A:$A,patch[[#This Row],[number]],$S:$S, "BJ And dev",$AD:$AD, "&lt;&gt;IntegratorValidationComment"))</f>
        <v/>
      </c>
      <c r="AA2129" s="7" t="str">
        <f>IF(ISBLANK(patch[[#This Row],[project]]), "",COUNTIFS($A:$A,patch[[#This Row],[number]],$S:$S, "FL And dev",$AD:$AD, "&lt;&gt;IntegratorValidationComment"))</f>
        <v/>
      </c>
      <c r="AB2129" s="7" t="str">
        <f>IF(ISBLANK(patch[[#This Row],[project]]), "",COUNTIFS($A:$A,patch[[#This Row],[number]],$S:$S, "SH And dev",$AD:$AD, "&lt;&gt;IntegratorValidationComment"))</f>
        <v/>
      </c>
      <c r="AC2129" s="7" t="str">
        <f>IF(OR(ISNUMBER(FIND("Review-1", patch[[#This Row],[comments]])), ISNUMBER(FIND("Approver-1", patch[[#This Row],[comments]]))), "Review-1", "")</f>
        <v/>
      </c>
      <c r="AD21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129" s="7">
        <f>IF(ISBLANK(patch[[#This Row],[number]]),AE2128,patch[[#This Row],[ifCommon]])</f>
        <v>0</v>
      </c>
    </row>
    <row r="2130" spans="1:31">
      <c r="A2130" s="151">
        <v>143588</v>
      </c>
      <c r="B2130" s="151"/>
      <c r="C2130" s="151"/>
      <c r="D2130" s="151"/>
      <c r="E2130" s="151"/>
      <c r="F2130" s="151"/>
      <c r="G2130" s="151"/>
      <c r="H2130" s="151"/>
      <c r="I2130" s="151"/>
      <c r="J2130" s="152">
        <v>42621.694513888891</v>
      </c>
      <c r="K2130" s="151"/>
      <c r="L2130" s="151" t="s">
        <v>115</v>
      </c>
      <c r="M2130" s="152">
        <v>42621.488043981481</v>
      </c>
      <c r="N2130" s="151" t="s">
        <v>2571</v>
      </c>
      <c r="O2130" s="151"/>
      <c r="P2130" s="151"/>
      <c r="Q2130" s="7" t="str">
        <f>IF(ISBLANK(patch[[#This Row],[OwnerEmail]]),Q2129,patch[[#This Row],[OwnerEmail]])</f>
        <v>xiaozhou.liu@intel.com</v>
      </c>
      <c r="R2130" s="7" t="str">
        <f>_xlfn.IFNA(VLOOKUP(patch[[#This Row],[tmp-owner.email]],OrgTree!$A:$K, 11, 0), "not ICG SWFW")</f>
        <v>BJ And dev</v>
      </c>
      <c r="S2130" s="7" t="str">
        <f>IF(patch[[#This Row],[reviewer]]=patch[[#This Row],[tmp-owner.email]], "author", _xlfn.IFNA(VLOOKUP(patch[[#This Row],[reviewer]],OrgTree!$A:$K, 11, 0), "not ICG SWFW"))</f>
        <v>Val</v>
      </c>
      <c r="T2130" s="7" t="str">
        <f>IF(ISBLANK(patch[[#This Row],[mergeDate]]), "", MID(YEAR(patch[[#This Row],[mergeDate]]), 3,2)&amp;"'ww"&amp;WEEKNUM(patch[[#This Row],[mergeDate]]))</f>
        <v>16'ww37</v>
      </c>
      <c r="U2130" s="7" t="str">
        <f>IF(ISBLANK(patch[[#This Row],[mergeDate]]), U2129, MID(YEAR(patch[[#This Row],[mergeDate]]), 3,2)&amp;"'m"&amp;MONTH(patch[[#This Row],[mergeDate]]))</f>
        <v>16'm9</v>
      </c>
      <c r="V2130" s="7" t="str">
        <f>IF(ISBLANK(patch[[#This Row],[project]]), "",SUM(patch[[#This Row],[BJ -1 num]:[SH -1 num]]))</f>
        <v/>
      </c>
      <c r="W2130" s="7" t="str">
        <f>IF(ISBLANK(patch[[#This Row],[project]]), "",COUNTIFS($A:$A,patch[[#This Row],[number]],$S:$S, "BJ And dev",$AC:$AC, "Review-1"))</f>
        <v/>
      </c>
      <c r="X2130" s="7" t="str">
        <f>IF(ISBLANK(patch[[#This Row],[project]]), "",COUNTIFS($A:$A,patch[[#This Row],[number]],$S:$S, "FL And dev",$AC:$AC, "Review-1"))</f>
        <v/>
      </c>
      <c r="Y2130" s="7" t="str">
        <f>IF(ISBLANK(patch[[#This Row],[project]]), "",COUNTIFS($A:$A,patch[[#This Row],[number]],$S:$S, "SH And dev",$AC:$AC, "Review-1"))</f>
        <v/>
      </c>
      <c r="Z2130" s="7" t="str">
        <f>IF(ISBLANK(patch[[#This Row],[project]]), "",COUNTIFS($A:$A,patch[[#This Row],[number]],$S:$S, "BJ And dev",$AD:$AD, "&lt;&gt;IntegratorValidationComment"))</f>
        <v/>
      </c>
      <c r="AA2130" s="7" t="str">
        <f>IF(ISBLANK(patch[[#This Row],[project]]), "",COUNTIFS($A:$A,patch[[#This Row],[number]],$S:$S, "FL And dev",$AD:$AD, "&lt;&gt;IntegratorValidationComment"))</f>
        <v/>
      </c>
      <c r="AB2130" s="7" t="str">
        <f>IF(ISBLANK(patch[[#This Row],[project]]), "",COUNTIFS($A:$A,patch[[#This Row],[number]],$S:$S, "SH And dev",$AD:$AD, "&lt;&gt;IntegratorValidationComment"))</f>
        <v/>
      </c>
      <c r="AC2130" s="7" t="str">
        <f>IF(OR(ISNUMBER(FIND("Review-1", patch[[#This Row],[comments]])), ISNUMBER(FIND("Approver-1", patch[[#This Row],[comments]]))), "Review-1", "")</f>
        <v/>
      </c>
      <c r="AD21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130" s="7">
        <f>IF(ISBLANK(patch[[#This Row],[number]]),AE2129,patch[[#This Row],[ifCommon]])</f>
        <v>0</v>
      </c>
    </row>
    <row r="2131" spans="1:31">
      <c r="A2131" s="151">
        <v>143588</v>
      </c>
      <c r="B2131" s="151"/>
      <c r="C2131" s="151"/>
      <c r="D2131" s="151"/>
      <c r="E2131" s="151"/>
      <c r="F2131" s="151"/>
      <c r="G2131" s="151"/>
      <c r="H2131" s="151"/>
      <c r="I2131" s="151"/>
      <c r="J2131" s="152">
        <v>42621.694513888891</v>
      </c>
      <c r="K2131" s="151"/>
      <c r="L2131" s="151" t="s">
        <v>59</v>
      </c>
      <c r="M2131" s="152">
        <v>42621.491122685176</v>
      </c>
      <c r="N2131" s="151" t="s">
        <v>2429</v>
      </c>
      <c r="O2131" s="151"/>
      <c r="P2131" s="151"/>
      <c r="Q2131" s="7" t="str">
        <f>IF(ISBLANK(patch[[#This Row],[OwnerEmail]]),Q2130,patch[[#This Row],[OwnerEmail]])</f>
        <v>xiaozhou.liu@intel.com</v>
      </c>
      <c r="R2131" s="7" t="str">
        <f>_xlfn.IFNA(VLOOKUP(patch[[#This Row],[tmp-owner.email]],OrgTree!$A:$K, 11, 0), "not ICG SWFW")</f>
        <v>BJ And dev</v>
      </c>
      <c r="S2131" s="7" t="str">
        <f>IF(patch[[#This Row],[reviewer]]=patch[[#This Row],[tmp-owner.email]], "author", _xlfn.IFNA(VLOOKUP(patch[[#This Row],[reviewer]],OrgTree!$A:$K, 11, 0), "not ICG SWFW"))</f>
        <v>author</v>
      </c>
      <c r="T2131" s="7" t="str">
        <f>IF(ISBLANK(patch[[#This Row],[mergeDate]]), "", MID(YEAR(patch[[#This Row],[mergeDate]]), 3,2)&amp;"'ww"&amp;WEEKNUM(patch[[#This Row],[mergeDate]]))</f>
        <v>16'ww37</v>
      </c>
      <c r="U2131" s="7" t="str">
        <f>IF(ISBLANK(patch[[#This Row],[mergeDate]]), U2130, MID(YEAR(patch[[#This Row],[mergeDate]]), 3,2)&amp;"'m"&amp;MONTH(patch[[#This Row],[mergeDate]]))</f>
        <v>16'm9</v>
      </c>
      <c r="V2131" s="7" t="str">
        <f>IF(ISBLANK(patch[[#This Row],[project]]), "",SUM(patch[[#This Row],[BJ -1 num]:[SH -1 num]]))</f>
        <v/>
      </c>
      <c r="W2131" s="7" t="str">
        <f>IF(ISBLANK(patch[[#This Row],[project]]), "",COUNTIFS($A:$A,patch[[#This Row],[number]],$S:$S, "BJ And dev",$AC:$AC, "Review-1"))</f>
        <v/>
      </c>
      <c r="X2131" s="7" t="str">
        <f>IF(ISBLANK(patch[[#This Row],[project]]), "",COUNTIFS($A:$A,patch[[#This Row],[number]],$S:$S, "FL And dev",$AC:$AC, "Review-1"))</f>
        <v/>
      </c>
      <c r="Y2131" s="7" t="str">
        <f>IF(ISBLANK(patch[[#This Row],[project]]), "",COUNTIFS($A:$A,patch[[#This Row],[number]],$S:$S, "SH And dev",$AC:$AC, "Review-1"))</f>
        <v/>
      </c>
      <c r="Z2131" s="7" t="str">
        <f>IF(ISBLANK(patch[[#This Row],[project]]), "",COUNTIFS($A:$A,patch[[#This Row],[number]],$S:$S, "BJ And dev",$AD:$AD, "&lt;&gt;IntegratorValidationComment"))</f>
        <v/>
      </c>
      <c r="AA2131" s="7" t="str">
        <f>IF(ISBLANK(patch[[#This Row],[project]]), "",COUNTIFS($A:$A,patch[[#This Row],[number]],$S:$S, "FL And dev",$AD:$AD, "&lt;&gt;IntegratorValidationComment"))</f>
        <v/>
      </c>
      <c r="AB2131" s="7" t="str">
        <f>IF(ISBLANK(patch[[#This Row],[project]]), "",COUNTIFS($A:$A,patch[[#This Row],[number]],$S:$S, "SH And dev",$AD:$AD, "&lt;&gt;IntegratorValidationComment"))</f>
        <v/>
      </c>
      <c r="AC2131" s="7" t="str">
        <f>IF(OR(ISNUMBER(FIND("Review-1", patch[[#This Row],[comments]])), ISNUMBER(FIND("Approver-1", patch[[#This Row],[comments]]))), "Review-1", "")</f>
        <v/>
      </c>
      <c r="AD21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31" s="7">
        <f>IF(ISBLANK(patch[[#This Row],[number]]),AE2130,patch[[#This Row],[ifCommon]])</f>
        <v>0</v>
      </c>
    </row>
    <row r="2132" spans="1:31">
      <c r="A2132" s="151">
        <v>143588</v>
      </c>
      <c r="B2132" s="151"/>
      <c r="C2132" s="151"/>
      <c r="D2132" s="151"/>
      <c r="E2132" s="151"/>
      <c r="F2132" s="151"/>
      <c r="G2132" s="151"/>
      <c r="H2132" s="151"/>
      <c r="I2132" s="151"/>
      <c r="J2132" s="152">
        <v>42621.694513888891</v>
      </c>
      <c r="K2132" s="151"/>
      <c r="L2132" s="151" t="s">
        <v>59</v>
      </c>
      <c r="M2132" s="152">
        <v>42621.491122685176</v>
      </c>
      <c r="N2132" s="151" t="s">
        <v>29</v>
      </c>
      <c r="O2132" s="151"/>
      <c r="P2132" s="151"/>
      <c r="Q2132" s="7" t="str">
        <f>IF(ISBLANK(patch[[#This Row],[OwnerEmail]]),Q2131,patch[[#This Row],[OwnerEmail]])</f>
        <v>xiaozhou.liu@intel.com</v>
      </c>
      <c r="R2132" s="7" t="str">
        <f>_xlfn.IFNA(VLOOKUP(patch[[#This Row],[tmp-owner.email]],OrgTree!$A:$K, 11, 0), "not ICG SWFW")</f>
        <v>BJ And dev</v>
      </c>
      <c r="S2132" s="7" t="str">
        <f>IF(patch[[#This Row],[reviewer]]=patch[[#This Row],[tmp-owner.email]], "author", _xlfn.IFNA(VLOOKUP(patch[[#This Row],[reviewer]],OrgTree!$A:$K, 11, 0), "not ICG SWFW"))</f>
        <v>author</v>
      </c>
      <c r="T2132" s="7" t="str">
        <f>IF(ISBLANK(patch[[#This Row],[mergeDate]]), "", MID(YEAR(patch[[#This Row],[mergeDate]]), 3,2)&amp;"'ww"&amp;WEEKNUM(patch[[#This Row],[mergeDate]]))</f>
        <v>16'ww37</v>
      </c>
      <c r="U2132" s="7" t="str">
        <f>IF(ISBLANK(patch[[#This Row],[mergeDate]]), U2131, MID(YEAR(patch[[#This Row],[mergeDate]]), 3,2)&amp;"'m"&amp;MONTH(patch[[#This Row],[mergeDate]]))</f>
        <v>16'm9</v>
      </c>
      <c r="V2132" s="7" t="str">
        <f>IF(ISBLANK(patch[[#This Row],[project]]), "",SUM(patch[[#This Row],[BJ -1 num]:[SH -1 num]]))</f>
        <v/>
      </c>
      <c r="W2132" s="7" t="str">
        <f>IF(ISBLANK(patch[[#This Row],[project]]), "",COUNTIFS($A:$A,patch[[#This Row],[number]],$S:$S, "BJ And dev",$AC:$AC, "Review-1"))</f>
        <v/>
      </c>
      <c r="X2132" s="7" t="str">
        <f>IF(ISBLANK(patch[[#This Row],[project]]), "",COUNTIFS($A:$A,patch[[#This Row],[number]],$S:$S, "FL And dev",$AC:$AC, "Review-1"))</f>
        <v/>
      </c>
      <c r="Y2132" s="7" t="str">
        <f>IF(ISBLANK(patch[[#This Row],[project]]), "",COUNTIFS($A:$A,patch[[#This Row],[number]],$S:$S, "SH And dev",$AC:$AC, "Review-1"))</f>
        <v/>
      </c>
      <c r="Z2132" s="7" t="str">
        <f>IF(ISBLANK(patch[[#This Row],[project]]), "",COUNTIFS($A:$A,patch[[#This Row],[number]],$S:$S, "BJ And dev",$AD:$AD, "&lt;&gt;IntegratorValidationComment"))</f>
        <v/>
      </c>
      <c r="AA2132" s="7" t="str">
        <f>IF(ISBLANK(patch[[#This Row],[project]]), "",COUNTIFS($A:$A,patch[[#This Row],[number]],$S:$S, "FL And dev",$AD:$AD, "&lt;&gt;IntegratorValidationComment"))</f>
        <v/>
      </c>
      <c r="AB2132" s="7" t="str">
        <f>IF(ISBLANK(patch[[#This Row],[project]]), "",COUNTIFS($A:$A,patch[[#This Row],[number]],$S:$S, "SH And dev",$AD:$AD, "&lt;&gt;IntegratorValidationComment"))</f>
        <v/>
      </c>
      <c r="AC2132" s="7" t="str">
        <f>IF(OR(ISNUMBER(FIND("Review-1", patch[[#This Row],[comments]])), ISNUMBER(FIND("Approver-1", patch[[#This Row],[comments]]))), "Review-1", "")</f>
        <v/>
      </c>
      <c r="AD21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32" s="7">
        <f>IF(ISBLANK(patch[[#This Row],[number]]),AE2131,patch[[#This Row],[ifCommon]])</f>
        <v>0</v>
      </c>
    </row>
    <row r="2133" spans="1:31">
      <c r="A2133" s="151">
        <v>143588</v>
      </c>
      <c r="B2133" s="151"/>
      <c r="C2133" s="151"/>
      <c r="D2133" s="151"/>
      <c r="E2133" s="151"/>
      <c r="F2133" s="151"/>
      <c r="G2133" s="151"/>
      <c r="H2133" s="151"/>
      <c r="I2133" s="151"/>
      <c r="J2133" s="152">
        <v>42621.694513888891</v>
      </c>
      <c r="K2133" s="151"/>
      <c r="L2133" s="151" t="s">
        <v>59</v>
      </c>
      <c r="M2133" s="152">
        <v>42621.491527777784</v>
      </c>
      <c r="N2133" s="151" t="s">
        <v>27</v>
      </c>
      <c r="O2133" s="151"/>
      <c r="P2133" s="151"/>
      <c r="Q2133" s="7" t="str">
        <f>IF(ISBLANK(patch[[#This Row],[OwnerEmail]]),Q2132,patch[[#This Row],[OwnerEmail]])</f>
        <v>xiaozhou.liu@intel.com</v>
      </c>
      <c r="R2133" s="7" t="str">
        <f>_xlfn.IFNA(VLOOKUP(patch[[#This Row],[tmp-owner.email]],OrgTree!$A:$K, 11, 0), "not ICG SWFW")</f>
        <v>BJ And dev</v>
      </c>
      <c r="S2133" s="7" t="str">
        <f>IF(patch[[#This Row],[reviewer]]=patch[[#This Row],[tmp-owner.email]], "author", _xlfn.IFNA(VLOOKUP(patch[[#This Row],[reviewer]],OrgTree!$A:$K, 11, 0), "not ICG SWFW"))</f>
        <v>author</v>
      </c>
      <c r="T2133" s="7" t="str">
        <f>IF(ISBLANK(patch[[#This Row],[mergeDate]]), "", MID(YEAR(patch[[#This Row],[mergeDate]]), 3,2)&amp;"'ww"&amp;WEEKNUM(patch[[#This Row],[mergeDate]]))</f>
        <v>16'ww37</v>
      </c>
      <c r="U2133" s="7" t="str">
        <f>IF(ISBLANK(patch[[#This Row],[mergeDate]]), U2132, MID(YEAR(patch[[#This Row],[mergeDate]]), 3,2)&amp;"'m"&amp;MONTH(patch[[#This Row],[mergeDate]]))</f>
        <v>16'm9</v>
      </c>
      <c r="V2133" s="7" t="str">
        <f>IF(ISBLANK(patch[[#This Row],[project]]), "",SUM(patch[[#This Row],[BJ -1 num]:[SH -1 num]]))</f>
        <v/>
      </c>
      <c r="W2133" s="7" t="str">
        <f>IF(ISBLANK(patch[[#This Row],[project]]), "",COUNTIFS($A:$A,patch[[#This Row],[number]],$S:$S, "BJ And dev",$AC:$AC, "Review-1"))</f>
        <v/>
      </c>
      <c r="X2133" s="7" t="str">
        <f>IF(ISBLANK(patch[[#This Row],[project]]), "",COUNTIFS($A:$A,patch[[#This Row],[number]],$S:$S, "FL And dev",$AC:$AC, "Review-1"))</f>
        <v/>
      </c>
      <c r="Y2133" s="7" t="str">
        <f>IF(ISBLANK(patch[[#This Row],[project]]), "",COUNTIFS($A:$A,patch[[#This Row],[number]],$S:$S, "SH And dev",$AC:$AC, "Review-1"))</f>
        <v/>
      </c>
      <c r="Z2133" s="7" t="str">
        <f>IF(ISBLANK(patch[[#This Row],[project]]), "",COUNTIFS($A:$A,patch[[#This Row],[number]],$S:$S, "BJ And dev",$AD:$AD, "&lt;&gt;IntegratorValidationComment"))</f>
        <v/>
      </c>
      <c r="AA2133" s="7" t="str">
        <f>IF(ISBLANK(patch[[#This Row],[project]]), "",COUNTIFS($A:$A,patch[[#This Row],[number]],$S:$S, "FL And dev",$AD:$AD, "&lt;&gt;IntegratorValidationComment"))</f>
        <v/>
      </c>
      <c r="AB2133" s="7" t="str">
        <f>IF(ISBLANK(patch[[#This Row],[project]]), "",COUNTIFS($A:$A,patch[[#This Row],[number]],$S:$S, "SH And dev",$AD:$AD, "&lt;&gt;IntegratorValidationComment"))</f>
        <v/>
      </c>
      <c r="AC2133" s="7" t="str">
        <f>IF(OR(ISNUMBER(FIND("Review-1", patch[[#This Row],[comments]])), ISNUMBER(FIND("Approver-1", patch[[#This Row],[comments]]))), "Review-1", "")</f>
        <v/>
      </c>
      <c r="AD21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33" s="7">
        <f>IF(ISBLANK(patch[[#This Row],[number]]),AE2132,patch[[#This Row],[ifCommon]])</f>
        <v>0</v>
      </c>
    </row>
    <row r="2134" spans="1:31">
      <c r="A2134" s="151">
        <v>143588</v>
      </c>
      <c r="B2134" s="151"/>
      <c r="C2134" s="151"/>
      <c r="D2134" s="151"/>
      <c r="E2134" s="151"/>
      <c r="F2134" s="151"/>
      <c r="G2134" s="151"/>
      <c r="H2134" s="151"/>
      <c r="I2134" s="151"/>
      <c r="J2134" s="152">
        <v>42621.694513888891</v>
      </c>
      <c r="K2134" s="151"/>
      <c r="L2134" s="151" t="s">
        <v>115</v>
      </c>
      <c r="M2134" s="152">
        <v>42621.492546296293</v>
      </c>
      <c r="N2134" s="151" t="s">
        <v>2495</v>
      </c>
      <c r="O2134" s="151"/>
      <c r="P2134" s="151"/>
      <c r="Q2134" s="7" t="str">
        <f>IF(ISBLANK(patch[[#This Row],[OwnerEmail]]),Q2133,patch[[#This Row],[OwnerEmail]])</f>
        <v>xiaozhou.liu@intel.com</v>
      </c>
      <c r="R2134" s="7" t="str">
        <f>_xlfn.IFNA(VLOOKUP(patch[[#This Row],[tmp-owner.email]],OrgTree!$A:$K, 11, 0), "not ICG SWFW")</f>
        <v>BJ And dev</v>
      </c>
      <c r="S2134" s="7" t="str">
        <f>IF(patch[[#This Row],[reviewer]]=patch[[#This Row],[tmp-owner.email]], "author", _xlfn.IFNA(VLOOKUP(patch[[#This Row],[reviewer]],OrgTree!$A:$K, 11, 0), "not ICG SWFW"))</f>
        <v>Val</v>
      </c>
      <c r="T2134" s="7" t="str">
        <f>IF(ISBLANK(patch[[#This Row],[mergeDate]]), "", MID(YEAR(patch[[#This Row],[mergeDate]]), 3,2)&amp;"'ww"&amp;WEEKNUM(patch[[#This Row],[mergeDate]]))</f>
        <v>16'ww37</v>
      </c>
      <c r="U2134" s="7" t="str">
        <f>IF(ISBLANK(patch[[#This Row],[mergeDate]]), U2133, MID(YEAR(patch[[#This Row],[mergeDate]]), 3,2)&amp;"'m"&amp;MONTH(patch[[#This Row],[mergeDate]]))</f>
        <v>16'm9</v>
      </c>
      <c r="V2134" s="7" t="str">
        <f>IF(ISBLANK(patch[[#This Row],[project]]), "",SUM(patch[[#This Row],[BJ -1 num]:[SH -1 num]]))</f>
        <v/>
      </c>
      <c r="W2134" s="7" t="str">
        <f>IF(ISBLANK(patch[[#This Row],[project]]), "",COUNTIFS($A:$A,patch[[#This Row],[number]],$S:$S, "BJ And dev",$AC:$AC, "Review-1"))</f>
        <v/>
      </c>
      <c r="X2134" s="7" t="str">
        <f>IF(ISBLANK(patch[[#This Row],[project]]), "",COUNTIFS($A:$A,patch[[#This Row],[number]],$S:$S, "FL And dev",$AC:$AC, "Review-1"))</f>
        <v/>
      </c>
      <c r="Y2134" s="7" t="str">
        <f>IF(ISBLANK(patch[[#This Row],[project]]), "",COUNTIFS($A:$A,patch[[#This Row],[number]],$S:$S, "SH And dev",$AC:$AC, "Review-1"))</f>
        <v/>
      </c>
      <c r="Z2134" s="7" t="str">
        <f>IF(ISBLANK(patch[[#This Row],[project]]), "",COUNTIFS($A:$A,patch[[#This Row],[number]],$S:$S, "BJ And dev",$AD:$AD, "&lt;&gt;IntegratorValidationComment"))</f>
        <v/>
      </c>
      <c r="AA2134" s="7" t="str">
        <f>IF(ISBLANK(patch[[#This Row],[project]]), "",COUNTIFS($A:$A,patch[[#This Row],[number]],$S:$S, "FL And dev",$AD:$AD, "&lt;&gt;IntegratorValidationComment"))</f>
        <v/>
      </c>
      <c r="AB2134" s="7" t="str">
        <f>IF(ISBLANK(patch[[#This Row],[project]]), "",COUNTIFS($A:$A,patch[[#This Row],[number]],$S:$S, "SH And dev",$AD:$AD, "&lt;&gt;IntegratorValidationComment"))</f>
        <v/>
      </c>
      <c r="AC2134" s="7" t="str">
        <f>IF(OR(ISNUMBER(FIND("Review-1", patch[[#This Row],[comments]])), ISNUMBER(FIND("Approver-1", patch[[#This Row],[comments]]))), "Review-1", "")</f>
        <v/>
      </c>
      <c r="AD21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134" s="7">
        <f>IF(ISBLANK(patch[[#This Row],[number]]),AE2133,patch[[#This Row],[ifCommon]])</f>
        <v>0</v>
      </c>
    </row>
    <row r="2135" spans="1:31">
      <c r="A2135" s="151">
        <v>143588</v>
      </c>
      <c r="B2135" s="151"/>
      <c r="C2135" s="151"/>
      <c r="D2135" s="151"/>
      <c r="E2135" s="151"/>
      <c r="F2135" s="151"/>
      <c r="G2135" s="151"/>
      <c r="H2135" s="151"/>
      <c r="I2135" s="152"/>
      <c r="J2135" s="152">
        <v>42621.694513888891</v>
      </c>
      <c r="K2135" s="151"/>
      <c r="L2135" s="151" t="s">
        <v>24</v>
      </c>
      <c r="M2135" s="152">
        <v>42621.493148148147</v>
      </c>
      <c r="N2135" s="151" t="s">
        <v>42</v>
      </c>
      <c r="O2135" s="151"/>
      <c r="P2135" s="151"/>
      <c r="Q2135" s="7" t="str">
        <f>IF(ISBLANK(patch[[#This Row],[OwnerEmail]]),Q2134,patch[[#This Row],[OwnerEmail]])</f>
        <v>xiaozhou.liu@intel.com</v>
      </c>
      <c r="R2135" s="7" t="str">
        <f>_xlfn.IFNA(VLOOKUP(patch[[#This Row],[tmp-owner.email]],OrgTree!$A:$K, 11, 0), "not ICG SWFW")</f>
        <v>BJ And dev</v>
      </c>
      <c r="S2135" s="7" t="str">
        <f>IF(patch[[#This Row],[reviewer]]=patch[[#This Row],[tmp-owner.email]], "author", _xlfn.IFNA(VLOOKUP(patch[[#This Row],[reviewer]],OrgTree!$A:$K, 11, 0), "not ICG SWFW"))</f>
        <v>BJ And dev</v>
      </c>
      <c r="T2135" s="7" t="str">
        <f>IF(ISBLANK(patch[[#This Row],[mergeDate]]), "", MID(YEAR(patch[[#This Row],[mergeDate]]), 3,2)&amp;"'ww"&amp;WEEKNUM(patch[[#This Row],[mergeDate]]))</f>
        <v>16'ww37</v>
      </c>
      <c r="U2135" s="7" t="str">
        <f>IF(ISBLANK(patch[[#This Row],[mergeDate]]), U2134, MID(YEAR(patch[[#This Row],[mergeDate]]), 3,2)&amp;"'m"&amp;MONTH(patch[[#This Row],[mergeDate]]))</f>
        <v>16'm9</v>
      </c>
      <c r="V2135" s="7" t="str">
        <f>IF(ISBLANK(patch[[#This Row],[project]]), "",SUM(patch[[#This Row],[BJ -1 num]:[SH -1 num]]))</f>
        <v/>
      </c>
      <c r="W2135" s="7" t="str">
        <f>IF(ISBLANK(patch[[#This Row],[project]]), "",COUNTIFS($A:$A,patch[[#This Row],[number]],$S:$S, "BJ And dev",$AC:$AC, "Review-1"))</f>
        <v/>
      </c>
      <c r="X2135" s="7" t="str">
        <f>IF(ISBLANK(patch[[#This Row],[project]]), "",COUNTIFS($A:$A,patch[[#This Row],[number]],$S:$S, "FL And dev",$AC:$AC, "Review-1"))</f>
        <v/>
      </c>
      <c r="Y2135" s="7" t="str">
        <f>IF(ISBLANK(patch[[#This Row],[project]]), "",COUNTIFS($A:$A,patch[[#This Row],[number]],$S:$S, "SH And dev",$AC:$AC, "Review-1"))</f>
        <v/>
      </c>
      <c r="Z2135" s="7" t="str">
        <f>IF(ISBLANK(patch[[#This Row],[project]]), "",COUNTIFS($A:$A,patch[[#This Row],[number]],$S:$S, "BJ And dev",$AD:$AD, "&lt;&gt;IntegratorValidationComment"))</f>
        <v/>
      </c>
      <c r="AA2135" s="7" t="str">
        <f>IF(ISBLANK(patch[[#This Row],[project]]), "",COUNTIFS($A:$A,patch[[#This Row],[number]],$S:$S, "FL And dev",$AD:$AD, "&lt;&gt;IntegratorValidationComment"))</f>
        <v/>
      </c>
      <c r="AB2135" s="7" t="str">
        <f>IF(ISBLANK(patch[[#This Row],[project]]), "",COUNTIFS($A:$A,patch[[#This Row],[number]],$S:$S, "SH And dev",$AD:$AD, "&lt;&gt;IntegratorValidationComment"))</f>
        <v/>
      </c>
      <c r="AC2135" s="7" t="str">
        <f>IF(OR(ISNUMBER(FIND("Review-1", patch[[#This Row],[comments]])), ISNUMBER(FIND("Approver-1", patch[[#This Row],[comments]]))), "Review-1", "")</f>
        <v/>
      </c>
      <c r="AD21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35" s="7">
        <f>IF(ISBLANK(patch[[#This Row],[number]]),AE2134,patch[[#This Row],[ifCommon]])</f>
        <v>0</v>
      </c>
    </row>
    <row r="2136" spans="1:31">
      <c r="A2136" s="151">
        <v>143588</v>
      </c>
      <c r="B2136" s="151"/>
      <c r="C2136" s="151"/>
      <c r="D2136" s="151"/>
      <c r="E2136" s="151"/>
      <c r="F2136" s="151"/>
      <c r="G2136" s="151"/>
      <c r="H2136" s="151"/>
      <c r="I2136" s="151"/>
      <c r="J2136" s="152">
        <v>42621.694513888891</v>
      </c>
      <c r="K2136" s="151"/>
      <c r="L2136" s="151" t="s">
        <v>55</v>
      </c>
      <c r="M2136" s="152">
        <v>42621.49318287037</v>
      </c>
      <c r="N2136" s="151" t="s">
        <v>27</v>
      </c>
      <c r="O2136" s="151"/>
      <c r="P2136" s="151"/>
      <c r="Q2136" s="7" t="str">
        <f>IF(ISBLANK(patch[[#This Row],[OwnerEmail]]),Q2135,patch[[#This Row],[OwnerEmail]])</f>
        <v>xiaozhou.liu@intel.com</v>
      </c>
      <c r="R2136" s="7" t="str">
        <f>_xlfn.IFNA(VLOOKUP(patch[[#This Row],[tmp-owner.email]],OrgTree!$A:$K, 11, 0), "not ICG SWFW")</f>
        <v>BJ And dev</v>
      </c>
      <c r="S2136" s="7" t="str">
        <f>IF(patch[[#This Row],[reviewer]]=patch[[#This Row],[tmp-owner.email]], "author", _xlfn.IFNA(VLOOKUP(patch[[#This Row],[reviewer]],OrgTree!$A:$K, 11, 0), "not ICG SWFW"))</f>
        <v>BJ And dev</v>
      </c>
      <c r="T2136" s="7" t="str">
        <f>IF(ISBLANK(patch[[#This Row],[mergeDate]]), "", MID(YEAR(patch[[#This Row],[mergeDate]]), 3,2)&amp;"'ww"&amp;WEEKNUM(patch[[#This Row],[mergeDate]]))</f>
        <v>16'ww37</v>
      </c>
      <c r="U2136" s="7" t="str">
        <f>IF(ISBLANK(patch[[#This Row],[mergeDate]]), U2135, MID(YEAR(patch[[#This Row],[mergeDate]]), 3,2)&amp;"'m"&amp;MONTH(patch[[#This Row],[mergeDate]]))</f>
        <v>16'm9</v>
      </c>
      <c r="V2136" s="7" t="str">
        <f>IF(ISBLANK(patch[[#This Row],[project]]), "",SUM(patch[[#This Row],[BJ -1 num]:[SH -1 num]]))</f>
        <v/>
      </c>
      <c r="W2136" s="7" t="str">
        <f>IF(ISBLANK(patch[[#This Row],[project]]), "",COUNTIFS($A:$A,patch[[#This Row],[number]],$S:$S, "BJ And dev",$AC:$AC, "Review-1"))</f>
        <v/>
      </c>
      <c r="X2136" s="7" t="str">
        <f>IF(ISBLANK(patch[[#This Row],[project]]), "",COUNTIFS($A:$A,patch[[#This Row],[number]],$S:$S, "FL And dev",$AC:$AC, "Review-1"))</f>
        <v/>
      </c>
      <c r="Y2136" s="7" t="str">
        <f>IF(ISBLANK(patch[[#This Row],[project]]), "",COUNTIFS($A:$A,patch[[#This Row],[number]],$S:$S, "SH And dev",$AC:$AC, "Review-1"))</f>
        <v/>
      </c>
      <c r="Z2136" s="7" t="str">
        <f>IF(ISBLANK(patch[[#This Row],[project]]), "",COUNTIFS($A:$A,patch[[#This Row],[number]],$S:$S, "BJ And dev",$AD:$AD, "&lt;&gt;IntegratorValidationComment"))</f>
        <v/>
      </c>
      <c r="AA2136" s="7" t="str">
        <f>IF(ISBLANK(patch[[#This Row],[project]]), "",COUNTIFS($A:$A,patch[[#This Row],[number]],$S:$S, "FL And dev",$AD:$AD, "&lt;&gt;IntegratorValidationComment"))</f>
        <v/>
      </c>
      <c r="AB2136" s="7" t="str">
        <f>IF(ISBLANK(patch[[#This Row],[project]]), "",COUNTIFS($A:$A,patch[[#This Row],[number]],$S:$S, "SH And dev",$AD:$AD, "&lt;&gt;IntegratorValidationComment"))</f>
        <v/>
      </c>
      <c r="AC2136" s="7" t="str">
        <f>IF(OR(ISNUMBER(FIND("Review-1", patch[[#This Row],[comments]])), ISNUMBER(FIND("Approver-1", patch[[#This Row],[comments]]))), "Review-1", "")</f>
        <v/>
      </c>
      <c r="AD21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36" s="7">
        <f>IF(ISBLANK(patch[[#This Row],[number]]),AE2135,patch[[#This Row],[ifCommon]])</f>
        <v>0</v>
      </c>
    </row>
    <row r="2137" spans="1:31">
      <c r="A2137" s="151">
        <v>143588</v>
      </c>
      <c r="B2137" s="151"/>
      <c r="C2137" s="151"/>
      <c r="D2137" s="151"/>
      <c r="E2137" s="151"/>
      <c r="F2137" s="151"/>
      <c r="G2137" s="151"/>
      <c r="H2137" s="151"/>
      <c r="I2137" s="151"/>
      <c r="J2137" s="152">
        <v>42621.694513888891</v>
      </c>
      <c r="K2137" s="151"/>
      <c r="L2137" s="151" t="s">
        <v>24</v>
      </c>
      <c r="M2137" s="152">
        <v>42621.493437500001</v>
      </c>
      <c r="N2137" s="151" t="s">
        <v>27</v>
      </c>
      <c r="O2137" s="151"/>
      <c r="P2137" s="151"/>
      <c r="Q2137" s="7" t="str">
        <f>IF(ISBLANK(patch[[#This Row],[OwnerEmail]]),Q2136,patch[[#This Row],[OwnerEmail]])</f>
        <v>xiaozhou.liu@intel.com</v>
      </c>
      <c r="R2137" s="7" t="str">
        <f>_xlfn.IFNA(VLOOKUP(patch[[#This Row],[tmp-owner.email]],OrgTree!$A:$K, 11, 0), "not ICG SWFW")</f>
        <v>BJ And dev</v>
      </c>
      <c r="S2137" s="7" t="str">
        <f>IF(patch[[#This Row],[reviewer]]=patch[[#This Row],[tmp-owner.email]], "author", _xlfn.IFNA(VLOOKUP(patch[[#This Row],[reviewer]],OrgTree!$A:$K, 11, 0), "not ICG SWFW"))</f>
        <v>BJ And dev</v>
      </c>
      <c r="T2137" s="7" t="str">
        <f>IF(ISBLANK(patch[[#This Row],[mergeDate]]), "", MID(YEAR(patch[[#This Row],[mergeDate]]), 3,2)&amp;"'ww"&amp;WEEKNUM(patch[[#This Row],[mergeDate]]))</f>
        <v>16'ww37</v>
      </c>
      <c r="U2137" s="7" t="str">
        <f>IF(ISBLANK(patch[[#This Row],[mergeDate]]), U2136, MID(YEAR(patch[[#This Row],[mergeDate]]), 3,2)&amp;"'m"&amp;MONTH(patch[[#This Row],[mergeDate]]))</f>
        <v>16'm9</v>
      </c>
      <c r="V2137" s="7" t="str">
        <f>IF(ISBLANK(patch[[#This Row],[project]]), "",SUM(patch[[#This Row],[BJ -1 num]:[SH -1 num]]))</f>
        <v/>
      </c>
      <c r="W2137" s="7" t="str">
        <f>IF(ISBLANK(patch[[#This Row],[project]]), "",COUNTIFS($A:$A,patch[[#This Row],[number]],$S:$S, "BJ And dev",$AC:$AC, "Review-1"))</f>
        <v/>
      </c>
      <c r="X2137" s="7" t="str">
        <f>IF(ISBLANK(patch[[#This Row],[project]]), "",COUNTIFS($A:$A,patch[[#This Row],[number]],$S:$S, "FL And dev",$AC:$AC, "Review-1"))</f>
        <v/>
      </c>
      <c r="Y2137" s="7" t="str">
        <f>IF(ISBLANK(patch[[#This Row],[project]]), "",COUNTIFS($A:$A,patch[[#This Row],[number]],$S:$S, "SH And dev",$AC:$AC, "Review-1"))</f>
        <v/>
      </c>
      <c r="Z2137" s="7" t="str">
        <f>IF(ISBLANK(patch[[#This Row],[project]]), "",COUNTIFS($A:$A,patch[[#This Row],[number]],$S:$S, "BJ And dev",$AD:$AD, "&lt;&gt;IntegratorValidationComment"))</f>
        <v/>
      </c>
      <c r="AA2137" s="7" t="str">
        <f>IF(ISBLANK(patch[[#This Row],[project]]), "",COUNTIFS($A:$A,patch[[#This Row],[number]],$S:$S, "FL And dev",$AD:$AD, "&lt;&gt;IntegratorValidationComment"))</f>
        <v/>
      </c>
      <c r="AB2137" s="7" t="str">
        <f>IF(ISBLANK(patch[[#This Row],[project]]), "",COUNTIFS($A:$A,patch[[#This Row],[number]],$S:$S, "SH And dev",$AD:$AD, "&lt;&gt;IntegratorValidationComment"))</f>
        <v/>
      </c>
      <c r="AC2137" s="7" t="str">
        <f>IF(OR(ISNUMBER(FIND("Review-1", patch[[#This Row],[comments]])), ISNUMBER(FIND("Approver-1", patch[[#This Row],[comments]]))), "Review-1", "")</f>
        <v/>
      </c>
      <c r="AD21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37" s="7">
        <f>IF(ISBLANK(patch[[#This Row],[number]]),AE2136,patch[[#This Row],[ifCommon]])</f>
        <v>0</v>
      </c>
    </row>
    <row r="2138" spans="1:31">
      <c r="A2138" s="151">
        <v>143588</v>
      </c>
      <c r="B2138" s="151"/>
      <c r="C2138" s="151"/>
      <c r="D2138" s="151"/>
      <c r="E2138" s="151"/>
      <c r="F2138" s="151"/>
      <c r="G2138" s="151"/>
      <c r="H2138" s="151"/>
      <c r="I2138" s="151"/>
      <c r="J2138" s="152">
        <v>42621.694513888891</v>
      </c>
      <c r="K2138" s="151"/>
      <c r="L2138" s="151" t="s">
        <v>59</v>
      </c>
      <c r="M2138" s="152">
        <v>42621.494837962957</v>
      </c>
      <c r="N2138" s="151" t="s">
        <v>3639</v>
      </c>
      <c r="O2138" s="151"/>
      <c r="P2138" s="151"/>
      <c r="Q2138" s="7" t="str">
        <f>IF(ISBLANK(patch[[#This Row],[OwnerEmail]]),Q2137,patch[[#This Row],[OwnerEmail]])</f>
        <v>xiaozhou.liu@intel.com</v>
      </c>
      <c r="R2138" s="7" t="str">
        <f>_xlfn.IFNA(VLOOKUP(patch[[#This Row],[tmp-owner.email]],OrgTree!$A:$K, 11, 0), "not ICG SWFW")</f>
        <v>BJ And dev</v>
      </c>
      <c r="S2138" s="7" t="str">
        <f>IF(patch[[#This Row],[reviewer]]=patch[[#This Row],[tmp-owner.email]], "author", _xlfn.IFNA(VLOOKUP(patch[[#This Row],[reviewer]],OrgTree!$A:$K, 11, 0), "not ICG SWFW"))</f>
        <v>author</v>
      </c>
      <c r="T2138" s="7" t="str">
        <f>IF(ISBLANK(patch[[#This Row],[mergeDate]]), "", MID(YEAR(patch[[#This Row],[mergeDate]]), 3,2)&amp;"'ww"&amp;WEEKNUM(patch[[#This Row],[mergeDate]]))</f>
        <v>16'ww37</v>
      </c>
      <c r="U2138" s="7" t="str">
        <f>IF(ISBLANK(patch[[#This Row],[mergeDate]]), U2137, MID(YEAR(patch[[#This Row],[mergeDate]]), 3,2)&amp;"'m"&amp;MONTH(patch[[#This Row],[mergeDate]]))</f>
        <v>16'm9</v>
      </c>
      <c r="V2138" s="7" t="str">
        <f>IF(ISBLANK(patch[[#This Row],[project]]), "",SUM(patch[[#This Row],[BJ -1 num]:[SH -1 num]]))</f>
        <v/>
      </c>
      <c r="W2138" s="7" t="str">
        <f>IF(ISBLANK(patch[[#This Row],[project]]), "",COUNTIFS($A:$A,patch[[#This Row],[number]],$S:$S, "BJ And dev",$AC:$AC, "Review-1"))</f>
        <v/>
      </c>
      <c r="X2138" s="7" t="str">
        <f>IF(ISBLANK(patch[[#This Row],[project]]), "",COUNTIFS($A:$A,patch[[#This Row],[number]],$S:$S, "FL And dev",$AC:$AC, "Review-1"))</f>
        <v/>
      </c>
      <c r="Y2138" s="7" t="str">
        <f>IF(ISBLANK(patch[[#This Row],[project]]), "",COUNTIFS($A:$A,patch[[#This Row],[number]],$S:$S, "SH And dev",$AC:$AC, "Review-1"))</f>
        <v/>
      </c>
      <c r="Z2138" s="7" t="str">
        <f>IF(ISBLANK(patch[[#This Row],[project]]), "",COUNTIFS($A:$A,patch[[#This Row],[number]],$S:$S, "BJ And dev",$AD:$AD, "&lt;&gt;IntegratorValidationComment"))</f>
        <v/>
      </c>
      <c r="AA2138" s="7" t="str">
        <f>IF(ISBLANK(patch[[#This Row],[project]]), "",COUNTIFS($A:$A,patch[[#This Row],[number]],$S:$S, "FL And dev",$AD:$AD, "&lt;&gt;IntegratorValidationComment"))</f>
        <v/>
      </c>
      <c r="AB2138" s="7" t="str">
        <f>IF(ISBLANK(patch[[#This Row],[project]]), "",COUNTIFS($A:$A,patch[[#This Row],[number]],$S:$S, "SH And dev",$AD:$AD, "&lt;&gt;IntegratorValidationComment"))</f>
        <v/>
      </c>
      <c r="AC2138" s="7" t="str">
        <f>IF(OR(ISNUMBER(FIND("Review-1", patch[[#This Row],[comments]])), ISNUMBER(FIND("Approver-1", patch[[#This Row],[comments]]))), "Review-1", "")</f>
        <v/>
      </c>
      <c r="AD21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38" s="7">
        <f>IF(ISBLANK(patch[[#This Row],[number]]),AE2137,patch[[#This Row],[ifCommon]])</f>
        <v>0</v>
      </c>
    </row>
    <row r="2139" spans="1:31">
      <c r="A2139" s="151">
        <v>143587</v>
      </c>
      <c r="B2139" s="151" t="s">
        <v>2490</v>
      </c>
      <c r="C2139" s="151" t="s">
        <v>2491</v>
      </c>
      <c r="D2139" s="151" t="s">
        <v>3640</v>
      </c>
      <c r="E2139" s="151" t="s">
        <v>59</v>
      </c>
      <c r="F2139" s="151" t="s">
        <v>23</v>
      </c>
      <c r="G2139" s="151" t="s">
        <v>3641</v>
      </c>
      <c r="H2139" s="151" t="s">
        <v>3642</v>
      </c>
      <c r="I2139" s="152">
        <v>42619.812685185178</v>
      </c>
      <c r="J2139" s="152">
        <v>42621.694386574083</v>
      </c>
      <c r="K2139" s="151" t="s">
        <v>2445</v>
      </c>
      <c r="L2139" s="151" t="s">
        <v>59</v>
      </c>
      <c r="M2139" s="152">
        <v>42619.812685185178</v>
      </c>
      <c r="N2139" s="151" t="s">
        <v>2428</v>
      </c>
      <c r="O2139" s="151"/>
      <c r="P2139" s="151" t="s">
        <v>3226</v>
      </c>
      <c r="Q2139" s="7" t="str">
        <f>IF(ISBLANK(patch[[#This Row],[OwnerEmail]]),Q2138,patch[[#This Row],[OwnerEmail]])</f>
        <v>xiaozhou.liu@intel.com</v>
      </c>
      <c r="R2139" s="7" t="str">
        <f>_xlfn.IFNA(VLOOKUP(patch[[#This Row],[tmp-owner.email]],OrgTree!$A:$K, 11, 0), "not ICG SWFW")</f>
        <v>BJ And dev</v>
      </c>
      <c r="S2139" s="7" t="str">
        <f>IF(patch[[#This Row],[reviewer]]=patch[[#This Row],[tmp-owner.email]], "author", _xlfn.IFNA(VLOOKUP(patch[[#This Row],[reviewer]],OrgTree!$A:$K, 11, 0), "not ICG SWFW"))</f>
        <v>author</v>
      </c>
      <c r="T2139" s="7" t="str">
        <f>IF(ISBLANK(patch[[#This Row],[mergeDate]]), "", MID(YEAR(patch[[#This Row],[mergeDate]]), 3,2)&amp;"'ww"&amp;WEEKNUM(patch[[#This Row],[mergeDate]]))</f>
        <v>16'ww37</v>
      </c>
      <c r="U2139" s="7" t="str">
        <f>IF(ISBLANK(patch[[#This Row],[mergeDate]]), U2138, MID(YEAR(patch[[#This Row],[mergeDate]]), 3,2)&amp;"'m"&amp;MONTH(patch[[#This Row],[mergeDate]]))</f>
        <v>16'm9</v>
      </c>
      <c r="V2139" s="7">
        <f>IF(ISBLANK(patch[[#This Row],[project]]), "",SUM(patch[[#This Row],[BJ -1 num]:[SH -1 num]]))</f>
        <v>0</v>
      </c>
      <c r="W2139" s="7">
        <f>IF(ISBLANK(patch[[#This Row],[project]]), "",COUNTIFS($A:$A,patch[[#This Row],[number]],$S:$S, "BJ And dev",$AC:$AC, "Review-1"))</f>
        <v>0</v>
      </c>
      <c r="X2139" s="7">
        <f>IF(ISBLANK(patch[[#This Row],[project]]), "",COUNTIFS($A:$A,patch[[#This Row],[number]],$S:$S, "FL And dev",$AC:$AC, "Review-1"))</f>
        <v>0</v>
      </c>
      <c r="Y2139" s="7">
        <f>IF(ISBLANK(patch[[#This Row],[project]]), "",COUNTIFS($A:$A,patch[[#This Row],[number]],$S:$S, "SH And dev",$AC:$AC, "Review-1"))</f>
        <v>0</v>
      </c>
      <c r="Z2139" s="7">
        <f>IF(ISBLANK(patch[[#This Row],[project]]), "",COUNTIFS($A:$A,patch[[#This Row],[number]],$S:$S, "BJ And dev",$AD:$AD, "&lt;&gt;IntegratorValidationComment"))</f>
        <v>2</v>
      </c>
      <c r="AA2139" s="7">
        <f>IF(ISBLANK(patch[[#This Row],[project]]), "",COUNTIFS($A:$A,patch[[#This Row],[number]],$S:$S, "FL And dev",$AD:$AD, "&lt;&gt;IntegratorValidationComment"))</f>
        <v>0</v>
      </c>
      <c r="AB2139" s="7">
        <f>IF(ISBLANK(patch[[#This Row],[project]]), "",COUNTIFS($A:$A,patch[[#This Row],[number]],$S:$S, "SH And dev",$AD:$AD, "&lt;&gt;IntegratorValidationComment"))</f>
        <v>0</v>
      </c>
      <c r="AC2139" s="7" t="str">
        <f>IF(OR(ISNUMBER(FIND("Review-1", patch[[#This Row],[comments]])), ISNUMBER(FIND("Approver-1", patch[[#This Row],[comments]]))), "Review-1", "")</f>
        <v/>
      </c>
      <c r="AD21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39" s="7" t="str">
        <f>IF(ISBLANK(patch[[#This Row],[number]]),AE2138,patch[[#This Row],[ifCommon]])</f>
        <v>not AndrHAL</v>
      </c>
    </row>
    <row r="2140" spans="1:31">
      <c r="A2140" s="151">
        <v>143587</v>
      </c>
      <c r="B2140" s="151"/>
      <c r="C2140" s="151"/>
      <c r="D2140" s="151"/>
      <c r="E2140" s="151"/>
      <c r="F2140" s="151"/>
      <c r="G2140" s="151"/>
      <c r="H2140" s="151"/>
      <c r="I2140" s="151"/>
      <c r="J2140" s="152">
        <v>42621.694386574083</v>
      </c>
      <c r="K2140" s="151"/>
      <c r="L2140" s="151" t="s">
        <v>59</v>
      </c>
      <c r="M2140" s="152">
        <v>42619.812685185178</v>
      </c>
      <c r="N2140" s="151" t="s">
        <v>25</v>
      </c>
      <c r="O2140" s="151"/>
      <c r="P2140" s="151"/>
      <c r="Q2140" s="7" t="str">
        <f>IF(ISBLANK(patch[[#This Row],[OwnerEmail]]),Q2139,patch[[#This Row],[OwnerEmail]])</f>
        <v>xiaozhou.liu@intel.com</v>
      </c>
      <c r="R2140" s="7" t="str">
        <f>_xlfn.IFNA(VLOOKUP(patch[[#This Row],[tmp-owner.email]],OrgTree!$A:$K, 11, 0), "not ICG SWFW")</f>
        <v>BJ And dev</v>
      </c>
      <c r="S2140" s="7" t="str">
        <f>IF(patch[[#This Row],[reviewer]]=patch[[#This Row],[tmp-owner.email]], "author", _xlfn.IFNA(VLOOKUP(patch[[#This Row],[reviewer]],OrgTree!$A:$K, 11, 0), "not ICG SWFW"))</f>
        <v>author</v>
      </c>
      <c r="T2140" s="7" t="str">
        <f>IF(ISBLANK(patch[[#This Row],[mergeDate]]), "", MID(YEAR(patch[[#This Row],[mergeDate]]), 3,2)&amp;"'ww"&amp;WEEKNUM(patch[[#This Row],[mergeDate]]))</f>
        <v>16'ww37</v>
      </c>
      <c r="U2140" s="7" t="str">
        <f>IF(ISBLANK(patch[[#This Row],[mergeDate]]), U2139, MID(YEAR(patch[[#This Row],[mergeDate]]), 3,2)&amp;"'m"&amp;MONTH(patch[[#This Row],[mergeDate]]))</f>
        <v>16'm9</v>
      </c>
      <c r="V2140" s="7" t="str">
        <f>IF(ISBLANK(patch[[#This Row],[project]]), "",SUM(patch[[#This Row],[BJ -1 num]:[SH -1 num]]))</f>
        <v/>
      </c>
      <c r="W2140" s="7" t="str">
        <f>IF(ISBLANK(patch[[#This Row],[project]]), "",COUNTIFS($A:$A,patch[[#This Row],[number]],$S:$S, "BJ And dev",$AC:$AC, "Review-1"))</f>
        <v/>
      </c>
      <c r="X2140" s="7" t="str">
        <f>IF(ISBLANK(patch[[#This Row],[project]]), "",COUNTIFS($A:$A,patch[[#This Row],[number]],$S:$S, "FL And dev",$AC:$AC, "Review-1"))</f>
        <v/>
      </c>
      <c r="Y2140" s="7" t="str">
        <f>IF(ISBLANK(patch[[#This Row],[project]]), "",COUNTIFS($A:$A,patch[[#This Row],[number]],$S:$S, "SH And dev",$AC:$AC, "Review-1"))</f>
        <v/>
      </c>
      <c r="Z2140" s="7" t="str">
        <f>IF(ISBLANK(patch[[#This Row],[project]]), "",COUNTIFS($A:$A,patch[[#This Row],[number]],$S:$S, "BJ And dev",$AD:$AD, "&lt;&gt;IntegratorValidationComment"))</f>
        <v/>
      </c>
      <c r="AA2140" s="7" t="str">
        <f>IF(ISBLANK(patch[[#This Row],[project]]), "",COUNTIFS($A:$A,patch[[#This Row],[number]],$S:$S, "FL And dev",$AD:$AD, "&lt;&gt;IntegratorValidationComment"))</f>
        <v/>
      </c>
      <c r="AB2140" s="7" t="str">
        <f>IF(ISBLANK(patch[[#This Row],[project]]), "",COUNTIFS($A:$A,patch[[#This Row],[number]],$S:$S, "SH And dev",$AD:$AD, "&lt;&gt;IntegratorValidationComment"))</f>
        <v/>
      </c>
      <c r="AC2140" s="7" t="str">
        <f>IF(OR(ISNUMBER(FIND("Review-1", patch[[#This Row],[comments]])), ISNUMBER(FIND("Approver-1", patch[[#This Row],[comments]]))), "Review-1", "")</f>
        <v/>
      </c>
      <c r="AD21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40" s="7">
        <f>IF(ISBLANK(patch[[#This Row],[number]]),AE2139,patch[[#This Row],[ifCommon]])</f>
        <v>0</v>
      </c>
    </row>
    <row r="2141" spans="1:31">
      <c r="A2141" s="151">
        <v>143587</v>
      </c>
      <c r="B2141" s="151"/>
      <c r="C2141" s="151"/>
      <c r="D2141" s="151"/>
      <c r="E2141" s="151"/>
      <c r="F2141" s="151"/>
      <c r="G2141" s="151"/>
      <c r="H2141" s="151"/>
      <c r="I2141" s="151"/>
      <c r="J2141" s="152">
        <v>42621.694386574083</v>
      </c>
      <c r="K2141" s="151"/>
      <c r="L2141" s="151" t="s">
        <v>59</v>
      </c>
      <c r="M2141" s="152">
        <v>42619.813692129632</v>
      </c>
      <c r="N2141" s="151" t="s">
        <v>40</v>
      </c>
      <c r="O2141" s="151"/>
      <c r="P2141" s="151"/>
      <c r="Q2141" s="7" t="str">
        <f>IF(ISBLANK(patch[[#This Row],[OwnerEmail]]),Q2140,patch[[#This Row],[OwnerEmail]])</f>
        <v>xiaozhou.liu@intel.com</v>
      </c>
      <c r="R2141" s="7" t="str">
        <f>_xlfn.IFNA(VLOOKUP(patch[[#This Row],[tmp-owner.email]],OrgTree!$A:$K, 11, 0), "not ICG SWFW")</f>
        <v>BJ And dev</v>
      </c>
      <c r="S2141" s="7" t="str">
        <f>IF(patch[[#This Row],[reviewer]]=patch[[#This Row],[tmp-owner.email]], "author", _xlfn.IFNA(VLOOKUP(patch[[#This Row],[reviewer]],OrgTree!$A:$K, 11, 0), "not ICG SWFW"))</f>
        <v>author</v>
      </c>
      <c r="T2141" s="7" t="str">
        <f>IF(ISBLANK(patch[[#This Row],[mergeDate]]), "", MID(YEAR(patch[[#This Row],[mergeDate]]), 3,2)&amp;"'ww"&amp;WEEKNUM(patch[[#This Row],[mergeDate]]))</f>
        <v>16'ww37</v>
      </c>
      <c r="U2141" s="7" t="str">
        <f>IF(ISBLANK(patch[[#This Row],[mergeDate]]), U2140, MID(YEAR(patch[[#This Row],[mergeDate]]), 3,2)&amp;"'m"&amp;MONTH(patch[[#This Row],[mergeDate]]))</f>
        <v>16'm9</v>
      </c>
      <c r="V2141" s="7" t="str">
        <f>IF(ISBLANK(patch[[#This Row],[project]]), "",SUM(patch[[#This Row],[BJ -1 num]:[SH -1 num]]))</f>
        <v/>
      </c>
      <c r="W2141" s="7" t="str">
        <f>IF(ISBLANK(patch[[#This Row],[project]]), "",COUNTIFS($A:$A,patch[[#This Row],[number]],$S:$S, "BJ And dev",$AC:$AC, "Review-1"))</f>
        <v/>
      </c>
      <c r="X2141" s="7" t="str">
        <f>IF(ISBLANK(patch[[#This Row],[project]]), "",COUNTIFS($A:$A,patch[[#This Row],[number]],$S:$S, "FL And dev",$AC:$AC, "Review-1"))</f>
        <v/>
      </c>
      <c r="Y2141" s="7" t="str">
        <f>IF(ISBLANK(patch[[#This Row],[project]]), "",COUNTIFS($A:$A,patch[[#This Row],[number]],$S:$S, "SH And dev",$AC:$AC, "Review-1"))</f>
        <v/>
      </c>
      <c r="Z2141" s="7" t="str">
        <f>IF(ISBLANK(patch[[#This Row],[project]]), "",COUNTIFS($A:$A,patch[[#This Row],[number]],$S:$S, "BJ And dev",$AD:$AD, "&lt;&gt;IntegratorValidationComment"))</f>
        <v/>
      </c>
      <c r="AA2141" s="7" t="str">
        <f>IF(ISBLANK(patch[[#This Row],[project]]), "",COUNTIFS($A:$A,patch[[#This Row],[number]],$S:$S, "FL And dev",$AD:$AD, "&lt;&gt;IntegratorValidationComment"))</f>
        <v/>
      </c>
      <c r="AB2141" s="7" t="str">
        <f>IF(ISBLANK(patch[[#This Row],[project]]), "",COUNTIFS($A:$A,patch[[#This Row],[number]],$S:$S, "SH And dev",$AD:$AD, "&lt;&gt;IntegratorValidationComment"))</f>
        <v/>
      </c>
      <c r="AC2141" s="7" t="str">
        <f>IF(OR(ISNUMBER(FIND("Review-1", patch[[#This Row],[comments]])), ISNUMBER(FIND("Approver-1", patch[[#This Row],[comments]]))), "Review-1", "")</f>
        <v/>
      </c>
      <c r="AD21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41" s="7">
        <f>IF(ISBLANK(patch[[#This Row],[number]]),AE2140,patch[[#This Row],[ifCommon]])</f>
        <v>0</v>
      </c>
    </row>
    <row r="2142" spans="1:31">
      <c r="A2142" s="151">
        <v>143587</v>
      </c>
      <c r="B2142" s="151"/>
      <c r="C2142" s="151"/>
      <c r="D2142" s="151"/>
      <c r="E2142" s="151"/>
      <c r="F2142" s="151"/>
      <c r="G2142" s="151"/>
      <c r="H2142" s="151"/>
      <c r="I2142" s="151"/>
      <c r="J2142" s="152">
        <v>42621.694386574083</v>
      </c>
      <c r="K2142" s="151"/>
      <c r="L2142" s="151" t="s">
        <v>59</v>
      </c>
      <c r="M2142" s="152">
        <v>42619.821562500001</v>
      </c>
      <c r="N2142" s="151" t="s">
        <v>3643</v>
      </c>
      <c r="O2142" s="151"/>
      <c r="P2142" s="151"/>
      <c r="Q2142" s="7" t="str">
        <f>IF(ISBLANK(patch[[#This Row],[OwnerEmail]]),Q2141,patch[[#This Row],[OwnerEmail]])</f>
        <v>xiaozhou.liu@intel.com</v>
      </c>
      <c r="R2142" s="7" t="str">
        <f>_xlfn.IFNA(VLOOKUP(patch[[#This Row],[tmp-owner.email]],OrgTree!$A:$K, 11, 0), "not ICG SWFW")</f>
        <v>BJ And dev</v>
      </c>
      <c r="S2142" s="7" t="str">
        <f>IF(patch[[#This Row],[reviewer]]=patch[[#This Row],[tmp-owner.email]], "author", _xlfn.IFNA(VLOOKUP(patch[[#This Row],[reviewer]],OrgTree!$A:$K, 11, 0), "not ICG SWFW"))</f>
        <v>author</v>
      </c>
      <c r="T2142" s="7" t="str">
        <f>IF(ISBLANK(patch[[#This Row],[mergeDate]]), "", MID(YEAR(patch[[#This Row],[mergeDate]]), 3,2)&amp;"'ww"&amp;WEEKNUM(patch[[#This Row],[mergeDate]]))</f>
        <v>16'ww37</v>
      </c>
      <c r="U2142" s="7" t="str">
        <f>IF(ISBLANK(patch[[#This Row],[mergeDate]]), U2141, MID(YEAR(patch[[#This Row],[mergeDate]]), 3,2)&amp;"'m"&amp;MONTH(patch[[#This Row],[mergeDate]]))</f>
        <v>16'm9</v>
      </c>
      <c r="V2142" s="7" t="str">
        <f>IF(ISBLANK(patch[[#This Row],[project]]), "",SUM(patch[[#This Row],[BJ -1 num]:[SH -1 num]]))</f>
        <v/>
      </c>
      <c r="W2142" s="7" t="str">
        <f>IF(ISBLANK(patch[[#This Row],[project]]), "",COUNTIFS($A:$A,patch[[#This Row],[number]],$S:$S, "BJ And dev",$AC:$AC, "Review-1"))</f>
        <v/>
      </c>
      <c r="X2142" s="7" t="str">
        <f>IF(ISBLANK(patch[[#This Row],[project]]), "",COUNTIFS($A:$A,patch[[#This Row],[number]],$S:$S, "FL And dev",$AC:$AC, "Review-1"))</f>
        <v/>
      </c>
      <c r="Y2142" s="7" t="str">
        <f>IF(ISBLANK(patch[[#This Row],[project]]), "",COUNTIFS($A:$A,patch[[#This Row],[number]],$S:$S, "SH And dev",$AC:$AC, "Review-1"))</f>
        <v/>
      </c>
      <c r="Z2142" s="7" t="str">
        <f>IF(ISBLANK(patch[[#This Row],[project]]), "",COUNTIFS($A:$A,patch[[#This Row],[number]],$S:$S, "BJ And dev",$AD:$AD, "&lt;&gt;IntegratorValidationComment"))</f>
        <v/>
      </c>
      <c r="AA2142" s="7" t="str">
        <f>IF(ISBLANK(patch[[#This Row],[project]]), "",COUNTIFS($A:$A,patch[[#This Row],[number]],$S:$S, "FL And dev",$AD:$AD, "&lt;&gt;IntegratorValidationComment"))</f>
        <v/>
      </c>
      <c r="AB2142" s="7" t="str">
        <f>IF(ISBLANK(patch[[#This Row],[project]]), "",COUNTIFS($A:$A,patch[[#This Row],[number]],$S:$S, "SH And dev",$AD:$AD, "&lt;&gt;IntegratorValidationComment"))</f>
        <v/>
      </c>
      <c r="AC2142" s="7" t="str">
        <f>IF(OR(ISNUMBER(FIND("Review-1", patch[[#This Row],[comments]])), ISNUMBER(FIND("Approver-1", patch[[#This Row],[comments]]))), "Review-1", "")</f>
        <v/>
      </c>
      <c r="AD21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42" s="7">
        <f>IF(ISBLANK(patch[[#This Row],[number]]),AE2141,patch[[#This Row],[ifCommon]])</f>
        <v>0</v>
      </c>
    </row>
    <row r="2143" spans="1:31">
      <c r="A2143" s="151">
        <v>143587</v>
      </c>
      <c r="B2143" s="151"/>
      <c r="C2143" s="151"/>
      <c r="D2143" s="151"/>
      <c r="E2143" s="151"/>
      <c r="F2143" s="151"/>
      <c r="G2143" s="151"/>
      <c r="H2143" s="151"/>
      <c r="I2143" s="151"/>
      <c r="J2143" s="152">
        <v>42621.694386574083</v>
      </c>
      <c r="K2143" s="151"/>
      <c r="L2143" s="151" t="s">
        <v>55</v>
      </c>
      <c r="M2143" s="152">
        <v>42620.653344907398</v>
      </c>
      <c r="N2143" s="151" t="s">
        <v>40</v>
      </c>
      <c r="O2143" s="151"/>
      <c r="P2143" s="151"/>
      <c r="Q2143" s="7" t="str">
        <f>IF(ISBLANK(patch[[#This Row],[OwnerEmail]]),Q2142,patch[[#This Row],[OwnerEmail]])</f>
        <v>xiaozhou.liu@intel.com</v>
      </c>
      <c r="R2143" s="7" t="str">
        <f>_xlfn.IFNA(VLOOKUP(patch[[#This Row],[tmp-owner.email]],OrgTree!$A:$K, 11, 0), "not ICG SWFW")</f>
        <v>BJ And dev</v>
      </c>
      <c r="S2143" s="7" t="str">
        <f>IF(patch[[#This Row],[reviewer]]=patch[[#This Row],[tmp-owner.email]], "author", _xlfn.IFNA(VLOOKUP(patch[[#This Row],[reviewer]],OrgTree!$A:$K, 11, 0), "not ICG SWFW"))</f>
        <v>BJ And dev</v>
      </c>
      <c r="T2143" s="7" t="str">
        <f>IF(ISBLANK(patch[[#This Row],[mergeDate]]), "", MID(YEAR(patch[[#This Row],[mergeDate]]), 3,2)&amp;"'ww"&amp;WEEKNUM(patch[[#This Row],[mergeDate]]))</f>
        <v>16'ww37</v>
      </c>
      <c r="U2143" s="7" t="str">
        <f>IF(ISBLANK(patch[[#This Row],[mergeDate]]), U2142, MID(YEAR(patch[[#This Row],[mergeDate]]), 3,2)&amp;"'m"&amp;MONTH(patch[[#This Row],[mergeDate]]))</f>
        <v>16'm9</v>
      </c>
      <c r="V2143" s="7" t="str">
        <f>IF(ISBLANK(patch[[#This Row],[project]]), "",SUM(patch[[#This Row],[BJ -1 num]:[SH -1 num]]))</f>
        <v/>
      </c>
      <c r="W2143" s="7" t="str">
        <f>IF(ISBLANK(patch[[#This Row],[project]]), "",COUNTIFS($A:$A,patch[[#This Row],[number]],$S:$S, "BJ And dev",$AC:$AC, "Review-1"))</f>
        <v/>
      </c>
      <c r="X2143" s="7" t="str">
        <f>IF(ISBLANK(patch[[#This Row],[project]]), "",COUNTIFS($A:$A,patch[[#This Row],[number]],$S:$S, "FL And dev",$AC:$AC, "Review-1"))</f>
        <v/>
      </c>
      <c r="Y2143" s="7" t="str">
        <f>IF(ISBLANK(patch[[#This Row],[project]]), "",COUNTIFS($A:$A,patch[[#This Row],[number]],$S:$S, "SH And dev",$AC:$AC, "Review-1"))</f>
        <v/>
      </c>
      <c r="Z2143" s="7" t="str">
        <f>IF(ISBLANK(patch[[#This Row],[project]]), "",COUNTIFS($A:$A,patch[[#This Row],[number]],$S:$S, "BJ And dev",$AD:$AD, "&lt;&gt;IntegratorValidationComment"))</f>
        <v/>
      </c>
      <c r="AA2143" s="7" t="str">
        <f>IF(ISBLANK(patch[[#This Row],[project]]), "",COUNTIFS($A:$A,patch[[#This Row],[number]],$S:$S, "FL And dev",$AD:$AD, "&lt;&gt;IntegratorValidationComment"))</f>
        <v/>
      </c>
      <c r="AB2143" s="7" t="str">
        <f>IF(ISBLANK(patch[[#This Row],[project]]), "",COUNTIFS($A:$A,patch[[#This Row],[number]],$S:$S, "SH And dev",$AD:$AD, "&lt;&gt;IntegratorValidationComment"))</f>
        <v/>
      </c>
      <c r="AC2143" s="7" t="str">
        <f>IF(OR(ISNUMBER(FIND("Review-1", patch[[#This Row],[comments]])), ISNUMBER(FIND("Approver-1", patch[[#This Row],[comments]]))), "Review-1", "")</f>
        <v/>
      </c>
      <c r="AD21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43" s="7">
        <f>IF(ISBLANK(patch[[#This Row],[number]]),AE2142,patch[[#This Row],[ifCommon]])</f>
        <v>0</v>
      </c>
    </row>
    <row r="2144" spans="1:31">
      <c r="A2144" s="151">
        <v>143587</v>
      </c>
      <c r="B2144" s="151"/>
      <c r="C2144" s="151"/>
      <c r="D2144" s="151"/>
      <c r="E2144" s="151"/>
      <c r="F2144" s="151"/>
      <c r="G2144" s="151"/>
      <c r="H2144" s="151"/>
      <c r="I2144" s="151"/>
      <c r="J2144" s="152">
        <v>42621.694386574083</v>
      </c>
      <c r="K2144" s="151"/>
      <c r="L2144" s="151" t="s">
        <v>32</v>
      </c>
      <c r="M2144" s="152">
        <v>42620.789363425924</v>
      </c>
      <c r="N2144" s="151" t="s">
        <v>1880</v>
      </c>
      <c r="O2144" s="151"/>
      <c r="P2144" s="151"/>
      <c r="Q2144" s="7" t="str">
        <f>IF(ISBLANK(patch[[#This Row],[OwnerEmail]]),Q2143,patch[[#This Row],[OwnerEmail]])</f>
        <v>xiaozhou.liu@intel.com</v>
      </c>
      <c r="R2144" s="7" t="str">
        <f>_xlfn.IFNA(VLOOKUP(patch[[#This Row],[tmp-owner.email]],OrgTree!$A:$K, 11, 0), "not ICG SWFW")</f>
        <v>BJ And dev</v>
      </c>
      <c r="S2144" s="7" t="str">
        <f>IF(patch[[#This Row],[reviewer]]=patch[[#This Row],[tmp-owner.email]], "author", _xlfn.IFNA(VLOOKUP(patch[[#This Row],[reviewer]],OrgTree!$A:$K, 11, 0), "not ICG SWFW"))</f>
        <v>BJ And dev</v>
      </c>
      <c r="T2144" s="7" t="str">
        <f>IF(ISBLANK(patch[[#This Row],[mergeDate]]), "", MID(YEAR(patch[[#This Row],[mergeDate]]), 3,2)&amp;"'ww"&amp;WEEKNUM(patch[[#This Row],[mergeDate]]))</f>
        <v>16'ww37</v>
      </c>
      <c r="U2144" s="7" t="str">
        <f>IF(ISBLANK(patch[[#This Row],[mergeDate]]), U2143, MID(YEAR(patch[[#This Row],[mergeDate]]), 3,2)&amp;"'m"&amp;MONTH(patch[[#This Row],[mergeDate]]))</f>
        <v>16'm9</v>
      </c>
      <c r="V2144" s="7" t="str">
        <f>IF(ISBLANK(patch[[#This Row],[project]]), "",SUM(patch[[#This Row],[BJ -1 num]:[SH -1 num]]))</f>
        <v/>
      </c>
      <c r="W2144" s="7" t="str">
        <f>IF(ISBLANK(patch[[#This Row],[project]]), "",COUNTIFS($A:$A,patch[[#This Row],[number]],$S:$S, "BJ And dev",$AC:$AC, "Review-1"))</f>
        <v/>
      </c>
      <c r="X2144" s="7" t="str">
        <f>IF(ISBLANK(patch[[#This Row],[project]]), "",COUNTIFS($A:$A,patch[[#This Row],[number]],$S:$S, "FL And dev",$AC:$AC, "Review-1"))</f>
        <v/>
      </c>
      <c r="Y2144" s="7" t="str">
        <f>IF(ISBLANK(patch[[#This Row],[project]]), "",COUNTIFS($A:$A,patch[[#This Row],[number]],$S:$S, "SH And dev",$AC:$AC, "Review-1"))</f>
        <v/>
      </c>
      <c r="Z2144" s="7" t="str">
        <f>IF(ISBLANK(patch[[#This Row],[project]]), "",COUNTIFS($A:$A,patch[[#This Row],[number]],$S:$S, "BJ And dev",$AD:$AD, "&lt;&gt;IntegratorValidationComment"))</f>
        <v/>
      </c>
      <c r="AA2144" s="7" t="str">
        <f>IF(ISBLANK(patch[[#This Row],[project]]), "",COUNTIFS($A:$A,patch[[#This Row],[number]],$S:$S, "FL And dev",$AD:$AD, "&lt;&gt;IntegratorValidationComment"))</f>
        <v/>
      </c>
      <c r="AB2144" s="7" t="str">
        <f>IF(ISBLANK(patch[[#This Row],[project]]), "",COUNTIFS($A:$A,patch[[#This Row],[number]],$S:$S, "SH And dev",$AD:$AD, "&lt;&gt;IntegratorValidationComment"))</f>
        <v/>
      </c>
      <c r="AC2144" s="7" t="str">
        <f>IF(OR(ISNUMBER(FIND("Review-1", patch[[#This Row],[comments]])), ISNUMBER(FIND("Approver-1", patch[[#This Row],[comments]]))), "Review-1", "")</f>
        <v/>
      </c>
      <c r="AD21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44" s="7">
        <f>IF(ISBLANK(patch[[#This Row],[number]]),AE2143,patch[[#This Row],[ifCommon]])</f>
        <v>0</v>
      </c>
    </row>
    <row r="2145" spans="1:31">
      <c r="A2145" s="151">
        <v>143587</v>
      </c>
      <c r="B2145" s="151"/>
      <c r="C2145" s="151"/>
      <c r="D2145" s="151"/>
      <c r="E2145" s="151"/>
      <c r="F2145" s="151"/>
      <c r="G2145" s="151"/>
      <c r="H2145" s="151"/>
      <c r="I2145" s="151"/>
      <c r="J2145" s="152">
        <v>42621.694386574083</v>
      </c>
      <c r="K2145" s="151"/>
      <c r="L2145" s="151" t="s">
        <v>115</v>
      </c>
      <c r="M2145" s="152">
        <v>42621.419641203713</v>
      </c>
      <c r="N2145" s="151" t="s">
        <v>2494</v>
      </c>
      <c r="O2145" s="151"/>
      <c r="P2145" s="151"/>
      <c r="Q2145" s="7" t="str">
        <f>IF(ISBLANK(patch[[#This Row],[OwnerEmail]]),Q2144,patch[[#This Row],[OwnerEmail]])</f>
        <v>xiaozhou.liu@intel.com</v>
      </c>
      <c r="R2145" s="7" t="str">
        <f>_xlfn.IFNA(VLOOKUP(patch[[#This Row],[tmp-owner.email]],OrgTree!$A:$K, 11, 0), "not ICG SWFW")</f>
        <v>BJ And dev</v>
      </c>
      <c r="S2145" s="7" t="str">
        <f>IF(patch[[#This Row],[reviewer]]=patch[[#This Row],[tmp-owner.email]], "author", _xlfn.IFNA(VLOOKUP(patch[[#This Row],[reviewer]],OrgTree!$A:$K, 11, 0), "not ICG SWFW"))</f>
        <v>Val</v>
      </c>
      <c r="T2145" s="7" t="str">
        <f>IF(ISBLANK(patch[[#This Row],[mergeDate]]), "", MID(YEAR(patch[[#This Row],[mergeDate]]), 3,2)&amp;"'ww"&amp;WEEKNUM(patch[[#This Row],[mergeDate]]))</f>
        <v>16'ww37</v>
      </c>
      <c r="U2145" s="7" t="str">
        <f>IF(ISBLANK(patch[[#This Row],[mergeDate]]), U2144, MID(YEAR(patch[[#This Row],[mergeDate]]), 3,2)&amp;"'m"&amp;MONTH(patch[[#This Row],[mergeDate]]))</f>
        <v>16'm9</v>
      </c>
      <c r="V2145" s="7" t="str">
        <f>IF(ISBLANK(patch[[#This Row],[project]]), "",SUM(patch[[#This Row],[BJ -1 num]:[SH -1 num]]))</f>
        <v/>
      </c>
      <c r="W2145" s="7" t="str">
        <f>IF(ISBLANK(patch[[#This Row],[project]]), "",COUNTIFS($A:$A,patch[[#This Row],[number]],$S:$S, "BJ And dev",$AC:$AC, "Review-1"))</f>
        <v/>
      </c>
      <c r="X2145" s="7" t="str">
        <f>IF(ISBLANK(patch[[#This Row],[project]]), "",COUNTIFS($A:$A,patch[[#This Row],[number]],$S:$S, "FL And dev",$AC:$AC, "Review-1"))</f>
        <v/>
      </c>
      <c r="Y2145" s="7" t="str">
        <f>IF(ISBLANK(patch[[#This Row],[project]]), "",COUNTIFS($A:$A,patch[[#This Row],[number]],$S:$S, "SH And dev",$AC:$AC, "Review-1"))</f>
        <v/>
      </c>
      <c r="Z2145" s="7" t="str">
        <f>IF(ISBLANK(patch[[#This Row],[project]]), "",COUNTIFS($A:$A,patch[[#This Row],[number]],$S:$S, "BJ And dev",$AD:$AD, "&lt;&gt;IntegratorValidationComment"))</f>
        <v/>
      </c>
      <c r="AA2145" s="7" t="str">
        <f>IF(ISBLANK(patch[[#This Row],[project]]), "",COUNTIFS($A:$A,patch[[#This Row],[number]],$S:$S, "FL And dev",$AD:$AD, "&lt;&gt;IntegratorValidationComment"))</f>
        <v/>
      </c>
      <c r="AB2145" s="7" t="str">
        <f>IF(ISBLANK(patch[[#This Row],[project]]), "",COUNTIFS($A:$A,patch[[#This Row],[number]],$S:$S, "SH And dev",$AD:$AD, "&lt;&gt;IntegratorValidationComment"))</f>
        <v/>
      </c>
      <c r="AC2145" s="7" t="str">
        <f>IF(OR(ISNUMBER(FIND("Review-1", patch[[#This Row],[comments]])), ISNUMBER(FIND("Approver-1", patch[[#This Row],[comments]]))), "Review-1", "")</f>
        <v/>
      </c>
      <c r="AD21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145" s="7">
        <f>IF(ISBLANK(patch[[#This Row],[number]]),AE2144,patch[[#This Row],[ifCommon]])</f>
        <v>0</v>
      </c>
    </row>
    <row r="2146" spans="1:31">
      <c r="A2146" s="151">
        <v>143587</v>
      </c>
      <c r="B2146" s="151"/>
      <c r="C2146" s="151"/>
      <c r="D2146" s="151"/>
      <c r="E2146" s="151"/>
      <c r="F2146" s="151"/>
      <c r="G2146" s="151"/>
      <c r="H2146" s="151"/>
      <c r="I2146" s="151"/>
      <c r="J2146" s="152">
        <v>42621.694386574083</v>
      </c>
      <c r="K2146" s="151"/>
      <c r="L2146" s="151" t="s">
        <v>115</v>
      </c>
      <c r="M2146" s="152">
        <v>42621.489039351851</v>
      </c>
      <c r="N2146" s="151" t="s">
        <v>2571</v>
      </c>
      <c r="O2146" s="151"/>
      <c r="P2146" s="151"/>
      <c r="Q2146" s="7" t="str">
        <f>IF(ISBLANK(patch[[#This Row],[OwnerEmail]]),Q2145,patch[[#This Row],[OwnerEmail]])</f>
        <v>xiaozhou.liu@intel.com</v>
      </c>
      <c r="R2146" s="7" t="str">
        <f>_xlfn.IFNA(VLOOKUP(patch[[#This Row],[tmp-owner.email]],OrgTree!$A:$K, 11, 0), "not ICG SWFW")</f>
        <v>BJ And dev</v>
      </c>
      <c r="S2146" s="7" t="str">
        <f>IF(patch[[#This Row],[reviewer]]=patch[[#This Row],[tmp-owner.email]], "author", _xlfn.IFNA(VLOOKUP(patch[[#This Row],[reviewer]],OrgTree!$A:$K, 11, 0), "not ICG SWFW"))</f>
        <v>Val</v>
      </c>
      <c r="T2146" s="7" t="str">
        <f>IF(ISBLANK(patch[[#This Row],[mergeDate]]), "", MID(YEAR(patch[[#This Row],[mergeDate]]), 3,2)&amp;"'ww"&amp;WEEKNUM(patch[[#This Row],[mergeDate]]))</f>
        <v>16'ww37</v>
      </c>
      <c r="U2146" s="7" t="str">
        <f>IF(ISBLANK(patch[[#This Row],[mergeDate]]), U2145, MID(YEAR(patch[[#This Row],[mergeDate]]), 3,2)&amp;"'m"&amp;MONTH(patch[[#This Row],[mergeDate]]))</f>
        <v>16'm9</v>
      </c>
      <c r="V2146" s="7" t="str">
        <f>IF(ISBLANK(patch[[#This Row],[project]]), "",SUM(patch[[#This Row],[BJ -1 num]:[SH -1 num]]))</f>
        <v/>
      </c>
      <c r="W2146" s="7" t="str">
        <f>IF(ISBLANK(patch[[#This Row],[project]]), "",COUNTIFS($A:$A,patch[[#This Row],[number]],$S:$S, "BJ And dev",$AC:$AC, "Review-1"))</f>
        <v/>
      </c>
      <c r="X2146" s="7" t="str">
        <f>IF(ISBLANK(patch[[#This Row],[project]]), "",COUNTIFS($A:$A,patch[[#This Row],[number]],$S:$S, "FL And dev",$AC:$AC, "Review-1"))</f>
        <v/>
      </c>
      <c r="Y2146" s="7" t="str">
        <f>IF(ISBLANK(patch[[#This Row],[project]]), "",COUNTIFS($A:$A,patch[[#This Row],[number]],$S:$S, "SH And dev",$AC:$AC, "Review-1"))</f>
        <v/>
      </c>
      <c r="Z2146" s="7" t="str">
        <f>IF(ISBLANK(patch[[#This Row],[project]]), "",COUNTIFS($A:$A,patch[[#This Row],[number]],$S:$S, "BJ And dev",$AD:$AD, "&lt;&gt;IntegratorValidationComment"))</f>
        <v/>
      </c>
      <c r="AA2146" s="7" t="str">
        <f>IF(ISBLANK(patch[[#This Row],[project]]), "",COUNTIFS($A:$A,patch[[#This Row],[number]],$S:$S, "FL And dev",$AD:$AD, "&lt;&gt;IntegratorValidationComment"))</f>
        <v/>
      </c>
      <c r="AB2146" s="7" t="str">
        <f>IF(ISBLANK(patch[[#This Row],[project]]), "",COUNTIFS($A:$A,patch[[#This Row],[number]],$S:$S, "SH And dev",$AD:$AD, "&lt;&gt;IntegratorValidationComment"))</f>
        <v/>
      </c>
      <c r="AC2146" s="7" t="str">
        <f>IF(OR(ISNUMBER(FIND("Review-1", patch[[#This Row],[comments]])), ISNUMBER(FIND("Approver-1", patch[[#This Row],[comments]]))), "Review-1", "")</f>
        <v/>
      </c>
      <c r="AD21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146" s="7">
        <f>IF(ISBLANK(patch[[#This Row],[number]]),AE2145,patch[[#This Row],[ifCommon]])</f>
        <v>0</v>
      </c>
    </row>
    <row r="2147" spans="1:31">
      <c r="A2147" s="151">
        <v>143587</v>
      </c>
      <c r="B2147" s="151"/>
      <c r="C2147" s="151"/>
      <c r="D2147" s="151"/>
      <c r="E2147" s="151"/>
      <c r="F2147" s="151"/>
      <c r="G2147" s="151"/>
      <c r="H2147" s="151"/>
      <c r="I2147" s="151"/>
      <c r="J2147" s="152">
        <v>42621.694386574083</v>
      </c>
      <c r="K2147" s="151"/>
      <c r="L2147" s="151" t="s">
        <v>115</v>
      </c>
      <c r="M2147" s="152">
        <v>42621.492384259262</v>
      </c>
      <c r="N2147" s="151" t="s">
        <v>2494</v>
      </c>
      <c r="O2147" s="151"/>
      <c r="P2147" s="151"/>
      <c r="Q2147" s="7" t="str">
        <f>IF(ISBLANK(patch[[#This Row],[OwnerEmail]]),Q2146,patch[[#This Row],[OwnerEmail]])</f>
        <v>xiaozhou.liu@intel.com</v>
      </c>
      <c r="R2147" s="7" t="str">
        <f>_xlfn.IFNA(VLOOKUP(patch[[#This Row],[tmp-owner.email]],OrgTree!$A:$K, 11, 0), "not ICG SWFW")</f>
        <v>BJ And dev</v>
      </c>
      <c r="S2147" s="7" t="str">
        <f>IF(patch[[#This Row],[reviewer]]=patch[[#This Row],[tmp-owner.email]], "author", _xlfn.IFNA(VLOOKUP(patch[[#This Row],[reviewer]],OrgTree!$A:$K, 11, 0), "not ICG SWFW"))</f>
        <v>Val</v>
      </c>
      <c r="T2147" s="7" t="str">
        <f>IF(ISBLANK(patch[[#This Row],[mergeDate]]), "", MID(YEAR(patch[[#This Row],[mergeDate]]), 3,2)&amp;"'ww"&amp;WEEKNUM(patch[[#This Row],[mergeDate]]))</f>
        <v>16'ww37</v>
      </c>
      <c r="U2147" s="7" t="str">
        <f>IF(ISBLANK(patch[[#This Row],[mergeDate]]), U2146, MID(YEAR(patch[[#This Row],[mergeDate]]), 3,2)&amp;"'m"&amp;MONTH(patch[[#This Row],[mergeDate]]))</f>
        <v>16'm9</v>
      </c>
      <c r="V2147" s="7" t="str">
        <f>IF(ISBLANK(patch[[#This Row],[project]]), "",SUM(patch[[#This Row],[BJ -1 num]:[SH -1 num]]))</f>
        <v/>
      </c>
      <c r="W2147" s="7" t="str">
        <f>IF(ISBLANK(patch[[#This Row],[project]]), "",COUNTIFS($A:$A,patch[[#This Row],[number]],$S:$S, "BJ And dev",$AC:$AC, "Review-1"))</f>
        <v/>
      </c>
      <c r="X2147" s="7" t="str">
        <f>IF(ISBLANK(patch[[#This Row],[project]]), "",COUNTIFS($A:$A,patch[[#This Row],[number]],$S:$S, "FL And dev",$AC:$AC, "Review-1"))</f>
        <v/>
      </c>
      <c r="Y2147" s="7" t="str">
        <f>IF(ISBLANK(patch[[#This Row],[project]]), "",COUNTIFS($A:$A,patch[[#This Row],[number]],$S:$S, "SH And dev",$AC:$AC, "Review-1"))</f>
        <v/>
      </c>
      <c r="Z2147" s="7" t="str">
        <f>IF(ISBLANK(patch[[#This Row],[project]]), "",COUNTIFS($A:$A,patch[[#This Row],[number]],$S:$S, "BJ And dev",$AD:$AD, "&lt;&gt;IntegratorValidationComment"))</f>
        <v/>
      </c>
      <c r="AA2147" s="7" t="str">
        <f>IF(ISBLANK(patch[[#This Row],[project]]), "",COUNTIFS($A:$A,patch[[#This Row],[number]],$S:$S, "FL And dev",$AD:$AD, "&lt;&gt;IntegratorValidationComment"))</f>
        <v/>
      </c>
      <c r="AB2147" s="7" t="str">
        <f>IF(ISBLANK(patch[[#This Row],[project]]), "",COUNTIFS($A:$A,patch[[#This Row],[number]],$S:$S, "SH And dev",$AD:$AD, "&lt;&gt;IntegratorValidationComment"))</f>
        <v/>
      </c>
      <c r="AC2147" s="7" t="str">
        <f>IF(OR(ISNUMBER(FIND("Review-1", patch[[#This Row],[comments]])), ISNUMBER(FIND("Approver-1", patch[[#This Row],[comments]]))), "Review-1", "")</f>
        <v/>
      </c>
      <c r="AD21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147" s="7">
        <f>IF(ISBLANK(patch[[#This Row],[number]]),AE2146,patch[[#This Row],[ifCommon]])</f>
        <v>0</v>
      </c>
    </row>
    <row r="2148" spans="1:31">
      <c r="A2148" s="151">
        <v>143757</v>
      </c>
      <c r="B2148" s="151" t="s">
        <v>2490</v>
      </c>
      <c r="C2148" s="151" t="s">
        <v>2491</v>
      </c>
      <c r="D2148" s="151" t="s">
        <v>3644</v>
      </c>
      <c r="E2148" s="151" t="s">
        <v>24</v>
      </c>
      <c r="F2148" s="151" t="s">
        <v>23</v>
      </c>
      <c r="G2148" s="151" t="s">
        <v>3645</v>
      </c>
      <c r="H2148" s="151" t="s">
        <v>3646</v>
      </c>
      <c r="I2148" s="152">
        <v>42620.489988425928</v>
      </c>
      <c r="J2148" s="152">
        <v>42620.6796875</v>
      </c>
      <c r="K2148" s="151" t="s">
        <v>2445</v>
      </c>
      <c r="L2148" s="151" t="s">
        <v>24</v>
      </c>
      <c r="M2148" s="152">
        <v>42620.489988425928</v>
      </c>
      <c r="N2148" s="151" t="s">
        <v>25</v>
      </c>
      <c r="O2148" s="151"/>
      <c r="P2148" s="151" t="s">
        <v>3542</v>
      </c>
      <c r="Q2148" s="7" t="str">
        <f>IF(ISBLANK(patch[[#This Row],[OwnerEmail]]),Q2147,patch[[#This Row],[OwnerEmail]])</f>
        <v>qingwu.zhang@intel.com</v>
      </c>
      <c r="R2148" s="7" t="str">
        <f>_xlfn.IFNA(VLOOKUP(patch[[#This Row],[tmp-owner.email]],OrgTree!$A:$K, 11, 0), "not ICG SWFW")</f>
        <v>BJ And dev</v>
      </c>
      <c r="S2148" s="7" t="str">
        <f>IF(patch[[#This Row],[reviewer]]=patch[[#This Row],[tmp-owner.email]], "author", _xlfn.IFNA(VLOOKUP(patch[[#This Row],[reviewer]],OrgTree!$A:$K, 11, 0), "not ICG SWFW"))</f>
        <v>author</v>
      </c>
      <c r="T2148" s="7" t="str">
        <f>IF(ISBLANK(patch[[#This Row],[mergeDate]]), "", MID(YEAR(patch[[#This Row],[mergeDate]]), 3,2)&amp;"'ww"&amp;WEEKNUM(patch[[#This Row],[mergeDate]]))</f>
        <v>16'ww37</v>
      </c>
      <c r="U2148" s="7" t="str">
        <f>IF(ISBLANK(patch[[#This Row],[mergeDate]]), U2147, MID(YEAR(patch[[#This Row],[mergeDate]]), 3,2)&amp;"'m"&amp;MONTH(patch[[#This Row],[mergeDate]]))</f>
        <v>16'm9</v>
      </c>
      <c r="V2148" s="7">
        <f>IF(ISBLANK(patch[[#This Row],[project]]), "",SUM(patch[[#This Row],[BJ -1 num]:[SH -1 num]]))</f>
        <v>0</v>
      </c>
      <c r="W2148" s="7">
        <f>IF(ISBLANK(patch[[#This Row],[project]]), "",COUNTIFS($A:$A,patch[[#This Row],[number]],$S:$S, "BJ And dev",$AC:$AC, "Review-1"))</f>
        <v>0</v>
      </c>
      <c r="X2148" s="7">
        <f>IF(ISBLANK(patch[[#This Row],[project]]), "",COUNTIFS($A:$A,patch[[#This Row],[number]],$S:$S, "FL And dev",$AC:$AC, "Review-1"))</f>
        <v>0</v>
      </c>
      <c r="Y2148" s="7">
        <f>IF(ISBLANK(patch[[#This Row],[project]]), "",COUNTIFS($A:$A,patch[[#This Row],[number]],$S:$S, "SH And dev",$AC:$AC, "Review-1"))</f>
        <v>0</v>
      </c>
      <c r="Z2148" s="7">
        <f>IF(ISBLANK(patch[[#This Row],[project]]), "",COUNTIFS($A:$A,patch[[#This Row],[number]],$S:$S, "BJ And dev",$AD:$AD, "&lt;&gt;IntegratorValidationComment"))</f>
        <v>6</v>
      </c>
      <c r="AA2148" s="7">
        <f>IF(ISBLANK(patch[[#This Row],[project]]), "",COUNTIFS($A:$A,patch[[#This Row],[number]],$S:$S, "FL And dev",$AD:$AD, "&lt;&gt;IntegratorValidationComment"))</f>
        <v>0</v>
      </c>
      <c r="AB2148" s="7">
        <f>IF(ISBLANK(patch[[#This Row],[project]]), "",COUNTIFS($A:$A,patch[[#This Row],[number]],$S:$S, "SH And dev",$AD:$AD, "&lt;&gt;IntegratorValidationComment"))</f>
        <v>0</v>
      </c>
      <c r="AC2148" s="7" t="str">
        <f>IF(OR(ISNUMBER(FIND("Review-1", patch[[#This Row],[comments]])), ISNUMBER(FIND("Approver-1", patch[[#This Row],[comments]]))), "Review-1", "")</f>
        <v/>
      </c>
      <c r="AD21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48" s="7" t="str">
        <f>IF(ISBLANK(patch[[#This Row],[number]]),AE2147,patch[[#This Row],[ifCommon]])</f>
        <v>not AndrHAL</v>
      </c>
    </row>
    <row r="2149" spans="1:31">
      <c r="A2149" s="151">
        <v>143757</v>
      </c>
      <c r="B2149" s="151"/>
      <c r="C2149" s="151"/>
      <c r="D2149" s="151"/>
      <c r="E2149" s="151"/>
      <c r="F2149" s="151"/>
      <c r="G2149" s="151"/>
      <c r="H2149" s="151"/>
      <c r="I2149" s="151"/>
      <c r="J2149" s="152">
        <v>42620.6796875</v>
      </c>
      <c r="K2149" s="151"/>
      <c r="L2149" s="151" t="s">
        <v>24</v>
      </c>
      <c r="M2149" s="152">
        <v>42620.489988425928</v>
      </c>
      <c r="N2149" s="151" t="s">
        <v>2458</v>
      </c>
      <c r="O2149" s="151"/>
      <c r="P2149" s="151"/>
      <c r="Q2149" s="7" t="str">
        <f>IF(ISBLANK(patch[[#This Row],[OwnerEmail]]),Q2148,patch[[#This Row],[OwnerEmail]])</f>
        <v>qingwu.zhang@intel.com</v>
      </c>
      <c r="R2149" s="7" t="str">
        <f>_xlfn.IFNA(VLOOKUP(patch[[#This Row],[tmp-owner.email]],OrgTree!$A:$K, 11, 0), "not ICG SWFW")</f>
        <v>BJ And dev</v>
      </c>
      <c r="S2149" s="7" t="str">
        <f>IF(patch[[#This Row],[reviewer]]=patch[[#This Row],[tmp-owner.email]], "author", _xlfn.IFNA(VLOOKUP(patch[[#This Row],[reviewer]],OrgTree!$A:$K, 11, 0), "not ICG SWFW"))</f>
        <v>author</v>
      </c>
      <c r="T2149" s="7" t="str">
        <f>IF(ISBLANK(patch[[#This Row],[mergeDate]]), "", MID(YEAR(patch[[#This Row],[mergeDate]]), 3,2)&amp;"'ww"&amp;WEEKNUM(patch[[#This Row],[mergeDate]]))</f>
        <v>16'ww37</v>
      </c>
      <c r="U2149" s="7" t="str">
        <f>IF(ISBLANK(patch[[#This Row],[mergeDate]]), U2148, MID(YEAR(patch[[#This Row],[mergeDate]]), 3,2)&amp;"'m"&amp;MONTH(patch[[#This Row],[mergeDate]]))</f>
        <v>16'm9</v>
      </c>
      <c r="V2149" s="7" t="str">
        <f>IF(ISBLANK(patch[[#This Row],[project]]), "",SUM(patch[[#This Row],[BJ -1 num]:[SH -1 num]]))</f>
        <v/>
      </c>
      <c r="W2149" s="7" t="str">
        <f>IF(ISBLANK(patch[[#This Row],[project]]), "",COUNTIFS($A:$A,patch[[#This Row],[number]],$S:$S, "BJ And dev",$AC:$AC, "Review-1"))</f>
        <v/>
      </c>
      <c r="X2149" s="7" t="str">
        <f>IF(ISBLANK(patch[[#This Row],[project]]), "",COUNTIFS($A:$A,patch[[#This Row],[number]],$S:$S, "FL And dev",$AC:$AC, "Review-1"))</f>
        <v/>
      </c>
      <c r="Y2149" s="7" t="str">
        <f>IF(ISBLANK(patch[[#This Row],[project]]), "",COUNTIFS($A:$A,patch[[#This Row],[number]],$S:$S, "SH And dev",$AC:$AC, "Review-1"))</f>
        <v/>
      </c>
      <c r="Z2149" s="7" t="str">
        <f>IF(ISBLANK(patch[[#This Row],[project]]), "",COUNTIFS($A:$A,patch[[#This Row],[number]],$S:$S, "BJ And dev",$AD:$AD, "&lt;&gt;IntegratorValidationComment"))</f>
        <v/>
      </c>
      <c r="AA2149" s="7" t="str">
        <f>IF(ISBLANK(patch[[#This Row],[project]]), "",COUNTIFS($A:$A,patch[[#This Row],[number]],$S:$S, "FL And dev",$AD:$AD, "&lt;&gt;IntegratorValidationComment"))</f>
        <v/>
      </c>
      <c r="AB2149" s="7" t="str">
        <f>IF(ISBLANK(patch[[#This Row],[project]]), "",COUNTIFS($A:$A,patch[[#This Row],[number]],$S:$S, "SH And dev",$AD:$AD, "&lt;&gt;IntegratorValidationComment"))</f>
        <v/>
      </c>
      <c r="AC2149" s="7" t="str">
        <f>IF(OR(ISNUMBER(FIND("Review-1", patch[[#This Row],[comments]])), ISNUMBER(FIND("Approver-1", patch[[#This Row],[comments]]))), "Review-1", "")</f>
        <v/>
      </c>
      <c r="AD21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49" s="7">
        <f>IF(ISBLANK(patch[[#This Row],[number]]),AE2148,patch[[#This Row],[ifCommon]])</f>
        <v>0</v>
      </c>
    </row>
    <row r="2150" spans="1:31">
      <c r="A2150" s="151">
        <v>143757</v>
      </c>
      <c r="B2150" s="151"/>
      <c r="C2150" s="151"/>
      <c r="D2150" s="151"/>
      <c r="E2150" s="151"/>
      <c r="F2150" s="151"/>
      <c r="G2150" s="151"/>
      <c r="H2150" s="151"/>
      <c r="I2150" s="151"/>
      <c r="J2150" s="152">
        <v>42620.6796875</v>
      </c>
      <c r="K2150" s="151"/>
      <c r="L2150" s="151" t="s">
        <v>24</v>
      </c>
      <c r="M2150" s="152">
        <v>42620.490497685183</v>
      </c>
      <c r="N2150" s="151" t="s">
        <v>65</v>
      </c>
      <c r="O2150" s="151"/>
      <c r="P2150" s="151"/>
      <c r="Q2150" s="7" t="str">
        <f>IF(ISBLANK(patch[[#This Row],[OwnerEmail]]),Q2149,patch[[#This Row],[OwnerEmail]])</f>
        <v>qingwu.zhang@intel.com</v>
      </c>
      <c r="R2150" s="7" t="str">
        <f>_xlfn.IFNA(VLOOKUP(patch[[#This Row],[tmp-owner.email]],OrgTree!$A:$K, 11, 0), "not ICG SWFW")</f>
        <v>BJ And dev</v>
      </c>
      <c r="S2150" s="7" t="str">
        <f>IF(patch[[#This Row],[reviewer]]=patch[[#This Row],[tmp-owner.email]], "author", _xlfn.IFNA(VLOOKUP(patch[[#This Row],[reviewer]],OrgTree!$A:$K, 11, 0), "not ICG SWFW"))</f>
        <v>author</v>
      </c>
      <c r="T2150" s="7" t="str">
        <f>IF(ISBLANK(patch[[#This Row],[mergeDate]]), "", MID(YEAR(patch[[#This Row],[mergeDate]]), 3,2)&amp;"'ww"&amp;WEEKNUM(patch[[#This Row],[mergeDate]]))</f>
        <v>16'ww37</v>
      </c>
      <c r="U2150" s="7" t="str">
        <f>IF(ISBLANK(patch[[#This Row],[mergeDate]]), U2149, MID(YEAR(patch[[#This Row],[mergeDate]]), 3,2)&amp;"'m"&amp;MONTH(patch[[#This Row],[mergeDate]]))</f>
        <v>16'm9</v>
      </c>
      <c r="V2150" s="7" t="str">
        <f>IF(ISBLANK(patch[[#This Row],[project]]), "",SUM(patch[[#This Row],[BJ -1 num]:[SH -1 num]]))</f>
        <v/>
      </c>
      <c r="W2150" s="7" t="str">
        <f>IF(ISBLANK(patch[[#This Row],[project]]), "",COUNTIFS($A:$A,patch[[#This Row],[number]],$S:$S, "BJ And dev",$AC:$AC, "Review-1"))</f>
        <v/>
      </c>
      <c r="X2150" s="7" t="str">
        <f>IF(ISBLANK(patch[[#This Row],[project]]), "",COUNTIFS($A:$A,patch[[#This Row],[number]],$S:$S, "FL And dev",$AC:$AC, "Review-1"))</f>
        <v/>
      </c>
      <c r="Y2150" s="7" t="str">
        <f>IF(ISBLANK(patch[[#This Row],[project]]), "",COUNTIFS($A:$A,patch[[#This Row],[number]],$S:$S, "SH And dev",$AC:$AC, "Review-1"))</f>
        <v/>
      </c>
      <c r="Z2150" s="7" t="str">
        <f>IF(ISBLANK(patch[[#This Row],[project]]), "",COUNTIFS($A:$A,patch[[#This Row],[number]],$S:$S, "BJ And dev",$AD:$AD, "&lt;&gt;IntegratorValidationComment"))</f>
        <v/>
      </c>
      <c r="AA2150" s="7" t="str">
        <f>IF(ISBLANK(patch[[#This Row],[project]]), "",COUNTIFS($A:$A,patch[[#This Row],[number]],$S:$S, "FL And dev",$AD:$AD, "&lt;&gt;IntegratorValidationComment"))</f>
        <v/>
      </c>
      <c r="AB2150" s="7" t="str">
        <f>IF(ISBLANK(patch[[#This Row],[project]]), "",COUNTIFS($A:$A,patch[[#This Row],[number]],$S:$S, "SH And dev",$AD:$AD, "&lt;&gt;IntegratorValidationComment"))</f>
        <v/>
      </c>
      <c r="AC2150" s="7" t="str">
        <f>IF(OR(ISNUMBER(FIND("Review-1", patch[[#This Row],[comments]])), ISNUMBER(FIND("Approver-1", patch[[#This Row],[comments]]))), "Review-1", "")</f>
        <v/>
      </c>
      <c r="AD21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50" s="7">
        <f>IF(ISBLANK(patch[[#This Row],[number]]),AE2149,patch[[#This Row],[ifCommon]])</f>
        <v>0</v>
      </c>
    </row>
    <row r="2151" spans="1:31">
      <c r="A2151" s="151">
        <v>143757</v>
      </c>
      <c r="B2151" s="151"/>
      <c r="C2151" s="151"/>
      <c r="D2151" s="151"/>
      <c r="E2151" s="151"/>
      <c r="F2151" s="151"/>
      <c r="G2151" s="151"/>
      <c r="H2151" s="151"/>
      <c r="I2151" s="151"/>
      <c r="J2151" s="152">
        <v>42620.6796875</v>
      </c>
      <c r="K2151" s="151"/>
      <c r="L2151" s="151" t="s">
        <v>24</v>
      </c>
      <c r="M2151" s="152">
        <v>42620.49050925926</v>
      </c>
      <c r="N2151" s="151" t="s">
        <v>2429</v>
      </c>
      <c r="O2151" s="151"/>
      <c r="P2151" s="151"/>
      <c r="Q2151" s="7" t="str">
        <f>IF(ISBLANK(patch[[#This Row],[OwnerEmail]]),Q2150,patch[[#This Row],[OwnerEmail]])</f>
        <v>qingwu.zhang@intel.com</v>
      </c>
      <c r="R2151" s="7" t="str">
        <f>_xlfn.IFNA(VLOOKUP(patch[[#This Row],[tmp-owner.email]],OrgTree!$A:$K, 11, 0), "not ICG SWFW")</f>
        <v>BJ And dev</v>
      </c>
      <c r="S2151" s="7" t="str">
        <f>IF(patch[[#This Row],[reviewer]]=patch[[#This Row],[tmp-owner.email]], "author", _xlfn.IFNA(VLOOKUP(patch[[#This Row],[reviewer]],OrgTree!$A:$K, 11, 0), "not ICG SWFW"))</f>
        <v>author</v>
      </c>
      <c r="T2151" s="7" t="str">
        <f>IF(ISBLANK(patch[[#This Row],[mergeDate]]), "", MID(YEAR(patch[[#This Row],[mergeDate]]), 3,2)&amp;"'ww"&amp;WEEKNUM(patch[[#This Row],[mergeDate]]))</f>
        <v>16'ww37</v>
      </c>
      <c r="U2151" s="7" t="str">
        <f>IF(ISBLANK(patch[[#This Row],[mergeDate]]), U2150, MID(YEAR(patch[[#This Row],[mergeDate]]), 3,2)&amp;"'m"&amp;MONTH(patch[[#This Row],[mergeDate]]))</f>
        <v>16'm9</v>
      </c>
      <c r="V2151" s="7" t="str">
        <f>IF(ISBLANK(patch[[#This Row],[project]]), "",SUM(patch[[#This Row],[BJ -1 num]:[SH -1 num]]))</f>
        <v/>
      </c>
      <c r="W2151" s="7" t="str">
        <f>IF(ISBLANK(patch[[#This Row],[project]]), "",COUNTIFS($A:$A,patch[[#This Row],[number]],$S:$S, "BJ And dev",$AC:$AC, "Review-1"))</f>
        <v/>
      </c>
      <c r="X2151" s="7" t="str">
        <f>IF(ISBLANK(patch[[#This Row],[project]]), "",COUNTIFS($A:$A,patch[[#This Row],[number]],$S:$S, "FL And dev",$AC:$AC, "Review-1"))</f>
        <v/>
      </c>
      <c r="Y2151" s="7" t="str">
        <f>IF(ISBLANK(patch[[#This Row],[project]]), "",COUNTIFS($A:$A,patch[[#This Row],[number]],$S:$S, "SH And dev",$AC:$AC, "Review-1"))</f>
        <v/>
      </c>
      <c r="Z2151" s="7" t="str">
        <f>IF(ISBLANK(patch[[#This Row],[project]]), "",COUNTIFS($A:$A,patch[[#This Row],[number]],$S:$S, "BJ And dev",$AD:$AD, "&lt;&gt;IntegratorValidationComment"))</f>
        <v/>
      </c>
      <c r="AA2151" s="7" t="str">
        <f>IF(ISBLANK(patch[[#This Row],[project]]), "",COUNTIFS($A:$A,patch[[#This Row],[number]],$S:$S, "FL And dev",$AD:$AD, "&lt;&gt;IntegratorValidationComment"))</f>
        <v/>
      </c>
      <c r="AB2151" s="7" t="str">
        <f>IF(ISBLANK(patch[[#This Row],[project]]), "",COUNTIFS($A:$A,patch[[#This Row],[number]],$S:$S, "SH And dev",$AD:$AD, "&lt;&gt;IntegratorValidationComment"))</f>
        <v/>
      </c>
      <c r="AC2151" s="7" t="str">
        <f>IF(OR(ISNUMBER(FIND("Review-1", patch[[#This Row],[comments]])), ISNUMBER(FIND("Approver-1", patch[[#This Row],[comments]]))), "Review-1", "")</f>
        <v/>
      </c>
      <c r="AD21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51" s="7">
        <f>IF(ISBLANK(patch[[#This Row],[number]]),AE2150,patch[[#This Row],[ifCommon]])</f>
        <v>0</v>
      </c>
    </row>
    <row r="2152" spans="1:31">
      <c r="A2152" s="151">
        <v>143757</v>
      </c>
      <c r="B2152" s="151"/>
      <c r="C2152" s="151"/>
      <c r="D2152" s="151"/>
      <c r="E2152" s="151"/>
      <c r="F2152" s="151"/>
      <c r="G2152" s="151"/>
      <c r="H2152" s="151"/>
      <c r="I2152" s="152"/>
      <c r="J2152" s="152">
        <v>42620.6796875</v>
      </c>
      <c r="K2152" s="151"/>
      <c r="L2152" s="151" t="s">
        <v>24</v>
      </c>
      <c r="M2152" s="152">
        <v>42620.490740740737</v>
      </c>
      <c r="N2152" s="151" t="s">
        <v>27</v>
      </c>
      <c r="O2152" s="151"/>
      <c r="P2152" s="151"/>
      <c r="Q2152" s="7" t="str">
        <f>IF(ISBLANK(patch[[#This Row],[OwnerEmail]]),Q2151,patch[[#This Row],[OwnerEmail]])</f>
        <v>qingwu.zhang@intel.com</v>
      </c>
      <c r="R2152" s="7" t="str">
        <f>_xlfn.IFNA(VLOOKUP(patch[[#This Row],[tmp-owner.email]],OrgTree!$A:$K, 11, 0), "not ICG SWFW")</f>
        <v>BJ And dev</v>
      </c>
      <c r="S2152" s="7" t="str">
        <f>IF(patch[[#This Row],[reviewer]]=patch[[#This Row],[tmp-owner.email]], "author", _xlfn.IFNA(VLOOKUP(patch[[#This Row],[reviewer]],OrgTree!$A:$K, 11, 0), "not ICG SWFW"))</f>
        <v>author</v>
      </c>
      <c r="T2152" s="7" t="str">
        <f>IF(ISBLANK(patch[[#This Row],[mergeDate]]), "", MID(YEAR(patch[[#This Row],[mergeDate]]), 3,2)&amp;"'ww"&amp;WEEKNUM(patch[[#This Row],[mergeDate]]))</f>
        <v>16'ww37</v>
      </c>
      <c r="U2152" s="7" t="str">
        <f>IF(ISBLANK(patch[[#This Row],[mergeDate]]), U2151, MID(YEAR(patch[[#This Row],[mergeDate]]), 3,2)&amp;"'m"&amp;MONTH(patch[[#This Row],[mergeDate]]))</f>
        <v>16'm9</v>
      </c>
      <c r="V2152" s="7" t="str">
        <f>IF(ISBLANK(patch[[#This Row],[project]]), "",SUM(patch[[#This Row],[BJ -1 num]:[SH -1 num]]))</f>
        <v/>
      </c>
      <c r="W2152" s="7" t="str">
        <f>IF(ISBLANK(patch[[#This Row],[project]]), "",COUNTIFS($A:$A,patch[[#This Row],[number]],$S:$S, "BJ And dev",$AC:$AC, "Review-1"))</f>
        <v/>
      </c>
      <c r="X2152" s="7" t="str">
        <f>IF(ISBLANK(patch[[#This Row],[project]]), "",COUNTIFS($A:$A,patch[[#This Row],[number]],$S:$S, "FL And dev",$AC:$AC, "Review-1"))</f>
        <v/>
      </c>
      <c r="Y2152" s="7" t="str">
        <f>IF(ISBLANK(patch[[#This Row],[project]]), "",COUNTIFS($A:$A,patch[[#This Row],[number]],$S:$S, "SH And dev",$AC:$AC, "Review-1"))</f>
        <v/>
      </c>
      <c r="Z2152" s="7" t="str">
        <f>IF(ISBLANK(patch[[#This Row],[project]]), "",COUNTIFS($A:$A,patch[[#This Row],[number]],$S:$S, "BJ And dev",$AD:$AD, "&lt;&gt;IntegratorValidationComment"))</f>
        <v/>
      </c>
      <c r="AA2152" s="7" t="str">
        <f>IF(ISBLANK(patch[[#This Row],[project]]), "",COUNTIFS($A:$A,patch[[#This Row],[number]],$S:$S, "FL And dev",$AD:$AD, "&lt;&gt;IntegratorValidationComment"))</f>
        <v/>
      </c>
      <c r="AB2152" s="7" t="str">
        <f>IF(ISBLANK(patch[[#This Row],[project]]), "",COUNTIFS($A:$A,patch[[#This Row],[number]],$S:$S, "SH And dev",$AD:$AD, "&lt;&gt;IntegratorValidationComment"))</f>
        <v/>
      </c>
      <c r="AC2152" s="7" t="str">
        <f>IF(OR(ISNUMBER(FIND("Review-1", patch[[#This Row],[comments]])), ISNUMBER(FIND("Approver-1", patch[[#This Row],[comments]]))), "Review-1", "")</f>
        <v/>
      </c>
      <c r="AD21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52" s="7">
        <f>IF(ISBLANK(patch[[#This Row],[number]]),AE2151,patch[[#This Row],[ifCommon]])</f>
        <v>0</v>
      </c>
    </row>
    <row r="2153" spans="1:31">
      <c r="A2153" s="151">
        <v>143757</v>
      </c>
      <c r="B2153" s="151"/>
      <c r="C2153" s="151"/>
      <c r="D2153" s="151"/>
      <c r="E2153" s="151"/>
      <c r="F2153" s="151"/>
      <c r="G2153" s="151"/>
      <c r="H2153" s="151"/>
      <c r="I2153" s="151"/>
      <c r="J2153" s="152">
        <v>42620.6796875</v>
      </c>
      <c r="K2153" s="151"/>
      <c r="L2153" s="151" t="s">
        <v>59</v>
      </c>
      <c r="M2153" s="152">
        <v>42620.491851851853</v>
      </c>
      <c r="N2153" s="151" t="s">
        <v>27</v>
      </c>
      <c r="O2153" s="151"/>
      <c r="P2153" s="151"/>
      <c r="Q2153" s="7" t="str">
        <f>IF(ISBLANK(patch[[#This Row],[OwnerEmail]]),Q2152,patch[[#This Row],[OwnerEmail]])</f>
        <v>qingwu.zhang@intel.com</v>
      </c>
      <c r="R2153" s="7" t="str">
        <f>_xlfn.IFNA(VLOOKUP(patch[[#This Row],[tmp-owner.email]],OrgTree!$A:$K, 11, 0), "not ICG SWFW")</f>
        <v>BJ And dev</v>
      </c>
      <c r="S2153" s="7" t="str">
        <f>IF(patch[[#This Row],[reviewer]]=patch[[#This Row],[tmp-owner.email]], "author", _xlfn.IFNA(VLOOKUP(patch[[#This Row],[reviewer]],OrgTree!$A:$K, 11, 0), "not ICG SWFW"))</f>
        <v>BJ And dev</v>
      </c>
      <c r="T2153" s="7" t="str">
        <f>IF(ISBLANK(patch[[#This Row],[mergeDate]]), "", MID(YEAR(patch[[#This Row],[mergeDate]]), 3,2)&amp;"'ww"&amp;WEEKNUM(patch[[#This Row],[mergeDate]]))</f>
        <v>16'ww37</v>
      </c>
      <c r="U2153" s="7" t="str">
        <f>IF(ISBLANK(patch[[#This Row],[mergeDate]]), U2152, MID(YEAR(patch[[#This Row],[mergeDate]]), 3,2)&amp;"'m"&amp;MONTH(patch[[#This Row],[mergeDate]]))</f>
        <v>16'm9</v>
      </c>
      <c r="V2153" s="7" t="str">
        <f>IF(ISBLANK(patch[[#This Row],[project]]), "",SUM(patch[[#This Row],[BJ -1 num]:[SH -1 num]]))</f>
        <v/>
      </c>
      <c r="W2153" s="7" t="str">
        <f>IF(ISBLANK(patch[[#This Row],[project]]), "",COUNTIFS($A:$A,patch[[#This Row],[number]],$S:$S, "BJ And dev",$AC:$AC, "Review-1"))</f>
        <v/>
      </c>
      <c r="X2153" s="7" t="str">
        <f>IF(ISBLANK(patch[[#This Row],[project]]), "",COUNTIFS($A:$A,patch[[#This Row],[number]],$S:$S, "FL And dev",$AC:$AC, "Review-1"))</f>
        <v/>
      </c>
      <c r="Y2153" s="7" t="str">
        <f>IF(ISBLANK(patch[[#This Row],[project]]), "",COUNTIFS($A:$A,patch[[#This Row],[number]],$S:$S, "SH And dev",$AC:$AC, "Review-1"))</f>
        <v/>
      </c>
      <c r="Z2153" s="7" t="str">
        <f>IF(ISBLANK(patch[[#This Row],[project]]), "",COUNTIFS($A:$A,patch[[#This Row],[number]],$S:$S, "BJ And dev",$AD:$AD, "&lt;&gt;IntegratorValidationComment"))</f>
        <v/>
      </c>
      <c r="AA2153" s="7" t="str">
        <f>IF(ISBLANK(patch[[#This Row],[project]]), "",COUNTIFS($A:$A,patch[[#This Row],[number]],$S:$S, "FL And dev",$AD:$AD, "&lt;&gt;IntegratorValidationComment"))</f>
        <v/>
      </c>
      <c r="AB2153" s="7" t="str">
        <f>IF(ISBLANK(patch[[#This Row],[project]]), "",COUNTIFS($A:$A,patch[[#This Row],[number]],$S:$S, "SH And dev",$AD:$AD, "&lt;&gt;IntegratorValidationComment"))</f>
        <v/>
      </c>
      <c r="AC2153" s="7" t="str">
        <f>IF(OR(ISNUMBER(FIND("Review-1", patch[[#This Row],[comments]])), ISNUMBER(FIND("Approver-1", patch[[#This Row],[comments]]))), "Review-1", "")</f>
        <v/>
      </c>
      <c r="AD21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53" s="7">
        <f>IF(ISBLANK(patch[[#This Row],[number]]),AE2152,patch[[#This Row],[ifCommon]])</f>
        <v>0</v>
      </c>
    </row>
    <row r="2154" spans="1:31">
      <c r="A2154" s="151">
        <v>143757</v>
      </c>
      <c r="B2154" s="151"/>
      <c r="C2154" s="151"/>
      <c r="D2154" s="151"/>
      <c r="E2154" s="151"/>
      <c r="F2154" s="151"/>
      <c r="G2154" s="151"/>
      <c r="H2154" s="151"/>
      <c r="I2154" s="151"/>
      <c r="J2154" s="152">
        <v>42620.6796875</v>
      </c>
      <c r="K2154" s="151"/>
      <c r="L2154" s="151" t="s">
        <v>59</v>
      </c>
      <c r="M2154" s="152">
        <v>42620.495243055557</v>
      </c>
      <c r="N2154" s="151" t="s">
        <v>3647</v>
      </c>
      <c r="O2154" s="151"/>
      <c r="P2154" s="151"/>
      <c r="Q2154" s="7" t="str">
        <f>IF(ISBLANK(patch[[#This Row],[OwnerEmail]]),Q2153,patch[[#This Row],[OwnerEmail]])</f>
        <v>qingwu.zhang@intel.com</v>
      </c>
      <c r="R2154" s="7" t="str">
        <f>_xlfn.IFNA(VLOOKUP(patch[[#This Row],[tmp-owner.email]],OrgTree!$A:$K, 11, 0), "not ICG SWFW")</f>
        <v>BJ And dev</v>
      </c>
      <c r="S2154" s="7" t="str">
        <f>IF(patch[[#This Row],[reviewer]]=patch[[#This Row],[tmp-owner.email]], "author", _xlfn.IFNA(VLOOKUP(patch[[#This Row],[reviewer]],OrgTree!$A:$K, 11, 0), "not ICG SWFW"))</f>
        <v>BJ And dev</v>
      </c>
      <c r="T2154" s="7" t="str">
        <f>IF(ISBLANK(patch[[#This Row],[mergeDate]]), "", MID(YEAR(patch[[#This Row],[mergeDate]]), 3,2)&amp;"'ww"&amp;WEEKNUM(patch[[#This Row],[mergeDate]]))</f>
        <v>16'ww37</v>
      </c>
      <c r="U2154" s="7" t="str">
        <f>IF(ISBLANK(patch[[#This Row],[mergeDate]]), U2153, MID(YEAR(patch[[#This Row],[mergeDate]]), 3,2)&amp;"'m"&amp;MONTH(patch[[#This Row],[mergeDate]]))</f>
        <v>16'm9</v>
      </c>
      <c r="V2154" s="7" t="str">
        <f>IF(ISBLANK(patch[[#This Row],[project]]), "",SUM(patch[[#This Row],[BJ -1 num]:[SH -1 num]]))</f>
        <v/>
      </c>
      <c r="W2154" s="7" t="str">
        <f>IF(ISBLANK(patch[[#This Row],[project]]), "",COUNTIFS($A:$A,patch[[#This Row],[number]],$S:$S, "BJ And dev",$AC:$AC, "Review-1"))</f>
        <v/>
      </c>
      <c r="X2154" s="7" t="str">
        <f>IF(ISBLANK(patch[[#This Row],[project]]), "",COUNTIFS($A:$A,patch[[#This Row],[number]],$S:$S, "FL And dev",$AC:$AC, "Review-1"))</f>
        <v/>
      </c>
      <c r="Y2154" s="7" t="str">
        <f>IF(ISBLANK(patch[[#This Row],[project]]), "",COUNTIFS($A:$A,patch[[#This Row],[number]],$S:$S, "SH And dev",$AC:$AC, "Review-1"))</f>
        <v/>
      </c>
      <c r="Z2154" s="7" t="str">
        <f>IF(ISBLANK(patch[[#This Row],[project]]), "",COUNTIFS($A:$A,patch[[#This Row],[number]],$S:$S, "BJ And dev",$AD:$AD, "&lt;&gt;IntegratorValidationComment"))</f>
        <v/>
      </c>
      <c r="AA2154" s="7" t="str">
        <f>IF(ISBLANK(patch[[#This Row],[project]]), "",COUNTIFS($A:$A,patch[[#This Row],[number]],$S:$S, "FL And dev",$AD:$AD, "&lt;&gt;IntegratorValidationComment"))</f>
        <v/>
      </c>
      <c r="AB2154" s="7" t="str">
        <f>IF(ISBLANK(patch[[#This Row],[project]]), "",COUNTIFS($A:$A,patch[[#This Row],[number]],$S:$S, "SH And dev",$AD:$AD, "&lt;&gt;IntegratorValidationComment"))</f>
        <v/>
      </c>
      <c r="AC2154" s="7" t="str">
        <f>IF(OR(ISNUMBER(FIND("Review-1", patch[[#This Row],[comments]])), ISNUMBER(FIND("Approver-1", patch[[#This Row],[comments]]))), "Review-1", "")</f>
        <v/>
      </c>
      <c r="AD21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54" s="7">
        <f>IF(ISBLANK(patch[[#This Row],[number]]),AE2153,patch[[#This Row],[ifCommon]])</f>
        <v>0</v>
      </c>
    </row>
    <row r="2155" spans="1:31">
      <c r="A2155" s="151">
        <v>143757</v>
      </c>
      <c r="B2155" s="151"/>
      <c r="C2155" s="151"/>
      <c r="D2155" s="151"/>
      <c r="E2155" s="151"/>
      <c r="F2155" s="151"/>
      <c r="G2155" s="151"/>
      <c r="H2155" s="151"/>
      <c r="I2155" s="151"/>
      <c r="J2155" s="152">
        <v>42620.6796875</v>
      </c>
      <c r="K2155" s="151"/>
      <c r="L2155" s="151" t="s">
        <v>24</v>
      </c>
      <c r="M2155" s="152">
        <v>42620.496793981481</v>
      </c>
      <c r="N2155" s="151" t="s">
        <v>2572</v>
      </c>
      <c r="O2155" s="151"/>
      <c r="P2155" s="151"/>
      <c r="Q2155" s="7" t="str">
        <f>IF(ISBLANK(patch[[#This Row],[OwnerEmail]]),Q2154,patch[[#This Row],[OwnerEmail]])</f>
        <v>qingwu.zhang@intel.com</v>
      </c>
      <c r="R2155" s="7" t="str">
        <f>_xlfn.IFNA(VLOOKUP(patch[[#This Row],[tmp-owner.email]],OrgTree!$A:$K, 11, 0), "not ICG SWFW")</f>
        <v>BJ And dev</v>
      </c>
      <c r="S2155" s="7" t="str">
        <f>IF(patch[[#This Row],[reviewer]]=patch[[#This Row],[tmp-owner.email]], "author", _xlfn.IFNA(VLOOKUP(patch[[#This Row],[reviewer]],OrgTree!$A:$K, 11, 0), "not ICG SWFW"))</f>
        <v>author</v>
      </c>
      <c r="T2155" s="7" t="str">
        <f>IF(ISBLANK(patch[[#This Row],[mergeDate]]), "", MID(YEAR(patch[[#This Row],[mergeDate]]), 3,2)&amp;"'ww"&amp;WEEKNUM(patch[[#This Row],[mergeDate]]))</f>
        <v>16'ww37</v>
      </c>
      <c r="U2155" s="7" t="str">
        <f>IF(ISBLANK(patch[[#This Row],[mergeDate]]), U2154, MID(YEAR(patch[[#This Row],[mergeDate]]), 3,2)&amp;"'m"&amp;MONTH(patch[[#This Row],[mergeDate]]))</f>
        <v>16'm9</v>
      </c>
      <c r="V2155" s="7" t="str">
        <f>IF(ISBLANK(patch[[#This Row],[project]]), "",SUM(patch[[#This Row],[BJ -1 num]:[SH -1 num]]))</f>
        <v/>
      </c>
      <c r="W2155" s="7" t="str">
        <f>IF(ISBLANK(patch[[#This Row],[project]]), "",COUNTIFS($A:$A,patch[[#This Row],[number]],$S:$S, "BJ And dev",$AC:$AC, "Review-1"))</f>
        <v/>
      </c>
      <c r="X2155" s="7" t="str">
        <f>IF(ISBLANK(patch[[#This Row],[project]]), "",COUNTIFS($A:$A,patch[[#This Row],[number]],$S:$S, "FL And dev",$AC:$AC, "Review-1"))</f>
        <v/>
      </c>
      <c r="Y2155" s="7" t="str">
        <f>IF(ISBLANK(patch[[#This Row],[project]]), "",COUNTIFS($A:$A,patch[[#This Row],[number]],$S:$S, "SH And dev",$AC:$AC, "Review-1"))</f>
        <v/>
      </c>
      <c r="Z2155" s="7" t="str">
        <f>IF(ISBLANK(patch[[#This Row],[project]]), "",COUNTIFS($A:$A,patch[[#This Row],[number]],$S:$S, "BJ And dev",$AD:$AD, "&lt;&gt;IntegratorValidationComment"))</f>
        <v/>
      </c>
      <c r="AA2155" s="7" t="str">
        <f>IF(ISBLANK(patch[[#This Row],[project]]), "",COUNTIFS($A:$A,patch[[#This Row],[number]],$S:$S, "FL And dev",$AD:$AD, "&lt;&gt;IntegratorValidationComment"))</f>
        <v/>
      </c>
      <c r="AB2155" s="7" t="str">
        <f>IF(ISBLANK(patch[[#This Row],[project]]), "",COUNTIFS($A:$A,patch[[#This Row],[number]],$S:$S, "SH And dev",$AD:$AD, "&lt;&gt;IntegratorValidationComment"))</f>
        <v/>
      </c>
      <c r="AC2155" s="7" t="str">
        <f>IF(OR(ISNUMBER(FIND("Review-1", patch[[#This Row],[comments]])), ISNUMBER(FIND("Approver-1", patch[[#This Row],[comments]]))), "Review-1", "")</f>
        <v/>
      </c>
      <c r="AD21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55" s="7">
        <f>IF(ISBLANK(patch[[#This Row],[number]]),AE2154,patch[[#This Row],[ifCommon]])</f>
        <v>0</v>
      </c>
    </row>
    <row r="2156" spans="1:31">
      <c r="A2156" s="151">
        <v>143757</v>
      </c>
      <c r="B2156" s="151"/>
      <c r="C2156" s="151"/>
      <c r="D2156" s="151"/>
      <c r="E2156" s="151"/>
      <c r="F2156" s="151"/>
      <c r="G2156" s="151"/>
      <c r="H2156" s="151"/>
      <c r="I2156" s="151"/>
      <c r="J2156" s="152">
        <v>42620.6796875</v>
      </c>
      <c r="K2156" s="151"/>
      <c r="L2156" s="151" t="s">
        <v>24</v>
      </c>
      <c r="M2156" s="152">
        <v>42620.496793981481</v>
      </c>
      <c r="N2156" s="151" t="s">
        <v>2450</v>
      </c>
      <c r="O2156" s="151"/>
      <c r="P2156" s="151"/>
      <c r="Q2156" s="7" t="str">
        <f>IF(ISBLANK(patch[[#This Row],[OwnerEmail]]),Q2155,patch[[#This Row],[OwnerEmail]])</f>
        <v>qingwu.zhang@intel.com</v>
      </c>
      <c r="R2156" s="7" t="str">
        <f>_xlfn.IFNA(VLOOKUP(patch[[#This Row],[tmp-owner.email]],OrgTree!$A:$K, 11, 0), "not ICG SWFW")</f>
        <v>BJ And dev</v>
      </c>
      <c r="S2156" s="7" t="str">
        <f>IF(patch[[#This Row],[reviewer]]=patch[[#This Row],[tmp-owner.email]], "author", _xlfn.IFNA(VLOOKUP(patch[[#This Row],[reviewer]],OrgTree!$A:$K, 11, 0), "not ICG SWFW"))</f>
        <v>author</v>
      </c>
      <c r="T2156" s="7" t="str">
        <f>IF(ISBLANK(patch[[#This Row],[mergeDate]]), "", MID(YEAR(patch[[#This Row],[mergeDate]]), 3,2)&amp;"'ww"&amp;WEEKNUM(patch[[#This Row],[mergeDate]]))</f>
        <v>16'ww37</v>
      </c>
      <c r="U2156" s="7" t="str">
        <f>IF(ISBLANK(patch[[#This Row],[mergeDate]]), U2155, MID(YEAR(patch[[#This Row],[mergeDate]]), 3,2)&amp;"'m"&amp;MONTH(patch[[#This Row],[mergeDate]]))</f>
        <v>16'm9</v>
      </c>
      <c r="V2156" s="7" t="str">
        <f>IF(ISBLANK(patch[[#This Row],[project]]), "",SUM(patch[[#This Row],[BJ -1 num]:[SH -1 num]]))</f>
        <v/>
      </c>
      <c r="W2156" s="7" t="str">
        <f>IF(ISBLANK(patch[[#This Row],[project]]), "",COUNTIFS($A:$A,patch[[#This Row],[number]],$S:$S, "BJ And dev",$AC:$AC, "Review-1"))</f>
        <v/>
      </c>
      <c r="X2156" s="7" t="str">
        <f>IF(ISBLANK(patch[[#This Row],[project]]), "",COUNTIFS($A:$A,patch[[#This Row],[number]],$S:$S, "FL And dev",$AC:$AC, "Review-1"))</f>
        <v/>
      </c>
      <c r="Y2156" s="7" t="str">
        <f>IF(ISBLANK(patch[[#This Row],[project]]), "",COUNTIFS($A:$A,patch[[#This Row],[number]],$S:$S, "SH And dev",$AC:$AC, "Review-1"))</f>
        <v/>
      </c>
      <c r="Z2156" s="7" t="str">
        <f>IF(ISBLANK(patch[[#This Row],[project]]), "",COUNTIFS($A:$A,patch[[#This Row],[number]],$S:$S, "BJ And dev",$AD:$AD, "&lt;&gt;IntegratorValidationComment"))</f>
        <v/>
      </c>
      <c r="AA2156" s="7" t="str">
        <f>IF(ISBLANK(patch[[#This Row],[project]]), "",COUNTIFS($A:$A,patch[[#This Row],[number]],$S:$S, "FL And dev",$AD:$AD, "&lt;&gt;IntegratorValidationComment"))</f>
        <v/>
      </c>
      <c r="AB2156" s="7" t="str">
        <f>IF(ISBLANK(patch[[#This Row],[project]]), "",COUNTIFS($A:$A,patch[[#This Row],[number]],$S:$S, "SH And dev",$AD:$AD, "&lt;&gt;IntegratorValidationComment"))</f>
        <v/>
      </c>
      <c r="AC2156" s="7" t="str">
        <f>IF(OR(ISNUMBER(FIND("Review-1", patch[[#This Row],[comments]])), ISNUMBER(FIND("Approver-1", patch[[#This Row],[comments]]))), "Review-1", "")</f>
        <v/>
      </c>
      <c r="AD21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56" s="7">
        <f>IF(ISBLANK(patch[[#This Row],[number]]),AE2155,patch[[#This Row],[ifCommon]])</f>
        <v>0</v>
      </c>
    </row>
    <row r="2157" spans="1:31">
      <c r="A2157" s="151">
        <v>143757</v>
      </c>
      <c r="B2157" s="151"/>
      <c r="C2157" s="151"/>
      <c r="D2157" s="151"/>
      <c r="E2157" s="151"/>
      <c r="F2157" s="151"/>
      <c r="G2157" s="151"/>
      <c r="H2157" s="151"/>
      <c r="I2157" s="151"/>
      <c r="J2157" s="152">
        <v>42620.6796875</v>
      </c>
      <c r="K2157" s="151"/>
      <c r="L2157" s="151" t="s">
        <v>32</v>
      </c>
      <c r="M2157" s="152">
        <v>42620.49763888889</v>
      </c>
      <c r="N2157" s="151" t="s">
        <v>1873</v>
      </c>
      <c r="O2157" s="151"/>
      <c r="P2157" s="151"/>
      <c r="Q2157" s="7" t="str">
        <f>IF(ISBLANK(patch[[#This Row],[OwnerEmail]]),Q2156,patch[[#This Row],[OwnerEmail]])</f>
        <v>qingwu.zhang@intel.com</v>
      </c>
      <c r="R2157" s="7" t="str">
        <f>_xlfn.IFNA(VLOOKUP(patch[[#This Row],[tmp-owner.email]],OrgTree!$A:$K, 11, 0), "not ICG SWFW")</f>
        <v>BJ And dev</v>
      </c>
      <c r="S2157" s="7" t="str">
        <f>IF(patch[[#This Row],[reviewer]]=patch[[#This Row],[tmp-owner.email]], "author", _xlfn.IFNA(VLOOKUP(patch[[#This Row],[reviewer]],OrgTree!$A:$K, 11, 0), "not ICG SWFW"))</f>
        <v>BJ And dev</v>
      </c>
      <c r="T2157" s="7" t="str">
        <f>IF(ISBLANK(patch[[#This Row],[mergeDate]]), "", MID(YEAR(patch[[#This Row],[mergeDate]]), 3,2)&amp;"'ww"&amp;WEEKNUM(patch[[#This Row],[mergeDate]]))</f>
        <v>16'ww37</v>
      </c>
      <c r="U2157" s="7" t="str">
        <f>IF(ISBLANK(patch[[#This Row],[mergeDate]]), U2156, MID(YEAR(patch[[#This Row],[mergeDate]]), 3,2)&amp;"'m"&amp;MONTH(patch[[#This Row],[mergeDate]]))</f>
        <v>16'm9</v>
      </c>
      <c r="V2157" s="7" t="str">
        <f>IF(ISBLANK(patch[[#This Row],[project]]), "",SUM(patch[[#This Row],[BJ -1 num]:[SH -1 num]]))</f>
        <v/>
      </c>
      <c r="W2157" s="7" t="str">
        <f>IF(ISBLANK(patch[[#This Row],[project]]), "",COUNTIFS($A:$A,patch[[#This Row],[number]],$S:$S, "BJ And dev",$AC:$AC, "Review-1"))</f>
        <v/>
      </c>
      <c r="X2157" s="7" t="str">
        <f>IF(ISBLANK(patch[[#This Row],[project]]), "",COUNTIFS($A:$A,patch[[#This Row],[number]],$S:$S, "FL And dev",$AC:$AC, "Review-1"))</f>
        <v/>
      </c>
      <c r="Y2157" s="7" t="str">
        <f>IF(ISBLANK(patch[[#This Row],[project]]), "",COUNTIFS($A:$A,patch[[#This Row],[number]],$S:$S, "SH And dev",$AC:$AC, "Review-1"))</f>
        <v/>
      </c>
      <c r="Z2157" s="7" t="str">
        <f>IF(ISBLANK(patch[[#This Row],[project]]), "",COUNTIFS($A:$A,patch[[#This Row],[number]],$S:$S, "BJ And dev",$AD:$AD, "&lt;&gt;IntegratorValidationComment"))</f>
        <v/>
      </c>
      <c r="AA2157" s="7" t="str">
        <f>IF(ISBLANK(patch[[#This Row],[project]]), "",COUNTIFS($A:$A,patch[[#This Row],[number]],$S:$S, "FL And dev",$AD:$AD, "&lt;&gt;IntegratorValidationComment"))</f>
        <v/>
      </c>
      <c r="AB2157" s="7" t="str">
        <f>IF(ISBLANK(patch[[#This Row],[project]]), "",COUNTIFS($A:$A,patch[[#This Row],[number]],$S:$S, "SH And dev",$AD:$AD, "&lt;&gt;IntegratorValidationComment"))</f>
        <v/>
      </c>
      <c r="AC2157" s="7" t="str">
        <f>IF(OR(ISNUMBER(FIND("Review-1", patch[[#This Row],[comments]])), ISNUMBER(FIND("Approver-1", patch[[#This Row],[comments]]))), "Review-1", "")</f>
        <v/>
      </c>
      <c r="AD21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57" s="7">
        <f>IF(ISBLANK(patch[[#This Row],[number]]),AE2156,patch[[#This Row],[ifCommon]])</f>
        <v>0</v>
      </c>
    </row>
    <row r="2158" spans="1:31">
      <c r="A2158" s="151">
        <v>143757</v>
      </c>
      <c r="B2158" s="151"/>
      <c r="C2158" s="151"/>
      <c r="D2158" s="151"/>
      <c r="E2158" s="151"/>
      <c r="F2158" s="151"/>
      <c r="G2158" s="151"/>
      <c r="H2158" s="151"/>
      <c r="I2158" s="151"/>
      <c r="J2158" s="152">
        <v>42620.6796875</v>
      </c>
      <c r="K2158" s="151"/>
      <c r="L2158" s="151" t="s">
        <v>32</v>
      </c>
      <c r="M2158" s="152">
        <v>42620.497824074067</v>
      </c>
      <c r="N2158" s="151" t="s">
        <v>1831</v>
      </c>
      <c r="O2158" s="151"/>
      <c r="P2158" s="151"/>
      <c r="Q2158" s="7" t="str">
        <f>IF(ISBLANK(patch[[#This Row],[OwnerEmail]]),Q2157,patch[[#This Row],[OwnerEmail]])</f>
        <v>qingwu.zhang@intel.com</v>
      </c>
      <c r="R2158" s="7" t="str">
        <f>_xlfn.IFNA(VLOOKUP(patch[[#This Row],[tmp-owner.email]],OrgTree!$A:$K, 11, 0), "not ICG SWFW")</f>
        <v>BJ And dev</v>
      </c>
      <c r="S2158" s="7" t="str">
        <f>IF(patch[[#This Row],[reviewer]]=patch[[#This Row],[tmp-owner.email]], "author", _xlfn.IFNA(VLOOKUP(patch[[#This Row],[reviewer]],OrgTree!$A:$K, 11, 0), "not ICG SWFW"))</f>
        <v>BJ And dev</v>
      </c>
      <c r="T2158" s="7" t="str">
        <f>IF(ISBLANK(patch[[#This Row],[mergeDate]]), "", MID(YEAR(patch[[#This Row],[mergeDate]]), 3,2)&amp;"'ww"&amp;WEEKNUM(patch[[#This Row],[mergeDate]]))</f>
        <v>16'ww37</v>
      </c>
      <c r="U2158" s="7" t="str">
        <f>IF(ISBLANK(patch[[#This Row],[mergeDate]]), U2157, MID(YEAR(patch[[#This Row],[mergeDate]]), 3,2)&amp;"'m"&amp;MONTH(patch[[#This Row],[mergeDate]]))</f>
        <v>16'm9</v>
      </c>
      <c r="V2158" s="7" t="str">
        <f>IF(ISBLANK(patch[[#This Row],[project]]), "",SUM(patch[[#This Row],[BJ -1 num]:[SH -1 num]]))</f>
        <v/>
      </c>
      <c r="W2158" s="7" t="str">
        <f>IF(ISBLANK(patch[[#This Row],[project]]), "",COUNTIFS($A:$A,patch[[#This Row],[number]],$S:$S, "BJ And dev",$AC:$AC, "Review-1"))</f>
        <v/>
      </c>
      <c r="X2158" s="7" t="str">
        <f>IF(ISBLANK(patch[[#This Row],[project]]), "",COUNTIFS($A:$A,patch[[#This Row],[number]],$S:$S, "FL And dev",$AC:$AC, "Review-1"))</f>
        <v/>
      </c>
      <c r="Y2158" s="7" t="str">
        <f>IF(ISBLANK(patch[[#This Row],[project]]), "",COUNTIFS($A:$A,patch[[#This Row],[number]],$S:$S, "SH And dev",$AC:$AC, "Review-1"))</f>
        <v/>
      </c>
      <c r="Z2158" s="7" t="str">
        <f>IF(ISBLANK(patch[[#This Row],[project]]), "",COUNTIFS($A:$A,patch[[#This Row],[number]],$S:$S, "BJ And dev",$AD:$AD, "&lt;&gt;IntegratorValidationComment"))</f>
        <v/>
      </c>
      <c r="AA2158" s="7" t="str">
        <f>IF(ISBLANK(patch[[#This Row],[project]]), "",COUNTIFS($A:$A,patch[[#This Row],[number]],$S:$S, "FL And dev",$AD:$AD, "&lt;&gt;IntegratorValidationComment"))</f>
        <v/>
      </c>
      <c r="AB2158" s="7" t="str">
        <f>IF(ISBLANK(patch[[#This Row],[project]]), "",COUNTIFS($A:$A,patch[[#This Row],[number]],$S:$S, "SH And dev",$AD:$AD, "&lt;&gt;IntegratorValidationComment"))</f>
        <v/>
      </c>
      <c r="AC2158" s="7" t="str">
        <f>IF(OR(ISNUMBER(FIND("Review-1", patch[[#This Row],[comments]])), ISNUMBER(FIND("Approver-1", patch[[#This Row],[comments]]))), "Review-1", "")</f>
        <v/>
      </c>
      <c r="AD21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58" s="7">
        <f>IF(ISBLANK(patch[[#This Row],[number]]),AE2157,patch[[#This Row],[ifCommon]])</f>
        <v>0</v>
      </c>
    </row>
    <row r="2159" spans="1:31">
      <c r="A2159" s="151">
        <v>143757</v>
      </c>
      <c r="B2159" s="151"/>
      <c r="C2159" s="151"/>
      <c r="D2159" s="151"/>
      <c r="E2159" s="151"/>
      <c r="F2159" s="151"/>
      <c r="G2159" s="151"/>
      <c r="H2159" s="151"/>
      <c r="I2159" s="151"/>
      <c r="J2159" s="152">
        <v>42620.6796875</v>
      </c>
      <c r="K2159" s="151"/>
      <c r="L2159" s="151" t="s">
        <v>59</v>
      </c>
      <c r="M2159" s="152">
        <v>42620.502256944441</v>
      </c>
      <c r="N2159" s="151" t="s">
        <v>3648</v>
      </c>
      <c r="O2159" s="151"/>
      <c r="P2159" s="151"/>
      <c r="Q2159" s="7" t="str">
        <f>IF(ISBLANK(patch[[#This Row],[OwnerEmail]]),Q2158,patch[[#This Row],[OwnerEmail]])</f>
        <v>qingwu.zhang@intel.com</v>
      </c>
      <c r="R2159" s="7" t="str">
        <f>_xlfn.IFNA(VLOOKUP(patch[[#This Row],[tmp-owner.email]],OrgTree!$A:$K, 11, 0), "not ICG SWFW")</f>
        <v>BJ And dev</v>
      </c>
      <c r="S2159" s="7" t="str">
        <f>IF(patch[[#This Row],[reviewer]]=patch[[#This Row],[tmp-owner.email]], "author", _xlfn.IFNA(VLOOKUP(patch[[#This Row],[reviewer]],OrgTree!$A:$K, 11, 0), "not ICG SWFW"))</f>
        <v>BJ And dev</v>
      </c>
      <c r="T2159" s="7" t="str">
        <f>IF(ISBLANK(patch[[#This Row],[mergeDate]]), "", MID(YEAR(patch[[#This Row],[mergeDate]]), 3,2)&amp;"'ww"&amp;WEEKNUM(patch[[#This Row],[mergeDate]]))</f>
        <v>16'ww37</v>
      </c>
      <c r="U2159" s="7" t="str">
        <f>IF(ISBLANK(patch[[#This Row],[mergeDate]]), U2158, MID(YEAR(patch[[#This Row],[mergeDate]]), 3,2)&amp;"'m"&amp;MONTH(patch[[#This Row],[mergeDate]]))</f>
        <v>16'm9</v>
      </c>
      <c r="V2159" s="7" t="str">
        <f>IF(ISBLANK(patch[[#This Row],[project]]), "",SUM(patch[[#This Row],[BJ -1 num]:[SH -1 num]]))</f>
        <v/>
      </c>
      <c r="W2159" s="7" t="str">
        <f>IF(ISBLANK(patch[[#This Row],[project]]), "",COUNTIFS($A:$A,patch[[#This Row],[number]],$S:$S, "BJ And dev",$AC:$AC, "Review-1"))</f>
        <v/>
      </c>
      <c r="X2159" s="7" t="str">
        <f>IF(ISBLANK(patch[[#This Row],[project]]), "",COUNTIFS($A:$A,patch[[#This Row],[number]],$S:$S, "FL And dev",$AC:$AC, "Review-1"))</f>
        <v/>
      </c>
      <c r="Y2159" s="7" t="str">
        <f>IF(ISBLANK(patch[[#This Row],[project]]), "",COUNTIFS($A:$A,patch[[#This Row],[number]],$S:$S, "SH And dev",$AC:$AC, "Review-1"))</f>
        <v/>
      </c>
      <c r="Z2159" s="7" t="str">
        <f>IF(ISBLANK(patch[[#This Row],[project]]), "",COUNTIFS($A:$A,patch[[#This Row],[number]],$S:$S, "BJ And dev",$AD:$AD, "&lt;&gt;IntegratorValidationComment"))</f>
        <v/>
      </c>
      <c r="AA2159" s="7" t="str">
        <f>IF(ISBLANK(patch[[#This Row],[project]]), "",COUNTIFS($A:$A,patch[[#This Row],[number]],$S:$S, "FL And dev",$AD:$AD, "&lt;&gt;IntegratorValidationComment"))</f>
        <v/>
      </c>
      <c r="AB2159" s="7" t="str">
        <f>IF(ISBLANK(patch[[#This Row],[project]]), "",COUNTIFS($A:$A,patch[[#This Row],[number]],$S:$S, "SH And dev",$AD:$AD, "&lt;&gt;IntegratorValidationComment"))</f>
        <v/>
      </c>
      <c r="AC2159" s="7" t="str">
        <f>IF(OR(ISNUMBER(FIND("Review-1", patch[[#This Row],[comments]])), ISNUMBER(FIND("Approver-1", patch[[#This Row],[comments]]))), "Review-1", "")</f>
        <v/>
      </c>
      <c r="AD21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59" s="7">
        <f>IF(ISBLANK(patch[[#This Row],[number]]),AE2158,patch[[#This Row],[ifCommon]])</f>
        <v>0</v>
      </c>
    </row>
    <row r="2160" spans="1:31">
      <c r="A2160" s="151">
        <v>143757</v>
      </c>
      <c r="B2160" s="151"/>
      <c r="C2160" s="151"/>
      <c r="D2160" s="151"/>
      <c r="E2160" s="151"/>
      <c r="F2160" s="151"/>
      <c r="G2160" s="151"/>
      <c r="H2160" s="151"/>
      <c r="I2160" s="151"/>
      <c r="J2160" s="152">
        <v>42620.6796875</v>
      </c>
      <c r="K2160" s="151"/>
      <c r="L2160" s="151" t="s">
        <v>115</v>
      </c>
      <c r="M2160" s="152">
        <v>42620.507453703707</v>
      </c>
      <c r="N2160" s="151" t="s">
        <v>2497</v>
      </c>
      <c r="O2160" s="151"/>
      <c r="P2160" s="151"/>
      <c r="Q2160" s="7" t="str">
        <f>IF(ISBLANK(patch[[#This Row],[OwnerEmail]]),Q2159,patch[[#This Row],[OwnerEmail]])</f>
        <v>qingwu.zhang@intel.com</v>
      </c>
      <c r="R2160" s="7" t="str">
        <f>_xlfn.IFNA(VLOOKUP(patch[[#This Row],[tmp-owner.email]],OrgTree!$A:$K, 11, 0), "not ICG SWFW")</f>
        <v>BJ And dev</v>
      </c>
      <c r="S2160" s="7" t="str">
        <f>IF(patch[[#This Row],[reviewer]]=patch[[#This Row],[tmp-owner.email]], "author", _xlfn.IFNA(VLOOKUP(patch[[#This Row],[reviewer]],OrgTree!$A:$K, 11, 0), "not ICG SWFW"))</f>
        <v>Val</v>
      </c>
      <c r="T2160" s="7" t="str">
        <f>IF(ISBLANK(patch[[#This Row],[mergeDate]]), "", MID(YEAR(patch[[#This Row],[mergeDate]]), 3,2)&amp;"'ww"&amp;WEEKNUM(patch[[#This Row],[mergeDate]]))</f>
        <v>16'ww37</v>
      </c>
      <c r="U2160" s="7" t="str">
        <f>IF(ISBLANK(patch[[#This Row],[mergeDate]]), U2159, MID(YEAR(patch[[#This Row],[mergeDate]]), 3,2)&amp;"'m"&amp;MONTH(patch[[#This Row],[mergeDate]]))</f>
        <v>16'm9</v>
      </c>
      <c r="V2160" s="7" t="str">
        <f>IF(ISBLANK(patch[[#This Row],[project]]), "",SUM(patch[[#This Row],[BJ -1 num]:[SH -1 num]]))</f>
        <v/>
      </c>
      <c r="W2160" s="7" t="str">
        <f>IF(ISBLANK(patch[[#This Row],[project]]), "",COUNTIFS($A:$A,patch[[#This Row],[number]],$S:$S, "BJ And dev",$AC:$AC, "Review-1"))</f>
        <v/>
      </c>
      <c r="X2160" s="7" t="str">
        <f>IF(ISBLANK(patch[[#This Row],[project]]), "",COUNTIFS($A:$A,patch[[#This Row],[number]],$S:$S, "FL And dev",$AC:$AC, "Review-1"))</f>
        <v/>
      </c>
      <c r="Y2160" s="7" t="str">
        <f>IF(ISBLANK(patch[[#This Row],[project]]), "",COUNTIFS($A:$A,patch[[#This Row],[number]],$S:$S, "SH And dev",$AC:$AC, "Review-1"))</f>
        <v/>
      </c>
      <c r="Z2160" s="7" t="str">
        <f>IF(ISBLANK(patch[[#This Row],[project]]), "",COUNTIFS($A:$A,patch[[#This Row],[number]],$S:$S, "BJ And dev",$AD:$AD, "&lt;&gt;IntegratorValidationComment"))</f>
        <v/>
      </c>
      <c r="AA2160" s="7" t="str">
        <f>IF(ISBLANK(patch[[#This Row],[project]]), "",COUNTIFS($A:$A,patch[[#This Row],[number]],$S:$S, "FL And dev",$AD:$AD, "&lt;&gt;IntegratorValidationComment"))</f>
        <v/>
      </c>
      <c r="AB2160" s="7" t="str">
        <f>IF(ISBLANK(patch[[#This Row],[project]]), "",COUNTIFS($A:$A,patch[[#This Row],[number]],$S:$S, "SH And dev",$AD:$AD, "&lt;&gt;IntegratorValidationComment"))</f>
        <v/>
      </c>
      <c r="AC2160" s="7" t="str">
        <f>IF(OR(ISNUMBER(FIND("Review-1", patch[[#This Row],[comments]])), ISNUMBER(FIND("Approver-1", patch[[#This Row],[comments]]))), "Review-1", "")</f>
        <v/>
      </c>
      <c r="AD21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160" s="7">
        <f>IF(ISBLANK(patch[[#This Row],[number]]),AE2159,patch[[#This Row],[ifCommon]])</f>
        <v>0</v>
      </c>
    </row>
    <row r="2161" spans="1:31">
      <c r="A2161" s="151">
        <v>143757</v>
      </c>
      <c r="B2161" s="151"/>
      <c r="C2161" s="151"/>
      <c r="D2161" s="151"/>
      <c r="E2161" s="151"/>
      <c r="F2161" s="151"/>
      <c r="G2161" s="151"/>
      <c r="H2161" s="151"/>
      <c r="I2161" s="151"/>
      <c r="J2161" s="152">
        <v>42620.6796875</v>
      </c>
      <c r="K2161" s="151"/>
      <c r="L2161" s="151" t="s">
        <v>115</v>
      </c>
      <c r="M2161" s="152">
        <v>42620.557129629633</v>
      </c>
      <c r="N2161" s="151" t="s">
        <v>2451</v>
      </c>
      <c r="O2161" s="151"/>
      <c r="P2161" s="151"/>
      <c r="Q2161" s="7" t="str">
        <f>IF(ISBLANK(patch[[#This Row],[OwnerEmail]]),Q2160,patch[[#This Row],[OwnerEmail]])</f>
        <v>qingwu.zhang@intel.com</v>
      </c>
      <c r="R2161" s="7" t="str">
        <f>_xlfn.IFNA(VLOOKUP(patch[[#This Row],[tmp-owner.email]],OrgTree!$A:$K, 11, 0), "not ICG SWFW")</f>
        <v>BJ And dev</v>
      </c>
      <c r="S2161" s="7" t="str">
        <f>IF(patch[[#This Row],[reviewer]]=patch[[#This Row],[tmp-owner.email]], "author", _xlfn.IFNA(VLOOKUP(patch[[#This Row],[reviewer]],OrgTree!$A:$K, 11, 0), "not ICG SWFW"))</f>
        <v>Val</v>
      </c>
      <c r="T2161" s="7" t="str">
        <f>IF(ISBLANK(patch[[#This Row],[mergeDate]]), "", MID(YEAR(patch[[#This Row],[mergeDate]]), 3,2)&amp;"'ww"&amp;WEEKNUM(patch[[#This Row],[mergeDate]]))</f>
        <v>16'ww37</v>
      </c>
      <c r="U2161" s="7" t="str">
        <f>IF(ISBLANK(patch[[#This Row],[mergeDate]]), U2160, MID(YEAR(patch[[#This Row],[mergeDate]]), 3,2)&amp;"'m"&amp;MONTH(patch[[#This Row],[mergeDate]]))</f>
        <v>16'm9</v>
      </c>
      <c r="V2161" s="7" t="str">
        <f>IF(ISBLANK(patch[[#This Row],[project]]), "",SUM(patch[[#This Row],[BJ -1 num]:[SH -1 num]]))</f>
        <v/>
      </c>
      <c r="W2161" s="7" t="str">
        <f>IF(ISBLANK(patch[[#This Row],[project]]), "",COUNTIFS($A:$A,patch[[#This Row],[number]],$S:$S, "BJ And dev",$AC:$AC, "Review-1"))</f>
        <v/>
      </c>
      <c r="X2161" s="7" t="str">
        <f>IF(ISBLANK(patch[[#This Row],[project]]), "",COUNTIFS($A:$A,patch[[#This Row],[number]],$S:$S, "FL And dev",$AC:$AC, "Review-1"))</f>
        <v/>
      </c>
      <c r="Y2161" s="7" t="str">
        <f>IF(ISBLANK(patch[[#This Row],[project]]), "",COUNTIFS($A:$A,patch[[#This Row],[number]],$S:$S, "SH And dev",$AC:$AC, "Review-1"))</f>
        <v/>
      </c>
      <c r="Z2161" s="7" t="str">
        <f>IF(ISBLANK(patch[[#This Row],[project]]), "",COUNTIFS($A:$A,patch[[#This Row],[number]],$S:$S, "BJ And dev",$AD:$AD, "&lt;&gt;IntegratorValidationComment"))</f>
        <v/>
      </c>
      <c r="AA2161" s="7" t="str">
        <f>IF(ISBLANK(patch[[#This Row],[project]]), "",COUNTIFS($A:$A,patch[[#This Row],[number]],$S:$S, "FL And dev",$AD:$AD, "&lt;&gt;IntegratorValidationComment"))</f>
        <v/>
      </c>
      <c r="AB2161" s="7" t="str">
        <f>IF(ISBLANK(patch[[#This Row],[project]]), "",COUNTIFS($A:$A,patch[[#This Row],[number]],$S:$S, "SH And dev",$AD:$AD, "&lt;&gt;IntegratorValidationComment"))</f>
        <v/>
      </c>
      <c r="AC2161" s="7" t="str">
        <f>IF(OR(ISNUMBER(FIND("Review-1", patch[[#This Row],[comments]])), ISNUMBER(FIND("Approver-1", patch[[#This Row],[comments]]))), "Review-1", "")</f>
        <v/>
      </c>
      <c r="AD21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61" s="7">
        <f>IF(ISBLANK(patch[[#This Row],[number]]),AE2160,patch[[#This Row],[ifCommon]])</f>
        <v>0</v>
      </c>
    </row>
    <row r="2162" spans="1:31">
      <c r="A2162" s="151">
        <v>143757</v>
      </c>
      <c r="B2162" s="151"/>
      <c r="C2162" s="151"/>
      <c r="D2162" s="151"/>
      <c r="E2162" s="151"/>
      <c r="F2162" s="151"/>
      <c r="G2162" s="151"/>
      <c r="H2162" s="151"/>
      <c r="I2162" s="152"/>
      <c r="J2162" s="152">
        <v>42620.6796875</v>
      </c>
      <c r="K2162" s="151"/>
      <c r="L2162" s="151" t="s">
        <v>115</v>
      </c>
      <c r="M2162" s="152">
        <v>42620.557129629633</v>
      </c>
      <c r="N2162" s="151" t="s">
        <v>2536</v>
      </c>
      <c r="O2162" s="151"/>
      <c r="P2162" s="151"/>
      <c r="Q2162" s="7" t="str">
        <f>IF(ISBLANK(patch[[#This Row],[OwnerEmail]]),Q2161,patch[[#This Row],[OwnerEmail]])</f>
        <v>qingwu.zhang@intel.com</v>
      </c>
      <c r="R2162" s="7" t="str">
        <f>_xlfn.IFNA(VLOOKUP(patch[[#This Row],[tmp-owner.email]],OrgTree!$A:$K, 11, 0), "not ICG SWFW")</f>
        <v>BJ And dev</v>
      </c>
      <c r="S2162" s="7" t="str">
        <f>IF(patch[[#This Row],[reviewer]]=patch[[#This Row],[tmp-owner.email]], "author", _xlfn.IFNA(VLOOKUP(patch[[#This Row],[reviewer]],OrgTree!$A:$K, 11, 0), "not ICG SWFW"))</f>
        <v>Val</v>
      </c>
      <c r="T2162" s="7" t="str">
        <f>IF(ISBLANK(patch[[#This Row],[mergeDate]]), "", MID(YEAR(patch[[#This Row],[mergeDate]]), 3,2)&amp;"'ww"&amp;WEEKNUM(patch[[#This Row],[mergeDate]]))</f>
        <v>16'ww37</v>
      </c>
      <c r="U2162" s="7" t="str">
        <f>IF(ISBLANK(patch[[#This Row],[mergeDate]]), U2161, MID(YEAR(patch[[#This Row],[mergeDate]]), 3,2)&amp;"'m"&amp;MONTH(patch[[#This Row],[mergeDate]]))</f>
        <v>16'm9</v>
      </c>
      <c r="V2162" s="7" t="str">
        <f>IF(ISBLANK(patch[[#This Row],[project]]), "",SUM(patch[[#This Row],[BJ -1 num]:[SH -1 num]]))</f>
        <v/>
      </c>
      <c r="W2162" s="7" t="str">
        <f>IF(ISBLANK(patch[[#This Row],[project]]), "",COUNTIFS($A:$A,patch[[#This Row],[number]],$S:$S, "BJ And dev",$AC:$AC, "Review-1"))</f>
        <v/>
      </c>
      <c r="X2162" s="7" t="str">
        <f>IF(ISBLANK(patch[[#This Row],[project]]), "",COUNTIFS($A:$A,patch[[#This Row],[number]],$S:$S, "FL And dev",$AC:$AC, "Review-1"))</f>
        <v/>
      </c>
      <c r="Y2162" s="7" t="str">
        <f>IF(ISBLANK(patch[[#This Row],[project]]), "",COUNTIFS($A:$A,patch[[#This Row],[number]],$S:$S, "SH And dev",$AC:$AC, "Review-1"))</f>
        <v/>
      </c>
      <c r="Z2162" s="7" t="str">
        <f>IF(ISBLANK(patch[[#This Row],[project]]), "",COUNTIFS($A:$A,patch[[#This Row],[number]],$S:$S, "BJ And dev",$AD:$AD, "&lt;&gt;IntegratorValidationComment"))</f>
        <v/>
      </c>
      <c r="AA2162" s="7" t="str">
        <f>IF(ISBLANK(patch[[#This Row],[project]]), "",COUNTIFS($A:$A,patch[[#This Row],[number]],$S:$S, "FL And dev",$AD:$AD, "&lt;&gt;IntegratorValidationComment"))</f>
        <v/>
      </c>
      <c r="AB2162" s="7" t="str">
        <f>IF(ISBLANK(patch[[#This Row],[project]]), "",COUNTIFS($A:$A,patch[[#This Row],[number]],$S:$S, "SH And dev",$AD:$AD, "&lt;&gt;IntegratorValidationComment"))</f>
        <v/>
      </c>
      <c r="AC2162" s="7" t="str">
        <f>IF(OR(ISNUMBER(FIND("Review-1", patch[[#This Row],[comments]])), ISNUMBER(FIND("Approver-1", patch[[#This Row],[comments]]))), "Review-1", "")</f>
        <v/>
      </c>
      <c r="AD21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62" s="7">
        <f>IF(ISBLANK(patch[[#This Row],[number]]),AE2161,patch[[#This Row],[ifCommon]])</f>
        <v>0</v>
      </c>
    </row>
    <row r="2163" spans="1:31">
      <c r="A2163" s="151">
        <v>143757</v>
      </c>
      <c r="B2163" s="151"/>
      <c r="C2163" s="151"/>
      <c r="D2163" s="151"/>
      <c r="E2163" s="151"/>
      <c r="F2163" s="151"/>
      <c r="G2163" s="151"/>
      <c r="H2163" s="151"/>
      <c r="I2163" s="151"/>
      <c r="J2163" s="152">
        <v>42620.6796875</v>
      </c>
      <c r="K2163" s="151"/>
      <c r="L2163" s="151" t="s">
        <v>59</v>
      </c>
      <c r="M2163" s="152">
        <v>42620.563923611109</v>
      </c>
      <c r="N2163" s="151" t="s">
        <v>3649</v>
      </c>
      <c r="O2163" s="151"/>
      <c r="P2163" s="151"/>
      <c r="Q2163" s="7" t="str">
        <f>IF(ISBLANK(patch[[#This Row],[OwnerEmail]]),Q2162,patch[[#This Row],[OwnerEmail]])</f>
        <v>qingwu.zhang@intel.com</v>
      </c>
      <c r="R2163" s="7" t="str">
        <f>_xlfn.IFNA(VLOOKUP(patch[[#This Row],[tmp-owner.email]],OrgTree!$A:$K, 11, 0), "not ICG SWFW")</f>
        <v>BJ And dev</v>
      </c>
      <c r="S2163" s="7" t="str">
        <f>IF(patch[[#This Row],[reviewer]]=patch[[#This Row],[tmp-owner.email]], "author", _xlfn.IFNA(VLOOKUP(patch[[#This Row],[reviewer]],OrgTree!$A:$K, 11, 0), "not ICG SWFW"))</f>
        <v>BJ And dev</v>
      </c>
      <c r="T2163" s="7" t="str">
        <f>IF(ISBLANK(patch[[#This Row],[mergeDate]]), "", MID(YEAR(patch[[#This Row],[mergeDate]]), 3,2)&amp;"'ww"&amp;WEEKNUM(patch[[#This Row],[mergeDate]]))</f>
        <v>16'ww37</v>
      </c>
      <c r="U2163" s="7" t="str">
        <f>IF(ISBLANK(patch[[#This Row],[mergeDate]]), U2162, MID(YEAR(patch[[#This Row],[mergeDate]]), 3,2)&amp;"'m"&amp;MONTH(patch[[#This Row],[mergeDate]]))</f>
        <v>16'm9</v>
      </c>
      <c r="V2163" s="7" t="str">
        <f>IF(ISBLANK(patch[[#This Row],[project]]), "",SUM(patch[[#This Row],[BJ -1 num]:[SH -1 num]]))</f>
        <v/>
      </c>
      <c r="W2163" s="7" t="str">
        <f>IF(ISBLANK(patch[[#This Row],[project]]), "",COUNTIFS($A:$A,patch[[#This Row],[number]],$S:$S, "BJ And dev",$AC:$AC, "Review-1"))</f>
        <v/>
      </c>
      <c r="X2163" s="7" t="str">
        <f>IF(ISBLANK(patch[[#This Row],[project]]), "",COUNTIFS($A:$A,patch[[#This Row],[number]],$S:$S, "FL And dev",$AC:$AC, "Review-1"))</f>
        <v/>
      </c>
      <c r="Y2163" s="7" t="str">
        <f>IF(ISBLANK(patch[[#This Row],[project]]), "",COUNTIFS($A:$A,patch[[#This Row],[number]],$S:$S, "SH And dev",$AC:$AC, "Review-1"))</f>
        <v/>
      </c>
      <c r="Z2163" s="7" t="str">
        <f>IF(ISBLANK(patch[[#This Row],[project]]), "",COUNTIFS($A:$A,patch[[#This Row],[number]],$S:$S, "BJ And dev",$AD:$AD, "&lt;&gt;IntegratorValidationComment"))</f>
        <v/>
      </c>
      <c r="AA2163" s="7" t="str">
        <f>IF(ISBLANK(patch[[#This Row],[project]]), "",COUNTIFS($A:$A,patch[[#This Row],[number]],$S:$S, "FL And dev",$AD:$AD, "&lt;&gt;IntegratorValidationComment"))</f>
        <v/>
      </c>
      <c r="AB2163" s="7" t="str">
        <f>IF(ISBLANK(patch[[#This Row],[project]]), "",COUNTIFS($A:$A,patch[[#This Row],[number]],$S:$S, "SH And dev",$AD:$AD, "&lt;&gt;IntegratorValidationComment"))</f>
        <v/>
      </c>
      <c r="AC2163" s="7" t="str">
        <f>IF(OR(ISNUMBER(FIND("Review-1", patch[[#This Row],[comments]])), ISNUMBER(FIND("Approver-1", patch[[#This Row],[comments]]))), "Review-1", "")</f>
        <v/>
      </c>
      <c r="AD21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63" s="7">
        <f>IF(ISBLANK(patch[[#This Row],[number]]),AE2162,patch[[#This Row],[ifCommon]])</f>
        <v>0</v>
      </c>
    </row>
    <row r="2164" spans="1:31">
      <c r="A2164" s="151">
        <v>143757</v>
      </c>
      <c r="B2164" s="151"/>
      <c r="C2164" s="151"/>
      <c r="D2164" s="151"/>
      <c r="E2164" s="151"/>
      <c r="F2164" s="151"/>
      <c r="G2164" s="151"/>
      <c r="H2164" s="151"/>
      <c r="I2164" s="151"/>
      <c r="J2164" s="152">
        <v>42620.6796875</v>
      </c>
      <c r="K2164" s="151"/>
      <c r="L2164" s="151" t="s">
        <v>24</v>
      </c>
      <c r="M2164" s="152">
        <v>42634.616493055553</v>
      </c>
      <c r="N2164" s="151" t="s">
        <v>3650</v>
      </c>
      <c r="O2164" s="151"/>
      <c r="P2164" s="151"/>
      <c r="Q2164" s="7" t="str">
        <f>IF(ISBLANK(patch[[#This Row],[OwnerEmail]]),Q2163,patch[[#This Row],[OwnerEmail]])</f>
        <v>qingwu.zhang@intel.com</v>
      </c>
      <c r="R2164" s="7" t="str">
        <f>_xlfn.IFNA(VLOOKUP(patch[[#This Row],[tmp-owner.email]],OrgTree!$A:$K, 11, 0), "not ICG SWFW")</f>
        <v>BJ And dev</v>
      </c>
      <c r="S2164" s="7" t="str">
        <f>IF(patch[[#This Row],[reviewer]]=patch[[#This Row],[tmp-owner.email]], "author", _xlfn.IFNA(VLOOKUP(patch[[#This Row],[reviewer]],OrgTree!$A:$K, 11, 0), "not ICG SWFW"))</f>
        <v>author</v>
      </c>
      <c r="T2164" s="7" t="str">
        <f>IF(ISBLANK(patch[[#This Row],[mergeDate]]), "", MID(YEAR(patch[[#This Row],[mergeDate]]), 3,2)&amp;"'ww"&amp;WEEKNUM(patch[[#This Row],[mergeDate]]))</f>
        <v>16'ww37</v>
      </c>
      <c r="U2164" s="7" t="str">
        <f>IF(ISBLANK(patch[[#This Row],[mergeDate]]), U2163, MID(YEAR(patch[[#This Row],[mergeDate]]), 3,2)&amp;"'m"&amp;MONTH(patch[[#This Row],[mergeDate]]))</f>
        <v>16'm9</v>
      </c>
      <c r="V2164" s="7" t="str">
        <f>IF(ISBLANK(patch[[#This Row],[project]]), "",SUM(patch[[#This Row],[BJ -1 num]:[SH -1 num]]))</f>
        <v/>
      </c>
      <c r="W2164" s="7" t="str">
        <f>IF(ISBLANK(patch[[#This Row],[project]]), "",COUNTIFS($A:$A,patch[[#This Row],[number]],$S:$S, "BJ And dev",$AC:$AC, "Review-1"))</f>
        <v/>
      </c>
      <c r="X2164" s="7" t="str">
        <f>IF(ISBLANK(patch[[#This Row],[project]]), "",COUNTIFS($A:$A,patch[[#This Row],[number]],$S:$S, "FL And dev",$AC:$AC, "Review-1"))</f>
        <v/>
      </c>
      <c r="Y2164" s="7" t="str">
        <f>IF(ISBLANK(patch[[#This Row],[project]]), "",COUNTIFS($A:$A,patch[[#This Row],[number]],$S:$S, "SH And dev",$AC:$AC, "Review-1"))</f>
        <v/>
      </c>
      <c r="Z2164" s="7" t="str">
        <f>IF(ISBLANK(patch[[#This Row],[project]]), "",COUNTIFS($A:$A,patch[[#This Row],[number]],$S:$S, "BJ And dev",$AD:$AD, "&lt;&gt;IntegratorValidationComment"))</f>
        <v/>
      </c>
      <c r="AA2164" s="7" t="str">
        <f>IF(ISBLANK(patch[[#This Row],[project]]), "",COUNTIFS($A:$A,patch[[#This Row],[number]],$S:$S, "FL And dev",$AD:$AD, "&lt;&gt;IntegratorValidationComment"))</f>
        <v/>
      </c>
      <c r="AB2164" s="7" t="str">
        <f>IF(ISBLANK(patch[[#This Row],[project]]), "",COUNTIFS($A:$A,patch[[#This Row],[number]],$S:$S, "SH And dev",$AD:$AD, "&lt;&gt;IntegratorValidationComment"))</f>
        <v/>
      </c>
      <c r="AC2164" s="7" t="str">
        <f>IF(OR(ISNUMBER(FIND("Review-1", patch[[#This Row],[comments]])), ISNUMBER(FIND("Approver-1", patch[[#This Row],[comments]]))), "Review-1", "")</f>
        <v/>
      </c>
      <c r="AD21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64" s="7">
        <f>IF(ISBLANK(patch[[#This Row],[number]]),AE2163,patch[[#This Row],[ifCommon]])</f>
        <v>0</v>
      </c>
    </row>
    <row r="2165" spans="1:31">
      <c r="A2165" s="151">
        <v>142780</v>
      </c>
      <c r="B2165" s="151" t="s">
        <v>2490</v>
      </c>
      <c r="C2165" s="151" t="s">
        <v>2491</v>
      </c>
      <c r="D2165" s="151" t="s">
        <v>3651</v>
      </c>
      <c r="E2165" s="151" t="s">
        <v>63</v>
      </c>
      <c r="F2165" s="151" t="s">
        <v>23</v>
      </c>
      <c r="G2165" s="151" t="s">
        <v>3652</v>
      </c>
      <c r="H2165" s="151" t="s">
        <v>3653</v>
      </c>
      <c r="I2165" s="152">
        <v>42614.656331018523</v>
      </c>
      <c r="J2165" s="152">
        <v>42620.678576388891</v>
      </c>
      <c r="K2165" s="151" t="s">
        <v>2445</v>
      </c>
      <c r="L2165" s="151" t="s">
        <v>63</v>
      </c>
      <c r="M2165" s="152">
        <v>42614.656331018523</v>
      </c>
      <c r="N2165" s="151" t="s">
        <v>2428</v>
      </c>
      <c r="O2165" s="151"/>
      <c r="P2165" s="151" t="s">
        <v>3654</v>
      </c>
      <c r="Q2165" s="7" t="str">
        <f>IF(ISBLANK(patch[[#This Row],[OwnerEmail]]),Q2164,patch[[#This Row],[OwnerEmail]])</f>
        <v>zongx.li@intel.com</v>
      </c>
      <c r="R2165" s="7" t="str">
        <f>_xlfn.IFNA(VLOOKUP(patch[[#This Row],[tmp-owner.email]],OrgTree!$A:$K, 11, 0), "not ICG SWFW")</f>
        <v>BJ And dev</v>
      </c>
      <c r="S2165" s="7" t="str">
        <f>IF(patch[[#This Row],[reviewer]]=patch[[#This Row],[tmp-owner.email]], "author", _xlfn.IFNA(VLOOKUP(patch[[#This Row],[reviewer]],OrgTree!$A:$K, 11, 0), "not ICG SWFW"))</f>
        <v>author</v>
      </c>
      <c r="T2165" s="7" t="str">
        <f>IF(ISBLANK(patch[[#This Row],[mergeDate]]), "", MID(YEAR(patch[[#This Row],[mergeDate]]), 3,2)&amp;"'ww"&amp;WEEKNUM(patch[[#This Row],[mergeDate]]))</f>
        <v>16'ww37</v>
      </c>
      <c r="U2165" s="7" t="str">
        <f>IF(ISBLANK(patch[[#This Row],[mergeDate]]), U2164, MID(YEAR(patch[[#This Row],[mergeDate]]), 3,2)&amp;"'m"&amp;MONTH(patch[[#This Row],[mergeDate]]))</f>
        <v>16'm9</v>
      </c>
      <c r="V2165" s="7">
        <f>IF(ISBLANK(patch[[#This Row],[project]]), "",SUM(patch[[#This Row],[BJ -1 num]:[SH -1 num]]))</f>
        <v>1</v>
      </c>
      <c r="W2165" s="7">
        <f>IF(ISBLANK(patch[[#This Row],[project]]), "",COUNTIFS($A:$A,patch[[#This Row],[number]],$S:$S, "BJ And dev",$AC:$AC, "Review-1"))</f>
        <v>1</v>
      </c>
      <c r="X2165" s="7">
        <f>IF(ISBLANK(patch[[#This Row],[project]]), "",COUNTIFS($A:$A,patch[[#This Row],[number]],$S:$S, "FL And dev",$AC:$AC, "Review-1"))</f>
        <v>0</v>
      </c>
      <c r="Y2165" s="7">
        <f>IF(ISBLANK(patch[[#This Row],[project]]), "",COUNTIFS($A:$A,patch[[#This Row],[number]],$S:$S, "SH And dev",$AC:$AC, "Review-1"))</f>
        <v>0</v>
      </c>
      <c r="Z2165" s="7">
        <f>IF(ISBLANK(patch[[#This Row],[project]]), "",COUNTIFS($A:$A,patch[[#This Row],[number]],$S:$S, "BJ And dev",$AD:$AD, "&lt;&gt;IntegratorValidationComment"))</f>
        <v>14</v>
      </c>
      <c r="AA2165" s="7">
        <f>IF(ISBLANK(patch[[#This Row],[project]]), "",COUNTIFS($A:$A,patch[[#This Row],[number]],$S:$S, "FL And dev",$AD:$AD, "&lt;&gt;IntegratorValidationComment"))</f>
        <v>0</v>
      </c>
      <c r="AB2165" s="7">
        <f>IF(ISBLANK(patch[[#This Row],[project]]), "",COUNTIFS($A:$A,patch[[#This Row],[number]],$S:$S, "SH And dev",$AD:$AD, "&lt;&gt;IntegratorValidationComment"))</f>
        <v>0</v>
      </c>
      <c r="AC2165" s="7" t="str">
        <f>IF(OR(ISNUMBER(FIND("Review-1", patch[[#This Row],[comments]])), ISNUMBER(FIND("Approver-1", patch[[#This Row],[comments]]))), "Review-1", "")</f>
        <v/>
      </c>
      <c r="AD21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65" s="7" t="str">
        <f>IF(ISBLANK(patch[[#This Row],[number]]),AE2164,patch[[#This Row],[ifCommon]])</f>
        <v>not AndrHAL</v>
      </c>
    </row>
    <row r="2166" spans="1:31">
      <c r="A2166" s="151">
        <v>142780</v>
      </c>
      <c r="B2166" s="151"/>
      <c r="C2166" s="151"/>
      <c r="D2166" s="151"/>
      <c r="E2166" s="151"/>
      <c r="F2166" s="151"/>
      <c r="G2166" s="151"/>
      <c r="H2166" s="151"/>
      <c r="I2166" s="151"/>
      <c r="J2166" s="152">
        <v>42620.678576388891</v>
      </c>
      <c r="K2166" s="151"/>
      <c r="L2166" s="151" t="s">
        <v>63</v>
      </c>
      <c r="M2166" s="152">
        <v>42614.656331018523</v>
      </c>
      <c r="N2166" s="151" t="s">
        <v>25</v>
      </c>
      <c r="O2166" s="151"/>
      <c r="P2166" s="151"/>
      <c r="Q2166" s="7" t="str">
        <f>IF(ISBLANK(patch[[#This Row],[OwnerEmail]]),Q2165,patch[[#This Row],[OwnerEmail]])</f>
        <v>zongx.li@intel.com</v>
      </c>
      <c r="R2166" s="7" t="str">
        <f>_xlfn.IFNA(VLOOKUP(patch[[#This Row],[tmp-owner.email]],OrgTree!$A:$K, 11, 0), "not ICG SWFW")</f>
        <v>BJ And dev</v>
      </c>
      <c r="S2166" s="7" t="str">
        <f>IF(patch[[#This Row],[reviewer]]=patch[[#This Row],[tmp-owner.email]], "author", _xlfn.IFNA(VLOOKUP(patch[[#This Row],[reviewer]],OrgTree!$A:$K, 11, 0), "not ICG SWFW"))</f>
        <v>author</v>
      </c>
      <c r="T2166" s="7" t="str">
        <f>IF(ISBLANK(patch[[#This Row],[mergeDate]]), "", MID(YEAR(patch[[#This Row],[mergeDate]]), 3,2)&amp;"'ww"&amp;WEEKNUM(patch[[#This Row],[mergeDate]]))</f>
        <v>16'ww37</v>
      </c>
      <c r="U2166" s="7" t="str">
        <f>IF(ISBLANK(patch[[#This Row],[mergeDate]]), U2165, MID(YEAR(patch[[#This Row],[mergeDate]]), 3,2)&amp;"'m"&amp;MONTH(patch[[#This Row],[mergeDate]]))</f>
        <v>16'm9</v>
      </c>
      <c r="V2166" s="7" t="str">
        <f>IF(ISBLANK(patch[[#This Row],[project]]), "",SUM(patch[[#This Row],[BJ -1 num]:[SH -1 num]]))</f>
        <v/>
      </c>
      <c r="W2166" s="7" t="str">
        <f>IF(ISBLANK(patch[[#This Row],[project]]), "",COUNTIFS($A:$A,patch[[#This Row],[number]],$S:$S, "BJ And dev",$AC:$AC, "Review-1"))</f>
        <v/>
      </c>
      <c r="X2166" s="7" t="str">
        <f>IF(ISBLANK(patch[[#This Row],[project]]), "",COUNTIFS($A:$A,patch[[#This Row],[number]],$S:$S, "FL And dev",$AC:$AC, "Review-1"))</f>
        <v/>
      </c>
      <c r="Y2166" s="7" t="str">
        <f>IF(ISBLANK(patch[[#This Row],[project]]), "",COUNTIFS($A:$A,patch[[#This Row],[number]],$S:$S, "SH And dev",$AC:$AC, "Review-1"))</f>
        <v/>
      </c>
      <c r="Z2166" s="7" t="str">
        <f>IF(ISBLANK(patch[[#This Row],[project]]), "",COUNTIFS($A:$A,patch[[#This Row],[number]],$S:$S, "BJ And dev",$AD:$AD, "&lt;&gt;IntegratorValidationComment"))</f>
        <v/>
      </c>
      <c r="AA2166" s="7" t="str">
        <f>IF(ISBLANK(patch[[#This Row],[project]]), "",COUNTIFS($A:$A,patch[[#This Row],[number]],$S:$S, "FL And dev",$AD:$AD, "&lt;&gt;IntegratorValidationComment"))</f>
        <v/>
      </c>
      <c r="AB2166" s="7" t="str">
        <f>IF(ISBLANK(patch[[#This Row],[project]]), "",COUNTIFS($A:$A,patch[[#This Row],[number]],$S:$S, "SH And dev",$AD:$AD, "&lt;&gt;IntegratorValidationComment"))</f>
        <v/>
      </c>
      <c r="AC2166" s="7" t="str">
        <f>IF(OR(ISNUMBER(FIND("Review-1", patch[[#This Row],[comments]])), ISNUMBER(FIND("Approver-1", patch[[#This Row],[comments]]))), "Review-1", "")</f>
        <v/>
      </c>
      <c r="AD21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66" s="7">
        <f>IF(ISBLANK(patch[[#This Row],[number]]),AE2165,patch[[#This Row],[ifCommon]])</f>
        <v>0</v>
      </c>
    </row>
    <row r="2167" spans="1:31">
      <c r="A2167" s="151">
        <v>142780</v>
      </c>
      <c r="B2167" s="151"/>
      <c r="C2167" s="151"/>
      <c r="D2167" s="151"/>
      <c r="E2167" s="151"/>
      <c r="F2167" s="151"/>
      <c r="G2167" s="151"/>
      <c r="H2167" s="151"/>
      <c r="I2167" s="151"/>
      <c r="J2167" s="152">
        <v>42620.678576388891</v>
      </c>
      <c r="K2167" s="151"/>
      <c r="L2167" s="151" t="s">
        <v>59</v>
      </c>
      <c r="M2167" s="152">
        <v>42614.661226851851</v>
      </c>
      <c r="N2167" s="151" t="s">
        <v>3655</v>
      </c>
      <c r="O2167" s="151"/>
      <c r="P2167" s="151"/>
      <c r="Q2167" s="7" t="str">
        <f>IF(ISBLANK(patch[[#This Row],[OwnerEmail]]),Q2166,patch[[#This Row],[OwnerEmail]])</f>
        <v>zongx.li@intel.com</v>
      </c>
      <c r="R2167" s="7" t="str">
        <f>_xlfn.IFNA(VLOOKUP(patch[[#This Row],[tmp-owner.email]],OrgTree!$A:$K, 11, 0), "not ICG SWFW")</f>
        <v>BJ And dev</v>
      </c>
      <c r="S2167" s="7" t="str">
        <f>IF(patch[[#This Row],[reviewer]]=patch[[#This Row],[tmp-owner.email]], "author", _xlfn.IFNA(VLOOKUP(patch[[#This Row],[reviewer]],OrgTree!$A:$K, 11, 0), "not ICG SWFW"))</f>
        <v>BJ And dev</v>
      </c>
      <c r="T2167" s="7" t="str">
        <f>IF(ISBLANK(patch[[#This Row],[mergeDate]]), "", MID(YEAR(patch[[#This Row],[mergeDate]]), 3,2)&amp;"'ww"&amp;WEEKNUM(patch[[#This Row],[mergeDate]]))</f>
        <v>16'ww37</v>
      </c>
      <c r="U2167" s="7" t="str">
        <f>IF(ISBLANK(patch[[#This Row],[mergeDate]]), U2166, MID(YEAR(patch[[#This Row],[mergeDate]]), 3,2)&amp;"'m"&amp;MONTH(patch[[#This Row],[mergeDate]]))</f>
        <v>16'm9</v>
      </c>
      <c r="V2167" s="7" t="str">
        <f>IF(ISBLANK(patch[[#This Row],[project]]), "",SUM(patch[[#This Row],[BJ -1 num]:[SH -1 num]]))</f>
        <v/>
      </c>
      <c r="W2167" s="7" t="str">
        <f>IF(ISBLANK(patch[[#This Row],[project]]), "",COUNTIFS($A:$A,patch[[#This Row],[number]],$S:$S, "BJ And dev",$AC:$AC, "Review-1"))</f>
        <v/>
      </c>
      <c r="X2167" s="7" t="str">
        <f>IF(ISBLANK(patch[[#This Row],[project]]), "",COUNTIFS($A:$A,patch[[#This Row],[number]],$S:$S, "FL And dev",$AC:$AC, "Review-1"))</f>
        <v/>
      </c>
      <c r="Y2167" s="7" t="str">
        <f>IF(ISBLANK(patch[[#This Row],[project]]), "",COUNTIFS($A:$A,patch[[#This Row],[number]],$S:$S, "SH And dev",$AC:$AC, "Review-1"))</f>
        <v/>
      </c>
      <c r="Z2167" s="7" t="str">
        <f>IF(ISBLANK(patch[[#This Row],[project]]), "",COUNTIFS($A:$A,patch[[#This Row],[number]],$S:$S, "BJ And dev",$AD:$AD, "&lt;&gt;IntegratorValidationComment"))</f>
        <v/>
      </c>
      <c r="AA2167" s="7" t="str">
        <f>IF(ISBLANK(patch[[#This Row],[project]]), "",COUNTIFS($A:$A,patch[[#This Row],[number]],$S:$S, "FL And dev",$AD:$AD, "&lt;&gt;IntegratorValidationComment"))</f>
        <v/>
      </c>
      <c r="AB2167" s="7" t="str">
        <f>IF(ISBLANK(patch[[#This Row],[project]]), "",COUNTIFS($A:$A,patch[[#This Row],[number]],$S:$S, "SH And dev",$AD:$AD, "&lt;&gt;IntegratorValidationComment"))</f>
        <v/>
      </c>
      <c r="AC2167" s="7" t="str">
        <f>IF(OR(ISNUMBER(FIND("Review-1", patch[[#This Row],[comments]])), ISNUMBER(FIND("Approver-1", patch[[#This Row],[comments]]))), "Review-1", "")</f>
        <v/>
      </c>
      <c r="AD21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67" s="7">
        <f>IF(ISBLANK(patch[[#This Row],[number]]),AE2166,patch[[#This Row],[ifCommon]])</f>
        <v>0</v>
      </c>
    </row>
    <row r="2168" spans="1:31">
      <c r="A2168" s="151">
        <v>142780</v>
      </c>
      <c r="B2168" s="151"/>
      <c r="C2168" s="151"/>
      <c r="D2168" s="151"/>
      <c r="E2168" s="151"/>
      <c r="F2168" s="151"/>
      <c r="G2168" s="151"/>
      <c r="H2168" s="151"/>
      <c r="I2168" s="151"/>
      <c r="J2168" s="152">
        <v>42620.678576388891</v>
      </c>
      <c r="K2168" s="151"/>
      <c r="L2168" s="151" t="s">
        <v>59</v>
      </c>
      <c r="M2168" s="152">
        <v>42614.664247685178</v>
      </c>
      <c r="N2168" s="151" t="s">
        <v>3656</v>
      </c>
      <c r="O2168" s="151"/>
      <c r="P2168" s="151"/>
      <c r="Q2168" s="7" t="str">
        <f>IF(ISBLANK(patch[[#This Row],[OwnerEmail]]),Q2167,patch[[#This Row],[OwnerEmail]])</f>
        <v>zongx.li@intel.com</v>
      </c>
      <c r="R2168" s="7" t="str">
        <f>_xlfn.IFNA(VLOOKUP(patch[[#This Row],[tmp-owner.email]],OrgTree!$A:$K, 11, 0), "not ICG SWFW")</f>
        <v>BJ And dev</v>
      </c>
      <c r="S2168" s="7" t="str">
        <f>IF(patch[[#This Row],[reviewer]]=patch[[#This Row],[tmp-owner.email]], "author", _xlfn.IFNA(VLOOKUP(patch[[#This Row],[reviewer]],OrgTree!$A:$K, 11, 0), "not ICG SWFW"))</f>
        <v>BJ And dev</v>
      </c>
      <c r="T2168" s="7" t="str">
        <f>IF(ISBLANK(patch[[#This Row],[mergeDate]]), "", MID(YEAR(patch[[#This Row],[mergeDate]]), 3,2)&amp;"'ww"&amp;WEEKNUM(patch[[#This Row],[mergeDate]]))</f>
        <v>16'ww37</v>
      </c>
      <c r="U2168" s="7" t="str">
        <f>IF(ISBLANK(patch[[#This Row],[mergeDate]]), U2167, MID(YEAR(patch[[#This Row],[mergeDate]]), 3,2)&amp;"'m"&amp;MONTH(patch[[#This Row],[mergeDate]]))</f>
        <v>16'm9</v>
      </c>
      <c r="V2168" s="7" t="str">
        <f>IF(ISBLANK(patch[[#This Row],[project]]), "",SUM(patch[[#This Row],[BJ -1 num]:[SH -1 num]]))</f>
        <v/>
      </c>
      <c r="W2168" s="7" t="str">
        <f>IF(ISBLANK(patch[[#This Row],[project]]), "",COUNTIFS($A:$A,patch[[#This Row],[number]],$S:$S, "BJ And dev",$AC:$AC, "Review-1"))</f>
        <v/>
      </c>
      <c r="X2168" s="7" t="str">
        <f>IF(ISBLANK(patch[[#This Row],[project]]), "",COUNTIFS($A:$A,patch[[#This Row],[number]],$S:$S, "FL And dev",$AC:$AC, "Review-1"))</f>
        <v/>
      </c>
      <c r="Y2168" s="7" t="str">
        <f>IF(ISBLANK(patch[[#This Row],[project]]), "",COUNTIFS($A:$A,patch[[#This Row],[number]],$S:$S, "SH And dev",$AC:$AC, "Review-1"))</f>
        <v/>
      </c>
      <c r="Z2168" s="7" t="str">
        <f>IF(ISBLANK(patch[[#This Row],[project]]), "",COUNTIFS($A:$A,patch[[#This Row],[number]],$S:$S, "BJ And dev",$AD:$AD, "&lt;&gt;IntegratorValidationComment"))</f>
        <v/>
      </c>
      <c r="AA2168" s="7" t="str">
        <f>IF(ISBLANK(patch[[#This Row],[project]]), "",COUNTIFS($A:$A,patch[[#This Row],[number]],$S:$S, "FL And dev",$AD:$AD, "&lt;&gt;IntegratorValidationComment"))</f>
        <v/>
      </c>
      <c r="AB2168" s="7" t="str">
        <f>IF(ISBLANK(patch[[#This Row],[project]]), "",COUNTIFS($A:$A,patch[[#This Row],[number]],$S:$S, "SH And dev",$AD:$AD, "&lt;&gt;IntegratorValidationComment"))</f>
        <v/>
      </c>
      <c r="AC2168" s="7" t="str">
        <f>IF(OR(ISNUMBER(FIND("Review-1", patch[[#This Row],[comments]])), ISNUMBER(FIND("Approver-1", patch[[#This Row],[comments]]))), "Review-1", "")</f>
        <v/>
      </c>
      <c r="AD21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68" s="7">
        <f>IF(ISBLANK(patch[[#This Row],[number]]),AE2167,patch[[#This Row],[ifCommon]])</f>
        <v>0</v>
      </c>
    </row>
    <row r="2169" spans="1:31">
      <c r="A2169" s="151">
        <v>142780</v>
      </c>
      <c r="B2169" s="151"/>
      <c r="C2169" s="151"/>
      <c r="D2169" s="151"/>
      <c r="E2169" s="151"/>
      <c r="F2169" s="151"/>
      <c r="G2169" s="151"/>
      <c r="H2169" s="151"/>
      <c r="I2169" s="151"/>
      <c r="J2169" s="152">
        <v>42620.678576388891</v>
      </c>
      <c r="K2169" s="151"/>
      <c r="L2169" s="151" t="s">
        <v>63</v>
      </c>
      <c r="M2169" s="152">
        <v>42615.794050925928</v>
      </c>
      <c r="N2169" s="151" t="s">
        <v>2429</v>
      </c>
      <c r="O2169" s="151"/>
      <c r="P2169" s="151"/>
      <c r="Q2169" s="7" t="str">
        <f>IF(ISBLANK(patch[[#This Row],[OwnerEmail]]),Q2168,patch[[#This Row],[OwnerEmail]])</f>
        <v>zongx.li@intel.com</v>
      </c>
      <c r="R2169" s="7" t="str">
        <f>_xlfn.IFNA(VLOOKUP(patch[[#This Row],[tmp-owner.email]],OrgTree!$A:$K, 11, 0), "not ICG SWFW")</f>
        <v>BJ And dev</v>
      </c>
      <c r="S2169" s="7" t="str">
        <f>IF(patch[[#This Row],[reviewer]]=patch[[#This Row],[tmp-owner.email]], "author", _xlfn.IFNA(VLOOKUP(patch[[#This Row],[reviewer]],OrgTree!$A:$K, 11, 0), "not ICG SWFW"))</f>
        <v>author</v>
      </c>
      <c r="T2169" s="7" t="str">
        <f>IF(ISBLANK(patch[[#This Row],[mergeDate]]), "", MID(YEAR(patch[[#This Row],[mergeDate]]), 3,2)&amp;"'ww"&amp;WEEKNUM(patch[[#This Row],[mergeDate]]))</f>
        <v>16'ww37</v>
      </c>
      <c r="U2169" s="7" t="str">
        <f>IF(ISBLANK(patch[[#This Row],[mergeDate]]), U2168, MID(YEAR(patch[[#This Row],[mergeDate]]), 3,2)&amp;"'m"&amp;MONTH(patch[[#This Row],[mergeDate]]))</f>
        <v>16'm9</v>
      </c>
      <c r="V2169" s="7" t="str">
        <f>IF(ISBLANK(patch[[#This Row],[project]]), "",SUM(patch[[#This Row],[BJ -1 num]:[SH -1 num]]))</f>
        <v/>
      </c>
      <c r="W2169" s="7" t="str">
        <f>IF(ISBLANK(patch[[#This Row],[project]]), "",COUNTIFS($A:$A,patch[[#This Row],[number]],$S:$S, "BJ And dev",$AC:$AC, "Review-1"))</f>
        <v/>
      </c>
      <c r="X2169" s="7" t="str">
        <f>IF(ISBLANK(patch[[#This Row],[project]]), "",COUNTIFS($A:$A,patch[[#This Row],[number]],$S:$S, "FL And dev",$AC:$AC, "Review-1"))</f>
        <v/>
      </c>
      <c r="Y2169" s="7" t="str">
        <f>IF(ISBLANK(patch[[#This Row],[project]]), "",COUNTIFS($A:$A,patch[[#This Row],[number]],$S:$S, "SH And dev",$AC:$AC, "Review-1"))</f>
        <v/>
      </c>
      <c r="Z2169" s="7" t="str">
        <f>IF(ISBLANK(patch[[#This Row],[project]]), "",COUNTIFS($A:$A,patch[[#This Row],[number]],$S:$S, "BJ And dev",$AD:$AD, "&lt;&gt;IntegratorValidationComment"))</f>
        <v/>
      </c>
      <c r="AA2169" s="7" t="str">
        <f>IF(ISBLANK(patch[[#This Row],[project]]), "",COUNTIFS($A:$A,patch[[#This Row],[number]],$S:$S, "FL And dev",$AD:$AD, "&lt;&gt;IntegratorValidationComment"))</f>
        <v/>
      </c>
      <c r="AB2169" s="7" t="str">
        <f>IF(ISBLANK(patch[[#This Row],[project]]), "",COUNTIFS($A:$A,patch[[#This Row],[number]],$S:$S, "SH And dev",$AD:$AD, "&lt;&gt;IntegratorValidationComment"))</f>
        <v/>
      </c>
      <c r="AC2169" s="7" t="str">
        <f>IF(OR(ISNUMBER(FIND("Review-1", patch[[#This Row],[comments]])), ISNUMBER(FIND("Approver-1", patch[[#This Row],[comments]]))), "Review-1", "")</f>
        <v/>
      </c>
      <c r="AD21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69" s="7">
        <f>IF(ISBLANK(patch[[#This Row],[number]]),AE2168,patch[[#This Row],[ifCommon]])</f>
        <v>0</v>
      </c>
    </row>
    <row r="2170" spans="1:31">
      <c r="A2170" s="151">
        <v>142780</v>
      </c>
      <c r="B2170" s="151"/>
      <c r="C2170" s="151"/>
      <c r="D2170" s="151"/>
      <c r="E2170" s="151"/>
      <c r="F2170" s="151"/>
      <c r="G2170" s="151"/>
      <c r="H2170" s="151"/>
      <c r="I2170" s="151"/>
      <c r="J2170" s="152">
        <v>42620.678576388891</v>
      </c>
      <c r="K2170" s="151"/>
      <c r="L2170" s="151" t="s">
        <v>63</v>
      </c>
      <c r="M2170" s="152">
        <v>42615.794050925928</v>
      </c>
      <c r="N2170" s="151" t="s">
        <v>29</v>
      </c>
      <c r="O2170" s="151"/>
      <c r="P2170" s="151"/>
      <c r="Q2170" s="7" t="str">
        <f>IF(ISBLANK(patch[[#This Row],[OwnerEmail]]),Q2169,patch[[#This Row],[OwnerEmail]])</f>
        <v>zongx.li@intel.com</v>
      </c>
      <c r="R2170" s="7" t="str">
        <f>_xlfn.IFNA(VLOOKUP(patch[[#This Row],[tmp-owner.email]],OrgTree!$A:$K, 11, 0), "not ICG SWFW")</f>
        <v>BJ And dev</v>
      </c>
      <c r="S2170" s="7" t="str">
        <f>IF(patch[[#This Row],[reviewer]]=patch[[#This Row],[tmp-owner.email]], "author", _xlfn.IFNA(VLOOKUP(patch[[#This Row],[reviewer]],OrgTree!$A:$K, 11, 0), "not ICG SWFW"))</f>
        <v>author</v>
      </c>
      <c r="T2170" s="7" t="str">
        <f>IF(ISBLANK(patch[[#This Row],[mergeDate]]), "", MID(YEAR(patch[[#This Row],[mergeDate]]), 3,2)&amp;"'ww"&amp;WEEKNUM(patch[[#This Row],[mergeDate]]))</f>
        <v>16'ww37</v>
      </c>
      <c r="U2170" s="7" t="str">
        <f>IF(ISBLANK(patch[[#This Row],[mergeDate]]), U2169, MID(YEAR(patch[[#This Row],[mergeDate]]), 3,2)&amp;"'m"&amp;MONTH(patch[[#This Row],[mergeDate]]))</f>
        <v>16'm9</v>
      </c>
      <c r="V2170" s="7" t="str">
        <f>IF(ISBLANK(patch[[#This Row],[project]]), "",SUM(patch[[#This Row],[BJ -1 num]:[SH -1 num]]))</f>
        <v/>
      </c>
      <c r="W2170" s="7" t="str">
        <f>IF(ISBLANK(patch[[#This Row],[project]]), "",COUNTIFS($A:$A,patch[[#This Row],[number]],$S:$S, "BJ And dev",$AC:$AC, "Review-1"))</f>
        <v/>
      </c>
      <c r="X2170" s="7" t="str">
        <f>IF(ISBLANK(patch[[#This Row],[project]]), "",COUNTIFS($A:$A,patch[[#This Row],[number]],$S:$S, "FL And dev",$AC:$AC, "Review-1"))</f>
        <v/>
      </c>
      <c r="Y2170" s="7" t="str">
        <f>IF(ISBLANK(patch[[#This Row],[project]]), "",COUNTIFS($A:$A,patch[[#This Row],[number]],$S:$S, "SH And dev",$AC:$AC, "Review-1"))</f>
        <v/>
      </c>
      <c r="Z2170" s="7" t="str">
        <f>IF(ISBLANK(patch[[#This Row],[project]]), "",COUNTIFS($A:$A,patch[[#This Row],[number]],$S:$S, "BJ And dev",$AD:$AD, "&lt;&gt;IntegratorValidationComment"))</f>
        <v/>
      </c>
      <c r="AA2170" s="7" t="str">
        <f>IF(ISBLANK(patch[[#This Row],[project]]), "",COUNTIFS($A:$A,patch[[#This Row],[number]],$S:$S, "FL And dev",$AD:$AD, "&lt;&gt;IntegratorValidationComment"))</f>
        <v/>
      </c>
      <c r="AB2170" s="7" t="str">
        <f>IF(ISBLANK(patch[[#This Row],[project]]), "",COUNTIFS($A:$A,patch[[#This Row],[number]],$S:$S, "SH And dev",$AD:$AD, "&lt;&gt;IntegratorValidationComment"))</f>
        <v/>
      </c>
      <c r="AC2170" s="7" t="str">
        <f>IF(OR(ISNUMBER(FIND("Review-1", patch[[#This Row],[comments]])), ISNUMBER(FIND("Approver-1", patch[[#This Row],[comments]]))), "Review-1", "")</f>
        <v/>
      </c>
      <c r="AD21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70" s="7">
        <f>IF(ISBLANK(patch[[#This Row],[number]]),AE2169,patch[[#This Row],[ifCommon]])</f>
        <v>0</v>
      </c>
    </row>
    <row r="2171" spans="1:31">
      <c r="A2171" s="151">
        <v>142780</v>
      </c>
      <c r="B2171" s="151"/>
      <c r="C2171" s="151"/>
      <c r="D2171" s="151"/>
      <c r="E2171" s="151"/>
      <c r="F2171" s="151"/>
      <c r="G2171" s="151"/>
      <c r="H2171" s="151"/>
      <c r="I2171" s="151"/>
      <c r="J2171" s="152">
        <v>42620.678576388891</v>
      </c>
      <c r="K2171" s="151"/>
      <c r="L2171" s="151" t="s">
        <v>59</v>
      </c>
      <c r="M2171" s="152">
        <v>42615.799930555557</v>
      </c>
      <c r="N2171" s="151" t="s">
        <v>3657</v>
      </c>
      <c r="O2171" s="151"/>
      <c r="P2171" s="151"/>
      <c r="Q2171" s="7" t="str">
        <f>IF(ISBLANK(patch[[#This Row],[OwnerEmail]]),Q2170,patch[[#This Row],[OwnerEmail]])</f>
        <v>zongx.li@intel.com</v>
      </c>
      <c r="R2171" s="7" t="str">
        <f>_xlfn.IFNA(VLOOKUP(patch[[#This Row],[tmp-owner.email]],OrgTree!$A:$K, 11, 0), "not ICG SWFW")</f>
        <v>BJ And dev</v>
      </c>
      <c r="S2171" s="7" t="str">
        <f>IF(patch[[#This Row],[reviewer]]=patch[[#This Row],[tmp-owner.email]], "author", _xlfn.IFNA(VLOOKUP(patch[[#This Row],[reviewer]],OrgTree!$A:$K, 11, 0), "not ICG SWFW"))</f>
        <v>BJ And dev</v>
      </c>
      <c r="T2171" s="7" t="str">
        <f>IF(ISBLANK(patch[[#This Row],[mergeDate]]), "", MID(YEAR(patch[[#This Row],[mergeDate]]), 3,2)&amp;"'ww"&amp;WEEKNUM(patch[[#This Row],[mergeDate]]))</f>
        <v>16'ww37</v>
      </c>
      <c r="U2171" s="7" t="str">
        <f>IF(ISBLANK(patch[[#This Row],[mergeDate]]), U2170, MID(YEAR(patch[[#This Row],[mergeDate]]), 3,2)&amp;"'m"&amp;MONTH(patch[[#This Row],[mergeDate]]))</f>
        <v>16'm9</v>
      </c>
      <c r="V2171" s="7" t="str">
        <f>IF(ISBLANK(patch[[#This Row],[project]]), "",SUM(patch[[#This Row],[BJ -1 num]:[SH -1 num]]))</f>
        <v/>
      </c>
      <c r="W2171" s="7" t="str">
        <f>IF(ISBLANK(patch[[#This Row],[project]]), "",COUNTIFS($A:$A,patch[[#This Row],[number]],$S:$S, "BJ And dev",$AC:$AC, "Review-1"))</f>
        <v/>
      </c>
      <c r="X2171" s="7" t="str">
        <f>IF(ISBLANK(patch[[#This Row],[project]]), "",COUNTIFS($A:$A,patch[[#This Row],[number]],$S:$S, "FL And dev",$AC:$AC, "Review-1"))</f>
        <v/>
      </c>
      <c r="Y2171" s="7" t="str">
        <f>IF(ISBLANK(patch[[#This Row],[project]]), "",COUNTIFS($A:$A,patch[[#This Row],[number]],$S:$S, "SH And dev",$AC:$AC, "Review-1"))</f>
        <v/>
      </c>
      <c r="Z2171" s="7" t="str">
        <f>IF(ISBLANK(patch[[#This Row],[project]]), "",COUNTIFS($A:$A,patch[[#This Row],[number]],$S:$S, "BJ And dev",$AD:$AD, "&lt;&gt;IntegratorValidationComment"))</f>
        <v/>
      </c>
      <c r="AA2171" s="7" t="str">
        <f>IF(ISBLANK(patch[[#This Row],[project]]), "",COUNTIFS($A:$A,patch[[#This Row],[number]],$S:$S, "FL And dev",$AD:$AD, "&lt;&gt;IntegratorValidationComment"))</f>
        <v/>
      </c>
      <c r="AB2171" s="7" t="str">
        <f>IF(ISBLANK(patch[[#This Row],[project]]), "",COUNTIFS($A:$A,patch[[#This Row],[number]],$S:$S, "SH And dev",$AD:$AD, "&lt;&gt;IntegratorValidationComment"))</f>
        <v/>
      </c>
      <c r="AC2171" s="7" t="str">
        <f>IF(OR(ISNUMBER(FIND("Review-1", patch[[#This Row],[comments]])), ISNUMBER(FIND("Approver-1", patch[[#This Row],[comments]]))), "Review-1", "")</f>
        <v/>
      </c>
      <c r="AD21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71" s="7">
        <f>IF(ISBLANK(patch[[#This Row],[number]]),AE2170,patch[[#This Row],[ifCommon]])</f>
        <v>0</v>
      </c>
    </row>
    <row r="2172" spans="1:31">
      <c r="A2172" s="151">
        <v>142780</v>
      </c>
      <c r="B2172" s="151"/>
      <c r="C2172" s="151"/>
      <c r="D2172" s="151"/>
      <c r="E2172" s="151"/>
      <c r="F2172" s="151"/>
      <c r="G2172" s="151"/>
      <c r="H2172" s="151"/>
      <c r="I2172" s="151"/>
      <c r="J2172" s="152">
        <v>42620.678576388891</v>
      </c>
      <c r="K2172" s="151"/>
      <c r="L2172" s="151" t="s">
        <v>59</v>
      </c>
      <c r="M2172" s="152">
        <v>42615.802685185183</v>
      </c>
      <c r="N2172" s="151" t="s">
        <v>3658</v>
      </c>
      <c r="O2172" s="151"/>
      <c r="P2172" s="151"/>
      <c r="Q2172" s="7" t="str">
        <f>IF(ISBLANK(patch[[#This Row],[OwnerEmail]]),Q2171,patch[[#This Row],[OwnerEmail]])</f>
        <v>zongx.li@intel.com</v>
      </c>
      <c r="R2172" s="7" t="str">
        <f>_xlfn.IFNA(VLOOKUP(patch[[#This Row],[tmp-owner.email]],OrgTree!$A:$K, 11, 0), "not ICG SWFW")</f>
        <v>BJ And dev</v>
      </c>
      <c r="S2172" s="7" t="str">
        <f>IF(patch[[#This Row],[reviewer]]=patch[[#This Row],[tmp-owner.email]], "author", _xlfn.IFNA(VLOOKUP(patch[[#This Row],[reviewer]],OrgTree!$A:$K, 11, 0), "not ICG SWFW"))</f>
        <v>BJ And dev</v>
      </c>
      <c r="T2172" s="7" t="str">
        <f>IF(ISBLANK(patch[[#This Row],[mergeDate]]), "", MID(YEAR(patch[[#This Row],[mergeDate]]), 3,2)&amp;"'ww"&amp;WEEKNUM(patch[[#This Row],[mergeDate]]))</f>
        <v>16'ww37</v>
      </c>
      <c r="U2172" s="7" t="str">
        <f>IF(ISBLANK(patch[[#This Row],[mergeDate]]), U2171, MID(YEAR(patch[[#This Row],[mergeDate]]), 3,2)&amp;"'m"&amp;MONTH(patch[[#This Row],[mergeDate]]))</f>
        <v>16'm9</v>
      </c>
      <c r="V2172" s="7" t="str">
        <f>IF(ISBLANK(patch[[#This Row],[project]]), "",SUM(patch[[#This Row],[BJ -1 num]:[SH -1 num]]))</f>
        <v/>
      </c>
      <c r="W2172" s="7" t="str">
        <f>IF(ISBLANK(patch[[#This Row],[project]]), "",COUNTIFS($A:$A,patch[[#This Row],[number]],$S:$S, "BJ And dev",$AC:$AC, "Review-1"))</f>
        <v/>
      </c>
      <c r="X2172" s="7" t="str">
        <f>IF(ISBLANK(patch[[#This Row],[project]]), "",COUNTIFS($A:$A,patch[[#This Row],[number]],$S:$S, "FL And dev",$AC:$AC, "Review-1"))</f>
        <v/>
      </c>
      <c r="Y2172" s="7" t="str">
        <f>IF(ISBLANK(patch[[#This Row],[project]]), "",COUNTIFS($A:$A,patch[[#This Row],[number]],$S:$S, "SH And dev",$AC:$AC, "Review-1"))</f>
        <v/>
      </c>
      <c r="Z2172" s="7" t="str">
        <f>IF(ISBLANK(patch[[#This Row],[project]]), "",COUNTIFS($A:$A,patch[[#This Row],[number]],$S:$S, "BJ And dev",$AD:$AD, "&lt;&gt;IntegratorValidationComment"))</f>
        <v/>
      </c>
      <c r="AA2172" s="7" t="str">
        <f>IF(ISBLANK(patch[[#This Row],[project]]), "",COUNTIFS($A:$A,patch[[#This Row],[number]],$S:$S, "FL And dev",$AD:$AD, "&lt;&gt;IntegratorValidationComment"))</f>
        <v/>
      </c>
      <c r="AB2172" s="7" t="str">
        <f>IF(ISBLANK(patch[[#This Row],[project]]), "",COUNTIFS($A:$A,patch[[#This Row],[number]],$S:$S, "SH And dev",$AD:$AD, "&lt;&gt;IntegratorValidationComment"))</f>
        <v/>
      </c>
      <c r="AC2172" s="7" t="str">
        <f>IF(OR(ISNUMBER(FIND("Review-1", patch[[#This Row],[comments]])), ISNUMBER(FIND("Approver-1", patch[[#This Row],[comments]]))), "Review-1", "")</f>
        <v/>
      </c>
      <c r="AD21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72" s="7">
        <f>IF(ISBLANK(patch[[#This Row],[number]]),AE2171,patch[[#This Row],[ifCommon]])</f>
        <v>0</v>
      </c>
    </row>
    <row r="2173" spans="1:31">
      <c r="A2173" s="151">
        <v>142780</v>
      </c>
      <c r="B2173" s="151"/>
      <c r="C2173" s="151"/>
      <c r="D2173" s="151"/>
      <c r="E2173" s="151"/>
      <c r="F2173" s="151"/>
      <c r="G2173" s="151"/>
      <c r="H2173" s="151"/>
      <c r="I2173" s="151"/>
      <c r="J2173" s="152">
        <v>42620.678576388891</v>
      </c>
      <c r="K2173" s="151"/>
      <c r="L2173" s="151" t="s">
        <v>63</v>
      </c>
      <c r="M2173" s="152">
        <v>42618.420717592591</v>
      </c>
      <c r="N2173" s="151" t="s">
        <v>27</v>
      </c>
      <c r="O2173" s="151"/>
      <c r="P2173" s="151"/>
      <c r="Q2173" s="7" t="str">
        <f>IF(ISBLANK(patch[[#This Row],[OwnerEmail]]),Q2172,patch[[#This Row],[OwnerEmail]])</f>
        <v>zongx.li@intel.com</v>
      </c>
      <c r="R2173" s="7" t="str">
        <f>_xlfn.IFNA(VLOOKUP(patch[[#This Row],[tmp-owner.email]],OrgTree!$A:$K, 11, 0), "not ICG SWFW")</f>
        <v>BJ And dev</v>
      </c>
      <c r="S2173" s="7" t="str">
        <f>IF(patch[[#This Row],[reviewer]]=patch[[#This Row],[tmp-owner.email]], "author", _xlfn.IFNA(VLOOKUP(patch[[#This Row],[reviewer]],OrgTree!$A:$K, 11, 0), "not ICG SWFW"))</f>
        <v>author</v>
      </c>
      <c r="T2173" s="7" t="str">
        <f>IF(ISBLANK(patch[[#This Row],[mergeDate]]), "", MID(YEAR(patch[[#This Row],[mergeDate]]), 3,2)&amp;"'ww"&amp;WEEKNUM(patch[[#This Row],[mergeDate]]))</f>
        <v>16'ww37</v>
      </c>
      <c r="U2173" s="7" t="str">
        <f>IF(ISBLANK(patch[[#This Row],[mergeDate]]), U2172, MID(YEAR(patch[[#This Row],[mergeDate]]), 3,2)&amp;"'m"&amp;MONTH(patch[[#This Row],[mergeDate]]))</f>
        <v>16'm9</v>
      </c>
      <c r="V2173" s="7" t="str">
        <f>IF(ISBLANK(patch[[#This Row],[project]]), "",SUM(patch[[#This Row],[BJ -1 num]:[SH -1 num]]))</f>
        <v/>
      </c>
      <c r="W2173" s="7" t="str">
        <f>IF(ISBLANK(patch[[#This Row],[project]]), "",COUNTIFS($A:$A,patch[[#This Row],[number]],$S:$S, "BJ And dev",$AC:$AC, "Review-1"))</f>
        <v/>
      </c>
      <c r="X2173" s="7" t="str">
        <f>IF(ISBLANK(patch[[#This Row],[project]]), "",COUNTIFS($A:$A,patch[[#This Row],[number]],$S:$S, "FL And dev",$AC:$AC, "Review-1"))</f>
        <v/>
      </c>
      <c r="Y2173" s="7" t="str">
        <f>IF(ISBLANK(patch[[#This Row],[project]]), "",COUNTIFS($A:$A,patch[[#This Row],[number]],$S:$S, "SH And dev",$AC:$AC, "Review-1"))</f>
        <v/>
      </c>
      <c r="Z2173" s="7" t="str">
        <f>IF(ISBLANK(patch[[#This Row],[project]]), "",COUNTIFS($A:$A,patch[[#This Row],[number]],$S:$S, "BJ And dev",$AD:$AD, "&lt;&gt;IntegratorValidationComment"))</f>
        <v/>
      </c>
      <c r="AA2173" s="7" t="str">
        <f>IF(ISBLANK(patch[[#This Row],[project]]), "",COUNTIFS($A:$A,patch[[#This Row],[number]],$S:$S, "FL And dev",$AD:$AD, "&lt;&gt;IntegratorValidationComment"))</f>
        <v/>
      </c>
      <c r="AB2173" s="7" t="str">
        <f>IF(ISBLANK(patch[[#This Row],[project]]), "",COUNTIFS($A:$A,patch[[#This Row],[number]],$S:$S, "SH And dev",$AD:$AD, "&lt;&gt;IntegratorValidationComment"))</f>
        <v/>
      </c>
      <c r="AC2173" s="7" t="str">
        <f>IF(OR(ISNUMBER(FIND("Review-1", patch[[#This Row],[comments]])), ISNUMBER(FIND("Approver-1", patch[[#This Row],[comments]]))), "Review-1", "")</f>
        <v/>
      </c>
      <c r="AD21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73" s="7">
        <f>IF(ISBLANK(patch[[#This Row],[number]]),AE2172,patch[[#This Row],[ifCommon]])</f>
        <v>0</v>
      </c>
    </row>
    <row r="2174" spans="1:31">
      <c r="A2174" s="151">
        <v>142780</v>
      </c>
      <c r="B2174" s="151"/>
      <c r="C2174" s="151"/>
      <c r="D2174" s="151"/>
      <c r="E2174" s="151"/>
      <c r="F2174" s="151"/>
      <c r="G2174" s="151"/>
      <c r="H2174" s="151"/>
      <c r="I2174" s="151"/>
      <c r="J2174" s="152">
        <v>42620.678576388891</v>
      </c>
      <c r="K2174" s="151"/>
      <c r="L2174" s="151" t="s">
        <v>68</v>
      </c>
      <c r="M2174" s="152">
        <v>42618.4375</v>
      </c>
      <c r="N2174" s="151" t="s">
        <v>3659</v>
      </c>
      <c r="O2174" s="151" t="s">
        <v>3660</v>
      </c>
      <c r="P2174" s="151"/>
      <c r="Q2174" s="7" t="str">
        <f>IF(ISBLANK(patch[[#This Row],[OwnerEmail]]),Q2173,patch[[#This Row],[OwnerEmail]])</f>
        <v>zongx.li@intel.com</v>
      </c>
      <c r="R2174" s="7" t="str">
        <f>_xlfn.IFNA(VLOOKUP(patch[[#This Row],[tmp-owner.email]],OrgTree!$A:$K, 11, 0), "not ICG SWFW")</f>
        <v>BJ And dev</v>
      </c>
      <c r="S2174" s="7" t="str">
        <f>IF(patch[[#This Row],[reviewer]]=patch[[#This Row],[tmp-owner.email]], "author", _xlfn.IFNA(VLOOKUP(patch[[#This Row],[reviewer]],OrgTree!$A:$K, 11, 0), "not ICG SWFW"))</f>
        <v>BJ And dev</v>
      </c>
      <c r="T2174" s="7" t="str">
        <f>IF(ISBLANK(patch[[#This Row],[mergeDate]]), "", MID(YEAR(patch[[#This Row],[mergeDate]]), 3,2)&amp;"'ww"&amp;WEEKNUM(patch[[#This Row],[mergeDate]]))</f>
        <v>16'ww37</v>
      </c>
      <c r="U2174" s="7" t="str">
        <f>IF(ISBLANK(patch[[#This Row],[mergeDate]]), U2173, MID(YEAR(patch[[#This Row],[mergeDate]]), 3,2)&amp;"'m"&amp;MONTH(patch[[#This Row],[mergeDate]]))</f>
        <v>16'm9</v>
      </c>
      <c r="V2174" s="7" t="str">
        <f>IF(ISBLANK(patch[[#This Row],[project]]), "",SUM(patch[[#This Row],[BJ -1 num]:[SH -1 num]]))</f>
        <v/>
      </c>
      <c r="W2174" s="7" t="str">
        <f>IF(ISBLANK(patch[[#This Row],[project]]), "",COUNTIFS($A:$A,patch[[#This Row],[number]],$S:$S, "BJ And dev",$AC:$AC, "Review-1"))</f>
        <v/>
      </c>
      <c r="X2174" s="7" t="str">
        <f>IF(ISBLANK(patch[[#This Row],[project]]), "",COUNTIFS($A:$A,patch[[#This Row],[number]],$S:$S, "FL And dev",$AC:$AC, "Review-1"))</f>
        <v/>
      </c>
      <c r="Y2174" s="7" t="str">
        <f>IF(ISBLANK(patch[[#This Row],[project]]), "",COUNTIFS($A:$A,patch[[#This Row],[number]],$S:$S, "SH And dev",$AC:$AC, "Review-1"))</f>
        <v/>
      </c>
      <c r="Z2174" s="7" t="str">
        <f>IF(ISBLANK(patch[[#This Row],[project]]), "",COUNTIFS($A:$A,patch[[#This Row],[number]],$S:$S, "BJ And dev",$AD:$AD, "&lt;&gt;IntegratorValidationComment"))</f>
        <v/>
      </c>
      <c r="AA2174" s="7" t="str">
        <f>IF(ISBLANK(patch[[#This Row],[project]]), "",COUNTIFS($A:$A,patch[[#This Row],[number]],$S:$S, "FL And dev",$AD:$AD, "&lt;&gt;IntegratorValidationComment"))</f>
        <v/>
      </c>
      <c r="AB2174" s="7" t="str">
        <f>IF(ISBLANK(patch[[#This Row],[project]]), "",COUNTIFS($A:$A,patch[[#This Row],[number]],$S:$S, "SH And dev",$AD:$AD, "&lt;&gt;IntegratorValidationComment"))</f>
        <v/>
      </c>
      <c r="AC2174" s="7" t="str">
        <f>IF(OR(ISNUMBER(FIND("Review-1", patch[[#This Row],[comments]])), ISNUMBER(FIND("Approver-1", patch[[#This Row],[comments]]))), "Review-1", "")</f>
        <v/>
      </c>
      <c r="AD21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74" s="7">
        <f>IF(ISBLANK(patch[[#This Row],[number]]),AE2173,patch[[#This Row],[ifCommon]])</f>
        <v>0</v>
      </c>
    </row>
    <row r="2175" spans="1:31">
      <c r="A2175" s="151">
        <v>142780</v>
      </c>
      <c r="B2175" s="151"/>
      <c r="C2175" s="151"/>
      <c r="D2175" s="151"/>
      <c r="E2175" s="151"/>
      <c r="F2175" s="151"/>
      <c r="G2175" s="151"/>
      <c r="H2175" s="151"/>
      <c r="I2175" s="151"/>
      <c r="J2175" s="152">
        <v>42620.678576388891</v>
      </c>
      <c r="K2175" s="151"/>
      <c r="L2175" s="151" t="s">
        <v>63</v>
      </c>
      <c r="M2175" s="152">
        <v>42618.44427083333</v>
      </c>
      <c r="N2175" s="151" t="s">
        <v>2480</v>
      </c>
      <c r="O2175" s="151" t="s">
        <v>3661</v>
      </c>
      <c r="P2175" s="151"/>
      <c r="Q2175" s="7" t="str">
        <f>IF(ISBLANK(patch[[#This Row],[OwnerEmail]]),Q2174,patch[[#This Row],[OwnerEmail]])</f>
        <v>zongx.li@intel.com</v>
      </c>
      <c r="R2175" s="7" t="str">
        <f>_xlfn.IFNA(VLOOKUP(patch[[#This Row],[tmp-owner.email]],OrgTree!$A:$K, 11, 0), "not ICG SWFW")</f>
        <v>BJ And dev</v>
      </c>
      <c r="S2175" s="7" t="str">
        <f>IF(patch[[#This Row],[reviewer]]=patch[[#This Row],[tmp-owner.email]], "author", _xlfn.IFNA(VLOOKUP(patch[[#This Row],[reviewer]],OrgTree!$A:$K, 11, 0), "not ICG SWFW"))</f>
        <v>author</v>
      </c>
      <c r="T2175" s="7" t="str">
        <f>IF(ISBLANK(patch[[#This Row],[mergeDate]]), "", MID(YEAR(patch[[#This Row],[mergeDate]]), 3,2)&amp;"'ww"&amp;WEEKNUM(patch[[#This Row],[mergeDate]]))</f>
        <v>16'ww37</v>
      </c>
      <c r="U2175" s="7" t="str">
        <f>IF(ISBLANK(patch[[#This Row],[mergeDate]]), U2174, MID(YEAR(patch[[#This Row],[mergeDate]]), 3,2)&amp;"'m"&amp;MONTH(patch[[#This Row],[mergeDate]]))</f>
        <v>16'm9</v>
      </c>
      <c r="V2175" s="7" t="str">
        <f>IF(ISBLANK(patch[[#This Row],[project]]), "",SUM(patch[[#This Row],[BJ -1 num]:[SH -1 num]]))</f>
        <v/>
      </c>
      <c r="W2175" s="7" t="str">
        <f>IF(ISBLANK(patch[[#This Row],[project]]), "",COUNTIFS($A:$A,patch[[#This Row],[number]],$S:$S, "BJ And dev",$AC:$AC, "Review-1"))</f>
        <v/>
      </c>
      <c r="X2175" s="7" t="str">
        <f>IF(ISBLANK(patch[[#This Row],[project]]), "",COUNTIFS($A:$A,patch[[#This Row],[number]],$S:$S, "FL And dev",$AC:$AC, "Review-1"))</f>
        <v/>
      </c>
      <c r="Y2175" s="7" t="str">
        <f>IF(ISBLANK(patch[[#This Row],[project]]), "",COUNTIFS($A:$A,patch[[#This Row],[number]],$S:$S, "SH And dev",$AC:$AC, "Review-1"))</f>
        <v/>
      </c>
      <c r="Z2175" s="7" t="str">
        <f>IF(ISBLANK(patch[[#This Row],[project]]), "",COUNTIFS($A:$A,patch[[#This Row],[number]],$S:$S, "BJ And dev",$AD:$AD, "&lt;&gt;IntegratorValidationComment"))</f>
        <v/>
      </c>
      <c r="AA2175" s="7" t="str">
        <f>IF(ISBLANK(patch[[#This Row],[project]]), "",COUNTIFS($A:$A,patch[[#This Row],[number]],$S:$S, "FL And dev",$AD:$AD, "&lt;&gt;IntegratorValidationComment"))</f>
        <v/>
      </c>
      <c r="AB2175" s="7" t="str">
        <f>IF(ISBLANK(patch[[#This Row],[project]]), "",COUNTIFS($A:$A,patch[[#This Row],[number]],$S:$S, "SH And dev",$AD:$AD, "&lt;&gt;IntegratorValidationComment"))</f>
        <v/>
      </c>
      <c r="AC2175" s="7" t="str">
        <f>IF(OR(ISNUMBER(FIND("Review-1", patch[[#This Row],[comments]])), ISNUMBER(FIND("Approver-1", patch[[#This Row],[comments]]))), "Review-1", "")</f>
        <v/>
      </c>
      <c r="AD21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75" s="7">
        <f>IF(ISBLANK(patch[[#This Row],[number]]),AE2174,patch[[#This Row],[ifCommon]])</f>
        <v>0</v>
      </c>
    </row>
    <row r="2176" spans="1:31">
      <c r="A2176" s="151">
        <v>142780</v>
      </c>
      <c r="B2176" s="151"/>
      <c r="C2176" s="151"/>
      <c r="D2176" s="151"/>
      <c r="E2176" s="151"/>
      <c r="F2176" s="151"/>
      <c r="G2176" s="151"/>
      <c r="H2176" s="151"/>
      <c r="I2176" s="151"/>
      <c r="J2176" s="152">
        <v>42620.678576388891</v>
      </c>
      <c r="K2176" s="151"/>
      <c r="L2176" s="151" t="s">
        <v>63</v>
      </c>
      <c r="M2176" s="152">
        <v>42618.448750000003</v>
      </c>
      <c r="N2176" s="151" t="s">
        <v>1829</v>
      </c>
      <c r="O2176" s="151"/>
      <c r="P2176" s="151"/>
      <c r="Q2176" s="7" t="str">
        <f>IF(ISBLANK(patch[[#This Row],[OwnerEmail]]),Q2175,patch[[#This Row],[OwnerEmail]])</f>
        <v>zongx.li@intel.com</v>
      </c>
      <c r="R2176" s="7" t="str">
        <f>_xlfn.IFNA(VLOOKUP(patch[[#This Row],[tmp-owner.email]],OrgTree!$A:$K, 11, 0), "not ICG SWFW")</f>
        <v>BJ And dev</v>
      </c>
      <c r="S2176" s="7" t="str">
        <f>IF(patch[[#This Row],[reviewer]]=patch[[#This Row],[tmp-owner.email]], "author", _xlfn.IFNA(VLOOKUP(patch[[#This Row],[reviewer]],OrgTree!$A:$K, 11, 0), "not ICG SWFW"))</f>
        <v>author</v>
      </c>
      <c r="T2176" s="7" t="str">
        <f>IF(ISBLANK(patch[[#This Row],[mergeDate]]), "", MID(YEAR(patch[[#This Row],[mergeDate]]), 3,2)&amp;"'ww"&amp;WEEKNUM(patch[[#This Row],[mergeDate]]))</f>
        <v>16'ww37</v>
      </c>
      <c r="U2176" s="7" t="str">
        <f>IF(ISBLANK(patch[[#This Row],[mergeDate]]), U2175, MID(YEAR(patch[[#This Row],[mergeDate]]), 3,2)&amp;"'m"&amp;MONTH(patch[[#This Row],[mergeDate]]))</f>
        <v>16'm9</v>
      </c>
      <c r="V2176" s="7" t="str">
        <f>IF(ISBLANK(patch[[#This Row],[project]]), "",SUM(patch[[#This Row],[BJ -1 num]:[SH -1 num]]))</f>
        <v/>
      </c>
      <c r="W2176" s="7" t="str">
        <f>IF(ISBLANK(patch[[#This Row],[project]]), "",COUNTIFS($A:$A,patch[[#This Row],[number]],$S:$S, "BJ And dev",$AC:$AC, "Review-1"))</f>
        <v/>
      </c>
      <c r="X2176" s="7" t="str">
        <f>IF(ISBLANK(patch[[#This Row],[project]]), "",COUNTIFS($A:$A,patch[[#This Row],[number]],$S:$S, "FL And dev",$AC:$AC, "Review-1"))</f>
        <v/>
      </c>
      <c r="Y2176" s="7" t="str">
        <f>IF(ISBLANK(patch[[#This Row],[project]]), "",COUNTIFS($A:$A,patch[[#This Row],[number]],$S:$S, "SH And dev",$AC:$AC, "Review-1"))</f>
        <v/>
      </c>
      <c r="Z2176" s="7" t="str">
        <f>IF(ISBLANK(patch[[#This Row],[project]]), "",COUNTIFS($A:$A,patch[[#This Row],[number]],$S:$S, "BJ And dev",$AD:$AD, "&lt;&gt;IntegratorValidationComment"))</f>
        <v/>
      </c>
      <c r="AA2176" s="7" t="str">
        <f>IF(ISBLANK(patch[[#This Row],[project]]), "",COUNTIFS($A:$A,patch[[#This Row],[number]],$S:$S, "FL And dev",$AD:$AD, "&lt;&gt;IntegratorValidationComment"))</f>
        <v/>
      </c>
      <c r="AB2176" s="7" t="str">
        <f>IF(ISBLANK(patch[[#This Row],[project]]), "",COUNTIFS($A:$A,patch[[#This Row],[number]],$S:$S, "SH And dev",$AD:$AD, "&lt;&gt;IntegratorValidationComment"))</f>
        <v/>
      </c>
      <c r="AC2176" s="7" t="str">
        <f>IF(OR(ISNUMBER(FIND("Review-1", patch[[#This Row],[comments]])), ISNUMBER(FIND("Approver-1", patch[[#This Row],[comments]]))), "Review-1", "")</f>
        <v/>
      </c>
      <c r="AD21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76" s="7">
        <f>IF(ISBLANK(patch[[#This Row],[number]]),AE2175,patch[[#This Row],[ifCommon]])</f>
        <v>0</v>
      </c>
    </row>
    <row r="2177" spans="1:31">
      <c r="A2177" s="151">
        <v>142780</v>
      </c>
      <c r="B2177" s="151"/>
      <c r="C2177" s="151"/>
      <c r="D2177" s="151"/>
      <c r="E2177" s="151"/>
      <c r="F2177" s="151"/>
      <c r="G2177" s="151"/>
      <c r="H2177" s="151"/>
      <c r="I2177" s="151"/>
      <c r="J2177" s="152">
        <v>42620.678576388891</v>
      </c>
      <c r="K2177" s="151"/>
      <c r="L2177" s="151" t="s">
        <v>63</v>
      </c>
      <c r="M2177" s="152">
        <v>42618.448750000003</v>
      </c>
      <c r="N2177" s="151" t="s">
        <v>2450</v>
      </c>
      <c r="O2177" s="151"/>
      <c r="P2177" s="151"/>
      <c r="Q2177" s="7" t="str">
        <f>IF(ISBLANK(patch[[#This Row],[OwnerEmail]]),Q2176,patch[[#This Row],[OwnerEmail]])</f>
        <v>zongx.li@intel.com</v>
      </c>
      <c r="R2177" s="7" t="str">
        <f>_xlfn.IFNA(VLOOKUP(patch[[#This Row],[tmp-owner.email]],OrgTree!$A:$K, 11, 0), "not ICG SWFW")</f>
        <v>BJ And dev</v>
      </c>
      <c r="S2177" s="7" t="str">
        <f>IF(patch[[#This Row],[reviewer]]=patch[[#This Row],[tmp-owner.email]], "author", _xlfn.IFNA(VLOOKUP(patch[[#This Row],[reviewer]],OrgTree!$A:$K, 11, 0), "not ICG SWFW"))</f>
        <v>author</v>
      </c>
      <c r="T2177" s="7" t="str">
        <f>IF(ISBLANK(patch[[#This Row],[mergeDate]]), "", MID(YEAR(patch[[#This Row],[mergeDate]]), 3,2)&amp;"'ww"&amp;WEEKNUM(patch[[#This Row],[mergeDate]]))</f>
        <v>16'ww37</v>
      </c>
      <c r="U2177" s="7" t="str">
        <f>IF(ISBLANK(patch[[#This Row],[mergeDate]]), U2176, MID(YEAR(patch[[#This Row],[mergeDate]]), 3,2)&amp;"'m"&amp;MONTH(patch[[#This Row],[mergeDate]]))</f>
        <v>16'm9</v>
      </c>
      <c r="V2177" s="7" t="str">
        <f>IF(ISBLANK(patch[[#This Row],[project]]), "",SUM(patch[[#This Row],[BJ -1 num]:[SH -1 num]]))</f>
        <v/>
      </c>
      <c r="W2177" s="7" t="str">
        <f>IF(ISBLANK(patch[[#This Row],[project]]), "",COUNTIFS($A:$A,patch[[#This Row],[number]],$S:$S, "BJ And dev",$AC:$AC, "Review-1"))</f>
        <v/>
      </c>
      <c r="X2177" s="7" t="str">
        <f>IF(ISBLANK(patch[[#This Row],[project]]), "",COUNTIFS($A:$A,patch[[#This Row],[number]],$S:$S, "FL And dev",$AC:$AC, "Review-1"))</f>
        <v/>
      </c>
      <c r="Y2177" s="7" t="str">
        <f>IF(ISBLANK(patch[[#This Row],[project]]), "",COUNTIFS($A:$A,patch[[#This Row],[number]],$S:$S, "SH And dev",$AC:$AC, "Review-1"))</f>
        <v/>
      </c>
      <c r="Z2177" s="7" t="str">
        <f>IF(ISBLANK(patch[[#This Row],[project]]), "",COUNTIFS($A:$A,patch[[#This Row],[number]],$S:$S, "BJ And dev",$AD:$AD, "&lt;&gt;IntegratorValidationComment"))</f>
        <v/>
      </c>
      <c r="AA2177" s="7" t="str">
        <f>IF(ISBLANK(patch[[#This Row],[project]]), "",COUNTIFS($A:$A,patch[[#This Row],[number]],$S:$S, "FL And dev",$AD:$AD, "&lt;&gt;IntegratorValidationComment"))</f>
        <v/>
      </c>
      <c r="AB2177" s="7" t="str">
        <f>IF(ISBLANK(patch[[#This Row],[project]]), "",COUNTIFS($A:$A,patch[[#This Row],[number]],$S:$S, "SH And dev",$AD:$AD, "&lt;&gt;IntegratorValidationComment"))</f>
        <v/>
      </c>
      <c r="AC2177" s="7" t="str">
        <f>IF(OR(ISNUMBER(FIND("Review-1", patch[[#This Row],[comments]])), ISNUMBER(FIND("Approver-1", patch[[#This Row],[comments]]))), "Review-1", "")</f>
        <v/>
      </c>
      <c r="AD21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77" s="7">
        <f>IF(ISBLANK(patch[[#This Row],[number]]),AE2176,patch[[#This Row],[ifCommon]])</f>
        <v>0</v>
      </c>
    </row>
    <row r="2178" spans="1:31">
      <c r="A2178" s="151">
        <v>142780</v>
      </c>
      <c r="B2178" s="151"/>
      <c r="C2178" s="151"/>
      <c r="D2178" s="151"/>
      <c r="E2178" s="151"/>
      <c r="F2178" s="151"/>
      <c r="G2178" s="151"/>
      <c r="H2178" s="151"/>
      <c r="I2178" s="151"/>
      <c r="J2178" s="152">
        <v>42620.678576388891</v>
      </c>
      <c r="K2178" s="151"/>
      <c r="L2178" s="151" t="s">
        <v>63</v>
      </c>
      <c r="M2178" s="152">
        <v>42618.450752314813</v>
      </c>
      <c r="N2178" s="151" t="s">
        <v>48</v>
      </c>
      <c r="O2178" s="151"/>
      <c r="P2178" s="151"/>
      <c r="Q2178" s="7" t="str">
        <f>IF(ISBLANK(patch[[#This Row],[OwnerEmail]]),Q2177,patch[[#This Row],[OwnerEmail]])</f>
        <v>zongx.li@intel.com</v>
      </c>
      <c r="R2178" s="7" t="str">
        <f>_xlfn.IFNA(VLOOKUP(patch[[#This Row],[tmp-owner.email]],OrgTree!$A:$K, 11, 0), "not ICG SWFW")</f>
        <v>BJ And dev</v>
      </c>
      <c r="S2178" s="7" t="str">
        <f>IF(patch[[#This Row],[reviewer]]=patch[[#This Row],[tmp-owner.email]], "author", _xlfn.IFNA(VLOOKUP(patch[[#This Row],[reviewer]],OrgTree!$A:$K, 11, 0), "not ICG SWFW"))</f>
        <v>author</v>
      </c>
      <c r="T2178" s="7" t="str">
        <f>IF(ISBLANK(patch[[#This Row],[mergeDate]]), "", MID(YEAR(patch[[#This Row],[mergeDate]]), 3,2)&amp;"'ww"&amp;WEEKNUM(patch[[#This Row],[mergeDate]]))</f>
        <v>16'ww37</v>
      </c>
      <c r="U2178" s="7" t="str">
        <f>IF(ISBLANK(patch[[#This Row],[mergeDate]]), U2177, MID(YEAR(patch[[#This Row],[mergeDate]]), 3,2)&amp;"'m"&amp;MONTH(patch[[#This Row],[mergeDate]]))</f>
        <v>16'm9</v>
      </c>
      <c r="V2178" s="7" t="str">
        <f>IF(ISBLANK(patch[[#This Row],[project]]), "",SUM(patch[[#This Row],[BJ -1 num]:[SH -1 num]]))</f>
        <v/>
      </c>
      <c r="W2178" s="7" t="str">
        <f>IF(ISBLANK(patch[[#This Row],[project]]), "",COUNTIFS($A:$A,patch[[#This Row],[number]],$S:$S, "BJ And dev",$AC:$AC, "Review-1"))</f>
        <v/>
      </c>
      <c r="X2178" s="7" t="str">
        <f>IF(ISBLANK(patch[[#This Row],[project]]), "",COUNTIFS($A:$A,patch[[#This Row],[number]],$S:$S, "FL And dev",$AC:$AC, "Review-1"))</f>
        <v/>
      </c>
      <c r="Y2178" s="7" t="str">
        <f>IF(ISBLANK(patch[[#This Row],[project]]), "",COUNTIFS($A:$A,patch[[#This Row],[number]],$S:$S, "SH And dev",$AC:$AC, "Review-1"))</f>
        <v/>
      </c>
      <c r="Z2178" s="7" t="str">
        <f>IF(ISBLANK(patch[[#This Row],[project]]), "",COUNTIFS($A:$A,patch[[#This Row],[number]],$S:$S, "BJ And dev",$AD:$AD, "&lt;&gt;IntegratorValidationComment"))</f>
        <v/>
      </c>
      <c r="AA2178" s="7" t="str">
        <f>IF(ISBLANK(patch[[#This Row],[project]]), "",COUNTIFS($A:$A,patch[[#This Row],[number]],$S:$S, "FL And dev",$AD:$AD, "&lt;&gt;IntegratorValidationComment"))</f>
        <v/>
      </c>
      <c r="AB2178" s="7" t="str">
        <f>IF(ISBLANK(patch[[#This Row],[project]]), "",COUNTIFS($A:$A,patch[[#This Row],[number]],$S:$S, "SH And dev",$AD:$AD, "&lt;&gt;IntegratorValidationComment"))</f>
        <v/>
      </c>
      <c r="AC2178" s="7" t="str">
        <f>IF(OR(ISNUMBER(FIND("Review-1", patch[[#This Row],[comments]])), ISNUMBER(FIND("Approver-1", patch[[#This Row],[comments]]))), "Review-1", "")</f>
        <v/>
      </c>
      <c r="AD21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78" s="7">
        <f>IF(ISBLANK(patch[[#This Row],[number]]),AE2177,patch[[#This Row],[ifCommon]])</f>
        <v>0</v>
      </c>
    </row>
    <row r="2179" spans="1:31">
      <c r="A2179" s="151">
        <v>142780</v>
      </c>
      <c r="B2179" s="151"/>
      <c r="C2179" s="151"/>
      <c r="D2179" s="151"/>
      <c r="E2179" s="151"/>
      <c r="F2179" s="151"/>
      <c r="G2179" s="151"/>
      <c r="H2179" s="151"/>
      <c r="I2179" s="151"/>
      <c r="J2179" s="152">
        <v>42620.678576388891</v>
      </c>
      <c r="K2179" s="151"/>
      <c r="L2179" s="151" t="s">
        <v>59</v>
      </c>
      <c r="M2179" s="152">
        <v>42618.452962962961</v>
      </c>
      <c r="N2179" s="151" t="s">
        <v>3662</v>
      </c>
      <c r="O2179" s="151"/>
      <c r="P2179" s="151"/>
      <c r="Q2179" s="7" t="str">
        <f>IF(ISBLANK(patch[[#This Row],[OwnerEmail]]),Q2178,patch[[#This Row],[OwnerEmail]])</f>
        <v>zongx.li@intel.com</v>
      </c>
      <c r="R2179" s="7" t="str">
        <f>_xlfn.IFNA(VLOOKUP(patch[[#This Row],[tmp-owner.email]],OrgTree!$A:$K, 11, 0), "not ICG SWFW")</f>
        <v>BJ And dev</v>
      </c>
      <c r="S2179" s="7" t="str">
        <f>IF(patch[[#This Row],[reviewer]]=patch[[#This Row],[tmp-owner.email]], "author", _xlfn.IFNA(VLOOKUP(patch[[#This Row],[reviewer]],OrgTree!$A:$K, 11, 0), "not ICG SWFW"))</f>
        <v>BJ And dev</v>
      </c>
      <c r="T2179" s="7" t="str">
        <f>IF(ISBLANK(patch[[#This Row],[mergeDate]]), "", MID(YEAR(patch[[#This Row],[mergeDate]]), 3,2)&amp;"'ww"&amp;WEEKNUM(patch[[#This Row],[mergeDate]]))</f>
        <v>16'ww37</v>
      </c>
      <c r="U2179" s="7" t="str">
        <f>IF(ISBLANK(patch[[#This Row],[mergeDate]]), U2178, MID(YEAR(patch[[#This Row],[mergeDate]]), 3,2)&amp;"'m"&amp;MONTH(patch[[#This Row],[mergeDate]]))</f>
        <v>16'm9</v>
      </c>
      <c r="V2179" s="7" t="str">
        <f>IF(ISBLANK(patch[[#This Row],[project]]), "",SUM(patch[[#This Row],[BJ -1 num]:[SH -1 num]]))</f>
        <v/>
      </c>
      <c r="W2179" s="7" t="str">
        <f>IF(ISBLANK(patch[[#This Row],[project]]), "",COUNTIFS($A:$A,patch[[#This Row],[number]],$S:$S, "BJ And dev",$AC:$AC, "Review-1"))</f>
        <v/>
      </c>
      <c r="X2179" s="7" t="str">
        <f>IF(ISBLANK(patch[[#This Row],[project]]), "",COUNTIFS($A:$A,patch[[#This Row],[number]],$S:$S, "FL And dev",$AC:$AC, "Review-1"))</f>
        <v/>
      </c>
      <c r="Y2179" s="7" t="str">
        <f>IF(ISBLANK(patch[[#This Row],[project]]), "",COUNTIFS($A:$A,patch[[#This Row],[number]],$S:$S, "SH And dev",$AC:$AC, "Review-1"))</f>
        <v/>
      </c>
      <c r="Z2179" s="7" t="str">
        <f>IF(ISBLANK(patch[[#This Row],[project]]), "",COUNTIFS($A:$A,patch[[#This Row],[number]],$S:$S, "BJ And dev",$AD:$AD, "&lt;&gt;IntegratorValidationComment"))</f>
        <v/>
      </c>
      <c r="AA2179" s="7" t="str">
        <f>IF(ISBLANK(patch[[#This Row],[project]]), "",COUNTIFS($A:$A,patch[[#This Row],[number]],$S:$S, "FL And dev",$AD:$AD, "&lt;&gt;IntegratorValidationComment"))</f>
        <v/>
      </c>
      <c r="AB2179" s="7" t="str">
        <f>IF(ISBLANK(patch[[#This Row],[project]]), "",COUNTIFS($A:$A,patch[[#This Row],[number]],$S:$S, "SH And dev",$AD:$AD, "&lt;&gt;IntegratorValidationComment"))</f>
        <v/>
      </c>
      <c r="AC2179" s="7" t="str">
        <f>IF(OR(ISNUMBER(FIND("Review-1", patch[[#This Row],[comments]])), ISNUMBER(FIND("Approver-1", patch[[#This Row],[comments]]))), "Review-1", "")</f>
        <v/>
      </c>
      <c r="AD21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79" s="7">
        <f>IF(ISBLANK(patch[[#This Row],[number]]),AE2178,patch[[#This Row],[ifCommon]])</f>
        <v>0</v>
      </c>
    </row>
    <row r="2180" spans="1:31">
      <c r="A2180" s="151">
        <v>142780</v>
      </c>
      <c r="B2180" s="151"/>
      <c r="C2180" s="151"/>
      <c r="D2180" s="151"/>
      <c r="E2180" s="151"/>
      <c r="F2180" s="151"/>
      <c r="G2180" s="151"/>
      <c r="H2180" s="151"/>
      <c r="I2180" s="151"/>
      <c r="J2180" s="152">
        <v>42620.678576388891</v>
      </c>
      <c r="K2180" s="151"/>
      <c r="L2180" s="151" t="s">
        <v>59</v>
      </c>
      <c r="M2180" s="152">
        <v>42618.455671296288</v>
      </c>
      <c r="N2180" s="151" t="s">
        <v>3663</v>
      </c>
      <c r="O2180" s="151"/>
      <c r="P2180" s="151"/>
      <c r="Q2180" s="7" t="str">
        <f>IF(ISBLANK(patch[[#This Row],[OwnerEmail]]),Q2179,patch[[#This Row],[OwnerEmail]])</f>
        <v>zongx.li@intel.com</v>
      </c>
      <c r="R2180" s="7" t="str">
        <f>_xlfn.IFNA(VLOOKUP(patch[[#This Row],[tmp-owner.email]],OrgTree!$A:$K, 11, 0), "not ICG SWFW")</f>
        <v>BJ And dev</v>
      </c>
      <c r="S2180" s="7" t="str">
        <f>IF(patch[[#This Row],[reviewer]]=patch[[#This Row],[tmp-owner.email]], "author", _xlfn.IFNA(VLOOKUP(patch[[#This Row],[reviewer]],OrgTree!$A:$K, 11, 0), "not ICG SWFW"))</f>
        <v>BJ And dev</v>
      </c>
      <c r="T2180" s="7" t="str">
        <f>IF(ISBLANK(patch[[#This Row],[mergeDate]]), "", MID(YEAR(patch[[#This Row],[mergeDate]]), 3,2)&amp;"'ww"&amp;WEEKNUM(patch[[#This Row],[mergeDate]]))</f>
        <v>16'ww37</v>
      </c>
      <c r="U2180" s="7" t="str">
        <f>IF(ISBLANK(patch[[#This Row],[mergeDate]]), U2179, MID(YEAR(patch[[#This Row],[mergeDate]]), 3,2)&amp;"'m"&amp;MONTH(patch[[#This Row],[mergeDate]]))</f>
        <v>16'm9</v>
      </c>
      <c r="V2180" s="7" t="str">
        <f>IF(ISBLANK(patch[[#This Row],[project]]), "",SUM(patch[[#This Row],[BJ -1 num]:[SH -1 num]]))</f>
        <v/>
      </c>
      <c r="W2180" s="7" t="str">
        <f>IF(ISBLANK(patch[[#This Row],[project]]), "",COUNTIFS($A:$A,patch[[#This Row],[number]],$S:$S, "BJ And dev",$AC:$AC, "Review-1"))</f>
        <v/>
      </c>
      <c r="X2180" s="7" t="str">
        <f>IF(ISBLANK(patch[[#This Row],[project]]), "",COUNTIFS($A:$A,patch[[#This Row],[number]],$S:$S, "FL And dev",$AC:$AC, "Review-1"))</f>
        <v/>
      </c>
      <c r="Y2180" s="7" t="str">
        <f>IF(ISBLANK(patch[[#This Row],[project]]), "",COUNTIFS($A:$A,patch[[#This Row],[number]],$S:$S, "SH And dev",$AC:$AC, "Review-1"))</f>
        <v/>
      </c>
      <c r="Z2180" s="7" t="str">
        <f>IF(ISBLANK(patch[[#This Row],[project]]), "",COUNTIFS($A:$A,patch[[#This Row],[number]],$S:$S, "BJ And dev",$AD:$AD, "&lt;&gt;IntegratorValidationComment"))</f>
        <v/>
      </c>
      <c r="AA2180" s="7" t="str">
        <f>IF(ISBLANK(patch[[#This Row],[project]]), "",COUNTIFS($A:$A,patch[[#This Row],[number]],$S:$S, "FL And dev",$AD:$AD, "&lt;&gt;IntegratorValidationComment"))</f>
        <v/>
      </c>
      <c r="AB2180" s="7" t="str">
        <f>IF(ISBLANK(patch[[#This Row],[project]]), "",COUNTIFS($A:$A,patch[[#This Row],[number]],$S:$S, "SH And dev",$AD:$AD, "&lt;&gt;IntegratorValidationComment"))</f>
        <v/>
      </c>
      <c r="AC2180" s="7" t="str">
        <f>IF(OR(ISNUMBER(FIND("Review-1", patch[[#This Row],[comments]])), ISNUMBER(FIND("Approver-1", patch[[#This Row],[comments]]))), "Review-1", "")</f>
        <v/>
      </c>
      <c r="AD21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80" s="7">
        <f>IF(ISBLANK(patch[[#This Row],[number]]),AE2179,patch[[#This Row],[ifCommon]])</f>
        <v>0</v>
      </c>
    </row>
    <row r="2181" spans="1:31">
      <c r="A2181" s="151">
        <v>142780</v>
      </c>
      <c r="B2181" s="151"/>
      <c r="C2181" s="151"/>
      <c r="D2181" s="151"/>
      <c r="E2181" s="151"/>
      <c r="F2181" s="151"/>
      <c r="G2181" s="151"/>
      <c r="H2181" s="151"/>
      <c r="I2181" s="151"/>
      <c r="J2181" s="152">
        <v>42620.678576388891</v>
      </c>
      <c r="K2181" s="151"/>
      <c r="L2181" s="151" t="s">
        <v>32</v>
      </c>
      <c r="M2181" s="152">
        <v>42618.583807870367</v>
      </c>
      <c r="N2181" s="151" t="s">
        <v>48</v>
      </c>
      <c r="O2181" s="151"/>
      <c r="P2181" s="151"/>
      <c r="Q2181" s="7" t="str">
        <f>IF(ISBLANK(patch[[#This Row],[OwnerEmail]]),Q2180,patch[[#This Row],[OwnerEmail]])</f>
        <v>zongx.li@intel.com</v>
      </c>
      <c r="R2181" s="7" t="str">
        <f>_xlfn.IFNA(VLOOKUP(patch[[#This Row],[tmp-owner.email]],OrgTree!$A:$K, 11, 0), "not ICG SWFW")</f>
        <v>BJ And dev</v>
      </c>
      <c r="S2181" s="7" t="str">
        <f>IF(patch[[#This Row],[reviewer]]=patch[[#This Row],[tmp-owner.email]], "author", _xlfn.IFNA(VLOOKUP(patch[[#This Row],[reviewer]],OrgTree!$A:$K, 11, 0), "not ICG SWFW"))</f>
        <v>BJ And dev</v>
      </c>
      <c r="T2181" s="7" t="str">
        <f>IF(ISBLANK(patch[[#This Row],[mergeDate]]), "", MID(YEAR(patch[[#This Row],[mergeDate]]), 3,2)&amp;"'ww"&amp;WEEKNUM(patch[[#This Row],[mergeDate]]))</f>
        <v>16'ww37</v>
      </c>
      <c r="U2181" s="7" t="str">
        <f>IF(ISBLANK(patch[[#This Row],[mergeDate]]), U2180, MID(YEAR(patch[[#This Row],[mergeDate]]), 3,2)&amp;"'m"&amp;MONTH(patch[[#This Row],[mergeDate]]))</f>
        <v>16'm9</v>
      </c>
      <c r="V2181" s="7" t="str">
        <f>IF(ISBLANK(patch[[#This Row],[project]]), "",SUM(patch[[#This Row],[BJ -1 num]:[SH -1 num]]))</f>
        <v/>
      </c>
      <c r="W2181" s="7" t="str">
        <f>IF(ISBLANK(patch[[#This Row],[project]]), "",COUNTIFS($A:$A,patch[[#This Row],[number]],$S:$S, "BJ And dev",$AC:$AC, "Review-1"))</f>
        <v/>
      </c>
      <c r="X2181" s="7" t="str">
        <f>IF(ISBLANK(patch[[#This Row],[project]]), "",COUNTIFS($A:$A,patch[[#This Row],[number]],$S:$S, "FL And dev",$AC:$AC, "Review-1"))</f>
        <v/>
      </c>
      <c r="Y2181" s="7" t="str">
        <f>IF(ISBLANK(patch[[#This Row],[project]]), "",COUNTIFS($A:$A,patch[[#This Row],[number]],$S:$S, "SH And dev",$AC:$AC, "Review-1"))</f>
        <v/>
      </c>
      <c r="Z2181" s="7" t="str">
        <f>IF(ISBLANK(patch[[#This Row],[project]]), "",COUNTIFS($A:$A,patch[[#This Row],[number]],$S:$S, "BJ And dev",$AD:$AD, "&lt;&gt;IntegratorValidationComment"))</f>
        <v/>
      </c>
      <c r="AA2181" s="7" t="str">
        <f>IF(ISBLANK(patch[[#This Row],[project]]), "",COUNTIFS($A:$A,patch[[#This Row],[number]],$S:$S, "FL And dev",$AD:$AD, "&lt;&gt;IntegratorValidationComment"))</f>
        <v/>
      </c>
      <c r="AB2181" s="7" t="str">
        <f>IF(ISBLANK(patch[[#This Row],[project]]), "",COUNTIFS($A:$A,patch[[#This Row],[number]],$S:$S, "SH And dev",$AD:$AD, "&lt;&gt;IntegratorValidationComment"))</f>
        <v/>
      </c>
      <c r="AC2181" s="7" t="str">
        <f>IF(OR(ISNUMBER(FIND("Review-1", patch[[#This Row],[comments]])), ISNUMBER(FIND("Approver-1", patch[[#This Row],[comments]]))), "Review-1", "")</f>
        <v/>
      </c>
      <c r="AD21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81" s="7">
        <f>IF(ISBLANK(patch[[#This Row],[number]]),AE2180,patch[[#This Row],[ifCommon]])</f>
        <v>0</v>
      </c>
    </row>
    <row r="2182" spans="1:31">
      <c r="A2182" s="151">
        <v>142780</v>
      </c>
      <c r="B2182" s="151"/>
      <c r="C2182" s="151"/>
      <c r="D2182" s="151"/>
      <c r="E2182" s="151"/>
      <c r="F2182" s="151"/>
      <c r="G2182" s="151"/>
      <c r="H2182" s="151"/>
      <c r="I2182" s="151"/>
      <c r="J2182" s="152">
        <v>42620.678576388891</v>
      </c>
      <c r="K2182" s="151"/>
      <c r="L2182" s="151" t="s">
        <v>55</v>
      </c>
      <c r="M2182" s="152">
        <v>42619.615312499998</v>
      </c>
      <c r="N2182" s="151" t="s">
        <v>2548</v>
      </c>
      <c r="O2182" s="151" t="s">
        <v>3664</v>
      </c>
      <c r="P2182" s="151"/>
      <c r="Q2182" s="7" t="str">
        <f>IF(ISBLANK(patch[[#This Row],[OwnerEmail]]),Q2181,patch[[#This Row],[OwnerEmail]])</f>
        <v>zongx.li@intel.com</v>
      </c>
      <c r="R2182" s="7" t="str">
        <f>_xlfn.IFNA(VLOOKUP(patch[[#This Row],[tmp-owner.email]],OrgTree!$A:$K, 11, 0), "not ICG SWFW")</f>
        <v>BJ And dev</v>
      </c>
      <c r="S2182" s="7" t="str">
        <f>IF(patch[[#This Row],[reviewer]]=patch[[#This Row],[tmp-owner.email]], "author", _xlfn.IFNA(VLOOKUP(patch[[#This Row],[reviewer]],OrgTree!$A:$K, 11, 0), "not ICG SWFW"))</f>
        <v>BJ And dev</v>
      </c>
      <c r="T2182" s="7" t="str">
        <f>IF(ISBLANK(patch[[#This Row],[mergeDate]]), "", MID(YEAR(patch[[#This Row],[mergeDate]]), 3,2)&amp;"'ww"&amp;WEEKNUM(patch[[#This Row],[mergeDate]]))</f>
        <v>16'ww37</v>
      </c>
      <c r="U2182" s="7" t="str">
        <f>IF(ISBLANK(patch[[#This Row],[mergeDate]]), U2181, MID(YEAR(patch[[#This Row],[mergeDate]]), 3,2)&amp;"'m"&amp;MONTH(patch[[#This Row],[mergeDate]]))</f>
        <v>16'm9</v>
      </c>
      <c r="V2182" s="7" t="str">
        <f>IF(ISBLANK(patch[[#This Row],[project]]), "",SUM(patch[[#This Row],[BJ -1 num]:[SH -1 num]]))</f>
        <v/>
      </c>
      <c r="W2182" s="7" t="str">
        <f>IF(ISBLANK(patch[[#This Row],[project]]), "",COUNTIFS($A:$A,patch[[#This Row],[number]],$S:$S, "BJ And dev",$AC:$AC, "Review-1"))</f>
        <v/>
      </c>
      <c r="X2182" s="7" t="str">
        <f>IF(ISBLANK(patch[[#This Row],[project]]), "",COUNTIFS($A:$A,patch[[#This Row],[number]],$S:$S, "FL And dev",$AC:$AC, "Review-1"))</f>
        <v/>
      </c>
      <c r="Y2182" s="7" t="str">
        <f>IF(ISBLANK(patch[[#This Row],[project]]), "",COUNTIFS($A:$A,patch[[#This Row],[number]],$S:$S, "SH And dev",$AC:$AC, "Review-1"))</f>
        <v/>
      </c>
      <c r="Z2182" s="7" t="str">
        <f>IF(ISBLANK(patch[[#This Row],[project]]), "",COUNTIFS($A:$A,patch[[#This Row],[number]],$S:$S, "BJ And dev",$AD:$AD, "&lt;&gt;IntegratorValidationComment"))</f>
        <v/>
      </c>
      <c r="AA2182" s="7" t="str">
        <f>IF(ISBLANK(patch[[#This Row],[project]]), "",COUNTIFS($A:$A,patch[[#This Row],[number]],$S:$S, "FL And dev",$AD:$AD, "&lt;&gt;IntegratorValidationComment"))</f>
        <v/>
      </c>
      <c r="AB2182" s="7" t="str">
        <f>IF(ISBLANK(patch[[#This Row],[project]]), "",COUNTIFS($A:$A,patch[[#This Row],[number]],$S:$S, "SH And dev",$AD:$AD, "&lt;&gt;IntegratorValidationComment"))</f>
        <v/>
      </c>
      <c r="AC2182" s="7" t="str">
        <f>IF(OR(ISNUMBER(FIND("Review-1", patch[[#This Row],[comments]])), ISNUMBER(FIND("Approver-1", patch[[#This Row],[comments]]))), "Review-1", "")</f>
        <v>Review-1</v>
      </c>
      <c r="AD21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82" s="7">
        <f>IF(ISBLANK(patch[[#This Row],[number]]),AE2181,patch[[#This Row],[ifCommon]])</f>
        <v>0</v>
      </c>
    </row>
    <row r="2183" spans="1:31">
      <c r="A2183" s="151">
        <v>142780</v>
      </c>
      <c r="B2183" s="151"/>
      <c r="C2183" s="151"/>
      <c r="D2183" s="151"/>
      <c r="E2183" s="151"/>
      <c r="F2183" s="151"/>
      <c r="G2183" s="151"/>
      <c r="H2183" s="151"/>
      <c r="I2183" s="151"/>
      <c r="J2183" s="152">
        <v>42620.678576388891</v>
      </c>
      <c r="K2183" s="151"/>
      <c r="L2183" s="151" t="s">
        <v>63</v>
      </c>
      <c r="M2183" s="152">
        <v>42619.679872685178</v>
      </c>
      <c r="N2183" s="151" t="s">
        <v>2451</v>
      </c>
      <c r="O2183" s="151"/>
      <c r="P2183" s="151"/>
      <c r="Q2183" s="7" t="str">
        <f>IF(ISBLANK(patch[[#This Row],[OwnerEmail]]),Q2182,patch[[#This Row],[OwnerEmail]])</f>
        <v>zongx.li@intel.com</v>
      </c>
      <c r="R2183" s="7" t="str">
        <f>_xlfn.IFNA(VLOOKUP(patch[[#This Row],[tmp-owner.email]],OrgTree!$A:$K, 11, 0), "not ICG SWFW")</f>
        <v>BJ And dev</v>
      </c>
      <c r="S2183" s="7" t="str">
        <f>IF(patch[[#This Row],[reviewer]]=patch[[#This Row],[tmp-owner.email]], "author", _xlfn.IFNA(VLOOKUP(patch[[#This Row],[reviewer]],OrgTree!$A:$K, 11, 0), "not ICG SWFW"))</f>
        <v>author</v>
      </c>
      <c r="T2183" s="7" t="str">
        <f>IF(ISBLANK(patch[[#This Row],[mergeDate]]), "", MID(YEAR(patch[[#This Row],[mergeDate]]), 3,2)&amp;"'ww"&amp;WEEKNUM(patch[[#This Row],[mergeDate]]))</f>
        <v>16'ww37</v>
      </c>
      <c r="U2183" s="7" t="str">
        <f>IF(ISBLANK(patch[[#This Row],[mergeDate]]), U2182, MID(YEAR(patch[[#This Row],[mergeDate]]), 3,2)&amp;"'m"&amp;MONTH(patch[[#This Row],[mergeDate]]))</f>
        <v>16'm9</v>
      </c>
      <c r="V2183" s="7" t="str">
        <f>IF(ISBLANK(patch[[#This Row],[project]]), "",SUM(patch[[#This Row],[BJ -1 num]:[SH -1 num]]))</f>
        <v/>
      </c>
      <c r="W2183" s="7" t="str">
        <f>IF(ISBLANK(patch[[#This Row],[project]]), "",COUNTIFS($A:$A,patch[[#This Row],[number]],$S:$S, "BJ And dev",$AC:$AC, "Review-1"))</f>
        <v/>
      </c>
      <c r="X2183" s="7" t="str">
        <f>IF(ISBLANK(patch[[#This Row],[project]]), "",COUNTIFS($A:$A,patch[[#This Row],[number]],$S:$S, "FL And dev",$AC:$AC, "Review-1"))</f>
        <v/>
      </c>
      <c r="Y2183" s="7" t="str">
        <f>IF(ISBLANK(patch[[#This Row],[project]]), "",COUNTIFS($A:$A,patch[[#This Row],[number]],$S:$S, "SH And dev",$AC:$AC, "Review-1"))</f>
        <v/>
      </c>
      <c r="Z2183" s="7" t="str">
        <f>IF(ISBLANK(patch[[#This Row],[project]]), "",COUNTIFS($A:$A,patch[[#This Row],[number]],$S:$S, "BJ And dev",$AD:$AD, "&lt;&gt;IntegratorValidationComment"))</f>
        <v/>
      </c>
      <c r="AA2183" s="7" t="str">
        <f>IF(ISBLANK(patch[[#This Row],[project]]), "",COUNTIFS($A:$A,patch[[#This Row],[number]],$S:$S, "FL And dev",$AD:$AD, "&lt;&gt;IntegratorValidationComment"))</f>
        <v/>
      </c>
      <c r="AB2183" s="7" t="str">
        <f>IF(ISBLANK(patch[[#This Row],[project]]), "",COUNTIFS($A:$A,patch[[#This Row],[number]],$S:$S, "SH And dev",$AD:$AD, "&lt;&gt;IntegratorValidationComment"))</f>
        <v/>
      </c>
      <c r="AC2183" s="7" t="str">
        <f>IF(OR(ISNUMBER(FIND("Review-1", patch[[#This Row],[comments]])), ISNUMBER(FIND("Approver-1", patch[[#This Row],[comments]]))), "Review-1", "")</f>
        <v/>
      </c>
      <c r="AD21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83" s="7">
        <f>IF(ISBLANK(patch[[#This Row],[number]]),AE2182,patch[[#This Row],[ifCommon]])</f>
        <v>0</v>
      </c>
    </row>
    <row r="2184" spans="1:31">
      <c r="A2184" s="151">
        <v>142780</v>
      </c>
      <c r="B2184" s="151"/>
      <c r="C2184" s="151"/>
      <c r="D2184" s="151"/>
      <c r="E2184" s="151"/>
      <c r="F2184" s="151"/>
      <c r="G2184" s="151"/>
      <c r="H2184" s="151"/>
      <c r="I2184" s="151"/>
      <c r="J2184" s="152">
        <v>42620.678576388891</v>
      </c>
      <c r="K2184" s="151"/>
      <c r="L2184" s="151" t="s">
        <v>63</v>
      </c>
      <c r="M2184" s="152">
        <v>42619.679872685178</v>
      </c>
      <c r="N2184" s="151" t="s">
        <v>49</v>
      </c>
      <c r="O2184" s="151"/>
      <c r="P2184" s="151"/>
      <c r="Q2184" s="7" t="str">
        <f>IF(ISBLANK(patch[[#This Row],[OwnerEmail]]),Q2183,patch[[#This Row],[OwnerEmail]])</f>
        <v>zongx.li@intel.com</v>
      </c>
      <c r="R2184" s="7" t="str">
        <f>_xlfn.IFNA(VLOOKUP(patch[[#This Row],[tmp-owner.email]],OrgTree!$A:$K, 11, 0), "not ICG SWFW")</f>
        <v>BJ And dev</v>
      </c>
      <c r="S2184" s="7" t="str">
        <f>IF(patch[[#This Row],[reviewer]]=patch[[#This Row],[tmp-owner.email]], "author", _xlfn.IFNA(VLOOKUP(patch[[#This Row],[reviewer]],OrgTree!$A:$K, 11, 0), "not ICG SWFW"))</f>
        <v>author</v>
      </c>
      <c r="T2184" s="7" t="str">
        <f>IF(ISBLANK(patch[[#This Row],[mergeDate]]), "", MID(YEAR(patch[[#This Row],[mergeDate]]), 3,2)&amp;"'ww"&amp;WEEKNUM(patch[[#This Row],[mergeDate]]))</f>
        <v>16'ww37</v>
      </c>
      <c r="U2184" s="7" t="str">
        <f>IF(ISBLANK(patch[[#This Row],[mergeDate]]), U2183, MID(YEAR(patch[[#This Row],[mergeDate]]), 3,2)&amp;"'m"&amp;MONTH(patch[[#This Row],[mergeDate]]))</f>
        <v>16'm9</v>
      </c>
      <c r="V2184" s="7" t="str">
        <f>IF(ISBLANK(patch[[#This Row],[project]]), "",SUM(patch[[#This Row],[BJ -1 num]:[SH -1 num]]))</f>
        <v/>
      </c>
      <c r="W2184" s="7" t="str">
        <f>IF(ISBLANK(patch[[#This Row],[project]]), "",COUNTIFS($A:$A,patch[[#This Row],[number]],$S:$S, "BJ And dev",$AC:$AC, "Review-1"))</f>
        <v/>
      </c>
      <c r="X2184" s="7" t="str">
        <f>IF(ISBLANK(patch[[#This Row],[project]]), "",COUNTIFS($A:$A,patch[[#This Row],[number]],$S:$S, "FL And dev",$AC:$AC, "Review-1"))</f>
        <v/>
      </c>
      <c r="Y2184" s="7" t="str">
        <f>IF(ISBLANK(patch[[#This Row],[project]]), "",COUNTIFS($A:$A,patch[[#This Row],[number]],$S:$S, "SH And dev",$AC:$AC, "Review-1"))</f>
        <v/>
      </c>
      <c r="Z2184" s="7" t="str">
        <f>IF(ISBLANK(patch[[#This Row],[project]]), "",COUNTIFS($A:$A,patch[[#This Row],[number]],$S:$S, "BJ And dev",$AD:$AD, "&lt;&gt;IntegratorValidationComment"))</f>
        <v/>
      </c>
      <c r="AA2184" s="7" t="str">
        <f>IF(ISBLANK(patch[[#This Row],[project]]), "",COUNTIFS($A:$A,patch[[#This Row],[number]],$S:$S, "FL And dev",$AD:$AD, "&lt;&gt;IntegratorValidationComment"))</f>
        <v/>
      </c>
      <c r="AB2184" s="7" t="str">
        <f>IF(ISBLANK(patch[[#This Row],[project]]), "",COUNTIFS($A:$A,patch[[#This Row],[number]],$S:$S, "SH And dev",$AD:$AD, "&lt;&gt;IntegratorValidationComment"))</f>
        <v/>
      </c>
      <c r="AC2184" s="7" t="str">
        <f>IF(OR(ISNUMBER(FIND("Review-1", patch[[#This Row],[comments]])), ISNUMBER(FIND("Approver-1", patch[[#This Row],[comments]]))), "Review-1", "")</f>
        <v/>
      </c>
      <c r="AD21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84" s="7">
        <f>IF(ISBLANK(patch[[#This Row],[number]]),AE2183,patch[[#This Row],[ifCommon]])</f>
        <v>0</v>
      </c>
    </row>
    <row r="2185" spans="1:31">
      <c r="A2185" s="151">
        <v>142780</v>
      </c>
      <c r="B2185" s="151"/>
      <c r="C2185" s="151"/>
      <c r="D2185" s="151"/>
      <c r="E2185" s="151"/>
      <c r="F2185" s="151"/>
      <c r="G2185" s="151"/>
      <c r="H2185" s="151"/>
      <c r="I2185" s="151"/>
      <c r="J2185" s="152">
        <v>42620.678576388891</v>
      </c>
      <c r="K2185" s="151"/>
      <c r="L2185" s="151" t="s">
        <v>63</v>
      </c>
      <c r="M2185" s="152">
        <v>42619.680081018523</v>
      </c>
      <c r="N2185" s="151" t="s">
        <v>31</v>
      </c>
      <c r="O2185" s="151"/>
      <c r="P2185" s="151"/>
      <c r="Q2185" s="7" t="str">
        <f>IF(ISBLANK(patch[[#This Row],[OwnerEmail]]),Q2184,patch[[#This Row],[OwnerEmail]])</f>
        <v>zongx.li@intel.com</v>
      </c>
      <c r="R2185" s="7" t="str">
        <f>_xlfn.IFNA(VLOOKUP(patch[[#This Row],[tmp-owner.email]],OrgTree!$A:$K, 11, 0), "not ICG SWFW")</f>
        <v>BJ And dev</v>
      </c>
      <c r="S2185" s="7" t="str">
        <f>IF(patch[[#This Row],[reviewer]]=patch[[#This Row],[tmp-owner.email]], "author", _xlfn.IFNA(VLOOKUP(patch[[#This Row],[reviewer]],OrgTree!$A:$K, 11, 0), "not ICG SWFW"))</f>
        <v>author</v>
      </c>
      <c r="T2185" s="7" t="str">
        <f>IF(ISBLANK(patch[[#This Row],[mergeDate]]), "", MID(YEAR(patch[[#This Row],[mergeDate]]), 3,2)&amp;"'ww"&amp;WEEKNUM(patch[[#This Row],[mergeDate]]))</f>
        <v>16'ww37</v>
      </c>
      <c r="U2185" s="7" t="str">
        <f>IF(ISBLANK(patch[[#This Row],[mergeDate]]), U2184, MID(YEAR(patch[[#This Row],[mergeDate]]), 3,2)&amp;"'m"&amp;MONTH(patch[[#This Row],[mergeDate]]))</f>
        <v>16'm9</v>
      </c>
      <c r="V2185" s="7" t="str">
        <f>IF(ISBLANK(patch[[#This Row],[project]]), "",SUM(patch[[#This Row],[BJ -1 num]:[SH -1 num]]))</f>
        <v/>
      </c>
      <c r="W2185" s="7" t="str">
        <f>IF(ISBLANK(patch[[#This Row],[project]]), "",COUNTIFS($A:$A,patch[[#This Row],[number]],$S:$S, "BJ And dev",$AC:$AC, "Review-1"))</f>
        <v/>
      </c>
      <c r="X2185" s="7" t="str">
        <f>IF(ISBLANK(patch[[#This Row],[project]]), "",COUNTIFS($A:$A,patch[[#This Row],[number]],$S:$S, "FL And dev",$AC:$AC, "Review-1"))</f>
        <v/>
      </c>
      <c r="Y2185" s="7" t="str">
        <f>IF(ISBLANK(patch[[#This Row],[project]]), "",COUNTIFS($A:$A,patch[[#This Row],[number]],$S:$S, "SH And dev",$AC:$AC, "Review-1"))</f>
        <v/>
      </c>
      <c r="Z2185" s="7" t="str">
        <f>IF(ISBLANK(patch[[#This Row],[project]]), "",COUNTIFS($A:$A,patch[[#This Row],[number]],$S:$S, "BJ And dev",$AD:$AD, "&lt;&gt;IntegratorValidationComment"))</f>
        <v/>
      </c>
      <c r="AA2185" s="7" t="str">
        <f>IF(ISBLANK(patch[[#This Row],[project]]), "",COUNTIFS($A:$A,patch[[#This Row],[number]],$S:$S, "FL And dev",$AD:$AD, "&lt;&gt;IntegratorValidationComment"))</f>
        <v/>
      </c>
      <c r="AB2185" s="7" t="str">
        <f>IF(ISBLANK(patch[[#This Row],[project]]), "",COUNTIFS($A:$A,patch[[#This Row],[number]],$S:$S, "SH And dev",$AD:$AD, "&lt;&gt;IntegratorValidationComment"))</f>
        <v/>
      </c>
      <c r="AC2185" s="7" t="str">
        <f>IF(OR(ISNUMBER(FIND("Review-1", patch[[#This Row],[comments]])), ISNUMBER(FIND("Approver-1", patch[[#This Row],[comments]]))), "Review-1", "")</f>
        <v/>
      </c>
      <c r="AD21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85" s="7">
        <f>IF(ISBLANK(patch[[#This Row],[number]]),AE2184,patch[[#This Row],[ifCommon]])</f>
        <v>0</v>
      </c>
    </row>
    <row r="2186" spans="1:31">
      <c r="A2186" s="151">
        <v>142780</v>
      </c>
      <c r="B2186" s="151"/>
      <c r="C2186" s="151"/>
      <c r="D2186" s="151"/>
      <c r="E2186" s="151"/>
      <c r="F2186" s="151"/>
      <c r="G2186" s="151"/>
      <c r="H2186" s="151"/>
      <c r="I2186" s="151"/>
      <c r="J2186" s="152">
        <v>42620.678576388891</v>
      </c>
      <c r="K2186" s="151"/>
      <c r="L2186" s="151" t="s">
        <v>59</v>
      </c>
      <c r="M2186" s="152">
        <v>42619.681979166657</v>
      </c>
      <c r="N2186" s="151" t="s">
        <v>3665</v>
      </c>
      <c r="O2186" s="151"/>
      <c r="P2186" s="151"/>
      <c r="Q2186" s="7" t="str">
        <f>IF(ISBLANK(patch[[#This Row],[OwnerEmail]]),Q2185,patch[[#This Row],[OwnerEmail]])</f>
        <v>zongx.li@intel.com</v>
      </c>
      <c r="R2186" s="7" t="str">
        <f>_xlfn.IFNA(VLOOKUP(patch[[#This Row],[tmp-owner.email]],OrgTree!$A:$K, 11, 0), "not ICG SWFW")</f>
        <v>BJ And dev</v>
      </c>
      <c r="S2186" s="7" t="str">
        <f>IF(patch[[#This Row],[reviewer]]=patch[[#This Row],[tmp-owner.email]], "author", _xlfn.IFNA(VLOOKUP(patch[[#This Row],[reviewer]],OrgTree!$A:$K, 11, 0), "not ICG SWFW"))</f>
        <v>BJ And dev</v>
      </c>
      <c r="T2186" s="7" t="str">
        <f>IF(ISBLANK(patch[[#This Row],[mergeDate]]), "", MID(YEAR(patch[[#This Row],[mergeDate]]), 3,2)&amp;"'ww"&amp;WEEKNUM(patch[[#This Row],[mergeDate]]))</f>
        <v>16'ww37</v>
      </c>
      <c r="U2186" s="7" t="str">
        <f>IF(ISBLANK(patch[[#This Row],[mergeDate]]), U2185, MID(YEAR(patch[[#This Row],[mergeDate]]), 3,2)&amp;"'m"&amp;MONTH(patch[[#This Row],[mergeDate]]))</f>
        <v>16'm9</v>
      </c>
      <c r="V2186" s="7" t="str">
        <f>IF(ISBLANK(patch[[#This Row],[project]]), "",SUM(patch[[#This Row],[BJ -1 num]:[SH -1 num]]))</f>
        <v/>
      </c>
      <c r="W2186" s="7" t="str">
        <f>IF(ISBLANK(patch[[#This Row],[project]]), "",COUNTIFS($A:$A,patch[[#This Row],[number]],$S:$S, "BJ And dev",$AC:$AC, "Review-1"))</f>
        <v/>
      </c>
      <c r="X2186" s="7" t="str">
        <f>IF(ISBLANK(patch[[#This Row],[project]]), "",COUNTIFS($A:$A,patch[[#This Row],[number]],$S:$S, "FL And dev",$AC:$AC, "Review-1"))</f>
        <v/>
      </c>
      <c r="Y2186" s="7" t="str">
        <f>IF(ISBLANK(patch[[#This Row],[project]]), "",COUNTIFS($A:$A,patch[[#This Row],[number]],$S:$S, "SH And dev",$AC:$AC, "Review-1"))</f>
        <v/>
      </c>
      <c r="Z2186" s="7" t="str">
        <f>IF(ISBLANK(patch[[#This Row],[project]]), "",COUNTIFS($A:$A,patch[[#This Row],[number]],$S:$S, "BJ And dev",$AD:$AD, "&lt;&gt;IntegratorValidationComment"))</f>
        <v/>
      </c>
      <c r="AA2186" s="7" t="str">
        <f>IF(ISBLANK(patch[[#This Row],[project]]), "",COUNTIFS($A:$A,patch[[#This Row],[number]],$S:$S, "FL And dev",$AD:$AD, "&lt;&gt;IntegratorValidationComment"))</f>
        <v/>
      </c>
      <c r="AB2186" s="7" t="str">
        <f>IF(ISBLANK(patch[[#This Row],[project]]), "",COUNTIFS($A:$A,patch[[#This Row],[number]],$S:$S, "SH And dev",$AD:$AD, "&lt;&gt;IntegratorValidationComment"))</f>
        <v/>
      </c>
      <c r="AC2186" s="7" t="str">
        <f>IF(OR(ISNUMBER(FIND("Review-1", patch[[#This Row],[comments]])), ISNUMBER(FIND("Approver-1", patch[[#This Row],[comments]]))), "Review-1", "")</f>
        <v/>
      </c>
      <c r="AD21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86" s="7">
        <f>IF(ISBLANK(patch[[#This Row],[number]]),AE2185,patch[[#This Row],[ifCommon]])</f>
        <v>0</v>
      </c>
    </row>
    <row r="2187" spans="1:31">
      <c r="A2187" s="151">
        <v>142780</v>
      </c>
      <c r="B2187" s="151"/>
      <c r="C2187" s="151"/>
      <c r="D2187" s="151"/>
      <c r="E2187" s="151"/>
      <c r="F2187" s="151"/>
      <c r="G2187" s="151"/>
      <c r="H2187" s="151"/>
      <c r="I2187" s="152"/>
      <c r="J2187" s="152">
        <v>42620.678576388891</v>
      </c>
      <c r="K2187" s="151"/>
      <c r="L2187" s="151" t="s">
        <v>55</v>
      </c>
      <c r="M2187" s="152">
        <v>42619.6871875</v>
      </c>
      <c r="N2187" s="151" t="s">
        <v>31</v>
      </c>
      <c r="O2187" s="151"/>
      <c r="P2187" s="151"/>
      <c r="Q2187" s="7" t="str">
        <f>IF(ISBLANK(patch[[#This Row],[OwnerEmail]]),Q2186,patch[[#This Row],[OwnerEmail]])</f>
        <v>zongx.li@intel.com</v>
      </c>
      <c r="R2187" s="7" t="str">
        <f>_xlfn.IFNA(VLOOKUP(patch[[#This Row],[tmp-owner.email]],OrgTree!$A:$K, 11, 0), "not ICG SWFW")</f>
        <v>BJ And dev</v>
      </c>
      <c r="S2187" s="7" t="str">
        <f>IF(patch[[#This Row],[reviewer]]=patch[[#This Row],[tmp-owner.email]], "author", _xlfn.IFNA(VLOOKUP(patch[[#This Row],[reviewer]],OrgTree!$A:$K, 11, 0), "not ICG SWFW"))</f>
        <v>BJ And dev</v>
      </c>
      <c r="T2187" s="7" t="str">
        <f>IF(ISBLANK(patch[[#This Row],[mergeDate]]), "", MID(YEAR(patch[[#This Row],[mergeDate]]), 3,2)&amp;"'ww"&amp;WEEKNUM(patch[[#This Row],[mergeDate]]))</f>
        <v>16'ww37</v>
      </c>
      <c r="U2187" s="7" t="str">
        <f>IF(ISBLANK(patch[[#This Row],[mergeDate]]), U2186, MID(YEAR(patch[[#This Row],[mergeDate]]), 3,2)&amp;"'m"&amp;MONTH(patch[[#This Row],[mergeDate]]))</f>
        <v>16'm9</v>
      </c>
      <c r="V2187" s="7" t="str">
        <f>IF(ISBLANK(patch[[#This Row],[project]]), "",SUM(patch[[#This Row],[BJ -1 num]:[SH -1 num]]))</f>
        <v/>
      </c>
      <c r="W2187" s="7" t="str">
        <f>IF(ISBLANK(patch[[#This Row],[project]]), "",COUNTIFS($A:$A,patch[[#This Row],[number]],$S:$S, "BJ And dev",$AC:$AC, "Review-1"))</f>
        <v/>
      </c>
      <c r="X2187" s="7" t="str">
        <f>IF(ISBLANK(patch[[#This Row],[project]]), "",COUNTIFS($A:$A,patch[[#This Row],[number]],$S:$S, "FL And dev",$AC:$AC, "Review-1"))</f>
        <v/>
      </c>
      <c r="Y2187" s="7" t="str">
        <f>IF(ISBLANK(patch[[#This Row],[project]]), "",COUNTIFS($A:$A,patch[[#This Row],[number]],$S:$S, "SH And dev",$AC:$AC, "Review-1"))</f>
        <v/>
      </c>
      <c r="Z2187" s="7" t="str">
        <f>IF(ISBLANK(patch[[#This Row],[project]]), "",COUNTIFS($A:$A,patch[[#This Row],[number]],$S:$S, "BJ And dev",$AD:$AD, "&lt;&gt;IntegratorValidationComment"))</f>
        <v/>
      </c>
      <c r="AA2187" s="7" t="str">
        <f>IF(ISBLANK(patch[[#This Row],[project]]), "",COUNTIFS($A:$A,patch[[#This Row],[number]],$S:$S, "FL And dev",$AD:$AD, "&lt;&gt;IntegratorValidationComment"))</f>
        <v/>
      </c>
      <c r="AB2187" s="7" t="str">
        <f>IF(ISBLANK(patch[[#This Row],[project]]), "",COUNTIFS($A:$A,patch[[#This Row],[number]],$S:$S, "SH And dev",$AD:$AD, "&lt;&gt;IntegratorValidationComment"))</f>
        <v/>
      </c>
      <c r="AC2187" s="7" t="str">
        <f>IF(OR(ISNUMBER(FIND("Review-1", patch[[#This Row],[comments]])), ISNUMBER(FIND("Approver-1", patch[[#This Row],[comments]]))), "Review-1", "")</f>
        <v/>
      </c>
      <c r="AD21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87" s="7">
        <f>IF(ISBLANK(patch[[#This Row],[number]]),AE2186,patch[[#This Row],[ifCommon]])</f>
        <v>0</v>
      </c>
    </row>
    <row r="2188" spans="1:31">
      <c r="A2188" s="151">
        <v>142780</v>
      </c>
      <c r="B2188" s="151"/>
      <c r="C2188" s="151"/>
      <c r="D2188" s="151"/>
      <c r="E2188" s="151"/>
      <c r="F2188" s="151"/>
      <c r="G2188" s="151"/>
      <c r="H2188" s="151"/>
      <c r="I2188" s="151"/>
      <c r="J2188" s="152">
        <v>42620.678576388891</v>
      </c>
      <c r="K2188" s="151"/>
      <c r="L2188" s="151" t="s">
        <v>63</v>
      </c>
      <c r="M2188" s="152">
        <v>42619.75576388889</v>
      </c>
      <c r="N2188" s="151" t="s">
        <v>1836</v>
      </c>
      <c r="O2188" s="151"/>
      <c r="P2188" s="151"/>
      <c r="Q2188" s="7" t="str">
        <f>IF(ISBLANK(patch[[#This Row],[OwnerEmail]]),Q2187,patch[[#This Row],[OwnerEmail]])</f>
        <v>zongx.li@intel.com</v>
      </c>
      <c r="R2188" s="7" t="str">
        <f>_xlfn.IFNA(VLOOKUP(patch[[#This Row],[tmp-owner.email]],OrgTree!$A:$K, 11, 0), "not ICG SWFW")</f>
        <v>BJ And dev</v>
      </c>
      <c r="S2188" s="7" t="str">
        <f>IF(patch[[#This Row],[reviewer]]=patch[[#This Row],[tmp-owner.email]], "author", _xlfn.IFNA(VLOOKUP(patch[[#This Row],[reviewer]],OrgTree!$A:$K, 11, 0), "not ICG SWFW"))</f>
        <v>author</v>
      </c>
      <c r="T2188" s="7" t="str">
        <f>IF(ISBLANK(patch[[#This Row],[mergeDate]]), "", MID(YEAR(patch[[#This Row],[mergeDate]]), 3,2)&amp;"'ww"&amp;WEEKNUM(patch[[#This Row],[mergeDate]]))</f>
        <v>16'ww37</v>
      </c>
      <c r="U2188" s="7" t="str">
        <f>IF(ISBLANK(patch[[#This Row],[mergeDate]]), U2187, MID(YEAR(patch[[#This Row],[mergeDate]]), 3,2)&amp;"'m"&amp;MONTH(patch[[#This Row],[mergeDate]]))</f>
        <v>16'm9</v>
      </c>
      <c r="V2188" s="7" t="str">
        <f>IF(ISBLANK(patch[[#This Row],[project]]), "",SUM(patch[[#This Row],[BJ -1 num]:[SH -1 num]]))</f>
        <v/>
      </c>
      <c r="W2188" s="7" t="str">
        <f>IF(ISBLANK(patch[[#This Row],[project]]), "",COUNTIFS($A:$A,patch[[#This Row],[number]],$S:$S, "BJ And dev",$AC:$AC, "Review-1"))</f>
        <v/>
      </c>
      <c r="X2188" s="7" t="str">
        <f>IF(ISBLANK(patch[[#This Row],[project]]), "",COUNTIFS($A:$A,patch[[#This Row],[number]],$S:$S, "FL And dev",$AC:$AC, "Review-1"))</f>
        <v/>
      </c>
      <c r="Y2188" s="7" t="str">
        <f>IF(ISBLANK(patch[[#This Row],[project]]), "",COUNTIFS($A:$A,patch[[#This Row],[number]],$S:$S, "SH And dev",$AC:$AC, "Review-1"))</f>
        <v/>
      </c>
      <c r="Z2188" s="7" t="str">
        <f>IF(ISBLANK(patch[[#This Row],[project]]), "",COUNTIFS($A:$A,patch[[#This Row],[number]],$S:$S, "BJ And dev",$AD:$AD, "&lt;&gt;IntegratorValidationComment"))</f>
        <v/>
      </c>
      <c r="AA2188" s="7" t="str">
        <f>IF(ISBLANK(patch[[#This Row],[project]]), "",COUNTIFS($A:$A,patch[[#This Row],[number]],$S:$S, "FL And dev",$AD:$AD, "&lt;&gt;IntegratorValidationComment"))</f>
        <v/>
      </c>
      <c r="AB2188" s="7" t="str">
        <f>IF(ISBLANK(patch[[#This Row],[project]]), "",COUNTIFS($A:$A,patch[[#This Row],[number]],$S:$S, "SH And dev",$AD:$AD, "&lt;&gt;IntegratorValidationComment"))</f>
        <v/>
      </c>
      <c r="AC2188" s="7" t="str">
        <f>IF(OR(ISNUMBER(FIND("Review-1", patch[[#This Row],[comments]])), ISNUMBER(FIND("Approver-1", patch[[#This Row],[comments]]))), "Review-1", "")</f>
        <v/>
      </c>
      <c r="AD21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88" s="7">
        <f>IF(ISBLANK(patch[[#This Row],[number]]),AE2187,patch[[#This Row],[ifCommon]])</f>
        <v>0</v>
      </c>
    </row>
    <row r="2189" spans="1:31">
      <c r="A2189" s="151">
        <v>142780</v>
      </c>
      <c r="B2189" s="151"/>
      <c r="C2189" s="151"/>
      <c r="D2189" s="151"/>
      <c r="E2189" s="151"/>
      <c r="F2189" s="151"/>
      <c r="G2189" s="151"/>
      <c r="H2189" s="151"/>
      <c r="I2189" s="151"/>
      <c r="J2189" s="152">
        <v>42620.678576388891</v>
      </c>
      <c r="K2189" s="151"/>
      <c r="L2189" s="151" t="s">
        <v>63</v>
      </c>
      <c r="M2189" s="152">
        <v>42619.755798611113</v>
      </c>
      <c r="N2189" s="151" t="s">
        <v>2453</v>
      </c>
      <c r="O2189" s="151"/>
      <c r="P2189" s="151"/>
      <c r="Q2189" s="7" t="str">
        <f>IF(ISBLANK(patch[[#This Row],[OwnerEmail]]),Q2188,patch[[#This Row],[OwnerEmail]])</f>
        <v>zongx.li@intel.com</v>
      </c>
      <c r="R2189" s="7" t="str">
        <f>_xlfn.IFNA(VLOOKUP(patch[[#This Row],[tmp-owner.email]],OrgTree!$A:$K, 11, 0), "not ICG SWFW")</f>
        <v>BJ And dev</v>
      </c>
      <c r="S2189" s="7" t="str">
        <f>IF(patch[[#This Row],[reviewer]]=patch[[#This Row],[tmp-owner.email]], "author", _xlfn.IFNA(VLOOKUP(patch[[#This Row],[reviewer]],OrgTree!$A:$K, 11, 0), "not ICG SWFW"))</f>
        <v>author</v>
      </c>
      <c r="T2189" s="7" t="str">
        <f>IF(ISBLANK(patch[[#This Row],[mergeDate]]), "", MID(YEAR(patch[[#This Row],[mergeDate]]), 3,2)&amp;"'ww"&amp;WEEKNUM(patch[[#This Row],[mergeDate]]))</f>
        <v>16'ww37</v>
      </c>
      <c r="U2189" s="7" t="str">
        <f>IF(ISBLANK(patch[[#This Row],[mergeDate]]), U2188, MID(YEAR(patch[[#This Row],[mergeDate]]), 3,2)&amp;"'m"&amp;MONTH(patch[[#This Row],[mergeDate]]))</f>
        <v>16'm9</v>
      </c>
      <c r="V2189" s="7" t="str">
        <f>IF(ISBLANK(patch[[#This Row],[project]]), "",SUM(patch[[#This Row],[BJ -1 num]:[SH -1 num]]))</f>
        <v/>
      </c>
      <c r="W2189" s="7" t="str">
        <f>IF(ISBLANK(patch[[#This Row],[project]]), "",COUNTIFS($A:$A,patch[[#This Row],[number]],$S:$S, "BJ And dev",$AC:$AC, "Review-1"))</f>
        <v/>
      </c>
      <c r="X2189" s="7" t="str">
        <f>IF(ISBLANK(patch[[#This Row],[project]]), "",COUNTIFS($A:$A,patch[[#This Row],[number]],$S:$S, "FL And dev",$AC:$AC, "Review-1"))</f>
        <v/>
      </c>
      <c r="Y2189" s="7" t="str">
        <f>IF(ISBLANK(patch[[#This Row],[project]]), "",COUNTIFS($A:$A,patch[[#This Row],[number]],$S:$S, "SH And dev",$AC:$AC, "Review-1"))</f>
        <v/>
      </c>
      <c r="Z2189" s="7" t="str">
        <f>IF(ISBLANK(patch[[#This Row],[project]]), "",COUNTIFS($A:$A,patch[[#This Row],[number]],$S:$S, "BJ And dev",$AD:$AD, "&lt;&gt;IntegratorValidationComment"))</f>
        <v/>
      </c>
      <c r="AA2189" s="7" t="str">
        <f>IF(ISBLANK(patch[[#This Row],[project]]), "",COUNTIFS($A:$A,patch[[#This Row],[number]],$S:$S, "FL And dev",$AD:$AD, "&lt;&gt;IntegratorValidationComment"))</f>
        <v/>
      </c>
      <c r="AB2189" s="7" t="str">
        <f>IF(ISBLANK(patch[[#This Row],[project]]), "",COUNTIFS($A:$A,patch[[#This Row],[number]],$S:$S, "SH And dev",$AD:$AD, "&lt;&gt;IntegratorValidationComment"))</f>
        <v/>
      </c>
      <c r="AC2189" s="7" t="str">
        <f>IF(OR(ISNUMBER(FIND("Review-1", patch[[#This Row],[comments]])), ISNUMBER(FIND("Approver-1", patch[[#This Row],[comments]]))), "Review-1", "")</f>
        <v/>
      </c>
      <c r="AD21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89" s="7">
        <f>IF(ISBLANK(patch[[#This Row],[number]]),AE2188,patch[[#This Row],[ifCommon]])</f>
        <v>0</v>
      </c>
    </row>
    <row r="2190" spans="1:31">
      <c r="A2190" s="151">
        <v>142780</v>
      </c>
      <c r="B2190" s="151"/>
      <c r="C2190" s="151"/>
      <c r="D2190" s="151"/>
      <c r="E2190" s="151"/>
      <c r="F2190" s="151"/>
      <c r="G2190" s="151"/>
      <c r="H2190" s="151"/>
      <c r="I2190" s="151"/>
      <c r="J2190" s="152">
        <v>42620.678576388891</v>
      </c>
      <c r="K2190" s="151"/>
      <c r="L2190" s="151" t="s">
        <v>59</v>
      </c>
      <c r="M2190" s="152">
        <v>42619.758680555547</v>
      </c>
      <c r="N2190" s="151" t="s">
        <v>3666</v>
      </c>
      <c r="O2190" s="151"/>
      <c r="P2190" s="151"/>
      <c r="Q2190" s="7" t="str">
        <f>IF(ISBLANK(patch[[#This Row],[OwnerEmail]]),Q2189,patch[[#This Row],[OwnerEmail]])</f>
        <v>zongx.li@intel.com</v>
      </c>
      <c r="R2190" s="7" t="str">
        <f>_xlfn.IFNA(VLOOKUP(patch[[#This Row],[tmp-owner.email]],OrgTree!$A:$K, 11, 0), "not ICG SWFW")</f>
        <v>BJ And dev</v>
      </c>
      <c r="S2190" s="7" t="str">
        <f>IF(patch[[#This Row],[reviewer]]=patch[[#This Row],[tmp-owner.email]], "author", _xlfn.IFNA(VLOOKUP(patch[[#This Row],[reviewer]],OrgTree!$A:$K, 11, 0), "not ICG SWFW"))</f>
        <v>BJ And dev</v>
      </c>
      <c r="T2190" s="7" t="str">
        <f>IF(ISBLANK(patch[[#This Row],[mergeDate]]), "", MID(YEAR(patch[[#This Row],[mergeDate]]), 3,2)&amp;"'ww"&amp;WEEKNUM(patch[[#This Row],[mergeDate]]))</f>
        <v>16'ww37</v>
      </c>
      <c r="U2190" s="7" t="str">
        <f>IF(ISBLANK(patch[[#This Row],[mergeDate]]), U2189, MID(YEAR(patch[[#This Row],[mergeDate]]), 3,2)&amp;"'m"&amp;MONTH(patch[[#This Row],[mergeDate]]))</f>
        <v>16'm9</v>
      </c>
      <c r="V2190" s="7" t="str">
        <f>IF(ISBLANK(patch[[#This Row],[project]]), "",SUM(patch[[#This Row],[BJ -1 num]:[SH -1 num]]))</f>
        <v/>
      </c>
      <c r="W2190" s="7" t="str">
        <f>IF(ISBLANK(patch[[#This Row],[project]]), "",COUNTIFS($A:$A,patch[[#This Row],[number]],$S:$S, "BJ And dev",$AC:$AC, "Review-1"))</f>
        <v/>
      </c>
      <c r="X2190" s="7" t="str">
        <f>IF(ISBLANK(patch[[#This Row],[project]]), "",COUNTIFS($A:$A,patch[[#This Row],[number]],$S:$S, "FL And dev",$AC:$AC, "Review-1"))</f>
        <v/>
      </c>
      <c r="Y2190" s="7" t="str">
        <f>IF(ISBLANK(patch[[#This Row],[project]]), "",COUNTIFS($A:$A,patch[[#This Row],[number]],$S:$S, "SH And dev",$AC:$AC, "Review-1"))</f>
        <v/>
      </c>
      <c r="Z2190" s="7" t="str">
        <f>IF(ISBLANK(patch[[#This Row],[project]]), "",COUNTIFS($A:$A,patch[[#This Row],[number]],$S:$S, "BJ And dev",$AD:$AD, "&lt;&gt;IntegratorValidationComment"))</f>
        <v/>
      </c>
      <c r="AA2190" s="7" t="str">
        <f>IF(ISBLANK(patch[[#This Row],[project]]), "",COUNTIFS($A:$A,patch[[#This Row],[number]],$S:$S, "FL And dev",$AD:$AD, "&lt;&gt;IntegratorValidationComment"))</f>
        <v/>
      </c>
      <c r="AB2190" s="7" t="str">
        <f>IF(ISBLANK(patch[[#This Row],[project]]), "",COUNTIFS($A:$A,patch[[#This Row],[number]],$S:$S, "SH And dev",$AD:$AD, "&lt;&gt;IntegratorValidationComment"))</f>
        <v/>
      </c>
      <c r="AC2190" s="7" t="str">
        <f>IF(OR(ISNUMBER(FIND("Review-1", patch[[#This Row],[comments]])), ISNUMBER(FIND("Approver-1", patch[[#This Row],[comments]]))), "Review-1", "")</f>
        <v/>
      </c>
      <c r="AD21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90" s="7">
        <f>IF(ISBLANK(patch[[#This Row],[number]]),AE2189,patch[[#This Row],[ifCommon]])</f>
        <v>0</v>
      </c>
    </row>
    <row r="2191" spans="1:31">
      <c r="A2191" s="151">
        <v>142780</v>
      </c>
      <c r="B2191" s="151"/>
      <c r="C2191" s="151"/>
      <c r="D2191" s="151"/>
      <c r="E2191" s="151"/>
      <c r="F2191" s="151"/>
      <c r="G2191" s="151"/>
      <c r="H2191" s="151"/>
      <c r="I2191" s="151"/>
      <c r="J2191" s="152">
        <v>42620.678576388891</v>
      </c>
      <c r="K2191" s="151"/>
      <c r="L2191" s="151" t="s">
        <v>59</v>
      </c>
      <c r="M2191" s="152">
        <v>42619.758784722217</v>
      </c>
      <c r="N2191" s="151" t="s">
        <v>3667</v>
      </c>
      <c r="O2191" s="151"/>
      <c r="P2191" s="151"/>
      <c r="Q2191" s="7" t="str">
        <f>IF(ISBLANK(patch[[#This Row],[OwnerEmail]]),Q2190,patch[[#This Row],[OwnerEmail]])</f>
        <v>zongx.li@intel.com</v>
      </c>
      <c r="R2191" s="7" t="str">
        <f>_xlfn.IFNA(VLOOKUP(patch[[#This Row],[tmp-owner.email]],OrgTree!$A:$K, 11, 0), "not ICG SWFW")</f>
        <v>BJ And dev</v>
      </c>
      <c r="S2191" s="7" t="str">
        <f>IF(patch[[#This Row],[reviewer]]=patch[[#This Row],[tmp-owner.email]], "author", _xlfn.IFNA(VLOOKUP(patch[[#This Row],[reviewer]],OrgTree!$A:$K, 11, 0), "not ICG SWFW"))</f>
        <v>BJ And dev</v>
      </c>
      <c r="T2191" s="7" t="str">
        <f>IF(ISBLANK(patch[[#This Row],[mergeDate]]), "", MID(YEAR(patch[[#This Row],[mergeDate]]), 3,2)&amp;"'ww"&amp;WEEKNUM(patch[[#This Row],[mergeDate]]))</f>
        <v>16'ww37</v>
      </c>
      <c r="U2191" s="7" t="str">
        <f>IF(ISBLANK(patch[[#This Row],[mergeDate]]), U2190, MID(YEAR(patch[[#This Row],[mergeDate]]), 3,2)&amp;"'m"&amp;MONTH(patch[[#This Row],[mergeDate]]))</f>
        <v>16'm9</v>
      </c>
      <c r="V2191" s="7" t="str">
        <f>IF(ISBLANK(patch[[#This Row],[project]]), "",SUM(patch[[#This Row],[BJ -1 num]:[SH -1 num]]))</f>
        <v/>
      </c>
      <c r="W2191" s="7" t="str">
        <f>IF(ISBLANK(patch[[#This Row],[project]]), "",COUNTIFS($A:$A,patch[[#This Row],[number]],$S:$S, "BJ And dev",$AC:$AC, "Review-1"))</f>
        <v/>
      </c>
      <c r="X2191" s="7" t="str">
        <f>IF(ISBLANK(patch[[#This Row],[project]]), "",COUNTIFS($A:$A,patch[[#This Row],[number]],$S:$S, "FL And dev",$AC:$AC, "Review-1"))</f>
        <v/>
      </c>
      <c r="Y2191" s="7" t="str">
        <f>IF(ISBLANK(patch[[#This Row],[project]]), "",COUNTIFS($A:$A,patch[[#This Row],[number]],$S:$S, "SH And dev",$AC:$AC, "Review-1"))</f>
        <v/>
      </c>
      <c r="Z2191" s="7" t="str">
        <f>IF(ISBLANK(patch[[#This Row],[project]]), "",COUNTIFS($A:$A,patch[[#This Row],[number]],$S:$S, "BJ And dev",$AD:$AD, "&lt;&gt;IntegratorValidationComment"))</f>
        <v/>
      </c>
      <c r="AA2191" s="7" t="str">
        <f>IF(ISBLANK(patch[[#This Row],[project]]), "",COUNTIFS($A:$A,patch[[#This Row],[number]],$S:$S, "FL And dev",$AD:$AD, "&lt;&gt;IntegratorValidationComment"))</f>
        <v/>
      </c>
      <c r="AB2191" s="7" t="str">
        <f>IF(ISBLANK(patch[[#This Row],[project]]), "",COUNTIFS($A:$A,patch[[#This Row],[number]],$S:$S, "SH And dev",$AD:$AD, "&lt;&gt;IntegratorValidationComment"))</f>
        <v/>
      </c>
      <c r="AC2191" s="7" t="str">
        <f>IF(OR(ISNUMBER(FIND("Review-1", patch[[#This Row],[comments]])), ISNUMBER(FIND("Approver-1", patch[[#This Row],[comments]]))), "Review-1", "")</f>
        <v/>
      </c>
      <c r="AD21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91" s="7">
        <f>IF(ISBLANK(patch[[#This Row],[number]]),AE2190,patch[[#This Row],[ifCommon]])</f>
        <v>0</v>
      </c>
    </row>
    <row r="2192" spans="1:31">
      <c r="A2192" s="151">
        <v>142780</v>
      </c>
      <c r="B2192" s="151"/>
      <c r="C2192" s="151"/>
      <c r="D2192" s="151"/>
      <c r="E2192" s="151"/>
      <c r="F2192" s="151"/>
      <c r="G2192" s="151"/>
      <c r="H2192" s="151"/>
      <c r="I2192" s="151"/>
      <c r="J2192" s="152">
        <v>42620.678576388891</v>
      </c>
      <c r="K2192" s="151"/>
      <c r="L2192" s="151" t="s">
        <v>32</v>
      </c>
      <c r="M2192" s="152">
        <v>42619.76462962963</v>
      </c>
      <c r="N2192" s="151" t="s">
        <v>2486</v>
      </c>
      <c r="O2192" s="151"/>
      <c r="P2192" s="151"/>
      <c r="Q2192" s="7" t="str">
        <f>IF(ISBLANK(patch[[#This Row],[OwnerEmail]]),Q2191,patch[[#This Row],[OwnerEmail]])</f>
        <v>zongx.li@intel.com</v>
      </c>
      <c r="R2192" s="7" t="str">
        <f>_xlfn.IFNA(VLOOKUP(patch[[#This Row],[tmp-owner.email]],OrgTree!$A:$K, 11, 0), "not ICG SWFW")</f>
        <v>BJ And dev</v>
      </c>
      <c r="S2192" s="7" t="str">
        <f>IF(patch[[#This Row],[reviewer]]=patch[[#This Row],[tmp-owner.email]], "author", _xlfn.IFNA(VLOOKUP(patch[[#This Row],[reviewer]],OrgTree!$A:$K, 11, 0), "not ICG SWFW"))</f>
        <v>BJ And dev</v>
      </c>
      <c r="T2192" s="7" t="str">
        <f>IF(ISBLANK(patch[[#This Row],[mergeDate]]), "", MID(YEAR(patch[[#This Row],[mergeDate]]), 3,2)&amp;"'ww"&amp;WEEKNUM(patch[[#This Row],[mergeDate]]))</f>
        <v>16'ww37</v>
      </c>
      <c r="U2192" s="7" t="str">
        <f>IF(ISBLANK(patch[[#This Row],[mergeDate]]), U2191, MID(YEAR(patch[[#This Row],[mergeDate]]), 3,2)&amp;"'m"&amp;MONTH(patch[[#This Row],[mergeDate]]))</f>
        <v>16'm9</v>
      </c>
      <c r="V2192" s="7" t="str">
        <f>IF(ISBLANK(patch[[#This Row],[project]]), "",SUM(patch[[#This Row],[BJ -1 num]:[SH -1 num]]))</f>
        <v/>
      </c>
      <c r="W2192" s="7" t="str">
        <f>IF(ISBLANK(patch[[#This Row],[project]]), "",COUNTIFS($A:$A,patch[[#This Row],[number]],$S:$S, "BJ And dev",$AC:$AC, "Review-1"))</f>
        <v/>
      </c>
      <c r="X2192" s="7" t="str">
        <f>IF(ISBLANK(patch[[#This Row],[project]]), "",COUNTIFS($A:$A,patch[[#This Row],[number]],$S:$S, "FL And dev",$AC:$AC, "Review-1"))</f>
        <v/>
      </c>
      <c r="Y2192" s="7" t="str">
        <f>IF(ISBLANK(patch[[#This Row],[project]]), "",COUNTIFS($A:$A,patch[[#This Row],[number]],$S:$S, "SH And dev",$AC:$AC, "Review-1"))</f>
        <v/>
      </c>
      <c r="Z2192" s="7" t="str">
        <f>IF(ISBLANK(patch[[#This Row],[project]]), "",COUNTIFS($A:$A,patch[[#This Row],[number]],$S:$S, "BJ And dev",$AD:$AD, "&lt;&gt;IntegratorValidationComment"))</f>
        <v/>
      </c>
      <c r="AA2192" s="7" t="str">
        <f>IF(ISBLANK(patch[[#This Row],[project]]), "",COUNTIFS($A:$A,patch[[#This Row],[number]],$S:$S, "FL And dev",$AD:$AD, "&lt;&gt;IntegratorValidationComment"))</f>
        <v/>
      </c>
      <c r="AB2192" s="7" t="str">
        <f>IF(ISBLANK(patch[[#This Row],[project]]), "",COUNTIFS($A:$A,patch[[#This Row],[number]],$S:$S, "SH And dev",$AD:$AD, "&lt;&gt;IntegratorValidationComment"))</f>
        <v/>
      </c>
      <c r="AC2192" s="7" t="str">
        <f>IF(OR(ISNUMBER(FIND("Review-1", patch[[#This Row],[comments]])), ISNUMBER(FIND("Approver-1", patch[[#This Row],[comments]]))), "Review-1", "")</f>
        <v/>
      </c>
      <c r="AD21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92" s="7">
        <f>IF(ISBLANK(patch[[#This Row],[number]]),AE2191,patch[[#This Row],[ifCommon]])</f>
        <v>0</v>
      </c>
    </row>
    <row r="2193" spans="1:31">
      <c r="A2193" s="151">
        <v>142780</v>
      </c>
      <c r="B2193" s="151"/>
      <c r="C2193" s="151"/>
      <c r="D2193" s="151"/>
      <c r="E2193" s="151"/>
      <c r="F2193" s="151"/>
      <c r="G2193" s="151"/>
      <c r="H2193" s="151"/>
      <c r="I2193" s="151"/>
      <c r="J2193" s="152">
        <v>42620.678576388891</v>
      </c>
      <c r="K2193" s="151"/>
      <c r="L2193" s="151" t="s">
        <v>115</v>
      </c>
      <c r="M2193" s="152">
        <v>42620.507523148153</v>
      </c>
      <c r="N2193" s="151" t="s">
        <v>2492</v>
      </c>
      <c r="O2193" s="151"/>
      <c r="P2193" s="151"/>
      <c r="Q2193" s="7" t="str">
        <f>IF(ISBLANK(patch[[#This Row],[OwnerEmail]]),Q2192,patch[[#This Row],[OwnerEmail]])</f>
        <v>zongx.li@intel.com</v>
      </c>
      <c r="R2193" s="7" t="str">
        <f>_xlfn.IFNA(VLOOKUP(patch[[#This Row],[tmp-owner.email]],OrgTree!$A:$K, 11, 0), "not ICG SWFW")</f>
        <v>BJ And dev</v>
      </c>
      <c r="S2193" s="7" t="str">
        <f>IF(patch[[#This Row],[reviewer]]=patch[[#This Row],[tmp-owner.email]], "author", _xlfn.IFNA(VLOOKUP(patch[[#This Row],[reviewer]],OrgTree!$A:$K, 11, 0), "not ICG SWFW"))</f>
        <v>Val</v>
      </c>
      <c r="T2193" s="7" t="str">
        <f>IF(ISBLANK(patch[[#This Row],[mergeDate]]), "", MID(YEAR(patch[[#This Row],[mergeDate]]), 3,2)&amp;"'ww"&amp;WEEKNUM(patch[[#This Row],[mergeDate]]))</f>
        <v>16'ww37</v>
      </c>
      <c r="U2193" s="7" t="str">
        <f>IF(ISBLANK(patch[[#This Row],[mergeDate]]), U2192, MID(YEAR(patch[[#This Row],[mergeDate]]), 3,2)&amp;"'m"&amp;MONTH(patch[[#This Row],[mergeDate]]))</f>
        <v>16'm9</v>
      </c>
      <c r="V2193" s="7" t="str">
        <f>IF(ISBLANK(patch[[#This Row],[project]]), "",SUM(patch[[#This Row],[BJ -1 num]:[SH -1 num]]))</f>
        <v/>
      </c>
      <c r="W2193" s="7" t="str">
        <f>IF(ISBLANK(patch[[#This Row],[project]]), "",COUNTIFS($A:$A,patch[[#This Row],[number]],$S:$S, "BJ And dev",$AC:$AC, "Review-1"))</f>
        <v/>
      </c>
      <c r="X2193" s="7" t="str">
        <f>IF(ISBLANK(patch[[#This Row],[project]]), "",COUNTIFS($A:$A,patch[[#This Row],[number]],$S:$S, "FL And dev",$AC:$AC, "Review-1"))</f>
        <v/>
      </c>
      <c r="Y2193" s="7" t="str">
        <f>IF(ISBLANK(patch[[#This Row],[project]]), "",COUNTIFS($A:$A,patch[[#This Row],[number]],$S:$S, "SH And dev",$AC:$AC, "Review-1"))</f>
        <v/>
      </c>
      <c r="Z2193" s="7" t="str">
        <f>IF(ISBLANK(patch[[#This Row],[project]]), "",COUNTIFS($A:$A,patch[[#This Row],[number]],$S:$S, "BJ And dev",$AD:$AD, "&lt;&gt;IntegratorValidationComment"))</f>
        <v/>
      </c>
      <c r="AA2193" s="7" t="str">
        <f>IF(ISBLANK(patch[[#This Row],[project]]), "",COUNTIFS($A:$A,patch[[#This Row],[number]],$S:$S, "FL And dev",$AD:$AD, "&lt;&gt;IntegratorValidationComment"))</f>
        <v/>
      </c>
      <c r="AB2193" s="7" t="str">
        <f>IF(ISBLANK(patch[[#This Row],[project]]), "",COUNTIFS($A:$A,patch[[#This Row],[number]],$S:$S, "SH And dev",$AD:$AD, "&lt;&gt;IntegratorValidationComment"))</f>
        <v/>
      </c>
      <c r="AC2193" s="7" t="str">
        <f>IF(OR(ISNUMBER(FIND("Review-1", patch[[#This Row],[comments]])), ISNUMBER(FIND("Approver-1", patch[[#This Row],[comments]]))), "Review-1", "")</f>
        <v/>
      </c>
      <c r="AD21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193" s="7">
        <f>IF(ISBLANK(patch[[#This Row],[number]]),AE2192,patch[[#This Row],[ifCommon]])</f>
        <v>0</v>
      </c>
    </row>
    <row r="2194" spans="1:31">
      <c r="A2194" s="151">
        <v>143573</v>
      </c>
      <c r="B2194" s="151" t="s">
        <v>2490</v>
      </c>
      <c r="C2194" s="151" t="s">
        <v>2491</v>
      </c>
      <c r="D2194" s="151" t="s">
        <v>3668</v>
      </c>
      <c r="E2194" s="151" t="s">
        <v>24</v>
      </c>
      <c r="F2194" s="151" t="s">
        <v>23</v>
      </c>
      <c r="G2194" s="151" t="s">
        <v>3669</v>
      </c>
      <c r="H2194" s="151" t="s">
        <v>3670</v>
      </c>
      <c r="I2194" s="152">
        <v>42619.758344907408</v>
      </c>
      <c r="J2194" s="152">
        <v>42620.678506944438</v>
      </c>
      <c r="K2194" s="151" t="s">
        <v>2445</v>
      </c>
      <c r="L2194" s="151" t="s">
        <v>24</v>
      </c>
      <c r="M2194" s="152">
        <v>42619.758344907408</v>
      </c>
      <c r="N2194" s="151" t="s">
        <v>2428</v>
      </c>
      <c r="O2194" s="151"/>
      <c r="P2194" s="151" t="s">
        <v>3671</v>
      </c>
      <c r="Q2194" s="7" t="str">
        <f>IF(ISBLANK(patch[[#This Row],[OwnerEmail]]),Q2193,patch[[#This Row],[OwnerEmail]])</f>
        <v>qingwu.zhang@intel.com</v>
      </c>
      <c r="R2194" s="7" t="str">
        <f>_xlfn.IFNA(VLOOKUP(patch[[#This Row],[tmp-owner.email]],OrgTree!$A:$K, 11, 0), "not ICG SWFW")</f>
        <v>BJ And dev</v>
      </c>
      <c r="S2194" s="7" t="str">
        <f>IF(patch[[#This Row],[reviewer]]=patch[[#This Row],[tmp-owner.email]], "author", _xlfn.IFNA(VLOOKUP(patch[[#This Row],[reviewer]],OrgTree!$A:$K, 11, 0), "not ICG SWFW"))</f>
        <v>author</v>
      </c>
      <c r="T2194" s="7" t="str">
        <f>IF(ISBLANK(patch[[#This Row],[mergeDate]]), "", MID(YEAR(patch[[#This Row],[mergeDate]]), 3,2)&amp;"'ww"&amp;WEEKNUM(patch[[#This Row],[mergeDate]]))</f>
        <v>16'ww37</v>
      </c>
      <c r="U2194" s="7" t="str">
        <f>IF(ISBLANK(patch[[#This Row],[mergeDate]]), U2193, MID(YEAR(patch[[#This Row],[mergeDate]]), 3,2)&amp;"'m"&amp;MONTH(patch[[#This Row],[mergeDate]]))</f>
        <v>16'm9</v>
      </c>
      <c r="V2194" s="7">
        <f>IF(ISBLANK(patch[[#This Row],[project]]), "",SUM(patch[[#This Row],[BJ -1 num]:[SH -1 num]]))</f>
        <v>0</v>
      </c>
      <c r="W2194" s="7">
        <f>IF(ISBLANK(patch[[#This Row],[project]]), "",COUNTIFS($A:$A,patch[[#This Row],[number]],$S:$S, "BJ And dev",$AC:$AC, "Review-1"))</f>
        <v>0</v>
      </c>
      <c r="X2194" s="7">
        <f>IF(ISBLANK(patch[[#This Row],[project]]), "",COUNTIFS($A:$A,patch[[#This Row],[number]],$S:$S, "FL And dev",$AC:$AC, "Review-1"))</f>
        <v>0</v>
      </c>
      <c r="Y2194" s="7">
        <f>IF(ISBLANK(patch[[#This Row],[project]]), "",COUNTIFS($A:$A,patch[[#This Row],[number]],$S:$S, "SH And dev",$AC:$AC, "Review-1"))</f>
        <v>0</v>
      </c>
      <c r="Z2194" s="7">
        <f>IF(ISBLANK(patch[[#This Row],[project]]), "",COUNTIFS($A:$A,patch[[#This Row],[number]],$S:$S, "BJ And dev",$AD:$AD, "&lt;&gt;IntegratorValidationComment"))</f>
        <v>6</v>
      </c>
      <c r="AA2194" s="7">
        <f>IF(ISBLANK(patch[[#This Row],[project]]), "",COUNTIFS($A:$A,patch[[#This Row],[number]],$S:$S, "FL And dev",$AD:$AD, "&lt;&gt;IntegratorValidationComment"))</f>
        <v>0</v>
      </c>
      <c r="AB2194" s="7">
        <f>IF(ISBLANK(patch[[#This Row],[project]]), "",COUNTIFS($A:$A,patch[[#This Row],[number]],$S:$S, "SH And dev",$AD:$AD, "&lt;&gt;IntegratorValidationComment"))</f>
        <v>0</v>
      </c>
      <c r="AC2194" s="7" t="str">
        <f>IF(OR(ISNUMBER(FIND("Review-1", patch[[#This Row],[comments]])), ISNUMBER(FIND("Approver-1", patch[[#This Row],[comments]]))), "Review-1", "")</f>
        <v/>
      </c>
      <c r="AD21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94" s="7" t="str">
        <f>IF(ISBLANK(patch[[#This Row],[number]]),AE2193,patch[[#This Row],[ifCommon]])</f>
        <v>not AndrHAL</v>
      </c>
    </row>
    <row r="2195" spans="1:31">
      <c r="A2195" s="151">
        <v>143573</v>
      </c>
      <c r="B2195" s="151"/>
      <c r="C2195" s="151"/>
      <c r="D2195" s="151"/>
      <c r="E2195" s="151"/>
      <c r="F2195" s="151"/>
      <c r="G2195" s="151"/>
      <c r="H2195" s="151"/>
      <c r="I2195" s="151"/>
      <c r="J2195" s="152">
        <v>42620.678506944438</v>
      </c>
      <c r="K2195" s="151"/>
      <c r="L2195" s="151" t="s">
        <v>24</v>
      </c>
      <c r="M2195" s="152">
        <v>42619.758344907408</v>
      </c>
      <c r="N2195" s="151" t="s">
        <v>25</v>
      </c>
      <c r="O2195" s="151"/>
      <c r="P2195" s="151"/>
      <c r="Q2195" s="7" t="str">
        <f>IF(ISBLANK(patch[[#This Row],[OwnerEmail]]),Q2194,patch[[#This Row],[OwnerEmail]])</f>
        <v>qingwu.zhang@intel.com</v>
      </c>
      <c r="R2195" s="7" t="str">
        <f>_xlfn.IFNA(VLOOKUP(patch[[#This Row],[tmp-owner.email]],OrgTree!$A:$K, 11, 0), "not ICG SWFW")</f>
        <v>BJ And dev</v>
      </c>
      <c r="S2195" s="7" t="str">
        <f>IF(patch[[#This Row],[reviewer]]=patch[[#This Row],[tmp-owner.email]], "author", _xlfn.IFNA(VLOOKUP(patch[[#This Row],[reviewer]],OrgTree!$A:$K, 11, 0), "not ICG SWFW"))</f>
        <v>author</v>
      </c>
      <c r="T2195" s="7" t="str">
        <f>IF(ISBLANK(patch[[#This Row],[mergeDate]]), "", MID(YEAR(patch[[#This Row],[mergeDate]]), 3,2)&amp;"'ww"&amp;WEEKNUM(patch[[#This Row],[mergeDate]]))</f>
        <v>16'ww37</v>
      </c>
      <c r="U2195" s="7" t="str">
        <f>IF(ISBLANK(patch[[#This Row],[mergeDate]]), U2194, MID(YEAR(patch[[#This Row],[mergeDate]]), 3,2)&amp;"'m"&amp;MONTH(patch[[#This Row],[mergeDate]]))</f>
        <v>16'm9</v>
      </c>
      <c r="V2195" s="7" t="str">
        <f>IF(ISBLANK(patch[[#This Row],[project]]), "",SUM(patch[[#This Row],[BJ -1 num]:[SH -1 num]]))</f>
        <v/>
      </c>
      <c r="W2195" s="7" t="str">
        <f>IF(ISBLANK(patch[[#This Row],[project]]), "",COUNTIFS($A:$A,patch[[#This Row],[number]],$S:$S, "BJ And dev",$AC:$AC, "Review-1"))</f>
        <v/>
      </c>
      <c r="X2195" s="7" t="str">
        <f>IF(ISBLANK(patch[[#This Row],[project]]), "",COUNTIFS($A:$A,patch[[#This Row],[number]],$S:$S, "FL And dev",$AC:$AC, "Review-1"))</f>
        <v/>
      </c>
      <c r="Y2195" s="7" t="str">
        <f>IF(ISBLANK(patch[[#This Row],[project]]), "",COUNTIFS($A:$A,patch[[#This Row],[number]],$S:$S, "SH And dev",$AC:$AC, "Review-1"))</f>
        <v/>
      </c>
      <c r="Z2195" s="7" t="str">
        <f>IF(ISBLANK(patch[[#This Row],[project]]), "",COUNTIFS($A:$A,patch[[#This Row],[number]],$S:$S, "BJ And dev",$AD:$AD, "&lt;&gt;IntegratorValidationComment"))</f>
        <v/>
      </c>
      <c r="AA2195" s="7" t="str">
        <f>IF(ISBLANK(patch[[#This Row],[project]]), "",COUNTIFS($A:$A,patch[[#This Row],[number]],$S:$S, "FL And dev",$AD:$AD, "&lt;&gt;IntegratorValidationComment"))</f>
        <v/>
      </c>
      <c r="AB2195" s="7" t="str">
        <f>IF(ISBLANK(patch[[#This Row],[project]]), "",COUNTIFS($A:$A,patch[[#This Row],[number]],$S:$S, "SH And dev",$AD:$AD, "&lt;&gt;IntegratorValidationComment"))</f>
        <v/>
      </c>
      <c r="AC2195" s="7" t="str">
        <f>IF(OR(ISNUMBER(FIND("Review-1", patch[[#This Row],[comments]])), ISNUMBER(FIND("Approver-1", patch[[#This Row],[comments]]))), "Review-1", "")</f>
        <v/>
      </c>
      <c r="AD21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95" s="7">
        <f>IF(ISBLANK(patch[[#This Row],[number]]),AE2194,patch[[#This Row],[ifCommon]])</f>
        <v>0</v>
      </c>
    </row>
    <row r="2196" spans="1:31">
      <c r="A2196" s="151">
        <v>143573</v>
      </c>
      <c r="B2196" s="151"/>
      <c r="C2196" s="151"/>
      <c r="D2196" s="151"/>
      <c r="E2196" s="151"/>
      <c r="F2196" s="151"/>
      <c r="G2196" s="151"/>
      <c r="H2196" s="151"/>
      <c r="I2196" s="151"/>
      <c r="J2196" s="152">
        <v>42620.678506944438</v>
      </c>
      <c r="K2196" s="151"/>
      <c r="L2196" s="151" t="s">
        <v>24</v>
      </c>
      <c r="M2196" s="152">
        <v>42619.761435185188</v>
      </c>
      <c r="N2196" s="151" t="s">
        <v>40</v>
      </c>
      <c r="O2196" s="151"/>
      <c r="P2196" s="151"/>
      <c r="Q2196" s="7" t="str">
        <f>IF(ISBLANK(patch[[#This Row],[OwnerEmail]]),Q2195,patch[[#This Row],[OwnerEmail]])</f>
        <v>qingwu.zhang@intel.com</v>
      </c>
      <c r="R2196" s="7" t="str">
        <f>_xlfn.IFNA(VLOOKUP(patch[[#This Row],[tmp-owner.email]],OrgTree!$A:$K, 11, 0), "not ICG SWFW")</f>
        <v>BJ And dev</v>
      </c>
      <c r="S2196" s="7" t="str">
        <f>IF(patch[[#This Row],[reviewer]]=patch[[#This Row],[tmp-owner.email]], "author", _xlfn.IFNA(VLOOKUP(patch[[#This Row],[reviewer]],OrgTree!$A:$K, 11, 0), "not ICG SWFW"))</f>
        <v>author</v>
      </c>
      <c r="T2196" s="7" t="str">
        <f>IF(ISBLANK(patch[[#This Row],[mergeDate]]), "", MID(YEAR(patch[[#This Row],[mergeDate]]), 3,2)&amp;"'ww"&amp;WEEKNUM(patch[[#This Row],[mergeDate]]))</f>
        <v>16'ww37</v>
      </c>
      <c r="U2196" s="7" t="str">
        <f>IF(ISBLANK(patch[[#This Row],[mergeDate]]), U2195, MID(YEAR(patch[[#This Row],[mergeDate]]), 3,2)&amp;"'m"&amp;MONTH(patch[[#This Row],[mergeDate]]))</f>
        <v>16'm9</v>
      </c>
      <c r="V2196" s="7" t="str">
        <f>IF(ISBLANK(patch[[#This Row],[project]]), "",SUM(patch[[#This Row],[BJ -1 num]:[SH -1 num]]))</f>
        <v/>
      </c>
      <c r="W2196" s="7" t="str">
        <f>IF(ISBLANK(patch[[#This Row],[project]]), "",COUNTIFS($A:$A,patch[[#This Row],[number]],$S:$S, "BJ And dev",$AC:$AC, "Review-1"))</f>
        <v/>
      </c>
      <c r="X2196" s="7" t="str">
        <f>IF(ISBLANK(patch[[#This Row],[project]]), "",COUNTIFS($A:$A,patch[[#This Row],[number]],$S:$S, "FL And dev",$AC:$AC, "Review-1"))</f>
        <v/>
      </c>
      <c r="Y2196" s="7" t="str">
        <f>IF(ISBLANK(patch[[#This Row],[project]]), "",COUNTIFS($A:$A,patch[[#This Row],[number]],$S:$S, "SH And dev",$AC:$AC, "Review-1"))</f>
        <v/>
      </c>
      <c r="Z2196" s="7" t="str">
        <f>IF(ISBLANK(patch[[#This Row],[project]]), "",COUNTIFS($A:$A,patch[[#This Row],[number]],$S:$S, "BJ And dev",$AD:$AD, "&lt;&gt;IntegratorValidationComment"))</f>
        <v/>
      </c>
      <c r="AA2196" s="7" t="str">
        <f>IF(ISBLANK(patch[[#This Row],[project]]), "",COUNTIFS($A:$A,patch[[#This Row],[number]],$S:$S, "FL And dev",$AD:$AD, "&lt;&gt;IntegratorValidationComment"))</f>
        <v/>
      </c>
      <c r="AB2196" s="7" t="str">
        <f>IF(ISBLANK(patch[[#This Row],[project]]), "",COUNTIFS($A:$A,patch[[#This Row],[number]],$S:$S, "SH And dev",$AD:$AD, "&lt;&gt;IntegratorValidationComment"))</f>
        <v/>
      </c>
      <c r="AC2196" s="7" t="str">
        <f>IF(OR(ISNUMBER(FIND("Review-1", patch[[#This Row],[comments]])), ISNUMBER(FIND("Approver-1", patch[[#This Row],[comments]]))), "Review-1", "")</f>
        <v/>
      </c>
      <c r="AD21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96" s="7">
        <f>IF(ISBLANK(patch[[#This Row],[number]]),AE2195,patch[[#This Row],[ifCommon]])</f>
        <v>0</v>
      </c>
    </row>
    <row r="2197" spans="1:31">
      <c r="A2197" s="151">
        <v>143573</v>
      </c>
      <c r="B2197" s="151"/>
      <c r="C2197" s="151"/>
      <c r="D2197" s="151"/>
      <c r="E2197" s="151"/>
      <c r="F2197" s="151"/>
      <c r="G2197" s="151"/>
      <c r="H2197" s="151"/>
      <c r="I2197" s="151"/>
      <c r="J2197" s="152">
        <v>42620.678506944438</v>
      </c>
      <c r="K2197" s="151"/>
      <c r="L2197" s="151" t="s">
        <v>59</v>
      </c>
      <c r="M2197" s="152">
        <v>42619.7653125</v>
      </c>
      <c r="N2197" s="151" t="s">
        <v>3672</v>
      </c>
      <c r="O2197" s="151"/>
      <c r="P2197" s="151"/>
      <c r="Q2197" s="7" t="str">
        <f>IF(ISBLANK(patch[[#This Row],[OwnerEmail]]),Q2196,patch[[#This Row],[OwnerEmail]])</f>
        <v>qingwu.zhang@intel.com</v>
      </c>
      <c r="R2197" s="7" t="str">
        <f>_xlfn.IFNA(VLOOKUP(patch[[#This Row],[tmp-owner.email]],OrgTree!$A:$K, 11, 0), "not ICG SWFW")</f>
        <v>BJ And dev</v>
      </c>
      <c r="S2197" s="7" t="str">
        <f>IF(patch[[#This Row],[reviewer]]=patch[[#This Row],[tmp-owner.email]], "author", _xlfn.IFNA(VLOOKUP(patch[[#This Row],[reviewer]],OrgTree!$A:$K, 11, 0), "not ICG SWFW"))</f>
        <v>BJ And dev</v>
      </c>
      <c r="T2197" s="7" t="str">
        <f>IF(ISBLANK(patch[[#This Row],[mergeDate]]), "", MID(YEAR(patch[[#This Row],[mergeDate]]), 3,2)&amp;"'ww"&amp;WEEKNUM(patch[[#This Row],[mergeDate]]))</f>
        <v>16'ww37</v>
      </c>
      <c r="U2197" s="7" t="str">
        <f>IF(ISBLANK(patch[[#This Row],[mergeDate]]), U2196, MID(YEAR(patch[[#This Row],[mergeDate]]), 3,2)&amp;"'m"&amp;MONTH(patch[[#This Row],[mergeDate]]))</f>
        <v>16'm9</v>
      </c>
      <c r="V2197" s="7" t="str">
        <f>IF(ISBLANK(patch[[#This Row],[project]]), "",SUM(patch[[#This Row],[BJ -1 num]:[SH -1 num]]))</f>
        <v/>
      </c>
      <c r="W2197" s="7" t="str">
        <f>IF(ISBLANK(patch[[#This Row],[project]]), "",COUNTIFS($A:$A,patch[[#This Row],[number]],$S:$S, "BJ And dev",$AC:$AC, "Review-1"))</f>
        <v/>
      </c>
      <c r="X2197" s="7" t="str">
        <f>IF(ISBLANK(patch[[#This Row],[project]]), "",COUNTIFS($A:$A,patch[[#This Row],[number]],$S:$S, "FL And dev",$AC:$AC, "Review-1"))</f>
        <v/>
      </c>
      <c r="Y2197" s="7" t="str">
        <f>IF(ISBLANK(patch[[#This Row],[project]]), "",COUNTIFS($A:$A,patch[[#This Row],[number]],$S:$S, "SH And dev",$AC:$AC, "Review-1"))</f>
        <v/>
      </c>
      <c r="Z2197" s="7" t="str">
        <f>IF(ISBLANK(patch[[#This Row],[project]]), "",COUNTIFS($A:$A,patch[[#This Row],[number]],$S:$S, "BJ And dev",$AD:$AD, "&lt;&gt;IntegratorValidationComment"))</f>
        <v/>
      </c>
      <c r="AA2197" s="7" t="str">
        <f>IF(ISBLANK(patch[[#This Row],[project]]), "",COUNTIFS($A:$A,patch[[#This Row],[number]],$S:$S, "FL And dev",$AD:$AD, "&lt;&gt;IntegratorValidationComment"))</f>
        <v/>
      </c>
      <c r="AB2197" s="7" t="str">
        <f>IF(ISBLANK(patch[[#This Row],[project]]), "",COUNTIFS($A:$A,patch[[#This Row],[number]],$S:$S, "SH And dev",$AD:$AD, "&lt;&gt;IntegratorValidationComment"))</f>
        <v/>
      </c>
      <c r="AC2197" s="7" t="str">
        <f>IF(OR(ISNUMBER(FIND("Review-1", patch[[#This Row],[comments]])), ISNUMBER(FIND("Approver-1", patch[[#This Row],[comments]]))), "Review-1", "")</f>
        <v/>
      </c>
      <c r="AD21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97" s="7">
        <f>IF(ISBLANK(patch[[#This Row],[number]]),AE2196,patch[[#This Row],[ifCommon]])</f>
        <v>0</v>
      </c>
    </row>
    <row r="2198" spans="1:31">
      <c r="A2198" s="151">
        <v>143573</v>
      </c>
      <c r="B2198" s="151"/>
      <c r="C2198" s="151"/>
      <c r="D2198" s="151"/>
      <c r="E2198" s="151"/>
      <c r="F2198" s="151"/>
      <c r="G2198" s="151"/>
      <c r="H2198" s="151"/>
      <c r="I2198" s="151"/>
      <c r="J2198" s="152">
        <v>42620.678506944438</v>
      </c>
      <c r="K2198" s="151"/>
      <c r="L2198" s="151" t="s">
        <v>59</v>
      </c>
      <c r="M2198" s="152">
        <v>42619.765405092592</v>
      </c>
      <c r="N2198" s="151" t="s">
        <v>3673</v>
      </c>
      <c r="O2198" s="151"/>
      <c r="P2198" s="151"/>
      <c r="Q2198" s="7" t="str">
        <f>IF(ISBLANK(patch[[#This Row],[OwnerEmail]]),Q2197,patch[[#This Row],[OwnerEmail]])</f>
        <v>qingwu.zhang@intel.com</v>
      </c>
      <c r="R2198" s="7" t="str">
        <f>_xlfn.IFNA(VLOOKUP(patch[[#This Row],[tmp-owner.email]],OrgTree!$A:$K, 11, 0), "not ICG SWFW")</f>
        <v>BJ And dev</v>
      </c>
      <c r="S2198" s="7" t="str">
        <f>IF(patch[[#This Row],[reviewer]]=patch[[#This Row],[tmp-owner.email]], "author", _xlfn.IFNA(VLOOKUP(patch[[#This Row],[reviewer]],OrgTree!$A:$K, 11, 0), "not ICG SWFW"))</f>
        <v>BJ And dev</v>
      </c>
      <c r="T2198" s="7" t="str">
        <f>IF(ISBLANK(patch[[#This Row],[mergeDate]]), "", MID(YEAR(patch[[#This Row],[mergeDate]]), 3,2)&amp;"'ww"&amp;WEEKNUM(patch[[#This Row],[mergeDate]]))</f>
        <v>16'ww37</v>
      </c>
      <c r="U2198" s="7" t="str">
        <f>IF(ISBLANK(patch[[#This Row],[mergeDate]]), U2197, MID(YEAR(patch[[#This Row],[mergeDate]]), 3,2)&amp;"'m"&amp;MONTH(patch[[#This Row],[mergeDate]]))</f>
        <v>16'm9</v>
      </c>
      <c r="V2198" s="7" t="str">
        <f>IF(ISBLANK(patch[[#This Row],[project]]), "",SUM(patch[[#This Row],[BJ -1 num]:[SH -1 num]]))</f>
        <v/>
      </c>
      <c r="W2198" s="7" t="str">
        <f>IF(ISBLANK(patch[[#This Row],[project]]), "",COUNTIFS($A:$A,patch[[#This Row],[number]],$S:$S, "BJ And dev",$AC:$AC, "Review-1"))</f>
        <v/>
      </c>
      <c r="X2198" s="7" t="str">
        <f>IF(ISBLANK(patch[[#This Row],[project]]), "",COUNTIFS($A:$A,patch[[#This Row],[number]],$S:$S, "FL And dev",$AC:$AC, "Review-1"))</f>
        <v/>
      </c>
      <c r="Y2198" s="7" t="str">
        <f>IF(ISBLANK(patch[[#This Row],[project]]), "",COUNTIFS($A:$A,patch[[#This Row],[number]],$S:$S, "SH And dev",$AC:$AC, "Review-1"))</f>
        <v/>
      </c>
      <c r="Z2198" s="7" t="str">
        <f>IF(ISBLANK(patch[[#This Row],[project]]), "",COUNTIFS($A:$A,patch[[#This Row],[number]],$S:$S, "BJ And dev",$AD:$AD, "&lt;&gt;IntegratorValidationComment"))</f>
        <v/>
      </c>
      <c r="AA2198" s="7" t="str">
        <f>IF(ISBLANK(patch[[#This Row],[project]]), "",COUNTIFS($A:$A,patch[[#This Row],[number]],$S:$S, "FL And dev",$AD:$AD, "&lt;&gt;IntegratorValidationComment"))</f>
        <v/>
      </c>
      <c r="AB2198" s="7" t="str">
        <f>IF(ISBLANK(patch[[#This Row],[project]]), "",COUNTIFS($A:$A,patch[[#This Row],[number]],$S:$S, "SH And dev",$AD:$AD, "&lt;&gt;IntegratorValidationComment"))</f>
        <v/>
      </c>
      <c r="AC2198" s="7" t="str">
        <f>IF(OR(ISNUMBER(FIND("Review-1", patch[[#This Row],[comments]])), ISNUMBER(FIND("Approver-1", patch[[#This Row],[comments]]))), "Review-1", "")</f>
        <v/>
      </c>
      <c r="AD21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98" s="7">
        <f>IF(ISBLANK(patch[[#This Row],[number]]),AE2197,patch[[#This Row],[ifCommon]])</f>
        <v>0</v>
      </c>
    </row>
    <row r="2199" spans="1:31">
      <c r="A2199" s="151">
        <v>143573</v>
      </c>
      <c r="B2199" s="151"/>
      <c r="C2199" s="151"/>
      <c r="D2199" s="151"/>
      <c r="E2199" s="151"/>
      <c r="F2199" s="151"/>
      <c r="G2199" s="151"/>
      <c r="H2199" s="151"/>
      <c r="I2199" s="151"/>
      <c r="J2199" s="152">
        <v>42620.678506944438</v>
      </c>
      <c r="K2199" s="151"/>
      <c r="L2199" s="151" t="s">
        <v>1237</v>
      </c>
      <c r="M2199" s="152">
        <v>42619.768043981479</v>
      </c>
      <c r="N2199" s="151" t="s">
        <v>40</v>
      </c>
      <c r="O2199" s="151"/>
      <c r="P2199" s="151"/>
      <c r="Q2199" s="7" t="str">
        <f>IF(ISBLANK(patch[[#This Row],[OwnerEmail]]),Q2198,patch[[#This Row],[OwnerEmail]])</f>
        <v>qingwu.zhang@intel.com</v>
      </c>
      <c r="R2199" s="7" t="str">
        <f>_xlfn.IFNA(VLOOKUP(patch[[#This Row],[tmp-owner.email]],OrgTree!$A:$K, 11, 0), "not ICG SWFW")</f>
        <v>BJ And dev</v>
      </c>
      <c r="S2199" s="7" t="str">
        <f>IF(patch[[#This Row],[reviewer]]=patch[[#This Row],[tmp-owner.email]], "author", _xlfn.IFNA(VLOOKUP(patch[[#This Row],[reviewer]],OrgTree!$A:$K, 11, 0), "not ICG SWFW"))</f>
        <v>BJ And dev</v>
      </c>
      <c r="T2199" s="7" t="str">
        <f>IF(ISBLANK(patch[[#This Row],[mergeDate]]), "", MID(YEAR(patch[[#This Row],[mergeDate]]), 3,2)&amp;"'ww"&amp;WEEKNUM(patch[[#This Row],[mergeDate]]))</f>
        <v>16'ww37</v>
      </c>
      <c r="U2199" s="7" t="str">
        <f>IF(ISBLANK(patch[[#This Row],[mergeDate]]), U2198, MID(YEAR(patch[[#This Row],[mergeDate]]), 3,2)&amp;"'m"&amp;MONTH(patch[[#This Row],[mergeDate]]))</f>
        <v>16'm9</v>
      </c>
      <c r="V2199" s="7" t="str">
        <f>IF(ISBLANK(patch[[#This Row],[project]]), "",SUM(patch[[#This Row],[BJ -1 num]:[SH -1 num]]))</f>
        <v/>
      </c>
      <c r="W2199" s="7" t="str">
        <f>IF(ISBLANK(patch[[#This Row],[project]]), "",COUNTIFS($A:$A,patch[[#This Row],[number]],$S:$S, "BJ And dev",$AC:$AC, "Review-1"))</f>
        <v/>
      </c>
      <c r="X2199" s="7" t="str">
        <f>IF(ISBLANK(patch[[#This Row],[project]]), "",COUNTIFS($A:$A,patch[[#This Row],[number]],$S:$S, "FL And dev",$AC:$AC, "Review-1"))</f>
        <v/>
      </c>
      <c r="Y2199" s="7" t="str">
        <f>IF(ISBLANK(patch[[#This Row],[project]]), "",COUNTIFS($A:$A,patch[[#This Row],[number]],$S:$S, "SH And dev",$AC:$AC, "Review-1"))</f>
        <v/>
      </c>
      <c r="Z2199" s="7" t="str">
        <f>IF(ISBLANK(patch[[#This Row],[project]]), "",COUNTIFS($A:$A,patch[[#This Row],[number]],$S:$S, "BJ And dev",$AD:$AD, "&lt;&gt;IntegratorValidationComment"))</f>
        <v/>
      </c>
      <c r="AA2199" s="7" t="str">
        <f>IF(ISBLANK(patch[[#This Row],[project]]), "",COUNTIFS($A:$A,patch[[#This Row],[number]],$S:$S, "FL And dev",$AD:$AD, "&lt;&gt;IntegratorValidationComment"))</f>
        <v/>
      </c>
      <c r="AB2199" s="7" t="str">
        <f>IF(ISBLANK(patch[[#This Row],[project]]), "",COUNTIFS($A:$A,patch[[#This Row],[number]],$S:$S, "SH And dev",$AD:$AD, "&lt;&gt;IntegratorValidationComment"))</f>
        <v/>
      </c>
      <c r="AC2199" s="7" t="str">
        <f>IF(OR(ISNUMBER(FIND("Review-1", patch[[#This Row],[comments]])), ISNUMBER(FIND("Approver-1", patch[[#This Row],[comments]]))), "Review-1", "")</f>
        <v/>
      </c>
      <c r="AD21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199" s="7">
        <f>IF(ISBLANK(patch[[#This Row],[number]]),AE2198,patch[[#This Row],[ifCommon]])</f>
        <v>0</v>
      </c>
    </row>
    <row r="2200" spans="1:31">
      <c r="A2200" s="151">
        <v>143573</v>
      </c>
      <c r="B2200" s="151"/>
      <c r="C2200" s="151"/>
      <c r="D2200" s="151"/>
      <c r="E2200" s="151"/>
      <c r="F2200" s="151"/>
      <c r="G2200" s="151"/>
      <c r="H2200" s="151"/>
      <c r="I2200" s="151"/>
      <c r="J2200" s="152">
        <v>42620.678506944438</v>
      </c>
      <c r="K2200" s="151"/>
      <c r="L2200" s="151" t="s">
        <v>59</v>
      </c>
      <c r="M2200" s="152">
        <v>42619.771377314813</v>
      </c>
      <c r="N2200" s="151" t="s">
        <v>40</v>
      </c>
      <c r="O2200" s="151"/>
      <c r="P2200" s="151"/>
      <c r="Q2200" s="7" t="str">
        <f>IF(ISBLANK(patch[[#This Row],[OwnerEmail]]),Q2199,patch[[#This Row],[OwnerEmail]])</f>
        <v>qingwu.zhang@intel.com</v>
      </c>
      <c r="R2200" s="7" t="str">
        <f>_xlfn.IFNA(VLOOKUP(patch[[#This Row],[tmp-owner.email]],OrgTree!$A:$K, 11, 0), "not ICG SWFW")</f>
        <v>BJ And dev</v>
      </c>
      <c r="S2200" s="7" t="str">
        <f>IF(patch[[#This Row],[reviewer]]=patch[[#This Row],[tmp-owner.email]], "author", _xlfn.IFNA(VLOOKUP(patch[[#This Row],[reviewer]],OrgTree!$A:$K, 11, 0), "not ICG SWFW"))</f>
        <v>BJ And dev</v>
      </c>
      <c r="T2200" s="7" t="str">
        <f>IF(ISBLANK(patch[[#This Row],[mergeDate]]), "", MID(YEAR(patch[[#This Row],[mergeDate]]), 3,2)&amp;"'ww"&amp;WEEKNUM(patch[[#This Row],[mergeDate]]))</f>
        <v>16'ww37</v>
      </c>
      <c r="U2200" s="7" t="str">
        <f>IF(ISBLANK(patch[[#This Row],[mergeDate]]), U2199, MID(YEAR(patch[[#This Row],[mergeDate]]), 3,2)&amp;"'m"&amp;MONTH(patch[[#This Row],[mergeDate]]))</f>
        <v>16'm9</v>
      </c>
      <c r="V2200" s="7" t="str">
        <f>IF(ISBLANK(patch[[#This Row],[project]]), "",SUM(patch[[#This Row],[BJ -1 num]:[SH -1 num]]))</f>
        <v/>
      </c>
      <c r="W2200" s="7" t="str">
        <f>IF(ISBLANK(patch[[#This Row],[project]]), "",COUNTIFS($A:$A,patch[[#This Row],[number]],$S:$S, "BJ And dev",$AC:$AC, "Review-1"))</f>
        <v/>
      </c>
      <c r="X2200" s="7" t="str">
        <f>IF(ISBLANK(patch[[#This Row],[project]]), "",COUNTIFS($A:$A,patch[[#This Row],[number]],$S:$S, "FL And dev",$AC:$AC, "Review-1"))</f>
        <v/>
      </c>
      <c r="Y2200" s="7" t="str">
        <f>IF(ISBLANK(patch[[#This Row],[project]]), "",COUNTIFS($A:$A,patch[[#This Row],[number]],$S:$S, "SH And dev",$AC:$AC, "Review-1"))</f>
        <v/>
      </c>
      <c r="Z2200" s="7" t="str">
        <f>IF(ISBLANK(patch[[#This Row],[project]]), "",COUNTIFS($A:$A,patch[[#This Row],[number]],$S:$S, "BJ And dev",$AD:$AD, "&lt;&gt;IntegratorValidationComment"))</f>
        <v/>
      </c>
      <c r="AA2200" s="7" t="str">
        <f>IF(ISBLANK(patch[[#This Row],[project]]), "",COUNTIFS($A:$A,patch[[#This Row],[number]],$S:$S, "FL And dev",$AD:$AD, "&lt;&gt;IntegratorValidationComment"))</f>
        <v/>
      </c>
      <c r="AB2200" s="7" t="str">
        <f>IF(ISBLANK(patch[[#This Row],[project]]), "",COUNTIFS($A:$A,patch[[#This Row],[number]],$S:$S, "SH And dev",$AD:$AD, "&lt;&gt;IntegratorValidationComment"))</f>
        <v/>
      </c>
      <c r="AC2200" s="7" t="str">
        <f>IF(OR(ISNUMBER(FIND("Review-1", patch[[#This Row],[comments]])), ISNUMBER(FIND("Approver-1", patch[[#This Row],[comments]]))), "Review-1", "")</f>
        <v/>
      </c>
      <c r="AD22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00" s="7">
        <f>IF(ISBLANK(patch[[#This Row],[number]]),AE2199,patch[[#This Row],[ifCommon]])</f>
        <v>0</v>
      </c>
    </row>
    <row r="2201" spans="1:31">
      <c r="A2201" s="151">
        <v>143573</v>
      </c>
      <c r="B2201" s="151"/>
      <c r="C2201" s="151"/>
      <c r="D2201" s="151"/>
      <c r="E2201" s="151"/>
      <c r="F2201" s="151"/>
      <c r="G2201" s="151"/>
      <c r="H2201" s="151"/>
      <c r="I2201" s="151"/>
      <c r="J2201" s="152">
        <v>42620.678506944438</v>
      </c>
      <c r="K2201" s="151"/>
      <c r="L2201" s="151" t="s">
        <v>59</v>
      </c>
      <c r="M2201" s="152">
        <v>42619.775347222218</v>
      </c>
      <c r="N2201" s="151" t="s">
        <v>58</v>
      </c>
      <c r="O2201" s="151"/>
      <c r="P2201" s="151"/>
      <c r="Q2201" s="7" t="str">
        <f>IF(ISBLANK(patch[[#This Row],[OwnerEmail]]),Q2200,patch[[#This Row],[OwnerEmail]])</f>
        <v>qingwu.zhang@intel.com</v>
      </c>
      <c r="R2201" s="7" t="str">
        <f>_xlfn.IFNA(VLOOKUP(patch[[#This Row],[tmp-owner.email]],OrgTree!$A:$K, 11, 0), "not ICG SWFW")</f>
        <v>BJ And dev</v>
      </c>
      <c r="S2201" s="7" t="str">
        <f>IF(patch[[#This Row],[reviewer]]=patch[[#This Row],[tmp-owner.email]], "author", _xlfn.IFNA(VLOOKUP(patch[[#This Row],[reviewer]],OrgTree!$A:$K, 11, 0), "not ICG SWFW"))</f>
        <v>BJ And dev</v>
      </c>
      <c r="T2201" s="7" t="str">
        <f>IF(ISBLANK(patch[[#This Row],[mergeDate]]), "", MID(YEAR(patch[[#This Row],[mergeDate]]), 3,2)&amp;"'ww"&amp;WEEKNUM(patch[[#This Row],[mergeDate]]))</f>
        <v>16'ww37</v>
      </c>
      <c r="U2201" s="7" t="str">
        <f>IF(ISBLANK(patch[[#This Row],[mergeDate]]), U2200, MID(YEAR(patch[[#This Row],[mergeDate]]), 3,2)&amp;"'m"&amp;MONTH(patch[[#This Row],[mergeDate]]))</f>
        <v>16'm9</v>
      </c>
      <c r="V2201" s="7" t="str">
        <f>IF(ISBLANK(patch[[#This Row],[project]]), "",SUM(patch[[#This Row],[BJ -1 num]:[SH -1 num]]))</f>
        <v/>
      </c>
      <c r="W2201" s="7" t="str">
        <f>IF(ISBLANK(patch[[#This Row],[project]]), "",COUNTIFS($A:$A,patch[[#This Row],[number]],$S:$S, "BJ And dev",$AC:$AC, "Review-1"))</f>
        <v/>
      </c>
      <c r="X2201" s="7" t="str">
        <f>IF(ISBLANK(patch[[#This Row],[project]]), "",COUNTIFS($A:$A,patch[[#This Row],[number]],$S:$S, "FL And dev",$AC:$AC, "Review-1"))</f>
        <v/>
      </c>
      <c r="Y2201" s="7" t="str">
        <f>IF(ISBLANK(patch[[#This Row],[project]]), "",COUNTIFS($A:$A,patch[[#This Row],[number]],$S:$S, "SH And dev",$AC:$AC, "Review-1"))</f>
        <v/>
      </c>
      <c r="Z2201" s="7" t="str">
        <f>IF(ISBLANK(patch[[#This Row],[project]]), "",COUNTIFS($A:$A,patch[[#This Row],[number]],$S:$S, "BJ And dev",$AD:$AD, "&lt;&gt;IntegratorValidationComment"))</f>
        <v/>
      </c>
      <c r="AA2201" s="7" t="str">
        <f>IF(ISBLANK(patch[[#This Row],[project]]), "",COUNTIFS($A:$A,patch[[#This Row],[number]],$S:$S, "FL And dev",$AD:$AD, "&lt;&gt;IntegratorValidationComment"))</f>
        <v/>
      </c>
      <c r="AB2201" s="7" t="str">
        <f>IF(ISBLANK(patch[[#This Row],[project]]), "",COUNTIFS($A:$A,patch[[#This Row],[number]],$S:$S, "SH And dev",$AD:$AD, "&lt;&gt;IntegratorValidationComment"))</f>
        <v/>
      </c>
      <c r="AC2201" s="7" t="str">
        <f>IF(OR(ISNUMBER(FIND("Review-1", patch[[#This Row],[comments]])), ISNUMBER(FIND("Approver-1", patch[[#This Row],[comments]]))), "Review-1", "")</f>
        <v/>
      </c>
      <c r="AD22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01" s="7">
        <f>IF(ISBLANK(patch[[#This Row],[number]]),AE2200,patch[[#This Row],[ifCommon]])</f>
        <v>0</v>
      </c>
    </row>
    <row r="2202" spans="1:31">
      <c r="A2202" s="151">
        <v>143573</v>
      </c>
      <c r="B2202" s="151"/>
      <c r="C2202" s="151"/>
      <c r="D2202" s="151"/>
      <c r="E2202" s="151"/>
      <c r="F2202" s="151"/>
      <c r="G2202" s="151"/>
      <c r="H2202" s="151"/>
      <c r="I2202" s="151"/>
      <c r="J2202" s="152">
        <v>42620.678506944438</v>
      </c>
      <c r="K2202" s="151"/>
      <c r="L2202" s="151" t="s">
        <v>24</v>
      </c>
      <c r="M2202" s="152">
        <v>42620.489988425928</v>
      </c>
      <c r="N2202" s="151" t="s">
        <v>2460</v>
      </c>
      <c r="O2202" s="151"/>
      <c r="P2202" s="151"/>
      <c r="Q2202" s="7" t="str">
        <f>IF(ISBLANK(patch[[#This Row],[OwnerEmail]]),Q2201,patch[[#This Row],[OwnerEmail]])</f>
        <v>qingwu.zhang@intel.com</v>
      </c>
      <c r="R2202" s="7" t="str">
        <f>_xlfn.IFNA(VLOOKUP(patch[[#This Row],[tmp-owner.email]],OrgTree!$A:$K, 11, 0), "not ICG SWFW")</f>
        <v>BJ And dev</v>
      </c>
      <c r="S2202" s="7" t="str">
        <f>IF(patch[[#This Row],[reviewer]]=patch[[#This Row],[tmp-owner.email]], "author", _xlfn.IFNA(VLOOKUP(patch[[#This Row],[reviewer]],OrgTree!$A:$K, 11, 0), "not ICG SWFW"))</f>
        <v>author</v>
      </c>
      <c r="T2202" s="7" t="str">
        <f>IF(ISBLANK(patch[[#This Row],[mergeDate]]), "", MID(YEAR(patch[[#This Row],[mergeDate]]), 3,2)&amp;"'ww"&amp;WEEKNUM(patch[[#This Row],[mergeDate]]))</f>
        <v>16'ww37</v>
      </c>
      <c r="U2202" s="7" t="str">
        <f>IF(ISBLANK(patch[[#This Row],[mergeDate]]), U2201, MID(YEAR(patch[[#This Row],[mergeDate]]), 3,2)&amp;"'m"&amp;MONTH(patch[[#This Row],[mergeDate]]))</f>
        <v>16'm9</v>
      </c>
      <c r="V2202" s="7" t="str">
        <f>IF(ISBLANK(patch[[#This Row],[project]]), "",SUM(patch[[#This Row],[BJ -1 num]:[SH -1 num]]))</f>
        <v/>
      </c>
      <c r="W2202" s="7" t="str">
        <f>IF(ISBLANK(patch[[#This Row],[project]]), "",COUNTIFS($A:$A,patch[[#This Row],[number]],$S:$S, "BJ And dev",$AC:$AC, "Review-1"))</f>
        <v/>
      </c>
      <c r="X2202" s="7" t="str">
        <f>IF(ISBLANK(patch[[#This Row],[project]]), "",COUNTIFS($A:$A,patch[[#This Row],[number]],$S:$S, "FL And dev",$AC:$AC, "Review-1"))</f>
        <v/>
      </c>
      <c r="Y2202" s="7" t="str">
        <f>IF(ISBLANK(patch[[#This Row],[project]]), "",COUNTIFS($A:$A,patch[[#This Row],[number]],$S:$S, "SH And dev",$AC:$AC, "Review-1"))</f>
        <v/>
      </c>
      <c r="Z2202" s="7" t="str">
        <f>IF(ISBLANK(patch[[#This Row],[project]]), "",COUNTIFS($A:$A,patch[[#This Row],[number]],$S:$S, "BJ And dev",$AD:$AD, "&lt;&gt;IntegratorValidationComment"))</f>
        <v/>
      </c>
      <c r="AA2202" s="7" t="str">
        <f>IF(ISBLANK(patch[[#This Row],[project]]), "",COUNTIFS($A:$A,patch[[#This Row],[number]],$S:$S, "FL And dev",$AD:$AD, "&lt;&gt;IntegratorValidationComment"))</f>
        <v/>
      </c>
      <c r="AB2202" s="7" t="str">
        <f>IF(ISBLANK(patch[[#This Row],[project]]), "",COUNTIFS($A:$A,patch[[#This Row],[number]],$S:$S, "SH And dev",$AD:$AD, "&lt;&gt;IntegratorValidationComment"))</f>
        <v/>
      </c>
      <c r="AC2202" s="7" t="str">
        <f>IF(OR(ISNUMBER(FIND("Review-1", patch[[#This Row],[comments]])), ISNUMBER(FIND("Approver-1", patch[[#This Row],[comments]]))), "Review-1", "")</f>
        <v/>
      </c>
      <c r="AD22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02" s="7">
        <f>IF(ISBLANK(patch[[#This Row],[number]]),AE2201,patch[[#This Row],[ifCommon]])</f>
        <v>0</v>
      </c>
    </row>
    <row r="2203" spans="1:31">
      <c r="A2203" s="151">
        <v>143573</v>
      </c>
      <c r="B2203" s="151"/>
      <c r="C2203" s="151"/>
      <c r="D2203" s="151"/>
      <c r="E2203" s="151"/>
      <c r="F2203" s="151"/>
      <c r="G2203" s="151"/>
      <c r="H2203" s="151"/>
      <c r="I2203" s="151"/>
      <c r="J2203" s="152">
        <v>42620.678506944438</v>
      </c>
      <c r="K2203" s="151"/>
      <c r="L2203" s="151" t="s">
        <v>24</v>
      </c>
      <c r="M2203" s="152">
        <v>42620.489988425928</v>
      </c>
      <c r="N2203" s="151" t="s">
        <v>2461</v>
      </c>
      <c r="O2203" s="151"/>
      <c r="P2203" s="151"/>
      <c r="Q2203" s="7" t="str">
        <f>IF(ISBLANK(patch[[#This Row],[OwnerEmail]]),Q2202,patch[[#This Row],[OwnerEmail]])</f>
        <v>qingwu.zhang@intel.com</v>
      </c>
      <c r="R2203" s="7" t="str">
        <f>_xlfn.IFNA(VLOOKUP(patch[[#This Row],[tmp-owner.email]],OrgTree!$A:$K, 11, 0), "not ICG SWFW")</f>
        <v>BJ And dev</v>
      </c>
      <c r="S2203" s="7" t="str">
        <f>IF(patch[[#This Row],[reviewer]]=patch[[#This Row],[tmp-owner.email]], "author", _xlfn.IFNA(VLOOKUP(patch[[#This Row],[reviewer]],OrgTree!$A:$K, 11, 0), "not ICG SWFW"))</f>
        <v>author</v>
      </c>
      <c r="T2203" s="7" t="str">
        <f>IF(ISBLANK(patch[[#This Row],[mergeDate]]), "", MID(YEAR(patch[[#This Row],[mergeDate]]), 3,2)&amp;"'ww"&amp;WEEKNUM(patch[[#This Row],[mergeDate]]))</f>
        <v>16'ww37</v>
      </c>
      <c r="U2203" s="7" t="str">
        <f>IF(ISBLANK(patch[[#This Row],[mergeDate]]), U2202, MID(YEAR(patch[[#This Row],[mergeDate]]), 3,2)&amp;"'m"&amp;MONTH(patch[[#This Row],[mergeDate]]))</f>
        <v>16'm9</v>
      </c>
      <c r="V2203" s="7" t="str">
        <f>IF(ISBLANK(patch[[#This Row],[project]]), "",SUM(patch[[#This Row],[BJ -1 num]:[SH -1 num]]))</f>
        <v/>
      </c>
      <c r="W2203" s="7" t="str">
        <f>IF(ISBLANK(patch[[#This Row],[project]]), "",COUNTIFS($A:$A,patch[[#This Row],[number]],$S:$S, "BJ And dev",$AC:$AC, "Review-1"))</f>
        <v/>
      </c>
      <c r="X2203" s="7" t="str">
        <f>IF(ISBLANK(patch[[#This Row],[project]]), "",COUNTIFS($A:$A,patch[[#This Row],[number]],$S:$S, "FL And dev",$AC:$AC, "Review-1"))</f>
        <v/>
      </c>
      <c r="Y2203" s="7" t="str">
        <f>IF(ISBLANK(patch[[#This Row],[project]]), "",COUNTIFS($A:$A,patch[[#This Row],[number]],$S:$S, "SH And dev",$AC:$AC, "Review-1"))</f>
        <v/>
      </c>
      <c r="Z2203" s="7" t="str">
        <f>IF(ISBLANK(patch[[#This Row],[project]]), "",COUNTIFS($A:$A,patch[[#This Row],[number]],$S:$S, "BJ And dev",$AD:$AD, "&lt;&gt;IntegratorValidationComment"))</f>
        <v/>
      </c>
      <c r="AA2203" s="7" t="str">
        <f>IF(ISBLANK(patch[[#This Row],[project]]), "",COUNTIFS($A:$A,patch[[#This Row],[number]],$S:$S, "FL And dev",$AD:$AD, "&lt;&gt;IntegratorValidationComment"))</f>
        <v/>
      </c>
      <c r="AB2203" s="7" t="str">
        <f>IF(ISBLANK(patch[[#This Row],[project]]), "",COUNTIFS($A:$A,patch[[#This Row],[number]],$S:$S, "SH And dev",$AD:$AD, "&lt;&gt;IntegratorValidationComment"))</f>
        <v/>
      </c>
      <c r="AC2203" s="7" t="str">
        <f>IF(OR(ISNUMBER(FIND("Review-1", patch[[#This Row],[comments]])), ISNUMBER(FIND("Approver-1", patch[[#This Row],[comments]]))), "Review-1", "")</f>
        <v/>
      </c>
      <c r="AD22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03" s="7">
        <f>IF(ISBLANK(patch[[#This Row],[number]]),AE2202,patch[[#This Row],[ifCommon]])</f>
        <v>0</v>
      </c>
    </row>
    <row r="2204" spans="1:31">
      <c r="A2204" s="151">
        <v>143573</v>
      </c>
      <c r="B2204" s="151"/>
      <c r="C2204" s="151"/>
      <c r="D2204" s="151"/>
      <c r="E2204" s="151"/>
      <c r="F2204" s="151"/>
      <c r="G2204" s="151"/>
      <c r="H2204" s="151"/>
      <c r="I2204" s="151"/>
      <c r="J2204" s="152">
        <v>42620.678506944438</v>
      </c>
      <c r="K2204" s="151"/>
      <c r="L2204" s="151" t="s">
        <v>24</v>
      </c>
      <c r="M2204" s="152">
        <v>42620.592650462961</v>
      </c>
      <c r="N2204" s="151" t="s">
        <v>2462</v>
      </c>
      <c r="O2204" s="151"/>
      <c r="P2204" s="151"/>
      <c r="Q2204" s="7" t="str">
        <f>IF(ISBLANK(patch[[#This Row],[OwnerEmail]]),Q2203,patch[[#This Row],[OwnerEmail]])</f>
        <v>qingwu.zhang@intel.com</v>
      </c>
      <c r="R2204" s="7" t="str">
        <f>_xlfn.IFNA(VLOOKUP(patch[[#This Row],[tmp-owner.email]],OrgTree!$A:$K, 11, 0), "not ICG SWFW")</f>
        <v>BJ And dev</v>
      </c>
      <c r="S2204" s="7" t="str">
        <f>IF(patch[[#This Row],[reviewer]]=patch[[#This Row],[tmp-owner.email]], "author", _xlfn.IFNA(VLOOKUP(patch[[#This Row],[reviewer]],OrgTree!$A:$K, 11, 0), "not ICG SWFW"))</f>
        <v>author</v>
      </c>
      <c r="T2204" s="7" t="str">
        <f>IF(ISBLANK(patch[[#This Row],[mergeDate]]), "", MID(YEAR(patch[[#This Row],[mergeDate]]), 3,2)&amp;"'ww"&amp;WEEKNUM(patch[[#This Row],[mergeDate]]))</f>
        <v>16'ww37</v>
      </c>
      <c r="U2204" s="7" t="str">
        <f>IF(ISBLANK(patch[[#This Row],[mergeDate]]), U2203, MID(YEAR(patch[[#This Row],[mergeDate]]), 3,2)&amp;"'m"&amp;MONTH(patch[[#This Row],[mergeDate]]))</f>
        <v>16'm9</v>
      </c>
      <c r="V2204" s="7" t="str">
        <f>IF(ISBLANK(patch[[#This Row],[project]]), "",SUM(patch[[#This Row],[BJ -1 num]:[SH -1 num]]))</f>
        <v/>
      </c>
      <c r="W2204" s="7" t="str">
        <f>IF(ISBLANK(patch[[#This Row],[project]]), "",COUNTIFS($A:$A,patch[[#This Row],[number]],$S:$S, "BJ And dev",$AC:$AC, "Review-1"))</f>
        <v/>
      </c>
      <c r="X2204" s="7" t="str">
        <f>IF(ISBLANK(patch[[#This Row],[project]]), "",COUNTIFS($A:$A,patch[[#This Row],[number]],$S:$S, "FL And dev",$AC:$AC, "Review-1"))</f>
        <v/>
      </c>
      <c r="Y2204" s="7" t="str">
        <f>IF(ISBLANK(patch[[#This Row],[project]]), "",COUNTIFS($A:$A,patch[[#This Row],[number]],$S:$S, "SH And dev",$AC:$AC, "Review-1"))</f>
        <v/>
      </c>
      <c r="Z2204" s="7" t="str">
        <f>IF(ISBLANK(patch[[#This Row],[project]]), "",COUNTIFS($A:$A,patch[[#This Row],[number]],$S:$S, "BJ And dev",$AD:$AD, "&lt;&gt;IntegratorValidationComment"))</f>
        <v/>
      </c>
      <c r="AA2204" s="7" t="str">
        <f>IF(ISBLANK(patch[[#This Row],[project]]), "",COUNTIFS($A:$A,patch[[#This Row],[number]],$S:$S, "FL And dev",$AD:$AD, "&lt;&gt;IntegratorValidationComment"))</f>
        <v/>
      </c>
      <c r="AB2204" s="7" t="str">
        <f>IF(ISBLANK(patch[[#This Row],[project]]), "",COUNTIFS($A:$A,patch[[#This Row],[number]],$S:$S, "SH And dev",$AD:$AD, "&lt;&gt;IntegratorValidationComment"))</f>
        <v/>
      </c>
      <c r="AC2204" s="7" t="str">
        <f>IF(OR(ISNUMBER(FIND("Review-1", patch[[#This Row],[comments]])), ISNUMBER(FIND("Approver-1", patch[[#This Row],[comments]]))), "Review-1", "")</f>
        <v/>
      </c>
      <c r="AD22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04" s="7">
        <f>IF(ISBLANK(patch[[#This Row],[number]]),AE2203,patch[[#This Row],[ifCommon]])</f>
        <v>0</v>
      </c>
    </row>
    <row r="2205" spans="1:31">
      <c r="A2205" s="151">
        <v>143573</v>
      </c>
      <c r="B2205" s="151"/>
      <c r="C2205" s="151"/>
      <c r="D2205" s="151"/>
      <c r="E2205" s="151"/>
      <c r="F2205" s="151"/>
      <c r="G2205" s="151"/>
      <c r="H2205" s="151"/>
      <c r="I2205" s="151"/>
      <c r="J2205" s="152">
        <v>42620.678506944438</v>
      </c>
      <c r="K2205" s="151"/>
      <c r="L2205" s="151" t="s">
        <v>59</v>
      </c>
      <c r="M2205" s="152">
        <v>42620.598634259259</v>
      </c>
      <c r="N2205" s="151" t="s">
        <v>3674</v>
      </c>
      <c r="O2205" s="151"/>
      <c r="P2205" s="151"/>
      <c r="Q2205" s="7" t="str">
        <f>IF(ISBLANK(patch[[#This Row],[OwnerEmail]]),Q2204,patch[[#This Row],[OwnerEmail]])</f>
        <v>qingwu.zhang@intel.com</v>
      </c>
      <c r="R2205" s="7" t="str">
        <f>_xlfn.IFNA(VLOOKUP(patch[[#This Row],[tmp-owner.email]],OrgTree!$A:$K, 11, 0), "not ICG SWFW")</f>
        <v>BJ And dev</v>
      </c>
      <c r="S2205" s="7" t="str">
        <f>IF(patch[[#This Row],[reviewer]]=patch[[#This Row],[tmp-owner.email]], "author", _xlfn.IFNA(VLOOKUP(patch[[#This Row],[reviewer]],OrgTree!$A:$K, 11, 0), "not ICG SWFW"))</f>
        <v>BJ And dev</v>
      </c>
      <c r="T2205" s="7" t="str">
        <f>IF(ISBLANK(patch[[#This Row],[mergeDate]]), "", MID(YEAR(patch[[#This Row],[mergeDate]]), 3,2)&amp;"'ww"&amp;WEEKNUM(patch[[#This Row],[mergeDate]]))</f>
        <v>16'ww37</v>
      </c>
      <c r="U2205" s="7" t="str">
        <f>IF(ISBLANK(patch[[#This Row],[mergeDate]]), U2204, MID(YEAR(patch[[#This Row],[mergeDate]]), 3,2)&amp;"'m"&amp;MONTH(patch[[#This Row],[mergeDate]]))</f>
        <v>16'm9</v>
      </c>
      <c r="V2205" s="7" t="str">
        <f>IF(ISBLANK(patch[[#This Row],[project]]), "",SUM(patch[[#This Row],[BJ -1 num]:[SH -1 num]]))</f>
        <v/>
      </c>
      <c r="W2205" s="7" t="str">
        <f>IF(ISBLANK(patch[[#This Row],[project]]), "",COUNTIFS($A:$A,patch[[#This Row],[number]],$S:$S, "BJ And dev",$AC:$AC, "Review-1"))</f>
        <v/>
      </c>
      <c r="X2205" s="7" t="str">
        <f>IF(ISBLANK(patch[[#This Row],[project]]), "",COUNTIFS($A:$A,patch[[#This Row],[number]],$S:$S, "FL And dev",$AC:$AC, "Review-1"))</f>
        <v/>
      </c>
      <c r="Y2205" s="7" t="str">
        <f>IF(ISBLANK(patch[[#This Row],[project]]), "",COUNTIFS($A:$A,patch[[#This Row],[number]],$S:$S, "SH And dev",$AC:$AC, "Review-1"))</f>
        <v/>
      </c>
      <c r="Z2205" s="7" t="str">
        <f>IF(ISBLANK(patch[[#This Row],[project]]), "",COUNTIFS($A:$A,patch[[#This Row],[number]],$S:$S, "BJ And dev",$AD:$AD, "&lt;&gt;IntegratorValidationComment"))</f>
        <v/>
      </c>
      <c r="AA2205" s="7" t="str">
        <f>IF(ISBLANK(patch[[#This Row],[project]]), "",COUNTIFS($A:$A,patch[[#This Row],[number]],$S:$S, "FL And dev",$AD:$AD, "&lt;&gt;IntegratorValidationComment"))</f>
        <v/>
      </c>
      <c r="AB2205" s="7" t="str">
        <f>IF(ISBLANK(patch[[#This Row],[project]]), "",COUNTIFS($A:$A,patch[[#This Row],[number]],$S:$S, "SH And dev",$AD:$AD, "&lt;&gt;IntegratorValidationComment"))</f>
        <v/>
      </c>
      <c r="AC2205" s="7" t="str">
        <f>IF(OR(ISNUMBER(FIND("Review-1", patch[[#This Row],[comments]])), ISNUMBER(FIND("Approver-1", patch[[#This Row],[comments]]))), "Review-1", "")</f>
        <v/>
      </c>
      <c r="AD22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05" s="7">
        <f>IF(ISBLANK(patch[[#This Row],[number]]),AE2204,patch[[#This Row],[ifCommon]])</f>
        <v>0</v>
      </c>
    </row>
    <row r="2206" spans="1:31">
      <c r="A2206" s="151">
        <v>143573</v>
      </c>
      <c r="B2206" s="151"/>
      <c r="C2206" s="151"/>
      <c r="D2206" s="151"/>
      <c r="E2206" s="151"/>
      <c r="F2206" s="151"/>
      <c r="G2206" s="151"/>
      <c r="H2206" s="151"/>
      <c r="I2206" s="151"/>
      <c r="J2206" s="152">
        <v>42620.678506944438</v>
      </c>
      <c r="K2206" s="151"/>
      <c r="L2206" s="151" t="s">
        <v>115</v>
      </c>
      <c r="M2206" s="152">
        <v>42620.598935185182</v>
      </c>
      <c r="N2206" s="151" t="s">
        <v>2495</v>
      </c>
      <c r="O2206" s="151"/>
      <c r="P2206" s="151"/>
      <c r="Q2206" s="7" t="str">
        <f>IF(ISBLANK(patch[[#This Row],[OwnerEmail]]),Q2205,patch[[#This Row],[OwnerEmail]])</f>
        <v>qingwu.zhang@intel.com</v>
      </c>
      <c r="R2206" s="7" t="str">
        <f>_xlfn.IFNA(VLOOKUP(patch[[#This Row],[tmp-owner.email]],OrgTree!$A:$K, 11, 0), "not ICG SWFW")</f>
        <v>BJ And dev</v>
      </c>
      <c r="S2206" s="7" t="str">
        <f>IF(patch[[#This Row],[reviewer]]=patch[[#This Row],[tmp-owner.email]], "author", _xlfn.IFNA(VLOOKUP(patch[[#This Row],[reviewer]],OrgTree!$A:$K, 11, 0), "not ICG SWFW"))</f>
        <v>Val</v>
      </c>
      <c r="T2206" s="7" t="str">
        <f>IF(ISBLANK(patch[[#This Row],[mergeDate]]), "", MID(YEAR(patch[[#This Row],[mergeDate]]), 3,2)&amp;"'ww"&amp;WEEKNUM(patch[[#This Row],[mergeDate]]))</f>
        <v>16'ww37</v>
      </c>
      <c r="U2206" s="7" t="str">
        <f>IF(ISBLANK(patch[[#This Row],[mergeDate]]), U2205, MID(YEAR(patch[[#This Row],[mergeDate]]), 3,2)&amp;"'m"&amp;MONTH(patch[[#This Row],[mergeDate]]))</f>
        <v>16'm9</v>
      </c>
      <c r="V2206" s="7" t="str">
        <f>IF(ISBLANK(patch[[#This Row],[project]]), "",SUM(patch[[#This Row],[BJ -1 num]:[SH -1 num]]))</f>
        <v/>
      </c>
      <c r="W2206" s="7" t="str">
        <f>IF(ISBLANK(patch[[#This Row],[project]]), "",COUNTIFS($A:$A,patch[[#This Row],[number]],$S:$S, "BJ And dev",$AC:$AC, "Review-1"))</f>
        <v/>
      </c>
      <c r="X2206" s="7" t="str">
        <f>IF(ISBLANK(patch[[#This Row],[project]]), "",COUNTIFS($A:$A,patch[[#This Row],[number]],$S:$S, "FL And dev",$AC:$AC, "Review-1"))</f>
        <v/>
      </c>
      <c r="Y2206" s="7" t="str">
        <f>IF(ISBLANK(patch[[#This Row],[project]]), "",COUNTIFS($A:$A,patch[[#This Row],[number]],$S:$S, "SH And dev",$AC:$AC, "Review-1"))</f>
        <v/>
      </c>
      <c r="Z2206" s="7" t="str">
        <f>IF(ISBLANK(patch[[#This Row],[project]]), "",COUNTIFS($A:$A,patch[[#This Row],[number]],$S:$S, "BJ And dev",$AD:$AD, "&lt;&gt;IntegratorValidationComment"))</f>
        <v/>
      </c>
      <c r="AA2206" s="7" t="str">
        <f>IF(ISBLANK(patch[[#This Row],[project]]), "",COUNTIFS($A:$A,patch[[#This Row],[number]],$S:$S, "FL And dev",$AD:$AD, "&lt;&gt;IntegratorValidationComment"))</f>
        <v/>
      </c>
      <c r="AB2206" s="7" t="str">
        <f>IF(ISBLANK(patch[[#This Row],[project]]), "",COUNTIFS($A:$A,patch[[#This Row],[number]],$S:$S, "SH And dev",$AD:$AD, "&lt;&gt;IntegratorValidationComment"))</f>
        <v/>
      </c>
      <c r="AC2206" s="7" t="str">
        <f>IF(OR(ISNUMBER(FIND("Review-1", patch[[#This Row],[comments]])), ISNUMBER(FIND("Approver-1", patch[[#This Row],[comments]]))), "Review-1", "")</f>
        <v/>
      </c>
      <c r="AD22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206" s="7">
        <f>IF(ISBLANK(patch[[#This Row],[number]]),AE2205,patch[[#This Row],[ifCommon]])</f>
        <v>0</v>
      </c>
    </row>
    <row r="2207" spans="1:31">
      <c r="A2207" s="151">
        <v>142512</v>
      </c>
      <c r="B2207" s="151" t="s">
        <v>2490</v>
      </c>
      <c r="C2207" s="151" t="s">
        <v>2491</v>
      </c>
      <c r="D2207" s="151" t="s">
        <v>3675</v>
      </c>
      <c r="E2207" s="151" t="s">
        <v>59</v>
      </c>
      <c r="F2207" s="151" t="s">
        <v>23</v>
      </c>
      <c r="G2207" s="151" t="s">
        <v>3676</v>
      </c>
      <c r="H2207" s="151" t="s">
        <v>3677</v>
      </c>
      <c r="I2207" s="152">
        <v>42613.623240740737</v>
      </c>
      <c r="J2207" s="152">
        <v>42619.71497685185</v>
      </c>
      <c r="K2207" s="151" t="s">
        <v>2445</v>
      </c>
      <c r="L2207" s="151" t="s">
        <v>59</v>
      </c>
      <c r="M2207" s="152">
        <v>42613.623240740737</v>
      </c>
      <c r="N2207" s="151" t="s">
        <v>2428</v>
      </c>
      <c r="O2207" s="151"/>
      <c r="P2207" s="151" t="s">
        <v>3206</v>
      </c>
      <c r="Q2207" s="7" t="str">
        <f>IF(ISBLANK(patch[[#This Row],[OwnerEmail]]),Q2206,patch[[#This Row],[OwnerEmail]])</f>
        <v>xiaozhou.liu@intel.com</v>
      </c>
      <c r="R2207" s="7" t="str">
        <f>_xlfn.IFNA(VLOOKUP(patch[[#This Row],[tmp-owner.email]],OrgTree!$A:$K, 11, 0), "not ICG SWFW")</f>
        <v>BJ And dev</v>
      </c>
      <c r="S2207" s="7" t="str">
        <f>IF(patch[[#This Row],[reviewer]]=patch[[#This Row],[tmp-owner.email]], "author", _xlfn.IFNA(VLOOKUP(patch[[#This Row],[reviewer]],OrgTree!$A:$K, 11, 0), "not ICG SWFW"))</f>
        <v>author</v>
      </c>
      <c r="T2207" s="7" t="str">
        <f>IF(ISBLANK(patch[[#This Row],[mergeDate]]), "", MID(YEAR(patch[[#This Row],[mergeDate]]), 3,2)&amp;"'ww"&amp;WEEKNUM(patch[[#This Row],[mergeDate]]))</f>
        <v>16'ww37</v>
      </c>
      <c r="U2207" s="7" t="str">
        <f>IF(ISBLANK(patch[[#This Row],[mergeDate]]), U2206, MID(YEAR(patch[[#This Row],[mergeDate]]), 3,2)&amp;"'m"&amp;MONTH(patch[[#This Row],[mergeDate]]))</f>
        <v>16'm9</v>
      </c>
      <c r="V2207" s="7">
        <f>IF(ISBLANK(patch[[#This Row],[project]]), "",SUM(patch[[#This Row],[BJ -1 num]:[SH -1 num]]))</f>
        <v>0</v>
      </c>
      <c r="W2207" s="7">
        <f>IF(ISBLANK(patch[[#This Row],[project]]), "",COUNTIFS($A:$A,patch[[#This Row],[number]],$S:$S, "BJ And dev",$AC:$AC, "Review-1"))</f>
        <v>0</v>
      </c>
      <c r="X2207" s="7">
        <f>IF(ISBLANK(patch[[#This Row],[project]]), "",COUNTIFS($A:$A,patch[[#This Row],[number]],$S:$S, "FL And dev",$AC:$AC, "Review-1"))</f>
        <v>0</v>
      </c>
      <c r="Y2207" s="7">
        <f>IF(ISBLANK(patch[[#This Row],[project]]), "",COUNTIFS($A:$A,patch[[#This Row],[number]],$S:$S, "SH And dev",$AC:$AC, "Review-1"))</f>
        <v>0</v>
      </c>
      <c r="Z2207" s="7">
        <f>IF(ISBLANK(patch[[#This Row],[project]]), "",COUNTIFS($A:$A,patch[[#This Row],[number]],$S:$S, "BJ And dev",$AD:$AD, "&lt;&gt;IntegratorValidationComment"))</f>
        <v>3</v>
      </c>
      <c r="AA2207" s="7">
        <f>IF(ISBLANK(patch[[#This Row],[project]]), "",COUNTIFS($A:$A,patch[[#This Row],[number]],$S:$S, "FL And dev",$AD:$AD, "&lt;&gt;IntegratorValidationComment"))</f>
        <v>0</v>
      </c>
      <c r="AB2207" s="7">
        <f>IF(ISBLANK(patch[[#This Row],[project]]), "",COUNTIFS($A:$A,patch[[#This Row],[number]],$S:$S, "SH And dev",$AD:$AD, "&lt;&gt;IntegratorValidationComment"))</f>
        <v>0</v>
      </c>
      <c r="AC2207" s="7" t="str">
        <f>IF(OR(ISNUMBER(FIND("Review-1", patch[[#This Row],[comments]])), ISNUMBER(FIND("Approver-1", patch[[#This Row],[comments]]))), "Review-1", "")</f>
        <v/>
      </c>
      <c r="AD22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07" s="7" t="str">
        <f>IF(ISBLANK(patch[[#This Row],[number]]),AE2206,patch[[#This Row],[ifCommon]])</f>
        <v>not AndrHAL</v>
      </c>
    </row>
    <row r="2208" spans="1:31">
      <c r="A2208" s="151">
        <v>142512</v>
      </c>
      <c r="B2208" s="151"/>
      <c r="C2208" s="151"/>
      <c r="D2208" s="151"/>
      <c r="E2208" s="151"/>
      <c r="F2208" s="151"/>
      <c r="G2208" s="151"/>
      <c r="H2208" s="151"/>
      <c r="I2208" s="151"/>
      <c r="J2208" s="152">
        <v>42619.71497685185</v>
      </c>
      <c r="K2208" s="151"/>
      <c r="L2208" s="151" t="s">
        <v>59</v>
      </c>
      <c r="M2208" s="152">
        <v>42613.623240740737</v>
      </c>
      <c r="N2208" s="151" t="s">
        <v>25</v>
      </c>
      <c r="O2208" s="151"/>
      <c r="P2208" s="151"/>
      <c r="Q2208" s="7" t="str">
        <f>IF(ISBLANK(patch[[#This Row],[OwnerEmail]]),Q2207,patch[[#This Row],[OwnerEmail]])</f>
        <v>xiaozhou.liu@intel.com</v>
      </c>
      <c r="R2208" s="7" t="str">
        <f>_xlfn.IFNA(VLOOKUP(patch[[#This Row],[tmp-owner.email]],OrgTree!$A:$K, 11, 0), "not ICG SWFW")</f>
        <v>BJ And dev</v>
      </c>
      <c r="S2208" s="7" t="str">
        <f>IF(patch[[#This Row],[reviewer]]=patch[[#This Row],[tmp-owner.email]], "author", _xlfn.IFNA(VLOOKUP(patch[[#This Row],[reviewer]],OrgTree!$A:$K, 11, 0), "not ICG SWFW"))</f>
        <v>author</v>
      </c>
      <c r="T2208" s="7" t="str">
        <f>IF(ISBLANK(patch[[#This Row],[mergeDate]]), "", MID(YEAR(patch[[#This Row],[mergeDate]]), 3,2)&amp;"'ww"&amp;WEEKNUM(patch[[#This Row],[mergeDate]]))</f>
        <v>16'ww37</v>
      </c>
      <c r="U2208" s="7" t="str">
        <f>IF(ISBLANK(patch[[#This Row],[mergeDate]]), U2207, MID(YEAR(patch[[#This Row],[mergeDate]]), 3,2)&amp;"'m"&amp;MONTH(patch[[#This Row],[mergeDate]]))</f>
        <v>16'm9</v>
      </c>
      <c r="V2208" s="7" t="str">
        <f>IF(ISBLANK(patch[[#This Row],[project]]), "",SUM(patch[[#This Row],[BJ -1 num]:[SH -1 num]]))</f>
        <v/>
      </c>
      <c r="W2208" s="7" t="str">
        <f>IF(ISBLANK(patch[[#This Row],[project]]), "",COUNTIFS($A:$A,patch[[#This Row],[number]],$S:$S, "BJ And dev",$AC:$AC, "Review-1"))</f>
        <v/>
      </c>
      <c r="X2208" s="7" t="str">
        <f>IF(ISBLANK(patch[[#This Row],[project]]), "",COUNTIFS($A:$A,patch[[#This Row],[number]],$S:$S, "FL And dev",$AC:$AC, "Review-1"))</f>
        <v/>
      </c>
      <c r="Y2208" s="7" t="str">
        <f>IF(ISBLANK(patch[[#This Row],[project]]), "",COUNTIFS($A:$A,patch[[#This Row],[number]],$S:$S, "SH And dev",$AC:$AC, "Review-1"))</f>
        <v/>
      </c>
      <c r="Z2208" s="7" t="str">
        <f>IF(ISBLANK(patch[[#This Row],[project]]), "",COUNTIFS($A:$A,patch[[#This Row],[number]],$S:$S, "BJ And dev",$AD:$AD, "&lt;&gt;IntegratorValidationComment"))</f>
        <v/>
      </c>
      <c r="AA2208" s="7" t="str">
        <f>IF(ISBLANK(patch[[#This Row],[project]]), "",COUNTIFS($A:$A,patch[[#This Row],[number]],$S:$S, "FL And dev",$AD:$AD, "&lt;&gt;IntegratorValidationComment"))</f>
        <v/>
      </c>
      <c r="AB2208" s="7" t="str">
        <f>IF(ISBLANK(patch[[#This Row],[project]]), "",COUNTIFS($A:$A,patch[[#This Row],[number]],$S:$S, "SH And dev",$AD:$AD, "&lt;&gt;IntegratorValidationComment"))</f>
        <v/>
      </c>
      <c r="AC2208" s="7" t="str">
        <f>IF(OR(ISNUMBER(FIND("Review-1", patch[[#This Row],[comments]])), ISNUMBER(FIND("Approver-1", patch[[#This Row],[comments]]))), "Review-1", "")</f>
        <v/>
      </c>
      <c r="AD22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08" s="7">
        <f>IF(ISBLANK(patch[[#This Row],[number]]),AE2207,patch[[#This Row],[ifCommon]])</f>
        <v>0</v>
      </c>
    </row>
    <row r="2209" spans="1:31">
      <c r="A2209" s="151">
        <v>142512</v>
      </c>
      <c r="B2209" s="151"/>
      <c r="C2209" s="151"/>
      <c r="D2209" s="151"/>
      <c r="E2209" s="151"/>
      <c r="F2209" s="151"/>
      <c r="G2209" s="151"/>
      <c r="H2209" s="151"/>
      <c r="I2209" s="151"/>
      <c r="J2209" s="152">
        <v>42619.71497685185</v>
      </c>
      <c r="K2209" s="151"/>
      <c r="L2209" s="151" t="s">
        <v>59</v>
      </c>
      <c r="M2209" s="152">
        <v>42613.626481481479</v>
      </c>
      <c r="N2209" s="151" t="s">
        <v>3678</v>
      </c>
      <c r="O2209" s="151"/>
      <c r="P2209" s="151"/>
      <c r="Q2209" s="7" t="str">
        <f>IF(ISBLANK(patch[[#This Row],[OwnerEmail]]),Q2208,patch[[#This Row],[OwnerEmail]])</f>
        <v>xiaozhou.liu@intel.com</v>
      </c>
      <c r="R2209" s="7" t="str">
        <f>_xlfn.IFNA(VLOOKUP(patch[[#This Row],[tmp-owner.email]],OrgTree!$A:$K, 11, 0), "not ICG SWFW")</f>
        <v>BJ And dev</v>
      </c>
      <c r="S2209" s="7" t="str">
        <f>IF(patch[[#This Row],[reviewer]]=patch[[#This Row],[tmp-owner.email]], "author", _xlfn.IFNA(VLOOKUP(patch[[#This Row],[reviewer]],OrgTree!$A:$K, 11, 0), "not ICG SWFW"))</f>
        <v>author</v>
      </c>
      <c r="T2209" s="7" t="str">
        <f>IF(ISBLANK(patch[[#This Row],[mergeDate]]), "", MID(YEAR(patch[[#This Row],[mergeDate]]), 3,2)&amp;"'ww"&amp;WEEKNUM(patch[[#This Row],[mergeDate]]))</f>
        <v>16'ww37</v>
      </c>
      <c r="U2209" s="7" t="str">
        <f>IF(ISBLANK(patch[[#This Row],[mergeDate]]), U2208, MID(YEAR(patch[[#This Row],[mergeDate]]), 3,2)&amp;"'m"&amp;MONTH(patch[[#This Row],[mergeDate]]))</f>
        <v>16'm9</v>
      </c>
      <c r="V2209" s="7" t="str">
        <f>IF(ISBLANK(patch[[#This Row],[project]]), "",SUM(patch[[#This Row],[BJ -1 num]:[SH -1 num]]))</f>
        <v/>
      </c>
      <c r="W2209" s="7" t="str">
        <f>IF(ISBLANK(patch[[#This Row],[project]]), "",COUNTIFS($A:$A,patch[[#This Row],[number]],$S:$S, "BJ And dev",$AC:$AC, "Review-1"))</f>
        <v/>
      </c>
      <c r="X2209" s="7" t="str">
        <f>IF(ISBLANK(patch[[#This Row],[project]]), "",COUNTIFS($A:$A,patch[[#This Row],[number]],$S:$S, "FL And dev",$AC:$AC, "Review-1"))</f>
        <v/>
      </c>
      <c r="Y2209" s="7" t="str">
        <f>IF(ISBLANK(patch[[#This Row],[project]]), "",COUNTIFS($A:$A,patch[[#This Row],[number]],$S:$S, "SH And dev",$AC:$AC, "Review-1"))</f>
        <v/>
      </c>
      <c r="Z2209" s="7" t="str">
        <f>IF(ISBLANK(patch[[#This Row],[project]]), "",COUNTIFS($A:$A,patch[[#This Row],[number]],$S:$S, "BJ And dev",$AD:$AD, "&lt;&gt;IntegratorValidationComment"))</f>
        <v/>
      </c>
      <c r="AA2209" s="7" t="str">
        <f>IF(ISBLANK(patch[[#This Row],[project]]), "",COUNTIFS($A:$A,patch[[#This Row],[number]],$S:$S, "FL And dev",$AD:$AD, "&lt;&gt;IntegratorValidationComment"))</f>
        <v/>
      </c>
      <c r="AB2209" s="7" t="str">
        <f>IF(ISBLANK(patch[[#This Row],[project]]), "",COUNTIFS($A:$A,patch[[#This Row],[number]],$S:$S, "SH And dev",$AD:$AD, "&lt;&gt;IntegratorValidationComment"))</f>
        <v/>
      </c>
      <c r="AC2209" s="7" t="str">
        <f>IF(OR(ISNUMBER(FIND("Review-1", patch[[#This Row],[comments]])), ISNUMBER(FIND("Approver-1", patch[[#This Row],[comments]]))), "Review-1", "")</f>
        <v/>
      </c>
      <c r="AD22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09" s="7">
        <f>IF(ISBLANK(patch[[#This Row],[number]]),AE2208,patch[[#This Row],[ifCommon]])</f>
        <v>0</v>
      </c>
    </row>
    <row r="2210" spans="1:31">
      <c r="A2210" s="151">
        <v>142512</v>
      </c>
      <c r="B2210" s="151"/>
      <c r="C2210" s="151"/>
      <c r="D2210" s="151"/>
      <c r="E2210" s="151"/>
      <c r="F2210" s="151"/>
      <c r="G2210" s="151"/>
      <c r="H2210" s="151"/>
      <c r="I2210" s="151"/>
      <c r="J2210" s="152">
        <v>42619.71497685185</v>
      </c>
      <c r="K2210" s="151"/>
      <c r="L2210" s="151" t="s">
        <v>59</v>
      </c>
      <c r="M2210" s="152">
        <v>42613.62909722222</v>
      </c>
      <c r="N2210" s="151" t="s">
        <v>3679</v>
      </c>
      <c r="O2210" s="151"/>
      <c r="P2210" s="151"/>
      <c r="Q2210" s="7" t="str">
        <f>IF(ISBLANK(patch[[#This Row],[OwnerEmail]]),Q2209,patch[[#This Row],[OwnerEmail]])</f>
        <v>xiaozhou.liu@intel.com</v>
      </c>
      <c r="R2210" s="7" t="str">
        <f>_xlfn.IFNA(VLOOKUP(patch[[#This Row],[tmp-owner.email]],OrgTree!$A:$K, 11, 0), "not ICG SWFW")</f>
        <v>BJ And dev</v>
      </c>
      <c r="S2210" s="7" t="str">
        <f>IF(patch[[#This Row],[reviewer]]=patch[[#This Row],[tmp-owner.email]], "author", _xlfn.IFNA(VLOOKUP(patch[[#This Row],[reviewer]],OrgTree!$A:$K, 11, 0), "not ICG SWFW"))</f>
        <v>author</v>
      </c>
      <c r="T2210" s="7" t="str">
        <f>IF(ISBLANK(patch[[#This Row],[mergeDate]]), "", MID(YEAR(patch[[#This Row],[mergeDate]]), 3,2)&amp;"'ww"&amp;WEEKNUM(patch[[#This Row],[mergeDate]]))</f>
        <v>16'ww37</v>
      </c>
      <c r="U2210" s="7" t="str">
        <f>IF(ISBLANK(patch[[#This Row],[mergeDate]]), U2209, MID(YEAR(patch[[#This Row],[mergeDate]]), 3,2)&amp;"'m"&amp;MONTH(patch[[#This Row],[mergeDate]]))</f>
        <v>16'm9</v>
      </c>
      <c r="V2210" s="7" t="str">
        <f>IF(ISBLANK(patch[[#This Row],[project]]), "",SUM(patch[[#This Row],[BJ -1 num]:[SH -1 num]]))</f>
        <v/>
      </c>
      <c r="W2210" s="7" t="str">
        <f>IF(ISBLANK(patch[[#This Row],[project]]), "",COUNTIFS($A:$A,patch[[#This Row],[number]],$S:$S, "BJ And dev",$AC:$AC, "Review-1"))</f>
        <v/>
      </c>
      <c r="X2210" s="7" t="str">
        <f>IF(ISBLANK(patch[[#This Row],[project]]), "",COUNTIFS($A:$A,patch[[#This Row],[number]],$S:$S, "FL And dev",$AC:$AC, "Review-1"))</f>
        <v/>
      </c>
      <c r="Y2210" s="7" t="str">
        <f>IF(ISBLANK(patch[[#This Row],[project]]), "",COUNTIFS($A:$A,patch[[#This Row],[number]],$S:$S, "SH And dev",$AC:$AC, "Review-1"))</f>
        <v/>
      </c>
      <c r="Z2210" s="7" t="str">
        <f>IF(ISBLANK(patch[[#This Row],[project]]), "",COUNTIFS($A:$A,patch[[#This Row],[number]],$S:$S, "BJ And dev",$AD:$AD, "&lt;&gt;IntegratorValidationComment"))</f>
        <v/>
      </c>
      <c r="AA2210" s="7" t="str">
        <f>IF(ISBLANK(patch[[#This Row],[project]]), "",COUNTIFS($A:$A,patch[[#This Row],[number]],$S:$S, "FL And dev",$AD:$AD, "&lt;&gt;IntegratorValidationComment"))</f>
        <v/>
      </c>
      <c r="AB2210" s="7" t="str">
        <f>IF(ISBLANK(patch[[#This Row],[project]]), "",COUNTIFS($A:$A,patch[[#This Row],[number]],$S:$S, "SH And dev",$AD:$AD, "&lt;&gt;IntegratorValidationComment"))</f>
        <v/>
      </c>
      <c r="AC2210" s="7" t="str">
        <f>IF(OR(ISNUMBER(FIND("Review-1", patch[[#This Row],[comments]])), ISNUMBER(FIND("Approver-1", patch[[#This Row],[comments]]))), "Review-1", "")</f>
        <v/>
      </c>
      <c r="AD22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10" s="7">
        <f>IF(ISBLANK(patch[[#This Row],[number]]),AE2209,patch[[#This Row],[ifCommon]])</f>
        <v>0</v>
      </c>
    </row>
    <row r="2211" spans="1:31">
      <c r="A2211" s="151">
        <v>142512</v>
      </c>
      <c r="B2211" s="151"/>
      <c r="C2211" s="151"/>
      <c r="D2211" s="151"/>
      <c r="E2211" s="151"/>
      <c r="F2211" s="151"/>
      <c r="G2211" s="151"/>
      <c r="H2211" s="151"/>
      <c r="I2211" s="151"/>
      <c r="J2211" s="152">
        <v>42619.71497685185</v>
      </c>
      <c r="K2211" s="151"/>
      <c r="L2211" s="151" t="s">
        <v>59</v>
      </c>
      <c r="M2211" s="152">
        <v>42613.644201388888</v>
      </c>
      <c r="N2211" s="151" t="s">
        <v>3680</v>
      </c>
      <c r="O2211" s="151"/>
      <c r="P2211" s="151"/>
      <c r="Q2211" s="7" t="str">
        <f>IF(ISBLANK(patch[[#This Row],[OwnerEmail]]),Q2210,patch[[#This Row],[OwnerEmail]])</f>
        <v>xiaozhou.liu@intel.com</v>
      </c>
      <c r="R2211" s="7" t="str">
        <f>_xlfn.IFNA(VLOOKUP(patch[[#This Row],[tmp-owner.email]],OrgTree!$A:$K, 11, 0), "not ICG SWFW")</f>
        <v>BJ And dev</v>
      </c>
      <c r="S2211" s="7" t="str">
        <f>IF(patch[[#This Row],[reviewer]]=patch[[#This Row],[tmp-owner.email]], "author", _xlfn.IFNA(VLOOKUP(patch[[#This Row],[reviewer]],OrgTree!$A:$K, 11, 0), "not ICG SWFW"))</f>
        <v>author</v>
      </c>
      <c r="T2211" s="7" t="str">
        <f>IF(ISBLANK(patch[[#This Row],[mergeDate]]), "", MID(YEAR(patch[[#This Row],[mergeDate]]), 3,2)&amp;"'ww"&amp;WEEKNUM(patch[[#This Row],[mergeDate]]))</f>
        <v>16'ww37</v>
      </c>
      <c r="U2211" s="7" t="str">
        <f>IF(ISBLANK(patch[[#This Row],[mergeDate]]), U2210, MID(YEAR(patch[[#This Row],[mergeDate]]), 3,2)&amp;"'m"&amp;MONTH(patch[[#This Row],[mergeDate]]))</f>
        <v>16'm9</v>
      </c>
      <c r="V2211" s="7" t="str">
        <f>IF(ISBLANK(patch[[#This Row],[project]]), "",SUM(patch[[#This Row],[BJ -1 num]:[SH -1 num]]))</f>
        <v/>
      </c>
      <c r="W2211" s="7" t="str">
        <f>IF(ISBLANK(patch[[#This Row],[project]]), "",COUNTIFS($A:$A,patch[[#This Row],[number]],$S:$S, "BJ And dev",$AC:$AC, "Review-1"))</f>
        <v/>
      </c>
      <c r="X2211" s="7" t="str">
        <f>IF(ISBLANK(patch[[#This Row],[project]]), "",COUNTIFS($A:$A,patch[[#This Row],[number]],$S:$S, "FL And dev",$AC:$AC, "Review-1"))</f>
        <v/>
      </c>
      <c r="Y2211" s="7" t="str">
        <f>IF(ISBLANK(patch[[#This Row],[project]]), "",COUNTIFS($A:$A,patch[[#This Row],[number]],$S:$S, "SH And dev",$AC:$AC, "Review-1"))</f>
        <v/>
      </c>
      <c r="Z2211" s="7" t="str">
        <f>IF(ISBLANK(patch[[#This Row],[project]]), "",COUNTIFS($A:$A,patch[[#This Row],[number]],$S:$S, "BJ And dev",$AD:$AD, "&lt;&gt;IntegratorValidationComment"))</f>
        <v/>
      </c>
      <c r="AA2211" s="7" t="str">
        <f>IF(ISBLANK(patch[[#This Row],[project]]), "",COUNTIFS($A:$A,patch[[#This Row],[number]],$S:$S, "FL And dev",$AD:$AD, "&lt;&gt;IntegratorValidationComment"))</f>
        <v/>
      </c>
      <c r="AB2211" s="7" t="str">
        <f>IF(ISBLANK(patch[[#This Row],[project]]), "",COUNTIFS($A:$A,patch[[#This Row],[number]],$S:$S, "SH And dev",$AD:$AD, "&lt;&gt;IntegratorValidationComment"))</f>
        <v/>
      </c>
      <c r="AC2211" s="7" t="str">
        <f>IF(OR(ISNUMBER(FIND("Review-1", patch[[#This Row],[comments]])), ISNUMBER(FIND("Approver-1", patch[[#This Row],[comments]]))), "Review-1", "")</f>
        <v/>
      </c>
      <c r="AD22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11" s="7">
        <f>IF(ISBLANK(patch[[#This Row],[number]]),AE2210,patch[[#This Row],[ifCommon]])</f>
        <v>0</v>
      </c>
    </row>
    <row r="2212" spans="1:31">
      <c r="A2212" s="151">
        <v>142512</v>
      </c>
      <c r="B2212" s="151"/>
      <c r="C2212" s="151"/>
      <c r="D2212" s="151"/>
      <c r="E2212" s="151"/>
      <c r="F2212" s="151"/>
      <c r="G2212" s="151"/>
      <c r="H2212" s="151"/>
      <c r="I2212" s="151"/>
      <c r="J2212" s="152">
        <v>42619.71497685185</v>
      </c>
      <c r="K2212" s="151"/>
      <c r="L2212" s="151" t="s">
        <v>59</v>
      </c>
      <c r="M2212" s="152">
        <v>42613.756018518521</v>
      </c>
      <c r="N2212" s="151" t="s">
        <v>3681</v>
      </c>
      <c r="O2212" s="151"/>
      <c r="P2212" s="151"/>
      <c r="Q2212" s="7" t="str">
        <f>IF(ISBLANK(patch[[#This Row],[OwnerEmail]]),Q2211,patch[[#This Row],[OwnerEmail]])</f>
        <v>xiaozhou.liu@intel.com</v>
      </c>
      <c r="R2212" s="7" t="str">
        <f>_xlfn.IFNA(VLOOKUP(patch[[#This Row],[tmp-owner.email]],OrgTree!$A:$K, 11, 0), "not ICG SWFW")</f>
        <v>BJ And dev</v>
      </c>
      <c r="S2212" s="7" t="str">
        <f>IF(patch[[#This Row],[reviewer]]=patch[[#This Row],[tmp-owner.email]], "author", _xlfn.IFNA(VLOOKUP(patch[[#This Row],[reviewer]],OrgTree!$A:$K, 11, 0), "not ICG SWFW"))</f>
        <v>author</v>
      </c>
      <c r="T2212" s="7" t="str">
        <f>IF(ISBLANK(patch[[#This Row],[mergeDate]]), "", MID(YEAR(patch[[#This Row],[mergeDate]]), 3,2)&amp;"'ww"&amp;WEEKNUM(patch[[#This Row],[mergeDate]]))</f>
        <v>16'ww37</v>
      </c>
      <c r="U2212" s="7" t="str">
        <f>IF(ISBLANK(patch[[#This Row],[mergeDate]]), U2211, MID(YEAR(patch[[#This Row],[mergeDate]]), 3,2)&amp;"'m"&amp;MONTH(patch[[#This Row],[mergeDate]]))</f>
        <v>16'm9</v>
      </c>
      <c r="V2212" s="7" t="str">
        <f>IF(ISBLANK(patch[[#This Row],[project]]), "",SUM(patch[[#This Row],[BJ -1 num]:[SH -1 num]]))</f>
        <v/>
      </c>
      <c r="W2212" s="7" t="str">
        <f>IF(ISBLANK(patch[[#This Row],[project]]), "",COUNTIFS($A:$A,patch[[#This Row],[number]],$S:$S, "BJ And dev",$AC:$AC, "Review-1"))</f>
        <v/>
      </c>
      <c r="X2212" s="7" t="str">
        <f>IF(ISBLANK(patch[[#This Row],[project]]), "",COUNTIFS($A:$A,patch[[#This Row],[number]],$S:$S, "FL And dev",$AC:$AC, "Review-1"))</f>
        <v/>
      </c>
      <c r="Y2212" s="7" t="str">
        <f>IF(ISBLANK(patch[[#This Row],[project]]), "",COUNTIFS($A:$A,patch[[#This Row],[number]],$S:$S, "SH And dev",$AC:$AC, "Review-1"))</f>
        <v/>
      </c>
      <c r="Z2212" s="7" t="str">
        <f>IF(ISBLANK(patch[[#This Row],[project]]), "",COUNTIFS($A:$A,patch[[#This Row],[number]],$S:$S, "BJ And dev",$AD:$AD, "&lt;&gt;IntegratorValidationComment"))</f>
        <v/>
      </c>
      <c r="AA2212" s="7" t="str">
        <f>IF(ISBLANK(patch[[#This Row],[project]]), "",COUNTIFS($A:$A,patch[[#This Row],[number]],$S:$S, "FL And dev",$AD:$AD, "&lt;&gt;IntegratorValidationComment"))</f>
        <v/>
      </c>
      <c r="AB2212" s="7" t="str">
        <f>IF(ISBLANK(patch[[#This Row],[project]]), "",COUNTIFS($A:$A,patch[[#This Row],[number]],$S:$S, "SH And dev",$AD:$AD, "&lt;&gt;IntegratorValidationComment"))</f>
        <v/>
      </c>
      <c r="AC2212" s="7" t="str">
        <f>IF(OR(ISNUMBER(FIND("Review-1", patch[[#This Row],[comments]])), ISNUMBER(FIND("Approver-1", patch[[#This Row],[comments]]))), "Review-1", "")</f>
        <v/>
      </c>
      <c r="AD22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12" s="7">
        <f>IF(ISBLANK(patch[[#This Row],[number]]),AE2211,patch[[#This Row],[ifCommon]])</f>
        <v>0</v>
      </c>
    </row>
    <row r="2213" spans="1:31">
      <c r="A2213" s="151">
        <v>142512</v>
      </c>
      <c r="B2213" s="151"/>
      <c r="C2213" s="151"/>
      <c r="D2213" s="151"/>
      <c r="E2213" s="151"/>
      <c r="F2213" s="151"/>
      <c r="G2213" s="151"/>
      <c r="H2213" s="151"/>
      <c r="I2213" s="151"/>
      <c r="J2213" s="152">
        <v>42619.71497685185</v>
      </c>
      <c r="K2213" s="151"/>
      <c r="L2213" s="151" t="s">
        <v>59</v>
      </c>
      <c r="M2213" s="152">
        <v>42615.742615740739</v>
      </c>
      <c r="N2213" s="151" t="s">
        <v>2429</v>
      </c>
      <c r="O2213" s="151"/>
      <c r="P2213" s="151"/>
      <c r="Q2213" s="7" t="str">
        <f>IF(ISBLANK(patch[[#This Row],[OwnerEmail]]),Q2212,patch[[#This Row],[OwnerEmail]])</f>
        <v>xiaozhou.liu@intel.com</v>
      </c>
      <c r="R2213" s="7" t="str">
        <f>_xlfn.IFNA(VLOOKUP(patch[[#This Row],[tmp-owner.email]],OrgTree!$A:$K, 11, 0), "not ICG SWFW")</f>
        <v>BJ And dev</v>
      </c>
      <c r="S2213" s="7" t="str">
        <f>IF(patch[[#This Row],[reviewer]]=patch[[#This Row],[tmp-owner.email]], "author", _xlfn.IFNA(VLOOKUP(patch[[#This Row],[reviewer]],OrgTree!$A:$K, 11, 0), "not ICG SWFW"))</f>
        <v>author</v>
      </c>
      <c r="T2213" s="7" t="str">
        <f>IF(ISBLANK(patch[[#This Row],[mergeDate]]), "", MID(YEAR(patch[[#This Row],[mergeDate]]), 3,2)&amp;"'ww"&amp;WEEKNUM(patch[[#This Row],[mergeDate]]))</f>
        <v>16'ww37</v>
      </c>
      <c r="U2213" s="7" t="str">
        <f>IF(ISBLANK(patch[[#This Row],[mergeDate]]), U2212, MID(YEAR(patch[[#This Row],[mergeDate]]), 3,2)&amp;"'m"&amp;MONTH(patch[[#This Row],[mergeDate]]))</f>
        <v>16'm9</v>
      </c>
      <c r="V2213" s="7" t="str">
        <f>IF(ISBLANK(patch[[#This Row],[project]]), "",SUM(patch[[#This Row],[BJ -1 num]:[SH -1 num]]))</f>
        <v/>
      </c>
      <c r="W2213" s="7" t="str">
        <f>IF(ISBLANK(patch[[#This Row],[project]]), "",COUNTIFS($A:$A,patch[[#This Row],[number]],$S:$S, "BJ And dev",$AC:$AC, "Review-1"))</f>
        <v/>
      </c>
      <c r="X2213" s="7" t="str">
        <f>IF(ISBLANK(patch[[#This Row],[project]]), "",COUNTIFS($A:$A,patch[[#This Row],[number]],$S:$S, "FL And dev",$AC:$AC, "Review-1"))</f>
        <v/>
      </c>
      <c r="Y2213" s="7" t="str">
        <f>IF(ISBLANK(patch[[#This Row],[project]]), "",COUNTIFS($A:$A,patch[[#This Row],[number]],$S:$S, "SH And dev",$AC:$AC, "Review-1"))</f>
        <v/>
      </c>
      <c r="Z2213" s="7" t="str">
        <f>IF(ISBLANK(patch[[#This Row],[project]]), "",COUNTIFS($A:$A,patch[[#This Row],[number]],$S:$S, "BJ And dev",$AD:$AD, "&lt;&gt;IntegratorValidationComment"))</f>
        <v/>
      </c>
      <c r="AA2213" s="7" t="str">
        <f>IF(ISBLANK(patch[[#This Row],[project]]), "",COUNTIFS($A:$A,patch[[#This Row],[number]],$S:$S, "FL And dev",$AD:$AD, "&lt;&gt;IntegratorValidationComment"))</f>
        <v/>
      </c>
      <c r="AB2213" s="7" t="str">
        <f>IF(ISBLANK(patch[[#This Row],[project]]), "",COUNTIFS($A:$A,patch[[#This Row],[number]],$S:$S, "SH And dev",$AD:$AD, "&lt;&gt;IntegratorValidationComment"))</f>
        <v/>
      </c>
      <c r="AC2213" s="7" t="str">
        <f>IF(OR(ISNUMBER(FIND("Review-1", patch[[#This Row],[comments]])), ISNUMBER(FIND("Approver-1", patch[[#This Row],[comments]]))), "Review-1", "")</f>
        <v/>
      </c>
      <c r="AD22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13" s="7">
        <f>IF(ISBLANK(patch[[#This Row],[number]]),AE2212,patch[[#This Row],[ifCommon]])</f>
        <v>0</v>
      </c>
    </row>
    <row r="2214" spans="1:31">
      <c r="A2214" s="151">
        <v>142512</v>
      </c>
      <c r="B2214" s="151"/>
      <c r="C2214" s="151"/>
      <c r="D2214" s="151"/>
      <c r="E2214" s="151"/>
      <c r="F2214" s="151"/>
      <c r="G2214" s="151"/>
      <c r="H2214" s="151"/>
      <c r="I2214" s="151"/>
      <c r="J2214" s="152">
        <v>42619.71497685185</v>
      </c>
      <c r="K2214" s="151"/>
      <c r="L2214" s="151" t="s">
        <v>59</v>
      </c>
      <c r="M2214" s="152">
        <v>42615.742615740739</v>
      </c>
      <c r="N2214" s="151" t="s">
        <v>29</v>
      </c>
      <c r="O2214" s="151"/>
      <c r="P2214" s="151"/>
      <c r="Q2214" s="7" t="str">
        <f>IF(ISBLANK(patch[[#This Row],[OwnerEmail]]),Q2213,patch[[#This Row],[OwnerEmail]])</f>
        <v>xiaozhou.liu@intel.com</v>
      </c>
      <c r="R2214" s="7" t="str">
        <f>_xlfn.IFNA(VLOOKUP(patch[[#This Row],[tmp-owner.email]],OrgTree!$A:$K, 11, 0), "not ICG SWFW")</f>
        <v>BJ And dev</v>
      </c>
      <c r="S2214" s="7" t="str">
        <f>IF(patch[[#This Row],[reviewer]]=patch[[#This Row],[tmp-owner.email]], "author", _xlfn.IFNA(VLOOKUP(patch[[#This Row],[reviewer]],OrgTree!$A:$K, 11, 0), "not ICG SWFW"))</f>
        <v>author</v>
      </c>
      <c r="T2214" s="7" t="str">
        <f>IF(ISBLANK(patch[[#This Row],[mergeDate]]), "", MID(YEAR(patch[[#This Row],[mergeDate]]), 3,2)&amp;"'ww"&amp;WEEKNUM(patch[[#This Row],[mergeDate]]))</f>
        <v>16'ww37</v>
      </c>
      <c r="U2214" s="7" t="str">
        <f>IF(ISBLANK(patch[[#This Row],[mergeDate]]), U2213, MID(YEAR(patch[[#This Row],[mergeDate]]), 3,2)&amp;"'m"&amp;MONTH(patch[[#This Row],[mergeDate]]))</f>
        <v>16'm9</v>
      </c>
      <c r="V2214" s="7" t="str">
        <f>IF(ISBLANK(patch[[#This Row],[project]]), "",SUM(patch[[#This Row],[BJ -1 num]:[SH -1 num]]))</f>
        <v/>
      </c>
      <c r="W2214" s="7" t="str">
        <f>IF(ISBLANK(patch[[#This Row],[project]]), "",COUNTIFS($A:$A,patch[[#This Row],[number]],$S:$S, "BJ And dev",$AC:$AC, "Review-1"))</f>
        <v/>
      </c>
      <c r="X2214" s="7" t="str">
        <f>IF(ISBLANK(patch[[#This Row],[project]]), "",COUNTIFS($A:$A,patch[[#This Row],[number]],$S:$S, "FL And dev",$AC:$AC, "Review-1"))</f>
        <v/>
      </c>
      <c r="Y2214" s="7" t="str">
        <f>IF(ISBLANK(patch[[#This Row],[project]]), "",COUNTIFS($A:$A,patch[[#This Row],[number]],$S:$S, "SH And dev",$AC:$AC, "Review-1"))</f>
        <v/>
      </c>
      <c r="Z2214" s="7" t="str">
        <f>IF(ISBLANK(patch[[#This Row],[project]]), "",COUNTIFS($A:$A,patch[[#This Row],[number]],$S:$S, "BJ And dev",$AD:$AD, "&lt;&gt;IntegratorValidationComment"))</f>
        <v/>
      </c>
      <c r="AA2214" s="7" t="str">
        <f>IF(ISBLANK(patch[[#This Row],[project]]), "",COUNTIFS($A:$A,patch[[#This Row],[number]],$S:$S, "FL And dev",$AD:$AD, "&lt;&gt;IntegratorValidationComment"))</f>
        <v/>
      </c>
      <c r="AB2214" s="7" t="str">
        <f>IF(ISBLANK(patch[[#This Row],[project]]), "",COUNTIFS($A:$A,patch[[#This Row],[number]],$S:$S, "SH And dev",$AD:$AD, "&lt;&gt;IntegratorValidationComment"))</f>
        <v/>
      </c>
      <c r="AC2214" s="7" t="str">
        <f>IF(OR(ISNUMBER(FIND("Review-1", patch[[#This Row],[comments]])), ISNUMBER(FIND("Approver-1", patch[[#This Row],[comments]]))), "Review-1", "")</f>
        <v/>
      </c>
      <c r="AD22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14" s="7">
        <f>IF(ISBLANK(patch[[#This Row],[number]]),AE2213,patch[[#This Row],[ifCommon]])</f>
        <v>0</v>
      </c>
    </row>
    <row r="2215" spans="1:31">
      <c r="A2215" s="151">
        <v>142512</v>
      </c>
      <c r="B2215" s="151"/>
      <c r="C2215" s="151"/>
      <c r="D2215" s="151"/>
      <c r="E2215" s="151"/>
      <c r="F2215" s="151"/>
      <c r="G2215" s="151"/>
      <c r="H2215" s="151"/>
      <c r="I2215" s="151"/>
      <c r="J2215" s="152">
        <v>42619.71497685185</v>
      </c>
      <c r="K2215" s="151"/>
      <c r="L2215" s="151" t="s">
        <v>59</v>
      </c>
      <c r="M2215" s="152">
        <v>42615.744375000002</v>
      </c>
      <c r="N2215" s="151" t="s">
        <v>3682</v>
      </c>
      <c r="O2215" s="151"/>
      <c r="P2215" s="151"/>
      <c r="Q2215" s="7" t="str">
        <f>IF(ISBLANK(patch[[#This Row],[OwnerEmail]]),Q2214,patch[[#This Row],[OwnerEmail]])</f>
        <v>xiaozhou.liu@intel.com</v>
      </c>
      <c r="R2215" s="7" t="str">
        <f>_xlfn.IFNA(VLOOKUP(patch[[#This Row],[tmp-owner.email]],OrgTree!$A:$K, 11, 0), "not ICG SWFW")</f>
        <v>BJ And dev</v>
      </c>
      <c r="S2215" s="7" t="str">
        <f>IF(patch[[#This Row],[reviewer]]=patch[[#This Row],[tmp-owner.email]], "author", _xlfn.IFNA(VLOOKUP(patch[[#This Row],[reviewer]],OrgTree!$A:$K, 11, 0), "not ICG SWFW"))</f>
        <v>author</v>
      </c>
      <c r="T2215" s="7" t="str">
        <f>IF(ISBLANK(patch[[#This Row],[mergeDate]]), "", MID(YEAR(patch[[#This Row],[mergeDate]]), 3,2)&amp;"'ww"&amp;WEEKNUM(patch[[#This Row],[mergeDate]]))</f>
        <v>16'ww37</v>
      </c>
      <c r="U2215" s="7" t="str">
        <f>IF(ISBLANK(patch[[#This Row],[mergeDate]]), U2214, MID(YEAR(patch[[#This Row],[mergeDate]]), 3,2)&amp;"'m"&amp;MONTH(patch[[#This Row],[mergeDate]]))</f>
        <v>16'm9</v>
      </c>
      <c r="V2215" s="7" t="str">
        <f>IF(ISBLANK(patch[[#This Row],[project]]), "",SUM(patch[[#This Row],[BJ -1 num]:[SH -1 num]]))</f>
        <v/>
      </c>
      <c r="W2215" s="7" t="str">
        <f>IF(ISBLANK(patch[[#This Row],[project]]), "",COUNTIFS($A:$A,patch[[#This Row],[number]],$S:$S, "BJ And dev",$AC:$AC, "Review-1"))</f>
        <v/>
      </c>
      <c r="X2215" s="7" t="str">
        <f>IF(ISBLANK(patch[[#This Row],[project]]), "",COUNTIFS($A:$A,patch[[#This Row],[number]],$S:$S, "FL And dev",$AC:$AC, "Review-1"))</f>
        <v/>
      </c>
      <c r="Y2215" s="7" t="str">
        <f>IF(ISBLANK(patch[[#This Row],[project]]), "",COUNTIFS($A:$A,patch[[#This Row],[number]],$S:$S, "SH And dev",$AC:$AC, "Review-1"))</f>
        <v/>
      </c>
      <c r="Z2215" s="7" t="str">
        <f>IF(ISBLANK(patch[[#This Row],[project]]), "",COUNTIFS($A:$A,patch[[#This Row],[number]],$S:$S, "BJ And dev",$AD:$AD, "&lt;&gt;IntegratorValidationComment"))</f>
        <v/>
      </c>
      <c r="AA2215" s="7" t="str">
        <f>IF(ISBLANK(patch[[#This Row],[project]]), "",COUNTIFS($A:$A,patch[[#This Row],[number]],$S:$S, "FL And dev",$AD:$AD, "&lt;&gt;IntegratorValidationComment"))</f>
        <v/>
      </c>
      <c r="AB2215" s="7" t="str">
        <f>IF(ISBLANK(patch[[#This Row],[project]]), "",COUNTIFS($A:$A,patch[[#This Row],[number]],$S:$S, "SH And dev",$AD:$AD, "&lt;&gt;IntegratorValidationComment"))</f>
        <v/>
      </c>
      <c r="AC2215" s="7" t="str">
        <f>IF(OR(ISNUMBER(FIND("Review-1", patch[[#This Row],[comments]])), ISNUMBER(FIND("Approver-1", patch[[#This Row],[comments]]))), "Review-1", "")</f>
        <v/>
      </c>
      <c r="AD22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15" s="7">
        <f>IF(ISBLANK(patch[[#This Row],[number]]),AE2214,patch[[#This Row],[ifCommon]])</f>
        <v>0</v>
      </c>
    </row>
    <row r="2216" spans="1:31">
      <c r="A2216" s="151">
        <v>142512</v>
      </c>
      <c r="B2216" s="151"/>
      <c r="C2216" s="151"/>
      <c r="D2216" s="151"/>
      <c r="E2216" s="151"/>
      <c r="F2216" s="151"/>
      <c r="G2216" s="151"/>
      <c r="H2216" s="151"/>
      <c r="I2216" s="152"/>
      <c r="J2216" s="152">
        <v>42619.71497685185</v>
      </c>
      <c r="K2216" s="151"/>
      <c r="L2216" s="151" t="s">
        <v>59</v>
      </c>
      <c r="M2216" s="152">
        <v>42615.747094907398</v>
      </c>
      <c r="N2216" s="151" t="s">
        <v>3683</v>
      </c>
      <c r="O2216" s="151"/>
      <c r="P2216" s="151"/>
      <c r="Q2216" s="7" t="str">
        <f>IF(ISBLANK(patch[[#This Row],[OwnerEmail]]),Q2215,patch[[#This Row],[OwnerEmail]])</f>
        <v>xiaozhou.liu@intel.com</v>
      </c>
      <c r="R2216" s="7" t="str">
        <f>_xlfn.IFNA(VLOOKUP(patch[[#This Row],[tmp-owner.email]],OrgTree!$A:$K, 11, 0), "not ICG SWFW")</f>
        <v>BJ And dev</v>
      </c>
      <c r="S2216" s="7" t="str">
        <f>IF(patch[[#This Row],[reviewer]]=patch[[#This Row],[tmp-owner.email]], "author", _xlfn.IFNA(VLOOKUP(patch[[#This Row],[reviewer]],OrgTree!$A:$K, 11, 0), "not ICG SWFW"))</f>
        <v>author</v>
      </c>
      <c r="T2216" s="7" t="str">
        <f>IF(ISBLANK(patch[[#This Row],[mergeDate]]), "", MID(YEAR(patch[[#This Row],[mergeDate]]), 3,2)&amp;"'ww"&amp;WEEKNUM(patch[[#This Row],[mergeDate]]))</f>
        <v>16'ww37</v>
      </c>
      <c r="U2216" s="7" t="str">
        <f>IF(ISBLANK(patch[[#This Row],[mergeDate]]), U2215, MID(YEAR(patch[[#This Row],[mergeDate]]), 3,2)&amp;"'m"&amp;MONTH(patch[[#This Row],[mergeDate]]))</f>
        <v>16'm9</v>
      </c>
      <c r="V2216" s="7" t="str">
        <f>IF(ISBLANK(patch[[#This Row],[project]]), "",SUM(patch[[#This Row],[BJ -1 num]:[SH -1 num]]))</f>
        <v/>
      </c>
      <c r="W2216" s="7" t="str">
        <f>IF(ISBLANK(patch[[#This Row],[project]]), "",COUNTIFS($A:$A,patch[[#This Row],[number]],$S:$S, "BJ And dev",$AC:$AC, "Review-1"))</f>
        <v/>
      </c>
      <c r="X2216" s="7" t="str">
        <f>IF(ISBLANK(patch[[#This Row],[project]]), "",COUNTIFS($A:$A,patch[[#This Row],[number]],$S:$S, "FL And dev",$AC:$AC, "Review-1"))</f>
        <v/>
      </c>
      <c r="Y2216" s="7" t="str">
        <f>IF(ISBLANK(patch[[#This Row],[project]]), "",COUNTIFS($A:$A,patch[[#This Row],[number]],$S:$S, "SH And dev",$AC:$AC, "Review-1"))</f>
        <v/>
      </c>
      <c r="Z2216" s="7" t="str">
        <f>IF(ISBLANK(patch[[#This Row],[project]]), "",COUNTIFS($A:$A,patch[[#This Row],[number]],$S:$S, "BJ And dev",$AD:$AD, "&lt;&gt;IntegratorValidationComment"))</f>
        <v/>
      </c>
      <c r="AA2216" s="7" t="str">
        <f>IF(ISBLANK(patch[[#This Row],[project]]), "",COUNTIFS($A:$A,patch[[#This Row],[number]],$S:$S, "FL And dev",$AD:$AD, "&lt;&gt;IntegratorValidationComment"))</f>
        <v/>
      </c>
      <c r="AB2216" s="7" t="str">
        <f>IF(ISBLANK(patch[[#This Row],[project]]), "",COUNTIFS($A:$A,patch[[#This Row],[number]],$S:$S, "SH And dev",$AD:$AD, "&lt;&gt;IntegratorValidationComment"))</f>
        <v/>
      </c>
      <c r="AC2216" s="7" t="str">
        <f>IF(OR(ISNUMBER(FIND("Review-1", patch[[#This Row],[comments]])), ISNUMBER(FIND("Approver-1", patch[[#This Row],[comments]]))), "Review-1", "")</f>
        <v/>
      </c>
      <c r="AD22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16" s="7">
        <f>IF(ISBLANK(patch[[#This Row],[number]]),AE2215,patch[[#This Row],[ifCommon]])</f>
        <v>0</v>
      </c>
    </row>
    <row r="2217" spans="1:31">
      <c r="A2217" s="151">
        <v>142512</v>
      </c>
      <c r="B2217" s="151"/>
      <c r="C2217" s="151"/>
      <c r="D2217" s="151"/>
      <c r="E2217" s="151"/>
      <c r="F2217" s="151"/>
      <c r="G2217" s="151"/>
      <c r="H2217" s="151"/>
      <c r="I2217" s="152"/>
      <c r="J2217" s="152">
        <v>42619.71497685185</v>
      </c>
      <c r="K2217" s="151"/>
      <c r="L2217" s="151" t="s">
        <v>59</v>
      </c>
      <c r="M2217" s="152">
        <v>42618.596932870372</v>
      </c>
      <c r="N2217" s="151" t="s">
        <v>1829</v>
      </c>
      <c r="O2217" s="151"/>
      <c r="P2217" s="151"/>
      <c r="Q2217" s="7" t="str">
        <f>IF(ISBLANK(patch[[#This Row],[OwnerEmail]]),Q2216,patch[[#This Row],[OwnerEmail]])</f>
        <v>xiaozhou.liu@intel.com</v>
      </c>
      <c r="R2217" s="7" t="str">
        <f>_xlfn.IFNA(VLOOKUP(patch[[#This Row],[tmp-owner.email]],OrgTree!$A:$K, 11, 0), "not ICG SWFW")</f>
        <v>BJ And dev</v>
      </c>
      <c r="S2217" s="7" t="str">
        <f>IF(patch[[#This Row],[reviewer]]=patch[[#This Row],[tmp-owner.email]], "author", _xlfn.IFNA(VLOOKUP(patch[[#This Row],[reviewer]],OrgTree!$A:$K, 11, 0), "not ICG SWFW"))</f>
        <v>author</v>
      </c>
      <c r="T2217" s="7" t="str">
        <f>IF(ISBLANK(patch[[#This Row],[mergeDate]]), "", MID(YEAR(patch[[#This Row],[mergeDate]]), 3,2)&amp;"'ww"&amp;WEEKNUM(patch[[#This Row],[mergeDate]]))</f>
        <v>16'ww37</v>
      </c>
      <c r="U2217" s="7" t="str">
        <f>IF(ISBLANK(patch[[#This Row],[mergeDate]]), U2216, MID(YEAR(patch[[#This Row],[mergeDate]]), 3,2)&amp;"'m"&amp;MONTH(patch[[#This Row],[mergeDate]]))</f>
        <v>16'm9</v>
      </c>
      <c r="V2217" s="7" t="str">
        <f>IF(ISBLANK(patch[[#This Row],[project]]), "",SUM(patch[[#This Row],[BJ -1 num]:[SH -1 num]]))</f>
        <v/>
      </c>
      <c r="W2217" s="7" t="str">
        <f>IF(ISBLANK(patch[[#This Row],[project]]), "",COUNTIFS($A:$A,patch[[#This Row],[number]],$S:$S, "BJ And dev",$AC:$AC, "Review-1"))</f>
        <v/>
      </c>
      <c r="X2217" s="7" t="str">
        <f>IF(ISBLANK(patch[[#This Row],[project]]), "",COUNTIFS($A:$A,patch[[#This Row],[number]],$S:$S, "FL And dev",$AC:$AC, "Review-1"))</f>
        <v/>
      </c>
      <c r="Y2217" s="7" t="str">
        <f>IF(ISBLANK(patch[[#This Row],[project]]), "",COUNTIFS($A:$A,patch[[#This Row],[number]],$S:$S, "SH And dev",$AC:$AC, "Review-1"))</f>
        <v/>
      </c>
      <c r="Z2217" s="7" t="str">
        <f>IF(ISBLANK(patch[[#This Row],[project]]), "",COUNTIFS($A:$A,patch[[#This Row],[number]],$S:$S, "BJ And dev",$AD:$AD, "&lt;&gt;IntegratorValidationComment"))</f>
        <v/>
      </c>
      <c r="AA2217" s="7" t="str">
        <f>IF(ISBLANK(patch[[#This Row],[project]]), "",COUNTIFS($A:$A,patch[[#This Row],[number]],$S:$S, "FL And dev",$AD:$AD, "&lt;&gt;IntegratorValidationComment"))</f>
        <v/>
      </c>
      <c r="AB2217" s="7" t="str">
        <f>IF(ISBLANK(patch[[#This Row],[project]]), "",COUNTIFS($A:$A,patch[[#This Row],[number]],$S:$S, "SH And dev",$AD:$AD, "&lt;&gt;IntegratorValidationComment"))</f>
        <v/>
      </c>
      <c r="AC2217" s="7" t="str">
        <f>IF(OR(ISNUMBER(FIND("Review-1", patch[[#This Row],[comments]])), ISNUMBER(FIND("Approver-1", patch[[#This Row],[comments]]))), "Review-1", "")</f>
        <v/>
      </c>
      <c r="AD22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17" s="7">
        <f>IF(ISBLANK(patch[[#This Row],[number]]),AE2216,patch[[#This Row],[ifCommon]])</f>
        <v>0</v>
      </c>
    </row>
    <row r="2218" spans="1:31">
      <c r="A2218" s="151">
        <v>142512</v>
      </c>
      <c r="B2218" s="151"/>
      <c r="C2218" s="151"/>
      <c r="D2218" s="151"/>
      <c r="E2218" s="151"/>
      <c r="F2218" s="151"/>
      <c r="G2218" s="151"/>
      <c r="H2218" s="151"/>
      <c r="I2218" s="151"/>
      <c r="J2218" s="152">
        <v>42619.71497685185</v>
      </c>
      <c r="K2218" s="151"/>
      <c r="L2218" s="151" t="s">
        <v>59</v>
      </c>
      <c r="M2218" s="152">
        <v>42618.596932870372</v>
      </c>
      <c r="N2218" s="151" t="s">
        <v>2450</v>
      </c>
      <c r="O2218" s="151"/>
      <c r="P2218" s="151"/>
      <c r="Q2218" s="7" t="str">
        <f>IF(ISBLANK(patch[[#This Row],[OwnerEmail]]),Q2217,patch[[#This Row],[OwnerEmail]])</f>
        <v>xiaozhou.liu@intel.com</v>
      </c>
      <c r="R2218" s="7" t="str">
        <f>_xlfn.IFNA(VLOOKUP(patch[[#This Row],[tmp-owner.email]],OrgTree!$A:$K, 11, 0), "not ICG SWFW")</f>
        <v>BJ And dev</v>
      </c>
      <c r="S2218" s="7" t="str">
        <f>IF(patch[[#This Row],[reviewer]]=patch[[#This Row],[tmp-owner.email]], "author", _xlfn.IFNA(VLOOKUP(patch[[#This Row],[reviewer]],OrgTree!$A:$K, 11, 0), "not ICG SWFW"))</f>
        <v>author</v>
      </c>
      <c r="T2218" s="7" t="str">
        <f>IF(ISBLANK(patch[[#This Row],[mergeDate]]), "", MID(YEAR(patch[[#This Row],[mergeDate]]), 3,2)&amp;"'ww"&amp;WEEKNUM(patch[[#This Row],[mergeDate]]))</f>
        <v>16'ww37</v>
      </c>
      <c r="U2218" s="7" t="str">
        <f>IF(ISBLANK(patch[[#This Row],[mergeDate]]), U2217, MID(YEAR(patch[[#This Row],[mergeDate]]), 3,2)&amp;"'m"&amp;MONTH(patch[[#This Row],[mergeDate]]))</f>
        <v>16'm9</v>
      </c>
      <c r="V2218" s="7" t="str">
        <f>IF(ISBLANK(patch[[#This Row],[project]]), "",SUM(patch[[#This Row],[BJ -1 num]:[SH -1 num]]))</f>
        <v/>
      </c>
      <c r="W2218" s="7" t="str">
        <f>IF(ISBLANK(patch[[#This Row],[project]]), "",COUNTIFS($A:$A,patch[[#This Row],[number]],$S:$S, "BJ And dev",$AC:$AC, "Review-1"))</f>
        <v/>
      </c>
      <c r="X2218" s="7" t="str">
        <f>IF(ISBLANK(patch[[#This Row],[project]]), "",COUNTIFS($A:$A,patch[[#This Row],[number]],$S:$S, "FL And dev",$AC:$AC, "Review-1"))</f>
        <v/>
      </c>
      <c r="Y2218" s="7" t="str">
        <f>IF(ISBLANK(patch[[#This Row],[project]]), "",COUNTIFS($A:$A,patch[[#This Row],[number]],$S:$S, "SH And dev",$AC:$AC, "Review-1"))</f>
        <v/>
      </c>
      <c r="Z2218" s="7" t="str">
        <f>IF(ISBLANK(patch[[#This Row],[project]]), "",COUNTIFS($A:$A,patch[[#This Row],[number]],$S:$S, "BJ And dev",$AD:$AD, "&lt;&gt;IntegratorValidationComment"))</f>
        <v/>
      </c>
      <c r="AA2218" s="7" t="str">
        <f>IF(ISBLANK(patch[[#This Row],[project]]), "",COUNTIFS($A:$A,patch[[#This Row],[number]],$S:$S, "FL And dev",$AD:$AD, "&lt;&gt;IntegratorValidationComment"))</f>
        <v/>
      </c>
      <c r="AB2218" s="7" t="str">
        <f>IF(ISBLANK(patch[[#This Row],[project]]), "",COUNTIFS($A:$A,patch[[#This Row],[number]],$S:$S, "SH And dev",$AD:$AD, "&lt;&gt;IntegratorValidationComment"))</f>
        <v/>
      </c>
      <c r="AC2218" s="7" t="str">
        <f>IF(OR(ISNUMBER(FIND("Review-1", patch[[#This Row],[comments]])), ISNUMBER(FIND("Approver-1", patch[[#This Row],[comments]]))), "Review-1", "")</f>
        <v/>
      </c>
      <c r="AD22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18" s="7">
        <f>IF(ISBLANK(patch[[#This Row],[number]]),AE2217,patch[[#This Row],[ifCommon]])</f>
        <v>0</v>
      </c>
    </row>
    <row r="2219" spans="1:31">
      <c r="A2219" s="151">
        <v>142512</v>
      </c>
      <c r="B2219" s="151"/>
      <c r="C2219" s="151"/>
      <c r="D2219" s="151"/>
      <c r="E2219" s="151"/>
      <c r="F2219" s="151"/>
      <c r="G2219" s="151"/>
      <c r="H2219" s="151"/>
      <c r="I2219" s="151"/>
      <c r="J2219" s="152">
        <v>42619.71497685185</v>
      </c>
      <c r="K2219" s="151"/>
      <c r="L2219" s="151" t="s">
        <v>59</v>
      </c>
      <c r="M2219" s="152">
        <v>42618.598541666674</v>
      </c>
      <c r="N2219" s="151" t="s">
        <v>3684</v>
      </c>
      <c r="O2219" s="151"/>
      <c r="P2219" s="151"/>
      <c r="Q2219" s="7" t="str">
        <f>IF(ISBLANK(patch[[#This Row],[OwnerEmail]]),Q2218,patch[[#This Row],[OwnerEmail]])</f>
        <v>xiaozhou.liu@intel.com</v>
      </c>
      <c r="R2219" s="7" t="str">
        <f>_xlfn.IFNA(VLOOKUP(patch[[#This Row],[tmp-owner.email]],OrgTree!$A:$K, 11, 0), "not ICG SWFW")</f>
        <v>BJ And dev</v>
      </c>
      <c r="S2219" s="7" t="str">
        <f>IF(patch[[#This Row],[reviewer]]=patch[[#This Row],[tmp-owner.email]], "author", _xlfn.IFNA(VLOOKUP(patch[[#This Row],[reviewer]],OrgTree!$A:$K, 11, 0), "not ICG SWFW"))</f>
        <v>author</v>
      </c>
      <c r="T2219" s="7" t="str">
        <f>IF(ISBLANK(patch[[#This Row],[mergeDate]]), "", MID(YEAR(patch[[#This Row],[mergeDate]]), 3,2)&amp;"'ww"&amp;WEEKNUM(patch[[#This Row],[mergeDate]]))</f>
        <v>16'ww37</v>
      </c>
      <c r="U2219" s="7" t="str">
        <f>IF(ISBLANK(patch[[#This Row],[mergeDate]]), U2218, MID(YEAR(patch[[#This Row],[mergeDate]]), 3,2)&amp;"'m"&amp;MONTH(patch[[#This Row],[mergeDate]]))</f>
        <v>16'm9</v>
      </c>
      <c r="V2219" s="7" t="str">
        <f>IF(ISBLANK(patch[[#This Row],[project]]), "",SUM(patch[[#This Row],[BJ -1 num]:[SH -1 num]]))</f>
        <v/>
      </c>
      <c r="W2219" s="7" t="str">
        <f>IF(ISBLANK(patch[[#This Row],[project]]), "",COUNTIFS($A:$A,patch[[#This Row],[number]],$S:$S, "BJ And dev",$AC:$AC, "Review-1"))</f>
        <v/>
      </c>
      <c r="X2219" s="7" t="str">
        <f>IF(ISBLANK(patch[[#This Row],[project]]), "",COUNTIFS($A:$A,patch[[#This Row],[number]],$S:$S, "FL And dev",$AC:$AC, "Review-1"))</f>
        <v/>
      </c>
      <c r="Y2219" s="7" t="str">
        <f>IF(ISBLANK(patch[[#This Row],[project]]), "",COUNTIFS($A:$A,patch[[#This Row],[number]],$S:$S, "SH And dev",$AC:$AC, "Review-1"))</f>
        <v/>
      </c>
      <c r="Z2219" s="7" t="str">
        <f>IF(ISBLANK(patch[[#This Row],[project]]), "",COUNTIFS($A:$A,patch[[#This Row],[number]],$S:$S, "BJ And dev",$AD:$AD, "&lt;&gt;IntegratorValidationComment"))</f>
        <v/>
      </c>
      <c r="AA2219" s="7" t="str">
        <f>IF(ISBLANK(patch[[#This Row],[project]]), "",COUNTIFS($A:$A,patch[[#This Row],[number]],$S:$S, "FL And dev",$AD:$AD, "&lt;&gt;IntegratorValidationComment"))</f>
        <v/>
      </c>
      <c r="AB2219" s="7" t="str">
        <f>IF(ISBLANK(patch[[#This Row],[project]]), "",COUNTIFS($A:$A,patch[[#This Row],[number]],$S:$S, "SH And dev",$AD:$AD, "&lt;&gt;IntegratorValidationComment"))</f>
        <v/>
      </c>
      <c r="AC2219" s="7" t="str">
        <f>IF(OR(ISNUMBER(FIND("Review-1", patch[[#This Row],[comments]])), ISNUMBER(FIND("Approver-1", patch[[#This Row],[comments]]))), "Review-1", "")</f>
        <v/>
      </c>
      <c r="AD22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19" s="7">
        <f>IF(ISBLANK(patch[[#This Row],[number]]),AE2218,patch[[#This Row],[ifCommon]])</f>
        <v>0</v>
      </c>
    </row>
    <row r="2220" spans="1:31">
      <c r="A2220" s="151">
        <v>142512</v>
      </c>
      <c r="B2220" s="151"/>
      <c r="C2220" s="151"/>
      <c r="D2220" s="151"/>
      <c r="E2220" s="151"/>
      <c r="F2220" s="151"/>
      <c r="G2220" s="151"/>
      <c r="H2220" s="151"/>
      <c r="I2220" s="151"/>
      <c r="J2220" s="152">
        <v>42619.71497685185</v>
      </c>
      <c r="K2220" s="151"/>
      <c r="L2220" s="151" t="s">
        <v>59</v>
      </c>
      <c r="M2220" s="152">
        <v>42618.612025462957</v>
      </c>
      <c r="N2220" s="151" t="s">
        <v>48</v>
      </c>
      <c r="O2220" s="151"/>
      <c r="P2220" s="151"/>
      <c r="Q2220" s="7" t="str">
        <f>IF(ISBLANK(patch[[#This Row],[OwnerEmail]]),Q2219,patch[[#This Row],[OwnerEmail]])</f>
        <v>xiaozhou.liu@intel.com</v>
      </c>
      <c r="R2220" s="7" t="str">
        <f>_xlfn.IFNA(VLOOKUP(patch[[#This Row],[tmp-owner.email]],OrgTree!$A:$K, 11, 0), "not ICG SWFW")</f>
        <v>BJ And dev</v>
      </c>
      <c r="S2220" s="7" t="str">
        <f>IF(patch[[#This Row],[reviewer]]=patch[[#This Row],[tmp-owner.email]], "author", _xlfn.IFNA(VLOOKUP(patch[[#This Row],[reviewer]],OrgTree!$A:$K, 11, 0), "not ICG SWFW"))</f>
        <v>author</v>
      </c>
      <c r="T2220" s="7" t="str">
        <f>IF(ISBLANK(patch[[#This Row],[mergeDate]]), "", MID(YEAR(patch[[#This Row],[mergeDate]]), 3,2)&amp;"'ww"&amp;WEEKNUM(patch[[#This Row],[mergeDate]]))</f>
        <v>16'ww37</v>
      </c>
      <c r="U2220" s="7" t="str">
        <f>IF(ISBLANK(patch[[#This Row],[mergeDate]]), U2219, MID(YEAR(patch[[#This Row],[mergeDate]]), 3,2)&amp;"'m"&amp;MONTH(patch[[#This Row],[mergeDate]]))</f>
        <v>16'm9</v>
      </c>
      <c r="V2220" s="7" t="str">
        <f>IF(ISBLANK(patch[[#This Row],[project]]), "",SUM(patch[[#This Row],[BJ -1 num]:[SH -1 num]]))</f>
        <v/>
      </c>
      <c r="W2220" s="7" t="str">
        <f>IF(ISBLANK(patch[[#This Row],[project]]), "",COUNTIFS($A:$A,patch[[#This Row],[number]],$S:$S, "BJ And dev",$AC:$AC, "Review-1"))</f>
        <v/>
      </c>
      <c r="X2220" s="7" t="str">
        <f>IF(ISBLANK(patch[[#This Row],[project]]), "",COUNTIFS($A:$A,patch[[#This Row],[number]],$S:$S, "FL And dev",$AC:$AC, "Review-1"))</f>
        <v/>
      </c>
      <c r="Y2220" s="7" t="str">
        <f>IF(ISBLANK(patch[[#This Row],[project]]), "",COUNTIFS($A:$A,patch[[#This Row],[number]],$S:$S, "SH And dev",$AC:$AC, "Review-1"))</f>
        <v/>
      </c>
      <c r="Z2220" s="7" t="str">
        <f>IF(ISBLANK(patch[[#This Row],[project]]), "",COUNTIFS($A:$A,patch[[#This Row],[number]],$S:$S, "BJ And dev",$AD:$AD, "&lt;&gt;IntegratorValidationComment"))</f>
        <v/>
      </c>
      <c r="AA2220" s="7" t="str">
        <f>IF(ISBLANK(patch[[#This Row],[project]]), "",COUNTIFS($A:$A,patch[[#This Row],[number]],$S:$S, "FL And dev",$AD:$AD, "&lt;&gt;IntegratorValidationComment"))</f>
        <v/>
      </c>
      <c r="AB2220" s="7" t="str">
        <f>IF(ISBLANK(patch[[#This Row],[project]]), "",COUNTIFS($A:$A,patch[[#This Row],[number]],$S:$S, "SH And dev",$AD:$AD, "&lt;&gt;IntegratorValidationComment"))</f>
        <v/>
      </c>
      <c r="AC2220" s="7" t="str">
        <f>IF(OR(ISNUMBER(FIND("Review-1", patch[[#This Row],[comments]])), ISNUMBER(FIND("Approver-1", patch[[#This Row],[comments]]))), "Review-1", "")</f>
        <v/>
      </c>
      <c r="AD22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20" s="7">
        <f>IF(ISBLANK(patch[[#This Row],[number]]),AE2219,patch[[#This Row],[ifCommon]])</f>
        <v>0</v>
      </c>
    </row>
    <row r="2221" spans="1:31">
      <c r="A2221" s="151">
        <v>142512</v>
      </c>
      <c r="B2221" s="151"/>
      <c r="C2221" s="151"/>
      <c r="D2221" s="151"/>
      <c r="E2221" s="151"/>
      <c r="F2221" s="151"/>
      <c r="G2221" s="151"/>
      <c r="H2221" s="151"/>
      <c r="I2221" s="151"/>
      <c r="J2221" s="152">
        <v>42619.71497685185</v>
      </c>
      <c r="K2221" s="151"/>
      <c r="L2221" s="151" t="s">
        <v>59</v>
      </c>
      <c r="M2221" s="152">
        <v>42618.66306712963</v>
      </c>
      <c r="N2221" s="151" t="s">
        <v>3685</v>
      </c>
      <c r="O2221" s="151"/>
      <c r="P2221" s="151"/>
      <c r="Q2221" s="7" t="str">
        <f>IF(ISBLANK(patch[[#This Row],[OwnerEmail]]),Q2220,patch[[#This Row],[OwnerEmail]])</f>
        <v>xiaozhou.liu@intel.com</v>
      </c>
      <c r="R2221" s="7" t="str">
        <f>_xlfn.IFNA(VLOOKUP(patch[[#This Row],[tmp-owner.email]],OrgTree!$A:$K, 11, 0), "not ICG SWFW")</f>
        <v>BJ And dev</v>
      </c>
      <c r="S2221" s="7" t="str">
        <f>IF(patch[[#This Row],[reviewer]]=patch[[#This Row],[tmp-owner.email]], "author", _xlfn.IFNA(VLOOKUP(patch[[#This Row],[reviewer]],OrgTree!$A:$K, 11, 0), "not ICG SWFW"))</f>
        <v>author</v>
      </c>
      <c r="T2221" s="7" t="str">
        <f>IF(ISBLANK(patch[[#This Row],[mergeDate]]), "", MID(YEAR(patch[[#This Row],[mergeDate]]), 3,2)&amp;"'ww"&amp;WEEKNUM(patch[[#This Row],[mergeDate]]))</f>
        <v>16'ww37</v>
      </c>
      <c r="U2221" s="7" t="str">
        <f>IF(ISBLANK(patch[[#This Row],[mergeDate]]), U2220, MID(YEAR(patch[[#This Row],[mergeDate]]), 3,2)&amp;"'m"&amp;MONTH(patch[[#This Row],[mergeDate]]))</f>
        <v>16'm9</v>
      </c>
      <c r="V2221" s="7" t="str">
        <f>IF(ISBLANK(patch[[#This Row],[project]]), "",SUM(patch[[#This Row],[BJ -1 num]:[SH -1 num]]))</f>
        <v/>
      </c>
      <c r="W2221" s="7" t="str">
        <f>IF(ISBLANK(patch[[#This Row],[project]]), "",COUNTIFS($A:$A,patch[[#This Row],[number]],$S:$S, "BJ And dev",$AC:$AC, "Review-1"))</f>
        <v/>
      </c>
      <c r="X2221" s="7" t="str">
        <f>IF(ISBLANK(patch[[#This Row],[project]]), "",COUNTIFS($A:$A,patch[[#This Row],[number]],$S:$S, "FL And dev",$AC:$AC, "Review-1"))</f>
        <v/>
      </c>
      <c r="Y2221" s="7" t="str">
        <f>IF(ISBLANK(patch[[#This Row],[project]]), "",COUNTIFS($A:$A,patch[[#This Row],[number]],$S:$S, "SH And dev",$AC:$AC, "Review-1"))</f>
        <v/>
      </c>
      <c r="Z2221" s="7" t="str">
        <f>IF(ISBLANK(patch[[#This Row],[project]]), "",COUNTIFS($A:$A,patch[[#This Row],[number]],$S:$S, "BJ And dev",$AD:$AD, "&lt;&gt;IntegratorValidationComment"))</f>
        <v/>
      </c>
      <c r="AA2221" s="7" t="str">
        <f>IF(ISBLANK(patch[[#This Row],[project]]), "",COUNTIFS($A:$A,patch[[#This Row],[number]],$S:$S, "FL And dev",$AD:$AD, "&lt;&gt;IntegratorValidationComment"))</f>
        <v/>
      </c>
      <c r="AB2221" s="7" t="str">
        <f>IF(ISBLANK(patch[[#This Row],[project]]), "",COUNTIFS($A:$A,patch[[#This Row],[number]],$S:$S, "SH And dev",$AD:$AD, "&lt;&gt;IntegratorValidationComment"))</f>
        <v/>
      </c>
      <c r="AC2221" s="7" t="str">
        <f>IF(OR(ISNUMBER(FIND("Review-1", patch[[#This Row],[comments]])), ISNUMBER(FIND("Approver-1", patch[[#This Row],[comments]]))), "Review-1", "")</f>
        <v/>
      </c>
      <c r="AD22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21" s="7">
        <f>IF(ISBLANK(patch[[#This Row],[number]]),AE2220,patch[[#This Row],[ifCommon]])</f>
        <v>0</v>
      </c>
    </row>
    <row r="2222" spans="1:31">
      <c r="A2222" s="151">
        <v>142512</v>
      </c>
      <c r="B2222" s="151"/>
      <c r="C2222" s="151"/>
      <c r="D2222" s="151"/>
      <c r="E2222" s="151"/>
      <c r="F2222" s="151"/>
      <c r="G2222" s="151"/>
      <c r="H2222" s="151"/>
      <c r="I2222" s="151"/>
      <c r="J2222" s="152">
        <v>42619.71497685185</v>
      </c>
      <c r="K2222" s="151"/>
      <c r="L2222" s="151" t="s">
        <v>59</v>
      </c>
      <c r="M2222" s="152">
        <v>42618.705810185187</v>
      </c>
      <c r="N2222" s="151" t="s">
        <v>2451</v>
      </c>
      <c r="O2222" s="151"/>
      <c r="P2222" s="151"/>
      <c r="Q2222" s="7" t="str">
        <f>IF(ISBLANK(patch[[#This Row],[OwnerEmail]]),Q2221,patch[[#This Row],[OwnerEmail]])</f>
        <v>xiaozhou.liu@intel.com</v>
      </c>
      <c r="R2222" s="7" t="str">
        <f>_xlfn.IFNA(VLOOKUP(patch[[#This Row],[tmp-owner.email]],OrgTree!$A:$K, 11, 0), "not ICG SWFW")</f>
        <v>BJ And dev</v>
      </c>
      <c r="S2222" s="7" t="str">
        <f>IF(patch[[#This Row],[reviewer]]=patch[[#This Row],[tmp-owner.email]], "author", _xlfn.IFNA(VLOOKUP(patch[[#This Row],[reviewer]],OrgTree!$A:$K, 11, 0), "not ICG SWFW"))</f>
        <v>author</v>
      </c>
      <c r="T2222" s="7" t="str">
        <f>IF(ISBLANK(patch[[#This Row],[mergeDate]]), "", MID(YEAR(patch[[#This Row],[mergeDate]]), 3,2)&amp;"'ww"&amp;WEEKNUM(patch[[#This Row],[mergeDate]]))</f>
        <v>16'ww37</v>
      </c>
      <c r="U2222" s="7" t="str">
        <f>IF(ISBLANK(patch[[#This Row],[mergeDate]]), U2221, MID(YEAR(patch[[#This Row],[mergeDate]]), 3,2)&amp;"'m"&amp;MONTH(patch[[#This Row],[mergeDate]]))</f>
        <v>16'm9</v>
      </c>
      <c r="V2222" s="7" t="str">
        <f>IF(ISBLANK(patch[[#This Row],[project]]), "",SUM(patch[[#This Row],[BJ -1 num]:[SH -1 num]]))</f>
        <v/>
      </c>
      <c r="W2222" s="7" t="str">
        <f>IF(ISBLANK(patch[[#This Row],[project]]), "",COUNTIFS($A:$A,patch[[#This Row],[number]],$S:$S, "BJ And dev",$AC:$AC, "Review-1"))</f>
        <v/>
      </c>
      <c r="X2222" s="7" t="str">
        <f>IF(ISBLANK(patch[[#This Row],[project]]), "",COUNTIFS($A:$A,patch[[#This Row],[number]],$S:$S, "FL And dev",$AC:$AC, "Review-1"))</f>
        <v/>
      </c>
      <c r="Y2222" s="7" t="str">
        <f>IF(ISBLANK(patch[[#This Row],[project]]), "",COUNTIFS($A:$A,patch[[#This Row],[number]],$S:$S, "SH And dev",$AC:$AC, "Review-1"))</f>
        <v/>
      </c>
      <c r="Z2222" s="7" t="str">
        <f>IF(ISBLANK(patch[[#This Row],[project]]), "",COUNTIFS($A:$A,patch[[#This Row],[number]],$S:$S, "BJ And dev",$AD:$AD, "&lt;&gt;IntegratorValidationComment"))</f>
        <v/>
      </c>
      <c r="AA2222" s="7" t="str">
        <f>IF(ISBLANK(patch[[#This Row],[project]]), "",COUNTIFS($A:$A,patch[[#This Row],[number]],$S:$S, "FL And dev",$AD:$AD, "&lt;&gt;IntegratorValidationComment"))</f>
        <v/>
      </c>
      <c r="AB2222" s="7" t="str">
        <f>IF(ISBLANK(patch[[#This Row],[project]]), "",COUNTIFS($A:$A,patch[[#This Row],[number]],$S:$S, "SH And dev",$AD:$AD, "&lt;&gt;IntegratorValidationComment"))</f>
        <v/>
      </c>
      <c r="AC2222" s="7" t="str">
        <f>IF(OR(ISNUMBER(FIND("Review-1", patch[[#This Row],[comments]])), ISNUMBER(FIND("Approver-1", patch[[#This Row],[comments]]))), "Review-1", "")</f>
        <v/>
      </c>
      <c r="AD22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22" s="7">
        <f>IF(ISBLANK(patch[[#This Row],[number]]),AE2221,patch[[#This Row],[ifCommon]])</f>
        <v>0</v>
      </c>
    </row>
    <row r="2223" spans="1:31">
      <c r="A2223" s="151">
        <v>142512</v>
      </c>
      <c r="B2223" s="151"/>
      <c r="C2223" s="151"/>
      <c r="D2223" s="151"/>
      <c r="E2223" s="151"/>
      <c r="F2223" s="151"/>
      <c r="G2223" s="151"/>
      <c r="H2223" s="151"/>
      <c r="I2223" s="151"/>
      <c r="J2223" s="152">
        <v>42619.71497685185</v>
      </c>
      <c r="K2223" s="151"/>
      <c r="L2223" s="151" t="s">
        <v>59</v>
      </c>
      <c r="M2223" s="152">
        <v>42618.705810185187</v>
      </c>
      <c r="N2223" s="151" t="s">
        <v>49</v>
      </c>
      <c r="O2223" s="151"/>
      <c r="P2223" s="151"/>
      <c r="Q2223" s="7" t="str">
        <f>IF(ISBLANK(patch[[#This Row],[OwnerEmail]]),Q2222,patch[[#This Row],[OwnerEmail]])</f>
        <v>xiaozhou.liu@intel.com</v>
      </c>
      <c r="R2223" s="7" t="str">
        <f>_xlfn.IFNA(VLOOKUP(patch[[#This Row],[tmp-owner.email]],OrgTree!$A:$K, 11, 0), "not ICG SWFW")</f>
        <v>BJ And dev</v>
      </c>
      <c r="S2223" s="7" t="str">
        <f>IF(patch[[#This Row],[reviewer]]=patch[[#This Row],[tmp-owner.email]], "author", _xlfn.IFNA(VLOOKUP(patch[[#This Row],[reviewer]],OrgTree!$A:$K, 11, 0), "not ICG SWFW"))</f>
        <v>author</v>
      </c>
      <c r="T2223" s="7" t="str">
        <f>IF(ISBLANK(patch[[#This Row],[mergeDate]]), "", MID(YEAR(patch[[#This Row],[mergeDate]]), 3,2)&amp;"'ww"&amp;WEEKNUM(patch[[#This Row],[mergeDate]]))</f>
        <v>16'ww37</v>
      </c>
      <c r="U2223" s="7" t="str">
        <f>IF(ISBLANK(patch[[#This Row],[mergeDate]]), U2222, MID(YEAR(patch[[#This Row],[mergeDate]]), 3,2)&amp;"'m"&amp;MONTH(patch[[#This Row],[mergeDate]]))</f>
        <v>16'm9</v>
      </c>
      <c r="V2223" s="7" t="str">
        <f>IF(ISBLANK(patch[[#This Row],[project]]), "",SUM(patch[[#This Row],[BJ -1 num]:[SH -1 num]]))</f>
        <v/>
      </c>
      <c r="W2223" s="7" t="str">
        <f>IF(ISBLANK(patch[[#This Row],[project]]), "",COUNTIFS($A:$A,patch[[#This Row],[number]],$S:$S, "BJ And dev",$AC:$AC, "Review-1"))</f>
        <v/>
      </c>
      <c r="X2223" s="7" t="str">
        <f>IF(ISBLANK(patch[[#This Row],[project]]), "",COUNTIFS($A:$A,patch[[#This Row],[number]],$S:$S, "FL And dev",$AC:$AC, "Review-1"))</f>
        <v/>
      </c>
      <c r="Y2223" s="7" t="str">
        <f>IF(ISBLANK(patch[[#This Row],[project]]), "",COUNTIFS($A:$A,patch[[#This Row],[number]],$S:$S, "SH And dev",$AC:$AC, "Review-1"))</f>
        <v/>
      </c>
      <c r="Z2223" s="7" t="str">
        <f>IF(ISBLANK(patch[[#This Row],[project]]), "",COUNTIFS($A:$A,patch[[#This Row],[number]],$S:$S, "BJ And dev",$AD:$AD, "&lt;&gt;IntegratorValidationComment"))</f>
        <v/>
      </c>
      <c r="AA2223" s="7" t="str">
        <f>IF(ISBLANK(patch[[#This Row],[project]]), "",COUNTIFS($A:$A,patch[[#This Row],[number]],$S:$S, "FL And dev",$AD:$AD, "&lt;&gt;IntegratorValidationComment"))</f>
        <v/>
      </c>
      <c r="AB2223" s="7" t="str">
        <f>IF(ISBLANK(patch[[#This Row],[project]]), "",COUNTIFS($A:$A,patch[[#This Row],[number]],$S:$S, "SH And dev",$AD:$AD, "&lt;&gt;IntegratorValidationComment"))</f>
        <v/>
      </c>
      <c r="AC2223" s="7" t="str">
        <f>IF(OR(ISNUMBER(FIND("Review-1", patch[[#This Row],[comments]])), ISNUMBER(FIND("Approver-1", patch[[#This Row],[comments]]))), "Review-1", "")</f>
        <v/>
      </c>
      <c r="AD22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23" s="7">
        <f>IF(ISBLANK(patch[[#This Row],[number]]),AE2222,patch[[#This Row],[ifCommon]])</f>
        <v>0</v>
      </c>
    </row>
    <row r="2224" spans="1:31">
      <c r="A2224" s="151">
        <v>142512</v>
      </c>
      <c r="B2224" s="151"/>
      <c r="C2224" s="151"/>
      <c r="D2224" s="151"/>
      <c r="E2224" s="151"/>
      <c r="F2224" s="151"/>
      <c r="G2224" s="151"/>
      <c r="H2224" s="151"/>
      <c r="I2224" s="151"/>
      <c r="J2224" s="152">
        <v>42619.71497685185</v>
      </c>
      <c r="K2224" s="151"/>
      <c r="L2224" s="151" t="s">
        <v>59</v>
      </c>
      <c r="M2224" s="152">
        <v>42618.706458333327</v>
      </c>
      <c r="N2224" s="151" t="s">
        <v>31</v>
      </c>
      <c r="O2224" s="151"/>
      <c r="P2224" s="151"/>
      <c r="Q2224" s="7" t="str">
        <f>IF(ISBLANK(patch[[#This Row],[OwnerEmail]]),Q2223,patch[[#This Row],[OwnerEmail]])</f>
        <v>xiaozhou.liu@intel.com</v>
      </c>
      <c r="R2224" s="7" t="str">
        <f>_xlfn.IFNA(VLOOKUP(patch[[#This Row],[tmp-owner.email]],OrgTree!$A:$K, 11, 0), "not ICG SWFW")</f>
        <v>BJ And dev</v>
      </c>
      <c r="S2224" s="7" t="str">
        <f>IF(patch[[#This Row],[reviewer]]=patch[[#This Row],[tmp-owner.email]], "author", _xlfn.IFNA(VLOOKUP(patch[[#This Row],[reviewer]],OrgTree!$A:$K, 11, 0), "not ICG SWFW"))</f>
        <v>author</v>
      </c>
      <c r="T2224" s="7" t="str">
        <f>IF(ISBLANK(patch[[#This Row],[mergeDate]]), "", MID(YEAR(patch[[#This Row],[mergeDate]]), 3,2)&amp;"'ww"&amp;WEEKNUM(patch[[#This Row],[mergeDate]]))</f>
        <v>16'ww37</v>
      </c>
      <c r="U2224" s="7" t="str">
        <f>IF(ISBLANK(patch[[#This Row],[mergeDate]]), U2223, MID(YEAR(patch[[#This Row],[mergeDate]]), 3,2)&amp;"'m"&amp;MONTH(patch[[#This Row],[mergeDate]]))</f>
        <v>16'm9</v>
      </c>
      <c r="V2224" s="7" t="str">
        <f>IF(ISBLANK(patch[[#This Row],[project]]), "",SUM(patch[[#This Row],[BJ -1 num]:[SH -1 num]]))</f>
        <v/>
      </c>
      <c r="W2224" s="7" t="str">
        <f>IF(ISBLANK(patch[[#This Row],[project]]), "",COUNTIFS($A:$A,patch[[#This Row],[number]],$S:$S, "BJ And dev",$AC:$AC, "Review-1"))</f>
        <v/>
      </c>
      <c r="X2224" s="7" t="str">
        <f>IF(ISBLANK(patch[[#This Row],[project]]), "",COUNTIFS($A:$A,patch[[#This Row],[number]],$S:$S, "FL And dev",$AC:$AC, "Review-1"))</f>
        <v/>
      </c>
      <c r="Y2224" s="7" t="str">
        <f>IF(ISBLANK(patch[[#This Row],[project]]), "",COUNTIFS($A:$A,patch[[#This Row],[number]],$S:$S, "SH And dev",$AC:$AC, "Review-1"))</f>
        <v/>
      </c>
      <c r="Z2224" s="7" t="str">
        <f>IF(ISBLANK(patch[[#This Row],[project]]), "",COUNTIFS($A:$A,patch[[#This Row],[number]],$S:$S, "BJ And dev",$AD:$AD, "&lt;&gt;IntegratorValidationComment"))</f>
        <v/>
      </c>
      <c r="AA2224" s="7" t="str">
        <f>IF(ISBLANK(patch[[#This Row],[project]]), "",COUNTIFS($A:$A,patch[[#This Row],[number]],$S:$S, "FL And dev",$AD:$AD, "&lt;&gt;IntegratorValidationComment"))</f>
        <v/>
      </c>
      <c r="AB2224" s="7" t="str">
        <f>IF(ISBLANK(patch[[#This Row],[project]]), "",COUNTIFS($A:$A,patch[[#This Row],[number]],$S:$S, "SH And dev",$AD:$AD, "&lt;&gt;IntegratorValidationComment"))</f>
        <v/>
      </c>
      <c r="AC2224" s="7" t="str">
        <f>IF(OR(ISNUMBER(FIND("Review-1", patch[[#This Row],[comments]])), ISNUMBER(FIND("Approver-1", patch[[#This Row],[comments]]))), "Review-1", "")</f>
        <v/>
      </c>
      <c r="AD22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24" s="7">
        <f>IF(ISBLANK(patch[[#This Row],[number]]),AE2223,patch[[#This Row],[ifCommon]])</f>
        <v>0</v>
      </c>
    </row>
    <row r="2225" spans="1:31">
      <c r="A2225" s="151">
        <v>142512</v>
      </c>
      <c r="B2225" s="151"/>
      <c r="C2225" s="151"/>
      <c r="D2225" s="151"/>
      <c r="E2225" s="151"/>
      <c r="F2225" s="151"/>
      <c r="G2225" s="151"/>
      <c r="H2225" s="151"/>
      <c r="I2225" s="151"/>
      <c r="J2225" s="152">
        <v>42619.71497685185</v>
      </c>
      <c r="K2225" s="151"/>
      <c r="L2225" s="151" t="s">
        <v>59</v>
      </c>
      <c r="M2225" s="152">
        <v>42618.709687499999</v>
      </c>
      <c r="N2225" s="151" t="s">
        <v>3686</v>
      </c>
      <c r="O2225" s="151"/>
      <c r="P2225" s="151"/>
      <c r="Q2225" s="7" t="str">
        <f>IF(ISBLANK(patch[[#This Row],[OwnerEmail]]),Q2224,patch[[#This Row],[OwnerEmail]])</f>
        <v>xiaozhou.liu@intel.com</v>
      </c>
      <c r="R2225" s="7" t="str">
        <f>_xlfn.IFNA(VLOOKUP(patch[[#This Row],[tmp-owner.email]],OrgTree!$A:$K, 11, 0), "not ICG SWFW")</f>
        <v>BJ And dev</v>
      </c>
      <c r="S2225" s="7" t="str">
        <f>IF(patch[[#This Row],[reviewer]]=patch[[#This Row],[tmp-owner.email]], "author", _xlfn.IFNA(VLOOKUP(patch[[#This Row],[reviewer]],OrgTree!$A:$K, 11, 0), "not ICG SWFW"))</f>
        <v>author</v>
      </c>
      <c r="T2225" s="7" t="str">
        <f>IF(ISBLANK(patch[[#This Row],[mergeDate]]), "", MID(YEAR(patch[[#This Row],[mergeDate]]), 3,2)&amp;"'ww"&amp;WEEKNUM(patch[[#This Row],[mergeDate]]))</f>
        <v>16'ww37</v>
      </c>
      <c r="U2225" s="7" t="str">
        <f>IF(ISBLANK(patch[[#This Row],[mergeDate]]), U2224, MID(YEAR(patch[[#This Row],[mergeDate]]), 3,2)&amp;"'m"&amp;MONTH(patch[[#This Row],[mergeDate]]))</f>
        <v>16'm9</v>
      </c>
      <c r="V2225" s="7" t="str">
        <f>IF(ISBLANK(patch[[#This Row],[project]]), "",SUM(patch[[#This Row],[BJ -1 num]:[SH -1 num]]))</f>
        <v/>
      </c>
      <c r="W2225" s="7" t="str">
        <f>IF(ISBLANK(patch[[#This Row],[project]]), "",COUNTIFS($A:$A,patch[[#This Row],[number]],$S:$S, "BJ And dev",$AC:$AC, "Review-1"))</f>
        <v/>
      </c>
      <c r="X2225" s="7" t="str">
        <f>IF(ISBLANK(patch[[#This Row],[project]]), "",COUNTIFS($A:$A,patch[[#This Row],[number]],$S:$S, "FL And dev",$AC:$AC, "Review-1"))</f>
        <v/>
      </c>
      <c r="Y2225" s="7" t="str">
        <f>IF(ISBLANK(patch[[#This Row],[project]]), "",COUNTIFS($A:$A,patch[[#This Row],[number]],$S:$S, "SH And dev",$AC:$AC, "Review-1"))</f>
        <v/>
      </c>
      <c r="Z2225" s="7" t="str">
        <f>IF(ISBLANK(patch[[#This Row],[project]]), "",COUNTIFS($A:$A,patch[[#This Row],[number]],$S:$S, "BJ And dev",$AD:$AD, "&lt;&gt;IntegratorValidationComment"))</f>
        <v/>
      </c>
      <c r="AA2225" s="7" t="str">
        <f>IF(ISBLANK(patch[[#This Row],[project]]), "",COUNTIFS($A:$A,patch[[#This Row],[number]],$S:$S, "FL And dev",$AD:$AD, "&lt;&gt;IntegratorValidationComment"))</f>
        <v/>
      </c>
      <c r="AB2225" s="7" t="str">
        <f>IF(ISBLANK(patch[[#This Row],[project]]), "",COUNTIFS($A:$A,patch[[#This Row],[number]],$S:$S, "SH And dev",$AD:$AD, "&lt;&gt;IntegratorValidationComment"))</f>
        <v/>
      </c>
      <c r="AC2225" s="7" t="str">
        <f>IF(OR(ISNUMBER(FIND("Review-1", patch[[#This Row],[comments]])), ISNUMBER(FIND("Approver-1", patch[[#This Row],[comments]]))), "Review-1", "")</f>
        <v/>
      </c>
      <c r="AD22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25" s="7">
        <f>IF(ISBLANK(patch[[#This Row],[number]]),AE2224,patch[[#This Row],[ifCommon]])</f>
        <v>0</v>
      </c>
    </row>
    <row r="2226" spans="1:31">
      <c r="A2226" s="151">
        <v>142512</v>
      </c>
      <c r="B2226" s="151"/>
      <c r="C2226" s="151"/>
      <c r="D2226" s="151"/>
      <c r="E2226" s="151"/>
      <c r="F2226" s="151"/>
      <c r="G2226" s="151"/>
      <c r="H2226" s="151"/>
      <c r="I2226" s="151"/>
      <c r="J2226" s="152">
        <v>42619.71497685185</v>
      </c>
      <c r="K2226" s="151"/>
      <c r="L2226" s="151" t="s">
        <v>55</v>
      </c>
      <c r="M2226" s="152">
        <v>42618.742719907408</v>
      </c>
      <c r="N2226" s="151" t="s">
        <v>2530</v>
      </c>
      <c r="O2226" s="151" t="s">
        <v>3687</v>
      </c>
      <c r="P2226" s="151"/>
      <c r="Q2226" s="7" t="str">
        <f>IF(ISBLANK(patch[[#This Row],[OwnerEmail]]),Q2225,patch[[#This Row],[OwnerEmail]])</f>
        <v>xiaozhou.liu@intel.com</v>
      </c>
      <c r="R2226" s="7" t="str">
        <f>_xlfn.IFNA(VLOOKUP(patch[[#This Row],[tmp-owner.email]],OrgTree!$A:$K, 11, 0), "not ICG SWFW")</f>
        <v>BJ And dev</v>
      </c>
      <c r="S2226" s="7" t="str">
        <f>IF(patch[[#This Row],[reviewer]]=patch[[#This Row],[tmp-owner.email]], "author", _xlfn.IFNA(VLOOKUP(patch[[#This Row],[reviewer]],OrgTree!$A:$K, 11, 0), "not ICG SWFW"))</f>
        <v>BJ And dev</v>
      </c>
      <c r="T2226" s="7" t="str">
        <f>IF(ISBLANK(patch[[#This Row],[mergeDate]]), "", MID(YEAR(patch[[#This Row],[mergeDate]]), 3,2)&amp;"'ww"&amp;WEEKNUM(patch[[#This Row],[mergeDate]]))</f>
        <v>16'ww37</v>
      </c>
      <c r="U2226" s="7" t="str">
        <f>IF(ISBLANK(patch[[#This Row],[mergeDate]]), U2225, MID(YEAR(patch[[#This Row],[mergeDate]]), 3,2)&amp;"'m"&amp;MONTH(patch[[#This Row],[mergeDate]]))</f>
        <v>16'm9</v>
      </c>
      <c r="V2226" s="7" t="str">
        <f>IF(ISBLANK(patch[[#This Row],[project]]), "",SUM(patch[[#This Row],[BJ -1 num]:[SH -1 num]]))</f>
        <v/>
      </c>
      <c r="W2226" s="7" t="str">
        <f>IF(ISBLANK(patch[[#This Row],[project]]), "",COUNTIFS($A:$A,patch[[#This Row],[number]],$S:$S, "BJ And dev",$AC:$AC, "Review-1"))</f>
        <v/>
      </c>
      <c r="X2226" s="7" t="str">
        <f>IF(ISBLANK(patch[[#This Row],[project]]), "",COUNTIFS($A:$A,patch[[#This Row],[number]],$S:$S, "FL And dev",$AC:$AC, "Review-1"))</f>
        <v/>
      </c>
      <c r="Y2226" s="7" t="str">
        <f>IF(ISBLANK(patch[[#This Row],[project]]), "",COUNTIFS($A:$A,patch[[#This Row],[number]],$S:$S, "SH And dev",$AC:$AC, "Review-1"))</f>
        <v/>
      </c>
      <c r="Z2226" s="7" t="str">
        <f>IF(ISBLANK(patch[[#This Row],[project]]), "",COUNTIFS($A:$A,patch[[#This Row],[number]],$S:$S, "BJ And dev",$AD:$AD, "&lt;&gt;IntegratorValidationComment"))</f>
        <v/>
      </c>
      <c r="AA2226" s="7" t="str">
        <f>IF(ISBLANK(patch[[#This Row],[project]]), "",COUNTIFS($A:$A,patch[[#This Row],[number]],$S:$S, "FL And dev",$AD:$AD, "&lt;&gt;IntegratorValidationComment"))</f>
        <v/>
      </c>
      <c r="AB2226" s="7" t="str">
        <f>IF(ISBLANK(patch[[#This Row],[project]]), "",COUNTIFS($A:$A,patch[[#This Row],[number]],$S:$S, "SH And dev",$AD:$AD, "&lt;&gt;IntegratorValidationComment"))</f>
        <v/>
      </c>
      <c r="AC2226" s="7" t="str">
        <f>IF(OR(ISNUMBER(FIND("Review-1", patch[[#This Row],[comments]])), ISNUMBER(FIND("Approver-1", patch[[#This Row],[comments]]))), "Review-1", "")</f>
        <v/>
      </c>
      <c r="AD22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26" s="7">
        <f>IF(ISBLANK(patch[[#This Row],[number]]),AE2225,patch[[#This Row],[ifCommon]])</f>
        <v>0</v>
      </c>
    </row>
    <row r="2227" spans="1:31">
      <c r="A2227" s="151">
        <v>142512</v>
      </c>
      <c r="B2227" s="151"/>
      <c r="C2227" s="151"/>
      <c r="D2227" s="151"/>
      <c r="E2227" s="151"/>
      <c r="F2227" s="151"/>
      <c r="G2227" s="151"/>
      <c r="H2227" s="151"/>
      <c r="I2227" s="151"/>
      <c r="J2227" s="152">
        <v>42619.71497685185</v>
      </c>
      <c r="K2227" s="151"/>
      <c r="L2227" s="151" t="s">
        <v>59</v>
      </c>
      <c r="M2227" s="152">
        <v>42618.74732638889</v>
      </c>
      <c r="N2227" s="151" t="s">
        <v>2453</v>
      </c>
      <c r="O2227" s="151"/>
      <c r="P2227" s="151"/>
      <c r="Q2227" s="7" t="str">
        <f>IF(ISBLANK(patch[[#This Row],[OwnerEmail]]),Q2226,patch[[#This Row],[OwnerEmail]])</f>
        <v>xiaozhou.liu@intel.com</v>
      </c>
      <c r="R2227" s="7" t="str">
        <f>_xlfn.IFNA(VLOOKUP(patch[[#This Row],[tmp-owner.email]],OrgTree!$A:$K, 11, 0), "not ICG SWFW")</f>
        <v>BJ And dev</v>
      </c>
      <c r="S2227" s="7" t="str">
        <f>IF(patch[[#This Row],[reviewer]]=patch[[#This Row],[tmp-owner.email]], "author", _xlfn.IFNA(VLOOKUP(patch[[#This Row],[reviewer]],OrgTree!$A:$K, 11, 0), "not ICG SWFW"))</f>
        <v>author</v>
      </c>
      <c r="T2227" s="7" t="str">
        <f>IF(ISBLANK(patch[[#This Row],[mergeDate]]), "", MID(YEAR(patch[[#This Row],[mergeDate]]), 3,2)&amp;"'ww"&amp;WEEKNUM(patch[[#This Row],[mergeDate]]))</f>
        <v>16'ww37</v>
      </c>
      <c r="U2227" s="7" t="str">
        <f>IF(ISBLANK(patch[[#This Row],[mergeDate]]), U2226, MID(YEAR(patch[[#This Row],[mergeDate]]), 3,2)&amp;"'m"&amp;MONTH(patch[[#This Row],[mergeDate]]))</f>
        <v>16'm9</v>
      </c>
      <c r="V2227" s="7" t="str">
        <f>IF(ISBLANK(patch[[#This Row],[project]]), "",SUM(patch[[#This Row],[BJ -1 num]:[SH -1 num]]))</f>
        <v/>
      </c>
      <c r="W2227" s="7" t="str">
        <f>IF(ISBLANK(patch[[#This Row],[project]]), "",COUNTIFS($A:$A,patch[[#This Row],[number]],$S:$S, "BJ And dev",$AC:$AC, "Review-1"))</f>
        <v/>
      </c>
      <c r="X2227" s="7" t="str">
        <f>IF(ISBLANK(patch[[#This Row],[project]]), "",COUNTIFS($A:$A,patch[[#This Row],[number]],$S:$S, "FL And dev",$AC:$AC, "Review-1"))</f>
        <v/>
      </c>
      <c r="Y2227" s="7" t="str">
        <f>IF(ISBLANK(patch[[#This Row],[project]]), "",COUNTIFS($A:$A,patch[[#This Row],[number]],$S:$S, "SH And dev",$AC:$AC, "Review-1"))</f>
        <v/>
      </c>
      <c r="Z2227" s="7" t="str">
        <f>IF(ISBLANK(patch[[#This Row],[project]]), "",COUNTIFS($A:$A,patch[[#This Row],[number]],$S:$S, "BJ And dev",$AD:$AD, "&lt;&gt;IntegratorValidationComment"))</f>
        <v/>
      </c>
      <c r="AA2227" s="7" t="str">
        <f>IF(ISBLANK(patch[[#This Row],[project]]), "",COUNTIFS($A:$A,patch[[#This Row],[number]],$S:$S, "FL And dev",$AD:$AD, "&lt;&gt;IntegratorValidationComment"))</f>
        <v/>
      </c>
      <c r="AB2227" s="7" t="str">
        <f>IF(ISBLANK(patch[[#This Row],[project]]), "",COUNTIFS($A:$A,patch[[#This Row],[number]],$S:$S, "SH And dev",$AD:$AD, "&lt;&gt;IntegratorValidationComment"))</f>
        <v/>
      </c>
      <c r="AC2227" s="7" t="str">
        <f>IF(OR(ISNUMBER(FIND("Review-1", patch[[#This Row],[comments]])), ISNUMBER(FIND("Approver-1", patch[[#This Row],[comments]]))), "Review-1", "")</f>
        <v/>
      </c>
      <c r="AD22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27" s="7">
        <f>IF(ISBLANK(patch[[#This Row],[number]]),AE2226,patch[[#This Row],[ifCommon]])</f>
        <v>0</v>
      </c>
    </row>
    <row r="2228" spans="1:31">
      <c r="A2228" s="151">
        <v>142512</v>
      </c>
      <c r="B2228" s="151"/>
      <c r="C2228" s="151"/>
      <c r="D2228" s="151"/>
      <c r="E2228" s="151"/>
      <c r="F2228" s="151"/>
      <c r="G2228" s="151"/>
      <c r="H2228" s="151"/>
      <c r="I2228" s="151"/>
      <c r="J2228" s="152">
        <v>42619.71497685185</v>
      </c>
      <c r="K2228" s="151"/>
      <c r="L2228" s="151" t="s">
        <v>59</v>
      </c>
      <c r="M2228" s="152">
        <v>42618.74732638889</v>
      </c>
      <c r="N2228" s="151" t="s">
        <v>1855</v>
      </c>
      <c r="O2228" s="151"/>
      <c r="P2228" s="151"/>
      <c r="Q2228" s="7" t="str">
        <f>IF(ISBLANK(patch[[#This Row],[OwnerEmail]]),Q2227,patch[[#This Row],[OwnerEmail]])</f>
        <v>xiaozhou.liu@intel.com</v>
      </c>
      <c r="R2228" s="7" t="str">
        <f>_xlfn.IFNA(VLOOKUP(patch[[#This Row],[tmp-owner.email]],OrgTree!$A:$K, 11, 0), "not ICG SWFW")</f>
        <v>BJ And dev</v>
      </c>
      <c r="S2228" s="7" t="str">
        <f>IF(patch[[#This Row],[reviewer]]=patch[[#This Row],[tmp-owner.email]], "author", _xlfn.IFNA(VLOOKUP(patch[[#This Row],[reviewer]],OrgTree!$A:$K, 11, 0), "not ICG SWFW"))</f>
        <v>author</v>
      </c>
      <c r="T2228" s="7" t="str">
        <f>IF(ISBLANK(patch[[#This Row],[mergeDate]]), "", MID(YEAR(patch[[#This Row],[mergeDate]]), 3,2)&amp;"'ww"&amp;WEEKNUM(patch[[#This Row],[mergeDate]]))</f>
        <v>16'ww37</v>
      </c>
      <c r="U2228" s="7" t="str">
        <f>IF(ISBLANK(patch[[#This Row],[mergeDate]]), U2227, MID(YEAR(patch[[#This Row],[mergeDate]]), 3,2)&amp;"'m"&amp;MONTH(patch[[#This Row],[mergeDate]]))</f>
        <v>16'm9</v>
      </c>
      <c r="V2228" s="7" t="str">
        <f>IF(ISBLANK(patch[[#This Row],[project]]), "",SUM(patch[[#This Row],[BJ -1 num]:[SH -1 num]]))</f>
        <v/>
      </c>
      <c r="W2228" s="7" t="str">
        <f>IF(ISBLANK(patch[[#This Row],[project]]), "",COUNTIFS($A:$A,patch[[#This Row],[number]],$S:$S, "BJ And dev",$AC:$AC, "Review-1"))</f>
        <v/>
      </c>
      <c r="X2228" s="7" t="str">
        <f>IF(ISBLANK(patch[[#This Row],[project]]), "",COUNTIFS($A:$A,patch[[#This Row],[number]],$S:$S, "FL And dev",$AC:$AC, "Review-1"))</f>
        <v/>
      </c>
      <c r="Y2228" s="7" t="str">
        <f>IF(ISBLANK(patch[[#This Row],[project]]), "",COUNTIFS($A:$A,patch[[#This Row],[number]],$S:$S, "SH And dev",$AC:$AC, "Review-1"))</f>
        <v/>
      </c>
      <c r="Z2228" s="7" t="str">
        <f>IF(ISBLANK(patch[[#This Row],[project]]), "",COUNTIFS($A:$A,patch[[#This Row],[number]],$S:$S, "BJ And dev",$AD:$AD, "&lt;&gt;IntegratorValidationComment"))</f>
        <v/>
      </c>
      <c r="AA2228" s="7" t="str">
        <f>IF(ISBLANK(patch[[#This Row],[project]]), "",COUNTIFS($A:$A,patch[[#This Row],[number]],$S:$S, "FL And dev",$AD:$AD, "&lt;&gt;IntegratorValidationComment"))</f>
        <v/>
      </c>
      <c r="AB2228" s="7" t="str">
        <f>IF(ISBLANK(patch[[#This Row],[project]]), "",COUNTIFS($A:$A,patch[[#This Row],[number]],$S:$S, "SH And dev",$AD:$AD, "&lt;&gt;IntegratorValidationComment"))</f>
        <v/>
      </c>
      <c r="AC2228" s="7" t="str">
        <f>IF(OR(ISNUMBER(FIND("Review-1", patch[[#This Row],[comments]])), ISNUMBER(FIND("Approver-1", patch[[#This Row],[comments]]))), "Review-1", "")</f>
        <v/>
      </c>
      <c r="AD22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28" s="7">
        <f>IF(ISBLANK(patch[[#This Row],[number]]),AE2227,patch[[#This Row],[ifCommon]])</f>
        <v>0</v>
      </c>
    </row>
    <row r="2229" spans="1:31">
      <c r="A2229" s="151">
        <v>142512</v>
      </c>
      <c r="B2229" s="151"/>
      <c r="C2229" s="151"/>
      <c r="D2229" s="151"/>
      <c r="E2229" s="151"/>
      <c r="F2229" s="151"/>
      <c r="G2229" s="151"/>
      <c r="H2229" s="151"/>
      <c r="I2229" s="151"/>
      <c r="J2229" s="152">
        <v>42619.71497685185</v>
      </c>
      <c r="K2229" s="151"/>
      <c r="L2229" s="151" t="s">
        <v>59</v>
      </c>
      <c r="M2229" s="152">
        <v>42618.747395833343</v>
      </c>
      <c r="N2229" s="151" t="s">
        <v>2530</v>
      </c>
      <c r="O2229" s="151" t="s">
        <v>3688</v>
      </c>
      <c r="P2229" s="151"/>
      <c r="Q2229" s="7" t="str">
        <f>IF(ISBLANK(patch[[#This Row],[OwnerEmail]]),Q2228,patch[[#This Row],[OwnerEmail]])</f>
        <v>xiaozhou.liu@intel.com</v>
      </c>
      <c r="R2229" s="7" t="str">
        <f>_xlfn.IFNA(VLOOKUP(patch[[#This Row],[tmp-owner.email]],OrgTree!$A:$K, 11, 0), "not ICG SWFW")</f>
        <v>BJ And dev</v>
      </c>
      <c r="S2229" s="7" t="str">
        <f>IF(patch[[#This Row],[reviewer]]=patch[[#This Row],[tmp-owner.email]], "author", _xlfn.IFNA(VLOOKUP(patch[[#This Row],[reviewer]],OrgTree!$A:$K, 11, 0), "not ICG SWFW"))</f>
        <v>author</v>
      </c>
      <c r="T2229" s="7" t="str">
        <f>IF(ISBLANK(patch[[#This Row],[mergeDate]]), "", MID(YEAR(patch[[#This Row],[mergeDate]]), 3,2)&amp;"'ww"&amp;WEEKNUM(patch[[#This Row],[mergeDate]]))</f>
        <v>16'ww37</v>
      </c>
      <c r="U2229" s="7" t="str">
        <f>IF(ISBLANK(patch[[#This Row],[mergeDate]]), U2228, MID(YEAR(patch[[#This Row],[mergeDate]]), 3,2)&amp;"'m"&amp;MONTH(patch[[#This Row],[mergeDate]]))</f>
        <v>16'm9</v>
      </c>
      <c r="V2229" s="7" t="str">
        <f>IF(ISBLANK(patch[[#This Row],[project]]), "",SUM(patch[[#This Row],[BJ -1 num]:[SH -1 num]]))</f>
        <v/>
      </c>
      <c r="W2229" s="7" t="str">
        <f>IF(ISBLANK(patch[[#This Row],[project]]), "",COUNTIFS($A:$A,patch[[#This Row],[number]],$S:$S, "BJ And dev",$AC:$AC, "Review-1"))</f>
        <v/>
      </c>
      <c r="X2229" s="7" t="str">
        <f>IF(ISBLANK(patch[[#This Row],[project]]), "",COUNTIFS($A:$A,patch[[#This Row],[number]],$S:$S, "FL And dev",$AC:$AC, "Review-1"))</f>
        <v/>
      </c>
      <c r="Y2229" s="7" t="str">
        <f>IF(ISBLANK(patch[[#This Row],[project]]), "",COUNTIFS($A:$A,patch[[#This Row],[number]],$S:$S, "SH And dev",$AC:$AC, "Review-1"))</f>
        <v/>
      </c>
      <c r="Z2229" s="7" t="str">
        <f>IF(ISBLANK(patch[[#This Row],[project]]), "",COUNTIFS($A:$A,patch[[#This Row],[number]],$S:$S, "BJ And dev",$AD:$AD, "&lt;&gt;IntegratorValidationComment"))</f>
        <v/>
      </c>
      <c r="AA2229" s="7" t="str">
        <f>IF(ISBLANK(patch[[#This Row],[project]]), "",COUNTIFS($A:$A,patch[[#This Row],[number]],$S:$S, "FL And dev",$AD:$AD, "&lt;&gt;IntegratorValidationComment"))</f>
        <v/>
      </c>
      <c r="AB2229" s="7" t="str">
        <f>IF(ISBLANK(patch[[#This Row],[project]]), "",COUNTIFS($A:$A,patch[[#This Row],[number]],$S:$S, "SH And dev",$AD:$AD, "&lt;&gt;IntegratorValidationComment"))</f>
        <v/>
      </c>
      <c r="AC2229" s="7" t="str">
        <f>IF(OR(ISNUMBER(FIND("Review-1", patch[[#This Row],[comments]])), ISNUMBER(FIND("Approver-1", patch[[#This Row],[comments]]))), "Review-1", "")</f>
        <v/>
      </c>
      <c r="AD22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29" s="7">
        <f>IF(ISBLANK(patch[[#This Row],[number]]),AE2228,patch[[#This Row],[ifCommon]])</f>
        <v>0</v>
      </c>
    </row>
    <row r="2230" spans="1:31">
      <c r="A2230" s="151">
        <v>142512</v>
      </c>
      <c r="B2230" s="151"/>
      <c r="C2230" s="151"/>
      <c r="D2230" s="151"/>
      <c r="E2230" s="151"/>
      <c r="F2230" s="151"/>
      <c r="G2230" s="151"/>
      <c r="H2230" s="151"/>
      <c r="I2230" s="151"/>
      <c r="J2230" s="152">
        <v>42619.71497685185</v>
      </c>
      <c r="K2230" s="151"/>
      <c r="L2230" s="151" t="s">
        <v>59</v>
      </c>
      <c r="M2230" s="152">
        <v>42618.747534722221</v>
      </c>
      <c r="N2230" s="151" t="s">
        <v>1853</v>
      </c>
      <c r="O2230" s="151"/>
      <c r="P2230" s="151"/>
      <c r="Q2230" s="7" t="str">
        <f>IF(ISBLANK(patch[[#This Row],[OwnerEmail]]),Q2229,patch[[#This Row],[OwnerEmail]])</f>
        <v>xiaozhou.liu@intel.com</v>
      </c>
      <c r="R2230" s="7" t="str">
        <f>_xlfn.IFNA(VLOOKUP(patch[[#This Row],[tmp-owner.email]],OrgTree!$A:$K, 11, 0), "not ICG SWFW")</f>
        <v>BJ And dev</v>
      </c>
      <c r="S2230" s="7" t="str">
        <f>IF(patch[[#This Row],[reviewer]]=patch[[#This Row],[tmp-owner.email]], "author", _xlfn.IFNA(VLOOKUP(patch[[#This Row],[reviewer]],OrgTree!$A:$K, 11, 0), "not ICG SWFW"))</f>
        <v>author</v>
      </c>
      <c r="T2230" s="7" t="str">
        <f>IF(ISBLANK(patch[[#This Row],[mergeDate]]), "", MID(YEAR(patch[[#This Row],[mergeDate]]), 3,2)&amp;"'ww"&amp;WEEKNUM(patch[[#This Row],[mergeDate]]))</f>
        <v>16'ww37</v>
      </c>
      <c r="U2230" s="7" t="str">
        <f>IF(ISBLANK(patch[[#This Row],[mergeDate]]), U2229, MID(YEAR(patch[[#This Row],[mergeDate]]), 3,2)&amp;"'m"&amp;MONTH(patch[[#This Row],[mergeDate]]))</f>
        <v>16'm9</v>
      </c>
      <c r="V2230" s="7" t="str">
        <f>IF(ISBLANK(patch[[#This Row],[project]]), "",SUM(patch[[#This Row],[BJ -1 num]:[SH -1 num]]))</f>
        <v/>
      </c>
      <c r="W2230" s="7" t="str">
        <f>IF(ISBLANK(patch[[#This Row],[project]]), "",COUNTIFS($A:$A,patch[[#This Row],[number]],$S:$S, "BJ And dev",$AC:$AC, "Review-1"))</f>
        <v/>
      </c>
      <c r="X2230" s="7" t="str">
        <f>IF(ISBLANK(patch[[#This Row],[project]]), "",COUNTIFS($A:$A,patch[[#This Row],[number]],$S:$S, "FL And dev",$AC:$AC, "Review-1"))</f>
        <v/>
      </c>
      <c r="Y2230" s="7" t="str">
        <f>IF(ISBLANK(patch[[#This Row],[project]]), "",COUNTIFS($A:$A,patch[[#This Row],[number]],$S:$S, "SH And dev",$AC:$AC, "Review-1"))</f>
        <v/>
      </c>
      <c r="Z2230" s="7" t="str">
        <f>IF(ISBLANK(patch[[#This Row],[project]]), "",COUNTIFS($A:$A,patch[[#This Row],[number]],$S:$S, "BJ And dev",$AD:$AD, "&lt;&gt;IntegratorValidationComment"))</f>
        <v/>
      </c>
      <c r="AA2230" s="7" t="str">
        <f>IF(ISBLANK(patch[[#This Row],[project]]), "",COUNTIFS($A:$A,patch[[#This Row],[number]],$S:$S, "FL And dev",$AD:$AD, "&lt;&gt;IntegratorValidationComment"))</f>
        <v/>
      </c>
      <c r="AB2230" s="7" t="str">
        <f>IF(ISBLANK(patch[[#This Row],[project]]), "",COUNTIFS($A:$A,patch[[#This Row],[number]],$S:$S, "SH And dev",$AD:$AD, "&lt;&gt;IntegratorValidationComment"))</f>
        <v/>
      </c>
      <c r="AC2230" s="7" t="str">
        <f>IF(OR(ISNUMBER(FIND("Review-1", patch[[#This Row],[comments]])), ISNUMBER(FIND("Approver-1", patch[[#This Row],[comments]]))), "Review-1", "")</f>
        <v/>
      </c>
      <c r="AD22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30" s="7">
        <f>IF(ISBLANK(patch[[#This Row],[number]]),AE2229,patch[[#This Row],[ifCommon]])</f>
        <v>0</v>
      </c>
    </row>
    <row r="2231" spans="1:31">
      <c r="A2231" s="151">
        <v>142512</v>
      </c>
      <c r="B2231" s="151"/>
      <c r="C2231" s="151"/>
      <c r="D2231" s="151"/>
      <c r="E2231" s="151"/>
      <c r="F2231" s="151"/>
      <c r="G2231" s="151"/>
      <c r="H2231" s="151"/>
      <c r="I2231" s="151"/>
      <c r="J2231" s="152">
        <v>42619.71497685185</v>
      </c>
      <c r="K2231" s="151"/>
      <c r="L2231" s="151" t="s">
        <v>55</v>
      </c>
      <c r="M2231" s="152">
        <v>42618.748043981483</v>
      </c>
      <c r="N2231" s="151" t="s">
        <v>1853</v>
      </c>
      <c r="O2231" s="151"/>
      <c r="P2231" s="151"/>
      <c r="Q2231" s="7" t="str">
        <f>IF(ISBLANK(patch[[#This Row],[OwnerEmail]]),Q2230,patch[[#This Row],[OwnerEmail]])</f>
        <v>xiaozhou.liu@intel.com</v>
      </c>
      <c r="R2231" s="7" t="str">
        <f>_xlfn.IFNA(VLOOKUP(patch[[#This Row],[tmp-owner.email]],OrgTree!$A:$K, 11, 0), "not ICG SWFW")</f>
        <v>BJ And dev</v>
      </c>
      <c r="S2231" s="7" t="str">
        <f>IF(patch[[#This Row],[reviewer]]=patch[[#This Row],[tmp-owner.email]], "author", _xlfn.IFNA(VLOOKUP(patch[[#This Row],[reviewer]],OrgTree!$A:$K, 11, 0), "not ICG SWFW"))</f>
        <v>BJ And dev</v>
      </c>
      <c r="T2231" s="7" t="str">
        <f>IF(ISBLANK(patch[[#This Row],[mergeDate]]), "", MID(YEAR(patch[[#This Row],[mergeDate]]), 3,2)&amp;"'ww"&amp;WEEKNUM(patch[[#This Row],[mergeDate]]))</f>
        <v>16'ww37</v>
      </c>
      <c r="U2231" s="7" t="str">
        <f>IF(ISBLANK(patch[[#This Row],[mergeDate]]), U2230, MID(YEAR(patch[[#This Row],[mergeDate]]), 3,2)&amp;"'m"&amp;MONTH(patch[[#This Row],[mergeDate]]))</f>
        <v>16'm9</v>
      </c>
      <c r="V2231" s="7" t="str">
        <f>IF(ISBLANK(patch[[#This Row],[project]]), "",SUM(patch[[#This Row],[BJ -1 num]:[SH -1 num]]))</f>
        <v/>
      </c>
      <c r="W2231" s="7" t="str">
        <f>IF(ISBLANK(patch[[#This Row],[project]]), "",COUNTIFS($A:$A,patch[[#This Row],[number]],$S:$S, "BJ And dev",$AC:$AC, "Review-1"))</f>
        <v/>
      </c>
      <c r="X2231" s="7" t="str">
        <f>IF(ISBLANK(patch[[#This Row],[project]]), "",COUNTIFS($A:$A,patch[[#This Row],[number]],$S:$S, "FL And dev",$AC:$AC, "Review-1"))</f>
        <v/>
      </c>
      <c r="Y2231" s="7" t="str">
        <f>IF(ISBLANK(patch[[#This Row],[project]]), "",COUNTIFS($A:$A,patch[[#This Row],[number]],$S:$S, "SH And dev",$AC:$AC, "Review-1"))</f>
        <v/>
      </c>
      <c r="Z2231" s="7" t="str">
        <f>IF(ISBLANK(patch[[#This Row],[project]]), "",COUNTIFS($A:$A,patch[[#This Row],[number]],$S:$S, "BJ And dev",$AD:$AD, "&lt;&gt;IntegratorValidationComment"))</f>
        <v/>
      </c>
      <c r="AA2231" s="7" t="str">
        <f>IF(ISBLANK(patch[[#This Row],[project]]), "",COUNTIFS($A:$A,patch[[#This Row],[number]],$S:$S, "FL And dev",$AD:$AD, "&lt;&gt;IntegratorValidationComment"))</f>
        <v/>
      </c>
      <c r="AB2231" s="7" t="str">
        <f>IF(ISBLANK(patch[[#This Row],[project]]), "",COUNTIFS($A:$A,patch[[#This Row],[number]],$S:$S, "SH And dev",$AD:$AD, "&lt;&gt;IntegratorValidationComment"))</f>
        <v/>
      </c>
      <c r="AC2231" s="7" t="str">
        <f>IF(OR(ISNUMBER(FIND("Review-1", patch[[#This Row],[comments]])), ISNUMBER(FIND("Approver-1", patch[[#This Row],[comments]]))), "Review-1", "")</f>
        <v/>
      </c>
      <c r="AD22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31" s="7">
        <f>IF(ISBLANK(patch[[#This Row],[number]]),AE2230,patch[[#This Row],[ifCommon]])</f>
        <v>0</v>
      </c>
    </row>
    <row r="2232" spans="1:31">
      <c r="A2232" s="151">
        <v>142512</v>
      </c>
      <c r="B2232" s="151"/>
      <c r="C2232" s="151"/>
      <c r="D2232" s="151"/>
      <c r="E2232" s="151"/>
      <c r="F2232" s="151"/>
      <c r="G2232" s="151"/>
      <c r="H2232" s="151"/>
      <c r="I2232" s="151"/>
      <c r="J2232" s="152">
        <v>42619.71497685185</v>
      </c>
      <c r="K2232" s="151"/>
      <c r="L2232" s="151" t="s">
        <v>59</v>
      </c>
      <c r="M2232" s="152">
        <v>42618.786273148151</v>
      </c>
      <c r="N2232" s="151" t="s">
        <v>3689</v>
      </c>
      <c r="O2232" s="151"/>
      <c r="P2232" s="151"/>
      <c r="Q2232" s="7" t="str">
        <f>IF(ISBLANK(patch[[#This Row],[OwnerEmail]]),Q2231,patch[[#This Row],[OwnerEmail]])</f>
        <v>xiaozhou.liu@intel.com</v>
      </c>
      <c r="R2232" s="7" t="str">
        <f>_xlfn.IFNA(VLOOKUP(patch[[#This Row],[tmp-owner.email]],OrgTree!$A:$K, 11, 0), "not ICG SWFW")</f>
        <v>BJ And dev</v>
      </c>
      <c r="S2232" s="7" t="str">
        <f>IF(patch[[#This Row],[reviewer]]=patch[[#This Row],[tmp-owner.email]], "author", _xlfn.IFNA(VLOOKUP(patch[[#This Row],[reviewer]],OrgTree!$A:$K, 11, 0), "not ICG SWFW"))</f>
        <v>author</v>
      </c>
      <c r="T2232" s="7" t="str">
        <f>IF(ISBLANK(patch[[#This Row],[mergeDate]]), "", MID(YEAR(patch[[#This Row],[mergeDate]]), 3,2)&amp;"'ww"&amp;WEEKNUM(patch[[#This Row],[mergeDate]]))</f>
        <v>16'ww37</v>
      </c>
      <c r="U2232" s="7" t="str">
        <f>IF(ISBLANK(patch[[#This Row],[mergeDate]]), U2231, MID(YEAR(patch[[#This Row],[mergeDate]]), 3,2)&amp;"'m"&amp;MONTH(patch[[#This Row],[mergeDate]]))</f>
        <v>16'm9</v>
      </c>
      <c r="V2232" s="7" t="str">
        <f>IF(ISBLANK(patch[[#This Row],[project]]), "",SUM(patch[[#This Row],[BJ -1 num]:[SH -1 num]]))</f>
        <v/>
      </c>
      <c r="W2232" s="7" t="str">
        <f>IF(ISBLANK(patch[[#This Row],[project]]), "",COUNTIFS($A:$A,patch[[#This Row],[number]],$S:$S, "BJ And dev",$AC:$AC, "Review-1"))</f>
        <v/>
      </c>
      <c r="X2232" s="7" t="str">
        <f>IF(ISBLANK(patch[[#This Row],[project]]), "",COUNTIFS($A:$A,patch[[#This Row],[number]],$S:$S, "FL And dev",$AC:$AC, "Review-1"))</f>
        <v/>
      </c>
      <c r="Y2232" s="7" t="str">
        <f>IF(ISBLANK(patch[[#This Row],[project]]), "",COUNTIFS($A:$A,patch[[#This Row],[number]],$S:$S, "SH And dev",$AC:$AC, "Review-1"))</f>
        <v/>
      </c>
      <c r="Z2232" s="7" t="str">
        <f>IF(ISBLANK(patch[[#This Row],[project]]), "",COUNTIFS($A:$A,patch[[#This Row],[number]],$S:$S, "BJ And dev",$AD:$AD, "&lt;&gt;IntegratorValidationComment"))</f>
        <v/>
      </c>
      <c r="AA2232" s="7" t="str">
        <f>IF(ISBLANK(patch[[#This Row],[project]]), "",COUNTIFS($A:$A,patch[[#This Row],[number]],$S:$S, "FL And dev",$AD:$AD, "&lt;&gt;IntegratorValidationComment"))</f>
        <v/>
      </c>
      <c r="AB2232" s="7" t="str">
        <f>IF(ISBLANK(patch[[#This Row],[project]]), "",COUNTIFS($A:$A,patch[[#This Row],[number]],$S:$S, "SH And dev",$AD:$AD, "&lt;&gt;IntegratorValidationComment"))</f>
        <v/>
      </c>
      <c r="AC2232" s="7" t="str">
        <f>IF(OR(ISNUMBER(FIND("Review-1", patch[[#This Row],[comments]])), ISNUMBER(FIND("Approver-1", patch[[#This Row],[comments]]))), "Review-1", "")</f>
        <v/>
      </c>
      <c r="AD22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32" s="7">
        <f>IF(ISBLANK(patch[[#This Row],[number]]),AE2231,patch[[#This Row],[ifCommon]])</f>
        <v>0</v>
      </c>
    </row>
    <row r="2233" spans="1:31">
      <c r="A2233" s="151">
        <v>142512</v>
      </c>
      <c r="B2233" s="151"/>
      <c r="C2233" s="151"/>
      <c r="D2233" s="151"/>
      <c r="E2233" s="151"/>
      <c r="F2233" s="151"/>
      <c r="G2233" s="151"/>
      <c r="H2233" s="151"/>
      <c r="I2233" s="151"/>
      <c r="J2233" s="152">
        <v>42619.71497685185</v>
      </c>
      <c r="K2233" s="151"/>
      <c r="L2233" s="151" t="s">
        <v>24</v>
      </c>
      <c r="M2233" s="152">
        <v>42618.810925925929</v>
      </c>
      <c r="N2233" s="151" t="s">
        <v>2486</v>
      </c>
      <c r="O2233" s="151"/>
      <c r="P2233" s="151"/>
      <c r="Q2233" s="7" t="str">
        <f>IF(ISBLANK(patch[[#This Row],[OwnerEmail]]),Q2232,patch[[#This Row],[OwnerEmail]])</f>
        <v>xiaozhou.liu@intel.com</v>
      </c>
      <c r="R2233" s="7" t="str">
        <f>_xlfn.IFNA(VLOOKUP(patch[[#This Row],[tmp-owner.email]],OrgTree!$A:$K, 11, 0), "not ICG SWFW")</f>
        <v>BJ And dev</v>
      </c>
      <c r="S2233" s="7" t="str">
        <f>IF(patch[[#This Row],[reviewer]]=patch[[#This Row],[tmp-owner.email]], "author", _xlfn.IFNA(VLOOKUP(patch[[#This Row],[reviewer]],OrgTree!$A:$K, 11, 0), "not ICG SWFW"))</f>
        <v>BJ And dev</v>
      </c>
      <c r="T2233" s="7" t="str">
        <f>IF(ISBLANK(patch[[#This Row],[mergeDate]]), "", MID(YEAR(patch[[#This Row],[mergeDate]]), 3,2)&amp;"'ww"&amp;WEEKNUM(patch[[#This Row],[mergeDate]]))</f>
        <v>16'ww37</v>
      </c>
      <c r="U2233" s="7" t="str">
        <f>IF(ISBLANK(patch[[#This Row],[mergeDate]]), U2232, MID(YEAR(patch[[#This Row],[mergeDate]]), 3,2)&amp;"'m"&amp;MONTH(patch[[#This Row],[mergeDate]]))</f>
        <v>16'm9</v>
      </c>
      <c r="V2233" s="7" t="str">
        <f>IF(ISBLANK(patch[[#This Row],[project]]), "",SUM(patch[[#This Row],[BJ -1 num]:[SH -1 num]]))</f>
        <v/>
      </c>
      <c r="W2233" s="7" t="str">
        <f>IF(ISBLANK(patch[[#This Row],[project]]), "",COUNTIFS($A:$A,patch[[#This Row],[number]],$S:$S, "BJ And dev",$AC:$AC, "Review-1"))</f>
        <v/>
      </c>
      <c r="X2233" s="7" t="str">
        <f>IF(ISBLANK(patch[[#This Row],[project]]), "",COUNTIFS($A:$A,patch[[#This Row],[number]],$S:$S, "FL And dev",$AC:$AC, "Review-1"))</f>
        <v/>
      </c>
      <c r="Y2233" s="7" t="str">
        <f>IF(ISBLANK(patch[[#This Row],[project]]), "",COUNTIFS($A:$A,patch[[#This Row],[number]],$S:$S, "SH And dev",$AC:$AC, "Review-1"))</f>
        <v/>
      </c>
      <c r="Z2233" s="7" t="str">
        <f>IF(ISBLANK(patch[[#This Row],[project]]), "",COUNTIFS($A:$A,patch[[#This Row],[number]],$S:$S, "BJ And dev",$AD:$AD, "&lt;&gt;IntegratorValidationComment"))</f>
        <v/>
      </c>
      <c r="AA2233" s="7" t="str">
        <f>IF(ISBLANK(patch[[#This Row],[project]]), "",COUNTIFS($A:$A,patch[[#This Row],[number]],$S:$S, "FL And dev",$AD:$AD, "&lt;&gt;IntegratorValidationComment"))</f>
        <v/>
      </c>
      <c r="AB2233" s="7" t="str">
        <f>IF(ISBLANK(patch[[#This Row],[project]]), "",COUNTIFS($A:$A,patch[[#This Row],[number]],$S:$S, "SH And dev",$AD:$AD, "&lt;&gt;IntegratorValidationComment"))</f>
        <v/>
      </c>
      <c r="AC2233" s="7" t="str">
        <f>IF(OR(ISNUMBER(FIND("Review-1", patch[[#This Row],[comments]])), ISNUMBER(FIND("Approver-1", patch[[#This Row],[comments]]))), "Review-1", "")</f>
        <v/>
      </c>
      <c r="AD22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33" s="7">
        <f>IF(ISBLANK(patch[[#This Row],[number]]),AE2232,patch[[#This Row],[ifCommon]])</f>
        <v>0</v>
      </c>
    </row>
    <row r="2234" spans="1:31">
      <c r="A2234" s="151">
        <v>142512</v>
      </c>
      <c r="B2234" s="151"/>
      <c r="C2234" s="151"/>
      <c r="D2234" s="151"/>
      <c r="E2234" s="151"/>
      <c r="F2234" s="151"/>
      <c r="G2234" s="151"/>
      <c r="H2234" s="151"/>
      <c r="I2234" s="151"/>
      <c r="J2234" s="152">
        <v>42619.71497685185</v>
      </c>
      <c r="K2234" s="151"/>
      <c r="L2234" s="151" t="s">
        <v>115</v>
      </c>
      <c r="M2234" s="152">
        <v>42619.427824074082</v>
      </c>
      <c r="N2234" s="151" t="s">
        <v>2492</v>
      </c>
      <c r="O2234" s="151"/>
      <c r="P2234" s="151"/>
      <c r="Q2234" s="7" t="str">
        <f>IF(ISBLANK(patch[[#This Row],[OwnerEmail]]),Q2233,patch[[#This Row],[OwnerEmail]])</f>
        <v>xiaozhou.liu@intel.com</v>
      </c>
      <c r="R2234" s="7" t="str">
        <f>_xlfn.IFNA(VLOOKUP(patch[[#This Row],[tmp-owner.email]],OrgTree!$A:$K, 11, 0), "not ICG SWFW")</f>
        <v>BJ And dev</v>
      </c>
      <c r="S2234" s="7" t="str">
        <f>IF(patch[[#This Row],[reviewer]]=patch[[#This Row],[tmp-owner.email]], "author", _xlfn.IFNA(VLOOKUP(patch[[#This Row],[reviewer]],OrgTree!$A:$K, 11, 0), "not ICG SWFW"))</f>
        <v>Val</v>
      </c>
      <c r="T2234" s="7" t="str">
        <f>IF(ISBLANK(patch[[#This Row],[mergeDate]]), "", MID(YEAR(patch[[#This Row],[mergeDate]]), 3,2)&amp;"'ww"&amp;WEEKNUM(patch[[#This Row],[mergeDate]]))</f>
        <v>16'ww37</v>
      </c>
      <c r="U2234" s="7" t="str">
        <f>IF(ISBLANK(patch[[#This Row],[mergeDate]]), U2233, MID(YEAR(patch[[#This Row],[mergeDate]]), 3,2)&amp;"'m"&amp;MONTH(patch[[#This Row],[mergeDate]]))</f>
        <v>16'm9</v>
      </c>
      <c r="V2234" s="7" t="str">
        <f>IF(ISBLANK(patch[[#This Row],[project]]), "",SUM(patch[[#This Row],[BJ -1 num]:[SH -1 num]]))</f>
        <v/>
      </c>
      <c r="W2234" s="7" t="str">
        <f>IF(ISBLANK(patch[[#This Row],[project]]), "",COUNTIFS($A:$A,patch[[#This Row],[number]],$S:$S, "BJ And dev",$AC:$AC, "Review-1"))</f>
        <v/>
      </c>
      <c r="X2234" s="7" t="str">
        <f>IF(ISBLANK(patch[[#This Row],[project]]), "",COUNTIFS($A:$A,patch[[#This Row],[number]],$S:$S, "FL And dev",$AC:$AC, "Review-1"))</f>
        <v/>
      </c>
      <c r="Y2234" s="7" t="str">
        <f>IF(ISBLANK(patch[[#This Row],[project]]), "",COUNTIFS($A:$A,patch[[#This Row],[number]],$S:$S, "SH And dev",$AC:$AC, "Review-1"))</f>
        <v/>
      </c>
      <c r="Z2234" s="7" t="str">
        <f>IF(ISBLANK(patch[[#This Row],[project]]), "",COUNTIFS($A:$A,patch[[#This Row],[number]],$S:$S, "BJ And dev",$AD:$AD, "&lt;&gt;IntegratorValidationComment"))</f>
        <v/>
      </c>
      <c r="AA2234" s="7" t="str">
        <f>IF(ISBLANK(patch[[#This Row],[project]]), "",COUNTIFS($A:$A,patch[[#This Row],[number]],$S:$S, "FL And dev",$AD:$AD, "&lt;&gt;IntegratorValidationComment"))</f>
        <v/>
      </c>
      <c r="AB2234" s="7" t="str">
        <f>IF(ISBLANK(patch[[#This Row],[project]]), "",COUNTIFS($A:$A,patch[[#This Row],[number]],$S:$S, "SH And dev",$AD:$AD, "&lt;&gt;IntegratorValidationComment"))</f>
        <v/>
      </c>
      <c r="AC2234" s="7" t="str">
        <f>IF(OR(ISNUMBER(FIND("Review-1", patch[[#This Row],[comments]])), ISNUMBER(FIND("Approver-1", patch[[#This Row],[comments]]))), "Review-1", "")</f>
        <v/>
      </c>
      <c r="AD22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234" s="7">
        <f>IF(ISBLANK(patch[[#This Row],[number]]),AE2233,patch[[#This Row],[ifCommon]])</f>
        <v>0</v>
      </c>
    </row>
    <row r="2235" spans="1:31">
      <c r="A2235" s="151">
        <v>143326</v>
      </c>
      <c r="B2235" s="151" t="s">
        <v>2490</v>
      </c>
      <c r="C2235" s="151" t="s">
        <v>2491</v>
      </c>
      <c r="D2235" s="151" t="s">
        <v>3690</v>
      </c>
      <c r="E2235" s="151" t="s">
        <v>61</v>
      </c>
      <c r="F2235" s="151" t="s">
        <v>23</v>
      </c>
      <c r="G2235" s="151" t="s">
        <v>3691</v>
      </c>
      <c r="H2235" s="151" t="s">
        <v>3692</v>
      </c>
      <c r="I2235" s="152">
        <v>42618.67765046296</v>
      </c>
      <c r="J2235" s="152">
        <v>42619.714942129627</v>
      </c>
      <c r="K2235" s="151" t="s">
        <v>2445</v>
      </c>
      <c r="L2235" s="151" t="s">
        <v>61</v>
      </c>
      <c r="M2235" s="152">
        <v>42618.67765046296</v>
      </c>
      <c r="N2235" s="151" t="s">
        <v>25</v>
      </c>
      <c r="O2235" s="151"/>
      <c r="P2235" s="151" t="s">
        <v>2555</v>
      </c>
      <c r="Q2235" s="7" t="str">
        <f>IF(ISBLANK(patch[[#This Row],[OwnerEmail]]),Q2234,patch[[#This Row],[OwnerEmail]])</f>
        <v>john.mathew@intel.com</v>
      </c>
      <c r="R2235" s="7" t="str">
        <f>_xlfn.IFNA(VLOOKUP(patch[[#This Row],[tmp-owner.email]],OrgTree!$A:$K, 11, 0), "not ICG SWFW")</f>
        <v>FL And dev</v>
      </c>
      <c r="S2235" s="7" t="str">
        <f>IF(patch[[#This Row],[reviewer]]=patch[[#This Row],[tmp-owner.email]], "author", _xlfn.IFNA(VLOOKUP(patch[[#This Row],[reviewer]],OrgTree!$A:$K, 11, 0), "not ICG SWFW"))</f>
        <v>author</v>
      </c>
      <c r="T2235" s="7" t="str">
        <f>IF(ISBLANK(patch[[#This Row],[mergeDate]]), "", MID(YEAR(patch[[#This Row],[mergeDate]]), 3,2)&amp;"'ww"&amp;WEEKNUM(patch[[#This Row],[mergeDate]]))</f>
        <v>16'ww37</v>
      </c>
      <c r="U2235" s="7" t="str">
        <f>IF(ISBLANK(patch[[#This Row],[mergeDate]]), U2234, MID(YEAR(patch[[#This Row],[mergeDate]]), 3,2)&amp;"'m"&amp;MONTH(patch[[#This Row],[mergeDate]]))</f>
        <v>16'm9</v>
      </c>
      <c r="V2235" s="7">
        <f>IF(ISBLANK(patch[[#This Row],[project]]), "",SUM(patch[[#This Row],[BJ -1 num]:[SH -1 num]]))</f>
        <v>0</v>
      </c>
      <c r="W2235" s="7">
        <f>IF(ISBLANK(patch[[#This Row],[project]]), "",COUNTIFS($A:$A,patch[[#This Row],[number]],$S:$S, "BJ And dev",$AC:$AC, "Review-1"))</f>
        <v>0</v>
      </c>
      <c r="X2235" s="7">
        <f>IF(ISBLANK(patch[[#This Row],[project]]), "",COUNTIFS($A:$A,patch[[#This Row],[number]],$S:$S, "FL And dev",$AC:$AC, "Review-1"))</f>
        <v>0</v>
      </c>
      <c r="Y2235" s="7">
        <f>IF(ISBLANK(patch[[#This Row],[project]]), "",COUNTIFS($A:$A,patch[[#This Row],[number]],$S:$S, "SH And dev",$AC:$AC, "Review-1"))</f>
        <v>0</v>
      </c>
      <c r="Z2235" s="7">
        <f>IF(ISBLANK(patch[[#This Row],[project]]), "",COUNTIFS($A:$A,patch[[#This Row],[number]],$S:$S, "BJ And dev",$AD:$AD, "&lt;&gt;IntegratorValidationComment"))</f>
        <v>3</v>
      </c>
      <c r="AA2235" s="7">
        <f>IF(ISBLANK(patch[[#This Row],[project]]), "",COUNTIFS($A:$A,patch[[#This Row],[number]],$S:$S, "FL And dev",$AD:$AD, "&lt;&gt;IntegratorValidationComment"))</f>
        <v>0</v>
      </c>
      <c r="AB2235" s="7">
        <f>IF(ISBLANK(patch[[#This Row],[project]]), "",COUNTIFS($A:$A,patch[[#This Row],[number]],$S:$S, "SH And dev",$AD:$AD, "&lt;&gt;IntegratorValidationComment"))</f>
        <v>0</v>
      </c>
      <c r="AC2235" s="7" t="str">
        <f>IF(OR(ISNUMBER(FIND("Review-1", patch[[#This Row],[comments]])), ISNUMBER(FIND("Approver-1", patch[[#This Row],[comments]]))), "Review-1", "")</f>
        <v/>
      </c>
      <c r="AD22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35" s="7" t="str">
        <f>IF(ISBLANK(patch[[#This Row],[number]]),AE2234,patch[[#This Row],[ifCommon]])</f>
        <v>not AndrHAL</v>
      </c>
    </row>
    <row r="2236" spans="1:31">
      <c r="A2236" s="151">
        <v>143326</v>
      </c>
      <c r="B2236" s="151"/>
      <c r="C2236" s="151"/>
      <c r="D2236" s="151"/>
      <c r="E2236" s="151"/>
      <c r="F2236" s="151"/>
      <c r="G2236" s="151"/>
      <c r="H2236" s="151"/>
      <c r="I2236" s="151"/>
      <c r="J2236" s="152">
        <v>42619.714942129627</v>
      </c>
      <c r="K2236" s="151"/>
      <c r="L2236" s="151" t="s">
        <v>61</v>
      </c>
      <c r="M2236" s="152">
        <v>42618.677662037036</v>
      </c>
      <c r="N2236" s="151" t="s">
        <v>2428</v>
      </c>
      <c r="O2236" s="151"/>
      <c r="P2236" s="151"/>
      <c r="Q2236" s="7" t="str">
        <f>IF(ISBLANK(patch[[#This Row],[OwnerEmail]]),Q2235,patch[[#This Row],[OwnerEmail]])</f>
        <v>john.mathew@intel.com</v>
      </c>
      <c r="R2236" s="7" t="str">
        <f>_xlfn.IFNA(VLOOKUP(patch[[#This Row],[tmp-owner.email]],OrgTree!$A:$K, 11, 0), "not ICG SWFW")</f>
        <v>FL And dev</v>
      </c>
      <c r="S2236" s="7" t="str">
        <f>IF(patch[[#This Row],[reviewer]]=patch[[#This Row],[tmp-owner.email]], "author", _xlfn.IFNA(VLOOKUP(patch[[#This Row],[reviewer]],OrgTree!$A:$K, 11, 0), "not ICG SWFW"))</f>
        <v>author</v>
      </c>
      <c r="T2236" s="7" t="str">
        <f>IF(ISBLANK(patch[[#This Row],[mergeDate]]), "", MID(YEAR(patch[[#This Row],[mergeDate]]), 3,2)&amp;"'ww"&amp;WEEKNUM(patch[[#This Row],[mergeDate]]))</f>
        <v>16'ww37</v>
      </c>
      <c r="U2236" s="7" t="str">
        <f>IF(ISBLANK(patch[[#This Row],[mergeDate]]), U2235, MID(YEAR(patch[[#This Row],[mergeDate]]), 3,2)&amp;"'m"&amp;MONTH(patch[[#This Row],[mergeDate]]))</f>
        <v>16'm9</v>
      </c>
      <c r="V2236" s="7" t="str">
        <f>IF(ISBLANK(patch[[#This Row],[project]]), "",SUM(patch[[#This Row],[BJ -1 num]:[SH -1 num]]))</f>
        <v/>
      </c>
      <c r="W2236" s="7" t="str">
        <f>IF(ISBLANK(patch[[#This Row],[project]]), "",COUNTIFS($A:$A,patch[[#This Row],[number]],$S:$S, "BJ And dev",$AC:$AC, "Review-1"))</f>
        <v/>
      </c>
      <c r="X2236" s="7" t="str">
        <f>IF(ISBLANK(patch[[#This Row],[project]]), "",COUNTIFS($A:$A,patch[[#This Row],[number]],$S:$S, "FL And dev",$AC:$AC, "Review-1"))</f>
        <v/>
      </c>
      <c r="Y2236" s="7" t="str">
        <f>IF(ISBLANK(patch[[#This Row],[project]]), "",COUNTIFS($A:$A,patch[[#This Row],[number]],$S:$S, "SH And dev",$AC:$AC, "Review-1"))</f>
        <v/>
      </c>
      <c r="Z2236" s="7" t="str">
        <f>IF(ISBLANK(patch[[#This Row],[project]]), "",COUNTIFS($A:$A,patch[[#This Row],[number]],$S:$S, "BJ And dev",$AD:$AD, "&lt;&gt;IntegratorValidationComment"))</f>
        <v/>
      </c>
      <c r="AA2236" s="7" t="str">
        <f>IF(ISBLANK(patch[[#This Row],[project]]), "",COUNTIFS($A:$A,patch[[#This Row],[number]],$S:$S, "FL And dev",$AD:$AD, "&lt;&gt;IntegratorValidationComment"))</f>
        <v/>
      </c>
      <c r="AB2236" s="7" t="str">
        <f>IF(ISBLANK(patch[[#This Row],[project]]), "",COUNTIFS($A:$A,patch[[#This Row],[number]],$S:$S, "SH And dev",$AD:$AD, "&lt;&gt;IntegratorValidationComment"))</f>
        <v/>
      </c>
      <c r="AC2236" s="7" t="str">
        <f>IF(OR(ISNUMBER(FIND("Review-1", patch[[#This Row],[comments]])), ISNUMBER(FIND("Approver-1", patch[[#This Row],[comments]]))), "Review-1", "")</f>
        <v/>
      </c>
      <c r="AD22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36" s="7">
        <f>IF(ISBLANK(patch[[#This Row],[number]]),AE2235,patch[[#This Row],[ifCommon]])</f>
        <v>0</v>
      </c>
    </row>
    <row r="2237" spans="1:31">
      <c r="A2237" s="151">
        <v>143326</v>
      </c>
      <c r="B2237" s="151"/>
      <c r="C2237" s="151"/>
      <c r="D2237" s="151"/>
      <c r="E2237" s="151"/>
      <c r="F2237" s="151"/>
      <c r="G2237" s="151"/>
      <c r="H2237" s="151"/>
      <c r="I2237" s="151"/>
      <c r="J2237" s="152">
        <v>42619.714942129627</v>
      </c>
      <c r="K2237" s="151"/>
      <c r="L2237" s="151" t="s">
        <v>61</v>
      </c>
      <c r="M2237" s="152">
        <v>42618.678611111107</v>
      </c>
      <c r="N2237" s="151" t="s">
        <v>40</v>
      </c>
      <c r="O2237" s="151"/>
      <c r="P2237" s="151"/>
      <c r="Q2237" s="7" t="str">
        <f>IF(ISBLANK(patch[[#This Row],[OwnerEmail]]),Q2236,patch[[#This Row],[OwnerEmail]])</f>
        <v>john.mathew@intel.com</v>
      </c>
      <c r="R2237" s="7" t="str">
        <f>_xlfn.IFNA(VLOOKUP(patch[[#This Row],[tmp-owner.email]],OrgTree!$A:$K, 11, 0), "not ICG SWFW")</f>
        <v>FL And dev</v>
      </c>
      <c r="S2237" s="7" t="str">
        <f>IF(patch[[#This Row],[reviewer]]=patch[[#This Row],[tmp-owner.email]], "author", _xlfn.IFNA(VLOOKUP(patch[[#This Row],[reviewer]],OrgTree!$A:$K, 11, 0), "not ICG SWFW"))</f>
        <v>author</v>
      </c>
      <c r="T2237" s="7" t="str">
        <f>IF(ISBLANK(patch[[#This Row],[mergeDate]]), "", MID(YEAR(patch[[#This Row],[mergeDate]]), 3,2)&amp;"'ww"&amp;WEEKNUM(patch[[#This Row],[mergeDate]]))</f>
        <v>16'ww37</v>
      </c>
      <c r="U2237" s="7" t="str">
        <f>IF(ISBLANK(patch[[#This Row],[mergeDate]]), U2236, MID(YEAR(patch[[#This Row],[mergeDate]]), 3,2)&amp;"'m"&amp;MONTH(patch[[#This Row],[mergeDate]]))</f>
        <v>16'm9</v>
      </c>
      <c r="V2237" s="7" t="str">
        <f>IF(ISBLANK(patch[[#This Row],[project]]), "",SUM(patch[[#This Row],[BJ -1 num]:[SH -1 num]]))</f>
        <v/>
      </c>
      <c r="W2237" s="7" t="str">
        <f>IF(ISBLANK(patch[[#This Row],[project]]), "",COUNTIFS($A:$A,patch[[#This Row],[number]],$S:$S, "BJ And dev",$AC:$AC, "Review-1"))</f>
        <v/>
      </c>
      <c r="X2237" s="7" t="str">
        <f>IF(ISBLANK(patch[[#This Row],[project]]), "",COUNTIFS($A:$A,patch[[#This Row],[number]],$S:$S, "FL And dev",$AC:$AC, "Review-1"))</f>
        <v/>
      </c>
      <c r="Y2237" s="7" t="str">
        <f>IF(ISBLANK(patch[[#This Row],[project]]), "",COUNTIFS($A:$A,patch[[#This Row],[number]],$S:$S, "SH And dev",$AC:$AC, "Review-1"))</f>
        <v/>
      </c>
      <c r="Z2237" s="7" t="str">
        <f>IF(ISBLANK(patch[[#This Row],[project]]), "",COUNTIFS($A:$A,patch[[#This Row],[number]],$S:$S, "BJ And dev",$AD:$AD, "&lt;&gt;IntegratorValidationComment"))</f>
        <v/>
      </c>
      <c r="AA2237" s="7" t="str">
        <f>IF(ISBLANK(patch[[#This Row],[project]]), "",COUNTIFS($A:$A,patch[[#This Row],[number]],$S:$S, "FL And dev",$AD:$AD, "&lt;&gt;IntegratorValidationComment"))</f>
        <v/>
      </c>
      <c r="AB2237" s="7" t="str">
        <f>IF(ISBLANK(patch[[#This Row],[project]]), "",COUNTIFS($A:$A,patch[[#This Row],[number]],$S:$S, "SH And dev",$AD:$AD, "&lt;&gt;IntegratorValidationComment"))</f>
        <v/>
      </c>
      <c r="AC2237" s="7" t="str">
        <f>IF(OR(ISNUMBER(FIND("Review-1", patch[[#This Row],[comments]])), ISNUMBER(FIND("Approver-1", patch[[#This Row],[comments]]))), "Review-1", "")</f>
        <v/>
      </c>
      <c r="AD22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37" s="7">
        <f>IF(ISBLANK(patch[[#This Row],[number]]),AE2236,patch[[#This Row],[ifCommon]])</f>
        <v>0</v>
      </c>
    </row>
    <row r="2238" spans="1:31">
      <c r="A2238" s="151">
        <v>143326</v>
      </c>
      <c r="B2238" s="151"/>
      <c r="C2238" s="151"/>
      <c r="D2238" s="151"/>
      <c r="E2238" s="151"/>
      <c r="F2238" s="151"/>
      <c r="G2238" s="151"/>
      <c r="H2238" s="151"/>
      <c r="I2238" s="151"/>
      <c r="J2238" s="152">
        <v>42619.714942129627</v>
      </c>
      <c r="K2238" s="151"/>
      <c r="L2238" s="151" t="s">
        <v>59</v>
      </c>
      <c r="M2238" s="152">
        <v>42618.682210648149</v>
      </c>
      <c r="N2238" s="151" t="s">
        <v>3693</v>
      </c>
      <c r="O2238" s="151"/>
      <c r="P2238" s="151"/>
      <c r="Q2238" s="7" t="str">
        <f>IF(ISBLANK(patch[[#This Row],[OwnerEmail]]),Q2237,patch[[#This Row],[OwnerEmail]])</f>
        <v>john.mathew@intel.com</v>
      </c>
      <c r="R2238" s="7" t="str">
        <f>_xlfn.IFNA(VLOOKUP(patch[[#This Row],[tmp-owner.email]],OrgTree!$A:$K, 11, 0), "not ICG SWFW")</f>
        <v>FL And dev</v>
      </c>
      <c r="S2238" s="7" t="str">
        <f>IF(patch[[#This Row],[reviewer]]=patch[[#This Row],[tmp-owner.email]], "author", _xlfn.IFNA(VLOOKUP(patch[[#This Row],[reviewer]],OrgTree!$A:$K, 11, 0), "not ICG SWFW"))</f>
        <v>BJ And dev</v>
      </c>
      <c r="T2238" s="7" t="str">
        <f>IF(ISBLANK(patch[[#This Row],[mergeDate]]), "", MID(YEAR(patch[[#This Row],[mergeDate]]), 3,2)&amp;"'ww"&amp;WEEKNUM(patch[[#This Row],[mergeDate]]))</f>
        <v>16'ww37</v>
      </c>
      <c r="U2238" s="7" t="str">
        <f>IF(ISBLANK(patch[[#This Row],[mergeDate]]), U2237, MID(YEAR(patch[[#This Row],[mergeDate]]), 3,2)&amp;"'m"&amp;MONTH(patch[[#This Row],[mergeDate]]))</f>
        <v>16'm9</v>
      </c>
      <c r="V2238" s="7" t="str">
        <f>IF(ISBLANK(patch[[#This Row],[project]]), "",SUM(patch[[#This Row],[BJ -1 num]:[SH -1 num]]))</f>
        <v/>
      </c>
      <c r="W2238" s="7" t="str">
        <f>IF(ISBLANK(patch[[#This Row],[project]]), "",COUNTIFS($A:$A,patch[[#This Row],[number]],$S:$S, "BJ And dev",$AC:$AC, "Review-1"))</f>
        <v/>
      </c>
      <c r="X2238" s="7" t="str">
        <f>IF(ISBLANK(patch[[#This Row],[project]]), "",COUNTIFS($A:$A,patch[[#This Row],[number]],$S:$S, "FL And dev",$AC:$AC, "Review-1"))</f>
        <v/>
      </c>
      <c r="Y2238" s="7" t="str">
        <f>IF(ISBLANK(patch[[#This Row],[project]]), "",COUNTIFS($A:$A,patch[[#This Row],[number]],$S:$S, "SH And dev",$AC:$AC, "Review-1"))</f>
        <v/>
      </c>
      <c r="Z2238" s="7" t="str">
        <f>IF(ISBLANK(patch[[#This Row],[project]]), "",COUNTIFS($A:$A,patch[[#This Row],[number]],$S:$S, "BJ And dev",$AD:$AD, "&lt;&gt;IntegratorValidationComment"))</f>
        <v/>
      </c>
      <c r="AA2238" s="7" t="str">
        <f>IF(ISBLANK(patch[[#This Row],[project]]), "",COUNTIFS($A:$A,patch[[#This Row],[number]],$S:$S, "FL And dev",$AD:$AD, "&lt;&gt;IntegratorValidationComment"))</f>
        <v/>
      </c>
      <c r="AB2238" s="7" t="str">
        <f>IF(ISBLANK(patch[[#This Row],[project]]), "",COUNTIFS($A:$A,patch[[#This Row],[number]],$S:$S, "SH And dev",$AD:$AD, "&lt;&gt;IntegratorValidationComment"))</f>
        <v/>
      </c>
      <c r="AC2238" s="7" t="str">
        <f>IF(OR(ISNUMBER(FIND("Review-1", patch[[#This Row],[comments]])), ISNUMBER(FIND("Approver-1", patch[[#This Row],[comments]]))), "Review-1", "")</f>
        <v/>
      </c>
      <c r="AD22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38" s="7">
        <f>IF(ISBLANK(patch[[#This Row],[number]]),AE2237,patch[[#This Row],[ifCommon]])</f>
        <v>0</v>
      </c>
    </row>
    <row r="2239" spans="1:31">
      <c r="A2239" s="151">
        <v>143326</v>
      </c>
      <c r="B2239" s="151"/>
      <c r="C2239" s="151"/>
      <c r="D2239" s="151"/>
      <c r="E2239" s="151"/>
      <c r="F2239" s="151"/>
      <c r="G2239" s="151"/>
      <c r="H2239" s="151"/>
      <c r="I2239" s="151"/>
      <c r="J2239" s="152">
        <v>42619.714942129627</v>
      </c>
      <c r="K2239" s="151"/>
      <c r="L2239" s="151" t="s">
        <v>55</v>
      </c>
      <c r="M2239" s="152">
        <v>42618.683206018519</v>
      </c>
      <c r="N2239" s="151" t="s">
        <v>40</v>
      </c>
      <c r="O2239" s="151"/>
      <c r="P2239" s="151"/>
      <c r="Q2239" s="7" t="str">
        <f>IF(ISBLANK(patch[[#This Row],[OwnerEmail]]),Q2238,patch[[#This Row],[OwnerEmail]])</f>
        <v>john.mathew@intel.com</v>
      </c>
      <c r="R2239" s="7" t="str">
        <f>_xlfn.IFNA(VLOOKUP(patch[[#This Row],[tmp-owner.email]],OrgTree!$A:$K, 11, 0), "not ICG SWFW")</f>
        <v>FL And dev</v>
      </c>
      <c r="S2239" s="7" t="str">
        <f>IF(patch[[#This Row],[reviewer]]=patch[[#This Row],[tmp-owner.email]], "author", _xlfn.IFNA(VLOOKUP(patch[[#This Row],[reviewer]],OrgTree!$A:$K, 11, 0), "not ICG SWFW"))</f>
        <v>BJ And dev</v>
      </c>
      <c r="T2239" s="7" t="str">
        <f>IF(ISBLANK(patch[[#This Row],[mergeDate]]), "", MID(YEAR(patch[[#This Row],[mergeDate]]), 3,2)&amp;"'ww"&amp;WEEKNUM(patch[[#This Row],[mergeDate]]))</f>
        <v>16'ww37</v>
      </c>
      <c r="U2239" s="7" t="str">
        <f>IF(ISBLANK(patch[[#This Row],[mergeDate]]), U2238, MID(YEAR(patch[[#This Row],[mergeDate]]), 3,2)&amp;"'m"&amp;MONTH(patch[[#This Row],[mergeDate]]))</f>
        <v>16'm9</v>
      </c>
      <c r="V2239" s="7" t="str">
        <f>IF(ISBLANK(patch[[#This Row],[project]]), "",SUM(patch[[#This Row],[BJ -1 num]:[SH -1 num]]))</f>
        <v/>
      </c>
      <c r="W2239" s="7" t="str">
        <f>IF(ISBLANK(patch[[#This Row],[project]]), "",COUNTIFS($A:$A,patch[[#This Row],[number]],$S:$S, "BJ And dev",$AC:$AC, "Review-1"))</f>
        <v/>
      </c>
      <c r="X2239" s="7" t="str">
        <f>IF(ISBLANK(patch[[#This Row],[project]]), "",COUNTIFS($A:$A,patch[[#This Row],[number]],$S:$S, "FL And dev",$AC:$AC, "Review-1"))</f>
        <v/>
      </c>
      <c r="Y2239" s="7" t="str">
        <f>IF(ISBLANK(patch[[#This Row],[project]]), "",COUNTIFS($A:$A,patch[[#This Row],[number]],$S:$S, "SH And dev",$AC:$AC, "Review-1"))</f>
        <v/>
      </c>
      <c r="Z2239" s="7" t="str">
        <f>IF(ISBLANK(patch[[#This Row],[project]]), "",COUNTIFS($A:$A,patch[[#This Row],[number]],$S:$S, "BJ And dev",$AD:$AD, "&lt;&gt;IntegratorValidationComment"))</f>
        <v/>
      </c>
      <c r="AA2239" s="7" t="str">
        <f>IF(ISBLANK(patch[[#This Row],[project]]), "",COUNTIFS($A:$A,patch[[#This Row],[number]],$S:$S, "FL And dev",$AD:$AD, "&lt;&gt;IntegratorValidationComment"))</f>
        <v/>
      </c>
      <c r="AB2239" s="7" t="str">
        <f>IF(ISBLANK(patch[[#This Row],[project]]), "",COUNTIFS($A:$A,patch[[#This Row],[number]],$S:$S, "SH And dev",$AD:$AD, "&lt;&gt;IntegratorValidationComment"))</f>
        <v/>
      </c>
      <c r="AC2239" s="7" t="str">
        <f>IF(OR(ISNUMBER(FIND("Review-1", patch[[#This Row],[comments]])), ISNUMBER(FIND("Approver-1", patch[[#This Row],[comments]]))), "Review-1", "")</f>
        <v/>
      </c>
      <c r="AD22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39" s="7">
        <f>IF(ISBLANK(patch[[#This Row],[number]]),AE2238,patch[[#This Row],[ifCommon]])</f>
        <v>0</v>
      </c>
    </row>
    <row r="2240" spans="1:31">
      <c r="A2240" s="151">
        <v>143326</v>
      </c>
      <c r="B2240" s="151"/>
      <c r="C2240" s="151"/>
      <c r="D2240" s="151"/>
      <c r="E2240" s="151"/>
      <c r="F2240" s="151"/>
      <c r="G2240" s="151"/>
      <c r="H2240" s="151"/>
      <c r="I2240" s="152"/>
      <c r="J2240" s="152">
        <v>42619.714942129627</v>
      </c>
      <c r="K2240" s="151"/>
      <c r="L2240" s="151" t="s">
        <v>32</v>
      </c>
      <c r="M2240" s="152">
        <v>42618.701226851852</v>
      </c>
      <c r="N2240" s="151" t="s">
        <v>1880</v>
      </c>
      <c r="O2240" s="151"/>
      <c r="P2240" s="151"/>
      <c r="Q2240" s="7" t="str">
        <f>IF(ISBLANK(patch[[#This Row],[OwnerEmail]]),Q2239,patch[[#This Row],[OwnerEmail]])</f>
        <v>john.mathew@intel.com</v>
      </c>
      <c r="R2240" s="7" t="str">
        <f>_xlfn.IFNA(VLOOKUP(patch[[#This Row],[tmp-owner.email]],OrgTree!$A:$K, 11, 0), "not ICG SWFW")</f>
        <v>FL And dev</v>
      </c>
      <c r="S2240" s="7" t="str">
        <f>IF(patch[[#This Row],[reviewer]]=patch[[#This Row],[tmp-owner.email]], "author", _xlfn.IFNA(VLOOKUP(patch[[#This Row],[reviewer]],OrgTree!$A:$K, 11, 0), "not ICG SWFW"))</f>
        <v>BJ And dev</v>
      </c>
      <c r="T2240" s="7" t="str">
        <f>IF(ISBLANK(patch[[#This Row],[mergeDate]]), "", MID(YEAR(patch[[#This Row],[mergeDate]]), 3,2)&amp;"'ww"&amp;WEEKNUM(patch[[#This Row],[mergeDate]]))</f>
        <v>16'ww37</v>
      </c>
      <c r="U2240" s="7" t="str">
        <f>IF(ISBLANK(patch[[#This Row],[mergeDate]]), U2239, MID(YEAR(patch[[#This Row],[mergeDate]]), 3,2)&amp;"'m"&amp;MONTH(patch[[#This Row],[mergeDate]]))</f>
        <v>16'm9</v>
      </c>
      <c r="V2240" s="7" t="str">
        <f>IF(ISBLANK(patch[[#This Row],[project]]), "",SUM(patch[[#This Row],[BJ -1 num]:[SH -1 num]]))</f>
        <v/>
      </c>
      <c r="W2240" s="7" t="str">
        <f>IF(ISBLANK(patch[[#This Row],[project]]), "",COUNTIFS($A:$A,patch[[#This Row],[number]],$S:$S, "BJ And dev",$AC:$AC, "Review-1"))</f>
        <v/>
      </c>
      <c r="X2240" s="7" t="str">
        <f>IF(ISBLANK(patch[[#This Row],[project]]), "",COUNTIFS($A:$A,patch[[#This Row],[number]],$S:$S, "FL And dev",$AC:$AC, "Review-1"))</f>
        <v/>
      </c>
      <c r="Y2240" s="7" t="str">
        <f>IF(ISBLANK(patch[[#This Row],[project]]), "",COUNTIFS($A:$A,patch[[#This Row],[number]],$S:$S, "SH And dev",$AC:$AC, "Review-1"))</f>
        <v/>
      </c>
      <c r="Z2240" s="7" t="str">
        <f>IF(ISBLANK(patch[[#This Row],[project]]), "",COUNTIFS($A:$A,patch[[#This Row],[number]],$S:$S, "BJ And dev",$AD:$AD, "&lt;&gt;IntegratorValidationComment"))</f>
        <v/>
      </c>
      <c r="AA2240" s="7" t="str">
        <f>IF(ISBLANK(patch[[#This Row],[project]]), "",COUNTIFS($A:$A,patch[[#This Row],[number]],$S:$S, "FL And dev",$AD:$AD, "&lt;&gt;IntegratorValidationComment"))</f>
        <v/>
      </c>
      <c r="AB2240" s="7" t="str">
        <f>IF(ISBLANK(patch[[#This Row],[project]]), "",COUNTIFS($A:$A,patch[[#This Row],[number]],$S:$S, "SH And dev",$AD:$AD, "&lt;&gt;IntegratorValidationComment"))</f>
        <v/>
      </c>
      <c r="AC2240" s="7" t="str">
        <f>IF(OR(ISNUMBER(FIND("Review-1", patch[[#This Row],[comments]])), ISNUMBER(FIND("Approver-1", patch[[#This Row],[comments]]))), "Review-1", "")</f>
        <v/>
      </c>
      <c r="AD22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40" s="7">
        <f>IF(ISBLANK(patch[[#This Row],[number]]),AE2239,patch[[#This Row],[ifCommon]])</f>
        <v>0</v>
      </c>
    </row>
    <row r="2241" spans="1:31">
      <c r="A2241" s="151">
        <v>143326</v>
      </c>
      <c r="B2241" s="151"/>
      <c r="C2241" s="151"/>
      <c r="D2241" s="151"/>
      <c r="E2241" s="151"/>
      <c r="F2241" s="151"/>
      <c r="G2241" s="151"/>
      <c r="H2241" s="151"/>
      <c r="I2241" s="151"/>
      <c r="J2241" s="152">
        <v>42619.714942129627</v>
      </c>
      <c r="K2241" s="151"/>
      <c r="L2241" s="151" t="s">
        <v>115</v>
      </c>
      <c r="M2241" s="152">
        <v>42619.427951388891</v>
      </c>
      <c r="N2241" s="151" t="s">
        <v>2494</v>
      </c>
      <c r="O2241" s="151"/>
      <c r="P2241" s="151"/>
      <c r="Q2241" s="7" t="str">
        <f>IF(ISBLANK(patch[[#This Row],[OwnerEmail]]),Q2240,patch[[#This Row],[OwnerEmail]])</f>
        <v>john.mathew@intel.com</v>
      </c>
      <c r="R2241" s="7" t="str">
        <f>_xlfn.IFNA(VLOOKUP(patch[[#This Row],[tmp-owner.email]],OrgTree!$A:$K, 11, 0), "not ICG SWFW")</f>
        <v>FL And dev</v>
      </c>
      <c r="S2241" s="7" t="str">
        <f>IF(patch[[#This Row],[reviewer]]=patch[[#This Row],[tmp-owner.email]], "author", _xlfn.IFNA(VLOOKUP(patch[[#This Row],[reviewer]],OrgTree!$A:$K, 11, 0), "not ICG SWFW"))</f>
        <v>Val</v>
      </c>
      <c r="T2241" s="7" t="str">
        <f>IF(ISBLANK(patch[[#This Row],[mergeDate]]), "", MID(YEAR(patch[[#This Row],[mergeDate]]), 3,2)&amp;"'ww"&amp;WEEKNUM(patch[[#This Row],[mergeDate]]))</f>
        <v>16'ww37</v>
      </c>
      <c r="U2241" s="7" t="str">
        <f>IF(ISBLANK(patch[[#This Row],[mergeDate]]), U2240, MID(YEAR(patch[[#This Row],[mergeDate]]), 3,2)&amp;"'m"&amp;MONTH(patch[[#This Row],[mergeDate]]))</f>
        <v>16'm9</v>
      </c>
      <c r="V2241" s="7" t="str">
        <f>IF(ISBLANK(patch[[#This Row],[project]]), "",SUM(patch[[#This Row],[BJ -1 num]:[SH -1 num]]))</f>
        <v/>
      </c>
      <c r="W2241" s="7" t="str">
        <f>IF(ISBLANK(patch[[#This Row],[project]]), "",COUNTIFS($A:$A,patch[[#This Row],[number]],$S:$S, "BJ And dev",$AC:$AC, "Review-1"))</f>
        <v/>
      </c>
      <c r="X2241" s="7" t="str">
        <f>IF(ISBLANK(patch[[#This Row],[project]]), "",COUNTIFS($A:$A,patch[[#This Row],[number]],$S:$S, "FL And dev",$AC:$AC, "Review-1"))</f>
        <v/>
      </c>
      <c r="Y2241" s="7" t="str">
        <f>IF(ISBLANK(patch[[#This Row],[project]]), "",COUNTIFS($A:$A,patch[[#This Row],[number]],$S:$S, "SH And dev",$AC:$AC, "Review-1"))</f>
        <v/>
      </c>
      <c r="Z2241" s="7" t="str">
        <f>IF(ISBLANK(patch[[#This Row],[project]]), "",COUNTIFS($A:$A,patch[[#This Row],[number]],$S:$S, "BJ And dev",$AD:$AD, "&lt;&gt;IntegratorValidationComment"))</f>
        <v/>
      </c>
      <c r="AA2241" s="7" t="str">
        <f>IF(ISBLANK(patch[[#This Row],[project]]), "",COUNTIFS($A:$A,patch[[#This Row],[number]],$S:$S, "FL And dev",$AD:$AD, "&lt;&gt;IntegratorValidationComment"))</f>
        <v/>
      </c>
      <c r="AB2241" s="7" t="str">
        <f>IF(ISBLANK(patch[[#This Row],[project]]), "",COUNTIFS($A:$A,patch[[#This Row],[number]],$S:$S, "SH And dev",$AD:$AD, "&lt;&gt;IntegratorValidationComment"))</f>
        <v/>
      </c>
      <c r="AC2241" s="7" t="str">
        <f>IF(OR(ISNUMBER(FIND("Review-1", patch[[#This Row],[comments]])), ISNUMBER(FIND("Approver-1", patch[[#This Row],[comments]]))), "Review-1", "")</f>
        <v/>
      </c>
      <c r="AD22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241" s="7">
        <f>IF(ISBLANK(patch[[#This Row],[number]]),AE2240,patch[[#This Row],[ifCommon]])</f>
        <v>0</v>
      </c>
    </row>
    <row r="2242" spans="1:31">
      <c r="A2242" s="151">
        <v>143325</v>
      </c>
      <c r="B2242" s="151" t="s">
        <v>2490</v>
      </c>
      <c r="C2242" s="151" t="s">
        <v>2491</v>
      </c>
      <c r="D2242" s="151" t="s">
        <v>3694</v>
      </c>
      <c r="E2242" s="151" t="s">
        <v>61</v>
      </c>
      <c r="F2242" s="151" t="s">
        <v>23</v>
      </c>
      <c r="G2242" s="151" t="s">
        <v>3695</v>
      </c>
      <c r="H2242" s="151" t="s">
        <v>3696</v>
      </c>
      <c r="I2242" s="152">
        <v>42618.67765046296</v>
      </c>
      <c r="J2242" s="152">
        <v>42619.714918981481</v>
      </c>
      <c r="K2242" s="151" t="s">
        <v>2445</v>
      </c>
      <c r="L2242" s="151" t="s">
        <v>61</v>
      </c>
      <c r="M2242" s="152">
        <v>42618.67765046296</v>
      </c>
      <c r="N2242" s="151" t="s">
        <v>25</v>
      </c>
      <c r="O2242" s="151"/>
      <c r="P2242" s="151" t="s">
        <v>2555</v>
      </c>
      <c r="Q2242" s="7" t="str">
        <f>IF(ISBLANK(patch[[#This Row],[OwnerEmail]]),Q2241,patch[[#This Row],[OwnerEmail]])</f>
        <v>john.mathew@intel.com</v>
      </c>
      <c r="R2242" s="7" t="str">
        <f>_xlfn.IFNA(VLOOKUP(patch[[#This Row],[tmp-owner.email]],OrgTree!$A:$K, 11, 0), "not ICG SWFW")</f>
        <v>FL And dev</v>
      </c>
      <c r="S2242" s="7" t="str">
        <f>IF(patch[[#This Row],[reviewer]]=patch[[#This Row],[tmp-owner.email]], "author", _xlfn.IFNA(VLOOKUP(patch[[#This Row],[reviewer]],OrgTree!$A:$K, 11, 0), "not ICG SWFW"))</f>
        <v>author</v>
      </c>
      <c r="T2242" s="7" t="str">
        <f>IF(ISBLANK(patch[[#This Row],[mergeDate]]), "", MID(YEAR(patch[[#This Row],[mergeDate]]), 3,2)&amp;"'ww"&amp;WEEKNUM(patch[[#This Row],[mergeDate]]))</f>
        <v>16'ww37</v>
      </c>
      <c r="U2242" s="7" t="str">
        <f>IF(ISBLANK(patch[[#This Row],[mergeDate]]), U2241, MID(YEAR(patch[[#This Row],[mergeDate]]), 3,2)&amp;"'m"&amp;MONTH(patch[[#This Row],[mergeDate]]))</f>
        <v>16'm9</v>
      </c>
      <c r="V2242" s="7">
        <f>IF(ISBLANK(patch[[#This Row],[project]]), "",SUM(patch[[#This Row],[BJ -1 num]:[SH -1 num]]))</f>
        <v>0</v>
      </c>
      <c r="W2242" s="7">
        <f>IF(ISBLANK(patch[[#This Row],[project]]), "",COUNTIFS($A:$A,patch[[#This Row],[number]],$S:$S, "BJ And dev",$AC:$AC, "Review-1"))</f>
        <v>0</v>
      </c>
      <c r="X2242" s="7">
        <f>IF(ISBLANK(patch[[#This Row],[project]]), "",COUNTIFS($A:$A,patch[[#This Row],[number]],$S:$S, "FL And dev",$AC:$AC, "Review-1"))</f>
        <v>0</v>
      </c>
      <c r="Y2242" s="7">
        <f>IF(ISBLANK(patch[[#This Row],[project]]), "",COUNTIFS($A:$A,patch[[#This Row],[number]],$S:$S, "SH And dev",$AC:$AC, "Review-1"))</f>
        <v>0</v>
      </c>
      <c r="Z2242" s="7">
        <f>IF(ISBLANK(patch[[#This Row],[project]]), "",COUNTIFS($A:$A,patch[[#This Row],[number]],$S:$S, "BJ And dev",$AD:$AD, "&lt;&gt;IntegratorValidationComment"))</f>
        <v>4</v>
      </c>
      <c r="AA2242" s="7">
        <f>IF(ISBLANK(patch[[#This Row],[project]]), "",COUNTIFS($A:$A,patch[[#This Row],[number]],$S:$S, "FL And dev",$AD:$AD, "&lt;&gt;IntegratorValidationComment"))</f>
        <v>0</v>
      </c>
      <c r="AB2242" s="7">
        <f>IF(ISBLANK(patch[[#This Row],[project]]), "",COUNTIFS($A:$A,patch[[#This Row],[number]],$S:$S, "SH And dev",$AD:$AD, "&lt;&gt;IntegratorValidationComment"))</f>
        <v>0</v>
      </c>
      <c r="AC2242" s="7" t="str">
        <f>IF(OR(ISNUMBER(FIND("Review-1", patch[[#This Row],[comments]])), ISNUMBER(FIND("Approver-1", patch[[#This Row],[comments]]))), "Review-1", "")</f>
        <v/>
      </c>
      <c r="AD22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42" s="7" t="str">
        <f>IF(ISBLANK(patch[[#This Row],[number]]),AE2241,patch[[#This Row],[ifCommon]])</f>
        <v>not AndrHAL</v>
      </c>
    </row>
    <row r="2243" spans="1:31">
      <c r="A2243" s="151">
        <v>143325</v>
      </c>
      <c r="B2243" s="151"/>
      <c r="C2243" s="151"/>
      <c r="D2243" s="151"/>
      <c r="E2243" s="151"/>
      <c r="F2243" s="151"/>
      <c r="G2243" s="151"/>
      <c r="H2243" s="151"/>
      <c r="I2243" s="151"/>
      <c r="J2243" s="152">
        <v>42619.714918981481</v>
      </c>
      <c r="K2243" s="151"/>
      <c r="L2243" s="151" t="s">
        <v>61</v>
      </c>
      <c r="M2243" s="152">
        <v>42618.677662037036</v>
      </c>
      <c r="N2243" s="151" t="s">
        <v>2428</v>
      </c>
      <c r="O2243" s="151"/>
      <c r="P2243" s="151"/>
      <c r="Q2243" s="7" t="str">
        <f>IF(ISBLANK(patch[[#This Row],[OwnerEmail]]),Q2242,patch[[#This Row],[OwnerEmail]])</f>
        <v>john.mathew@intel.com</v>
      </c>
      <c r="R2243" s="7" t="str">
        <f>_xlfn.IFNA(VLOOKUP(patch[[#This Row],[tmp-owner.email]],OrgTree!$A:$K, 11, 0), "not ICG SWFW")</f>
        <v>FL And dev</v>
      </c>
      <c r="S2243" s="7" t="str">
        <f>IF(patch[[#This Row],[reviewer]]=patch[[#This Row],[tmp-owner.email]], "author", _xlfn.IFNA(VLOOKUP(patch[[#This Row],[reviewer]],OrgTree!$A:$K, 11, 0), "not ICG SWFW"))</f>
        <v>author</v>
      </c>
      <c r="T2243" s="7" t="str">
        <f>IF(ISBLANK(patch[[#This Row],[mergeDate]]), "", MID(YEAR(patch[[#This Row],[mergeDate]]), 3,2)&amp;"'ww"&amp;WEEKNUM(patch[[#This Row],[mergeDate]]))</f>
        <v>16'ww37</v>
      </c>
      <c r="U2243" s="7" t="str">
        <f>IF(ISBLANK(patch[[#This Row],[mergeDate]]), U2242, MID(YEAR(patch[[#This Row],[mergeDate]]), 3,2)&amp;"'m"&amp;MONTH(patch[[#This Row],[mergeDate]]))</f>
        <v>16'm9</v>
      </c>
      <c r="V2243" s="7" t="str">
        <f>IF(ISBLANK(patch[[#This Row],[project]]), "",SUM(patch[[#This Row],[BJ -1 num]:[SH -1 num]]))</f>
        <v/>
      </c>
      <c r="W2243" s="7" t="str">
        <f>IF(ISBLANK(patch[[#This Row],[project]]), "",COUNTIFS($A:$A,patch[[#This Row],[number]],$S:$S, "BJ And dev",$AC:$AC, "Review-1"))</f>
        <v/>
      </c>
      <c r="X2243" s="7" t="str">
        <f>IF(ISBLANK(patch[[#This Row],[project]]), "",COUNTIFS($A:$A,patch[[#This Row],[number]],$S:$S, "FL And dev",$AC:$AC, "Review-1"))</f>
        <v/>
      </c>
      <c r="Y2243" s="7" t="str">
        <f>IF(ISBLANK(patch[[#This Row],[project]]), "",COUNTIFS($A:$A,patch[[#This Row],[number]],$S:$S, "SH And dev",$AC:$AC, "Review-1"))</f>
        <v/>
      </c>
      <c r="Z2243" s="7" t="str">
        <f>IF(ISBLANK(patch[[#This Row],[project]]), "",COUNTIFS($A:$A,patch[[#This Row],[number]],$S:$S, "BJ And dev",$AD:$AD, "&lt;&gt;IntegratorValidationComment"))</f>
        <v/>
      </c>
      <c r="AA2243" s="7" t="str">
        <f>IF(ISBLANK(patch[[#This Row],[project]]), "",COUNTIFS($A:$A,patch[[#This Row],[number]],$S:$S, "FL And dev",$AD:$AD, "&lt;&gt;IntegratorValidationComment"))</f>
        <v/>
      </c>
      <c r="AB2243" s="7" t="str">
        <f>IF(ISBLANK(patch[[#This Row],[project]]), "",COUNTIFS($A:$A,patch[[#This Row],[number]],$S:$S, "SH And dev",$AD:$AD, "&lt;&gt;IntegratorValidationComment"))</f>
        <v/>
      </c>
      <c r="AC2243" s="7" t="str">
        <f>IF(OR(ISNUMBER(FIND("Review-1", patch[[#This Row],[comments]])), ISNUMBER(FIND("Approver-1", patch[[#This Row],[comments]]))), "Review-1", "")</f>
        <v/>
      </c>
      <c r="AD22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43" s="7">
        <f>IF(ISBLANK(patch[[#This Row],[number]]),AE2242,patch[[#This Row],[ifCommon]])</f>
        <v>0</v>
      </c>
    </row>
    <row r="2244" spans="1:31">
      <c r="A2244" s="151">
        <v>143325</v>
      </c>
      <c r="B2244" s="151"/>
      <c r="C2244" s="151"/>
      <c r="D2244" s="151"/>
      <c r="E2244" s="151"/>
      <c r="F2244" s="151"/>
      <c r="G2244" s="151"/>
      <c r="H2244" s="151"/>
      <c r="I2244" s="151"/>
      <c r="J2244" s="152">
        <v>42619.714918981481</v>
      </c>
      <c r="K2244" s="151"/>
      <c r="L2244" s="151" t="s">
        <v>61</v>
      </c>
      <c r="M2244" s="152">
        <v>42618.677858796298</v>
      </c>
      <c r="N2244" s="151" t="s">
        <v>40</v>
      </c>
      <c r="O2244" s="151"/>
      <c r="P2244" s="151"/>
      <c r="Q2244" s="7" t="str">
        <f>IF(ISBLANK(patch[[#This Row],[OwnerEmail]]),Q2243,patch[[#This Row],[OwnerEmail]])</f>
        <v>john.mathew@intel.com</v>
      </c>
      <c r="R2244" s="7" t="str">
        <f>_xlfn.IFNA(VLOOKUP(patch[[#This Row],[tmp-owner.email]],OrgTree!$A:$K, 11, 0), "not ICG SWFW")</f>
        <v>FL And dev</v>
      </c>
      <c r="S2244" s="7" t="str">
        <f>IF(patch[[#This Row],[reviewer]]=patch[[#This Row],[tmp-owner.email]], "author", _xlfn.IFNA(VLOOKUP(patch[[#This Row],[reviewer]],OrgTree!$A:$K, 11, 0), "not ICG SWFW"))</f>
        <v>author</v>
      </c>
      <c r="T2244" s="7" t="str">
        <f>IF(ISBLANK(patch[[#This Row],[mergeDate]]), "", MID(YEAR(patch[[#This Row],[mergeDate]]), 3,2)&amp;"'ww"&amp;WEEKNUM(patch[[#This Row],[mergeDate]]))</f>
        <v>16'ww37</v>
      </c>
      <c r="U2244" s="7" t="str">
        <f>IF(ISBLANK(patch[[#This Row],[mergeDate]]), U2243, MID(YEAR(patch[[#This Row],[mergeDate]]), 3,2)&amp;"'m"&amp;MONTH(patch[[#This Row],[mergeDate]]))</f>
        <v>16'm9</v>
      </c>
      <c r="V2244" s="7" t="str">
        <f>IF(ISBLANK(patch[[#This Row],[project]]), "",SUM(patch[[#This Row],[BJ -1 num]:[SH -1 num]]))</f>
        <v/>
      </c>
      <c r="W2244" s="7" t="str">
        <f>IF(ISBLANK(patch[[#This Row],[project]]), "",COUNTIFS($A:$A,patch[[#This Row],[number]],$S:$S, "BJ And dev",$AC:$AC, "Review-1"))</f>
        <v/>
      </c>
      <c r="X2244" s="7" t="str">
        <f>IF(ISBLANK(patch[[#This Row],[project]]), "",COUNTIFS($A:$A,patch[[#This Row],[number]],$S:$S, "FL And dev",$AC:$AC, "Review-1"))</f>
        <v/>
      </c>
      <c r="Y2244" s="7" t="str">
        <f>IF(ISBLANK(patch[[#This Row],[project]]), "",COUNTIFS($A:$A,patch[[#This Row],[number]],$S:$S, "SH And dev",$AC:$AC, "Review-1"))</f>
        <v/>
      </c>
      <c r="Z2244" s="7" t="str">
        <f>IF(ISBLANK(patch[[#This Row],[project]]), "",COUNTIFS($A:$A,patch[[#This Row],[number]],$S:$S, "BJ And dev",$AD:$AD, "&lt;&gt;IntegratorValidationComment"))</f>
        <v/>
      </c>
      <c r="AA2244" s="7" t="str">
        <f>IF(ISBLANK(patch[[#This Row],[project]]), "",COUNTIFS($A:$A,patch[[#This Row],[number]],$S:$S, "FL And dev",$AD:$AD, "&lt;&gt;IntegratorValidationComment"))</f>
        <v/>
      </c>
      <c r="AB2244" s="7" t="str">
        <f>IF(ISBLANK(patch[[#This Row],[project]]), "",COUNTIFS($A:$A,patch[[#This Row],[number]],$S:$S, "SH And dev",$AD:$AD, "&lt;&gt;IntegratorValidationComment"))</f>
        <v/>
      </c>
      <c r="AC2244" s="7" t="str">
        <f>IF(OR(ISNUMBER(FIND("Review-1", patch[[#This Row],[comments]])), ISNUMBER(FIND("Approver-1", patch[[#This Row],[comments]]))), "Review-1", "")</f>
        <v/>
      </c>
      <c r="AD22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44" s="7">
        <f>IF(ISBLANK(patch[[#This Row],[number]]),AE2243,patch[[#This Row],[ifCommon]])</f>
        <v>0</v>
      </c>
    </row>
    <row r="2245" spans="1:31">
      <c r="A2245" s="151">
        <v>143325</v>
      </c>
      <c r="B2245" s="151"/>
      <c r="C2245" s="151"/>
      <c r="D2245" s="151"/>
      <c r="E2245" s="151"/>
      <c r="F2245" s="151"/>
      <c r="G2245" s="151"/>
      <c r="H2245" s="151"/>
      <c r="I2245" s="151"/>
      <c r="J2245" s="152">
        <v>42619.714918981481</v>
      </c>
      <c r="K2245" s="151"/>
      <c r="L2245" s="151" t="s">
        <v>59</v>
      </c>
      <c r="M2245" s="152">
        <v>42618.679583333331</v>
      </c>
      <c r="N2245" s="151" t="s">
        <v>40</v>
      </c>
      <c r="O2245" s="151"/>
      <c r="P2245" s="151"/>
      <c r="Q2245" s="7" t="str">
        <f>IF(ISBLANK(patch[[#This Row],[OwnerEmail]]),Q2244,patch[[#This Row],[OwnerEmail]])</f>
        <v>john.mathew@intel.com</v>
      </c>
      <c r="R2245" s="7" t="str">
        <f>_xlfn.IFNA(VLOOKUP(patch[[#This Row],[tmp-owner.email]],OrgTree!$A:$K, 11, 0), "not ICG SWFW")</f>
        <v>FL And dev</v>
      </c>
      <c r="S2245" s="7" t="str">
        <f>IF(patch[[#This Row],[reviewer]]=patch[[#This Row],[tmp-owner.email]], "author", _xlfn.IFNA(VLOOKUP(patch[[#This Row],[reviewer]],OrgTree!$A:$K, 11, 0), "not ICG SWFW"))</f>
        <v>BJ And dev</v>
      </c>
      <c r="T2245" s="7" t="str">
        <f>IF(ISBLANK(patch[[#This Row],[mergeDate]]), "", MID(YEAR(patch[[#This Row],[mergeDate]]), 3,2)&amp;"'ww"&amp;WEEKNUM(patch[[#This Row],[mergeDate]]))</f>
        <v>16'ww37</v>
      </c>
      <c r="U2245" s="7" t="str">
        <f>IF(ISBLANK(patch[[#This Row],[mergeDate]]), U2244, MID(YEAR(patch[[#This Row],[mergeDate]]), 3,2)&amp;"'m"&amp;MONTH(patch[[#This Row],[mergeDate]]))</f>
        <v>16'm9</v>
      </c>
      <c r="V2245" s="7" t="str">
        <f>IF(ISBLANK(patch[[#This Row],[project]]), "",SUM(patch[[#This Row],[BJ -1 num]:[SH -1 num]]))</f>
        <v/>
      </c>
      <c r="W2245" s="7" t="str">
        <f>IF(ISBLANK(patch[[#This Row],[project]]), "",COUNTIFS($A:$A,patch[[#This Row],[number]],$S:$S, "BJ And dev",$AC:$AC, "Review-1"))</f>
        <v/>
      </c>
      <c r="X2245" s="7" t="str">
        <f>IF(ISBLANK(patch[[#This Row],[project]]), "",COUNTIFS($A:$A,patch[[#This Row],[number]],$S:$S, "FL And dev",$AC:$AC, "Review-1"))</f>
        <v/>
      </c>
      <c r="Y2245" s="7" t="str">
        <f>IF(ISBLANK(patch[[#This Row],[project]]), "",COUNTIFS($A:$A,patch[[#This Row],[number]],$S:$S, "SH And dev",$AC:$AC, "Review-1"))</f>
        <v/>
      </c>
      <c r="Z2245" s="7" t="str">
        <f>IF(ISBLANK(patch[[#This Row],[project]]), "",COUNTIFS($A:$A,patch[[#This Row],[number]],$S:$S, "BJ And dev",$AD:$AD, "&lt;&gt;IntegratorValidationComment"))</f>
        <v/>
      </c>
      <c r="AA2245" s="7" t="str">
        <f>IF(ISBLANK(patch[[#This Row],[project]]), "",COUNTIFS($A:$A,patch[[#This Row],[number]],$S:$S, "FL And dev",$AD:$AD, "&lt;&gt;IntegratorValidationComment"))</f>
        <v/>
      </c>
      <c r="AB2245" s="7" t="str">
        <f>IF(ISBLANK(patch[[#This Row],[project]]), "",COUNTIFS($A:$A,patch[[#This Row],[number]],$S:$S, "SH And dev",$AD:$AD, "&lt;&gt;IntegratorValidationComment"))</f>
        <v/>
      </c>
      <c r="AC2245" s="7" t="str">
        <f>IF(OR(ISNUMBER(FIND("Review-1", patch[[#This Row],[comments]])), ISNUMBER(FIND("Approver-1", patch[[#This Row],[comments]]))), "Review-1", "")</f>
        <v/>
      </c>
      <c r="AD22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45" s="7">
        <f>IF(ISBLANK(patch[[#This Row],[number]]),AE2244,patch[[#This Row],[ifCommon]])</f>
        <v>0</v>
      </c>
    </row>
    <row r="2246" spans="1:31">
      <c r="A2246" s="151">
        <v>143325</v>
      </c>
      <c r="B2246" s="151"/>
      <c r="C2246" s="151"/>
      <c r="D2246" s="151"/>
      <c r="E2246" s="151"/>
      <c r="F2246" s="151"/>
      <c r="G2246" s="151"/>
      <c r="H2246" s="151"/>
      <c r="I2246" s="151"/>
      <c r="J2246" s="152">
        <v>42619.714918981481</v>
      </c>
      <c r="K2246" s="151"/>
      <c r="L2246" s="151" t="s">
        <v>59</v>
      </c>
      <c r="M2246" s="152">
        <v>42618.682222222233</v>
      </c>
      <c r="N2246" s="151" t="s">
        <v>3697</v>
      </c>
      <c r="O2246" s="151"/>
      <c r="P2246" s="151"/>
      <c r="Q2246" s="7" t="str">
        <f>IF(ISBLANK(patch[[#This Row],[OwnerEmail]]),Q2245,patch[[#This Row],[OwnerEmail]])</f>
        <v>john.mathew@intel.com</v>
      </c>
      <c r="R2246" s="7" t="str">
        <f>_xlfn.IFNA(VLOOKUP(patch[[#This Row],[tmp-owner.email]],OrgTree!$A:$K, 11, 0), "not ICG SWFW")</f>
        <v>FL And dev</v>
      </c>
      <c r="S2246" s="7" t="str">
        <f>IF(patch[[#This Row],[reviewer]]=patch[[#This Row],[tmp-owner.email]], "author", _xlfn.IFNA(VLOOKUP(patch[[#This Row],[reviewer]],OrgTree!$A:$K, 11, 0), "not ICG SWFW"))</f>
        <v>BJ And dev</v>
      </c>
      <c r="T2246" s="7" t="str">
        <f>IF(ISBLANK(patch[[#This Row],[mergeDate]]), "", MID(YEAR(patch[[#This Row],[mergeDate]]), 3,2)&amp;"'ww"&amp;WEEKNUM(patch[[#This Row],[mergeDate]]))</f>
        <v>16'ww37</v>
      </c>
      <c r="U2246" s="7" t="str">
        <f>IF(ISBLANK(patch[[#This Row],[mergeDate]]), U2245, MID(YEAR(patch[[#This Row],[mergeDate]]), 3,2)&amp;"'m"&amp;MONTH(patch[[#This Row],[mergeDate]]))</f>
        <v>16'm9</v>
      </c>
      <c r="V2246" s="7" t="str">
        <f>IF(ISBLANK(patch[[#This Row],[project]]), "",SUM(patch[[#This Row],[BJ -1 num]:[SH -1 num]]))</f>
        <v/>
      </c>
      <c r="W2246" s="7" t="str">
        <f>IF(ISBLANK(patch[[#This Row],[project]]), "",COUNTIFS($A:$A,patch[[#This Row],[number]],$S:$S, "BJ And dev",$AC:$AC, "Review-1"))</f>
        <v/>
      </c>
      <c r="X2246" s="7" t="str">
        <f>IF(ISBLANK(patch[[#This Row],[project]]), "",COUNTIFS($A:$A,patch[[#This Row],[number]],$S:$S, "FL And dev",$AC:$AC, "Review-1"))</f>
        <v/>
      </c>
      <c r="Y2246" s="7" t="str">
        <f>IF(ISBLANK(patch[[#This Row],[project]]), "",COUNTIFS($A:$A,patch[[#This Row],[number]],$S:$S, "SH And dev",$AC:$AC, "Review-1"))</f>
        <v/>
      </c>
      <c r="Z2246" s="7" t="str">
        <f>IF(ISBLANK(patch[[#This Row],[project]]), "",COUNTIFS($A:$A,patch[[#This Row],[number]],$S:$S, "BJ And dev",$AD:$AD, "&lt;&gt;IntegratorValidationComment"))</f>
        <v/>
      </c>
      <c r="AA2246" s="7" t="str">
        <f>IF(ISBLANK(patch[[#This Row],[project]]), "",COUNTIFS($A:$A,patch[[#This Row],[number]],$S:$S, "FL And dev",$AD:$AD, "&lt;&gt;IntegratorValidationComment"))</f>
        <v/>
      </c>
      <c r="AB2246" s="7" t="str">
        <f>IF(ISBLANK(patch[[#This Row],[project]]), "",COUNTIFS($A:$A,patch[[#This Row],[number]],$S:$S, "SH And dev",$AD:$AD, "&lt;&gt;IntegratorValidationComment"))</f>
        <v/>
      </c>
      <c r="AC2246" s="7" t="str">
        <f>IF(OR(ISNUMBER(FIND("Review-1", patch[[#This Row],[comments]])), ISNUMBER(FIND("Approver-1", patch[[#This Row],[comments]]))), "Review-1", "")</f>
        <v/>
      </c>
      <c r="AD22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46" s="7">
        <f>IF(ISBLANK(patch[[#This Row],[number]]),AE2245,patch[[#This Row],[ifCommon]])</f>
        <v>0</v>
      </c>
    </row>
    <row r="2247" spans="1:31">
      <c r="A2247" s="151">
        <v>143325</v>
      </c>
      <c r="B2247" s="151"/>
      <c r="C2247" s="151"/>
      <c r="D2247" s="151"/>
      <c r="E2247" s="151"/>
      <c r="F2247" s="151"/>
      <c r="G2247" s="151"/>
      <c r="H2247" s="151"/>
      <c r="I2247" s="151"/>
      <c r="J2247" s="152">
        <v>42619.714918981481</v>
      </c>
      <c r="K2247" s="151"/>
      <c r="L2247" s="151" t="s">
        <v>55</v>
      </c>
      <c r="M2247" s="152">
        <v>42618.682893518519</v>
      </c>
      <c r="N2247" s="151" t="s">
        <v>40</v>
      </c>
      <c r="O2247" s="151"/>
      <c r="P2247" s="151"/>
      <c r="Q2247" s="7" t="str">
        <f>IF(ISBLANK(patch[[#This Row],[OwnerEmail]]),Q2246,patch[[#This Row],[OwnerEmail]])</f>
        <v>john.mathew@intel.com</v>
      </c>
      <c r="R2247" s="7" t="str">
        <f>_xlfn.IFNA(VLOOKUP(patch[[#This Row],[tmp-owner.email]],OrgTree!$A:$K, 11, 0), "not ICG SWFW")</f>
        <v>FL And dev</v>
      </c>
      <c r="S2247" s="7" t="str">
        <f>IF(patch[[#This Row],[reviewer]]=patch[[#This Row],[tmp-owner.email]], "author", _xlfn.IFNA(VLOOKUP(patch[[#This Row],[reviewer]],OrgTree!$A:$K, 11, 0), "not ICG SWFW"))</f>
        <v>BJ And dev</v>
      </c>
      <c r="T2247" s="7" t="str">
        <f>IF(ISBLANK(patch[[#This Row],[mergeDate]]), "", MID(YEAR(patch[[#This Row],[mergeDate]]), 3,2)&amp;"'ww"&amp;WEEKNUM(patch[[#This Row],[mergeDate]]))</f>
        <v>16'ww37</v>
      </c>
      <c r="U2247" s="7" t="str">
        <f>IF(ISBLANK(patch[[#This Row],[mergeDate]]), U2246, MID(YEAR(patch[[#This Row],[mergeDate]]), 3,2)&amp;"'m"&amp;MONTH(patch[[#This Row],[mergeDate]]))</f>
        <v>16'm9</v>
      </c>
      <c r="V2247" s="7" t="str">
        <f>IF(ISBLANK(patch[[#This Row],[project]]), "",SUM(patch[[#This Row],[BJ -1 num]:[SH -1 num]]))</f>
        <v/>
      </c>
      <c r="W2247" s="7" t="str">
        <f>IF(ISBLANK(patch[[#This Row],[project]]), "",COUNTIFS($A:$A,patch[[#This Row],[number]],$S:$S, "BJ And dev",$AC:$AC, "Review-1"))</f>
        <v/>
      </c>
      <c r="X2247" s="7" t="str">
        <f>IF(ISBLANK(patch[[#This Row],[project]]), "",COUNTIFS($A:$A,patch[[#This Row],[number]],$S:$S, "FL And dev",$AC:$AC, "Review-1"))</f>
        <v/>
      </c>
      <c r="Y2247" s="7" t="str">
        <f>IF(ISBLANK(patch[[#This Row],[project]]), "",COUNTIFS($A:$A,patch[[#This Row],[number]],$S:$S, "SH And dev",$AC:$AC, "Review-1"))</f>
        <v/>
      </c>
      <c r="Z2247" s="7" t="str">
        <f>IF(ISBLANK(patch[[#This Row],[project]]), "",COUNTIFS($A:$A,patch[[#This Row],[number]],$S:$S, "BJ And dev",$AD:$AD, "&lt;&gt;IntegratorValidationComment"))</f>
        <v/>
      </c>
      <c r="AA2247" s="7" t="str">
        <f>IF(ISBLANK(patch[[#This Row],[project]]), "",COUNTIFS($A:$A,patch[[#This Row],[number]],$S:$S, "FL And dev",$AD:$AD, "&lt;&gt;IntegratorValidationComment"))</f>
        <v/>
      </c>
      <c r="AB2247" s="7" t="str">
        <f>IF(ISBLANK(patch[[#This Row],[project]]), "",COUNTIFS($A:$A,patch[[#This Row],[number]],$S:$S, "SH And dev",$AD:$AD, "&lt;&gt;IntegratorValidationComment"))</f>
        <v/>
      </c>
      <c r="AC2247" s="7" t="str">
        <f>IF(OR(ISNUMBER(FIND("Review-1", patch[[#This Row],[comments]])), ISNUMBER(FIND("Approver-1", patch[[#This Row],[comments]]))), "Review-1", "")</f>
        <v/>
      </c>
      <c r="AD22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47" s="7">
        <f>IF(ISBLANK(patch[[#This Row],[number]]),AE2246,patch[[#This Row],[ifCommon]])</f>
        <v>0</v>
      </c>
    </row>
    <row r="2248" spans="1:31">
      <c r="A2248" s="151">
        <v>143325</v>
      </c>
      <c r="B2248" s="151"/>
      <c r="C2248" s="151"/>
      <c r="D2248" s="151"/>
      <c r="E2248" s="151"/>
      <c r="F2248" s="151"/>
      <c r="G2248" s="151"/>
      <c r="H2248" s="151"/>
      <c r="I2248" s="151"/>
      <c r="J2248" s="152">
        <v>42619.714918981481</v>
      </c>
      <c r="K2248" s="151"/>
      <c r="L2248" s="151" t="s">
        <v>32</v>
      </c>
      <c r="M2248" s="152">
        <v>42618.700891203713</v>
      </c>
      <c r="N2248" s="151" t="s">
        <v>58</v>
      </c>
      <c r="O2248" s="151"/>
      <c r="P2248" s="151"/>
      <c r="Q2248" s="7" t="str">
        <f>IF(ISBLANK(patch[[#This Row],[OwnerEmail]]),Q2247,patch[[#This Row],[OwnerEmail]])</f>
        <v>john.mathew@intel.com</v>
      </c>
      <c r="R2248" s="7" t="str">
        <f>_xlfn.IFNA(VLOOKUP(patch[[#This Row],[tmp-owner.email]],OrgTree!$A:$K, 11, 0), "not ICG SWFW")</f>
        <v>FL And dev</v>
      </c>
      <c r="S2248" s="7" t="str">
        <f>IF(patch[[#This Row],[reviewer]]=patch[[#This Row],[tmp-owner.email]], "author", _xlfn.IFNA(VLOOKUP(patch[[#This Row],[reviewer]],OrgTree!$A:$K, 11, 0), "not ICG SWFW"))</f>
        <v>BJ And dev</v>
      </c>
      <c r="T2248" s="7" t="str">
        <f>IF(ISBLANK(patch[[#This Row],[mergeDate]]), "", MID(YEAR(patch[[#This Row],[mergeDate]]), 3,2)&amp;"'ww"&amp;WEEKNUM(patch[[#This Row],[mergeDate]]))</f>
        <v>16'ww37</v>
      </c>
      <c r="U2248" s="7" t="str">
        <f>IF(ISBLANK(patch[[#This Row],[mergeDate]]), U2247, MID(YEAR(patch[[#This Row],[mergeDate]]), 3,2)&amp;"'m"&amp;MONTH(patch[[#This Row],[mergeDate]]))</f>
        <v>16'm9</v>
      </c>
      <c r="V2248" s="7" t="str">
        <f>IF(ISBLANK(patch[[#This Row],[project]]), "",SUM(patch[[#This Row],[BJ -1 num]:[SH -1 num]]))</f>
        <v/>
      </c>
      <c r="W2248" s="7" t="str">
        <f>IF(ISBLANK(patch[[#This Row],[project]]), "",COUNTIFS($A:$A,patch[[#This Row],[number]],$S:$S, "BJ And dev",$AC:$AC, "Review-1"))</f>
        <v/>
      </c>
      <c r="X2248" s="7" t="str">
        <f>IF(ISBLANK(patch[[#This Row],[project]]), "",COUNTIFS($A:$A,patch[[#This Row],[number]],$S:$S, "FL And dev",$AC:$AC, "Review-1"))</f>
        <v/>
      </c>
      <c r="Y2248" s="7" t="str">
        <f>IF(ISBLANK(patch[[#This Row],[project]]), "",COUNTIFS($A:$A,patch[[#This Row],[number]],$S:$S, "SH And dev",$AC:$AC, "Review-1"))</f>
        <v/>
      </c>
      <c r="Z2248" s="7" t="str">
        <f>IF(ISBLANK(patch[[#This Row],[project]]), "",COUNTIFS($A:$A,patch[[#This Row],[number]],$S:$S, "BJ And dev",$AD:$AD, "&lt;&gt;IntegratorValidationComment"))</f>
        <v/>
      </c>
      <c r="AA2248" s="7" t="str">
        <f>IF(ISBLANK(patch[[#This Row],[project]]), "",COUNTIFS($A:$A,patch[[#This Row],[number]],$S:$S, "FL And dev",$AD:$AD, "&lt;&gt;IntegratorValidationComment"))</f>
        <v/>
      </c>
      <c r="AB2248" s="7" t="str">
        <f>IF(ISBLANK(patch[[#This Row],[project]]), "",COUNTIFS($A:$A,patch[[#This Row],[number]],$S:$S, "SH And dev",$AD:$AD, "&lt;&gt;IntegratorValidationComment"))</f>
        <v/>
      </c>
      <c r="AC2248" s="7" t="str">
        <f>IF(OR(ISNUMBER(FIND("Review-1", patch[[#This Row],[comments]])), ISNUMBER(FIND("Approver-1", patch[[#This Row],[comments]]))), "Review-1", "")</f>
        <v/>
      </c>
      <c r="AD22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48" s="7">
        <f>IF(ISBLANK(patch[[#This Row],[number]]),AE2247,patch[[#This Row],[ifCommon]])</f>
        <v>0</v>
      </c>
    </row>
    <row r="2249" spans="1:31">
      <c r="A2249" s="151">
        <v>143325</v>
      </c>
      <c r="B2249" s="151"/>
      <c r="C2249" s="151"/>
      <c r="D2249" s="151"/>
      <c r="E2249" s="151"/>
      <c r="F2249" s="151"/>
      <c r="G2249" s="151"/>
      <c r="H2249" s="151"/>
      <c r="I2249" s="151"/>
      <c r="J2249" s="152">
        <v>42619.714918981481</v>
      </c>
      <c r="K2249" s="151"/>
      <c r="L2249" s="151" t="s">
        <v>115</v>
      </c>
      <c r="M2249" s="152">
        <v>42619.427881944437</v>
      </c>
      <c r="N2249" s="151" t="s">
        <v>2494</v>
      </c>
      <c r="O2249" s="151"/>
      <c r="P2249" s="151"/>
      <c r="Q2249" s="7" t="str">
        <f>IF(ISBLANK(patch[[#This Row],[OwnerEmail]]),Q2248,patch[[#This Row],[OwnerEmail]])</f>
        <v>john.mathew@intel.com</v>
      </c>
      <c r="R2249" s="7" t="str">
        <f>_xlfn.IFNA(VLOOKUP(patch[[#This Row],[tmp-owner.email]],OrgTree!$A:$K, 11, 0), "not ICG SWFW")</f>
        <v>FL And dev</v>
      </c>
      <c r="S2249" s="7" t="str">
        <f>IF(patch[[#This Row],[reviewer]]=patch[[#This Row],[tmp-owner.email]], "author", _xlfn.IFNA(VLOOKUP(patch[[#This Row],[reviewer]],OrgTree!$A:$K, 11, 0), "not ICG SWFW"))</f>
        <v>Val</v>
      </c>
      <c r="T2249" s="7" t="str">
        <f>IF(ISBLANK(patch[[#This Row],[mergeDate]]), "", MID(YEAR(patch[[#This Row],[mergeDate]]), 3,2)&amp;"'ww"&amp;WEEKNUM(patch[[#This Row],[mergeDate]]))</f>
        <v>16'ww37</v>
      </c>
      <c r="U2249" s="7" t="str">
        <f>IF(ISBLANK(patch[[#This Row],[mergeDate]]), U2248, MID(YEAR(patch[[#This Row],[mergeDate]]), 3,2)&amp;"'m"&amp;MONTH(patch[[#This Row],[mergeDate]]))</f>
        <v>16'm9</v>
      </c>
      <c r="V2249" s="7" t="str">
        <f>IF(ISBLANK(patch[[#This Row],[project]]), "",SUM(patch[[#This Row],[BJ -1 num]:[SH -1 num]]))</f>
        <v/>
      </c>
      <c r="W2249" s="7" t="str">
        <f>IF(ISBLANK(patch[[#This Row],[project]]), "",COUNTIFS($A:$A,patch[[#This Row],[number]],$S:$S, "BJ And dev",$AC:$AC, "Review-1"))</f>
        <v/>
      </c>
      <c r="X2249" s="7" t="str">
        <f>IF(ISBLANK(patch[[#This Row],[project]]), "",COUNTIFS($A:$A,patch[[#This Row],[number]],$S:$S, "FL And dev",$AC:$AC, "Review-1"))</f>
        <v/>
      </c>
      <c r="Y2249" s="7" t="str">
        <f>IF(ISBLANK(patch[[#This Row],[project]]), "",COUNTIFS($A:$A,patch[[#This Row],[number]],$S:$S, "SH And dev",$AC:$AC, "Review-1"))</f>
        <v/>
      </c>
      <c r="Z2249" s="7" t="str">
        <f>IF(ISBLANK(patch[[#This Row],[project]]), "",COUNTIFS($A:$A,patch[[#This Row],[number]],$S:$S, "BJ And dev",$AD:$AD, "&lt;&gt;IntegratorValidationComment"))</f>
        <v/>
      </c>
      <c r="AA2249" s="7" t="str">
        <f>IF(ISBLANK(patch[[#This Row],[project]]), "",COUNTIFS($A:$A,patch[[#This Row],[number]],$S:$S, "FL And dev",$AD:$AD, "&lt;&gt;IntegratorValidationComment"))</f>
        <v/>
      </c>
      <c r="AB2249" s="7" t="str">
        <f>IF(ISBLANK(patch[[#This Row],[project]]), "",COUNTIFS($A:$A,patch[[#This Row],[number]],$S:$S, "SH And dev",$AD:$AD, "&lt;&gt;IntegratorValidationComment"))</f>
        <v/>
      </c>
      <c r="AC2249" s="7" t="str">
        <f>IF(OR(ISNUMBER(FIND("Review-1", patch[[#This Row],[comments]])), ISNUMBER(FIND("Approver-1", patch[[#This Row],[comments]]))), "Review-1", "")</f>
        <v/>
      </c>
      <c r="AD22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249" s="7">
        <f>IF(ISBLANK(patch[[#This Row],[number]]),AE2248,patch[[#This Row],[ifCommon]])</f>
        <v>0</v>
      </c>
    </row>
    <row r="2250" spans="1:31">
      <c r="A2250" s="151">
        <v>142709</v>
      </c>
      <c r="B2250" s="151" t="s">
        <v>2490</v>
      </c>
      <c r="C2250" s="151" t="s">
        <v>2491</v>
      </c>
      <c r="D2250" s="151" t="s">
        <v>3698</v>
      </c>
      <c r="E2250" s="151" t="s">
        <v>72</v>
      </c>
      <c r="F2250" s="151" t="s">
        <v>23</v>
      </c>
      <c r="G2250" s="151" t="s">
        <v>3699</v>
      </c>
      <c r="H2250" s="151" t="s">
        <v>3700</v>
      </c>
      <c r="I2250" s="152">
        <v>42614.517893518518</v>
      </c>
      <c r="J2250" s="152">
        <v>42619.714861111112</v>
      </c>
      <c r="K2250" s="151" t="s">
        <v>2445</v>
      </c>
      <c r="L2250" s="151" t="s">
        <v>72</v>
      </c>
      <c r="M2250" s="152">
        <v>42614.517893518518</v>
      </c>
      <c r="N2250" s="151" t="s">
        <v>25</v>
      </c>
      <c r="O2250" s="151"/>
      <c r="P2250" s="151" t="s">
        <v>3701</v>
      </c>
      <c r="Q2250" s="7" t="str">
        <f>IF(ISBLANK(patch[[#This Row],[OwnerEmail]]),Q2249,patch[[#This Row],[OwnerEmail]])</f>
        <v>bin.b.yang@intel.com</v>
      </c>
      <c r="R2250" s="7" t="str">
        <f>_xlfn.IFNA(VLOOKUP(patch[[#This Row],[tmp-owner.email]],OrgTree!$A:$K, 11, 0), "not ICG SWFW")</f>
        <v>BJ And dev</v>
      </c>
      <c r="S2250" s="7" t="str">
        <f>IF(patch[[#This Row],[reviewer]]=patch[[#This Row],[tmp-owner.email]], "author", _xlfn.IFNA(VLOOKUP(patch[[#This Row],[reviewer]],OrgTree!$A:$K, 11, 0), "not ICG SWFW"))</f>
        <v>author</v>
      </c>
      <c r="T2250" s="7" t="str">
        <f>IF(ISBLANK(patch[[#This Row],[mergeDate]]), "", MID(YEAR(patch[[#This Row],[mergeDate]]), 3,2)&amp;"'ww"&amp;WEEKNUM(patch[[#This Row],[mergeDate]]))</f>
        <v>16'ww37</v>
      </c>
      <c r="U2250" s="7" t="str">
        <f>IF(ISBLANK(patch[[#This Row],[mergeDate]]), U2249, MID(YEAR(patch[[#This Row],[mergeDate]]), 3,2)&amp;"'m"&amp;MONTH(patch[[#This Row],[mergeDate]]))</f>
        <v>16'm9</v>
      </c>
      <c r="V2250" s="7">
        <f>IF(ISBLANK(patch[[#This Row],[project]]), "",SUM(patch[[#This Row],[BJ -1 num]:[SH -1 num]]))</f>
        <v>0</v>
      </c>
      <c r="W2250" s="7">
        <f>IF(ISBLANK(patch[[#This Row],[project]]), "",COUNTIFS($A:$A,patch[[#This Row],[number]],$S:$S, "BJ And dev",$AC:$AC, "Review-1"))</f>
        <v>0</v>
      </c>
      <c r="X2250" s="7">
        <f>IF(ISBLANK(patch[[#This Row],[project]]), "",COUNTIFS($A:$A,patch[[#This Row],[number]],$S:$S, "FL And dev",$AC:$AC, "Review-1"))</f>
        <v>0</v>
      </c>
      <c r="Y2250" s="7">
        <f>IF(ISBLANK(patch[[#This Row],[project]]), "",COUNTIFS($A:$A,patch[[#This Row],[number]],$S:$S, "SH And dev",$AC:$AC, "Review-1"))</f>
        <v>0</v>
      </c>
      <c r="Z2250" s="7">
        <f>IF(ISBLANK(patch[[#This Row],[project]]), "",COUNTIFS($A:$A,patch[[#This Row],[number]],$S:$S, "BJ And dev",$AD:$AD, "&lt;&gt;IntegratorValidationComment"))</f>
        <v>27</v>
      </c>
      <c r="AA2250" s="7">
        <f>IF(ISBLANK(patch[[#This Row],[project]]), "",COUNTIFS($A:$A,patch[[#This Row],[number]],$S:$S, "FL And dev",$AD:$AD, "&lt;&gt;IntegratorValidationComment"))</f>
        <v>0</v>
      </c>
      <c r="AB2250" s="7">
        <f>IF(ISBLANK(patch[[#This Row],[project]]), "",COUNTIFS($A:$A,patch[[#This Row],[number]],$S:$S, "SH And dev",$AD:$AD, "&lt;&gt;IntegratorValidationComment"))</f>
        <v>0</v>
      </c>
      <c r="AC2250" s="7" t="str">
        <f>IF(OR(ISNUMBER(FIND("Review-1", patch[[#This Row],[comments]])), ISNUMBER(FIND("Approver-1", patch[[#This Row],[comments]]))), "Review-1", "")</f>
        <v/>
      </c>
      <c r="AD22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50" s="7" t="str">
        <f>IF(ISBLANK(patch[[#This Row],[number]]),AE2249,patch[[#This Row],[ifCommon]])</f>
        <v>not AndrHAL</v>
      </c>
    </row>
    <row r="2251" spans="1:31">
      <c r="A2251" s="151">
        <v>142709</v>
      </c>
      <c r="B2251" s="151"/>
      <c r="C2251" s="151"/>
      <c r="D2251" s="151"/>
      <c r="E2251" s="151"/>
      <c r="F2251" s="151"/>
      <c r="G2251" s="151"/>
      <c r="H2251" s="151"/>
      <c r="I2251" s="152"/>
      <c r="J2251" s="152">
        <v>42619.714861111112</v>
      </c>
      <c r="K2251" s="151"/>
      <c r="L2251" s="151" t="s">
        <v>72</v>
      </c>
      <c r="M2251" s="152">
        <v>42614.517893518518</v>
      </c>
      <c r="N2251" s="151" t="s">
        <v>2428</v>
      </c>
      <c r="O2251" s="151"/>
      <c r="P2251" s="151"/>
      <c r="Q2251" s="7" t="str">
        <f>IF(ISBLANK(patch[[#This Row],[OwnerEmail]]),Q2250,patch[[#This Row],[OwnerEmail]])</f>
        <v>bin.b.yang@intel.com</v>
      </c>
      <c r="R2251" s="7" t="str">
        <f>_xlfn.IFNA(VLOOKUP(patch[[#This Row],[tmp-owner.email]],OrgTree!$A:$K, 11, 0), "not ICG SWFW")</f>
        <v>BJ And dev</v>
      </c>
      <c r="S2251" s="7" t="str">
        <f>IF(patch[[#This Row],[reviewer]]=patch[[#This Row],[tmp-owner.email]], "author", _xlfn.IFNA(VLOOKUP(patch[[#This Row],[reviewer]],OrgTree!$A:$K, 11, 0), "not ICG SWFW"))</f>
        <v>author</v>
      </c>
      <c r="T2251" s="7" t="str">
        <f>IF(ISBLANK(patch[[#This Row],[mergeDate]]), "", MID(YEAR(patch[[#This Row],[mergeDate]]), 3,2)&amp;"'ww"&amp;WEEKNUM(patch[[#This Row],[mergeDate]]))</f>
        <v>16'ww37</v>
      </c>
      <c r="U2251" s="7" t="str">
        <f>IF(ISBLANK(patch[[#This Row],[mergeDate]]), U2250, MID(YEAR(patch[[#This Row],[mergeDate]]), 3,2)&amp;"'m"&amp;MONTH(patch[[#This Row],[mergeDate]]))</f>
        <v>16'm9</v>
      </c>
      <c r="V2251" s="7" t="str">
        <f>IF(ISBLANK(patch[[#This Row],[project]]), "",SUM(patch[[#This Row],[BJ -1 num]:[SH -1 num]]))</f>
        <v/>
      </c>
      <c r="W2251" s="7" t="str">
        <f>IF(ISBLANK(patch[[#This Row],[project]]), "",COUNTIFS($A:$A,patch[[#This Row],[number]],$S:$S, "BJ And dev",$AC:$AC, "Review-1"))</f>
        <v/>
      </c>
      <c r="X2251" s="7" t="str">
        <f>IF(ISBLANK(patch[[#This Row],[project]]), "",COUNTIFS($A:$A,patch[[#This Row],[number]],$S:$S, "FL And dev",$AC:$AC, "Review-1"))</f>
        <v/>
      </c>
      <c r="Y2251" s="7" t="str">
        <f>IF(ISBLANK(patch[[#This Row],[project]]), "",COUNTIFS($A:$A,patch[[#This Row],[number]],$S:$S, "SH And dev",$AC:$AC, "Review-1"))</f>
        <v/>
      </c>
      <c r="Z2251" s="7" t="str">
        <f>IF(ISBLANK(patch[[#This Row],[project]]), "",COUNTIFS($A:$A,patch[[#This Row],[number]],$S:$S, "BJ And dev",$AD:$AD, "&lt;&gt;IntegratorValidationComment"))</f>
        <v/>
      </c>
      <c r="AA2251" s="7" t="str">
        <f>IF(ISBLANK(patch[[#This Row],[project]]), "",COUNTIFS($A:$A,patch[[#This Row],[number]],$S:$S, "FL And dev",$AD:$AD, "&lt;&gt;IntegratorValidationComment"))</f>
        <v/>
      </c>
      <c r="AB2251" s="7" t="str">
        <f>IF(ISBLANK(patch[[#This Row],[project]]), "",COUNTIFS($A:$A,patch[[#This Row],[number]],$S:$S, "SH And dev",$AD:$AD, "&lt;&gt;IntegratorValidationComment"))</f>
        <v/>
      </c>
      <c r="AC2251" s="7" t="str">
        <f>IF(OR(ISNUMBER(FIND("Review-1", patch[[#This Row],[comments]])), ISNUMBER(FIND("Approver-1", patch[[#This Row],[comments]]))), "Review-1", "")</f>
        <v/>
      </c>
      <c r="AD22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51" s="7">
        <f>IF(ISBLANK(patch[[#This Row],[number]]),AE2250,patch[[#This Row],[ifCommon]])</f>
        <v>0</v>
      </c>
    </row>
    <row r="2252" spans="1:31">
      <c r="A2252" s="151">
        <v>142709</v>
      </c>
      <c r="B2252" s="151"/>
      <c r="C2252" s="151"/>
      <c r="D2252" s="151"/>
      <c r="E2252" s="151"/>
      <c r="F2252" s="151"/>
      <c r="G2252" s="151"/>
      <c r="H2252" s="151"/>
      <c r="I2252" s="152"/>
      <c r="J2252" s="152">
        <v>42619.714861111112</v>
      </c>
      <c r="K2252" s="151"/>
      <c r="L2252" s="151" t="s">
        <v>59</v>
      </c>
      <c r="M2252" s="152">
        <v>42614.521608796298</v>
      </c>
      <c r="N2252" s="151" t="s">
        <v>3702</v>
      </c>
      <c r="O2252" s="151"/>
      <c r="P2252" s="151"/>
      <c r="Q2252" s="7" t="str">
        <f>IF(ISBLANK(patch[[#This Row],[OwnerEmail]]),Q2251,patch[[#This Row],[OwnerEmail]])</f>
        <v>bin.b.yang@intel.com</v>
      </c>
      <c r="R2252" s="7" t="str">
        <f>_xlfn.IFNA(VLOOKUP(patch[[#This Row],[tmp-owner.email]],OrgTree!$A:$K, 11, 0), "not ICG SWFW")</f>
        <v>BJ And dev</v>
      </c>
      <c r="S2252" s="7" t="str">
        <f>IF(patch[[#This Row],[reviewer]]=patch[[#This Row],[tmp-owner.email]], "author", _xlfn.IFNA(VLOOKUP(patch[[#This Row],[reviewer]],OrgTree!$A:$K, 11, 0), "not ICG SWFW"))</f>
        <v>BJ And dev</v>
      </c>
      <c r="T2252" s="7" t="str">
        <f>IF(ISBLANK(patch[[#This Row],[mergeDate]]), "", MID(YEAR(patch[[#This Row],[mergeDate]]), 3,2)&amp;"'ww"&amp;WEEKNUM(patch[[#This Row],[mergeDate]]))</f>
        <v>16'ww37</v>
      </c>
      <c r="U2252" s="7" t="str">
        <f>IF(ISBLANK(patch[[#This Row],[mergeDate]]), U2251, MID(YEAR(patch[[#This Row],[mergeDate]]), 3,2)&amp;"'m"&amp;MONTH(patch[[#This Row],[mergeDate]]))</f>
        <v>16'm9</v>
      </c>
      <c r="V2252" s="7" t="str">
        <f>IF(ISBLANK(patch[[#This Row],[project]]), "",SUM(patch[[#This Row],[BJ -1 num]:[SH -1 num]]))</f>
        <v/>
      </c>
      <c r="W2252" s="7" t="str">
        <f>IF(ISBLANK(patch[[#This Row],[project]]), "",COUNTIFS($A:$A,patch[[#This Row],[number]],$S:$S, "BJ And dev",$AC:$AC, "Review-1"))</f>
        <v/>
      </c>
      <c r="X2252" s="7" t="str">
        <f>IF(ISBLANK(patch[[#This Row],[project]]), "",COUNTIFS($A:$A,patch[[#This Row],[number]],$S:$S, "FL And dev",$AC:$AC, "Review-1"))</f>
        <v/>
      </c>
      <c r="Y2252" s="7" t="str">
        <f>IF(ISBLANK(patch[[#This Row],[project]]), "",COUNTIFS($A:$A,patch[[#This Row],[number]],$S:$S, "SH And dev",$AC:$AC, "Review-1"))</f>
        <v/>
      </c>
      <c r="Z2252" s="7" t="str">
        <f>IF(ISBLANK(patch[[#This Row],[project]]), "",COUNTIFS($A:$A,patch[[#This Row],[number]],$S:$S, "BJ And dev",$AD:$AD, "&lt;&gt;IntegratorValidationComment"))</f>
        <v/>
      </c>
      <c r="AA2252" s="7" t="str">
        <f>IF(ISBLANK(patch[[#This Row],[project]]), "",COUNTIFS($A:$A,patch[[#This Row],[number]],$S:$S, "FL And dev",$AD:$AD, "&lt;&gt;IntegratorValidationComment"))</f>
        <v/>
      </c>
      <c r="AB2252" s="7" t="str">
        <f>IF(ISBLANK(patch[[#This Row],[project]]), "",COUNTIFS($A:$A,patch[[#This Row],[number]],$S:$S, "SH And dev",$AD:$AD, "&lt;&gt;IntegratorValidationComment"))</f>
        <v/>
      </c>
      <c r="AC2252" s="7" t="str">
        <f>IF(OR(ISNUMBER(FIND("Review-1", patch[[#This Row],[comments]])), ISNUMBER(FIND("Approver-1", patch[[#This Row],[comments]]))), "Review-1", "")</f>
        <v/>
      </c>
      <c r="AD22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52" s="7">
        <f>IF(ISBLANK(patch[[#This Row],[number]]),AE2251,patch[[#This Row],[ifCommon]])</f>
        <v>0</v>
      </c>
    </row>
    <row r="2253" spans="1:31">
      <c r="A2253" s="151">
        <v>142709</v>
      </c>
      <c r="B2253" s="151"/>
      <c r="C2253" s="151"/>
      <c r="D2253" s="151"/>
      <c r="E2253" s="151"/>
      <c r="F2253" s="151"/>
      <c r="G2253" s="151"/>
      <c r="H2253" s="151"/>
      <c r="I2253" s="151"/>
      <c r="J2253" s="152">
        <v>42619.714861111112</v>
      </c>
      <c r="K2253" s="151"/>
      <c r="L2253" s="151" t="s">
        <v>59</v>
      </c>
      <c r="M2253" s="152">
        <v>42614.525046296287</v>
      </c>
      <c r="N2253" s="151" t="s">
        <v>3703</v>
      </c>
      <c r="O2253" s="151"/>
      <c r="P2253" s="151"/>
      <c r="Q2253" s="7" t="str">
        <f>IF(ISBLANK(patch[[#This Row],[OwnerEmail]]),Q2252,patch[[#This Row],[OwnerEmail]])</f>
        <v>bin.b.yang@intel.com</v>
      </c>
      <c r="R2253" s="7" t="str">
        <f>_xlfn.IFNA(VLOOKUP(patch[[#This Row],[tmp-owner.email]],OrgTree!$A:$K, 11, 0), "not ICG SWFW")</f>
        <v>BJ And dev</v>
      </c>
      <c r="S2253" s="7" t="str">
        <f>IF(patch[[#This Row],[reviewer]]=patch[[#This Row],[tmp-owner.email]], "author", _xlfn.IFNA(VLOOKUP(patch[[#This Row],[reviewer]],OrgTree!$A:$K, 11, 0), "not ICG SWFW"))</f>
        <v>BJ And dev</v>
      </c>
      <c r="T2253" s="7" t="str">
        <f>IF(ISBLANK(patch[[#This Row],[mergeDate]]), "", MID(YEAR(patch[[#This Row],[mergeDate]]), 3,2)&amp;"'ww"&amp;WEEKNUM(patch[[#This Row],[mergeDate]]))</f>
        <v>16'ww37</v>
      </c>
      <c r="U2253" s="7" t="str">
        <f>IF(ISBLANK(patch[[#This Row],[mergeDate]]), U2252, MID(YEAR(patch[[#This Row],[mergeDate]]), 3,2)&amp;"'m"&amp;MONTH(patch[[#This Row],[mergeDate]]))</f>
        <v>16'm9</v>
      </c>
      <c r="V2253" s="7" t="str">
        <f>IF(ISBLANK(patch[[#This Row],[project]]), "",SUM(patch[[#This Row],[BJ -1 num]:[SH -1 num]]))</f>
        <v/>
      </c>
      <c r="W2253" s="7" t="str">
        <f>IF(ISBLANK(patch[[#This Row],[project]]), "",COUNTIFS($A:$A,patch[[#This Row],[number]],$S:$S, "BJ And dev",$AC:$AC, "Review-1"))</f>
        <v/>
      </c>
      <c r="X2253" s="7" t="str">
        <f>IF(ISBLANK(patch[[#This Row],[project]]), "",COUNTIFS($A:$A,patch[[#This Row],[number]],$S:$S, "FL And dev",$AC:$AC, "Review-1"))</f>
        <v/>
      </c>
      <c r="Y2253" s="7" t="str">
        <f>IF(ISBLANK(patch[[#This Row],[project]]), "",COUNTIFS($A:$A,patch[[#This Row],[number]],$S:$S, "SH And dev",$AC:$AC, "Review-1"))</f>
        <v/>
      </c>
      <c r="Z2253" s="7" t="str">
        <f>IF(ISBLANK(patch[[#This Row],[project]]), "",COUNTIFS($A:$A,patch[[#This Row],[number]],$S:$S, "BJ And dev",$AD:$AD, "&lt;&gt;IntegratorValidationComment"))</f>
        <v/>
      </c>
      <c r="AA2253" s="7" t="str">
        <f>IF(ISBLANK(patch[[#This Row],[project]]), "",COUNTIFS($A:$A,patch[[#This Row],[number]],$S:$S, "FL And dev",$AD:$AD, "&lt;&gt;IntegratorValidationComment"))</f>
        <v/>
      </c>
      <c r="AB2253" s="7" t="str">
        <f>IF(ISBLANK(patch[[#This Row],[project]]), "",COUNTIFS($A:$A,patch[[#This Row],[number]],$S:$S, "SH And dev",$AD:$AD, "&lt;&gt;IntegratorValidationComment"))</f>
        <v/>
      </c>
      <c r="AC2253" s="7" t="str">
        <f>IF(OR(ISNUMBER(FIND("Review-1", patch[[#This Row],[comments]])), ISNUMBER(FIND("Approver-1", patch[[#This Row],[comments]]))), "Review-1", "")</f>
        <v/>
      </c>
      <c r="AD22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53" s="7">
        <f>IF(ISBLANK(patch[[#This Row],[number]]),AE2252,patch[[#This Row],[ifCommon]])</f>
        <v>0</v>
      </c>
    </row>
    <row r="2254" spans="1:31">
      <c r="A2254" s="151">
        <v>142709</v>
      </c>
      <c r="B2254" s="151"/>
      <c r="C2254" s="151"/>
      <c r="D2254" s="151"/>
      <c r="E2254" s="151"/>
      <c r="F2254" s="151"/>
      <c r="G2254" s="151"/>
      <c r="H2254" s="151"/>
      <c r="I2254" s="151"/>
      <c r="J2254" s="152">
        <v>42619.714861111112</v>
      </c>
      <c r="K2254" s="151"/>
      <c r="L2254" s="151" t="s">
        <v>59</v>
      </c>
      <c r="M2254" s="152">
        <v>42614.563935185193</v>
      </c>
      <c r="N2254" s="151" t="s">
        <v>3704</v>
      </c>
      <c r="O2254" s="151"/>
      <c r="P2254" s="151"/>
      <c r="Q2254" s="7" t="str">
        <f>IF(ISBLANK(patch[[#This Row],[OwnerEmail]]),Q2253,patch[[#This Row],[OwnerEmail]])</f>
        <v>bin.b.yang@intel.com</v>
      </c>
      <c r="R2254" s="7" t="str">
        <f>_xlfn.IFNA(VLOOKUP(patch[[#This Row],[tmp-owner.email]],OrgTree!$A:$K, 11, 0), "not ICG SWFW")</f>
        <v>BJ And dev</v>
      </c>
      <c r="S2254" s="7" t="str">
        <f>IF(patch[[#This Row],[reviewer]]=patch[[#This Row],[tmp-owner.email]], "author", _xlfn.IFNA(VLOOKUP(patch[[#This Row],[reviewer]],OrgTree!$A:$K, 11, 0), "not ICG SWFW"))</f>
        <v>BJ And dev</v>
      </c>
      <c r="T2254" s="7" t="str">
        <f>IF(ISBLANK(patch[[#This Row],[mergeDate]]), "", MID(YEAR(patch[[#This Row],[mergeDate]]), 3,2)&amp;"'ww"&amp;WEEKNUM(patch[[#This Row],[mergeDate]]))</f>
        <v>16'ww37</v>
      </c>
      <c r="U2254" s="7" t="str">
        <f>IF(ISBLANK(patch[[#This Row],[mergeDate]]), U2253, MID(YEAR(patch[[#This Row],[mergeDate]]), 3,2)&amp;"'m"&amp;MONTH(patch[[#This Row],[mergeDate]]))</f>
        <v>16'm9</v>
      </c>
      <c r="V2254" s="7" t="str">
        <f>IF(ISBLANK(patch[[#This Row],[project]]), "",SUM(patch[[#This Row],[BJ -1 num]:[SH -1 num]]))</f>
        <v/>
      </c>
      <c r="W2254" s="7" t="str">
        <f>IF(ISBLANK(patch[[#This Row],[project]]), "",COUNTIFS($A:$A,patch[[#This Row],[number]],$S:$S, "BJ And dev",$AC:$AC, "Review-1"))</f>
        <v/>
      </c>
      <c r="X2254" s="7" t="str">
        <f>IF(ISBLANK(patch[[#This Row],[project]]), "",COUNTIFS($A:$A,patch[[#This Row],[number]],$S:$S, "FL And dev",$AC:$AC, "Review-1"))</f>
        <v/>
      </c>
      <c r="Y2254" s="7" t="str">
        <f>IF(ISBLANK(patch[[#This Row],[project]]), "",COUNTIFS($A:$A,patch[[#This Row],[number]],$S:$S, "SH And dev",$AC:$AC, "Review-1"))</f>
        <v/>
      </c>
      <c r="Z2254" s="7" t="str">
        <f>IF(ISBLANK(patch[[#This Row],[project]]), "",COUNTIFS($A:$A,patch[[#This Row],[number]],$S:$S, "BJ And dev",$AD:$AD, "&lt;&gt;IntegratorValidationComment"))</f>
        <v/>
      </c>
      <c r="AA2254" s="7" t="str">
        <f>IF(ISBLANK(patch[[#This Row],[project]]), "",COUNTIFS($A:$A,patch[[#This Row],[number]],$S:$S, "FL And dev",$AD:$AD, "&lt;&gt;IntegratorValidationComment"))</f>
        <v/>
      </c>
      <c r="AB2254" s="7" t="str">
        <f>IF(ISBLANK(patch[[#This Row],[project]]), "",COUNTIFS($A:$A,patch[[#This Row],[number]],$S:$S, "SH And dev",$AD:$AD, "&lt;&gt;IntegratorValidationComment"))</f>
        <v/>
      </c>
      <c r="AC2254" s="7" t="str">
        <f>IF(OR(ISNUMBER(FIND("Review-1", patch[[#This Row],[comments]])), ISNUMBER(FIND("Approver-1", patch[[#This Row],[comments]]))), "Review-1", "")</f>
        <v/>
      </c>
      <c r="AD22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54" s="7">
        <f>IF(ISBLANK(patch[[#This Row],[number]]),AE2253,patch[[#This Row],[ifCommon]])</f>
        <v>0</v>
      </c>
    </row>
    <row r="2255" spans="1:31">
      <c r="A2255" s="151">
        <v>142709</v>
      </c>
      <c r="B2255" s="151"/>
      <c r="C2255" s="151"/>
      <c r="D2255" s="151"/>
      <c r="E2255" s="151"/>
      <c r="F2255" s="151"/>
      <c r="G2255" s="151"/>
      <c r="H2255" s="151"/>
      <c r="I2255" s="151"/>
      <c r="J2255" s="152">
        <v>42619.714861111112</v>
      </c>
      <c r="K2255" s="151"/>
      <c r="L2255" s="151" t="s">
        <v>59</v>
      </c>
      <c r="M2255" s="152">
        <v>42614.565682870372</v>
      </c>
      <c r="N2255" s="151" t="s">
        <v>3705</v>
      </c>
      <c r="O2255" s="151"/>
      <c r="P2255" s="151"/>
      <c r="Q2255" s="7" t="str">
        <f>IF(ISBLANK(patch[[#This Row],[OwnerEmail]]),Q2254,patch[[#This Row],[OwnerEmail]])</f>
        <v>bin.b.yang@intel.com</v>
      </c>
      <c r="R2255" s="7" t="str">
        <f>_xlfn.IFNA(VLOOKUP(patch[[#This Row],[tmp-owner.email]],OrgTree!$A:$K, 11, 0), "not ICG SWFW")</f>
        <v>BJ And dev</v>
      </c>
      <c r="S2255" s="7" t="str">
        <f>IF(patch[[#This Row],[reviewer]]=patch[[#This Row],[tmp-owner.email]], "author", _xlfn.IFNA(VLOOKUP(patch[[#This Row],[reviewer]],OrgTree!$A:$K, 11, 0), "not ICG SWFW"))</f>
        <v>BJ And dev</v>
      </c>
      <c r="T2255" s="7" t="str">
        <f>IF(ISBLANK(patch[[#This Row],[mergeDate]]), "", MID(YEAR(patch[[#This Row],[mergeDate]]), 3,2)&amp;"'ww"&amp;WEEKNUM(patch[[#This Row],[mergeDate]]))</f>
        <v>16'ww37</v>
      </c>
      <c r="U2255" s="7" t="str">
        <f>IF(ISBLANK(patch[[#This Row],[mergeDate]]), U2254, MID(YEAR(patch[[#This Row],[mergeDate]]), 3,2)&amp;"'m"&amp;MONTH(patch[[#This Row],[mergeDate]]))</f>
        <v>16'm9</v>
      </c>
      <c r="V2255" s="7" t="str">
        <f>IF(ISBLANK(patch[[#This Row],[project]]), "",SUM(patch[[#This Row],[BJ -1 num]:[SH -1 num]]))</f>
        <v/>
      </c>
      <c r="W2255" s="7" t="str">
        <f>IF(ISBLANK(patch[[#This Row],[project]]), "",COUNTIFS($A:$A,patch[[#This Row],[number]],$S:$S, "BJ And dev",$AC:$AC, "Review-1"))</f>
        <v/>
      </c>
      <c r="X2255" s="7" t="str">
        <f>IF(ISBLANK(patch[[#This Row],[project]]), "",COUNTIFS($A:$A,patch[[#This Row],[number]],$S:$S, "FL And dev",$AC:$AC, "Review-1"))</f>
        <v/>
      </c>
      <c r="Y2255" s="7" t="str">
        <f>IF(ISBLANK(patch[[#This Row],[project]]), "",COUNTIFS($A:$A,patch[[#This Row],[number]],$S:$S, "SH And dev",$AC:$AC, "Review-1"))</f>
        <v/>
      </c>
      <c r="Z2255" s="7" t="str">
        <f>IF(ISBLANK(patch[[#This Row],[project]]), "",COUNTIFS($A:$A,patch[[#This Row],[number]],$S:$S, "BJ And dev",$AD:$AD, "&lt;&gt;IntegratorValidationComment"))</f>
        <v/>
      </c>
      <c r="AA2255" s="7" t="str">
        <f>IF(ISBLANK(patch[[#This Row],[project]]), "",COUNTIFS($A:$A,patch[[#This Row],[number]],$S:$S, "FL And dev",$AD:$AD, "&lt;&gt;IntegratorValidationComment"))</f>
        <v/>
      </c>
      <c r="AB2255" s="7" t="str">
        <f>IF(ISBLANK(patch[[#This Row],[project]]), "",COUNTIFS($A:$A,patch[[#This Row],[number]],$S:$S, "SH And dev",$AD:$AD, "&lt;&gt;IntegratorValidationComment"))</f>
        <v/>
      </c>
      <c r="AC2255" s="7" t="str">
        <f>IF(OR(ISNUMBER(FIND("Review-1", patch[[#This Row],[comments]])), ISNUMBER(FIND("Approver-1", patch[[#This Row],[comments]]))), "Review-1", "")</f>
        <v/>
      </c>
      <c r="AD22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55" s="7">
        <f>IF(ISBLANK(patch[[#This Row],[number]]),AE2254,patch[[#This Row],[ifCommon]])</f>
        <v>0</v>
      </c>
    </row>
    <row r="2256" spans="1:31">
      <c r="A2256" s="151">
        <v>142709</v>
      </c>
      <c r="B2256" s="151"/>
      <c r="C2256" s="151"/>
      <c r="D2256" s="151"/>
      <c r="E2256" s="151"/>
      <c r="F2256" s="151"/>
      <c r="G2256" s="151"/>
      <c r="H2256" s="151"/>
      <c r="I2256" s="151"/>
      <c r="J2256" s="152">
        <v>42619.714861111112</v>
      </c>
      <c r="K2256" s="151"/>
      <c r="L2256" s="151" t="s">
        <v>59</v>
      </c>
      <c r="M2256" s="152">
        <v>42614.56591435185</v>
      </c>
      <c r="N2256" s="151" t="s">
        <v>3706</v>
      </c>
      <c r="O2256" s="151"/>
      <c r="P2256" s="151"/>
      <c r="Q2256" s="7" t="str">
        <f>IF(ISBLANK(patch[[#This Row],[OwnerEmail]]),Q2255,patch[[#This Row],[OwnerEmail]])</f>
        <v>bin.b.yang@intel.com</v>
      </c>
      <c r="R2256" s="7" t="str">
        <f>_xlfn.IFNA(VLOOKUP(patch[[#This Row],[tmp-owner.email]],OrgTree!$A:$K, 11, 0), "not ICG SWFW")</f>
        <v>BJ And dev</v>
      </c>
      <c r="S2256" s="7" t="str">
        <f>IF(patch[[#This Row],[reviewer]]=patch[[#This Row],[tmp-owner.email]], "author", _xlfn.IFNA(VLOOKUP(patch[[#This Row],[reviewer]],OrgTree!$A:$K, 11, 0), "not ICG SWFW"))</f>
        <v>BJ And dev</v>
      </c>
      <c r="T2256" s="7" t="str">
        <f>IF(ISBLANK(patch[[#This Row],[mergeDate]]), "", MID(YEAR(patch[[#This Row],[mergeDate]]), 3,2)&amp;"'ww"&amp;WEEKNUM(patch[[#This Row],[mergeDate]]))</f>
        <v>16'ww37</v>
      </c>
      <c r="U2256" s="7" t="str">
        <f>IF(ISBLANK(patch[[#This Row],[mergeDate]]), U2255, MID(YEAR(patch[[#This Row],[mergeDate]]), 3,2)&amp;"'m"&amp;MONTH(patch[[#This Row],[mergeDate]]))</f>
        <v>16'm9</v>
      </c>
      <c r="V2256" s="7" t="str">
        <f>IF(ISBLANK(patch[[#This Row],[project]]), "",SUM(patch[[#This Row],[BJ -1 num]:[SH -1 num]]))</f>
        <v/>
      </c>
      <c r="W2256" s="7" t="str">
        <f>IF(ISBLANK(patch[[#This Row],[project]]), "",COUNTIFS($A:$A,patch[[#This Row],[number]],$S:$S, "BJ And dev",$AC:$AC, "Review-1"))</f>
        <v/>
      </c>
      <c r="X2256" s="7" t="str">
        <f>IF(ISBLANK(patch[[#This Row],[project]]), "",COUNTIFS($A:$A,patch[[#This Row],[number]],$S:$S, "FL And dev",$AC:$AC, "Review-1"))</f>
        <v/>
      </c>
      <c r="Y2256" s="7" t="str">
        <f>IF(ISBLANK(patch[[#This Row],[project]]), "",COUNTIFS($A:$A,patch[[#This Row],[number]],$S:$S, "SH And dev",$AC:$AC, "Review-1"))</f>
        <v/>
      </c>
      <c r="Z2256" s="7" t="str">
        <f>IF(ISBLANK(patch[[#This Row],[project]]), "",COUNTIFS($A:$A,patch[[#This Row],[number]],$S:$S, "BJ And dev",$AD:$AD, "&lt;&gt;IntegratorValidationComment"))</f>
        <v/>
      </c>
      <c r="AA2256" s="7" t="str">
        <f>IF(ISBLANK(patch[[#This Row],[project]]), "",COUNTIFS($A:$A,patch[[#This Row],[number]],$S:$S, "FL And dev",$AD:$AD, "&lt;&gt;IntegratorValidationComment"))</f>
        <v/>
      </c>
      <c r="AB2256" s="7" t="str">
        <f>IF(ISBLANK(patch[[#This Row],[project]]), "",COUNTIFS($A:$A,patch[[#This Row],[number]],$S:$S, "SH And dev",$AD:$AD, "&lt;&gt;IntegratorValidationComment"))</f>
        <v/>
      </c>
      <c r="AC2256" s="7" t="str">
        <f>IF(OR(ISNUMBER(FIND("Review-1", patch[[#This Row],[comments]])), ISNUMBER(FIND("Approver-1", patch[[#This Row],[comments]]))), "Review-1", "")</f>
        <v/>
      </c>
      <c r="AD22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56" s="7">
        <f>IF(ISBLANK(patch[[#This Row],[number]]),AE2255,patch[[#This Row],[ifCommon]])</f>
        <v>0</v>
      </c>
    </row>
    <row r="2257" spans="1:31">
      <c r="A2257" s="151">
        <v>142709</v>
      </c>
      <c r="B2257" s="151"/>
      <c r="C2257" s="151"/>
      <c r="D2257" s="151"/>
      <c r="E2257" s="151"/>
      <c r="F2257" s="151"/>
      <c r="G2257" s="151"/>
      <c r="H2257" s="151"/>
      <c r="I2257" s="151"/>
      <c r="J2257" s="152">
        <v>42619.714861111112</v>
      </c>
      <c r="K2257" s="151"/>
      <c r="L2257" s="151" t="s">
        <v>59</v>
      </c>
      <c r="M2257" s="152">
        <v>42614.565937500003</v>
      </c>
      <c r="N2257" s="151" t="s">
        <v>3707</v>
      </c>
      <c r="O2257" s="151"/>
      <c r="P2257" s="151"/>
      <c r="Q2257" s="7" t="str">
        <f>IF(ISBLANK(patch[[#This Row],[OwnerEmail]]),Q2256,patch[[#This Row],[OwnerEmail]])</f>
        <v>bin.b.yang@intel.com</v>
      </c>
      <c r="R2257" s="7" t="str">
        <f>_xlfn.IFNA(VLOOKUP(patch[[#This Row],[tmp-owner.email]],OrgTree!$A:$K, 11, 0), "not ICG SWFW")</f>
        <v>BJ And dev</v>
      </c>
      <c r="S2257" s="7" t="str">
        <f>IF(patch[[#This Row],[reviewer]]=patch[[#This Row],[tmp-owner.email]], "author", _xlfn.IFNA(VLOOKUP(patch[[#This Row],[reviewer]],OrgTree!$A:$K, 11, 0), "not ICG SWFW"))</f>
        <v>BJ And dev</v>
      </c>
      <c r="T2257" s="7" t="str">
        <f>IF(ISBLANK(patch[[#This Row],[mergeDate]]), "", MID(YEAR(patch[[#This Row],[mergeDate]]), 3,2)&amp;"'ww"&amp;WEEKNUM(patch[[#This Row],[mergeDate]]))</f>
        <v>16'ww37</v>
      </c>
      <c r="U2257" s="7" t="str">
        <f>IF(ISBLANK(patch[[#This Row],[mergeDate]]), U2256, MID(YEAR(patch[[#This Row],[mergeDate]]), 3,2)&amp;"'m"&amp;MONTH(patch[[#This Row],[mergeDate]]))</f>
        <v>16'm9</v>
      </c>
      <c r="V2257" s="7" t="str">
        <f>IF(ISBLANK(patch[[#This Row],[project]]), "",SUM(patch[[#This Row],[BJ -1 num]:[SH -1 num]]))</f>
        <v/>
      </c>
      <c r="W2257" s="7" t="str">
        <f>IF(ISBLANK(patch[[#This Row],[project]]), "",COUNTIFS($A:$A,patch[[#This Row],[number]],$S:$S, "BJ And dev",$AC:$AC, "Review-1"))</f>
        <v/>
      </c>
      <c r="X2257" s="7" t="str">
        <f>IF(ISBLANK(patch[[#This Row],[project]]), "",COUNTIFS($A:$A,patch[[#This Row],[number]],$S:$S, "FL And dev",$AC:$AC, "Review-1"))</f>
        <v/>
      </c>
      <c r="Y2257" s="7" t="str">
        <f>IF(ISBLANK(patch[[#This Row],[project]]), "",COUNTIFS($A:$A,patch[[#This Row],[number]],$S:$S, "SH And dev",$AC:$AC, "Review-1"))</f>
        <v/>
      </c>
      <c r="Z2257" s="7" t="str">
        <f>IF(ISBLANK(patch[[#This Row],[project]]), "",COUNTIFS($A:$A,patch[[#This Row],[number]],$S:$S, "BJ And dev",$AD:$AD, "&lt;&gt;IntegratorValidationComment"))</f>
        <v/>
      </c>
      <c r="AA2257" s="7" t="str">
        <f>IF(ISBLANK(patch[[#This Row],[project]]), "",COUNTIFS($A:$A,patch[[#This Row],[number]],$S:$S, "FL And dev",$AD:$AD, "&lt;&gt;IntegratorValidationComment"))</f>
        <v/>
      </c>
      <c r="AB2257" s="7" t="str">
        <f>IF(ISBLANK(patch[[#This Row],[project]]), "",COUNTIFS($A:$A,patch[[#This Row],[number]],$S:$S, "SH And dev",$AD:$AD, "&lt;&gt;IntegratorValidationComment"))</f>
        <v/>
      </c>
      <c r="AC2257" s="7" t="str">
        <f>IF(OR(ISNUMBER(FIND("Review-1", patch[[#This Row],[comments]])), ISNUMBER(FIND("Approver-1", patch[[#This Row],[comments]]))), "Review-1", "")</f>
        <v/>
      </c>
      <c r="AD22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57" s="7">
        <f>IF(ISBLANK(patch[[#This Row],[number]]),AE2256,patch[[#This Row],[ifCommon]])</f>
        <v>0</v>
      </c>
    </row>
    <row r="2258" spans="1:31">
      <c r="A2258" s="151">
        <v>142709</v>
      </c>
      <c r="B2258" s="151"/>
      <c r="C2258" s="151"/>
      <c r="D2258" s="151"/>
      <c r="E2258" s="151"/>
      <c r="F2258" s="151"/>
      <c r="G2258" s="151"/>
      <c r="H2258" s="151"/>
      <c r="I2258" s="151"/>
      <c r="J2258" s="152">
        <v>42619.714861111112</v>
      </c>
      <c r="K2258" s="151"/>
      <c r="L2258" s="151" t="s">
        <v>59</v>
      </c>
      <c r="M2258" s="152">
        <v>42614.566874999997</v>
      </c>
      <c r="N2258" s="151" t="s">
        <v>3708</v>
      </c>
      <c r="O2258" s="151"/>
      <c r="P2258" s="151"/>
      <c r="Q2258" s="7" t="str">
        <f>IF(ISBLANK(patch[[#This Row],[OwnerEmail]]),Q2257,patch[[#This Row],[OwnerEmail]])</f>
        <v>bin.b.yang@intel.com</v>
      </c>
      <c r="R2258" s="7" t="str">
        <f>_xlfn.IFNA(VLOOKUP(patch[[#This Row],[tmp-owner.email]],OrgTree!$A:$K, 11, 0), "not ICG SWFW")</f>
        <v>BJ And dev</v>
      </c>
      <c r="S2258" s="7" t="str">
        <f>IF(patch[[#This Row],[reviewer]]=patch[[#This Row],[tmp-owner.email]], "author", _xlfn.IFNA(VLOOKUP(patch[[#This Row],[reviewer]],OrgTree!$A:$K, 11, 0), "not ICG SWFW"))</f>
        <v>BJ And dev</v>
      </c>
      <c r="T2258" s="7" t="str">
        <f>IF(ISBLANK(patch[[#This Row],[mergeDate]]), "", MID(YEAR(patch[[#This Row],[mergeDate]]), 3,2)&amp;"'ww"&amp;WEEKNUM(patch[[#This Row],[mergeDate]]))</f>
        <v>16'ww37</v>
      </c>
      <c r="U2258" s="7" t="str">
        <f>IF(ISBLANK(patch[[#This Row],[mergeDate]]), U2257, MID(YEAR(patch[[#This Row],[mergeDate]]), 3,2)&amp;"'m"&amp;MONTH(patch[[#This Row],[mergeDate]]))</f>
        <v>16'm9</v>
      </c>
      <c r="V2258" s="7" t="str">
        <f>IF(ISBLANK(patch[[#This Row],[project]]), "",SUM(patch[[#This Row],[BJ -1 num]:[SH -1 num]]))</f>
        <v/>
      </c>
      <c r="W2258" s="7" t="str">
        <f>IF(ISBLANK(patch[[#This Row],[project]]), "",COUNTIFS($A:$A,patch[[#This Row],[number]],$S:$S, "BJ And dev",$AC:$AC, "Review-1"))</f>
        <v/>
      </c>
      <c r="X2258" s="7" t="str">
        <f>IF(ISBLANK(patch[[#This Row],[project]]), "",COUNTIFS($A:$A,patch[[#This Row],[number]],$S:$S, "FL And dev",$AC:$AC, "Review-1"))</f>
        <v/>
      </c>
      <c r="Y2258" s="7" t="str">
        <f>IF(ISBLANK(patch[[#This Row],[project]]), "",COUNTIFS($A:$A,patch[[#This Row],[number]],$S:$S, "SH And dev",$AC:$AC, "Review-1"))</f>
        <v/>
      </c>
      <c r="Z2258" s="7" t="str">
        <f>IF(ISBLANK(patch[[#This Row],[project]]), "",COUNTIFS($A:$A,patch[[#This Row],[number]],$S:$S, "BJ And dev",$AD:$AD, "&lt;&gt;IntegratorValidationComment"))</f>
        <v/>
      </c>
      <c r="AA2258" s="7" t="str">
        <f>IF(ISBLANK(patch[[#This Row],[project]]), "",COUNTIFS($A:$A,patch[[#This Row],[number]],$S:$S, "FL And dev",$AD:$AD, "&lt;&gt;IntegratorValidationComment"))</f>
        <v/>
      </c>
      <c r="AB2258" s="7" t="str">
        <f>IF(ISBLANK(patch[[#This Row],[project]]), "",COUNTIFS($A:$A,patch[[#This Row],[number]],$S:$S, "SH And dev",$AD:$AD, "&lt;&gt;IntegratorValidationComment"))</f>
        <v/>
      </c>
      <c r="AC2258" s="7" t="str">
        <f>IF(OR(ISNUMBER(FIND("Review-1", patch[[#This Row],[comments]])), ISNUMBER(FIND("Approver-1", patch[[#This Row],[comments]]))), "Review-1", "")</f>
        <v/>
      </c>
      <c r="AD22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58" s="7">
        <f>IF(ISBLANK(patch[[#This Row],[number]]),AE2257,patch[[#This Row],[ifCommon]])</f>
        <v>0</v>
      </c>
    </row>
    <row r="2259" spans="1:31">
      <c r="A2259" s="151">
        <v>142709</v>
      </c>
      <c r="B2259" s="151"/>
      <c r="C2259" s="151"/>
      <c r="D2259" s="151"/>
      <c r="E2259" s="151"/>
      <c r="F2259" s="151"/>
      <c r="G2259" s="151"/>
      <c r="H2259" s="151"/>
      <c r="I2259" s="151"/>
      <c r="J2259" s="152">
        <v>42619.714861111112</v>
      </c>
      <c r="K2259" s="151"/>
      <c r="L2259" s="151" t="s">
        <v>59</v>
      </c>
      <c r="M2259" s="152">
        <v>42614.567048611112</v>
      </c>
      <c r="N2259" s="151" t="s">
        <v>3709</v>
      </c>
      <c r="O2259" s="151"/>
      <c r="P2259" s="151"/>
      <c r="Q2259" s="7" t="str">
        <f>IF(ISBLANK(patch[[#This Row],[OwnerEmail]]),Q2258,patch[[#This Row],[OwnerEmail]])</f>
        <v>bin.b.yang@intel.com</v>
      </c>
      <c r="R2259" s="7" t="str">
        <f>_xlfn.IFNA(VLOOKUP(patch[[#This Row],[tmp-owner.email]],OrgTree!$A:$K, 11, 0), "not ICG SWFW")</f>
        <v>BJ And dev</v>
      </c>
      <c r="S2259" s="7" t="str">
        <f>IF(patch[[#This Row],[reviewer]]=patch[[#This Row],[tmp-owner.email]], "author", _xlfn.IFNA(VLOOKUP(patch[[#This Row],[reviewer]],OrgTree!$A:$K, 11, 0), "not ICG SWFW"))</f>
        <v>BJ And dev</v>
      </c>
      <c r="T2259" s="7" t="str">
        <f>IF(ISBLANK(patch[[#This Row],[mergeDate]]), "", MID(YEAR(patch[[#This Row],[mergeDate]]), 3,2)&amp;"'ww"&amp;WEEKNUM(patch[[#This Row],[mergeDate]]))</f>
        <v>16'ww37</v>
      </c>
      <c r="U2259" s="7" t="str">
        <f>IF(ISBLANK(patch[[#This Row],[mergeDate]]), U2258, MID(YEAR(patch[[#This Row],[mergeDate]]), 3,2)&amp;"'m"&amp;MONTH(patch[[#This Row],[mergeDate]]))</f>
        <v>16'm9</v>
      </c>
      <c r="V2259" s="7" t="str">
        <f>IF(ISBLANK(patch[[#This Row],[project]]), "",SUM(patch[[#This Row],[BJ -1 num]:[SH -1 num]]))</f>
        <v/>
      </c>
      <c r="W2259" s="7" t="str">
        <f>IF(ISBLANK(patch[[#This Row],[project]]), "",COUNTIFS($A:$A,patch[[#This Row],[number]],$S:$S, "BJ And dev",$AC:$AC, "Review-1"))</f>
        <v/>
      </c>
      <c r="X2259" s="7" t="str">
        <f>IF(ISBLANK(patch[[#This Row],[project]]), "",COUNTIFS($A:$A,patch[[#This Row],[number]],$S:$S, "FL And dev",$AC:$AC, "Review-1"))</f>
        <v/>
      </c>
      <c r="Y2259" s="7" t="str">
        <f>IF(ISBLANK(patch[[#This Row],[project]]), "",COUNTIFS($A:$A,patch[[#This Row],[number]],$S:$S, "SH And dev",$AC:$AC, "Review-1"))</f>
        <v/>
      </c>
      <c r="Z2259" s="7" t="str">
        <f>IF(ISBLANK(patch[[#This Row],[project]]), "",COUNTIFS($A:$A,patch[[#This Row],[number]],$S:$S, "BJ And dev",$AD:$AD, "&lt;&gt;IntegratorValidationComment"))</f>
        <v/>
      </c>
      <c r="AA2259" s="7" t="str">
        <f>IF(ISBLANK(patch[[#This Row],[project]]), "",COUNTIFS($A:$A,patch[[#This Row],[number]],$S:$S, "FL And dev",$AD:$AD, "&lt;&gt;IntegratorValidationComment"))</f>
        <v/>
      </c>
      <c r="AB2259" s="7" t="str">
        <f>IF(ISBLANK(patch[[#This Row],[project]]), "",COUNTIFS($A:$A,patch[[#This Row],[number]],$S:$S, "SH And dev",$AD:$AD, "&lt;&gt;IntegratorValidationComment"))</f>
        <v/>
      </c>
      <c r="AC2259" s="7" t="str">
        <f>IF(OR(ISNUMBER(FIND("Review-1", patch[[#This Row],[comments]])), ISNUMBER(FIND("Approver-1", patch[[#This Row],[comments]]))), "Review-1", "")</f>
        <v/>
      </c>
      <c r="AD22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59" s="7">
        <f>IF(ISBLANK(patch[[#This Row],[number]]),AE2258,patch[[#This Row],[ifCommon]])</f>
        <v>0</v>
      </c>
    </row>
    <row r="2260" spans="1:31">
      <c r="A2260" s="151">
        <v>142709</v>
      </c>
      <c r="B2260" s="151"/>
      <c r="C2260" s="151"/>
      <c r="D2260" s="151"/>
      <c r="E2260" s="151"/>
      <c r="F2260" s="151"/>
      <c r="G2260" s="151"/>
      <c r="H2260" s="151"/>
      <c r="I2260" s="151"/>
      <c r="J2260" s="152">
        <v>42619.714861111112</v>
      </c>
      <c r="K2260" s="151"/>
      <c r="L2260" s="151" t="s">
        <v>72</v>
      </c>
      <c r="M2260" s="152">
        <v>42614.574363425927</v>
      </c>
      <c r="N2260" s="151" t="s">
        <v>29</v>
      </c>
      <c r="O2260" s="151"/>
      <c r="P2260" s="151"/>
      <c r="Q2260" s="7" t="str">
        <f>IF(ISBLANK(patch[[#This Row],[OwnerEmail]]),Q2259,patch[[#This Row],[OwnerEmail]])</f>
        <v>bin.b.yang@intel.com</v>
      </c>
      <c r="R2260" s="7" t="str">
        <f>_xlfn.IFNA(VLOOKUP(patch[[#This Row],[tmp-owner.email]],OrgTree!$A:$K, 11, 0), "not ICG SWFW")</f>
        <v>BJ And dev</v>
      </c>
      <c r="S2260" s="7" t="str">
        <f>IF(patch[[#This Row],[reviewer]]=patch[[#This Row],[tmp-owner.email]], "author", _xlfn.IFNA(VLOOKUP(patch[[#This Row],[reviewer]],OrgTree!$A:$K, 11, 0), "not ICG SWFW"))</f>
        <v>author</v>
      </c>
      <c r="T2260" s="7" t="str">
        <f>IF(ISBLANK(patch[[#This Row],[mergeDate]]), "", MID(YEAR(patch[[#This Row],[mergeDate]]), 3,2)&amp;"'ww"&amp;WEEKNUM(patch[[#This Row],[mergeDate]]))</f>
        <v>16'ww37</v>
      </c>
      <c r="U2260" s="7" t="str">
        <f>IF(ISBLANK(patch[[#This Row],[mergeDate]]), U2259, MID(YEAR(patch[[#This Row],[mergeDate]]), 3,2)&amp;"'m"&amp;MONTH(patch[[#This Row],[mergeDate]]))</f>
        <v>16'm9</v>
      </c>
      <c r="V2260" s="7" t="str">
        <f>IF(ISBLANK(patch[[#This Row],[project]]), "",SUM(patch[[#This Row],[BJ -1 num]:[SH -1 num]]))</f>
        <v/>
      </c>
      <c r="W2260" s="7" t="str">
        <f>IF(ISBLANK(patch[[#This Row],[project]]), "",COUNTIFS($A:$A,patch[[#This Row],[number]],$S:$S, "BJ And dev",$AC:$AC, "Review-1"))</f>
        <v/>
      </c>
      <c r="X2260" s="7" t="str">
        <f>IF(ISBLANK(patch[[#This Row],[project]]), "",COUNTIFS($A:$A,patch[[#This Row],[number]],$S:$S, "FL And dev",$AC:$AC, "Review-1"))</f>
        <v/>
      </c>
      <c r="Y2260" s="7" t="str">
        <f>IF(ISBLANK(patch[[#This Row],[project]]), "",COUNTIFS($A:$A,patch[[#This Row],[number]],$S:$S, "SH And dev",$AC:$AC, "Review-1"))</f>
        <v/>
      </c>
      <c r="Z2260" s="7" t="str">
        <f>IF(ISBLANK(patch[[#This Row],[project]]), "",COUNTIFS($A:$A,patch[[#This Row],[number]],$S:$S, "BJ And dev",$AD:$AD, "&lt;&gt;IntegratorValidationComment"))</f>
        <v/>
      </c>
      <c r="AA2260" s="7" t="str">
        <f>IF(ISBLANK(patch[[#This Row],[project]]), "",COUNTIFS($A:$A,patch[[#This Row],[number]],$S:$S, "FL And dev",$AD:$AD, "&lt;&gt;IntegratorValidationComment"))</f>
        <v/>
      </c>
      <c r="AB2260" s="7" t="str">
        <f>IF(ISBLANK(patch[[#This Row],[project]]), "",COUNTIFS($A:$A,patch[[#This Row],[number]],$S:$S, "SH And dev",$AD:$AD, "&lt;&gt;IntegratorValidationComment"))</f>
        <v/>
      </c>
      <c r="AC2260" s="7" t="str">
        <f>IF(OR(ISNUMBER(FIND("Review-1", patch[[#This Row],[comments]])), ISNUMBER(FIND("Approver-1", patch[[#This Row],[comments]]))), "Review-1", "")</f>
        <v/>
      </c>
      <c r="AD22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60" s="7">
        <f>IF(ISBLANK(patch[[#This Row],[number]]),AE2259,patch[[#This Row],[ifCommon]])</f>
        <v>0</v>
      </c>
    </row>
    <row r="2261" spans="1:31">
      <c r="A2261" s="151">
        <v>142709</v>
      </c>
      <c r="B2261" s="151"/>
      <c r="C2261" s="151"/>
      <c r="D2261" s="151"/>
      <c r="E2261" s="151"/>
      <c r="F2261" s="151"/>
      <c r="G2261" s="151"/>
      <c r="H2261" s="151"/>
      <c r="I2261" s="151"/>
      <c r="J2261" s="152">
        <v>42619.714861111112</v>
      </c>
      <c r="K2261" s="151"/>
      <c r="L2261" s="151" t="s">
        <v>72</v>
      </c>
      <c r="M2261" s="152">
        <v>42614.574374999997</v>
      </c>
      <c r="N2261" s="151" t="s">
        <v>2429</v>
      </c>
      <c r="O2261" s="151"/>
      <c r="P2261" s="151"/>
      <c r="Q2261" s="7" t="str">
        <f>IF(ISBLANK(patch[[#This Row],[OwnerEmail]]),Q2260,patch[[#This Row],[OwnerEmail]])</f>
        <v>bin.b.yang@intel.com</v>
      </c>
      <c r="R2261" s="7" t="str">
        <f>_xlfn.IFNA(VLOOKUP(patch[[#This Row],[tmp-owner.email]],OrgTree!$A:$K, 11, 0), "not ICG SWFW")</f>
        <v>BJ And dev</v>
      </c>
      <c r="S2261" s="7" t="str">
        <f>IF(patch[[#This Row],[reviewer]]=patch[[#This Row],[tmp-owner.email]], "author", _xlfn.IFNA(VLOOKUP(patch[[#This Row],[reviewer]],OrgTree!$A:$K, 11, 0), "not ICG SWFW"))</f>
        <v>author</v>
      </c>
      <c r="T2261" s="7" t="str">
        <f>IF(ISBLANK(patch[[#This Row],[mergeDate]]), "", MID(YEAR(patch[[#This Row],[mergeDate]]), 3,2)&amp;"'ww"&amp;WEEKNUM(patch[[#This Row],[mergeDate]]))</f>
        <v>16'ww37</v>
      </c>
      <c r="U2261" s="7" t="str">
        <f>IF(ISBLANK(patch[[#This Row],[mergeDate]]), U2260, MID(YEAR(patch[[#This Row],[mergeDate]]), 3,2)&amp;"'m"&amp;MONTH(patch[[#This Row],[mergeDate]]))</f>
        <v>16'm9</v>
      </c>
      <c r="V2261" s="7" t="str">
        <f>IF(ISBLANK(patch[[#This Row],[project]]), "",SUM(patch[[#This Row],[BJ -1 num]:[SH -1 num]]))</f>
        <v/>
      </c>
      <c r="W2261" s="7" t="str">
        <f>IF(ISBLANK(patch[[#This Row],[project]]), "",COUNTIFS($A:$A,patch[[#This Row],[number]],$S:$S, "BJ And dev",$AC:$AC, "Review-1"))</f>
        <v/>
      </c>
      <c r="X2261" s="7" t="str">
        <f>IF(ISBLANK(patch[[#This Row],[project]]), "",COUNTIFS($A:$A,patch[[#This Row],[number]],$S:$S, "FL And dev",$AC:$AC, "Review-1"))</f>
        <v/>
      </c>
      <c r="Y2261" s="7" t="str">
        <f>IF(ISBLANK(patch[[#This Row],[project]]), "",COUNTIFS($A:$A,patch[[#This Row],[number]],$S:$S, "SH And dev",$AC:$AC, "Review-1"))</f>
        <v/>
      </c>
      <c r="Z2261" s="7" t="str">
        <f>IF(ISBLANK(patch[[#This Row],[project]]), "",COUNTIFS($A:$A,patch[[#This Row],[number]],$S:$S, "BJ And dev",$AD:$AD, "&lt;&gt;IntegratorValidationComment"))</f>
        <v/>
      </c>
      <c r="AA2261" s="7" t="str">
        <f>IF(ISBLANK(patch[[#This Row],[project]]), "",COUNTIFS($A:$A,patch[[#This Row],[number]],$S:$S, "FL And dev",$AD:$AD, "&lt;&gt;IntegratorValidationComment"))</f>
        <v/>
      </c>
      <c r="AB2261" s="7" t="str">
        <f>IF(ISBLANK(patch[[#This Row],[project]]), "",COUNTIFS($A:$A,patch[[#This Row],[number]],$S:$S, "SH And dev",$AD:$AD, "&lt;&gt;IntegratorValidationComment"))</f>
        <v/>
      </c>
      <c r="AC2261" s="7" t="str">
        <f>IF(OR(ISNUMBER(FIND("Review-1", patch[[#This Row],[comments]])), ISNUMBER(FIND("Approver-1", patch[[#This Row],[comments]]))), "Review-1", "")</f>
        <v/>
      </c>
      <c r="AD22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61" s="7">
        <f>IF(ISBLANK(patch[[#This Row],[number]]),AE2260,patch[[#This Row],[ifCommon]])</f>
        <v>0</v>
      </c>
    </row>
    <row r="2262" spans="1:31">
      <c r="A2262" s="151">
        <v>142709</v>
      </c>
      <c r="B2262" s="151"/>
      <c r="C2262" s="151"/>
      <c r="D2262" s="151"/>
      <c r="E2262" s="151"/>
      <c r="F2262" s="151"/>
      <c r="G2262" s="151"/>
      <c r="H2262" s="151"/>
      <c r="I2262" s="152"/>
      <c r="J2262" s="152">
        <v>42619.714861111112</v>
      </c>
      <c r="K2262" s="151"/>
      <c r="L2262" s="151" t="s">
        <v>59</v>
      </c>
      <c r="M2262" s="152">
        <v>42614.577685185177</v>
      </c>
      <c r="N2262" s="151" t="s">
        <v>3710</v>
      </c>
      <c r="O2262" s="151"/>
      <c r="P2262" s="151"/>
      <c r="Q2262" s="7" t="str">
        <f>IF(ISBLANK(patch[[#This Row],[OwnerEmail]]),Q2261,patch[[#This Row],[OwnerEmail]])</f>
        <v>bin.b.yang@intel.com</v>
      </c>
      <c r="R2262" s="7" t="str">
        <f>_xlfn.IFNA(VLOOKUP(patch[[#This Row],[tmp-owner.email]],OrgTree!$A:$K, 11, 0), "not ICG SWFW")</f>
        <v>BJ And dev</v>
      </c>
      <c r="S2262" s="7" t="str">
        <f>IF(patch[[#This Row],[reviewer]]=patch[[#This Row],[tmp-owner.email]], "author", _xlfn.IFNA(VLOOKUP(patch[[#This Row],[reviewer]],OrgTree!$A:$K, 11, 0), "not ICG SWFW"))</f>
        <v>BJ And dev</v>
      </c>
      <c r="T2262" s="7" t="str">
        <f>IF(ISBLANK(patch[[#This Row],[mergeDate]]), "", MID(YEAR(patch[[#This Row],[mergeDate]]), 3,2)&amp;"'ww"&amp;WEEKNUM(patch[[#This Row],[mergeDate]]))</f>
        <v>16'ww37</v>
      </c>
      <c r="U2262" s="7" t="str">
        <f>IF(ISBLANK(patch[[#This Row],[mergeDate]]), U2261, MID(YEAR(patch[[#This Row],[mergeDate]]), 3,2)&amp;"'m"&amp;MONTH(patch[[#This Row],[mergeDate]]))</f>
        <v>16'm9</v>
      </c>
      <c r="V2262" s="7" t="str">
        <f>IF(ISBLANK(patch[[#This Row],[project]]), "",SUM(patch[[#This Row],[BJ -1 num]:[SH -1 num]]))</f>
        <v/>
      </c>
      <c r="W2262" s="7" t="str">
        <f>IF(ISBLANK(patch[[#This Row],[project]]), "",COUNTIFS($A:$A,patch[[#This Row],[number]],$S:$S, "BJ And dev",$AC:$AC, "Review-1"))</f>
        <v/>
      </c>
      <c r="X2262" s="7" t="str">
        <f>IF(ISBLANK(patch[[#This Row],[project]]), "",COUNTIFS($A:$A,patch[[#This Row],[number]],$S:$S, "FL And dev",$AC:$AC, "Review-1"))</f>
        <v/>
      </c>
      <c r="Y2262" s="7" t="str">
        <f>IF(ISBLANK(patch[[#This Row],[project]]), "",COUNTIFS($A:$A,patch[[#This Row],[number]],$S:$S, "SH And dev",$AC:$AC, "Review-1"))</f>
        <v/>
      </c>
      <c r="Z2262" s="7" t="str">
        <f>IF(ISBLANK(patch[[#This Row],[project]]), "",COUNTIFS($A:$A,patch[[#This Row],[number]],$S:$S, "BJ And dev",$AD:$AD, "&lt;&gt;IntegratorValidationComment"))</f>
        <v/>
      </c>
      <c r="AA2262" s="7" t="str">
        <f>IF(ISBLANK(patch[[#This Row],[project]]), "",COUNTIFS($A:$A,patch[[#This Row],[number]],$S:$S, "FL And dev",$AD:$AD, "&lt;&gt;IntegratorValidationComment"))</f>
        <v/>
      </c>
      <c r="AB2262" s="7" t="str">
        <f>IF(ISBLANK(patch[[#This Row],[project]]), "",COUNTIFS($A:$A,patch[[#This Row],[number]],$S:$S, "SH And dev",$AD:$AD, "&lt;&gt;IntegratorValidationComment"))</f>
        <v/>
      </c>
      <c r="AC2262" s="7" t="str">
        <f>IF(OR(ISNUMBER(FIND("Review-1", patch[[#This Row],[comments]])), ISNUMBER(FIND("Approver-1", patch[[#This Row],[comments]]))), "Review-1", "")</f>
        <v/>
      </c>
      <c r="AD22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62" s="7">
        <f>IF(ISBLANK(patch[[#This Row],[number]]),AE2261,patch[[#This Row],[ifCommon]])</f>
        <v>0</v>
      </c>
    </row>
    <row r="2263" spans="1:31">
      <c r="A2263" s="151">
        <v>142709</v>
      </c>
      <c r="B2263" s="151"/>
      <c r="C2263" s="151"/>
      <c r="D2263" s="151"/>
      <c r="E2263" s="151"/>
      <c r="F2263" s="151"/>
      <c r="G2263" s="151"/>
      <c r="H2263" s="151"/>
      <c r="I2263" s="151"/>
      <c r="J2263" s="152">
        <v>42619.714861111112</v>
      </c>
      <c r="K2263" s="151"/>
      <c r="L2263" s="151" t="s">
        <v>59</v>
      </c>
      <c r="M2263" s="152">
        <v>42614.580694444441</v>
      </c>
      <c r="N2263" s="151" t="s">
        <v>3711</v>
      </c>
      <c r="O2263" s="151"/>
      <c r="P2263" s="151"/>
      <c r="Q2263" s="7" t="str">
        <f>IF(ISBLANK(patch[[#This Row],[OwnerEmail]]),Q2262,patch[[#This Row],[OwnerEmail]])</f>
        <v>bin.b.yang@intel.com</v>
      </c>
      <c r="R2263" s="7" t="str">
        <f>_xlfn.IFNA(VLOOKUP(patch[[#This Row],[tmp-owner.email]],OrgTree!$A:$K, 11, 0), "not ICG SWFW")</f>
        <v>BJ And dev</v>
      </c>
      <c r="S2263" s="7" t="str">
        <f>IF(patch[[#This Row],[reviewer]]=patch[[#This Row],[tmp-owner.email]], "author", _xlfn.IFNA(VLOOKUP(patch[[#This Row],[reviewer]],OrgTree!$A:$K, 11, 0), "not ICG SWFW"))</f>
        <v>BJ And dev</v>
      </c>
      <c r="T2263" s="7" t="str">
        <f>IF(ISBLANK(patch[[#This Row],[mergeDate]]), "", MID(YEAR(patch[[#This Row],[mergeDate]]), 3,2)&amp;"'ww"&amp;WEEKNUM(patch[[#This Row],[mergeDate]]))</f>
        <v>16'ww37</v>
      </c>
      <c r="U2263" s="7" t="str">
        <f>IF(ISBLANK(patch[[#This Row],[mergeDate]]), U2262, MID(YEAR(patch[[#This Row],[mergeDate]]), 3,2)&amp;"'m"&amp;MONTH(patch[[#This Row],[mergeDate]]))</f>
        <v>16'm9</v>
      </c>
      <c r="V2263" s="7" t="str">
        <f>IF(ISBLANK(patch[[#This Row],[project]]), "",SUM(patch[[#This Row],[BJ -1 num]:[SH -1 num]]))</f>
        <v/>
      </c>
      <c r="W2263" s="7" t="str">
        <f>IF(ISBLANK(patch[[#This Row],[project]]), "",COUNTIFS($A:$A,patch[[#This Row],[number]],$S:$S, "BJ And dev",$AC:$AC, "Review-1"))</f>
        <v/>
      </c>
      <c r="X2263" s="7" t="str">
        <f>IF(ISBLANK(patch[[#This Row],[project]]), "",COUNTIFS($A:$A,patch[[#This Row],[number]],$S:$S, "FL And dev",$AC:$AC, "Review-1"))</f>
        <v/>
      </c>
      <c r="Y2263" s="7" t="str">
        <f>IF(ISBLANK(patch[[#This Row],[project]]), "",COUNTIFS($A:$A,patch[[#This Row],[number]],$S:$S, "SH And dev",$AC:$AC, "Review-1"))</f>
        <v/>
      </c>
      <c r="Z2263" s="7" t="str">
        <f>IF(ISBLANK(patch[[#This Row],[project]]), "",COUNTIFS($A:$A,patch[[#This Row],[number]],$S:$S, "BJ And dev",$AD:$AD, "&lt;&gt;IntegratorValidationComment"))</f>
        <v/>
      </c>
      <c r="AA2263" s="7" t="str">
        <f>IF(ISBLANK(patch[[#This Row],[project]]), "",COUNTIFS($A:$A,patch[[#This Row],[number]],$S:$S, "FL And dev",$AD:$AD, "&lt;&gt;IntegratorValidationComment"))</f>
        <v/>
      </c>
      <c r="AB2263" s="7" t="str">
        <f>IF(ISBLANK(patch[[#This Row],[project]]), "",COUNTIFS($A:$A,patch[[#This Row],[number]],$S:$S, "SH And dev",$AD:$AD, "&lt;&gt;IntegratorValidationComment"))</f>
        <v/>
      </c>
      <c r="AC2263" s="7" t="str">
        <f>IF(OR(ISNUMBER(FIND("Review-1", patch[[#This Row],[comments]])), ISNUMBER(FIND("Approver-1", patch[[#This Row],[comments]]))), "Review-1", "")</f>
        <v/>
      </c>
      <c r="AD22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63" s="7">
        <f>IF(ISBLANK(patch[[#This Row],[number]]),AE2262,patch[[#This Row],[ifCommon]])</f>
        <v>0</v>
      </c>
    </row>
    <row r="2264" spans="1:31">
      <c r="A2264" s="151">
        <v>142709</v>
      </c>
      <c r="B2264" s="151"/>
      <c r="C2264" s="151"/>
      <c r="D2264" s="151"/>
      <c r="E2264" s="151"/>
      <c r="F2264" s="151"/>
      <c r="G2264" s="151"/>
      <c r="H2264" s="151"/>
      <c r="I2264" s="151"/>
      <c r="J2264" s="152">
        <v>42619.714861111112</v>
      </c>
      <c r="K2264" s="151"/>
      <c r="L2264" s="151" t="s">
        <v>72</v>
      </c>
      <c r="M2264" s="152">
        <v>42615.381631944438</v>
      </c>
      <c r="N2264" s="151" t="s">
        <v>2450</v>
      </c>
      <c r="O2264" s="151"/>
      <c r="P2264" s="151"/>
      <c r="Q2264" s="7" t="str">
        <f>IF(ISBLANK(patch[[#This Row],[OwnerEmail]]),Q2263,patch[[#This Row],[OwnerEmail]])</f>
        <v>bin.b.yang@intel.com</v>
      </c>
      <c r="R2264" s="7" t="str">
        <f>_xlfn.IFNA(VLOOKUP(patch[[#This Row],[tmp-owner.email]],OrgTree!$A:$K, 11, 0), "not ICG SWFW")</f>
        <v>BJ And dev</v>
      </c>
      <c r="S2264" s="7" t="str">
        <f>IF(patch[[#This Row],[reviewer]]=patch[[#This Row],[tmp-owner.email]], "author", _xlfn.IFNA(VLOOKUP(patch[[#This Row],[reviewer]],OrgTree!$A:$K, 11, 0), "not ICG SWFW"))</f>
        <v>author</v>
      </c>
      <c r="T2264" s="7" t="str">
        <f>IF(ISBLANK(patch[[#This Row],[mergeDate]]), "", MID(YEAR(patch[[#This Row],[mergeDate]]), 3,2)&amp;"'ww"&amp;WEEKNUM(patch[[#This Row],[mergeDate]]))</f>
        <v>16'ww37</v>
      </c>
      <c r="U2264" s="7" t="str">
        <f>IF(ISBLANK(patch[[#This Row],[mergeDate]]), U2263, MID(YEAR(patch[[#This Row],[mergeDate]]), 3,2)&amp;"'m"&amp;MONTH(patch[[#This Row],[mergeDate]]))</f>
        <v>16'm9</v>
      </c>
      <c r="V2264" s="7" t="str">
        <f>IF(ISBLANK(patch[[#This Row],[project]]), "",SUM(patch[[#This Row],[BJ -1 num]:[SH -1 num]]))</f>
        <v/>
      </c>
      <c r="W2264" s="7" t="str">
        <f>IF(ISBLANK(patch[[#This Row],[project]]), "",COUNTIFS($A:$A,patch[[#This Row],[number]],$S:$S, "BJ And dev",$AC:$AC, "Review-1"))</f>
        <v/>
      </c>
      <c r="X2264" s="7" t="str">
        <f>IF(ISBLANK(patch[[#This Row],[project]]), "",COUNTIFS($A:$A,patch[[#This Row],[number]],$S:$S, "FL And dev",$AC:$AC, "Review-1"))</f>
        <v/>
      </c>
      <c r="Y2264" s="7" t="str">
        <f>IF(ISBLANK(patch[[#This Row],[project]]), "",COUNTIFS($A:$A,patch[[#This Row],[number]],$S:$S, "SH And dev",$AC:$AC, "Review-1"))</f>
        <v/>
      </c>
      <c r="Z2264" s="7" t="str">
        <f>IF(ISBLANK(patch[[#This Row],[project]]), "",COUNTIFS($A:$A,patch[[#This Row],[number]],$S:$S, "BJ And dev",$AD:$AD, "&lt;&gt;IntegratorValidationComment"))</f>
        <v/>
      </c>
      <c r="AA2264" s="7" t="str">
        <f>IF(ISBLANK(patch[[#This Row],[project]]), "",COUNTIFS($A:$A,patch[[#This Row],[number]],$S:$S, "FL And dev",$AD:$AD, "&lt;&gt;IntegratorValidationComment"))</f>
        <v/>
      </c>
      <c r="AB2264" s="7" t="str">
        <f>IF(ISBLANK(patch[[#This Row],[project]]), "",COUNTIFS($A:$A,patch[[#This Row],[number]],$S:$S, "SH And dev",$AD:$AD, "&lt;&gt;IntegratorValidationComment"))</f>
        <v/>
      </c>
      <c r="AC2264" s="7" t="str">
        <f>IF(OR(ISNUMBER(FIND("Review-1", patch[[#This Row],[comments]])), ISNUMBER(FIND("Approver-1", patch[[#This Row],[comments]]))), "Review-1", "")</f>
        <v/>
      </c>
      <c r="AD22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64" s="7">
        <f>IF(ISBLANK(patch[[#This Row],[number]]),AE2263,patch[[#This Row],[ifCommon]])</f>
        <v>0</v>
      </c>
    </row>
    <row r="2265" spans="1:31">
      <c r="A2265" s="151">
        <v>142709</v>
      </c>
      <c r="B2265" s="151"/>
      <c r="C2265" s="151"/>
      <c r="D2265" s="151"/>
      <c r="E2265" s="151"/>
      <c r="F2265" s="151"/>
      <c r="G2265" s="151"/>
      <c r="H2265" s="151"/>
      <c r="I2265" s="151"/>
      <c r="J2265" s="152">
        <v>42619.714861111112</v>
      </c>
      <c r="K2265" s="151"/>
      <c r="L2265" s="151" t="s">
        <v>72</v>
      </c>
      <c r="M2265" s="152">
        <v>42615.381631944438</v>
      </c>
      <c r="N2265" s="151" t="s">
        <v>2704</v>
      </c>
      <c r="O2265" s="151"/>
      <c r="P2265" s="151"/>
      <c r="Q2265" s="7" t="str">
        <f>IF(ISBLANK(patch[[#This Row],[OwnerEmail]]),Q2264,patch[[#This Row],[OwnerEmail]])</f>
        <v>bin.b.yang@intel.com</v>
      </c>
      <c r="R2265" s="7" t="str">
        <f>_xlfn.IFNA(VLOOKUP(patch[[#This Row],[tmp-owner.email]],OrgTree!$A:$K, 11, 0), "not ICG SWFW")</f>
        <v>BJ And dev</v>
      </c>
      <c r="S2265" s="7" t="str">
        <f>IF(patch[[#This Row],[reviewer]]=patch[[#This Row],[tmp-owner.email]], "author", _xlfn.IFNA(VLOOKUP(patch[[#This Row],[reviewer]],OrgTree!$A:$K, 11, 0), "not ICG SWFW"))</f>
        <v>author</v>
      </c>
      <c r="T2265" s="7" t="str">
        <f>IF(ISBLANK(patch[[#This Row],[mergeDate]]), "", MID(YEAR(patch[[#This Row],[mergeDate]]), 3,2)&amp;"'ww"&amp;WEEKNUM(patch[[#This Row],[mergeDate]]))</f>
        <v>16'ww37</v>
      </c>
      <c r="U2265" s="7" t="str">
        <f>IF(ISBLANK(patch[[#This Row],[mergeDate]]), U2264, MID(YEAR(patch[[#This Row],[mergeDate]]), 3,2)&amp;"'m"&amp;MONTH(patch[[#This Row],[mergeDate]]))</f>
        <v>16'm9</v>
      </c>
      <c r="V2265" s="7" t="str">
        <f>IF(ISBLANK(patch[[#This Row],[project]]), "",SUM(patch[[#This Row],[BJ -1 num]:[SH -1 num]]))</f>
        <v/>
      </c>
      <c r="W2265" s="7" t="str">
        <f>IF(ISBLANK(patch[[#This Row],[project]]), "",COUNTIFS($A:$A,patch[[#This Row],[number]],$S:$S, "BJ And dev",$AC:$AC, "Review-1"))</f>
        <v/>
      </c>
      <c r="X2265" s="7" t="str">
        <f>IF(ISBLANK(patch[[#This Row],[project]]), "",COUNTIFS($A:$A,patch[[#This Row],[number]],$S:$S, "FL And dev",$AC:$AC, "Review-1"))</f>
        <v/>
      </c>
      <c r="Y2265" s="7" t="str">
        <f>IF(ISBLANK(patch[[#This Row],[project]]), "",COUNTIFS($A:$A,patch[[#This Row],[number]],$S:$S, "SH And dev",$AC:$AC, "Review-1"))</f>
        <v/>
      </c>
      <c r="Z2265" s="7" t="str">
        <f>IF(ISBLANK(patch[[#This Row],[project]]), "",COUNTIFS($A:$A,patch[[#This Row],[number]],$S:$S, "BJ And dev",$AD:$AD, "&lt;&gt;IntegratorValidationComment"))</f>
        <v/>
      </c>
      <c r="AA2265" s="7" t="str">
        <f>IF(ISBLANK(patch[[#This Row],[project]]), "",COUNTIFS($A:$A,patch[[#This Row],[number]],$S:$S, "FL And dev",$AD:$AD, "&lt;&gt;IntegratorValidationComment"))</f>
        <v/>
      </c>
      <c r="AB2265" s="7" t="str">
        <f>IF(ISBLANK(patch[[#This Row],[project]]), "",COUNTIFS($A:$A,patch[[#This Row],[number]],$S:$S, "SH And dev",$AD:$AD, "&lt;&gt;IntegratorValidationComment"))</f>
        <v/>
      </c>
      <c r="AC2265" s="7" t="str">
        <f>IF(OR(ISNUMBER(FIND("Review-1", patch[[#This Row],[comments]])), ISNUMBER(FIND("Approver-1", patch[[#This Row],[comments]]))), "Review-1", "")</f>
        <v/>
      </c>
      <c r="AD22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65" s="7">
        <f>IF(ISBLANK(patch[[#This Row],[number]]),AE2264,patch[[#This Row],[ifCommon]])</f>
        <v>0</v>
      </c>
    </row>
    <row r="2266" spans="1:31">
      <c r="A2266" s="151">
        <v>142709</v>
      </c>
      <c r="B2266" s="151"/>
      <c r="C2266" s="151"/>
      <c r="D2266" s="151"/>
      <c r="E2266" s="151"/>
      <c r="F2266" s="151"/>
      <c r="G2266" s="151"/>
      <c r="H2266" s="151"/>
      <c r="I2266" s="151"/>
      <c r="J2266" s="152">
        <v>42619.714861111112</v>
      </c>
      <c r="K2266" s="151"/>
      <c r="L2266" s="151" t="s">
        <v>59</v>
      </c>
      <c r="M2266" s="152">
        <v>42615.383217592593</v>
      </c>
      <c r="N2266" s="151" t="s">
        <v>3712</v>
      </c>
      <c r="O2266" s="151"/>
      <c r="P2266" s="151"/>
      <c r="Q2266" s="7" t="str">
        <f>IF(ISBLANK(patch[[#This Row],[OwnerEmail]]),Q2265,patch[[#This Row],[OwnerEmail]])</f>
        <v>bin.b.yang@intel.com</v>
      </c>
      <c r="R2266" s="7" t="str">
        <f>_xlfn.IFNA(VLOOKUP(patch[[#This Row],[tmp-owner.email]],OrgTree!$A:$K, 11, 0), "not ICG SWFW")</f>
        <v>BJ And dev</v>
      </c>
      <c r="S2266" s="7" t="str">
        <f>IF(patch[[#This Row],[reviewer]]=patch[[#This Row],[tmp-owner.email]], "author", _xlfn.IFNA(VLOOKUP(patch[[#This Row],[reviewer]],OrgTree!$A:$K, 11, 0), "not ICG SWFW"))</f>
        <v>BJ And dev</v>
      </c>
      <c r="T2266" s="7" t="str">
        <f>IF(ISBLANK(patch[[#This Row],[mergeDate]]), "", MID(YEAR(patch[[#This Row],[mergeDate]]), 3,2)&amp;"'ww"&amp;WEEKNUM(patch[[#This Row],[mergeDate]]))</f>
        <v>16'ww37</v>
      </c>
      <c r="U2266" s="7" t="str">
        <f>IF(ISBLANK(patch[[#This Row],[mergeDate]]), U2265, MID(YEAR(patch[[#This Row],[mergeDate]]), 3,2)&amp;"'m"&amp;MONTH(patch[[#This Row],[mergeDate]]))</f>
        <v>16'm9</v>
      </c>
      <c r="V2266" s="7" t="str">
        <f>IF(ISBLANK(patch[[#This Row],[project]]), "",SUM(patch[[#This Row],[BJ -1 num]:[SH -1 num]]))</f>
        <v/>
      </c>
      <c r="W2266" s="7" t="str">
        <f>IF(ISBLANK(patch[[#This Row],[project]]), "",COUNTIFS($A:$A,patch[[#This Row],[number]],$S:$S, "BJ And dev",$AC:$AC, "Review-1"))</f>
        <v/>
      </c>
      <c r="X2266" s="7" t="str">
        <f>IF(ISBLANK(patch[[#This Row],[project]]), "",COUNTIFS($A:$A,patch[[#This Row],[number]],$S:$S, "FL And dev",$AC:$AC, "Review-1"))</f>
        <v/>
      </c>
      <c r="Y2266" s="7" t="str">
        <f>IF(ISBLANK(patch[[#This Row],[project]]), "",COUNTIFS($A:$A,patch[[#This Row],[number]],$S:$S, "SH And dev",$AC:$AC, "Review-1"))</f>
        <v/>
      </c>
      <c r="Z2266" s="7" t="str">
        <f>IF(ISBLANK(patch[[#This Row],[project]]), "",COUNTIFS($A:$A,patch[[#This Row],[number]],$S:$S, "BJ And dev",$AD:$AD, "&lt;&gt;IntegratorValidationComment"))</f>
        <v/>
      </c>
      <c r="AA2266" s="7" t="str">
        <f>IF(ISBLANK(patch[[#This Row],[project]]), "",COUNTIFS($A:$A,patch[[#This Row],[number]],$S:$S, "FL And dev",$AD:$AD, "&lt;&gt;IntegratorValidationComment"))</f>
        <v/>
      </c>
      <c r="AB2266" s="7" t="str">
        <f>IF(ISBLANK(patch[[#This Row],[project]]), "",COUNTIFS($A:$A,patch[[#This Row],[number]],$S:$S, "SH And dev",$AD:$AD, "&lt;&gt;IntegratorValidationComment"))</f>
        <v/>
      </c>
      <c r="AC2266" s="7" t="str">
        <f>IF(OR(ISNUMBER(FIND("Review-1", patch[[#This Row],[comments]])), ISNUMBER(FIND("Approver-1", patch[[#This Row],[comments]]))), "Review-1", "")</f>
        <v/>
      </c>
      <c r="AD22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66" s="7">
        <f>IF(ISBLANK(patch[[#This Row],[number]]),AE2265,patch[[#This Row],[ifCommon]])</f>
        <v>0</v>
      </c>
    </row>
    <row r="2267" spans="1:31">
      <c r="A2267" s="151">
        <v>142709</v>
      </c>
      <c r="B2267" s="151"/>
      <c r="C2267" s="151"/>
      <c r="D2267" s="151"/>
      <c r="E2267" s="151"/>
      <c r="F2267" s="151"/>
      <c r="G2267" s="151"/>
      <c r="H2267" s="151"/>
      <c r="I2267" s="151"/>
      <c r="J2267" s="152">
        <v>42619.714861111112</v>
      </c>
      <c r="K2267" s="151"/>
      <c r="L2267" s="151" t="s">
        <v>59</v>
      </c>
      <c r="M2267" s="152">
        <v>42615.388692129629</v>
      </c>
      <c r="N2267" s="151" t="s">
        <v>3713</v>
      </c>
      <c r="O2267" s="151"/>
      <c r="P2267" s="151"/>
      <c r="Q2267" s="7" t="str">
        <f>IF(ISBLANK(patch[[#This Row],[OwnerEmail]]),Q2266,patch[[#This Row],[OwnerEmail]])</f>
        <v>bin.b.yang@intel.com</v>
      </c>
      <c r="R2267" s="7" t="str">
        <f>_xlfn.IFNA(VLOOKUP(patch[[#This Row],[tmp-owner.email]],OrgTree!$A:$K, 11, 0), "not ICG SWFW")</f>
        <v>BJ And dev</v>
      </c>
      <c r="S2267" s="7" t="str">
        <f>IF(patch[[#This Row],[reviewer]]=patch[[#This Row],[tmp-owner.email]], "author", _xlfn.IFNA(VLOOKUP(patch[[#This Row],[reviewer]],OrgTree!$A:$K, 11, 0), "not ICG SWFW"))</f>
        <v>BJ And dev</v>
      </c>
      <c r="T2267" s="7" t="str">
        <f>IF(ISBLANK(patch[[#This Row],[mergeDate]]), "", MID(YEAR(patch[[#This Row],[mergeDate]]), 3,2)&amp;"'ww"&amp;WEEKNUM(patch[[#This Row],[mergeDate]]))</f>
        <v>16'ww37</v>
      </c>
      <c r="U2267" s="7" t="str">
        <f>IF(ISBLANK(patch[[#This Row],[mergeDate]]), U2266, MID(YEAR(patch[[#This Row],[mergeDate]]), 3,2)&amp;"'m"&amp;MONTH(patch[[#This Row],[mergeDate]]))</f>
        <v>16'm9</v>
      </c>
      <c r="V2267" s="7" t="str">
        <f>IF(ISBLANK(patch[[#This Row],[project]]), "",SUM(patch[[#This Row],[BJ -1 num]:[SH -1 num]]))</f>
        <v/>
      </c>
      <c r="W2267" s="7" t="str">
        <f>IF(ISBLANK(patch[[#This Row],[project]]), "",COUNTIFS($A:$A,patch[[#This Row],[number]],$S:$S, "BJ And dev",$AC:$AC, "Review-1"))</f>
        <v/>
      </c>
      <c r="X2267" s="7" t="str">
        <f>IF(ISBLANK(patch[[#This Row],[project]]), "",COUNTIFS($A:$A,patch[[#This Row],[number]],$S:$S, "FL And dev",$AC:$AC, "Review-1"))</f>
        <v/>
      </c>
      <c r="Y2267" s="7" t="str">
        <f>IF(ISBLANK(patch[[#This Row],[project]]), "",COUNTIFS($A:$A,patch[[#This Row],[number]],$S:$S, "SH And dev",$AC:$AC, "Review-1"))</f>
        <v/>
      </c>
      <c r="Z2267" s="7" t="str">
        <f>IF(ISBLANK(patch[[#This Row],[project]]), "",COUNTIFS($A:$A,patch[[#This Row],[number]],$S:$S, "BJ And dev",$AD:$AD, "&lt;&gt;IntegratorValidationComment"))</f>
        <v/>
      </c>
      <c r="AA2267" s="7" t="str">
        <f>IF(ISBLANK(patch[[#This Row],[project]]), "",COUNTIFS($A:$A,patch[[#This Row],[number]],$S:$S, "FL And dev",$AD:$AD, "&lt;&gt;IntegratorValidationComment"))</f>
        <v/>
      </c>
      <c r="AB2267" s="7" t="str">
        <f>IF(ISBLANK(patch[[#This Row],[project]]), "",COUNTIFS($A:$A,patch[[#This Row],[number]],$S:$S, "SH And dev",$AD:$AD, "&lt;&gt;IntegratorValidationComment"))</f>
        <v/>
      </c>
      <c r="AC2267" s="7" t="str">
        <f>IF(OR(ISNUMBER(FIND("Review-1", patch[[#This Row],[comments]])), ISNUMBER(FIND("Approver-1", patch[[#This Row],[comments]]))), "Review-1", "")</f>
        <v/>
      </c>
      <c r="AD22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67" s="7">
        <f>IF(ISBLANK(patch[[#This Row],[number]]),AE2266,patch[[#This Row],[ifCommon]])</f>
        <v>0</v>
      </c>
    </row>
    <row r="2268" spans="1:31">
      <c r="A2268" s="151">
        <v>142709</v>
      </c>
      <c r="B2268" s="151"/>
      <c r="C2268" s="151"/>
      <c r="D2268" s="151"/>
      <c r="E2268" s="151"/>
      <c r="F2268" s="151"/>
      <c r="G2268" s="151"/>
      <c r="H2268" s="151"/>
      <c r="I2268" s="151"/>
      <c r="J2268" s="152">
        <v>42619.714861111112</v>
      </c>
      <c r="K2268" s="151"/>
      <c r="L2268" s="151" t="s">
        <v>59</v>
      </c>
      <c r="M2268" s="152">
        <v>42615.611481481479</v>
      </c>
      <c r="N2268" s="151" t="s">
        <v>3714</v>
      </c>
      <c r="O2268" s="151"/>
      <c r="P2268" s="151"/>
      <c r="Q2268" s="7" t="str">
        <f>IF(ISBLANK(patch[[#This Row],[OwnerEmail]]),Q2267,patch[[#This Row],[OwnerEmail]])</f>
        <v>bin.b.yang@intel.com</v>
      </c>
      <c r="R2268" s="7" t="str">
        <f>_xlfn.IFNA(VLOOKUP(patch[[#This Row],[tmp-owner.email]],OrgTree!$A:$K, 11, 0), "not ICG SWFW")</f>
        <v>BJ And dev</v>
      </c>
      <c r="S2268" s="7" t="str">
        <f>IF(patch[[#This Row],[reviewer]]=patch[[#This Row],[tmp-owner.email]], "author", _xlfn.IFNA(VLOOKUP(patch[[#This Row],[reviewer]],OrgTree!$A:$K, 11, 0), "not ICG SWFW"))</f>
        <v>BJ And dev</v>
      </c>
      <c r="T2268" s="7" t="str">
        <f>IF(ISBLANK(patch[[#This Row],[mergeDate]]), "", MID(YEAR(patch[[#This Row],[mergeDate]]), 3,2)&amp;"'ww"&amp;WEEKNUM(patch[[#This Row],[mergeDate]]))</f>
        <v>16'ww37</v>
      </c>
      <c r="U2268" s="7" t="str">
        <f>IF(ISBLANK(patch[[#This Row],[mergeDate]]), U2267, MID(YEAR(patch[[#This Row],[mergeDate]]), 3,2)&amp;"'m"&amp;MONTH(patch[[#This Row],[mergeDate]]))</f>
        <v>16'm9</v>
      </c>
      <c r="V2268" s="7" t="str">
        <f>IF(ISBLANK(patch[[#This Row],[project]]), "",SUM(patch[[#This Row],[BJ -1 num]:[SH -1 num]]))</f>
        <v/>
      </c>
      <c r="W2268" s="7" t="str">
        <f>IF(ISBLANK(patch[[#This Row],[project]]), "",COUNTIFS($A:$A,patch[[#This Row],[number]],$S:$S, "BJ And dev",$AC:$AC, "Review-1"))</f>
        <v/>
      </c>
      <c r="X2268" s="7" t="str">
        <f>IF(ISBLANK(patch[[#This Row],[project]]), "",COUNTIFS($A:$A,patch[[#This Row],[number]],$S:$S, "FL And dev",$AC:$AC, "Review-1"))</f>
        <v/>
      </c>
      <c r="Y2268" s="7" t="str">
        <f>IF(ISBLANK(patch[[#This Row],[project]]), "",COUNTIFS($A:$A,patch[[#This Row],[number]],$S:$S, "SH And dev",$AC:$AC, "Review-1"))</f>
        <v/>
      </c>
      <c r="Z2268" s="7" t="str">
        <f>IF(ISBLANK(patch[[#This Row],[project]]), "",COUNTIFS($A:$A,patch[[#This Row],[number]],$S:$S, "BJ And dev",$AD:$AD, "&lt;&gt;IntegratorValidationComment"))</f>
        <v/>
      </c>
      <c r="AA2268" s="7" t="str">
        <f>IF(ISBLANK(patch[[#This Row],[project]]), "",COUNTIFS($A:$A,patch[[#This Row],[number]],$S:$S, "FL And dev",$AD:$AD, "&lt;&gt;IntegratorValidationComment"))</f>
        <v/>
      </c>
      <c r="AB2268" s="7" t="str">
        <f>IF(ISBLANK(patch[[#This Row],[project]]), "",COUNTIFS($A:$A,patch[[#This Row],[number]],$S:$S, "SH And dev",$AD:$AD, "&lt;&gt;IntegratorValidationComment"))</f>
        <v/>
      </c>
      <c r="AC2268" s="7" t="str">
        <f>IF(OR(ISNUMBER(FIND("Review-1", patch[[#This Row],[comments]])), ISNUMBER(FIND("Approver-1", patch[[#This Row],[comments]]))), "Review-1", "")</f>
        <v/>
      </c>
      <c r="AD22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68" s="7">
        <f>IF(ISBLANK(patch[[#This Row],[number]]),AE2267,patch[[#This Row],[ifCommon]])</f>
        <v>0</v>
      </c>
    </row>
    <row r="2269" spans="1:31">
      <c r="A2269" s="151">
        <v>142709</v>
      </c>
      <c r="B2269" s="151"/>
      <c r="C2269" s="151"/>
      <c r="D2269" s="151"/>
      <c r="E2269" s="151"/>
      <c r="F2269" s="151"/>
      <c r="G2269" s="151"/>
      <c r="H2269" s="151"/>
      <c r="I2269" s="151"/>
      <c r="J2269" s="152">
        <v>42619.714861111112</v>
      </c>
      <c r="K2269" s="151"/>
      <c r="L2269" s="151" t="s">
        <v>72</v>
      </c>
      <c r="M2269" s="152">
        <v>42615.62060185185</v>
      </c>
      <c r="N2269" s="151" t="s">
        <v>2523</v>
      </c>
      <c r="O2269" s="151"/>
      <c r="P2269" s="151"/>
      <c r="Q2269" s="7" t="str">
        <f>IF(ISBLANK(patch[[#This Row],[OwnerEmail]]),Q2268,patch[[#This Row],[OwnerEmail]])</f>
        <v>bin.b.yang@intel.com</v>
      </c>
      <c r="R2269" s="7" t="str">
        <f>_xlfn.IFNA(VLOOKUP(patch[[#This Row],[tmp-owner.email]],OrgTree!$A:$K, 11, 0), "not ICG SWFW")</f>
        <v>BJ And dev</v>
      </c>
      <c r="S2269" s="7" t="str">
        <f>IF(patch[[#This Row],[reviewer]]=patch[[#This Row],[tmp-owner.email]], "author", _xlfn.IFNA(VLOOKUP(patch[[#This Row],[reviewer]],OrgTree!$A:$K, 11, 0), "not ICG SWFW"))</f>
        <v>author</v>
      </c>
      <c r="T2269" s="7" t="str">
        <f>IF(ISBLANK(patch[[#This Row],[mergeDate]]), "", MID(YEAR(patch[[#This Row],[mergeDate]]), 3,2)&amp;"'ww"&amp;WEEKNUM(patch[[#This Row],[mergeDate]]))</f>
        <v>16'ww37</v>
      </c>
      <c r="U2269" s="7" t="str">
        <f>IF(ISBLANK(patch[[#This Row],[mergeDate]]), U2268, MID(YEAR(patch[[#This Row],[mergeDate]]), 3,2)&amp;"'m"&amp;MONTH(patch[[#This Row],[mergeDate]]))</f>
        <v>16'm9</v>
      </c>
      <c r="V2269" s="7" t="str">
        <f>IF(ISBLANK(patch[[#This Row],[project]]), "",SUM(patch[[#This Row],[BJ -1 num]:[SH -1 num]]))</f>
        <v/>
      </c>
      <c r="W2269" s="7" t="str">
        <f>IF(ISBLANK(patch[[#This Row],[project]]), "",COUNTIFS($A:$A,patch[[#This Row],[number]],$S:$S, "BJ And dev",$AC:$AC, "Review-1"))</f>
        <v/>
      </c>
      <c r="X2269" s="7" t="str">
        <f>IF(ISBLANK(patch[[#This Row],[project]]), "",COUNTIFS($A:$A,patch[[#This Row],[number]],$S:$S, "FL And dev",$AC:$AC, "Review-1"))</f>
        <v/>
      </c>
      <c r="Y2269" s="7" t="str">
        <f>IF(ISBLANK(patch[[#This Row],[project]]), "",COUNTIFS($A:$A,patch[[#This Row],[number]],$S:$S, "SH And dev",$AC:$AC, "Review-1"))</f>
        <v/>
      </c>
      <c r="Z2269" s="7" t="str">
        <f>IF(ISBLANK(patch[[#This Row],[project]]), "",COUNTIFS($A:$A,patch[[#This Row],[number]],$S:$S, "BJ And dev",$AD:$AD, "&lt;&gt;IntegratorValidationComment"))</f>
        <v/>
      </c>
      <c r="AA2269" s="7" t="str">
        <f>IF(ISBLANK(patch[[#This Row],[project]]), "",COUNTIFS($A:$A,patch[[#This Row],[number]],$S:$S, "FL And dev",$AD:$AD, "&lt;&gt;IntegratorValidationComment"))</f>
        <v/>
      </c>
      <c r="AB2269" s="7" t="str">
        <f>IF(ISBLANK(patch[[#This Row],[project]]), "",COUNTIFS($A:$A,patch[[#This Row],[number]],$S:$S, "SH And dev",$AD:$AD, "&lt;&gt;IntegratorValidationComment"))</f>
        <v/>
      </c>
      <c r="AC2269" s="7" t="str">
        <f>IF(OR(ISNUMBER(FIND("Review-1", patch[[#This Row],[comments]])), ISNUMBER(FIND("Approver-1", patch[[#This Row],[comments]]))), "Review-1", "")</f>
        <v/>
      </c>
      <c r="AD22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69" s="7">
        <f>IF(ISBLANK(patch[[#This Row],[number]]),AE2268,patch[[#This Row],[ifCommon]])</f>
        <v>0</v>
      </c>
    </row>
    <row r="2270" spans="1:31">
      <c r="A2270" s="151">
        <v>142709</v>
      </c>
      <c r="B2270" s="151"/>
      <c r="C2270" s="151"/>
      <c r="D2270" s="151"/>
      <c r="E2270" s="151"/>
      <c r="F2270" s="151"/>
      <c r="G2270" s="151"/>
      <c r="H2270" s="151"/>
      <c r="I2270" s="151"/>
      <c r="J2270" s="152">
        <v>42619.714861111112</v>
      </c>
      <c r="K2270" s="151"/>
      <c r="L2270" s="151" t="s">
        <v>72</v>
      </c>
      <c r="M2270" s="152">
        <v>42615.622696759259</v>
      </c>
      <c r="N2270" s="151" t="s">
        <v>2451</v>
      </c>
      <c r="O2270" s="151"/>
      <c r="P2270" s="151"/>
      <c r="Q2270" s="7" t="str">
        <f>IF(ISBLANK(patch[[#This Row],[OwnerEmail]]),Q2269,patch[[#This Row],[OwnerEmail]])</f>
        <v>bin.b.yang@intel.com</v>
      </c>
      <c r="R2270" s="7" t="str">
        <f>_xlfn.IFNA(VLOOKUP(patch[[#This Row],[tmp-owner.email]],OrgTree!$A:$K, 11, 0), "not ICG SWFW")</f>
        <v>BJ And dev</v>
      </c>
      <c r="S2270" s="7" t="str">
        <f>IF(patch[[#This Row],[reviewer]]=patch[[#This Row],[tmp-owner.email]], "author", _xlfn.IFNA(VLOOKUP(patch[[#This Row],[reviewer]],OrgTree!$A:$K, 11, 0), "not ICG SWFW"))</f>
        <v>author</v>
      </c>
      <c r="T2270" s="7" t="str">
        <f>IF(ISBLANK(patch[[#This Row],[mergeDate]]), "", MID(YEAR(patch[[#This Row],[mergeDate]]), 3,2)&amp;"'ww"&amp;WEEKNUM(patch[[#This Row],[mergeDate]]))</f>
        <v>16'ww37</v>
      </c>
      <c r="U2270" s="7" t="str">
        <f>IF(ISBLANK(patch[[#This Row],[mergeDate]]), U2269, MID(YEAR(patch[[#This Row],[mergeDate]]), 3,2)&amp;"'m"&amp;MONTH(patch[[#This Row],[mergeDate]]))</f>
        <v>16'm9</v>
      </c>
      <c r="V2270" s="7" t="str">
        <f>IF(ISBLANK(patch[[#This Row],[project]]), "",SUM(patch[[#This Row],[BJ -1 num]:[SH -1 num]]))</f>
        <v/>
      </c>
      <c r="W2270" s="7" t="str">
        <f>IF(ISBLANK(patch[[#This Row],[project]]), "",COUNTIFS($A:$A,patch[[#This Row],[number]],$S:$S, "BJ And dev",$AC:$AC, "Review-1"))</f>
        <v/>
      </c>
      <c r="X2270" s="7" t="str">
        <f>IF(ISBLANK(patch[[#This Row],[project]]), "",COUNTIFS($A:$A,patch[[#This Row],[number]],$S:$S, "FL And dev",$AC:$AC, "Review-1"))</f>
        <v/>
      </c>
      <c r="Y2270" s="7" t="str">
        <f>IF(ISBLANK(patch[[#This Row],[project]]), "",COUNTIFS($A:$A,patch[[#This Row],[number]],$S:$S, "SH And dev",$AC:$AC, "Review-1"))</f>
        <v/>
      </c>
      <c r="Z2270" s="7" t="str">
        <f>IF(ISBLANK(patch[[#This Row],[project]]), "",COUNTIFS($A:$A,patch[[#This Row],[number]],$S:$S, "BJ And dev",$AD:$AD, "&lt;&gt;IntegratorValidationComment"))</f>
        <v/>
      </c>
      <c r="AA2270" s="7" t="str">
        <f>IF(ISBLANK(patch[[#This Row],[project]]), "",COUNTIFS($A:$A,patch[[#This Row],[number]],$S:$S, "FL And dev",$AD:$AD, "&lt;&gt;IntegratorValidationComment"))</f>
        <v/>
      </c>
      <c r="AB2270" s="7" t="str">
        <f>IF(ISBLANK(patch[[#This Row],[project]]), "",COUNTIFS($A:$A,patch[[#This Row],[number]],$S:$S, "SH And dev",$AD:$AD, "&lt;&gt;IntegratorValidationComment"))</f>
        <v/>
      </c>
      <c r="AC2270" s="7" t="str">
        <f>IF(OR(ISNUMBER(FIND("Review-1", patch[[#This Row],[comments]])), ISNUMBER(FIND("Approver-1", patch[[#This Row],[comments]]))), "Review-1", "")</f>
        <v/>
      </c>
      <c r="AD22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70" s="7">
        <f>IF(ISBLANK(patch[[#This Row],[number]]),AE2269,patch[[#This Row],[ifCommon]])</f>
        <v>0</v>
      </c>
    </row>
    <row r="2271" spans="1:31">
      <c r="A2271" s="151">
        <v>142709</v>
      </c>
      <c r="B2271" s="151"/>
      <c r="C2271" s="151"/>
      <c r="D2271" s="151"/>
      <c r="E2271" s="151"/>
      <c r="F2271" s="151"/>
      <c r="G2271" s="151"/>
      <c r="H2271" s="151"/>
      <c r="I2271" s="151"/>
      <c r="J2271" s="152">
        <v>42619.714861111112</v>
      </c>
      <c r="K2271" s="151"/>
      <c r="L2271" s="151" t="s">
        <v>72</v>
      </c>
      <c r="M2271" s="152">
        <v>42615.622696759259</v>
      </c>
      <c r="N2271" s="151" t="s">
        <v>2536</v>
      </c>
      <c r="O2271" s="151"/>
      <c r="P2271" s="151"/>
      <c r="Q2271" s="7" t="str">
        <f>IF(ISBLANK(patch[[#This Row],[OwnerEmail]]),Q2270,patch[[#This Row],[OwnerEmail]])</f>
        <v>bin.b.yang@intel.com</v>
      </c>
      <c r="R2271" s="7" t="str">
        <f>_xlfn.IFNA(VLOOKUP(patch[[#This Row],[tmp-owner.email]],OrgTree!$A:$K, 11, 0), "not ICG SWFW")</f>
        <v>BJ And dev</v>
      </c>
      <c r="S2271" s="7" t="str">
        <f>IF(patch[[#This Row],[reviewer]]=patch[[#This Row],[tmp-owner.email]], "author", _xlfn.IFNA(VLOOKUP(patch[[#This Row],[reviewer]],OrgTree!$A:$K, 11, 0), "not ICG SWFW"))</f>
        <v>author</v>
      </c>
      <c r="T2271" s="7" t="str">
        <f>IF(ISBLANK(patch[[#This Row],[mergeDate]]), "", MID(YEAR(patch[[#This Row],[mergeDate]]), 3,2)&amp;"'ww"&amp;WEEKNUM(patch[[#This Row],[mergeDate]]))</f>
        <v>16'ww37</v>
      </c>
      <c r="U2271" s="7" t="str">
        <f>IF(ISBLANK(patch[[#This Row],[mergeDate]]), U2270, MID(YEAR(patch[[#This Row],[mergeDate]]), 3,2)&amp;"'m"&amp;MONTH(patch[[#This Row],[mergeDate]]))</f>
        <v>16'm9</v>
      </c>
      <c r="V2271" s="7" t="str">
        <f>IF(ISBLANK(patch[[#This Row],[project]]), "",SUM(patch[[#This Row],[BJ -1 num]:[SH -1 num]]))</f>
        <v/>
      </c>
      <c r="W2271" s="7" t="str">
        <f>IF(ISBLANK(patch[[#This Row],[project]]), "",COUNTIFS($A:$A,patch[[#This Row],[number]],$S:$S, "BJ And dev",$AC:$AC, "Review-1"))</f>
        <v/>
      </c>
      <c r="X2271" s="7" t="str">
        <f>IF(ISBLANK(patch[[#This Row],[project]]), "",COUNTIFS($A:$A,patch[[#This Row],[number]],$S:$S, "FL And dev",$AC:$AC, "Review-1"))</f>
        <v/>
      </c>
      <c r="Y2271" s="7" t="str">
        <f>IF(ISBLANK(patch[[#This Row],[project]]), "",COUNTIFS($A:$A,patch[[#This Row],[number]],$S:$S, "SH And dev",$AC:$AC, "Review-1"))</f>
        <v/>
      </c>
      <c r="Z2271" s="7" t="str">
        <f>IF(ISBLANK(patch[[#This Row],[project]]), "",COUNTIFS($A:$A,patch[[#This Row],[number]],$S:$S, "BJ And dev",$AD:$AD, "&lt;&gt;IntegratorValidationComment"))</f>
        <v/>
      </c>
      <c r="AA2271" s="7" t="str">
        <f>IF(ISBLANK(patch[[#This Row],[project]]), "",COUNTIFS($A:$A,patch[[#This Row],[number]],$S:$S, "FL And dev",$AD:$AD, "&lt;&gt;IntegratorValidationComment"))</f>
        <v/>
      </c>
      <c r="AB2271" s="7" t="str">
        <f>IF(ISBLANK(patch[[#This Row],[project]]), "",COUNTIFS($A:$A,patch[[#This Row],[number]],$S:$S, "SH And dev",$AD:$AD, "&lt;&gt;IntegratorValidationComment"))</f>
        <v/>
      </c>
      <c r="AC2271" s="7" t="str">
        <f>IF(OR(ISNUMBER(FIND("Review-1", patch[[#This Row],[comments]])), ISNUMBER(FIND("Approver-1", patch[[#This Row],[comments]]))), "Review-1", "")</f>
        <v/>
      </c>
      <c r="AD22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71" s="7">
        <f>IF(ISBLANK(patch[[#This Row],[number]]),AE2270,patch[[#This Row],[ifCommon]])</f>
        <v>0</v>
      </c>
    </row>
    <row r="2272" spans="1:31">
      <c r="A2272" s="151">
        <v>142709</v>
      </c>
      <c r="B2272" s="151"/>
      <c r="C2272" s="151"/>
      <c r="D2272" s="151"/>
      <c r="E2272" s="151"/>
      <c r="F2272" s="151"/>
      <c r="G2272" s="151"/>
      <c r="H2272" s="151"/>
      <c r="I2272" s="152"/>
      <c r="J2272" s="152">
        <v>42619.714861111112</v>
      </c>
      <c r="K2272" s="151"/>
      <c r="L2272" s="151" t="s">
        <v>59</v>
      </c>
      <c r="M2272" s="152">
        <v>42615.626539351862</v>
      </c>
      <c r="N2272" s="151" t="s">
        <v>3715</v>
      </c>
      <c r="O2272" s="151"/>
      <c r="P2272" s="151"/>
      <c r="Q2272" s="7" t="str">
        <f>IF(ISBLANK(patch[[#This Row],[OwnerEmail]]),Q2271,patch[[#This Row],[OwnerEmail]])</f>
        <v>bin.b.yang@intel.com</v>
      </c>
      <c r="R2272" s="7" t="str">
        <f>_xlfn.IFNA(VLOOKUP(patch[[#This Row],[tmp-owner.email]],OrgTree!$A:$K, 11, 0), "not ICG SWFW")</f>
        <v>BJ And dev</v>
      </c>
      <c r="S2272" s="7" t="str">
        <f>IF(patch[[#This Row],[reviewer]]=patch[[#This Row],[tmp-owner.email]], "author", _xlfn.IFNA(VLOOKUP(patch[[#This Row],[reviewer]],OrgTree!$A:$K, 11, 0), "not ICG SWFW"))</f>
        <v>BJ And dev</v>
      </c>
      <c r="T2272" s="7" t="str">
        <f>IF(ISBLANK(patch[[#This Row],[mergeDate]]), "", MID(YEAR(patch[[#This Row],[mergeDate]]), 3,2)&amp;"'ww"&amp;WEEKNUM(patch[[#This Row],[mergeDate]]))</f>
        <v>16'ww37</v>
      </c>
      <c r="U2272" s="7" t="str">
        <f>IF(ISBLANK(patch[[#This Row],[mergeDate]]), U2271, MID(YEAR(patch[[#This Row],[mergeDate]]), 3,2)&amp;"'m"&amp;MONTH(patch[[#This Row],[mergeDate]]))</f>
        <v>16'm9</v>
      </c>
      <c r="V2272" s="7" t="str">
        <f>IF(ISBLANK(patch[[#This Row],[project]]), "",SUM(patch[[#This Row],[BJ -1 num]:[SH -1 num]]))</f>
        <v/>
      </c>
      <c r="W2272" s="7" t="str">
        <f>IF(ISBLANK(patch[[#This Row],[project]]), "",COUNTIFS($A:$A,patch[[#This Row],[number]],$S:$S, "BJ And dev",$AC:$AC, "Review-1"))</f>
        <v/>
      </c>
      <c r="X2272" s="7" t="str">
        <f>IF(ISBLANK(patch[[#This Row],[project]]), "",COUNTIFS($A:$A,patch[[#This Row],[number]],$S:$S, "FL And dev",$AC:$AC, "Review-1"))</f>
        <v/>
      </c>
      <c r="Y2272" s="7" t="str">
        <f>IF(ISBLANK(patch[[#This Row],[project]]), "",COUNTIFS($A:$A,patch[[#This Row],[number]],$S:$S, "SH And dev",$AC:$AC, "Review-1"))</f>
        <v/>
      </c>
      <c r="Z2272" s="7" t="str">
        <f>IF(ISBLANK(patch[[#This Row],[project]]), "",COUNTIFS($A:$A,patch[[#This Row],[number]],$S:$S, "BJ And dev",$AD:$AD, "&lt;&gt;IntegratorValidationComment"))</f>
        <v/>
      </c>
      <c r="AA2272" s="7" t="str">
        <f>IF(ISBLANK(patch[[#This Row],[project]]), "",COUNTIFS($A:$A,patch[[#This Row],[number]],$S:$S, "FL And dev",$AD:$AD, "&lt;&gt;IntegratorValidationComment"))</f>
        <v/>
      </c>
      <c r="AB2272" s="7" t="str">
        <f>IF(ISBLANK(patch[[#This Row],[project]]), "",COUNTIFS($A:$A,patch[[#This Row],[number]],$S:$S, "SH And dev",$AD:$AD, "&lt;&gt;IntegratorValidationComment"))</f>
        <v/>
      </c>
      <c r="AC2272" s="7" t="str">
        <f>IF(OR(ISNUMBER(FIND("Review-1", patch[[#This Row],[comments]])), ISNUMBER(FIND("Approver-1", patch[[#This Row],[comments]]))), "Review-1", "")</f>
        <v/>
      </c>
      <c r="AD22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72" s="7">
        <f>IF(ISBLANK(patch[[#This Row],[number]]),AE2271,patch[[#This Row],[ifCommon]])</f>
        <v>0</v>
      </c>
    </row>
    <row r="2273" spans="1:31">
      <c r="A2273" s="151">
        <v>142709</v>
      </c>
      <c r="B2273" s="151"/>
      <c r="C2273" s="151"/>
      <c r="D2273" s="151"/>
      <c r="E2273" s="151"/>
      <c r="F2273" s="151"/>
      <c r="G2273" s="151"/>
      <c r="H2273" s="151"/>
      <c r="I2273" s="151"/>
      <c r="J2273" s="152">
        <v>42619.714861111112</v>
      </c>
      <c r="K2273" s="151"/>
      <c r="L2273" s="151" t="s">
        <v>59</v>
      </c>
      <c r="M2273" s="152">
        <v>42615.634930555563</v>
      </c>
      <c r="N2273" s="151" t="s">
        <v>3716</v>
      </c>
      <c r="O2273" s="151"/>
      <c r="P2273" s="151"/>
      <c r="Q2273" s="7" t="str">
        <f>IF(ISBLANK(patch[[#This Row],[OwnerEmail]]),Q2272,patch[[#This Row],[OwnerEmail]])</f>
        <v>bin.b.yang@intel.com</v>
      </c>
      <c r="R2273" s="7" t="str">
        <f>_xlfn.IFNA(VLOOKUP(patch[[#This Row],[tmp-owner.email]],OrgTree!$A:$K, 11, 0), "not ICG SWFW")</f>
        <v>BJ And dev</v>
      </c>
      <c r="S2273" s="7" t="str">
        <f>IF(patch[[#This Row],[reviewer]]=patch[[#This Row],[tmp-owner.email]], "author", _xlfn.IFNA(VLOOKUP(patch[[#This Row],[reviewer]],OrgTree!$A:$K, 11, 0), "not ICG SWFW"))</f>
        <v>BJ And dev</v>
      </c>
      <c r="T2273" s="7" t="str">
        <f>IF(ISBLANK(patch[[#This Row],[mergeDate]]), "", MID(YEAR(patch[[#This Row],[mergeDate]]), 3,2)&amp;"'ww"&amp;WEEKNUM(patch[[#This Row],[mergeDate]]))</f>
        <v>16'ww37</v>
      </c>
      <c r="U2273" s="7" t="str">
        <f>IF(ISBLANK(patch[[#This Row],[mergeDate]]), U2272, MID(YEAR(patch[[#This Row],[mergeDate]]), 3,2)&amp;"'m"&amp;MONTH(patch[[#This Row],[mergeDate]]))</f>
        <v>16'm9</v>
      </c>
      <c r="V2273" s="7" t="str">
        <f>IF(ISBLANK(patch[[#This Row],[project]]), "",SUM(patch[[#This Row],[BJ -1 num]:[SH -1 num]]))</f>
        <v/>
      </c>
      <c r="W2273" s="7" t="str">
        <f>IF(ISBLANK(patch[[#This Row],[project]]), "",COUNTIFS($A:$A,patch[[#This Row],[number]],$S:$S, "BJ And dev",$AC:$AC, "Review-1"))</f>
        <v/>
      </c>
      <c r="X2273" s="7" t="str">
        <f>IF(ISBLANK(patch[[#This Row],[project]]), "",COUNTIFS($A:$A,patch[[#This Row],[number]],$S:$S, "FL And dev",$AC:$AC, "Review-1"))</f>
        <v/>
      </c>
      <c r="Y2273" s="7" t="str">
        <f>IF(ISBLANK(patch[[#This Row],[project]]), "",COUNTIFS($A:$A,patch[[#This Row],[number]],$S:$S, "SH And dev",$AC:$AC, "Review-1"))</f>
        <v/>
      </c>
      <c r="Z2273" s="7" t="str">
        <f>IF(ISBLANK(patch[[#This Row],[project]]), "",COUNTIFS($A:$A,patch[[#This Row],[number]],$S:$S, "BJ And dev",$AD:$AD, "&lt;&gt;IntegratorValidationComment"))</f>
        <v/>
      </c>
      <c r="AA2273" s="7" t="str">
        <f>IF(ISBLANK(patch[[#This Row],[project]]), "",COUNTIFS($A:$A,patch[[#This Row],[number]],$S:$S, "FL And dev",$AD:$AD, "&lt;&gt;IntegratorValidationComment"))</f>
        <v/>
      </c>
      <c r="AB2273" s="7" t="str">
        <f>IF(ISBLANK(patch[[#This Row],[project]]), "",COUNTIFS($A:$A,patch[[#This Row],[number]],$S:$S, "SH And dev",$AD:$AD, "&lt;&gt;IntegratorValidationComment"))</f>
        <v/>
      </c>
      <c r="AC2273" s="7" t="str">
        <f>IF(OR(ISNUMBER(FIND("Review-1", patch[[#This Row],[comments]])), ISNUMBER(FIND("Approver-1", patch[[#This Row],[comments]]))), "Review-1", "")</f>
        <v/>
      </c>
      <c r="AD22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73" s="7">
        <f>IF(ISBLANK(patch[[#This Row],[number]]),AE2272,patch[[#This Row],[ifCommon]])</f>
        <v>0</v>
      </c>
    </row>
    <row r="2274" spans="1:31">
      <c r="A2274" s="151">
        <v>142709</v>
      </c>
      <c r="B2274" s="151"/>
      <c r="C2274" s="151"/>
      <c r="D2274" s="151"/>
      <c r="E2274" s="151"/>
      <c r="F2274" s="151"/>
      <c r="G2274" s="151"/>
      <c r="H2274" s="151"/>
      <c r="I2274" s="152"/>
      <c r="J2274" s="152">
        <v>42619.714861111112</v>
      </c>
      <c r="K2274" s="151"/>
      <c r="L2274" s="151" t="s">
        <v>59</v>
      </c>
      <c r="M2274" s="152">
        <v>42615.644571759258</v>
      </c>
      <c r="N2274" s="151" t="s">
        <v>3717</v>
      </c>
      <c r="O2274" s="151"/>
      <c r="P2274" s="151"/>
      <c r="Q2274" s="7" t="str">
        <f>IF(ISBLANK(patch[[#This Row],[OwnerEmail]]),Q2273,patch[[#This Row],[OwnerEmail]])</f>
        <v>bin.b.yang@intel.com</v>
      </c>
      <c r="R2274" s="7" t="str">
        <f>_xlfn.IFNA(VLOOKUP(patch[[#This Row],[tmp-owner.email]],OrgTree!$A:$K, 11, 0), "not ICG SWFW")</f>
        <v>BJ And dev</v>
      </c>
      <c r="S2274" s="7" t="str">
        <f>IF(patch[[#This Row],[reviewer]]=patch[[#This Row],[tmp-owner.email]], "author", _xlfn.IFNA(VLOOKUP(patch[[#This Row],[reviewer]],OrgTree!$A:$K, 11, 0), "not ICG SWFW"))</f>
        <v>BJ And dev</v>
      </c>
      <c r="T2274" s="7" t="str">
        <f>IF(ISBLANK(patch[[#This Row],[mergeDate]]), "", MID(YEAR(patch[[#This Row],[mergeDate]]), 3,2)&amp;"'ww"&amp;WEEKNUM(patch[[#This Row],[mergeDate]]))</f>
        <v>16'ww37</v>
      </c>
      <c r="U2274" s="7" t="str">
        <f>IF(ISBLANK(patch[[#This Row],[mergeDate]]), U2273, MID(YEAR(patch[[#This Row],[mergeDate]]), 3,2)&amp;"'m"&amp;MONTH(patch[[#This Row],[mergeDate]]))</f>
        <v>16'm9</v>
      </c>
      <c r="V2274" s="7" t="str">
        <f>IF(ISBLANK(patch[[#This Row],[project]]), "",SUM(patch[[#This Row],[BJ -1 num]:[SH -1 num]]))</f>
        <v/>
      </c>
      <c r="W2274" s="7" t="str">
        <f>IF(ISBLANK(patch[[#This Row],[project]]), "",COUNTIFS($A:$A,patch[[#This Row],[number]],$S:$S, "BJ And dev",$AC:$AC, "Review-1"))</f>
        <v/>
      </c>
      <c r="X2274" s="7" t="str">
        <f>IF(ISBLANK(patch[[#This Row],[project]]), "",COUNTIFS($A:$A,patch[[#This Row],[number]],$S:$S, "FL And dev",$AC:$AC, "Review-1"))</f>
        <v/>
      </c>
      <c r="Y2274" s="7" t="str">
        <f>IF(ISBLANK(patch[[#This Row],[project]]), "",COUNTIFS($A:$A,patch[[#This Row],[number]],$S:$S, "SH And dev",$AC:$AC, "Review-1"))</f>
        <v/>
      </c>
      <c r="Z2274" s="7" t="str">
        <f>IF(ISBLANK(patch[[#This Row],[project]]), "",COUNTIFS($A:$A,patch[[#This Row],[number]],$S:$S, "BJ And dev",$AD:$AD, "&lt;&gt;IntegratorValidationComment"))</f>
        <v/>
      </c>
      <c r="AA2274" s="7" t="str">
        <f>IF(ISBLANK(patch[[#This Row],[project]]), "",COUNTIFS($A:$A,patch[[#This Row],[number]],$S:$S, "FL And dev",$AD:$AD, "&lt;&gt;IntegratorValidationComment"))</f>
        <v/>
      </c>
      <c r="AB2274" s="7" t="str">
        <f>IF(ISBLANK(patch[[#This Row],[project]]), "",COUNTIFS($A:$A,patch[[#This Row],[number]],$S:$S, "SH And dev",$AD:$AD, "&lt;&gt;IntegratorValidationComment"))</f>
        <v/>
      </c>
      <c r="AC2274" s="7" t="str">
        <f>IF(OR(ISNUMBER(FIND("Review-1", patch[[#This Row],[comments]])), ISNUMBER(FIND("Approver-1", patch[[#This Row],[comments]]))), "Review-1", "")</f>
        <v/>
      </c>
      <c r="AD22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74" s="7">
        <f>IF(ISBLANK(patch[[#This Row],[number]]),AE2273,patch[[#This Row],[ifCommon]])</f>
        <v>0</v>
      </c>
    </row>
    <row r="2275" spans="1:31">
      <c r="A2275" s="151">
        <v>142709</v>
      </c>
      <c r="B2275" s="151"/>
      <c r="C2275" s="151"/>
      <c r="D2275" s="151"/>
      <c r="E2275" s="151"/>
      <c r="F2275" s="151"/>
      <c r="G2275" s="151"/>
      <c r="H2275" s="151"/>
      <c r="I2275" s="151"/>
      <c r="J2275" s="152">
        <v>42619.714861111112</v>
      </c>
      <c r="K2275" s="151"/>
      <c r="L2275" s="151" t="s">
        <v>59</v>
      </c>
      <c r="M2275" s="152">
        <v>42615.65421296296</v>
      </c>
      <c r="N2275" s="151" t="s">
        <v>3718</v>
      </c>
      <c r="O2275" s="151"/>
      <c r="P2275" s="151"/>
      <c r="Q2275" s="7" t="str">
        <f>IF(ISBLANK(patch[[#This Row],[OwnerEmail]]),Q2274,patch[[#This Row],[OwnerEmail]])</f>
        <v>bin.b.yang@intel.com</v>
      </c>
      <c r="R2275" s="7" t="str">
        <f>_xlfn.IFNA(VLOOKUP(patch[[#This Row],[tmp-owner.email]],OrgTree!$A:$K, 11, 0), "not ICG SWFW")</f>
        <v>BJ And dev</v>
      </c>
      <c r="S2275" s="7" t="str">
        <f>IF(patch[[#This Row],[reviewer]]=patch[[#This Row],[tmp-owner.email]], "author", _xlfn.IFNA(VLOOKUP(patch[[#This Row],[reviewer]],OrgTree!$A:$K, 11, 0), "not ICG SWFW"))</f>
        <v>BJ And dev</v>
      </c>
      <c r="T2275" s="7" t="str">
        <f>IF(ISBLANK(patch[[#This Row],[mergeDate]]), "", MID(YEAR(patch[[#This Row],[mergeDate]]), 3,2)&amp;"'ww"&amp;WEEKNUM(patch[[#This Row],[mergeDate]]))</f>
        <v>16'ww37</v>
      </c>
      <c r="U2275" s="7" t="str">
        <f>IF(ISBLANK(patch[[#This Row],[mergeDate]]), U2274, MID(YEAR(patch[[#This Row],[mergeDate]]), 3,2)&amp;"'m"&amp;MONTH(patch[[#This Row],[mergeDate]]))</f>
        <v>16'm9</v>
      </c>
      <c r="V2275" s="7" t="str">
        <f>IF(ISBLANK(patch[[#This Row],[project]]), "",SUM(patch[[#This Row],[BJ -1 num]:[SH -1 num]]))</f>
        <v/>
      </c>
      <c r="W2275" s="7" t="str">
        <f>IF(ISBLANK(patch[[#This Row],[project]]), "",COUNTIFS($A:$A,patch[[#This Row],[number]],$S:$S, "BJ And dev",$AC:$AC, "Review-1"))</f>
        <v/>
      </c>
      <c r="X2275" s="7" t="str">
        <f>IF(ISBLANK(patch[[#This Row],[project]]), "",COUNTIFS($A:$A,patch[[#This Row],[number]],$S:$S, "FL And dev",$AC:$AC, "Review-1"))</f>
        <v/>
      </c>
      <c r="Y2275" s="7" t="str">
        <f>IF(ISBLANK(patch[[#This Row],[project]]), "",COUNTIFS($A:$A,patch[[#This Row],[number]],$S:$S, "SH And dev",$AC:$AC, "Review-1"))</f>
        <v/>
      </c>
      <c r="Z2275" s="7" t="str">
        <f>IF(ISBLANK(patch[[#This Row],[project]]), "",COUNTIFS($A:$A,patch[[#This Row],[number]],$S:$S, "BJ And dev",$AD:$AD, "&lt;&gt;IntegratorValidationComment"))</f>
        <v/>
      </c>
      <c r="AA2275" s="7" t="str">
        <f>IF(ISBLANK(patch[[#This Row],[project]]), "",COUNTIFS($A:$A,patch[[#This Row],[number]],$S:$S, "FL And dev",$AD:$AD, "&lt;&gt;IntegratorValidationComment"))</f>
        <v/>
      </c>
      <c r="AB2275" s="7" t="str">
        <f>IF(ISBLANK(patch[[#This Row],[project]]), "",COUNTIFS($A:$A,patch[[#This Row],[number]],$S:$S, "SH And dev",$AD:$AD, "&lt;&gt;IntegratorValidationComment"))</f>
        <v/>
      </c>
      <c r="AC2275" s="7" t="str">
        <f>IF(OR(ISNUMBER(FIND("Review-1", patch[[#This Row],[comments]])), ISNUMBER(FIND("Approver-1", patch[[#This Row],[comments]]))), "Review-1", "")</f>
        <v/>
      </c>
      <c r="AD22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75" s="7">
        <f>IF(ISBLANK(patch[[#This Row],[number]]),AE2274,patch[[#This Row],[ifCommon]])</f>
        <v>0</v>
      </c>
    </row>
    <row r="2276" spans="1:31">
      <c r="A2276" s="151">
        <v>142709</v>
      </c>
      <c r="B2276" s="151"/>
      <c r="C2276" s="151"/>
      <c r="D2276" s="151"/>
      <c r="E2276" s="151"/>
      <c r="F2276" s="151"/>
      <c r="G2276" s="151"/>
      <c r="H2276" s="151"/>
      <c r="I2276" s="151"/>
      <c r="J2276" s="152">
        <v>42619.714861111112</v>
      </c>
      <c r="K2276" s="151"/>
      <c r="L2276" s="151" t="s">
        <v>72</v>
      </c>
      <c r="M2276" s="152">
        <v>42615.844965277778</v>
      </c>
      <c r="N2276" s="151" t="s">
        <v>2453</v>
      </c>
      <c r="O2276" s="151"/>
      <c r="P2276" s="151"/>
      <c r="Q2276" s="7" t="str">
        <f>IF(ISBLANK(patch[[#This Row],[OwnerEmail]]),Q2275,patch[[#This Row],[OwnerEmail]])</f>
        <v>bin.b.yang@intel.com</v>
      </c>
      <c r="R2276" s="7" t="str">
        <f>_xlfn.IFNA(VLOOKUP(patch[[#This Row],[tmp-owner.email]],OrgTree!$A:$K, 11, 0), "not ICG SWFW")</f>
        <v>BJ And dev</v>
      </c>
      <c r="S2276" s="7" t="str">
        <f>IF(patch[[#This Row],[reviewer]]=patch[[#This Row],[tmp-owner.email]], "author", _xlfn.IFNA(VLOOKUP(patch[[#This Row],[reviewer]],OrgTree!$A:$K, 11, 0), "not ICG SWFW"))</f>
        <v>author</v>
      </c>
      <c r="T2276" s="7" t="str">
        <f>IF(ISBLANK(patch[[#This Row],[mergeDate]]), "", MID(YEAR(patch[[#This Row],[mergeDate]]), 3,2)&amp;"'ww"&amp;WEEKNUM(patch[[#This Row],[mergeDate]]))</f>
        <v>16'ww37</v>
      </c>
      <c r="U2276" s="7" t="str">
        <f>IF(ISBLANK(patch[[#This Row],[mergeDate]]), U2275, MID(YEAR(patch[[#This Row],[mergeDate]]), 3,2)&amp;"'m"&amp;MONTH(patch[[#This Row],[mergeDate]]))</f>
        <v>16'm9</v>
      </c>
      <c r="V2276" s="7" t="str">
        <f>IF(ISBLANK(patch[[#This Row],[project]]), "",SUM(patch[[#This Row],[BJ -1 num]:[SH -1 num]]))</f>
        <v/>
      </c>
      <c r="W2276" s="7" t="str">
        <f>IF(ISBLANK(patch[[#This Row],[project]]), "",COUNTIFS($A:$A,patch[[#This Row],[number]],$S:$S, "BJ And dev",$AC:$AC, "Review-1"))</f>
        <v/>
      </c>
      <c r="X2276" s="7" t="str">
        <f>IF(ISBLANK(patch[[#This Row],[project]]), "",COUNTIFS($A:$A,patch[[#This Row],[number]],$S:$S, "FL And dev",$AC:$AC, "Review-1"))</f>
        <v/>
      </c>
      <c r="Y2276" s="7" t="str">
        <f>IF(ISBLANK(patch[[#This Row],[project]]), "",COUNTIFS($A:$A,patch[[#This Row],[number]],$S:$S, "SH And dev",$AC:$AC, "Review-1"))</f>
        <v/>
      </c>
      <c r="Z2276" s="7" t="str">
        <f>IF(ISBLANK(patch[[#This Row],[project]]), "",COUNTIFS($A:$A,patch[[#This Row],[number]],$S:$S, "BJ And dev",$AD:$AD, "&lt;&gt;IntegratorValidationComment"))</f>
        <v/>
      </c>
      <c r="AA2276" s="7" t="str">
        <f>IF(ISBLANK(patch[[#This Row],[project]]), "",COUNTIFS($A:$A,patch[[#This Row],[number]],$S:$S, "FL And dev",$AD:$AD, "&lt;&gt;IntegratorValidationComment"))</f>
        <v/>
      </c>
      <c r="AB2276" s="7" t="str">
        <f>IF(ISBLANK(patch[[#This Row],[project]]), "",COUNTIFS($A:$A,patch[[#This Row],[number]],$S:$S, "SH And dev",$AD:$AD, "&lt;&gt;IntegratorValidationComment"))</f>
        <v/>
      </c>
      <c r="AC2276" s="7" t="str">
        <f>IF(OR(ISNUMBER(FIND("Review-1", patch[[#This Row],[comments]])), ISNUMBER(FIND("Approver-1", patch[[#This Row],[comments]]))), "Review-1", "")</f>
        <v/>
      </c>
      <c r="AD22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76" s="7">
        <f>IF(ISBLANK(patch[[#This Row],[number]]),AE2275,patch[[#This Row],[ifCommon]])</f>
        <v>0</v>
      </c>
    </row>
    <row r="2277" spans="1:31">
      <c r="A2277" s="151">
        <v>142709</v>
      </c>
      <c r="B2277" s="151"/>
      <c r="C2277" s="151"/>
      <c r="D2277" s="151"/>
      <c r="E2277" s="151"/>
      <c r="F2277" s="151"/>
      <c r="G2277" s="151"/>
      <c r="H2277" s="151"/>
      <c r="I2277" s="151"/>
      <c r="J2277" s="152">
        <v>42619.714861111112</v>
      </c>
      <c r="K2277" s="151"/>
      <c r="L2277" s="151" t="s">
        <v>72</v>
      </c>
      <c r="M2277" s="152">
        <v>42615.844965277778</v>
      </c>
      <c r="N2277" s="151" t="s">
        <v>1855</v>
      </c>
      <c r="O2277" s="151"/>
      <c r="P2277" s="151"/>
      <c r="Q2277" s="7" t="str">
        <f>IF(ISBLANK(patch[[#This Row],[OwnerEmail]]),Q2276,patch[[#This Row],[OwnerEmail]])</f>
        <v>bin.b.yang@intel.com</v>
      </c>
      <c r="R2277" s="7" t="str">
        <f>_xlfn.IFNA(VLOOKUP(patch[[#This Row],[tmp-owner.email]],OrgTree!$A:$K, 11, 0), "not ICG SWFW")</f>
        <v>BJ And dev</v>
      </c>
      <c r="S2277" s="7" t="str">
        <f>IF(patch[[#This Row],[reviewer]]=patch[[#This Row],[tmp-owner.email]], "author", _xlfn.IFNA(VLOOKUP(patch[[#This Row],[reviewer]],OrgTree!$A:$K, 11, 0), "not ICG SWFW"))</f>
        <v>author</v>
      </c>
      <c r="T2277" s="7" t="str">
        <f>IF(ISBLANK(patch[[#This Row],[mergeDate]]), "", MID(YEAR(patch[[#This Row],[mergeDate]]), 3,2)&amp;"'ww"&amp;WEEKNUM(patch[[#This Row],[mergeDate]]))</f>
        <v>16'ww37</v>
      </c>
      <c r="U2277" s="7" t="str">
        <f>IF(ISBLANK(patch[[#This Row],[mergeDate]]), U2276, MID(YEAR(patch[[#This Row],[mergeDate]]), 3,2)&amp;"'m"&amp;MONTH(patch[[#This Row],[mergeDate]]))</f>
        <v>16'm9</v>
      </c>
      <c r="V2277" s="7" t="str">
        <f>IF(ISBLANK(patch[[#This Row],[project]]), "",SUM(patch[[#This Row],[BJ -1 num]:[SH -1 num]]))</f>
        <v/>
      </c>
      <c r="W2277" s="7" t="str">
        <f>IF(ISBLANK(patch[[#This Row],[project]]), "",COUNTIFS($A:$A,patch[[#This Row],[number]],$S:$S, "BJ And dev",$AC:$AC, "Review-1"))</f>
        <v/>
      </c>
      <c r="X2277" s="7" t="str">
        <f>IF(ISBLANK(patch[[#This Row],[project]]), "",COUNTIFS($A:$A,patch[[#This Row],[number]],$S:$S, "FL And dev",$AC:$AC, "Review-1"))</f>
        <v/>
      </c>
      <c r="Y2277" s="7" t="str">
        <f>IF(ISBLANK(patch[[#This Row],[project]]), "",COUNTIFS($A:$A,patch[[#This Row],[number]],$S:$S, "SH And dev",$AC:$AC, "Review-1"))</f>
        <v/>
      </c>
      <c r="Z2277" s="7" t="str">
        <f>IF(ISBLANK(patch[[#This Row],[project]]), "",COUNTIFS($A:$A,patch[[#This Row],[number]],$S:$S, "BJ And dev",$AD:$AD, "&lt;&gt;IntegratorValidationComment"))</f>
        <v/>
      </c>
      <c r="AA2277" s="7" t="str">
        <f>IF(ISBLANK(patch[[#This Row],[project]]), "",COUNTIFS($A:$A,patch[[#This Row],[number]],$S:$S, "FL And dev",$AD:$AD, "&lt;&gt;IntegratorValidationComment"))</f>
        <v/>
      </c>
      <c r="AB2277" s="7" t="str">
        <f>IF(ISBLANK(patch[[#This Row],[project]]), "",COUNTIFS($A:$A,patch[[#This Row],[number]],$S:$S, "SH And dev",$AD:$AD, "&lt;&gt;IntegratorValidationComment"))</f>
        <v/>
      </c>
      <c r="AC2277" s="7" t="str">
        <f>IF(OR(ISNUMBER(FIND("Review-1", patch[[#This Row],[comments]])), ISNUMBER(FIND("Approver-1", patch[[#This Row],[comments]]))), "Review-1", "")</f>
        <v/>
      </c>
      <c r="AD22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77" s="7">
        <f>IF(ISBLANK(patch[[#This Row],[number]]),AE2276,patch[[#This Row],[ifCommon]])</f>
        <v>0</v>
      </c>
    </row>
    <row r="2278" spans="1:31">
      <c r="A2278" s="151">
        <v>142709</v>
      </c>
      <c r="B2278" s="151"/>
      <c r="C2278" s="151"/>
      <c r="D2278" s="151"/>
      <c r="E2278" s="151"/>
      <c r="F2278" s="151"/>
      <c r="G2278" s="151"/>
      <c r="H2278" s="151"/>
      <c r="I2278" s="151"/>
      <c r="J2278" s="152">
        <v>42619.714861111112</v>
      </c>
      <c r="K2278" s="151"/>
      <c r="L2278" s="151" t="s">
        <v>72</v>
      </c>
      <c r="M2278" s="152">
        <v>42615.845567129632</v>
      </c>
      <c r="N2278" s="151" t="s">
        <v>2512</v>
      </c>
      <c r="O2278" s="151"/>
      <c r="P2278" s="151"/>
      <c r="Q2278" s="7" t="str">
        <f>IF(ISBLANK(patch[[#This Row],[OwnerEmail]]),Q2277,patch[[#This Row],[OwnerEmail]])</f>
        <v>bin.b.yang@intel.com</v>
      </c>
      <c r="R2278" s="7" t="str">
        <f>_xlfn.IFNA(VLOOKUP(patch[[#This Row],[tmp-owner.email]],OrgTree!$A:$K, 11, 0), "not ICG SWFW")</f>
        <v>BJ And dev</v>
      </c>
      <c r="S2278" s="7" t="str">
        <f>IF(patch[[#This Row],[reviewer]]=patch[[#This Row],[tmp-owner.email]], "author", _xlfn.IFNA(VLOOKUP(patch[[#This Row],[reviewer]],OrgTree!$A:$K, 11, 0), "not ICG SWFW"))</f>
        <v>author</v>
      </c>
      <c r="T2278" s="7" t="str">
        <f>IF(ISBLANK(patch[[#This Row],[mergeDate]]), "", MID(YEAR(patch[[#This Row],[mergeDate]]), 3,2)&amp;"'ww"&amp;WEEKNUM(patch[[#This Row],[mergeDate]]))</f>
        <v>16'ww37</v>
      </c>
      <c r="U2278" s="7" t="str">
        <f>IF(ISBLANK(patch[[#This Row],[mergeDate]]), U2277, MID(YEAR(patch[[#This Row],[mergeDate]]), 3,2)&amp;"'m"&amp;MONTH(patch[[#This Row],[mergeDate]]))</f>
        <v>16'm9</v>
      </c>
      <c r="V2278" s="7" t="str">
        <f>IF(ISBLANK(patch[[#This Row],[project]]), "",SUM(patch[[#This Row],[BJ -1 num]:[SH -1 num]]))</f>
        <v/>
      </c>
      <c r="W2278" s="7" t="str">
        <f>IF(ISBLANK(patch[[#This Row],[project]]), "",COUNTIFS($A:$A,patch[[#This Row],[number]],$S:$S, "BJ And dev",$AC:$AC, "Review-1"))</f>
        <v/>
      </c>
      <c r="X2278" s="7" t="str">
        <f>IF(ISBLANK(patch[[#This Row],[project]]), "",COUNTIFS($A:$A,patch[[#This Row],[number]],$S:$S, "FL And dev",$AC:$AC, "Review-1"))</f>
        <v/>
      </c>
      <c r="Y2278" s="7" t="str">
        <f>IF(ISBLANK(patch[[#This Row],[project]]), "",COUNTIFS($A:$A,patch[[#This Row],[number]],$S:$S, "SH And dev",$AC:$AC, "Review-1"))</f>
        <v/>
      </c>
      <c r="Z2278" s="7" t="str">
        <f>IF(ISBLANK(patch[[#This Row],[project]]), "",COUNTIFS($A:$A,patch[[#This Row],[number]],$S:$S, "BJ And dev",$AD:$AD, "&lt;&gt;IntegratorValidationComment"))</f>
        <v/>
      </c>
      <c r="AA2278" s="7" t="str">
        <f>IF(ISBLANK(patch[[#This Row],[project]]), "",COUNTIFS($A:$A,patch[[#This Row],[number]],$S:$S, "FL And dev",$AD:$AD, "&lt;&gt;IntegratorValidationComment"))</f>
        <v/>
      </c>
      <c r="AB2278" s="7" t="str">
        <f>IF(ISBLANK(patch[[#This Row],[project]]), "",COUNTIFS($A:$A,patch[[#This Row],[number]],$S:$S, "SH And dev",$AD:$AD, "&lt;&gt;IntegratorValidationComment"))</f>
        <v/>
      </c>
      <c r="AC2278" s="7" t="str">
        <f>IF(OR(ISNUMBER(FIND("Review-1", patch[[#This Row],[comments]])), ISNUMBER(FIND("Approver-1", patch[[#This Row],[comments]]))), "Review-1", "")</f>
        <v/>
      </c>
      <c r="AD22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78" s="7">
        <f>IF(ISBLANK(patch[[#This Row],[number]]),AE2277,patch[[#This Row],[ifCommon]])</f>
        <v>0</v>
      </c>
    </row>
    <row r="2279" spans="1:31">
      <c r="A2279" s="151">
        <v>142709</v>
      </c>
      <c r="B2279" s="151"/>
      <c r="C2279" s="151"/>
      <c r="D2279" s="151"/>
      <c r="E2279" s="151"/>
      <c r="F2279" s="151"/>
      <c r="G2279" s="151"/>
      <c r="H2279" s="151"/>
      <c r="I2279" s="151"/>
      <c r="J2279" s="152">
        <v>42619.714861111112</v>
      </c>
      <c r="K2279" s="151"/>
      <c r="L2279" s="151" t="s">
        <v>72</v>
      </c>
      <c r="M2279" s="152">
        <v>42615.845567129632</v>
      </c>
      <c r="N2279" s="151" t="s">
        <v>2465</v>
      </c>
      <c r="O2279" s="151"/>
      <c r="P2279" s="151"/>
      <c r="Q2279" s="7" t="str">
        <f>IF(ISBLANK(patch[[#This Row],[OwnerEmail]]),Q2278,patch[[#This Row],[OwnerEmail]])</f>
        <v>bin.b.yang@intel.com</v>
      </c>
      <c r="R2279" s="7" t="str">
        <f>_xlfn.IFNA(VLOOKUP(patch[[#This Row],[tmp-owner.email]],OrgTree!$A:$K, 11, 0), "not ICG SWFW")</f>
        <v>BJ And dev</v>
      </c>
      <c r="S2279" s="7" t="str">
        <f>IF(patch[[#This Row],[reviewer]]=patch[[#This Row],[tmp-owner.email]], "author", _xlfn.IFNA(VLOOKUP(patch[[#This Row],[reviewer]],OrgTree!$A:$K, 11, 0), "not ICG SWFW"))</f>
        <v>author</v>
      </c>
      <c r="T2279" s="7" t="str">
        <f>IF(ISBLANK(patch[[#This Row],[mergeDate]]), "", MID(YEAR(patch[[#This Row],[mergeDate]]), 3,2)&amp;"'ww"&amp;WEEKNUM(patch[[#This Row],[mergeDate]]))</f>
        <v>16'ww37</v>
      </c>
      <c r="U2279" s="7" t="str">
        <f>IF(ISBLANK(patch[[#This Row],[mergeDate]]), U2278, MID(YEAR(patch[[#This Row],[mergeDate]]), 3,2)&amp;"'m"&amp;MONTH(patch[[#This Row],[mergeDate]]))</f>
        <v>16'm9</v>
      </c>
      <c r="V2279" s="7" t="str">
        <f>IF(ISBLANK(patch[[#This Row],[project]]), "",SUM(patch[[#This Row],[BJ -1 num]:[SH -1 num]]))</f>
        <v/>
      </c>
      <c r="W2279" s="7" t="str">
        <f>IF(ISBLANK(patch[[#This Row],[project]]), "",COUNTIFS($A:$A,patch[[#This Row],[number]],$S:$S, "BJ And dev",$AC:$AC, "Review-1"))</f>
        <v/>
      </c>
      <c r="X2279" s="7" t="str">
        <f>IF(ISBLANK(patch[[#This Row],[project]]), "",COUNTIFS($A:$A,patch[[#This Row],[number]],$S:$S, "FL And dev",$AC:$AC, "Review-1"))</f>
        <v/>
      </c>
      <c r="Y2279" s="7" t="str">
        <f>IF(ISBLANK(patch[[#This Row],[project]]), "",COUNTIFS($A:$A,patch[[#This Row],[number]],$S:$S, "SH And dev",$AC:$AC, "Review-1"))</f>
        <v/>
      </c>
      <c r="Z2279" s="7" t="str">
        <f>IF(ISBLANK(patch[[#This Row],[project]]), "",COUNTIFS($A:$A,patch[[#This Row],[number]],$S:$S, "BJ And dev",$AD:$AD, "&lt;&gt;IntegratorValidationComment"))</f>
        <v/>
      </c>
      <c r="AA2279" s="7" t="str">
        <f>IF(ISBLANK(patch[[#This Row],[project]]), "",COUNTIFS($A:$A,patch[[#This Row],[number]],$S:$S, "FL And dev",$AD:$AD, "&lt;&gt;IntegratorValidationComment"))</f>
        <v/>
      </c>
      <c r="AB2279" s="7" t="str">
        <f>IF(ISBLANK(patch[[#This Row],[project]]), "",COUNTIFS($A:$A,patch[[#This Row],[number]],$S:$S, "SH And dev",$AD:$AD, "&lt;&gt;IntegratorValidationComment"))</f>
        <v/>
      </c>
      <c r="AC2279" s="7" t="str">
        <f>IF(OR(ISNUMBER(FIND("Review-1", patch[[#This Row],[comments]])), ISNUMBER(FIND("Approver-1", patch[[#This Row],[comments]]))), "Review-1", "")</f>
        <v/>
      </c>
      <c r="AD22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79" s="7">
        <f>IF(ISBLANK(patch[[#This Row],[number]]),AE2278,patch[[#This Row],[ifCommon]])</f>
        <v>0</v>
      </c>
    </row>
    <row r="2280" spans="1:31">
      <c r="A2280" s="151">
        <v>142709</v>
      </c>
      <c r="B2280" s="151"/>
      <c r="C2280" s="151"/>
      <c r="D2280" s="151"/>
      <c r="E2280" s="151"/>
      <c r="F2280" s="151"/>
      <c r="G2280" s="151"/>
      <c r="H2280" s="151"/>
      <c r="I2280" s="151"/>
      <c r="J2280" s="152">
        <v>42619.714861111112</v>
      </c>
      <c r="K2280" s="151"/>
      <c r="L2280" s="151" t="s">
        <v>72</v>
      </c>
      <c r="M2280" s="152">
        <v>42615.852453703701</v>
      </c>
      <c r="N2280" s="151" t="s">
        <v>1862</v>
      </c>
      <c r="O2280" s="151"/>
      <c r="P2280" s="151"/>
      <c r="Q2280" s="7" t="str">
        <f>IF(ISBLANK(patch[[#This Row],[OwnerEmail]]),Q2279,patch[[#This Row],[OwnerEmail]])</f>
        <v>bin.b.yang@intel.com</v>
      </c>
      <c r="R2280" s="7" t="str">
        <f>_xlfn.IFNA(VLOOKUP(patch[[#This Row],[tmp-owner.email]],OrgTree!$A:$K, 11, 0), "not ICG SWFW")</f>
        <v>BJ And dev</v>
      </c>
      <c r="S2280" s="7" t="str">
        <f>IF(patch[[#This Row],[reviewer]]=patch[[#This Row],[tmp-owner.email]], "author", _xlfn.IFNA(VLOOKUP(patch[[#This Row],[reviewer]],OrgTree!$A:$K, 11, 0), "not ICG SWFW"))</f>
        <v>author</v>
      </c>
      <c r="T2280" s="7" t="str">
        <f>IF(ISBLANK(patch[[#This Row],[mergeDate]]), "", MID(YEAR(patch[[#This Row],[mergeDate]]), 3,2)&amp;"'ww"&amp;WEEKNUM(patch[[#This Row],[mergeDate]]))</f>
        <v>16'ww37</v>
      </c>
      <c r="U2280" s="7" t="str">
        <f>IF(ISBLANK(patch[[#This Row],[mergeDate]]), U2279, MID(YEAR(patch[[#This Row],[mergeDate]]), 3,2)&amp;"'m"&amp;MONTH(patch[[#This Row],[mergeDate]]))</f>
        <v>16'm9</v>
      </c>
      <c r="V2280" s="7" t="str">
        <f>IF(ISBLANK(patch[[#This Row],[project]]), "",SUM(patch[[#This Row],[BJ -1 num]:[SH -1 num]]))</f>
        <v/>
      </c>
      <c r="W2280" s="7" t="str">
        <f>IF(ISBLANK(patch[[#This Row],[project]]), "",COUNTIFS($A:$A,patch[[#This Row],[number]],$S:$S, "BJ And dev",$AC:$AC, "Review-1"))</f>
        <v/>
      </c>
      <c r="X2280" s="7" t="str">
        <f>IF(ISBLANK(patch[[#This Row],[project]]), "",COUNTIFS($A:$A,patch[[#This Row],[number]],$S:$S, "FL And dev",$AC:$AC, "Review-1"))</f>
        <v/>
      </c>
      <c r="Y2280" s="7" t="str">
        <f>IF(ISBLANK(patch[[#This Row],[project]]), "",COUNTIFS($A:$A,patch[[#This Row],[number]],$S:$S, "SH And dev",$AC:$AC, "Review-1"))</f>
        <v/>
      </c>
      <c r="Z2280" s="7" t="str">
        <f>IF(ISBLANK(patch[[#This Row],[project]]), "",COUNTIFS($A:$A,patch[[#This Row],[number]],$S:$S, "BJ And dev",$AD:$AD, "&lt;&gt;IntegratorValidationComment"))</f>
        <v/>
      </c>
      <c r="AA2280" s="7" t="str">
        <f>IF(ISBLANK(patch[[#This Row],[project]]), "",COUNTIFS($A:$A,patch[[#This Row],[number]],$S:$S, "FL And dev",$AD:$AD, "&lt;&gt;IntegratorValidationComment"))</f>
        <v/>
      </c>
      <c r="AB2280" s="7" t="str">
        <f>IF(ISBLANK(patch[[#This Row],[project]]), "",COUNTIFS($A:$A,patch[[#This Row],[number]],$S:$S, "SH And dev",$AD:$AD, "&lt;&gt;IntegratorValidationComment"))</f>
        <v/>
      </c>
      <c r="AC2280" s="7" t="str">
        <f>IF(OR(ISNUMBER(FIND("Review-1", patch[[#This Row],[comments]])), ISNUMBER(FIND("Approver-1", patch[[#This Row],[comments]]))), "Review-1", "")</f>
        <v/>
      </c>
      <c r="AD22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80" s="7">
        <f>IF(ISBLANK(patch[[#This Row],[number]]),AE2279,patch[[#This Row],[ifCommon]])</f>
        <v>0</v>
      </c>
    </row>
    <row r="2281" spans="1:31">
      <c r="A2281" s="151">
        <v>142709</v>
      </c>
      <c r="B2281" s="151"/>
      <c r="C2281" s="151"/>
      <c r="D2281" s="151"/>
      <c r="E2281" s="151"/>
      <c r="F2281" s="151"/>
      <c r="G2281" s="151"/>
      <c r="H2281" s="151"/>
      <c r="I2281" s="151"/>
      <c r="J2281" s="152">
        <v>42619.714861111112</v>
      </c>
      <c r="K2281" s="151"/>
      <c r="L2281" s="151" t="s">
        <v>72</v>
      </c>
      <c r="M2281" s="152">
        <v>42615.852453703701</v>
      </c>
      <c r="N2281" s="151" t="s">
        <v>2466</v>
      </c>
      <c r="O2281" s="151"/>
      <c r="P2281" s="151"/>
      <c r="Q2281" s="7" t="str">
        <f>IF(ISBLANK(patch[[#This Row],[OwnerEmail]]),Q2280,patch[[#This Row],[OwnerEmail]])</f>
        <v>bin.b.yang@intel.com</v>
      </c>
      <c r="R2281" s="7" t="str">
        <f>_xlfn.IFNA(VLOOKUP(patch[[#This Row],[tmp-owner.email]],OrgTree!$A:$K, 11, 0), "not ICG SWFW")</f>
        <v>BJ And dev</v>
      </c>
      <c r="S2281" s="7" t="str">
        <f>IF(patch[[#This Row],[reviewer]]=patch[[#This Row],[tmp-owner.email]], "author", _xlfn.IFNA(VLOOKUP(patch[[#This Row],[reviewer]],OrgTree!$A:$K, 11, 0), "not ICG SWFW"))</f>
        <v>author</v>
      </c>
      <c r="T2281" s="7" t="str">
        <f>IF(ISBLANK(patch[[#This Row],[mergeDate]]), "", MID(YEAR(patch[[#This Row],[mergeDate]]), 3,2)&amp;"'ww"&amp;WEEKNUM(patch[[#This Row],[mergeDate]]))</f>
        <v>16'ww37</v>
      </c>
      <c r="U2281" s="7" t="str">
        <f>IF(ISBLANK(patch[[#This Row],[mergeDate]]), U2280, MID(YEAR(patch[[#This Row],[mergeDate]]), 3,2)&amp;"'m"&amp;MONTH(patch[[#This Row],[mergeDate]]))</f>
        <v>16'm9</v>
      </c>
      <c r="V2281" s="7" t="str">
        <f>IF(ISBLANK(patch[[#This Row],[project]]), "",SUM(patch[[#This Row],[BJ -1 num]:[SH -1 num]]))</f>
        <v/>
      </c>
      <c r="W2281" s="7" t="str">
        <f>IF(ISBLANK(patch[[#This Row],[project]]), "",COUNTIFS($A:$A,patch[[#This Row],[number]],$S:$S, "BJ And dev",$AC:$AC, "Review-1"))</f>
        <v/>
      </c>
      <c r="X2281" s="7" t="str">
        <f>IF(ISBLANK(patch[[#This Row],[project]]), "",COUNTIFS($A:$A,patch[[#This Row],[number]],$S:$S, "FL And dev",$AC:$AC, "Review-1"))</f>
        <v/>
      </c>
      <c r="Y2281" s="7" t="str">
        <f>IF(ISBLANK(patch[[#This Row],[project]]), "",COUNTIFS($A:$A,patch[[#This Row],[number]],$S:$S, "SH And dev",$AC:$AC, "Review-1"))</f>
        <v/>
      </c>
      <c r="Z2281" s="7" t="str">
        <f>IF(ISBLANK(patch[[#This Row],[project]]), "",COUNTIFS($A:$A,patch[[#This Row],[number]],$S:$S, "BJ And dev",$AD:$AD, "&lt;&gt;IntegratorValidationComment"))</f>
        <v/>
      </c>
      <c r="AA2281" s="7" t="str">
        <f>IF(ISBLANK(patch[[#This Row],[project]]), "",COUNTIFS($A:$A,patch[[#This Row],[number]],$S:$S, "FL And dev",$AD:$AD, "&lt;&gt;IntegratorValidationComment"))</f>
        <v/>
      </c>
      <c r="AB2281" s="7" t="str">
        <f>IF(ISBLANK(patch[[#This Row],[project]]), "",COUNTIFS($A:$A,patch[[#This Row],[number]],$S:$S, "SH And dev",$AD:$AD, "&lt;&gt;IntegratorValidationComment"))</f>
        <v/>
      </c>
      <c r="AC2281" s="7" t="str">
        <f>IF(OR(ISNUMBER(FIND("Review-1", patch[[#This Row],[comments]])), ISNUMBER(FIND("Approver-1", patch[[#This Row],[comments]]))), "Review-1", "")</f>
        <v/>
      </c>
      <c r="AD22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81" s="7">
        <f>IF(ISBLANK(patch[[#This Row],[number]]),AE2280,patch[[#This Row],[ifCommon]])</f>
        <v>0</v>
      </c>
    </row>
    <row r="2282" spans="1:31">
      <c r="A2282" s="151">
        <v>142709</v>
      </c>
      <c r="B2282" s="151"/>
      <c r="C2282" s="151"/>
      <c r="D2282" s="151"/>
      <c r="E2282" s="151"/>
      <c r="F2282" s="151"/>
      <c r="G2282" s="151"/>
      <c r="H2282" s="151"/>
      <c r="I2282" s="151"/>
      <c r="J2282" s="152">
        <v>42619.714861111112</v>
      </c>
      <c r="K2282" s="151"/>
      <c r="L2282" s="151" t="s">
        <v>72</v>
      </c>
      <c r="M2282" s="152">
        <v>42615.85429398148</v>
      </c>
      <c r="N2282" s="151" t="s">
        <v>2467</v>
      </c>
      <c r="O2282" s="151"/>
      <c r="P2282" s="151"/>
      <c r="Q2282" s="7" t="str">
        <f>IF(ISBLANK(patch[[#This Row],[OwnerEmail]]),Q2281,patch[[#This Row],[OwnerEmail]])</f>
        <v>bin.b.yang@intel.com</v>
      </c>
      <c r="R2282" s="7" t="str">
        <f>_xlfn.IFNA(VLOOKUP(patch[[#This Row],[tmp-owner.email]],OrgTree!$A:$K, 11, 0), "not ICG SWFW")</f>
        <v>BJ And dev</v>
      </c>
      <c r="S2282" s="7" t="str">
        <f>IF(patch[[#This Row],[reviewer]]=patch[[#This Row],[tmp-owner.email]], "author", _xlfn.IFNA(VLOOKUP(patch[[#This Row],[reviewer]],OrgTree!$A:$K, 11, 0), "not ICG SWFW"))</f>
        <v>author</v>
      </c>
      <c r="T2282" s="7" t="str">
        <f>IF(ISBLANK(patch[[#This Row],[mergeDate]]), "", MID(YEAR(patch[[#This Row],[mergeDate]]), 3,2)&amp;"'ww"&amp;WEEKNUM(patch[[#This Row],[mergeDate]]))</f>
        <v>16'ww37</v>
      </c>
      <c r="U2282" s="7" t="str">
        <f>IF(ISBLANK(patch[[#This Row],[mergeDate]]), U2281, MID(YEAR(patch[[#This Row],[mergeDate]]), 3,2)&amp;"'m"&amp;MONTH(patch[[#This Row],[mergeDate]]))</f>
        <v>16'm9</v>
      </c>
      <c r="V2282" s="7" t="str">
        <f>IF(ISBLANK(patch[[#This Row],[project]]), "",SUM(patch[[#This Row],[BJ -1 num]:[SH -1 num]]))</f>
        <v/>
      </c>
      <c r="W2282" s="7" t="str">
        <f>IF(ISBLANK(patch[[#This Row],[project]]), "",COUNTIFS($A:$A,patch[[#This Row],[number]],$S:$S, "BJ And dev",$AC:$AC, "Review-1"))</f>
        <v/>
      </c>
      <c r="X2282" s="7" t="str">
        <f>IF(ISBLANK(patch[[#This Row],[project]]), "",COUNTIFS($A:$A,patch[[#This Row],[number]],$S:$S, "FL And dev",$AC:$AC, "Review-1"))</f>
        <v/>
      </c>
      <c r="Y2282" s="7" t="str">
        <f>IF(ISBLANK(patch[[#This Row],[project]]), "",COUNTIFS($A:$A,patch[[#This Row],[number]],$S:$S, "SH And dev",$AC:$AC, "Review-1"))</f>
        <v/>
      </c>
      <c r="Z2282" s="7" t="str">
        <f>IF(ISBLANK(patch[[#This Row],[project]]), "",COUNTIFS($A:$A,patch[[#This Row],[number]],$S:$S, "BJ And dev",$AD:$AD, "&lt;&gt;IntegratorValidationComment"))</f>
        <v/>
      </c>
      <c r="AA2282" s="7" t="str">
        <f>IF(ISBLANK(patch[[#This Row],[project]]), "",COUNTIFS($A:$A,patch[[#This Row],[number]],$S:$S, "FL And dev",$AD:$AD, "&lt;&gt;IntegratorValidationComment"))</f>
        <v/>
      </c>
      <c r="AB2282" s="7" t="str">
        <f>IF(ISBLANK(patch[[#This Row],[project]]), "",COUNTIFS($A:$A,patch[[#This Row],[number]],$S:$S, "SH And dev",$AD:$AD, "&lt;&gt;IntegratorValidationComment"))</f>
        <v/>
      </c>
      <c r="AC2282" s="7" t="str">
        <f>IF(OR(ISNUMBER(FIND("Review-1", patch[[#This Row],[comments]])), ISNUMBER(FIND("Approver-1", patch[[#This Row],[comments]]))), "Review-1", "")</f>
        <v/>
      </c>
      <c r="AD22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82" s="7">
        <f>IF(ISBLANK(patch[[#This Row],[number]]),AE2281,patch[[#This Row],[ifCommon]])</f>
        <v>0</v>
      </c>
    </row>
    <row r="2283" spans="1:31">
      <c r="A2283" s="151">
        <v>142709</v>
      </c>
      <c r="B2283" s="151"/>
      <c r="C2283" s="151"/>
      <c r="D2283" s="151"/>
      <c r="E2283" s="151"/>
      <c r="F2283" s="151"/>
      <c r="G2283" s="151"/>
      <c r="H2283" s="151"/>
      <c r="I2283" s="151"/>
      <c r="J2283" s="152">
        <v>42619.714861111112</v>
      </c>
      <c r="K2283" s="151"/>
      <c r="L2283" s="151" t="s">
        <v>72</v>
      </c>
      <c r="M2283" s="152">
        <v>42615.85429398148</v>
      </c>
      <c r="N2283" s="151" t="s">
        <v>2524</v>
      </c>
      <c r="O2283" s="151"/>
      <c r="P2283" s="151"/>
      <c r="Q2283" s="7" t="str">
        <f>IF(ISBLANK(patch[[#This Row],[OwnerEmail]]),Q2282,patch[[#This Row],[OwnerEmail]])</f>
        <v>bin.b.yang@intel.com</v>
      </c>
      <c r="R2283" s="7" t="str">
        <f>_xlfn.IFNA(VLOOKUP(patch[[#This Row],[tmp-owner.email]],OrgTree!$A:$K, 11, 0), "not ICG SWFW")</f>
        <v>BJ And dev</v>
      </c>
      <c r="S2283" s="7" t="str">
        <f>IF(patch[[#This Row],[reviewer]]=patch[[#This Row],[tmp-owner.email]], "author", _xlfn.IFNA(VLOOKUP(patch[[#This Row],[reviewer]],OrgTree!$A:$K, 11, 0), "not ICG SWFW"))</f>
        <v>author</v>
      </c>
      <c r="T2283" s="7" t="str">
        <f>IF(ISBLANK(patch[[#This Row],[mergeDate]]), "", MID(YEAR(patch[[#This Row],[mergeDate]]), 3,2)&amp;"'ww"&amp;WEEKNUM(patch[[#This Row],[mergeDate]]))</f>
        <v>16'ww37</v>
      </c>
      <c r="U2283" s="7" t="str">
        <f>IF(ISBLANK(patch[[#This Row],[mergeDate]]), U2282, MID(YEAR(patch[[#This Row],[mergeDate]]), 3,2)&amp;"'m"&amp;MONTH(patch[[#This Row],[mergeDate]]))</f>
        <v>16'm9</v>
      </c>
      <c r="V2283" s="7" t="str">
        <f>IF(ISBLANK(patch[[#This Row],[project]]), "",SUM(patch[[#This Row],[BJ -1 num]:[SH -1 num]]))</f>
        <v/>
      </c>
      <c r="W2283" s="7" t="str">
        <f>IF(ISBLANK(patch[[#This Row],[project]]), "",COUNTIFS($A:$A,patch[[#This Row],[number]],$S:$S, "BJ And dev",$AC:$AC, "Review-1"))</f>
        <v/>
      </c>
      <c r="X2283" s="7" t="str">
        <f>IF(ISBLANK(patch[[#This Row],[project]]), "",COUNTIFS($A:$A,patch[[#This Row],[number]],$S:$S, "FL And dev",$AC:$AC, "Review-1"))</f>
        <v/>
      </c>
      <c r="Y2283" s="7" t="str">
        <f>IF(ISBLANK(patch[[#This Row],[project]]), "",COUNTIFS($A:$A,patch[[#This Row],[number]],$S:$S, "SH And dev",$AC:$AC, "Review-1"))</f>
        <v/>
      </c>
      <c r="Z2283" s="7" t="str">
        <f>IF(ISBLANK(patch[[#This Row],[project]]), "",COUNTIFS($A:$A,patch[[#This Row],[number]],$S:$S, "BJ And dev",$AD:$AD, "&lt;&gt;IntegratorValidationComment"))</f>
        <v/>
      </c>
      <c r="AA2283" s="7" t="str">
        <f>IF(ISBLANK(patch[[#This Row],[project]]), "",COUNTIFS($A:$A,patch[[#This Row],[number]],$S:$S, "FL And dev",$AD:$AD, "&lt;&gt;IntegratorValidationComment"))</f>
        <v/>
      </c>
      <c r="AB2283" s="7" t="str">
        <f>IF(ISBLANK(patch[[#This Row],[project]]), "",COUNTIFS($A:$A,patch[[#This Row],[number]],$S:$S, "SH And dev",$AD:$AD, "&lt;&gt;IntegratorValidationComment"))</f>
        <v/>
      </c>
      <c r="AC2283" s="7" t="str">
        <f>IF(OR(ISNUMBER(FIND("Review-1", patch[[#This Row],[comments]])), ISNUMBER(FIND("Approver-1", patch[[#This Row],[comments]]))), "Review-1", "")</f>
        <v/>
      </c>
      <c r="AD22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83" s="7">
        <f>IF(ISBLANK(patch[[#This Row],[number]]),AE2282,patch[[#This Row],[ifCommon]])</f>
        <v>0</v>
      </c>
    </row>
    <row r="2284" spans="1:31">
      <c r="A2284" s="151">
        <v>142709</v>
      </c>
      <c r="B2284" s="151"/>
      <c r="C2284" s="151"/>
      <c r="D2284" s="151"/>
      <c r="E2284" s="151"/>
      <c r="F2284" s="151"/>
      <c r="G2284" s="151"/>
      <c r="H2284" s="151"/>
      <c r="I2284" s="151"/>
      <c r="J2284" s="152">
        <v>42619.714861111112</v>
      </c>
      <c r="K2284" s="151"/>
      <c r="L2284" s="151" t="s">
        <v>72</v>
      </c>
      <c r="M2284" s="152">
        <v>42615.855312500003</v>
      </c>
      <c r="N2284" s="151" t="s">
        <v>1849</v>
      </c>
      <c r="O2284" s="151"/>
      <c r="P2284" s="151"/>
      <c r="Q2284" s="7" t="str">
        <f>IF(ISBLANK(patch[[#This Row],[OwnerEmail]]),Q2283,patch[[#This Row],[OwnerEmail]])</f>
        <v>bin.b.yang@intel.com</v>
      </c>
      <c r="R2284" s="7" t="str">
        <f>_xlfn.IFNA(VLOOKUP(patch[[#This Row],[tmp-owner.email]],OrgTree!$A:$K, 11, 0), "not ICG SWFW")</f>
        <v>BJ And dev</v>
      </c>
      <c r="S2284" s="7" t="str">
        <f>IF(patch[[#This Row],[reviewer]]=patch[[#This Row],[tmp-owner.email]], "author", _xlfn.IFNA(VLOOKUP(patch[[#This Row],[reviewer]],OrgTree!$A:$K, 11, 0), "not ICG SWFW"))</f>
        <v>author</v>
      </c>
      <c r="T2284" s="7" t="str">
        <f>IF(ISBLANK(patch[[#This Row],[mergeDate]]), "", MID(YEAR(patch[[#This Row],[mergeDate]]), 3,2)&amp;"'ww"&amp;WEEKNUM(patch[[#This Row],[mergeDate]]))</f>
        <v>16'ww37</v>
      </c>
      <c r="U2284" s="7" t="str">
        <f>IF(ISBLANK(patch[[#This Row],[mergeDate]]), U2283, MID(YEAR(patch[[#This Row],[mergeDate]]), 3,2)&amp;"'m"&amp;MONTH(patch[[#This Row],[mergeDate]]))</f>
        <v>16'm9</v>
      </c>
      <c r="V2284" s="7" t="str">
        <f>IF(ISBLANK(patch[[#This Row],[project]]), "",SUM(patch[[#This Row],[BJ -1 num]:[SH -1 num]]))</f>
        <v/>
      </c>
      <c r="W2284" s="7" t="str">
        <f>IF(ISBLANK(patch[[#This Row],[project]]), "",COUNTIFS($A:$A,patch[[#This Row],[number]],$S:$S, "BJ And dev",$AC:$AC, "Review-1"))</f>
        <v/>
      </c>
      <c r="X2284" s="7" t="str">
        <f>IF(ISBLANK(patch[[#This Row],[project]]), "",COUNTIFS($A:$A,patch[[#This Row],[number]],$S:$S, "FL And dev",$AC:$AC, "Review-1"))</f>
        <v/>
      </c>
      <c r="Y2284" s="7" t="str">
        <f>IF(ISBLANK(patch[[#This Row],[project]]), "",COUNTIFS($A:$A,patch[[#This Row],[number]],$S:$S, "SH And dev",$AC:$AC, "Review-1"))</f>
        <v/>
      </c>
      <c r="Z2284" s="7" t="str">
        <f>IF(ISBLANK(patch[[#This Row],[project]]), "",COUNTIFS($A:$A,patch[[#This Row],[number]],$S:$S, "BJ And dev",$AD:$AD, "&lt;&gt;IntegratorValidationComment"))</f>
        <v/>
      </c>
      <c r="AA2284" s="7" t="str">
        <f>IF(ISBLANK(patch[[#This Row],[project]]), "",COUNTIFS($A:$A,patch[[#This Row],[number]],$S:$S, "FL And dev",$AD:$AD, "&lt;&gt;IntegratorValidationComment"))</f>
        <v/>
      </c>
      <c r="AB2284" s="7" t="str">
        <f>IF(ISBLANK(patch[[#This Row],[project]]), "",COUNTIFS($A:$A,patch[[#This Row],[number]],$S:$S, "SH And dev",$AD:$AD, "&lt;&gt;IntegratorValidationComment"))</f>
        <v/>
      </c>
      <c r="AC2284" s="7" t="str">
        <f>IF(OR(ISNUMBER(FIND("Review-1", patch[[#This Row],[comments]])), ISNUMBER(FIND("Approver-1", patch[[#This Row],[comments]]))), "Review-1", "")</f>
        <v/>
      </c>
      <c r="AD22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84" s="7">
        <f>IF(ISBLANK(patch[[#This Row],[number]]),AE2283,patch[[#This Row],[ifCommon]])</f>
        <v>0</v>
      </c>
    </row>
    <row r="2285" spans="1:31">
      <c r="A2285" s="151">
        <v>142709</v>
      </c>
      <c r="B2285" s="151"/>
      <c r="C2285" s="151"/>
      <c r="D2285" s="151"/>
      <c r="E2285" s="151"/>
      <c r="F2285" s="151"/>
      <c r="G2285" s="151"/>
      <c r="H2285" s="151"/>
      <c r="I2285" s="151"/>
      <c r="J2285" s="152">
        <v>42619.714861111112</v>
      </c>
      <c r="K2285" s="151"/>
      <c r="L2285" s="151" t="s">
        <v>72</v>
      </c>
      <c r="M2285" s="152">
        <v>42615.888518518521</v>
      </c>
      <c r="N2285" s="151" t="s">
        <v>2560</v>
      </c>
      <c r="O2285" s="151"/>
      <c r="P2285" s="151"/>
      <c r="Q2285" s="7" t="str">
        <f>IF(ISBLANK(patch[[#This Row],[OwnerEmail]]),Q2284,patch[[#This Row],[OwnerEmail]])</f>
        <v>bin.b.yang@intel.com</v>
      </c>
      <c r="R2285" s="7" t="str">
        <f>_xlfn.IFNA(VLOOKUP(patch[[#This Row],[tmp-owner.email]],OrgTree!$A:$K, 11, 0), "not ICG SWFW")</f>
        <v>BJ And dev</v>
      </c>
      <c r="S2285" s="7" t="str">
        <f>IF(patch[[#This Row],[reviewer]]=patch[[#This Row],[tmp-owner.email]], "author", _xlfn.IFNA(VLOOKUP(patch[[#This Row],[reviewer]],OrgTree!$A:$K, 11, 0), "not ICG SWFW"))</f>
        <v>author</v>
      </c>
      <c r="T2285" s="7" t="str">
        <f>IF(ISBLANK(patch[[#This Row],[mergeDate]]), "", MID(YEAR(patch[[#This Row],[mergeDate]]), 3,2)&amp;"'ww"&amp;WEEKNUM(patch[[#This Row],[mergeDate]]))</f>
        <v>16'ww37</v>
      </c>
      <c r="U2285" s="7" t="str">
        <f>IF(ISBLANK(patch[[#This Row],[mergeDate]]), U2284, MID(YEAR(patch[[#This Row],[mergeDate]]), 3,2)&amp;"'m"&amp;MONTH(patch[[#This Row],[mergeDate]]))</f>
        <v>16'm9</v>
      </c>
      <c r="V2285" s="7" t="str">
        <f>IF(ISBLANK(patch[[#This Row],[project]]), "",SUM(patch[[#This Row],[BJ -1 num]:[SH -1 num]]))</f>
        <v/>
      </c>
      <c r="W2285" s="7" t="str">
        <f>IF(ISBLANK(patch[[#This Row],[project]]), "",COUNTIFS($A:$A,patch[[#This Row],[number]],$S:$S, "BJ And dev",$AC:$AC, "Review-1"))</f>
        <v/>
      </c>
      <c r="X2285" s="7" t="str">
        <f>IF(ISBLANK(patch[[#This Row],[project]]), "",COUNTIFS($A:$A,patch[[#This Row],[number]],$S:$S, "FL And dev",$AC:$AC, "Review-1"))</f>
        <v/>
      </c>
      <c r="Y2285" s="7" t="str">
        <f>IF(ISBLANK(patch[[#This Row],[project]]), "",COUNTIFS($A:$A,patch[[#This Row],[number]],$S:$S, "SH And dev",$AC:$AC, "Review-1"))</f>
        <v/>
      </c>
      <c r="Z2285" s="7" t="str">
        <f>IF(ISBLANK(patch[[#This Row],[project]]), "",COUNTIFS($A:$A,patch[[#This Row],[number]],$S:$S, "BJ And dev",$AD:$AD, "&lt;&gt;IntegratorValidationComment"))</f>
        <v/>
      </c>
      <c r="AA2285" s="7" t="str">
        <f>IF(ISBLANK(patch[[#This Row],[project]]), "",COUNTIFS($A:$A,patch[[#This Row],[number]],$S:$S, "FL And dev",$AD:$AD, "&lt;&gt;IntegratorValidationComment"))</f>
        <v/>
      </c>
      <c r="AB2285" s="7" t="str">
        <f>IF(ISBLANK(patch[[#This Row],[project]]), "",COUNTIFS($A:$A,patch[[#This Row],[number]],$S:$S, "SH And dev",$AD:$AD, "&lt;&gt;IntegratorValidationComment"))</f>
        <v/>
      </c>
      <c r="AC2285" s="7" t="str">
        <f>IF(OR(ISNUMBER(FIND("Review-1", patch[[#This Row],[comments]])), ISNUMBER(FIND("Approver-1", patch[[#This Row],[comments]]))), "Review-1", "")</f>
        <v/>
      </c>
      <c r="AD22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85" s="7">
        <f>IF(ISBLANK(patch[[#This Row],[number]]),AE2284,patch[[#This Row],[ifCommon]])</f>
        <v>0</v>
      </c>
    </row>
    <row r="2286" spans="1:31">
      <c r="A2286" s="151">
        <v>142709</v>
      </c>
      <c r="B2286" s="151"/>
      <c r="C2286" s="151"/>
      <c r="D2286" s="151"/>
      <c r="E2286" s="151"/>
      <c r="F2286" s="151"/>
      <c r="G2286" s="151"/>
      <c r="H2286" s="151"/>
      <c r="I2286" s="151"/>
      <c r="J2286" s="152">
        <v>42619.714861111112</v>
      </c>
      <c r="K2286" s="151"/>
      <c r="L2286" s="151" t="s">
        <v>59</v>
      </c>
      <c r="M2286" s="152">
        <v>42618.37636574074</v>
      </c>
      <c r="N2286" s="151" t="s">
        <v>3719</v>
      </c>
      <c r="O2286" s="151"/>
      <c r="P2286" s="151"/>
      <c r="Q2286" s="7" t="str">
        <f>IF(ISBLANK(patch[[#This Row],[OwnerEmail]]),Q2285,patch[[#This Row],[OwnerEmail]])</f>
        <v>bin.b.yang@intel.com</v>
      </c>
      <c r="R2286" s="7" t="str">
        <f>_xlfn.IFNA(VLOOKUP(patch[[#This Row],[tmp-owner.email]],OrgTree!$A:$K, 11, 0), "not ICG SWFW")</f>
        <v>BJ And dev</v>
      </c>
      <c r="S2286" s="7" t="str">
        <f>IF(patch[[#This Row],[reviewer]]=patch[[#This Row],[tmp-owner.email]], "author", _xlfn.IFNA(VLOOKUP(patch[[#This Row],[reviewer]],OrgTree!$A:$K, 11, 0), "not ICG SWFW"))</f>
        <v>BJ And dev</v>
      </c>
      <c r="T2286" s="7" t="str">
        <f>IF(ISBLANK(patch[[#This Row],[mergeDate]]), "", MID(YEAR(patch[[#This Row],[mergeDate]]), 3,2)&amp;"'ww"&amp;WEEKNUM(patch[[#This Row],[mergeDate]]))</f>
        <v>16'ww37</v>
      </c>
      <c r="U2286" s="7" t="str">
        <f>IF(ISBLANK(patch[[#This Row],[mergeDate]]), U2285, MID(YEAR(patch[[#This Row],[mergeDate]]), 3,2)&amp;"'m"&amp;MONTH(patch[[#This Row],[mergeDate]]))</f>
        <v>16'm9</v>
      </c>
      <c r="V2286" s="7" t="str">
        <f>IF(ISBLANK(patch[[#This Row],[project]]), "",SUM(patch[[#This Row],[BJ -1 num]:[SH -1 num]]))</f>
        <v/>
      </c>
      <c r="W2286" s="7" t="str">
        <f>IF(ISBLANK(patch[[#This Row],[project]]), "",COUNTIFS($A:$A,patch[[#This Row],[number]],$S:$S, "BJ And dev",$AC:$AC, "Review-1"))</f>
        <v/>
      </c>
      <c r="X2286" s="7" t="str">
        <f>IF(ISBLANK(patch[[#This Row],[project]]), "",COUNTIFS($A:$A,patch[[#This Row],[number]],$S:$S, "FL And dev",$AC:$AC, "Review-1"))</f>
        <v/>
      </c>
      <c r="Y2286" s="7" t="str">
        <f>IF(ISBLANK(patch[[#This Row],[project]]), "",COUNTIFS($A:$A,patch[[#This Row],[number]],$S:$S, "SH And dev",$AC:$AC, "Review-1"))</f>
        <v/>
      </c>
      <c r="Z2286" s="7" t="str">
        <f>IF(ISBLANK(patch[[#This Row],[project]]), "",COUNTIFS($A:$A,patch[[#This Row],[number]],$S:$S, "BJ And dev",$AD:$AD, "&lt;&gt;IntegratorValidationComment"))</f>
        <v/>
      </c>
      <c r="AA2286" s="7" t="str">
        <f>IF(ISBLANK(patch[[#This Row],[project]]), "",COUNTIFS($A:$A,patch[[#This Row],[number]],$S:$S, "FL And dev",$AD:$AD, "&lt;&gt;IntegratorValidationComment"))</f>
        <v/>
      </c>
      <c r="AB2286" s="7" t="str">
        <f>IF(ISBLANK(patch[[#This Row],[project]]), "",COUNTIFS($A:$A,patch[[#This Row],[number]],$S:$S, "SH And dev",$AD:$AD, "&lt;&gt;IntegratorValidationComment"))</f>
        <v/>
      </c>
      <c r="AC2286" s="7" t="str">
        <f>IF(OR(ISNUMBER(FIND("Review-1", patch[[#This Row],[comments]])), ISNUMBER(FIND("Approver-1", patch[[#This Row],[comments]]))), "Review-1", "")</f>
        <v/>
      </c>
      <c r="AD22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86" s="7">
        <f>IF(ISBLANK(patch[[#This Row],[number]]),AE2285,patch[[#This Row],[ifCommon]])</f>
        <v>0</v>
      </c>
    </row>
    <row r="2287" spans="1:31">
      <c r="A2287" s="151">
        <v>142709</v>
      </c>
      <c r="B2287" s="151"/>
      <c r="C2287" s="151"/>
      <c r="D2287" s="151"/>
      <c r="E2287" s="151"/>
      <c r="F2287" s="151"/>
      <c r="G2287" s="151"/>
      <c r="H2287" s="151"/>
      <c r="I2287" s="151"/>
      <c r="J2287" s="152">
        <v>42619.714861111112</v>
      </c>
      <c r="K2287" s="151"/>
      <c r="L2287" s="151" t="s">
        <v>59</v>
      </c>
      <c r="M2287" s="152">
        <v>42618.391319444447</v>
      </c>
      <c r="N2287" s="151" t="s">
        <v>3720</v>
      </c>
      <c r="O2287" s="151"/>
      <c r="P2287" s="151"/>
      <c r="Q2287" s="7" t="str">
        <f>IF(ISBLANK(patch[[#This Row],[OwnerEmail]]),Q2286,patch[[#This Row],[OwnerEmail]])</f>
        <v>bin.b.yang@intel.com</v>
      </c>
      <c r="R2287" s="7" t="str">
        <f>_xlfn.IFNA(VLOOKUP(patch[[#This Row],[tmp-owner.email]],OrgTree!$A:$K, 11, 0), "not ICG SWFW")</f>
        <v>BJ And dev</v>
      </c>
      <c r="S2287" s="7" t="str">
        <f>IF(patch[[#This Row],[reviewer]]=patch[[#This Row],[tmp-owner.email]], "author", _xlfn.IFNA(VLOOKUP(patch[[#This Row],[reviewer]],OrgTree!$A:$K, 11, 0), "not ICG SWFW"))</f>
        <v>BJ And dev</v>
      </c>
      <c r="T2287" s="7" t="str">
        <f>IF(ISBLANK(patch[[#This Row],[mergeDate]]), "", MID(YEAR(patch[[#This Row],[mergeDate]]), 3,2)&amp;"'ww"&amp;WEEKNUM(patch[[#This Row],[mergeDate]]))</f>
        <v>16'ww37</v>
      </c>
      <c r="U2287" s="7" t="str">
        <f>IF(ISBLANK(patch[[#This Row],[mergeDate]]), U2286, MID(YEAR(patch[[#This Row],[mergeDate]]), 3,2)&amp;"'m"&amp;MONTH(patch[[#This Row],[mergeDate]]))</f>
        <v>16'm9</v>
      </c>
      <c r="V2287" s="7" t="str">
        <f>IF(ISBLANK(patch[[#This Row],[project]]), "",SUM(patch[[#This Row],[BJ -1 num]:[SH -1 num]]))</f>
        <v/>
      </c>
      <c r="W2287" s="7" t="str">
        <f>IF(ISBLANK(patch[[#This Row],[project]]), "",COUNTIFS($A:$A,patch[[#This Row],[number]],$S:$S, "BJ And dev",$AC:$AC, "Review-1"))</f>
        <v/>
      </c>
      <c r="X2287" s="7" t="str">
        <f>IF(ISBLANK(patch[[#This Row],[project]]), "",COUNTIFS($A:$A,patch[[#This Row],[number]],$S:$S, "FL And dev",$AC:$AC, "Review-1"))</f>
        <v/>
      </c>
      <c r="Y2287" s="7" t="str">
        <f>IF(ISBLANK(patch[[#This Row],[project]]), "",COUNTIFS($A:$A,patch[[#This Row],[number]],$S:$S, "SH And dev",$AC:$AC, "Review-1"))</f>
        <v/>
      </c>
      <c r="Z2287" s="7" t="str">
        <f>IF(ISBLANK(patch[[#This Row],[project]]), "",COUNTIFS($A:$A,patch[[#This Row],[number]],$S:$S, "BJ And dev",$AD:$AD, "&lt;&gt;IntegratorValidationComment"))</f>
        <v/>
      </c>
      <c r="AA2287" s="7" t="str">
        <f>IF(ISBLANK(patch[[#This Row],[project]]), "",COUNTIFS($A:$A,patch[[#This Row],[number]],$S:$S, "FL And dev",$AD:$AD, "&lt;&gt;IntegratorValidationComment"))</f>
        <v/>
      </c>
      <c r="AB2287" s="7" t="str">
        <f>IF(ISBLANK(patch[[#This Row],[project]]), "",COUNTIFS($A:$A,patch[[#This Row],[number]],$S:$S, "SH And dev",$AD:$AD, "&lt;&gt;IntegratorValidationComment"))</f>
        <v/>
      </c>
      <c r="AC2287" s="7" t="str">
        <f>IF(OR(ISNUMBER(FIND("Review-1", patch[[#This Row],[comments]])), ISNUMBER(FIND("Approver-1", patch[[#This Row],[comments]]))), "Review-1", "")</f>
        <v/>
      </c>
      <c r="AD22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87" s="7">
        <f>IF(ISBLANK(patch[[#This Row],[number]]),AE2286,patch[[#This Row],[ifCommon]])</f>
        <v>0</v>
      </c>
    </row>
    <row r="2288" spans="1:31">
      <c r="A2288" s="151">
        <v>142709</v>
      </c>
      <c r="B2288" s="151"/>
      <c r="C2288" s="151"/>
      <c r="D2288" s="151"/>
      <c r="E2288" s="151"/>
      <c r="F2288" s="151"/>
      <c r="G2288" s="151"/>
      <c r="H2288" s="151"/>
      <c r="I2288" s="152"/>
      <c r="J2288" s="152">
        <v>42619.714861111112</v>
      </c>
      <c r="K2288" s="151"/>
      <c r="L2288" s="151" t="s">
        <v>72</v>
      </c>
      <c r="M2288" s="152">
        <v>42618.523587962962</v>
      </c>
      <c r="N2288" s="151" t="s">
        <v>2468</v>
      </c>
      <c r="O2288" s="151"/>
      <c r="P2288" s="151"/>
      <c r="Q2288" s="7" t="str">
        <f>IF(ISBLANK(patch[[#This Row],[OwnerEmail]]),Q2287,patch[[#This Row],[OwnerEmail]])</f>
        <v>bin.b.yang@intel.com</v>
      </c>
      <c r="R2288" s="7" t="str">
        <f>_xlfn.IFNA(VLOOKUP(patch[[#This Row],[tmp-owner.email]],OrgTree!$A:$K, 11, 0), "not ICG SWFW")</f>
        <v>BJ And dev</v>
      </c>
      <c r="S2288" s="7" t="str">
        <f>IF(patch[[#This Row],[reviewer]]=patch[[#This Row],[tmp-owner.email]], "author", _xlfn.IFNA(VLOOKUP(patch[[#This Row],[reviewer]],OrgTree!$A:$K, 11, 0), "not ICG SWFW"))</f>
        <v>author</v>
      </c>
      <c r="T2288" s="7" t="str">
        <f>IF(ISBLANK(patch[[#This Row],[mergeDate]]), "", MID(YEAR(patch[[#This Row],[mergeDate]]), 3,2)&amp;"'ww"&amp;WEEKNUM(patch[[#This Row],[mergeDate]]))</f>
        <v>16'ww37</v>
      </c>
      <c r="U2288" s="7" t="str">
        <f>IF(ISBLANK(patch[[#This Row],[mergeDate]]), U2287, MID(YEAR(patch[[#This Row],[mergeDate]]), 3,2)&amp;"'m"&amp;MONTH(patch[[#This Row],[mergeDate]]))</f>
        <v>16'm9</v>
      </c>
      <c r="V2288" s="7" t="str">
        <f>IF(ISBLANK(patch[[#This Row],[project]]), "",SUM(patch[[#This Row],[BJ -1 num]:[SH -1 num]]))</f>
        <v/>
      </c>
      <c r="W2288" s="7" t="str">
        <f>IF(ISBLANK(patch[[#This Row],[project]]), "",COUNTIFS($A:$A,patch[[#This Row],[number]],$S:$S, "BJ And dev",$AC:$AC, "Review-1"))</f>
        <v/>
      </c>
      <c r="X2288" s="7" t="str">
        <f>IF(ISBLANK(patch[[#This Row],[project]]), "",COUNTIFS($A:$A,patch[[#This Row],[number]],$S:$S, "FL And dev",$AC:$AC, "Review-1"))</f>
        <v/>
      </c>
      <c r="Y2288" s="7" t="str">
        <f>IF(ISBLANK(patch[[#This Row],[project]]), "",COUNTIFS($A:$A,patch[[#This Row],[number]],$S:$S, "SH And dev",$AC:$AC, "Review-1"))</f>
        <v/>
      </c>
      <c r="Z2288" s="7" t="str">
        <f>IF(ISBLANK(patch[[#This Row],[project]]), "",COUNTIFS($A:$A,patch[[#This Row],[number]],$S:$S, "BJ And dev",$AD:$AD, "&lt;&gt;IntegratorValidationComment"))</f>
        <v/>
      </c>
      <c r="AA2288" s="7" t="str">
        <f>IF(ISBLANK(patch[[#This Row],[project]]), "",COUNTIFS($A:$A,patch[[#This Row],[number]],$S:$S, "FL And dev",$AD:$AD, "&lt;&gt;IntegratorValidationComment"))</f>
        <v/>
      </c>
      <c r="AB2288" s="7" t="str">
        <f>IF(ISBLANK(patch[[#This Row],[project]]), "",COUNTIFS($A:$A,patch[[#This Row],[number]],$S:$S, "SH And dev",$AD:$AD, "&lt;&gt;IntegratorValidationComment"))</f>
        <v/>
      </c>
      <c r="AC2288" s="7" t="str">
        <f>IF(OR(ISNUMBER(FIND("Review-1", patch[[#This Row],[comments]])), ISNUMBER(FIND("Approver-1", patch[[#This Row],[comments]]))), "Review-1", "")</f>
        <v/>
      </c>
      <c r="AD22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88" s="7">
        <f>IF(ISBLANK(patch[[#This Row],[number]]),AE2287,patch[[#This Row],[ifCommon]])</f>
        <v>0</v>
      </c>
    </row>
    <row r="2289" spans="1:31">
      <c r="A2289" s="151">
        <v>142709</v>
      </c>
      <c r="B2289" s="151"/>
      <c r="C2289" s="151"/>
      <c r="D2289" s="151"/>
      <c r="E2289" s="151"/>
      <c r="F2289" s="151"/>
      <c r="G2289" s="151"/>
      <c r="H2289" s="151"/>
      <c r="I2289" s="151"/>
      <c r="J2289" s="152">
        <v>42619.714861111112</v>
      </c>
      <c r="K2289" s="151"/>
      <c r="L2289" s="151" t="s">
        <v>72</v>
      </c>
      <c r="M2289" s="152">
        <v>42618.523587962962</v>
      </c>
      <c r="N2289" s="151" t="s">
        <v>3721</v>
      </c>
      <c r="O2289" s="151"/>
      <c r="P2289" s="151"/>
      <c r="Q2289" s="7" t="str">
        <f>IF(ISBLANK(patch[[#This Row],[OwnerEmail]]),Q2288,patch[[#This Row],[OwnerEmail]])</f>
        <v>bin.b.yang@intel.com</v>
      </c>
      <c r="R2289" s="7" t="str">
        <f>_xlfn.IFNA(VLOOKUP(patch[[#This Row],[tmp-owner.email]],OrgTree!$A:$K, 11, 0), "not ICG SWFW")</f>
        <v>BJ And dev</v>
      </c>
      <c r="S2289" s="7" t="str">
        <f>IF(patch[[#This Row],[reviewer]]=patch[[#This Row],[tmp-owner.email]], "author", _xlfn.IFNA(VLOOKUP(patch[[#This Row],[reviewer]],OrgTree!$A:$K, 11, 0), "not ICG SWFW"))</f>
        <v>author</v>
      </c>
      <c r="T2289" s="7" t="str">
        <f>IF(ISBLANK(patch[[#This Row],[mergeDate]]), "", MID(YEAR(patch[[#This Row],[mergeDate]]), 3,2)&amp;"'ww"&amp;WEEKNUM(patch[[#This Row],[mergeDate]]))</f>
        <v>16'ww37</v>
      </c>
      <c r="U2289" s="7" t="str">
        <f>IF(ISBLANK(patch[[#This Row],[mergeDate]]), U2288, MID(YEAR(patch[[#This Row],[mergeDate]]), 3,2)&amp;"'m"&amp;MONTH(patch[[#This Row],[mergeDate]]))</f>
        <v>16'm9</v>
      </c>
      <c r="V2289" s="7" t="str">
        <f>IF(ISBLANK(patch[[#This Row],[project]]), "",SUM(patch[[#This Row],[BJ -1 num]:[SH -1 num]]))</f>
        <v/>
      </c>
      <c r="W2289" s="7" t="str">
        <f>IF(ISBLANK(patch[[#This Row],[project]]), "",COUNTIFS($A:$A,patch[[#This Row],[number]],$S:$S, "BJ And dev",$AC:$AC, "Review-1"))</f>
        <v/>
      </c>
      <c r="X2289" s="7" t="str">
        <f>IF(ISBLANK(patch[[#This Row],[project]]), "",COUNTIFS($A:$A,patch[[#This Row],[number]],$S:$S, "FL And dev",$AC:$AC, "Review-1"))</f>
        <v/>
      </c>
      <c r="Y2289" s="7" t="str">
        <f>IF(ISBLANK(patch[[#This Row],[project]]), "",COUNTIFS($A:$A,patch[[#This Row],[number]],$S:$S, "SH And dev",$AC:$AC, "Review-1"))</f>
        <v/>
      </c>
      <c r="Z2289" s="7" t="str">
        <f>IF(ISBLANK(patch[[#This Row],[project]]), "",COUNTIFS($A:$A,patch[[#This Row],[number]],$S:$S, "BJ And dev",$AD:$AD, "&lt;&gt;IntegratorValidationComment"))</f>
        <v/>
      </c>
      <c r="AA2289" s="7" t="str">
        <f>IF(ISBLANK(patch[[#This Row],[project]]), "",COUNTIFS($A:$A,patch[[#This Row],[number]],$S:$S, "FL And dev",$AD:$AD, "&lt;&gt;IntegratorValidationComment"))</f>
        <v/>
      </c>
      <c r="AB2289" s="7" t="str">
        <f>IF(ISBLANK(patch[[#This Row],[project]]), "",COUNTIFS($A:$A,patch[[#This Row],[number]],$S:$S, "SH And dev",$AD:$AD, "&lt;&gt;IntegratorValidationComment"))</f>
        <v/>
      </c>
      <c r="AC2289" s="7" t="str">
        <f>IF(OR(ISNUMBER(FIND("Review-1", patch[[#This Row],[comments]])), ISNUMBER(FIND("Approver-1", patch[[#This Row],[comments]]))), "Review-1", "")</f>
        <v/>
      </c>
      <c r="AD22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89" s="7">
        <f>IF(ISBLANK(patch[[#This Row],[number]]),AE2288,patch[[#This Row],[ifCommon]])</f>
        <v>0</v>
      </c>
    </row>
    <row r="2290" spans="1:31">
      <c r="A2290" s="151">
        <v>142709</v>
      </c>
      <c r="B2290" s="151"/>
      <c r="C2290" s="151"/>
      <c r="D2290" s="151"/>
      <c r="E2290" s="151"/>
      <c r="F2290" s="151"/>
      <c r="G2290" s="151"/>
      <c r="H2290" s="151"/>
      <c r="I2290" s="151"/>
      <c r="J2290" s="152">
        <v>42619.714861111112</v>
      </c>
      <c r="K2290" s="151"/>
      <c r="L2290" s="151" t="s">
        <v>59</v>
      </c>
      <c r="M2290" s="152">
        <v>42618.529097222221</v>
      </c>
      <c r="N2290" s="151" t="s">
        <v>3722</v>
      </c>
      <c r="O2290" s="151"/>
      <c r="P2290" s="151"/>
      <c r="Q2290" s="7" t="str">
        <f>IF(ISBLANK(patch[[#This Row],[OwnerEmail]]),Q2289,patch[[#This Row],[OwnerEmail]])</f>
        <v>bin.b.yang@intel.com</v>
      </c>
      <c r="R2290" s="7" t="str">
        <f>_xlfn.IFNA(VLOOKUP(patch[[#This Row],[tmp-owner.email]],OrgTree!$A:$K, 11, 0), "not ICG SWFW")</f>
        <v>BJ And dev</v>
      </c>
      <c r="S2290" s="7" t="str">
        <f>IF(patch[[#This Row],[reviewer]]=patch[[#This Row],[tmp-owner.email]], "author", _xlfn.IFNA(VLOOKUP(patch[[#This Row],[reviewer]],OrgTree!$A:$K, 11, 0), "not ICG SWFW"))</f>
        <v>BJ And dev</v>
      </c>
      <c r="T2290" s="7" t="str">
        <f>IF(ISBLANK(patch[[#This Row],[mergeDate]]), "", MID(YEAR(patch[[#This Row],[mergeDate]]), 3,2)&amp;"'ww"&amp;WEEKNUM(patch[[#This Row],[mergeDate]]))</f>
        <v>16'ww37</v>
      </c>
      <c r="U2290" s="7" t="str">
        <f>IF(ISBLANK(patch[[#This Row],[mergeDate]]), U2289, MID(YEAR(patch[[#This Row],[mergeDate]]), 3,2)&amp;"'m"&amp;MONTH(patch[[#This Row],[mergeDate]]))</f>
        <v>16'm9</v>
      </c>
      <c r="V2290" s="7" t="str">
        <f>IF(ISBLANK(patch[[#This Row],[project]]), "",SUM(patch[[#This Row],[BJ -1 num]:[SH -1 num]]))</f>
        <v/>
      </c>
      <c r="W2290" s="7" t="str">
        <f>IF(ISBLANK(patch[[#This Row],[project]]), "",COUNTIFS($A:$A,patch[[#This Row],[number]],$S:$S, "BJ And dev",$AC:$AC, "Review-1"))</f>
        <v/>
      </c>
      <c r="X2290" s="7" t="str">
        <f>IF(ISBLANK(patch[[#This Row],[project]]), "",COUNTIFS($A:$A,patch[[#This Row],[number]],$S:$S, "FL And dev",$AC:$AC, "Review-1"))</f>
        <v/>
      </c>
      <c r="Y2290" s="7" t="str">
        <f>IF(ISBLANK(patch[[#This Row],[project]]), "",COUNTIFS($A:$A,patch[[#This Row],[number]],$S:$S, "SH And dev",$AC:$AC, "Review-1"))</f>
        <v/>
      </c>
      <c r="Z2290" s="7" t="str">
        <f>IF(ISBLANK(patch[[#This Row],[project]]), "",COUNTIFS($A:$A,patch[[#This Row],[number]],$S:$S, "BJ And dev",$AD:$AD, "&lt;&gt;IntegratorValidationComment"))</f>
        <v/>
      </c>
      <c r="AA2290" s="7" t="str">
        <f>IF(ISBLANK(patch[[#This Row],[project]]), "",COUNTIFS($A:$A,patch[[#This Row],[number]],$S:$S, "FL And dev",$AD:$AD, "&lt;&gt;IntegratorValidationComment"))</f>
        <v/>
      </c>
      <c r="AB2290" s="7" t="str">
        <f>IF(ISBLANK(patch[[#This Row],[project]]), "",COUNTIFS($A:$A,patch[[#This Row],[number]],$S:$S, "SH And dev",$AD:$AD, "&lt;&gt;IntegratorValidationComment"))</f>
        <v/>
      </c>
      <c r="AC2290" s="7" t="str">
        <f>IF(OR(ISNUMBER(FIND("Review-1", patch[[#This Row],[comments]])), ISNUMBER(FIND("Approver-1", patch[[#This Row],[comments]]))), "Review-1", "")</f>
        <v/>
      </c>
      <c r="AD22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90" s="7">
        <f>IF(ISBLANK(patch[[#This Row],[number]]),AE2289,patch[[#This Row],[ifCommon]])</f>
        <v>0</v>
      </c>
    </row>
    <row r="2291" spans="1:31">
      <c r="A2291" s="151">
        <v>142709</v>
      </c>
      <c r="B2291" s="151"/>
      <c r="C2291" s="151"/>
      <c r="D2291" s="151"/>
      <c r="E2291" s="151"/>
      <c r="F2291" s="151"/>
      <c r="G2291" s="151"/>
      <c r="H2291" s="151"/>
      <c r="I2291" s="151"/>
      <c r="J2291" s="152">
        <v>42619.714861111112</v>
      </c>
      <c r="K2291" s="151"/>
      <c r="L2291" s="151" t="s">
        <v>59</v>
      </c>
      <c r="M2291" s="152">
        <v>42618.531886574077</v>
      </c>
      <c r="N2291" s="151" t="s">
        <v>3723</v>
      </c>
      <c r="O2291" s="151"/>
      <c r="P2291" s="151"/>
      <c r="Q2291" s="7" t="str">
        <f>IF(ISBLANK(patch[[#This Row],[OwnerEmail]]),Q2290,patch[[#This Row],[OwnerEmail]])</f>
        <v>bin.b.yang@intel.com</v>
      </c>
      <c r="R2291" s="7" t="str">
        <f>_xlfn.IFNA(VLOOKUP(patch[[#This Row],[tmp-owner.email]],OrgTree!$A:$K, 11, 0), "not ICG SWFW")</f>
        <v>BJ And dev</v>
      </c>
      <c r="S2291" s="7" t="str">
        <f>IF(patch[[#This Row],[reviewer]]=patch[[#This Row],[tmp-owner.email]], "author", _xlfn.IFNA(VLOOKUP(patch[[#This Row],[reviewer]],OrgTree!$A:$K, 11, 0), "not ICG SWFW"))</f>
        <v>BJ And dev</v>
      </c>
      <c r="T2291" s="7" t="str">
        <f>IF(ISBLANK(patch[[#This Row],[mergeDate]]), "", MID(YEAR(patch[[#This Row],[mergeDate]]), 3,2)&amp;"'ww"&amp;WEEKNUM(patch[[#This Row],[mergeDate]]))</f>
        <v>16'ww37</v>
      </c>
      <c r="U2291" s="7" t="str">
        <f>IF(ISBLANK(patch[[#This Row],[mergeDate]]), U2290, MID(YEAR(patch[[#This Row],[mergeDate]]), 3,2)&amp;"'m"&amp;MONTH(patch[[#This Row],[mergeDate]]))</f>
        <v>16'm9</v>
      </c>
      <c r="V2291" s="7" t="str">
        <f>IF(ISBLANK(patch[[#This Row],[project]]), "",SUM(patch[[#This Row],[BJ -1 num]:[SH -1 num]]))</f>
        <v/>
      </c>
      <c r="W2291" s="7" t="str">
        <f>IF(ISBLANK(patch[[#This Row],[project]]), "",COUNTIFS($A:$A,patch[[#This Row],[number]],$S:$S, "BJ And dev",$AC:$AC, "Review-1"))</f>
        <v/>
      </c>
      <c r="X2291" s="7" t="str">
        <f>IF(ISBLANK(patch[[#This Row],[project]]), "",COUNTIFS($A:$A,patch[[#This Row],[number]],$S:$S, "FL And dev",$AC:$AC, "Review-1"))</f>
        <v/>
      </c>
      <c r="Y2291" s="7" t="str">
        <f>IF(ISBLANK(patch[[#This Row],[project]]), "",COUNTIFS($A:$A,patch[[#This Row],[number]],$S:$S, "SH And dev",$AC:$AC, "Review-1"))</f>
        <v/>
      </c>
      <c r="Z2291" s="7" t="str">
        <f>IF(ISBLANK(patch[[#This Row],[project]]), "",COUNTIFS($A:$A,patch[[#This Row],[number]],$S:$S, "BJ And dev",$AD:$AD, "&lt;&gt;IntegratorValidationComment"))</f>
        <v/>
      </c>
      <c r="AA2291" s="7" t="str">
        <f>IF(ISBLANK(patch[[#This Row],[project]]), "",COUNTIFS($A:$A,patch[[#This Row],[number]],$S:$S, "FL And dev",$AD:$AD, "&lt;&gt;IntegratorValidationComment"))</f>
        <v/>
      </c>
      <c r="AB2291" s="7" t="str">
        <f>IF(ISBLANK(patch[[#This Row],[project]]), "",COUNTIFS($A:$A,patch[[#This Row],[number]],$S:$S, "SH And dev",$AD:$AD, "&lt;&gt;IntegratorValidationComment"))</f>
        <v/>
      </c>
      <c r="AC2291" s="7" t="str">
        <f>IF(OR(ISNUMBER(FIND("Review-1", patch[[#This Row],[comments]])), ISNUMBER(FIND("Approver-1", patch[[#This Row],[comments]]))), "Review-1", "")</f>
        <v/>
      </c>
      <c r="AD22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91" s="7">
        <f>IF(ISBLANK(patch[[#This Row],[number]]),AE2290,patch[[#This Row],[ifCommon]])</f>
        <v>0</v>
      </c>
    </row>
    <row r="2292" spans="1:31">
      <c r="A2292" s="151">
        <v>142709</v>
      </c>
      <c r="B2292" s="151"/>
      <c r="C2292" s="151"/>
      <c r="D2292" s="151"/>
      <c r="E2292" s="151"/>
      <c r="F2292" s="151"/>
      <c r="G2292" s="151"/>
      <c r="H2292" s="151"/>
      <c r="I2292" s="151"/>
      <c r="J2292" s="152">
        <v>42619.714861111112</v>
      </c>
      <c r="K2292" s="151"/>
      <c r="L2292" s="151" t="s">
        <v>1237</v>
      </c>
      <c r="M2292" s="152">
        <v>42618.590324074074</v>
      </c>
      <c r="N2292" s="151" t="s">
        <v>1867</v>
      </c>
      <c r="O2292" s="151"/>
      <c r="P2292" s="151"/>
      <c r="Q2292" s="7" t="str">
        <f>IF(ISBLANK(patch[[#This Row],[OwnerEmail]]),Q2291,patch[[#This Row],[OwnerEmail]])</f>
        <v>bin.b.yang@intel.com</v>
      </c>
      <c r="R2292" s="7" t="str">
        <f>_xlfn.IFNA(VLOOKUP(patch[[#This Row],[tmp-owner.email]],OrgTree!$A:$K, 11, 0), "not ICG SWFW")</f>
        <v>BJ And dev</v>
      </c>
      <c r="S2292" s="7" t="str">
        <f>IF(patch[[#This Row],[reviewer]]=patch[[#This Row],[tmp-owner.email]], "author", _xlfn.IFNA(VLOOKUP(patch[[#This Row],[reviewer]],OrgTree!$A:$K, 11, 0), "not ICG SWFW"))</f>
        <v>BJ And dev</v>
      </c>
      <c r="T2292" s="7" t="str">
        <f>IF(ISBLANK(patch[[#This Row],[mergeDate]]), "", MID(YEAR(patch[[#This Row],[mergeDate]]), 3,2)&amp;"'ww"&amp;WEEKNUM(patch[[#This Row],[mergeDate]]))</f>
        <v>16'ww37</v>
      </c>
      <c r="U2292" s="7" t="str">
        <f>IF(ISBLANK(patch[[#This Row],[mergeDate]]), U2291, MID(YEAR(patch[[#This Row],[mergeDate]]), 3,2)&amp;"'m"&amp;MONTH(patch[[#This Row],[mergeDate]]))</f>
        <v>16'm9</v>
      </c>
      <c r="V2292" s="7" t="str">
        <f>IF(ISBLANK(patch[[#This Row],[project]]), "",SUM(patch[[#This Row],[BJ -1 num]:[SH -1 num]]))</f>
        <v/>
      </c>
      <c r="W2292" s="7" t="str">
        <f>IF(ISBLANK(patch[[#This Row],[project]]), "",COUNTIFS($A:$A,patch[[#This Row],[number]],$S:$S, "BJ And dev",$AC:$AC, "Review-1"))</f>
        <v/>
      </c>
      <c r="X2292" s="7" t="str">
        <f>IF(ISBLANK(patch[[#This Row],[project]]), "",COUNTIFS($A:$A,patch[[#This Row],[number]],$S:$S, "FL And dev",$AC:$AC, "Review-1"))</f>
        <v/>
      </c>
      <c r="Y2292" s="7" t="str">
        <f>IF(ISBLANK(patch[[#This Row],[project]]), "",COUNTIFS($A:$A,patch[[#This Row],[number]],$S:$S, "SH And dev",$AC:$AC, "Review-1"))</f>
        <v/>
      </c>
      <c r="Z2292" s="7" t="str">
        <f>IF(ISBLANK(patch[[#This Row],[project]]), "",COUNTIFS($A:$A,patch[[#This Row],[number]],$S:$S, "BJ And dev",$AD:$AD, "&lt;&gt;IntegratorValidationComment"))</f>
        <v/>
      </c>
      <c r="AA2292" s="7" t="str">
        <f>IF(ISBLANK(patch[[#This Row],[project]]), "",COUNTIFS($A:$A,patch[[#This Row],[number]],$S:$S, "FL And dev",$AD:$AD, "&lt;&gt;IntegratorValidationComment"))</f>
        <v/>
      </c>
      <c r="AB2292" s="7" t="str">
        <f>IF(ISBLANK(patch[[#This Row],[project]]), "",COUNTIFS($A:$A,patch[[#This Row],[number]],$S:$S, "SH And dev",$AD:$AD, "&lt;&gt;IntegratorValidationComment"))</f>
        <v/>
      </c>
      <c r="AC2292" s="7" t="str">
        <f>IF(OR(ISNUMBER(FIND("Review-1", patch[[#This Row],[comments]])), ISNUMBER(FIND("Approver-1", patch[[#This Row],[comments]]))), "Review-1", "")</f>
        <v/>
      </c>
      <c r="AD22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92" s="7">
        <f>IF(ISBLANK(patch[[#This Row],[number]]),AE2291,patch[[#This Row],[ifCommon]])</f>
        <v>0</v>
      </c>
    </row>
    <row r="2293" spans="1:31">
      <c r="A2293" s="151">
        <v>142709</v>
      </c>
      <c r="B2293" s="151"/>
      <c r="C2293" s="151"/>
      <c r="D2293" s="151"/>
      <c r="E2293" s="151"/>
      <c r="F2293" s="151"/>
      <c r="G2293" s="151"/>
      <c r="H2293" s="151"/>
      <c r="I2293" s="151"/>
      <c r="J2293" s="152">
        <v>42619.714861111112</v>
      </c>
      <c r="K2293" s="151"/>
      <c r="L2293" s="151" t="s">
        <v>72</v>
      </c>
      <c r="M2293" s="152">
        <v>42618.629120370373</v>
      </c>
      <c r="N2293" s="151" t="s">
        <v>1912</v>
      </c>
      <c r="O2293" s="151"/>
      <c r="P2293" s="151"/>
      <c r="Q2293" s="7" t="str">
        <f>IF(ISBLANK(patch[[#This Row],[OwnerEmail]]),Q2292,patch[[#This Row],[OwnerEmail]])</f>
        <v>bin.b.yang@intel.com</v>
      </c>
      <c r="R2293" s="7" t="str">
        <f>_xlfn.IFNA(VLOOKUP(patch[[#This Row],[tmp-owner.email]],OrgTree!$A:$K, 11, 0), "not ICG SWFW")</f>
        <v>BJ And dev</v>
      </c>
      <c r="S2293" s="7" t="str">
        <f>IF(patch[[#This Row],[reviewer]]=patch[[#This Row],[tmp-owner.email]], "author", _xlfn.IFNA(VLOOKUP(patch[[#This Row],[reviewer]],OrgTree!$A:$K, 11, 0), "not ICG SWFW"))</f>
        <v>author</v>
      </c>
      <c r="T2293" s="7" t="str">
        <f>IF(ISBLANK(patch[[#This Row],[mergeDate]]), "", MID(YEAR(patch[[#This Row],[mergeDate]]), 3,2)&amp;"'ww"&amp;WEEKNUM(patch[[#This Row],[mergeDate]]))</f>
        <v>16'ww37</v>
      </c>
      <c r="U2293" s="7" t="str">
        <f>IF(ISBLANK(patch[[#This Row],[mergeDate]]), U2292, MID(YEAR(patch[[#This Row],[mergeDate]]), 3,2)&amp;"'m"&amp;MONTH(patch[[#This Row],[mergeDate]]))</f>
        <v>16'm9</v>
      </c>
      <c r="V2293" s="7" t="str">
        <f>IF(ISBLANK(patch[[#This Row],[project]]), "",SUM(patch[[#This Row],[BJ -1 num]:[SH -1 num]]))</f>
        <v/>
      </c>
      <c r="W2293" s="7" t="str">
        <f>IF(ISBLANK(patch[[#This Row],[project]]), "",COUNTIFS($A:$A,patch[[#This Row],[number]],$S:$S, "BJ And dev",$AC:$AC, "Review-1"))</f>
        <v/>
      </c>
      <c r="X2293" s="7" t="str">
        <f>IF(ISBLANK(patch[[#This Row],[project]]), "",COUNTIFS($A:$A,patch[[#This Row],[number]],$S:$S, "FL And dev",$AC:$AC, "Review-1"))</f>
        <v/>
      </c>
      <c r="Y2293" s="7" t="str">
        <f>IF(ISBLANK(patch[[#This Row],[project]]), "",COUNTIFS($A:$A,patch[[#This Row],[number]],$S:$S, "SH And dev",$AC:$AC, "Review-1"))</f>
        <v/>
      </c>
      <c r="Z2293" s="7" t="str">
        <f>IF(ISBLANK(patch[[#This Row],[project]]), "",COUNTIFS($A:$A,patch[[#This Row],[number]],$S:$S, "BJ And dev",$AD:$AD, "&lt;&gt;IntegratorValidationComment"))</f>
        <v/>
      </c>
      <c r="AA2293" s="7" t="str">
        <f>IF(ISBLANK(patch[[#This Row],[project]]), "",COUNTIFS($A:$A,patch[[#This Row],[number]],$S:$S, "FL And dev",$AD:$AD, "&lt;&gt;IntegratorValidationComment"))</f>
        <v/>
      </c>
      <c r="AB2293" s="7" t="str">
        <f>IF(ISBLANK(patch[[#This Row],[project]]), "",COUNTIFS($A:$A,patch[[#This Row],[number]],$S:$S, "SH And dev",$AD:$AD, "&lt;&gt;IntegratorValidationComment"))</f>
        <v/>
      </c>
      <c r="AC2293" s="7" t="str">
        <f>IF(OR(ISNUMBER(FIND("Review-1", patch[[#This Row],[comments]])), ISNUMBER(FIND("Approver-1", patch[[#This Row],[comments]]))), "Review-1", "")</f>
        <v/>
      </c>
      <c r="AD22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93" s="7">
        <f>IF(ISBLANK(patch[[#This Row],[number]]),AE2292,patch[[#This Row],[ifCommon]])</f>
        <v>0</v>
      </c>
    </row>
    <row r="2294" spans="1:31">
      <c r="A2294" s="151">
        <v>142709</v>
      </c>
      <c r="B2294" s="151"/>
      <c r="C2294" s="151"/>
      <c r="D2294" s="151"/>
      <c r="E2294" s="151"/>
      <c r="F2294" s="151"/>
      <c r="G2294" s="151"/>
      <c r="H2294" s="151"/>
      <c r="I2294" s="151"/>
      <c r="J2294" s="152">
        <v>42619.714861111112</v>
      </c>
      <c r="K2294" s="151"/>
      <c r="L2294" s="151" t="s">
        <v>72</v>
      </c>
      <c r="M2294" s="152">
        <v>42618.629120370373</v>
      </c>
      <c r="N2294" s="151" t="s">
        <v>2469</v>
      </c>
      <c r="O2294" s="151"/>
      <c r="P2294" s="151"/>
      <c r="Q2294" s="7" t="str">
        <f>IF(ISBLANK(patch[[#This Row],[OwnerEmail]]),Q2293,patch[[#This Row],[OwnerEmail]])</f>
        <v>bin.b.yang@intel.com</v>
      </c>
      <c r="R2294" s="7" t="str">
        <f>_xlfn.IFNA(VLOOKUP(patch[[#This Row],[tmp-owner.email]],OrgTree!$A:$K, 11, 0), "not ICG SWFW")</f>
        <v>BJ And dev</v>
      </c>
      <c r="S2294" s="7" t="str">
        <f>IF(patch[[#This Row],[reviewer]]=patch[[#This Row],[tmp-owner.email]], "author", _xlfn.IFNA(VLOOKUP(patch[[#This Row],[reviewer]],OrgTree!$A:$K, 11, 0), "not ICG SWFW"))</f>
        <v>author</v>
      </c>
      <c r="T2294" s="7" t="str">
        <f>IF(ISBLANK(patch[[#This Row],[mergeDate]]), "", MID(YEAR(patch[[#This Row],[mergeDate]]), 3,2)&amp;"'ww"&amp;WEEKNUM(patch[[#This Row],[mergeDate]]))</f>
        <v>16'ww37</v>
      </c>
      <c r="U2294" s="7" t="str">
        <f>IF(ISBLANK(patch[[#This Row],[mergeDate]]), U2293, MID(YEAR(patch[[#This Row],[mergeDate]]), 3,2)&amp;"'m"&amp;MONTH(patch[[#This Row],[mergeDate]]))</f>
        <v>16'm9</v>
      </c>
      <c r="V2294" s="7" t="str">
        <f>IF(ISBLANK(patch[[#This Row],[project]]), "",SUM(patch[[#This Row],[BJ -1 num]:[SH -1 num]]))</f>
        <v/>
      </c>
      <c r="W2294" s="7" t="str">
        <f>IF(ISBLANK(patch[[#This Row],[project]]), "",COUNTIFS($A:$A,patch[[#This Row],[number]],$S:$S, "BJ And dev",$AC:$AC, "Review-1"))</f>
        <v/>
      </c>
      <c r="X2294" s="7" t="str">
        <f>IF(ISBLANK(patch[[#This Row],[project]]), "",COUNTIFS($A:$A,patch[[#This Row],[number]],$S:$S, "FL And dev",$AC:$AC, "Review-1"))</f>
        <v/>
      </c>
      <c r="Y2294" s="7" t="str">
        <f>IF(ISBLANK(patch[[#This Row],[project]]), "",COUNTIFS($A:$A,patch[[#This Row],[number]],$S:$S, "SH And dev",$AC:$AC, "Review-1"))</f>
        <v/>
      </c>
      <c r="Z2294" s="7" t="str">
        <f>IF(ISBLANK(patch[[#This Row],[project]]), "",COUNTIFS($A:$A,patch[[#This Row],[number]],$S:$S, "BJ And dev",$AD:$AD, "&lt;&gt;IntegratorValidationComment"))</f>
        <v/>
      </c>
      <c r="AA2294" s="7" t="str">
        <f>IF(ISBLANK(patch[[#This Row],[project]]), "",COUNTIFS($A:$A,patch[[#This Row],[number]],$S:$S, "FL And dev",$AD:$AD, "&lt;&gt;IntegratorValidationComment"))</f>
        <v/>
      </c>
      <c r="AB2294" s="7" t="str">
        <f>IF(ISBLANK(patch[[#This Row],[project]]), "",COUNTIFS($A:$A,patch[[#This Row],[number]],$S:$S, "SH And dev",$AD:$AD, "&lt;&gt;IntegratorValidationComment"))</f>
        <v/>
      </c>
      <c r="AC2294" s="7" t="str">
        <f>IF(OR(ISNUMBER(FIND("Review-1", patch[[#This Row],[comments]])), ISNUMBER(FIND("Approver-1", patch[[#This Row],[comments]]))), "Review-1", "")</f>
        <v/>
      </c>
      <c r="AD22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94" s="7">
        <f>IF(ISBLANK(patch[[#This Row],[number]]),AE2293,patch[[#This Row],[ifCommon]])</f>
        <v>0</v>
      </c>
    </row>
    <row r="2295" spans="1:31">
      <c r="A2295" s="151">
        <v>142709</v>
      </c>
      <c r="B2295" s="151"/>
      <c r="C2295" s="151"/>
      <c r="D2295" s="151"/>
      <c r="E2295" s="151"/>
      <c r="F2295" s="151"/>
      <c r="G2295" s="151"/>
      <c r="H2295" s="151"/>
      <c r="I2295" s="151"/>
      <c r="J2295" s="152">
        <v>42619.714861111112</v>
      </c>
      <c r="K2295" s="151"/>
      <c r="L2295" s="151" t="s">
        <v>72</v>
      </c>
      <c r="M2295" s="152">
        <v>42618.630115740743</v>
      </c>
      <c r="N2295" s="151" t="s">
        <v>1859</v>
      </c>
      <c r="O2295" s="151"/>
      <c r="P2295" s="151"/>
      <c r="Q2295" s="7" t="str">
        <f>IF(ISBLANK(patch[[#This Row],[OwnerEmail]]),Q2294,patch[[#This Row],[OwnerEmail]])</f>
        <v>bin.b.yang@intel.com</v>
      </c>
      <c r="R2295" s="7" t="str">
        <f>_xlfn.IFNA(VLOOKUP(patch[[#This Row],[tmp-owner.email]],OrgTree!$A:$K, 11, 0), "not ICG SWFW")</f>
        <v>BJ And dev</v>
      </c>
      <c r="S2295" s="7" t="str">
        <f>IF(patch[[#This Row],[reviewer]]=patch[[#This Row],[tmp-owner.email]], "author", _xlfn.IFNA(VLOOKUP(patch[[#This Row],[reviewer]],OrgTree!$A:$K, 11, 0), "not ICG SWFW"))</f>
        <v>author</v>
      </c>
      <c r="T2295" s="7" t="str">
        <f>IF(ISBLANK(patch[[#This Row],[mergeDate]]), "", MID(YEAR(patch[[#This Row],[mergeDate]]), 3,2)&amp;"'ww"&amp;WEEKNUM(patch[[#This Row],[mergeDate]]))</f>
        <v>16'ww37</v>
      </c>
      <c r="U2295" s="7" t="str">
        <f>IF(ISBLANK(patch[[#This Row],[mergeDate]]), U2294, MID(YEAR(patch[[#This Row],[mergeDate]]), 3,2)&amp;"'m"&amp;MONTH(patch[[#This Row],[mergeDate]]))</f>
        <v>16'm9</v>
      </c>
      <c r="V2295" s="7" t="str">
        <f>IF(ISBLANK(patch[[#This Row],[project]]), "",SUM(patch[[#This Row],[BJ -1 num]:[SH -1 num]]))</f>
        <v/>
      </c>
      <c r="W2295" s="7" t="str">
        <f>IF(ISBLANK(patch[[#This Row],[project]]), "",COUNTIFS($A:$A,patch[[#This Row],[number]],$S:$S, "BJ And dev",$AC:$AC, "Review-1"))</f>
        <v/>
      </c>
      <c r="X2295" s="7" t="str">
        <f>IF(ISBLANK(patch[[#This Row],[project]]), "",COUNTIFS($A:$A,patch[[#This Row],[number]],$S:$S, "FL And dev",$AC:$AC, "Review-1"))</f>
        <v/>
      </c>
      <c r="Y2295" s="7" t="str">
        <f>IF(ISBLANK(patch[[#This Row],[project]]), "",COUNTIFS($A:$A,patch[[#This Row],[number]],$S:$S, "SH And dev",$AC:$AC, "Review-1"))</f>
        <v/>
      </c>
      <c r="Z2295" s="7" t="str">
        <f>IF(ISBLANK(patch[[#This Row],[project]]), "",COUNTIFS($A:$A,patch[[#This Row],[number]],$S:$S, "BJ And dev",$AD:$AD, "&lt;&gt;IntegratorValidationComment"))</f>
        <v/>
      </c>
      <c r="AA2295" s="7" t="str">
        <f>IF(ISBLANK(patch[[#This Row],[project]]), "",COUNTIFS($A:$A,patch[[#This Row],[number]],$S:$S, "FL And dev",$AD:$AD, "&lt;&gt;IntegratorValidationComment"))</f>
        <v/>
      </c>
      <c r="AB2295" s="7" t="str">
        <f>IF(ISBLANK(patch[[#This Row],[project]]), "",COUNTIFS($A:$A,patch[[#This Row],[number]],$S:$S, "SH And dev",$AD:$AD, "&lt;&gt;IntegratorValidationComment"))</f>
        <v/>
      </c>
      <c r="AC2295" s="7" t="str">
        <f>IF(OR(ISNUMBER(FIND("Review-1", patch[[#This Row],[comments]])), ISNUMBER(FIND("Approver-1", patch[[#This Row],[comments]]))), "Review-1", "")</f>
        <v/>
      </c>
      <c r="AD22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95" s="7">
        <f>IF(ISBLANK(patch[[#This Row],[number]]),AE2294,patch[[#This Row],[ifCommon]])</f>
        <v>0</v>
      </c>
    </row>
    <row r="2296" spans="1:31">
      <c r="A2296" s="151">
        <v>142709</v>
      </c>
      <c r="B2296" s="151"/>
      <c r="C2296" s="151"/>
      <c r="D2296" s="151"/>
      <c r="E2296" s="151"/>
      <c r="F2296" s="151"/>
      <c r="G2296" s="151"/>
      <c r="H2296" s="151"/>
      <c r="I2296" s="151"/>
      <c r="J2296" s="152">
        <v>42619.714861111112</v>
      </c>
      <c r="K2296" s="151"/>
      <c r="L2296" s="151" t="s">
        <v>24</v>
      </c>
      <c r="M2296" s="152">
        <v>42618.632002314807</v>
      </c>
      <c r="N2296" s="151" t="s">
        <v>1859</v>
      </c>
      <c r="O2296" s="151"/>
      <c r="P2296" s="151"/>
      <c r="Q2296" s="7" t="str">
        <f>IF(ISBLANK(patch[[#This Row],[OwnerEmail]]),Q2295,patch[[#This Row],[OwnerEmail]])</f>
        <v>bin.b.yang@intel.com</v>
      </c>
      <c r="R2296" s="7" t="str">
        <f>_xlfn.IFNA(VLOOKUP(patch[[#This Row],[tmp-owner.email]],OrgTree!$A:$K, 11, 0), "not ICG SWFW")</f>
        <v>BJ And dev</v>
      </c>
      <c r="S2296" s="7" t="str">
        <f>IF(patch[[#This Row],[reviewer]]=patch[[#This Row],[tmp-owner.email]], "author", _xlfn.IFNA(VLOOKUP(patch[[#This Row],[reviewer]],OrgTree!$A:$K, 11, 0), "not ICG SWFW"))</f>
        <v>BJ And dev</v>
      </c>
      <c r="T2296" s="7" t="str">
        <f>IF(ISBLANK(patch[[#This Row],[mergeDate]]), "", MID(YEAR(patch[[#This Row],[mergeDate]]), 3,2)&amp;"'ww"&amp;WEEKNUM(patch[[#This Row],[mergeDate]]))</f>
        <v>16'ww37</v>
      </c>
      <c r="U2296" s="7" t="str">
        <f>IF(ISBLANK(patch[[#This Row],[mergeDate]]), U2295, MID(YEAR(patch[[#This Row],[mergeDate]]), 3,2)&amp;"'m"&amp;MONTH(patch[[#This Row],[mergeDate]]))</f>
        <v>16'm9</v>
      </c>
      <c r="V2296" s="7" t="str">
        <f>IF(ISBLANK(patch[[#This Row],[project]]), "",SUM(patch[[#This Row],[BJ -1 num]:[SH -1 num]]))</f>
        <v/>
      </c>
      <c r="W2296" s="7" t="str">
        <f>IF(ISBLANK(patch[[#This Row],[project]]), "",COUNTIFS($A:$A,patch[[#This Row],[number]],$S:$S, "BJ And dev",$AC:$AC, "Review-1"))</f>
        <v/>
      </c>
      <c r="X2296" s="7" t="str">
        <f>IF(ISBLANK(patch[[#This Row],[project]]), "",COUNTIFS($A:$A,patch[[#This Row],[number]],$S:$S, "FL And dev",$AC:$AC, "Review-1"))</f>
        <v/>
      </c>
      <c r="Y2296" s="7" t="str">
        <f>IF(ISBLANK(patch[[#This Row],[project]]), "",COUNTIFS($A:$A,patch[[#This Row],[number]],$S:$S, "SH And dev",$AC:$AC, "Review-1"))</f>
        <v/>
      </c>
      <c r="Z2296" s="7" t="str">
        <f>IF(ISBLANK(patch[[#This Row],[project]]), "",COUNTIFS($A:$A,patch[[#This Row],[number]],$S:$S, "BJ And dev",$AD:$AD, "&lt;&gt;IntegratorValidationComment"))</f>
        <v/>
      </c>
      <c r="AA2296" s="7" t="str">
        <f>IF(ISBLANK(patch[[#This Row],[project]]), "",COUNTIFS($A:$A,patch[[#This Row],[number]],$S:$S, "FL And dev",$AD:$AD, "&lt;&gt;IntegratorValidationComment"))</f>
        <v/>
      </c>
      <c r="AB2296" s="7" t="str">
        <f>IF(ISBLANK(patch[[#This Row],[project]]), "",COUNTIFS($A:$A,patch[[#This Row],[number]],$S:$S, "SH And dev",$AD:$AD, "&lt;&gt;IntegratorValidationComment"))</f>
        <v/>
      </c>
      <c r="AC2296" s="7" t="str">
        <f>IF(OR(ISNUMBER(FIND("Review-1", patch[[#This Row],[comments]])), ISNUMBER(FIND("Approver-1", patch[[#This Row],[comments]]))), "Review-1", "")</f>
        <v/>
      </c>
      <c r="AD22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96" s="7">
        <f>IF(ISBLANK(patch[[#This Row],[number]]),AE2295,patch[[#This Row],[ifCommon]])</f>
        <v>0</v>
      </c>
    </row>
    <row r="2297" spans="1:31">
      <c r="A2297" s="151">
        <v>142709</v>
      </c>
      <c r="B2297" s="151"/>
      <c r="C2297" s="151"/>
      <c r="D2297" s="151"/>
      <c r="E2297" s="151"/>
      <c r="F2297" s="151"/>
      <c r="G2297" s="151"/>
      <c r="H2297" s="151"/>
      <c r="I2297" s="151"/>
      <c r="J2297" s="152">
        <v>42619.714861111112</v>
      </c>
      <c r="K2297" s="151"/>
      <c r="L2297" s="151" t="s">
        <v>24</v>
      </c>
      <c r="M2297" s="152">
        <v>42618.632071759261</v>
      </c>
      <c r="N2297" s="151" t="s">
        <v>2567</v>
      </c>
      <c r="O2297" s="151"/>
      <c r="P2297" s="151"/>
      <c r="Q2297" s="7" t="str">
        <f>IF(ISBLANK(patch[[#This Row],[OwnerEmail]]),Q2296,patch[[#This Row],[OwnerEmail]])</f>
        <v>bin.b.yang@intel.com</v>
      </c>
      <c r="R2297" s="7" t="str">
        <f>_xlfn.IFNA(VLOOKUP(patch[[#This Row],[tmp-owner.email]],OrgTree!$A:$K, 11, 0), "not ICG SWFW")</f>
        <v>BJ And dev</v>
      </c>
      <c r="S2297" s="7" t="str">
        <f>IF(patch[[#This Row],[reviewer]]=patch[[#This Row],[tmp-owner.email]], "author", _xlfn.IFNA(VLOOKUP(patch[[#This Row],[reviewer]],OrgTree!$A:$K, 11, 0), "not ICG SWFW"))</f>
        <v>BJ And dev</v>
      </c>
      <c r="T2297" s="7" t="str">
        <f>IF(ISBLANK(patch[[#This Row],[mergeDate]]), "", MID(YEAR(patch[[#This Row],[mergeDate]]), 3,2)&amp;"'ww"&amp;WEEKNUM(patch[[#This Row],[mergeDate]]))</f>
        <v>16'ww37</v>
      </c>
      <c r="U2297" s="7" t="str">
        <f>IF(ISBLANK(patch[[#This Row],[mergeDate]]), U2296, MID(YEAR(patch[[#This Row],[mergeDate]]), 3,2)&amp;"'m"&amp;MONTH(patch[[#This Row],[mergeDate]]))</f>
        <v>16'm9</v>
      </c>
      <c r="V2297" s="7" t="str">
        <f>IF(ISBLANK(patch[[#This Row],[project]]), "",SUM(patch[[#This Row],[BJ -1 num]:[SH -1 num]]))</f>
        <v/>
      </c>
      <c r="W2297" s="7" t="str">
        <f>IF(ISBLANK(patch[[#This Row],[project]]), "",COUNTIFS($A:$A,patch[[#This Row],[number]],$S:$S, "BJ And dev",$AC:$AC, "Review-1"))</f>
        <v/>
      </c>
      <c r="X2297" s="7" t="str">
        <f>IF(ISBLANK(patch[[#This Row],[project]]), "",COUNTIFS($A:$A,patch[[#This Row],[number]],$S:$S, "FL And dev",$AC:$AC, "Review-1"))</f>
        <v/>
      </c>
      <c r="Y2297" s="7" t="str">
        <f>IF(ISBLANK(patch[[#This Row],[project]]), "",COUNTIFS($A:$A,patch[[#This Row],[number]],$S:$S, "SH And dev",$AC:$AC, "Review-1"))</f>
        <v/>
      </c>
      <c r="Z2297" s="7" t="str">
        <f>IF(ISBLANK(patch[[#This Row],[project]]), "",COUNTIFS($A:$A,patch[[#This Row],[number]],$S:$S, "BJ And dev",$AD:$AD, "&lt;&gt;IntegratorValidationComment"))</f>
        <v/>
      </c>
      <c r="AA2297" s="7" t="str">
        <f>IF(ISBLANK(patch[[#This Row],[project]]), "",COUNTIFS($A:$A,patch[[#This Row],[number]],$S:$S, "FL And dev",$AD:$AD, "&lt;&gt;IntegratorValidationComment"))</f>
        <v/>
      </c>
      <c r="AB2297" s="7" t="str">
        <f>IF(ISBLANK(patch[[#This Row],[project]]), "",COUNTIFS($A:$A,patch[[#This Row],[number]],$S:$S, "SH And dev",$AD:$AD, "&lt;&gt;IntegratorValidationComment"))</f>
        <v/>
      </c>
      <c r="AC2297" s="7" t="str">
        <f>IF(OR(ISNUMBER(FIND("Review-1", patch[[#This Row],[comments]])), ISNUMBER(FIND("Approver-1", patch[[#This Row],[comments]]))), "Review-1", "")</f>
        <v/>
      </c>
      <c r="AD22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97" s="7">
        <f>IF(ISBLANK(patch[[#This Row],[number]]),AE2296,patch[[#This Row],[ifCommon]])</f>
        <v>0</v>
      </c>
    </row>
    <row r="2298" spans="1:31">
      <c r="A2298" s="151">
        <v>142709</v>
      </c>
      <c r="B2298" s="151"/>
      <c r="C2298" s="151"/>
      <c r="D2298" s="151"/>
      <c r="E2298" s="151"/>
      <c r="F2298" s="151"/>
      <c r="G2298" s="151"/>
      <c r="H2298" s="151"/>
      <c r="I2298" s="151"/>
      <c r="J2298" s="152">
        <v>42619.714861111112</v>
      </c>
      <c r="K2298" s="151"/>
      <c r="L2298" s="151" t="s">
        <v>1237</v>
      </c>
      <c r="M2298" s="152">
        <v>42618.634282407409</v>
      </c>
      <c r="N2298" s="151" t="s">
        <v>1859</v>
      </c>
      <c r="O2298" s="151"/>
      <c r="P2298" s="151"/>
      <c r="Q2298" s="7" t="str">
        <f>IF(ISBLANK(patch[[#This Row],[OwnerEmail]]),Q2297,patch[[#This Row],[OwnerEmail]])</f>
        <v>bin.b.yang@intel.com</v>
      </c>
      <c r="R2298" s="7" t="str">
        <f>_xlfn.IFNA(VLOOKUP(patch[[#This Row],[tmp-owner.email]],OrgTree!$A:$K, 11, 0), "not ICG SWFW")</f>
        <v>BJ And dev</v>
      </c>
      <c r="S2298" s="7" t="str">
        <f>IF(patch[[#This Row],[reviewer]]=patch[[#This Row],[tmp-owner.email]], "author", _xlfn.IFNA(VLOOKUP(patch[[#This Row],[reviewer]],OrgTree!$A:$K, 11, 0), "not ICG SWFW"))</f>
        <v>BJ And dev</v>
      </c>
      <c r="T2298" s="7" t="str">
        <f>IF(ISBLANK(patch[[#This Row],[mergeDate]]), "", MID(YEAR(patch[[#This Row],[mergeDate]]), 3,2)&amp;"'ww"&amp;WEEKNUM(patch[[#This Row],[mergeDate]]))</f>
        <v>16'ww37</v>
      </c>
      <c r="U2298" s="7" t="str">
        <f>IF(ISBLANK(patch[[#This Row],[mergeDate]]), U2297, MID(YEAR(patch[[#This Row],[mergeDate]]), 3,2)&amp;"'m"&amp;MONTH(patch[[#This Row],[mergeDate]]))</f>
        <v>16'm9</v>
      </c>
      <c r="V2298" s="7" t="str">
        <f>IF(ISBLANK(patch[[#This Row],[project]]), "",SUM(patch[[#This Row],[BJ -1 num]:[SH -1 num]]))</f>
        <v/>
      </c>
      <c r="W2298" s="7" t="str">
        <f>IF(ISBLANK(patch[[#This Row],[project]]), "",COUNTIFS($A:$A,patch[[#This Row],[number]],$S:$S, "BJ And dev",$AC:$AC, "Review-1"))</f>
        <v/>
      </c>
      <c r="X2298" s="7" t="str">
        <f>IF(ISBLANK(patch[[#This Row],[project]]), "",COUNTIFS($A:$A,patch[[#This Row],[number]],$S:$S, "FL And dev",$AC:$AC, "Review-1"))</f>
        <v/>
      </c>
      <c r="Y2298" s="7" t="str">
        <f>IF(ISBLANK(patch[[#This Row],[project]]), "",COUNTIFS($A:$A,patch[[#This Row],[number]],$S:$S, "SH And dev",$AC:$AC, "Review-1"))</f>
        <v/>
      </c>
      <c r="Z2298" s="7" t="str">
        <f>IF(ISBLANK(patch[[#This Row],[project]]), "",COUNTIFS($A:$A,patch[[#This Row],[number]],$S:$S, "BJ And dev",$AD:$AD, "&lt;&gt;IntegratorValidationComment"))</f>
        <v/>
      </c>
      <c r="AA2298" s="7" t="str">
        <f>IF(ISBLANK(patch[[#This Row],[project]]), "",COUNTIFS($A:$A,patch[[#This Row],[number]],$S:$S, "FL And dev",$AD:$AD, "&lt;&gt;IntegratorValidationComment"))</f>
        <v/>
      </c>
      <c r="AB2298" s="7" t="str">
        <f>IF(ISBLANK(patch[[#This Row],[project]]), "",COUNTIFS($A:$A,patch[[#This Row],[number]],$S:$S, "SH And dev",$AD:$AD, "&lt;&gt;IntegratorValidationComment"))</f>
        <v/>
      </c>
      <c r="AC2298" s="7" t="str">
        <f>IF(OR(ISNUMBER(FIND("Review-1", patch[[#This Row],[comments]])), ISNUMBER(FIND("Approver-1", patch[[#This Row],[comments]]))), "Review-1", "")</f>
        <v/>
      </c>
      <c r="AD22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98" s="7">
        <f>IF(ISBLANK(patch[[#This Row],[number]]),AE2297,patch[[#This Row],[ifCommon]])</f>
        <v>0</v>
      </c>
    </row>
    <row r="2299" spans="1:31">
      <c r="A2299" s="151">
        <v>142709</v>
      </c>
      <c r="B2299" s="151"/>
      <c r="C2299" s="151"/>
      <c r="D2299" s="151"/>
      <c r="E2299" s="151"/>
      <c r="F2299" s="151"/>
      <c r="G2299" s="151"/>
      <c r="H2299" s="151"/>
      <c r="I2299" s="151"/>
      <c r="J2299" s="152">
        <v>42619.714861111112</v>
      </c>
      <c r="K2299" s="151"/>
      <c r="L2299" s="151" t="s">
        <v>59</v>
      </c>
      <c r="M2299" s="152">
        <v>42618.65415509259</v>
      </c>
      <c r="N2299" s="151" t="s">
        <v>3724</v>
      </c>
      <c r="O2299" s="151"/>
      <c r="P2299" s="151"/>
      <c r="Q2299" s="7" t="str">
        <f>IF(ISBLANK(patch[[#This Row],[OwnerEmail]]),Q2298,patch[[#This Row],[OwnerEmail]])</f>
        <v>bin.b.yang@intel.com</v>
      </c>
      <c r="R2299" s="7" t="str">
        <f>_xlfn.IFNA(VLOOKUP(patch[[#This Row],[tmp-owner.email]],OrgTree!$A:$K, 11, 0), "not ICG SWFW")</f>
        <v>BJ And dev</v>
      </c>
      <c r="S2299" s="7" t="str">
        <f>IF(patch[[#This Row],[reviewer]]=patch[[#This Row],[tmp-owner.email]], "author", _xlfn.IFNA(VLOOKUP(patch[[#This Row],[reviewer]],OrgTree!$A:$K, 11, 0), "not ICG SWFW"))</f>
        <v>BJ And dev</v>
      </c>
      <c r="T2299" s="7" t="str">
        <f>IF(ISBLANK(patch[[#This Row],[mergeDate]]), "", MID(YEAR(patch[[#This Row],[mergeDate]]), 3,2)&amp;"'ww"&amp;WEEKNUM(patch[[#This Row],[mergeDate]]))</f>
        <v>16'ww37</v>
      </c>
      <c r="U2299" s="7" t="str">
        <f>IF(ISBLANK(patch[[#This Row],[mergeDate]]), U2298, MID(YEAR(patch[[#This Row],[mergeDate]]), 3,2)&amp;"'m"&amp;MONTH(patch[[#This Row],[mergeDate]]))</f>
        <v>16'm9</v>
      </c>
      <c r="V2299" s="7" t="str">
        <f>IF(ISBLANK(patch[[#This Row],[project]]), "",SUM(patch[[#This Row],[BJ -1 num]:[SH -1 num]]))</f>
        <v/>
      </c>
      <c r="W2299" s="7" t="str">
        <f>IF(ISBLANK(patch[[#This Row],[project]]), "",COUNTIFS($A:$A,patch[[#This Row],[number]],$S:$S, "BJ And dev",$AC:$AC, "Review-1"))</f>
        <v/>
      </c>
      <c r="X2299" s="7" t="str">
        <f>IF(ISBLANK(patch[[#This Row],[project]]), "",COUNTIFS($A:$A,patch[[#This Row],[number]],$S:$S, "FL And dev",$AC:$AC, "Review-1"))</f>
        <v/>
      </c>
      <c r="Y2299" s="7" t="str">
        <f>IF(ISBLANK(patch[[#This Row],[project]]), "",COUNTIFS($A:$A,patch[[#This Row],[number]],$S:$S, "SH And dev",$AC:$AC, "Review-1"))</f>
        <v/>
      </c>
      <c r="Z2299" s="7" t="str">
        <f>IF(ISBLANK(patch[[#This Row],[project]]), "",COUNTIFS($A:$A,patch[[#This Row],[number]],$S:$S, "BJ And dev",$AD:$AD, "&lt;&gt;IntegratorValidationComment"))</f>
        <v/>
      </c>
      <c r="AA2299" s="7" t="str">
        <f>IF(ISBLANK(patch[[#This Row],[project]]), "",COUNTIFS($A:$A,patch[[#This Row],[number]],$S:$S, "FL And dev",$AD:$AD, "&lt;&gt;IntegratorValidationComment"))</f>
        <v/>
      </c>
      <c r="AB2299" s="7" t="str">
        <f>IF(ISBLANK(patch[[#This Row],[project]]), "",COUNTIFS($A:$A,patch[[#This Row],[number]],$S:$S, "SH And dev",$AD:$AD, "&lt;&gt;IntegratorValidationComment"))</f>
        <v/>
      </c>
      <c r="AC2299" s="7" t="str">
        <f>IF(OR(ISNUMBER(FIND("Review-1", patch[[#This Row],[comments]])), ISNUMBER(FIND("Approver-1", patch[[#This Row],[comments]]))), "Review-1", "")</f>
        <v/>
      </c>
      <c r="AD22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299" s="7">
        <f>IF(ISBLANK(patch[[#This Row],[number]]),AE2298,patch[[#This Row],[ifCommon]])</f>
        <v>0</v>
      </c>
    </row>
    <row r="2300" spans="1:31">
      <c r="A2300" s="151">
        <v>142709</v>
      </c>
      <c r="B2300" s="151"/>
      <c r="C2300" s="151"/>
      <c r="D2300" s="151"/>
      <c r="E2300" s="151"/>
      <c r="F2300" s="151"/>
      <c r="G2300" s="151"/>
      <c r="H2300" s="151"/>
      <c r="I2300" s="151"/>
      <c r="J2300" s="152">
        <v>42619.714861111112</v>
      </c>
      <c r="K2300" s="151"/>
      <c r="L2300" s="151" t="s">
        <v>59</v>
      </c>
      <c r="M2300" s="152">
        <v>42618.661249999997</v>
      </c>
      <c r="N2300" s="151" t="s">
        <v>3725</v>
      </c>
      <c r="O2300" s="151"/>
      <c r="P2300" s="151"/>
      <c r="Q2300" s="7" t="str">
        <f>IF(ISBLANK(patch[[#This Row],[OwnerEmail]]),Q2299,patch[[#This Row],[OwnerEmail]])</f>
        <v>bin.b.yang@intel.com</v>
      </c>
      <c r="R2300" s="7" t="str">
        <f>_xlfn.IFNA(VLOOKUP(patch[[#This Row],[tmp-owner.email]],OrgTree!$A:$K, 11, 0), "not ICG SWFW")</f>
        <v>BJ And dev</v>
      </c>
      <c r="S2300" s="7" t="str">
        <f>IF(patch[[#This Row],[reviewer]]=patch[[#This Row],[tmp-owner.email]], "author", _xlfn.IFNA(VLOOKUP(patch[[#This Row],[reviewer]],OrgTree!$A:$K, 11, 0), "not ICG SWFW"))</f>
        <v>BJ And dev</v>
      </c>
      <c r="T2300" s="7" t="str">
        <f>IF(ISBLANK(patch[[#This Row],[mergeDate]]), "", MID(YEAR(patch[[#This Row],[mergeDate]]), 3,2)&amp;"'ww"&amp;WEEKNUM(patch[[#This Row],[mergeDate]]))</f>
        <v>16'ww37</v>
      </c>
      <c r="U2300" s="7" t="str">
        <f>IF(ISBLANK(patch[[#This Row],[mergeDate]]), U2299, MID(YEAR(patch[[#This Row],[mergeDate]]), 3,2)&amp;"'m"&amp;MONTH(patch[[#This Row],[mergeDate]]))</f>
        <v>16'm9</v>
      </c>
      <c r="V2300" s="7" t="str">
        <f>IF(ISBLANK(patch[[#This Row],[project]]), "",SUM(patch[[#This Row],[BJ -1 num]:[SH -1 num]]))</f>
        <v/>
      </c>
      <c r="W2300" s="7" t="str">
        <f>IF(ISBLANK(patch[[#This Row],[project]]), "",COUNTIFS($A:$A,patch[[#This Row],[number]],$S:$S, "BJ And dev",$AC:$AC, "Review-1"))</f>
        <v/>
      </c>
      <c r="X2300" s="7" t="str">
        <f>IF(ISBLANK(patch[[#This Row],[project]]), "",COUNTIFS($A:$A,patch[[#This Row],[number]],$S:$S, "FL And dev",$AC:$AC, "Review-1"))</f>
        <v/>
      </c>
      <c r="Y2300" s="7" t="str">
        <f>IF(ISBLANK(patch[[#This Row],[project]]), "",COUNTIFS($A:$A,patch[[#This Row],[number]],$S:$S, "SH And dev",$AC:$AC, "Review-1"))</f>
        <v/>
      </c>
      <c r="Z2300" s="7" t="str">
        <f>IF(ISBLANK(patch[[#This Row],[project]]), "",COUNTIFS($A:$A,patch[[#This Row],[number]],$S:$S, "BJ And dev",$AD:$AD, "&lt;&gt;IntegratorValidationComment"))</f>
        <v/>
      </c>
      <c r="AA2300" s="7" t="str">
        <f>IF(ISBLANK(patch[[#This Row],[project]]), "",COUNTIFS($A:$A,patch[[#This Row],[number]],$S:$S, "FL And dev",$AD:$AD, "&lt;&gt;IntegratorValidationComment"))</f>
        <v/>
      </c>
      <c r="AB2300" s="7" t="str">
        <f>IF(ISBLANK(patch[[#This Row],[project]]), "",COUNTIFS($A:$A,patch[[#This Row],[number]],$S:$S, "SH And dev",$AD:$AD, "&lt;&gt;IntegratorValidationComment"))</f>
        <v/>
      </c>
      <c r="AC2300" s="7" t="str">
        <f>IF(OR(ISNUMBER(FIND("Review-1", patch[[#This Row],[comments]])), ISNUMBER(FIND("Approver-1", patch[[#This Row],[comments]]))), "Review-1", "")</f>
        <v/>
      </c>
      <c r="AD23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00" s="7">
        <f>IF(ISBLANK(patch[[#This Row],[number]]),AE2299,patch[[#This Row],[ifCommon]])</f>
        <v>0</v>
      </c>
    </row>
    <row r="2301" spans="1:31">
      <c r="A2301" s="151">
        <v>142709</v>
      </c>
      <c r="B2301" s="151"/>
      <c r="C2301" s="151"/>
      <c r="D2301" s="151"/>
      <c r="E2301" s="151"/>
      <c r="F2301" s="151"/>
      <c r="G2301" s="151"/>
      <c r="H2301" s="151"/>
      <c r="I2301" s="151"/>
      <c r="J2301" s="152">
        <v>42619.714861111112</v>
      </c>
      <c r="K2301" s="151"/>
      <c r="L2301" s="151" t="s">
        <v>2785</v>
      </c>
      <c r="M2301" s="152">
        <v>42618.725370370368</v>
      </c>
      <c r="N2301" s="151" t="s">
        <v>3726</v>
      </c>
      <c r="O2301" s="151"/>
      <c r="P2301" s="151"/>
      <c r="Q2301" s="7" t="str">
        <f>IF(ISBLANK(patch[[#This Row],[OwnerEmail]]),Q2300,patch[[#This Row],[OwnerEmail]])</f>
        <v>bin.b.yang@intel.com</v>
      </c>
      <c r="R2301" s="7" t="str">
        <f>_xlfn.IFNA(VLOOKUP(patch[[#This Row],[tmp-owner.email]],OrgTree!$A:$K, 11, 0), "not ICG SWFW")</f>
        <v>BJ And dev</v>
      </c>
      <c r="S2301" s="7" t="str">
        <f>IF(patch[[#This Row],[reviewer]]=patch[[#This Row],[tmp-owner.email]], "author", _xlfn.IFNA(VLOOKUP(patch[[#This Row],[reviewer]],OrgTree!$A:$K, 11, 0), "not ICG SWFW"))</f>
        <v>not ICG SWFW</v>
      </c>
      <c r="T2301" s="7" t="str">
        <f>IF(ISBLANK(patch[[#This Row],[mergeDate]]), "", MID(YEAR(patch[[#This Row],[mergeDate]]), 3,2)&amp;"'ww"&amp;WEEKNUM(patch[[#This Row],[mergeDate]]))</f>
        <v>16'ww37</v>
      </c>
      <c r="U2301" s="7" t="str">
        <f>IF(ISBLANK(patch[[#This Row],[mergeDate]]), U2300, MID(YEAR(patch[[#This Row],[mergeDate]]), 3,2)&amp;"'m"&amp;MONTH(patch[[#This Row],[mergeDate]]))</f>
        <v>16'm9</v>
      </c>
      <c r="V2301" s="7" t="str">
        <f>IF(ISBLANK(patch[[#This Row],[project]]), "",SUM(patch[[#This Row],[BJ -1 num]:[SH -1 num]]))</f>
        <v/>
      </c>
      <c r="W2301" s="7" t="str">
        <f>IF(ISBLANK(patch[[#This Row],[project]]), "",COUNTIFS($A:$A,patch[[#This Row],[number]],$S:$S, "BJ And dev",$AC:$AC, "Review-1"))</f>
        <v/>
      </c>
      <c r="X2301" s="7" t="str">
        <f>IF(ISBLANK(patch[[#This Row],[project]]), "",COUNTIFS($A:$A,patch[[#This Row],[number]],$S:$S, "FL And dev",$AC:$AC, "Review-1"))</f>
        <v/>
      </c>
      <c r="Y2301" s="7" t="str">
        <f>IF(ISBLANK(patch[[#This Row],[project]]), "",COUNTIFS($A:$A,patch[[#This Row],[number]],$S:$S, "SH And dev",$AC:$AC, "Review-1"))</f>
        <v/>
      </c>
      <c r="Z2301" s="7" t="str">
        <f>IF(ISBLANK(patch[[#This Row],[project]]), "",COUNTIFS($A:$A,patch[[#This Row],[number]],$S:$S, "BJ And dev",$AD:$AD, "&lt;&gt;IntegratorValidationComment"))</f>
        <v/>
      </c>
      <c r="AA2301" s="7" t="str">
        <f>IF(ISBLANK(patch[[#This Row],[project]]), "",COUNTIFS($A:$A,patch[[#This Row],[number]],$S:$S, "FL And dev",$AD:$AD, "&lt;&gt;IntegratorValidationComment"))</f>
        <v/>
      </c>
      <c r="AB2301" s="7" t="str">
        <f>IF(ISBLANK(patch[[#This Row],[project]]), "",COUNTIFS($A:$A,patch[[#This Row],[number]],$S:$S, "SH And dev",$AD:$AD, "&lt;&gt;IntegratorValidationComment"))</f>
        <v/>
      </c>
      <c r="AC2301" s="7" t="str">
        <f>IF(OR(ISNUMBER(FIND("Review-1", patch[[#This Row],[comments]])), ISNUMBER(FIND("Approver-1", patch[[#This Row],[comments]]))), "Review-1", "")</f>
        <v/>
      </c>
      <c r="AD23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01" s="7">
        <f>IF(ISBLANK(patch[[#This Row],[number]]),AE2300,patch[[#This Row],[ifCommon]])</f>
        <v>0</v>
      </c>
    </row>
    <row r="2302" spans="1:31">
      <c r="A2302" s="151">
        <v>142709</v>
      </c>
      <c r="B2302" s="151"/>
      <c r="C2302" s="151"/>
      <c r="D2302" s="151"/>
      <c r="E2302" s="151"/>
      <c r="F2302" s="151"/>
      <c r="G2302" s="151"/>
      <c r="H2302" s="151"/>
      <c r="I2302" s="151"/>
      <c r="J2302" s="152">
        <v>42619.714861111112</v>
      </c>
      <c r="K2302" s="151"/>
      <c r="L2302" s="151" t="s">
        <v>115</v>
      </c>
      <c r="M2302" s="152">
        <v>42619.428020833337</v>
      </c>
      <c r="N2302" s="151" t="s">
        <v>2531</v>
      </c>
      <c r="O2302" s="151"/>
      <c r="P2302" s="151"/>
      <c r="Q2302" s="7" t="str">
        <f>IF(ISBLANK(patch[[#This Row],[OwnerEmail]]),Q2301,patch[[#This Row],[OwnerEmail]])</f>
        <v>bin.b.yang@intel.com</v>
      </c>
      <c r="R2302" s="7" t="str">
        <f>_xlfn.IFNA(VLOOKUP(patch[[#This Row],[tmp-owner.email]],OrgTree!$A:$K, 11, 0), "not ICG SWFW")</f>
        <v>BJ And dev</v>
      </c>
      <c r="S2302" s="7" t="str">
        <f>IF(patch[[#This Row],[reviewer]]=patch[[#This Row],[tmp-owner.email]], "author", _xlfn.IFNA(VLOOKUP(patch[[#This Row],[reviewer]],OrgTree!$A:$K, 11, 0), "not ICG SWFW"))</f>
        <v>Val</v>
      </c>
      <c r="T2302" s="7" t="str">
        <f>IF(ISBLANK(patch[[#This Row],[mergeDate]]), "", MID(YEAR(patch[[#This Row],[mergeDate]]), 3,2)&amp;"'ww"&amp;WEEKNUM(patch[[#This Row],[mergeDate]]))</f>
        <v>16'ww37</v>
      </c>
      <c r="U2302" s="7" t="str">
        <f>IF(ISBLANK(patch[[#This Row],[mergeDate]]), U2301, MID(YEAR(patch[[#This Row],[mergeDate]]), 3,2)&amp;"'m"&amp;MONTH(patch[[#This Row],[mergeDate]]))</f>
        <v>16'm9</v>
      </c>
      <c r="V2302" s="7" t="str">
        <f>IF(ISBLANK(patch[[#This Row],[project]]), "",SUM(patch[[#This Row],[BJ -1 num]:[SH -1 num]]))</f>
        <v/>
      </c>
      <c r="W2302" s="7" t="str">
        <f>IF(ISBLANK(patch[[#This Row],[project]]), "",COUNTIFS($A:$A,patch[[#This Row],[number]],$S:$S, "BJ And dev",$AC:$AC, "Review-1"))</f>
        <v/>
      </c>
      <c r="X2302" s="7" t="str">
        <f>IF(ISBLANK(patch[[#This Row],[project]]), "",COUNTIFS($A:$A,patch[[#This Row],[number]],$S:$S, "FL And dev",$AC:$AC, "Review-1"))</f>
        <v/>
      </c>
      <c r="Y2302" s="7" t="str">
        <f>IF(ISBLANK(patch[[#This Row],[project]]), "",COUNTIFS($A:$A,patch[[#This Row],[number]],$S:$S, "SH And dev",$AC:$AC, "Review-1"))</f>
        <v/>
      </c>
      <c r="Z2302" s="7" t="str">
        <f>IF(ISBLANK(patch[[#This Row],[project]]), "",COUNTIFS($A:$A,patch[[#This Row],[number]],$S:$S, "BJ And dev",$AD:$AD, "&lt;&gt;IntegratorValidationComment"))</f>
        <v/>
      </c>
      <c r="AA2302" s="7" t="str">
        <f>IF(ISBLANK(patch[[#This Row],[project]]), "",COUNTIFS($A:$A,patch[[#This Row],[number]],$S:$S, "FL And dev",$AD:$AD, "&lt;&gt;IntegratorValidationComment"))</f>
        <v/>
      </c>
      <c r="AB2302" s="7" t="str">
        <f>IF(ISBLANK(patch[[#This Row],[project]]), "",COUNTIFS($A:$A,patch[[#This Row],[number]],$S:$S, "SH And dev",$AD:$AD, "&lt;&gt;IntegratorValidationComment"))</f>
        <v/>
      </c>
      <c r="AC2302" s="7" t="str">
        <f>IF(OR(ISNUMBER(FIND("Review-1", patch[[#This Row],[comments]])), ISNUMBER(FIND("Approver-1", patch[[#This Row],[comments]]))), "Review-1", "")</f>
        <v/>
      </c>
      <c r="AD23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302" s="7">
        <f>IF(ISBLANK(patch[[#This Row],[number]]),AE2301,patch[[#This Row],[ifCommon]])</f>
        <v>0</v>
      </c>
    </row>
    <row r="2303" spans="1:31">
      <c r="A2303" s="151">
        <v>143300</v>
      </c>
      <c r="B2303" s="151" t="s">
        <v>2490</v>
      </c>
      <c r="C2303" s="151" t="s">
        <v>2491</v>
      </c>
      <c r="D2303" s="151" t="s">
        <v>3727</v>
      </c>
      <c r="E2303" s="151" t="s">
        <v>61</v>
      </c>
      <c r="F2303" s="151" t="s">
        <v>23</v>
      </c>
      <c r="G2303" s="151" t="s">
        <v>3728</v>
      </c>
      <c r="H2303" s="151" t="s">
        <v>3729</v>
      </c>
      <c r="I2303" s="152">
        <v>42618.586041666669</v>
      </c>
      <c r="J2303" s="152">
        <v>42619.714814814812</v>
      </c>
      <c r="K2303" s="151" t="s">
        <v>2445</v>
      </c>
      <c r="L2303" s="151" t="s">
        <v>61</v>
      </c>
      <c r="M2303" s="152">
        <v>42618.586041666669</v>
      </c>
      <c r="N2303" s="151" t="s">
        <v>2428</v>
      </c>
      <c r="O2303" s="151"/>
      <c r="P2303" s="151" t="s">
        <v>2554</v>
      </c>
      <c r="Q2303" s="7" t="str">
        <f>IF(ISBLANK(patch[[#This Row],[OwnerEmail]]),Q2302,patch[[#This Row],[OwnerEmail]])</f>
        <v>john.mathew@intel.com</v>
      </c>
      <c r="R2303" s="7" t="str">
        <f>_xlfn.IFNA(VLOOKUP(patch[[#This Row],[tmp-owner.email]],OrgTree!$A:$K, 11, 0), "not ICG SWFW")</f>
        <v>FL And dev</v>
      </c>
      <c r="S2303" s="7" t="str">
        <f>IF(patch[[#This Row],[reviewer]]=patch[[#This Row],[tmp-owner.email]], "author", _xlfn.IFNA(VLOOKUP(patch[[#This Row],[reviewer]],OrgTree!$A:$K, 11, 0), "not ICG SWFW"))</f>
        <v>author</v>
      </c>
      <c r="T2303" s="7" t="str">
        <f>IF(ISBLANK(patch[[#This Row],[mergeDate]]), "", MID(YEAR(patch[[#This Row],[mergeDate]]), 3,2)&amp;"'ww"&amp;WEEKNUM(patch[[#This Row],[mergeDate]]))</f>
        <v>16'ww37</v>
      </c>
      <c r="U2303" s="7" t="str">
        <f>IF(ISBLANK(patch[[#This Row],[mergeDate]]), U2302, MID(YEAR(patch[[#This Row],[mergeDate]]), 3,2)&amp;"'m"&amp;MONTH(patch[[#This Row],[mergeDate]]))</f>
        <v>16'm9</v>
      </c>
      <c r="V2303" s="7">
        <f>IF(ISBLANK(patch[[#This Row],[project]]), "",SUM(patch[[#This Row],[BJ -1 num]:[SH -1 num]]))</f>
        <v>0</v>
      </c>
      <c r="W2303" s="7">
        <f>IF(ISBLANK(patch[[#This Row],[project]]), "",COUNTIFS($A:$A,patch[[#This Row],[number]],$S:$S, "BJ And dev",$AC:$AC, "Review-1"))</f>
        <v>0</v>
      </c>
      <c r="X2303" s="7">
        <f>IF(ISBLANK(patch[[#This Row],[project]]), "",COUNTIFS($A:$A,patch[[#This Row],[number]],$S:$S, "FL And dev",$AC:$AC, "Review-1"))</f>
        <v>0</v>
      </c>
      <c r="Y2303" s="7">
        <f>IF(ISBLANK(patch[[#This Row],[project]]), "",COUNTIFS($A:$A,patch[[#This Row],[number]],$S:$S, "SH And dev",$AC:$AC, "Review-1"))</f>
        <v>0</v>
      </c>
      <c r="Z2303" s="7">
        <f>IF(ISBLANK(patch[[#This Row],[project]]), "",COUNTIFS($A:$A,patch[[#This Row],[number]],$S:$S, "BJ And dev",$AD:$AD, "&lt;&gt;IntegratorValidationComment"))</f>
        <v>6</v>
      </c>
      <c r="AA2303" s="7">
        <f>IF(ISBLANK(patch[[#This Row],[project]]), "",COUNTIFS($A:$A,patch[[#This Row],[number]],$S:$S, "FL And dev",$AD:$AD, "&lt;&gt;IntegratorValidationComment"))</f>
        <v>0</v>
      </c>
      <c r="AB2303" s="7">
        <f>IF(ISBLANK(patch[[#This Row],[project]]), "",COUNTIFS($A:$A,patch[[#This Row],[number]],$S:$S, "SH And dev",$AD:$AD, "&lt;&gt;IntegratorValidationComment"))</f>
        <v>0</v>
      </c>
      <c r="AC2303" s="7" t="str">
        <f>IF(OR(ISNUMBER(FIND("Review-1", patch[[#This Row],[comments]])), ISNUMBER(FIND("Approver-1", patch[[#This Row],[comments]]))), "Review-1", "")</f>
        <v/>
      </c>
      <c r="AD23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03" s="7" t="str">
        <f>IF(ISBLANK(patch[[#This Row],[number]]),AE2302,patch[[#This Row],[ifCommon]])</f>
        <v>not AndrHAL</v>
      </c>
    </row>
    <row r="2304" spans="1:31">
      <c r="A2304" s="151">
        <v>143300</v>
      </c>
      <c r="B2304" s="151"/>
      <c r="C2304" s="151"/>
      <c r="D2304" s="151"/>
      <c r="E2304" s="151"/>
      <c r="F2304" s="151"/>
      <c r="G2304" s="151"/>
      <c r="H2304" s="151"/>
      <c r="I2304" s="151"/>
      <c r="J2304" s="152">
        <v>42619.714814814812</v>
      </c>
      <c r="K2304" s="151"/>
      <c r="L2304" s="151" t="s">
        <v>61</v>
      </c>
      <c r="M2304" s="152">
        <v>42618.586041666669</v>
      </c>
      <c r="N2304" s="151" t="s">
        <v>25</v>
      </c>
      <c r="O2304" s="151"/>
      <c r="P2304" s="151"/>
      <c r="Q2304" s="7" t="str">
        <f>IF(ISBLANK(patch[[#This Row],[OwnerEmail]]),Q2303,patch[[#This Row],[OwnerEmail]])</f>
        <v>john.mathew@intel.com</v>
      </c>
      <c r="R2304" s="7" t="str">
        <f>_xlfn.IFNA(VLOOKUP(patch[[#This Row],[tmp-owner.email]],OrgTree!$A:$K, 11, 0), "not ICG SWFW")</f>
        <v>FL And dev</v>
      </c>
      <c r="S2304" s="7" t="str">
        <f>IF(patch[[#This Row],[reviewer]]=patch[[#This Row],[tmp-owner.email]], "author", _xlfn.IFNA(VLOOKUP(patch[[#This Row],[reviewer]],OrgTree!$A:$K, 11, 0), "not ICG SWFW"))</f>
        <v>author</v>
      </c>
      <c r="T2304" s="7" t="str">
        <f>IF(ISBLANK(patch[[#This Row],[mergeDate]]), "", MID(YEAR(patch[[#This Row],[mergeDate]]), 3,2)&amp;"'ww"&amp;WEEKNUM(patch[[#This Row],[mergeDate]]))</f>
        <v>16'ww37</v>
      </c>
      <c r="U2304" s="7" t="str">
        <f>IF(ISBLANK(patch[[#This Row],[mergeDate]]), U2303, MID(YEAR(patch[[#This Row],[mergeDate]]), 3,2)&amp;"'m"&amp;MONTH(patch[[#This Row],[mergeDate]]))</f>
        <v>16'm9</v>
      </c>
      <c r="V2304" s="7" t="str">
        <f>IF(ISBLANK(patch[[#This Row],[project]]), "",SUM(patch[[#This Row],[BJ -1 num]:[SH -1 num]]))</f>
        <v/>
      </c>
      <c r="W2304" s="7" t="str">
        <f>IF(ISBLANK(patch[[#This Row],[project]]), "",COUNTIFS($A:$A,patch[[#This Row],[number]],$S:$S, "BJ And dev",$AC:$AC, "Review-1"))</f>
        <v/>
      </c>
      <c r="X2304" s="7" t="str">
        <f>IF(ISBLANK(patch[[#This Row],[project]]), "",COUNTIFS($A:$A,patch[[#This Row],[number]],$S:$S, "FL And dev",$AC:$AC, "Review-1"))</f>
        <v/>
      </c>
      <c r="Y2304" s="7" t="str">
        <f>IF(ISBLANK(patch[[#This Row],[project]]), "",COUNTIFS($A:$A,patch[[#This Row],[number]],$S:$S, "SH And dev",$AC:$AC, "Review-1"))</f>
        <v/>
      </c>
      <c r="Z2304" s="7" t="str">
        <f>IF(ISBLANK(patch[[#This Row],[project]]), "",COUNTIFS($A:$A,patch[[#This Row],[number]],$S:$S, "BJ And dev",$AD:$AD, "&lt;&gt;IntegratorValidationComment"))</f>
        <v/>
      </c>
      <c r="AA2304" s="7" t="str">
        <f>IF(ISBLANK(patch[[#This Row],[project]]), "",COUNTIFS($A:$A,patch[[#This Row],[number]],$S:$S, "FL And dev",$AD:$AD, "&lt;&gt;IntegratorValidationComment"))</f>
        <v/>
      </c>
      <c r="AB2304" s="7" t="str">
        <f>IF(ISBLANK(patch[[#This Row],[project]]), "",COUNTIFS($A:$A,patch[[#This Row],[number]],$S:$S, "SH And dev",$AD:$AD, "&lt;&gt;IntegratorValidationComment"))</f>
        <v/>
      </c>
      <c r="AC2304" s="7" t="str">
        <f>IF(OR(ISNUMBER(FIND("Review-1", patch[[#This Row],[comments]])), ISNUMBER(FIND("Approver-1", patch[[#This Row],[comments]]))), "Review-1", "")</f>
        <v/>
      </c>
      <c r="AD23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04" s="7">
        <f>IF(ISBLANK(patch[[#This Row],[number]]),AE2303,patch[[#This Row],[ifCommon]])</f>
        <v>0</v>
      </c>
    </row>
    <row r="2305" spans="1:31">
      <c r="A2305" s="151">
        <v>143300</v>
      </c>
      <c r="B2305" s="151"/>
      <c r="C2305" s="151"/>
      <c r="D2305" s="151"/>
      <c r="E2305" s="151"/>
      <c r="F2305" s="151"/>
      <c r="G2305" s="151"/>
      <c r="H2305" s="151"/>
      <c r="I2305" s="151"/>
      <c r="J2305" s="152">
        <v>42619.714814814812</v>
      </c>
      <c r="K2305" s="151"/>
      <c r="L2305" s="151" t="s">
        <v>61</v>
      </c>
      <c r="M2305" s="152">
        <v>42618.586284722223</v>
      </c>
      <c r="N2305" s="151" t="s">
        <v>40</v>
      </c>
      <c r="O2305" s="151"/>
      <c r="P2305" s="151"/>
      <c r="Q2305" s="7" t="str">
        <f>IF(ISBLANK(patch[[#This Row],[OwnerEmail]]),Q2304,patch[[#This Row],[OwnerEmail]])</f>
        <v>john.mathew@intel.com</v>
      </c>
      <c r="R2305" s="7" t="str">
        <f>_xlfn.IFNA(VLOOKUP(patch[[#This Row],[tmp-owner.email]],OrgTree!$A:$K, 11, 0), "not ICG SWFW")</f>
        <v>FL And dev</v>
      </c>
      <c r="S2305" s="7" t="str">
        <f>IF(patch[[#This Row],[reviewer]]=patch[[#This Row],[tmp-owner.email]], "author", _xlfn.IFNA(VLOOKUP(patch[[#This Row],[reviewer]],OrgTree!$A:$K, 11, 0), "not ICG SWFW"))</f>
        <v>author</v>
      </c>
      <c r="T2305" s="7" t="str">
        <f>IF(ISBLANK(patch[[#This Row],[mergeDate]]), "", MID(YEAR(patch[[#This Row],[mergeDate]]), 3,2)&amp;"'ww"&amp;WEEKNUM(patch[[#This Row],[mergeDate]]))</f>
        <v>16'ww37</v>
      </c>
      <c r="U2305" s="7" t="str">
        <f>IF(ISBLANK(patch[[#This Row],[mergeDate]]), U2304, MID(YEAR(patch[[#This Row],[mergeDate]]), 3,2)&amp;"'m"&amp;MONTH(patch[[#This Row],[mergeDate]]))</f>
        <v>16'm9</v>
      </c>
      <c r="V2305" s="7" t="str">
        <f>IF(ISBLANK(patch[[#This Row],[project]]), "",SUM(patch[[#This Row],[BJ -1 num]:[SH -1 num]]))</f>
        <v/>
      </c>
      <c r="W2305" s="7" t="str">
        <f>IF(ISBLANK(patch[[#This Row],[project]]), "",COUNTIFS($A:$A,patch[[#This Row],[number]],$S:$S, "BJ And dev",$AC:$AC, "Review-1"))</f>
        <v/>
      </c>
      <c r="X2305" s="7" t="str">
        <f>IF(ISBLANK(patch[[#This Row],[project]]), "",COUNTIFS($A:$A,patch[[#This Row],[number]],$S:$S, "FL And dev",$AC:$AC, "Review-1"))</f>
        <v/>
      </c>
      <c r="Y2305" s="7" t="str">
        <f>IF(ISBLANK(patch[[#This Row],[project]]), "",COUNTIFS($A:$A,patch[[#This Row],[number]],$S:$S, "SH And dev",$AC:$AC, "Review-1"))</f>
        <v/>
      </c>
      <c r="Z2305" s="7" t="str">
        <f>IF(ISBLANK(patch[[#This Row],[project]]), "",COUNTIFS($A:$A,patch[[#This Row],[number]],$S:$S, "BJ And dev",$AD:$AD, "&lt;&gt;IntegratorValidationComment"))</f>
        <v/>
      </c>
      <c r="AA2305" s="7" t="str">
        <f>IF(ISBLANK(patch[[#This Row],[project]]), "",COUNTIFS($A:$A,patch[[#This Row],[number]],$S:$S, "FL And dev",$AD:$AD, "&lt;&gt;IntegratorValidationComment"))</f>
        <v/>
      </c>
      <c r="AB2305" s="7" t="str">
        <f>IF(ISBLANK(patch[[#This Row],[project]]), "",COUNTIFS($A:$A,patch[[#This Row],[number]],$S:$S, "SH And dev",$AD:$AD, "&lt;&gt;IntegratorValidationComment"))</f>
        <v/>
      </c>
      <c r="AC2305" s="7" t="str">
        <f>IF(OR(ISNUMBER(FIND("Review-1", patch[[#This Row],[comments]])), ISNUMBER(FIND("Approver-1", patch[[#This Row],[comments]]))), "Review-1", "")</f>
        <v/>
      </c>
      <c r="AD23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05" s="7">
        <f>IF(ISBLANK(patch[[#This Row],[number]]),AE2304,patch[[#This Row],[ifCommon]])</f>
        <v>0</v>
      </c>
    </row>
    <row r="2306" spans="1:31">
      <c r="A2306" s="151">
        <v>143300</v>
      </c>
      <c r="B2306" s="151"/>
      <c r="C2306" s="151"/>
      <c r="D2306" s="151"/>
      <c r="E2306" s="151"/>
      <c r="F2306" s="151"/>
      <c r="G2306" s="151"/>
      <c r="H2306" s="151"/>
      <c r="I2306" s="151"/>
      <c r="J2306" s="152">
        <v>42619.714814814812</v>
      </c>
      <c r="K2306" s="151"/>
      <c r="L2306" s="151" t="s">
        <v>59</v>
      </c>
      <c r="M2306" s="152">
        <v>42618.591620370367</v>
      </c>
      <c r="N2306" s="151" t="s">
        <v>3730</v>
      </c>
      <c r="O2306" s="151"/>
      <c r="P2306" s="151"/>
      <c r="Q2306" s="7" t="str">
        <f>IF(ISBLANK(patch[[#This Row],[OwnerEmail]]),Q2305,patch[[#This Row],[OwnerEmail]])</f>
        <v>john.mathew@intel.com</v>
      </c>
      <c r="R2306" s="7" t="str">
        <f>_xlfn.IFNA(VLOOKUP(patch[[#This Row],[tmp-owner.email]],OrgTree!$A:$K, 11, 0), "not ICG SWFW")</f>
        <v>FL And dev</v>
      </c>
      <c r="S2306" s="7" t="str">
        <f>IF(patch[[#This Row],[reviewer]]=patch[[#This Row],[tmp-owner.email]], "author", _xlfn.IFNA(VLOOKUP(patch[[#This Row],[reviewer]],OrgTree!$A:$K, 11, 0), "not ICG SWFW"))</f>
        <v>BJ And dev</v>
      </c>
      <c r="T2306" s="7" t="str">
        <f>IF(ISBLANK(patch[[#This Row],[mergeDate]]), "", MID(YEAR(patch[[#This Row],[mergeDate]]), 3,2)&amp;"'ww"&amp;WEEKNUM(patch[[#This Row],[mergeDate]]))</f>
        <v>16'ww37</v>
      </c>
      <c r="U2306" s="7" t="str">
        <f>IF(ISBLANK(patch[[#This Row],[mergeDate]]), U2305, MID(YEAR(patch[[#This Row],[mergeDate]]), 3,2)&amp;"'m"&amp;MONTH(patch[[#This Row],[mergeDate]]))</f>
        <v>16'm9</v>
      </c>
      <c r="V2306" s="7" t="str">
        <f>IF(ISBLANK(patch[[#This Row],[project]]), "",SUM(patch[[#This Row],[BJ -1 num]:[SH -1 num]]))</f>
        <v/>
      </c>
      <c r="W2306" s="7" t="str">
        <f>IF(ISBLANK(patch[[#This Row],[project]]), "",COUNTIFS($A:$A,patch[[#This Row],[number]],$S:$S, "BJ And dev",$AC:$AC, "Review-1"))</f>
        <v/>
      </c>
      <c r="X2306" s="7" t="str">
        <f>IF(ISBLANK(patch[[#This Row],[project]]), "",COUNTIFS($A:$A,patch[[#This Row],[number]],$S:$S, "FL And dev",$AC:$AC, "Review-1"))</f>
        <v/>
      </c>
      <c r="Y2306" s="7" t="str">
        <f>IF(ISBLANK(patch[[#This Row],[project]]), "",COUNTIFS($A:$A,patch[[#This Row],[number]],$S:$S, "SH And dev",$AC:$AC, "Review-1"))</f>
        <v/>
      </c>
      <c r="Z2306" s="7" t="str">
        <f>IF(ISBLANK(patch[[#This Row],[project]]), "",COUNTIFS($A:$A,patch[[#This Row],[number]],$S:$S, "BJ And dev",$AD:$AD, "&lt;&gt;IntegratorValidationComment"))</f>
        <v/>
      </c>
      <c r="AA2306" s="7" t="str">
        <f>IF(ISBLANK(patch[[#This Row],[project]]), "",COUNTIFS($A:$A,patch[[#This Row],[number]],$S:$S, "FL And dev",$AD:$AD, "&lt;&gt;IntegratorValidationComment"))</f>
        <v/>
      </c>
      <c r="AB2306" s="7" t="str">
        <f>IF(ISBLANK(patch[[#This Row],[project]]), "",COUNTIFS($A:$A,patch[[#This Row],[number]],$S:$S, "SH And dev",$AD:$AD, "&lt;&gt;IntegratorValidationComment"))</f>
        <v/>
      </c>
      <c r="AC2306" s="7" t="str">
        <f>IF(OR(ISNUMBER(FIND("Review-1", patch[[#This Row],[comments]])), ISNUMBER(FIND("Approver-1", patch[[#This Row],[comments]]))), "Review-1", "")</f>
        <v/>
      </c>
      <c r="AD23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06" s="7">
        <f>IF(ISBLANK(patch[[#This Row],[number]]),AE2305,patch[[#This Row],[ifCommon]])</f>
        <v>0</v>
      </c>
    </row>
    <row r="2307" spans="1:31">
      <c r="A2307" s="151">
        <v>143300</v>
      </c>
      <c r="B2307" s="151"/>
      <c r="C2307" s="151"/>
      <c r="D2307" s="151"/>
      <c r="E2307" s="151"/>
      <c r="F2307" s="151"/>
      <c r="G2307" s="151"/>
      <c r="H2307" s="151"/>
      <c r="I2307" s="151"/>
      <c r="J2307" s="152">
        <v>42619.714814814812</v>
      </c>
      <c r="K2307" s="151"/>
      <c r="L2307" s="151" t="s">
        <v>59</v>
      </c>
      <c r="M2307" s="152">
        <v>42618.64984953704</v>
      </c>
      <c r="N2307" s="151" t="s">
        <v>40</v>
      </c>
      <c r="O2307" s="151"/>
      <c r="P2307" s="151"/>
      <c r="Q2307" s="7" t="str">
        <f>IF(ISBLANK(patch[[#This Row],[OwnerEmail]]),Q2306,patch[[#This Row],[OwnerEmail]])</f>
        <v>john.mathew@intel.com</v>
      </c>
      <c r="R2307" s="7" t="str">
        <f>_xlfn.IFNA(VLOOKUP(patch[[#This Row],[tmp-owner.email]],OrgTree!$A:$K, 11, 0), "not ICG SWFW")</f>
        <v>FL And dev</v>
      </c>
      <c r="S2307" s="7" t="str">
        <f>IF(patch[[#This Row],[reviewer]]=patch[[#This Row],[tmp-owner.email]], "author", _xlfn.IFNA(VLOOKUP(patch[[#This Row],[reviewer]],OrgTree!$A:$K, 11, 0), "not ICG SWFW"))</f>
        <v>BJ And dev</v>
      </c>
      <c r="T2307" s="7" t="str">
        <f>IF(ISBLANK(patch[[#This Row],[mergeDate]]), "", MID(YEAR(patch[[#This Row],[mergeDate]]), 3,2)&amp;"'ww"&amp;WEEKNUM(patch[[#This Row],[mergeDate]]))</f>
        <v>16'ww37</v>
      </c>
      <c r="U2307" s="7" t="str">
        <f>IF(ISBLANK(patch[[#This Row],[mergeDate]]), U2306, MID(YEAR(patch[[#This Row],[mergeDate]]), 3,2)&amp;"'m"&amp;MONTH(patch[[#This Row],[mergeDate]]))</f>
        <v>16'm9</v>
      </c>
      <c r="V2307" s="7" t="str">
        <f>IF(ISBLANK(patch[[#This Row],[project]]), "",SUM(patch[[#This Row],[BJ -1 num]:[SH -1 num]]))</f>
        <v/>
      </c>
      <c r="W2307" s="7" t="str">
        <f>IF(ISBLANK(patch[[#This Row],[project]]), "",COUNTIFS($A:$A,patch[[#This Row],[number]],$S:$S, "BJ And dev",$AC:$AC, "Review-1"))</f>
        <v/>
      </c>
      <c r="X2307" s="7" t="str">
        <f>IF(ISBLANK(patch[[#This Row],[project]]), "",COUNTIFS($A:$A,patch[[#This Row],[number]],$S:$S, "FL And dev",$AC:$AC, "Review-1"))</f>
        <v/>
      </c>
      <c r="Y2307" s="7" t="str">
        <f>IF(ISBLANK(patch[[#This Row],[project]]), "",COUNTIFS($A:$A,patch[[#This Row],[number]],$S:$S, "SH And dev",$AC:$AC, "Review-1"))</f>
        <v/>
      </c>
      <c r="Z2307" s="7" t="str">
        <f>IF(ISBLANK(patch[[#This Row],[project]]), "",COUNTIFS($A:$A,patch[[#This Row],[number]],$S:$S, "BJ And dev",$AD:$AD, "&lt;&gt;IntegratorValidationComment"))</f>
        <v/>
      </c>
      <c r="AA2307" s="7" t="str">
        <f>IF(ISBLANK(patch[[#This Row],[project]]), "",COUNTIFS($A:$A,patch[[#This Row],[number]],$S:$S, "FL And dev",$AD:$AD, "&lt;&gt;IntegratorValidationComment"))</f>
        <v/>
      </c>
      <c r="AB2307" s="7" t="str">
        <f>IF(ISBLANK(patch[[#This Row],[project]]), "",COUNTIFS($A:$A,patch[[#This Row],[number]],$S:$S, "SH And dev",$AD:$AD, "&lt;&gt;IntegratorValidationComment"))</f>
        <v/>
      </c>
      <c r="AC2307" s="7" t="str">
        <f>IF(OR(ISNUMBER(FIND("Review-1", patch[[#This Row],[comments]])), ISNUMBER(FIND("Approver-1", patch[[#This Row],[comments]]))), "Review-1", "")</f>
        <v/>
      </c>
      <c r="AD23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07" s="7">
        <f>IF(ISBLANK(patch[[#This Row],[number]]),AE2306,patch[[#This Row],[ifCommon]])</f>
        <v>0</v>
      </c>
    </row>
    <row r="2308" spans="1:31">
      <c r="A2308" s="151">
        <v>143300</v>
      </c>
      <c r="B2308" s="151"/>
      <c r="C2308" s="151"/>
      <c r="D2308" s="151"/>
      <c r="E2308" s="151"/>
      <c r="F2308" s="151"/>
      <c r="G2308" s="151"/>
      <c r="H2308" s="151"/>
      <c r="I2308" s="151"/>
      <c r="J2308" s="152">
        <v>42619.714814814812</v>
      </c>
      <c r="K2308" s="151"/>
      <c r="L2308" s="151" t="s">
        <v>59</v>
      </c>
      <c r="M2308" s="152">
        <v>42618.650405092587</v>
      </c>
      <c r="N2308" s="151" t="s">
        <v>3731</v>
      </c>
      <c r="O2308" s="151"/>
      <c r="P2308" s="151"/>
      <c r="Q2308" s="7" t="str">
        <f>IF(ISBLANK(patch[[#This Row],[OwnerEmail]]),Q2307,patch[[#This Row],[OwnerEmail]])</f>
        <v>john.mathew@intel.com</v>
      </c>
      <c r="R2308" s="7" t="str">
        <f>_xlfn.IFNA(VLOOKUP(patch[[#This Row],[tmp-owner.email]],OrgTree!$A:$K, 11, 0), "not ICG SWFW")</f>
        <v>FL And dev</v>
      </c>
      <c r="S2308" s="7" t="str">
        <f>IF(patch[[#This Row],[reviewer]]=patch[[#This Row],[tmp-owner.email]], "author", _xlfn.IFNA(VLOOKUP(patch[[#This Row],[reviewer]],OrgTree!$A:$K, 11, 0), "not ICG SWFW"))</f>
        <v>BJ And dev</v>
      </c>
      <c r="T2308" s="7" t="str">
        <f>IF(ISBLANK(patch[[#This Row],[mergeDate]]), "", MID(YEAR(patch[[#This Row],[mergeDate]]), 3,2)&amp;"'ww"&amp;WEEKNUM(patch[[#This Row],[mergeDate]]))</f>
        <v>16'ww37</v>
      </c>
      <c r="U2308" s="7" t="str">
        <f>IF(ISBLANK(patch[[#This Row],[mergeDate]]), U2307, MID(YEAR(patch[[#This Row],[mergeDate]]), 3,2)&amp;"'m"&amp;MONTH(patch[[#This Row],[mergeDate]]))</f>
        <v>16'm9</v>
      </c>
      <c r="V2308" s="7" t="str">
        <f>IF(ISBLANK(patch[[#This Row],[project]]), "",SUM(patch[[#This Row],[BJ -1 num]:[SH -1 num]]))</f>
        <v/>
      </c>
      <c r="W2308" s="7" t="str">
        <f>IF(ISBLANK(patch[[#This Row],[project]]), "",COUNTIFS($A:$A,patch[[#This Row],[number]],$S:$S, "BJ And dev",$AC:$AC, "Review-1"))</f>
        <v/>
      </c>
      <c r="X2308" s="7" t="str">
        <f>IF(ISBLANK(patch[[#This Row],[project]]), "",COUNTIFS($A:$A,patch[[#This Row],[number]],$S:$S, "FL And dev",$AC:$AC, "Review-1"))</f>
        <v/>
      </c>
      <c r="Y2308" s="7" t="str">
        <f>IF(ISBLANK(patch[[#This Row],[project]]), "",COUNTIFS($A:$A,patch[[#This Row],[number]],$S:$S, "SH And dev",$AC:$AC, "Review-1"))</f>
        <v/>
      </c>
      <c r="Z2308" s="7" t="str">
        <f>IF(ISBLANK(patch[[#This Row],[project]]), "",COUNTIFS($A:$A,patch[[#This Row],[number]],$S:$S, "BJ And dev",$AD:$AD, "&lt;&gt;IntegratorValidationComment"))</f>
        <v/>
      </c>
      <c r="AA2308" s="7" t="str">
        <f>IF(ISBLANK(patch[[#This Row],[project]]), "",COUNTIFS($A:$A,patch[[#This Row],[number]],$S:$S, "FL And dev",$AD:$AD, "&lt;&gt;IntegratorValidationComment"))</f>
        <v/>
      </c>
      <c r="AB2308" s="7" t="str">
        <f>IF(ISBLANK(patch[[#This Row],[project]]), "",COUNTIFS($A:$A,patch[[#This Row],[number]],$S:$S, "SH And dev",$AD:$AD, "&lt;&gt;IntegratorValidationComment"))</f>
        <v/>
      </c>
      <c r="AC2308" s="7" t="str">
        <f>IF(OR(ISNUMBER(FIND("Review-1", patch[[#This Row],[comments]])), ISNUMBER(FIND("Approver-1", patch[[#This Row],[comments]]))), "Review-1", "")</f>
        <v/>
      </c>
      <c r="AD23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08" s="7">
        <f>IF(ISBLANK(patch[[#This Row],[number]]),AE2307,patch[[#This Row],[ifCommon]])</f>
        <v>0</v>
      </c>
    </row>
    <row r="2309" spans="1:31">
      <c r="A2309" s="151">
        <v>143300</v>
      </c>
      <c r="B2309" s="151"/>
      <c r="C2309" s="151"/>
      <c r="D2309" s="151"/>
      <c r="E2309" s="151"/>
      <c r="F2309" s="151"/>
      <c r="G2309" s="151"/>
      <c r="H2309" s="151"/>
      <c r="I2309" s="151"/>
      <c r="J2309" s="152">
        <v>42619.714814814812</v>
      </c>
      <c r="K2309" s="151"/>
      <c r="L2309" s="151" t="s">
        <v>32</v>
      </c>
      <c r="M2309" s="152">
        <v>42618.651377314818</v>
      </c>
      <c r="N2309" s="151" t="s">
        <v>58</v>
      </c>
      <c r="O2309" s="151"/>
      <c r="P2309" s="151"/>
      <c r="Q2309" s="7" t="str">
        <f>IF(ISBLANK(patch[[#This Row],[OwnerEmail]]),Q2308,patch[[#This Row],[OwnerEmail]])</f>
        <v>john.mathew@intel.com</v>
      </c>
      <c r="R2309" s="7" t="str">
        <f>_xlfn.IFNA(VLOOKUP(patch[[#This Row],[tmp-owner.email]],OrgTree!$A:$K, 11, 0), "not ICG SWFW")</f>
        <v>FL And dev</v>
      </c>
      <c r="S2309" s="7" t="str">
        <f>IF(patch[[#This Row],[reviewer]]=patch[[#This Row],[tmp-owner.email]], "author", _xlfn.IFNA(VLOOKUP(patch[[#This Row],[reviewer]],OrgTree!$A:$K, 11, 0), "not ICG SWFW"))</f>
        <v>BJ And dev</v>
      </c>
      <c r="T2309" s="7" t="str">
        <f>IF(ISBLANK(patch[[#This Row],[mergeDate]]), "", MID(YEAR(patch[[#This Row],[mergeDate]]), 3,2)&amp;"'ww"&amp;WEEKNUM(patch[[#This Row],[mergeDate]]))</f>
        <v>16'ww37</v>
      </c>
      <c r="U2309" s="7" t="str">
        <f>IF(ISBLANK(patch[[#This Row],[mergeDate]]), U2308, MID(YEAR(patch[[#This Row],[mergeDate]]), 3,2)&amp;"'m"&amp;MONTH(patch[[#This Row],[mergeDate]]))</f>
        <v>16'm9</v>
      </c>
      <c r="V2309" s="7" t="str">
        <f>IF(ISBLANK(patch[[#This Row],[project]]), "",SUM(patch[[#This Row],[BJ -1 num]:[SH -1 num]]))</f>
        <v/>
      </c>
      <c r="W2309" s="7" t="str">
        <f>IF(ISBLANK(patch[[#This Row],[project]]), "",COUNTIFS($A:$A,patch[[#This Row],[number]],$S:$S, "BJ And dev",$AC:$AC, "Review-1"))</f>
        <v/>
      </c>
      <c r="X2309" s="7" t="str">
        <f>IF(ISBLANK(patch[[#This Row],[project]]), "",COUNTIFS($A:$A,patch[[#This Row],[number]],$S:$S, "FL And dev",$AC:$AC, "Review-1"))</f>
        <v/>
      </c>
      <c r="Y2309" s="7" t="str">
        <f>IF(ISBLANK(patch[[#This Row],[project]]), "",COUNTIFS($A:$A,patch[[#This Row],[number]],$S:$S, "SH And dev",$AC:$AC, "Review-1"))</f>
        <v/>
      </c>
      <c r="Z2309" s="7" t="str">
        <f>IF(ISBLANK(patch[[#This Row],[project]]), "",COUNTIFS($A:$A,patch[[#This Row],[number]],$S:$S, "BJ And dev",$AD:$AD, "&lt;&gt;IntegratorValidationComment"))</f>
        <v/>
      </c>
      <c r="AA2309" s="7" t="str">
        <f>IF(ISBLANK(patch[[#This Row],[project]]), "",COUNTIFS($A:$A,patch[[#This Row],[number]],$S:$S, "FL And dev",$AD:$AD, "&lt;&gt;IntegratorValidationComment"))</f>
        <v/>
      </c>
      <c r="AB2309" s="7" t="str">
        <f>IF(ISBLANK(patch[[#This Row],[project]]), "",COUNTIFS($A:$A,patch[[#This Row],[number]],$S:$S, "SH And dev",$AD:$AD, "&lt;&gt;IntegratorValidationComment"))</f>
        <v/>
      </c>
      <c r="AC2309" s="7" t="str">
        <f>IF(OR(ISNUMBER(FIND("Review-1", patch[[#This Row],[comments]])), ISNUMBER(FIND("Approver-1", patch[[#This Row],[comments]]))), "Review-1", "")</f>
        <v/>
      </c>
      <c r="AD23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09" s="7">
        <f>IF(ISBLANK(patch[[#This Row],[number]]),AE2308,patch[[#This Row],[ifCommon]])</f>
        <v>0</v>
      </c>
    </row>
    <row r="2310" spans="1:31">
      <c r="A2310" s="151">
        <v>143300</v>
      </c>
      <c r="B2310" s="151"/>
      <c r="C2310" s="151"/>
      <c r="D2310" s="151"/>
      <c r="E2310" s="151"/>
      <c r="F2310" s="151"/>
      <c r="G2310" s="151"/>
      <c r="H2310" s="151"/>
      <c r="I2310" s="151"/>
      <c r="J2310" s="152">
        <v>42619.714814814812</v>
      </c>
      <c r="K2310" s="151"/>
      <c r="L2310" s="151" t="s">
        <v>32</v>
      </c>
      <c r="M2310" s="152">
        <v>42618.651412037027</v>
      </c>
      <c r="N2310" s="151" t="s">
        <v>40</v>
      </c>
      <c r="O2310" s="151"/>
      <c r="P2310" s="151"/>
      <c r="Q2310" s="7" t="str">
        <f>IF(ISBLANK(patch[[#This Row],[OwnerEmail]]),Q2309,patch[[#This Row],[OwnerEmail]])</f>
        <v>john.mathew@intel.com</v>
      </c>
      <c r="R2310" s="7" t="str">
        <f>_xlfn.IFNA(VLOOKUP(patch[[#This Row],[tmp-owner.email]],OrgTree!$A:$K, 11, 0), "not ICG SWFW")</f>
        <v>FL And dev</v>
      </c>
      <c r="S2310" s="7" t="str">
        <f>IF(patch[[#This Row],[reviewer]]=patch[[#This Row],[tmp-owner.email]], "author", _xlfn.IFNA(VLOOKUP(patch[[#This Row],[reviewer]],OrgTree!$A:$K, 11, 0), "not ICG SWFW"))</f>
        <v>BJ And dev</v>
      </c>
      <c r="T2310" s="7" t="str">
        <f>IF(ISBLANK(patch[[#This Row],[mergeDate]]), "", MID(YEAR(patch[[#This Row],[mergeDate]]), 3,2)&amp;"'ww"&amp;WEEKNUM(patch[[#This Row],[mergeDate]]))</f>
        <v>16'ww37</v>
      </c>
      <c r="U2310" s="7" t="str">
        <f>IF(ISBLANK(patch[[#This Row],[mergeDate]]), U2309, MID(YEAR(patch[[#This Row],[mergeDate]]), 3,2)&amp;"'m"&amp;MONTH(patch[[#This Row],[mergeDate]]))</f>
        <v>16'm9</v>
      </c>
      <c r="V2310" s="7" t="str">
        <f>IF(ISBLANK(patch[[#This Row],[project]]), "",SUM(patch[[#This Row],[BJ -1 num]:[SH -1 num]]))</f>
        <v/>
      </c>
      <c r="W2310" s="7" t="str">
        <f>IF(ISBLANK(patch[[#This Row],[project]]), "",COUNTIFS($A:$A,patch[[#This Row],[number]],$S:$S, "BJ And dev",$AC:$AC, "Review-1"))</f>
        <v/>
      </c>
      <c r="X2310" s="7" t="str">
        <f>IF(ISBLANK(patch[[#This Row],[project]]), "",COUNTIFS($A:$A,patch[[#This Row],[number]],$S:$S, "FL And dev",$AC:$AC, "Review-1"))</f>
        <v/>
      </c>
      <c r="Y2310" s="7" t="str">
        <f>IF(ISBLANK(patch[[#This Row],[project]]), "",COUNTIFS($A:$A,patch[[#This Row],[number]],$S:$S, "SH And dev",$AC:$AC, "Review-1"))</f>
        <v/>
      </c>
      <c r="Z2310" s="7" t="str">
        <f>IF(ISBLANK(patch[[#This Row],[project]]), "",COUNTIFS($A:$A,patch[[#This Row],[number]],$S:$S, "BJ And dev",$AD:$AD, "&lt;&gt;IntegratorValidationComment"))</f>
        <v/>
      </c>
      <c r="AA2310" s="7" t="str">
        <f>IF(ISBLANK(patch[[#This Row],[project]]), "",COUNTIFS($A:$A,patch[[#This Row],[number]],$S:$S, "FL And dev",$AD:$AD, "&lt;&gt;IntegratorValidationComment"))</f>
        <v/>
      </c>
      <c r="AB2310" s="7" t="str">
        <f>IF(ISBLANK(patch[[#This Row],[project]]), "",COUNTIFS($A:$A,patch[[#This Row],[number]],$S:$S, "SH And dev",$AD:$AD, "&lt;&gt;IntegratorValidationComment"))</f>
        <v/>
      </c>
      <c r="AC2310" s="7" t="str">
        <f>IF(OR(ISNUMBER(FIND("Review-1", patch[[#This Row],[comments]])), ISNUMBER(FIND("Approver-1", patch[[#This Row],[comments]]))), "Review-1", "")</f>
        <v/>
      </c>
      <c r="AD23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10" s="7">
        <f>IF(ISBLANK(patch[[#This Row],[number]]),AE2309,patch[[#This Row],[ifCommon]])</f>
        <v>0</v>
      </c>
    </row>
    <row r="2311" spans="1:31">
      <c r="A2311" s="151">
        <v>143300</v>
      </c>
      <c r="B2311" s="151"/>
      <c r="C2311" s="151"/>
      <c r="D2311" s="151"/>
      <c r="E2311" s="151"/>
      <c r="F2311" s="151"/>
      <c r="G2311" s="151"/>
      <c r="H2311" s="151"/>
      <c r="I2311" s="151"/>
      <c r="J2311" s="152">
        <v>42619.714814814812</v>
      </c>
      <c r="K2311" s="151"/>
      <c r="L2311" s="151" t="s">
        <v>59</v>
      </c>
      <c r="M2311" s="152">
        <v>42618.664490740739</v>
      </c>
      <c r="N2311" s="151" t="s">
        <v>3732</v>
      </c>
      <c r="O2311" s="151"/>
      <c r="P2311" s="151"/>
      <c r="Q2311" s="7" t="str">
        <f>IF(ISBLANK(patch[[#This Row],[OwnerEmail]]),Q2310,patch[[#This Row],[OwnerEmail]])</f>
        <v>john.mathew@intel.com</v>
      </c>
      <c r="R2311" s="7" t="str">
        <f>_xlfn.IFNA(VLOOKUP(patch[[#This Row],[tmp-owner.email]],OrgTree!$A:$K, 11, 0), "not ICG SWFW")</f>
        <v>FL And dev</v>
      </c>
      <c r="S2311" s="7" t="str">
        <f>IF(patch[[#This Row],[reviewer]]=patch[[#This Row],[tmp-owner.email]], "author", _xlfn.IFNA(VLOOKUP(patch[[#This Row],[reviewer]],OrgTree!$A:$K, 11, 0), "not ICG SWFW"))</f>
        <v>BJ And dev</v>
      </c>
      <c r="T2311" s="7" t="str">
        <f>IF(ISBLANK(patch[[#This Row],[mergeDate]]), "", MID(YEAR(patch[[#This Row],[mergeDate]]), 3,2)&amp;"'ww"&amp;WEEKNUM(patch[[#This Row],[mergeDate]]))</f>
        <v>16'ww37</v>
      </c>
      <c r="U2311" s="7" t="str">
        <f>IF(ISBLANK(patch[[#This Row],[mergeDate]]), U2310, MID(YEAR(patch[[#This Row],[mergeDate]]), 3,2)&amp;"'m"&amp;MONTH(patch[[#This Row],[mergeDate]]))</f>
        <v>16'm9</v>
      </c>
      <c r="V2311" s="7" t="str">
        <f>IF(ISBLANK(patch[[#This Row],[project]]), "",SUM(patch[[#This Row],[BJ -1 num]:[SH -1 num]]))</f>
        <v/>
      </c>
      <c r="W2311" s="7" t="str">
        <f>IF(ISBLANK(patch[[#This Row],[project]]), "",COUNTIFS($A:$A,patch[[#This Row],[number]],$S:$S, "BJ And dev",$AC:$AC, "Review-1"))</f>
        <v/>
      </c>
      <c r="X2311" s="7" t="str">
        <f>IF(ISBLANK(patch[[#This Row],[project]]), "",COUNTIFS($A:$A,patch[[#This Row],[number]],$S:$S, "FL And dev",$AC:$AC, "Review-1"))</f>
        <v/>
      </c>
      <c r="Y2311" s="7" t="str">
        <f>IF(ISBLANK(patch[[#This Row],[project]]), "",COUNTIFS($A:$A,patch[[#This Row],[number]],$S:$S, "SH And dev",$AC:$AC, "Review-1"))</f>
        <v/>
      </c>
      <c r="Z2311" s="7" t="str">
        <f>IF(ISBLANK(patch[[#This Row],[project]]), "",COUNTIFS($A:$A,patch[[#This Row],[number]],$S:$S, "BJ And dev",$AD:$AD, "&lt;&gt;IntegratorValidationComment"))</f>
        <v/>
      </c>
      <c r="AA2311" s="7" t="str">
        <f>IF(ISBLANK(patch[[#This Row],[project]]), "",COUNTIFS($A:$A,patch[[#This Row],[number]],$S:$S, "FL And dev",$AD:$AD, "&lt;&gt;IntegratorValidationComment"))</f>
        <v/>
      </c>
      <c r="AB2311" s="7" t="str">
        <f>IF(ISBLANK(patch[[#This Row],[project]]), "",COUNTIFS($A:$A,patch[[#This Row],[number]],$S:$S, "SH And dev",$AD:$AD, "&lt;&gt;IntegratorValidationComment"))</f>
        <v/>
      </c>
      <c r="AC2311" s="7" t="str">
        <f>IF(OR(ISNUMBER(FIND("Review-1", patch[[#This Row],[comments]])), ISNUMBER(FIND("Approver-1", patch[[#This Row],[comments]]))), "Review-1", "")</f>
        <v/>
      </c>
      <c r="AD23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11" s="7">
        <f>IF(ISBLANK(patch[[#This Row],[number]]),AE2310,patch[[#This Row],[ifCommon]])</f>
        <v>0</v>
      </c>
    </row>
    <row r="2312" spans="1:31">
      <c r="A2312" s="151">
        <v>143300</v>
      </c>
      <c r="B2312" s="151"/>
      <c r="C2312" s="151"/>
      <c r="D2312" s="151"/>
      <c r="E2312" s="151"/>
      <c r="F2312" s="151"/>
      <c r="G2312" s="151"/>
      <c r="H2312" s="151"/>
      <c r="I2312" s="151"/>
      <c r="J2312" s="152">
        <v>42619.714814814812</v>
      </c>
      <c r="K2312" s="151"/>
      <c r="L2312" s="151" t="s">
        <v>115</v>
      </c>
      <c r="M2312" s="152">
        <v>42619.428078703713</v>
      </c>
      <c r="N2312" s="151" t="s">
        <v>2494</v>
      </c>
      <c r="O2312" s="151"/>
      <c r="P2312" s="151"/>
      <c r="Q2312" s="7" t="str">
        <f>IF(ISBLANK(patch[[#This Row],[OwnerEmail]]),Q2311,patch[[#This Row],[OwnerEmail]])</f>
        <v>john.mathew@intel.com</v>
      </c>
      <c r="R2312" s="7" t="str">
        <f>_xlfn.IFNA(VLOOKUP(patch[[#This Row],[tmp-owner.email]],OrgTree!$A:$K, 11, 0), "not ICG SWFW")</f>
        <v>FL And dev</v>
      </c>
      <c r="S2312" s="7" t="str">
        <f>IF(patch[[#This Row],[reviewer]]=patch[[#This Row],[tmp-owner.email]], "author", _xlfn.IFNA(VLOOKUP(patch[[#This Row],[reviewer]],OrgTree!$A:$K, 11, 0), "not ICG SWFW"))</f>
        <v>Val</v>
      </c>
      <c r="T2312" s="7" t="str">
        <f>IF(ISBLANK(patch[[#This Row],[mergeDate]]), "", MID(YEAR(patch[[#This Row],[mergeDate]]), 3,2)&amp;"'ww"&amp;WEEKNUM(patch[[#This Row],[mergeDate]]))</f>
        <v>16'ww37</v>
      </c>
      <c r="U2312" s="7" t="str">
        <f>IF(ISBLANK(patch[[#This Row],[mergeDate]]), U2311, MID(YEAR(patch[[#This Row],[mergeDate]]), 3,2)&amp;"'m"&amp;MONTH(patch[[#This Row],[mergeDate]]))</f>
        <v>16'm9</v>
      </c>
      <c r="V2312" s="7" t="str">
        <f>IF(ISBLANK(patch[[#This Row],[project]]), "",SUM(patch[[#This Row],[BJ -1 num]:[SH -1 num]]))</f>
        <v/>
      </c>
      <c r="W2312" s="7" t="str">
        <f>IF(ISBLANK(patch[[#This Row],[project]]), "",COUNTIFS($A:$A,patch[[#This Row],[number]],$S:$S, "BJ And dev",$AC:$AC, "Review-1"))</f>
        <v/>
      </c>
      <c r="X2312" s="7" t="str">
        <f>IF(ISBLANK(patch[[#This Row],[project]]), "",COUNTIFS($A:$A,patch[[#This Row],[number]],$S:$S, "FL And dev",$AC:$AC, "Review-1"))</f>
        <v/>
      </c>
      <c r="Y2312" s="7" t="str">
        <f>IF(ISBLANK(patch[[#This Row],[project]]), "",COUNTIFS($A:$A,patch[[#This Row],[number]],$S:$S, "SH And dev",$AC:$AC, "Review-1"))</f>
        <v/>
      </c>
      <c r="Z2312" s="7" t="str">
        <f>IF(ISBLANK(patch[[#This Row],[project]]), "",COUNTIFS($A:$A,patch[[#This Row],[number]],$S:$S, "BJ And dev",$AD:$AD, "&lt;&gt;IntegratorValidationComment"))</f>
        <v/>
      </c>
      <c r="AA2312" s="7" t="str">
        <f>IF(ISBLANK(patch[[#This Row],[project]]), "",COUNTIFS($A:$A,patch[[#This Row],[number]],$S:$S, "FL And dev",$AD:$AD, "&lt;&gt;IntegratorValidationComment"))</f>
        <v/>
      </c>
      <c r="AB2312" s="7" t="str">
        <f>IF(ISBLANK(patch[[#This Row],[project]]), "",COUNTIFS($A:$A,patch[[#This Row],[number]],$S:$S, "SH And dev",$AD:$AD, "&lt;&gt;IntegratorValidationComment"))</f>
        <v/>
      </c>
      <c r="AC2312" s="7" t="str">
        <f>IF(OR(ISNUMBER(FIND("Review-1", patch[[#This Row],[comments]])), ISNUMBER(FIND("Approver-1", patch[[#This Row],[comments]]))), "Review-1", "")</f>
        <v/>
      </c>
      <c r="AD23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312" s="7">
        <f>IF(ISBLANK(patch[[#This Row],[number]]),AE2311,patch[[#This Row],[ifCommon]])</f>
        <v>0</v>
      </c>
    </row>
    <row r="2313" spans="1:31">
      <c r="A2313" s="151">
        <v>142788</v>
      </c>
      <c r="B2313" s="151" t="s">
        <v>2490</v>
      </c>
      <c r="C2313" s="151" t="s">
        <v>2491</v>
      </c>
      <c r="D2313" s="151" t="s">
        <v>3733</v>
      </c>
      <c r="E2313" s="151" t="s">
        <v>24</v>
      </c>
      <c r="F2313" s="151" t="s">
        <v>23</v>
      </c>
      <c r="G2313" s="151" t="s">
        <v>3734</v>
      </c>
      <c r="H2313" s="151" t="s">
        <v>3735</v>
      </c>
      <c r="I2313" s="152">
        <v>42614.681203703702</v>
      </c>
      <c r="J2313" s="152">
        <v>42618.700671296298</v>
      </c>
      <c r="K2313" s="151" t="s">
        <v>2445</v>
      </c>
      <c r="L2313" s="151" t="s">
        <v>24</v>
      </c>
      <c r="M2313" s="152">
        <v>42614.681203703702</v>
      </c>
      <c r="N2313" s="151" t="s">
        <v>2458</v>
      </c>
      <c r="O2313" s="151"/>
      <c r="P2313" s="151" t="s">
        <v>3736</v>
      </c>
      <c r="Q2313" s="7" t="str">
        <f>IF(ISBLANK(patch[[#This Row],[OwnerEmail]]),Q2312,patch[[#This Row],[OwnerEmail]])</f>
        <v>qingwu.zhang@intel.com</v>
      </c>
      <c r="R2313" s="7" t="str">
        <f>_xlfn.IFNA(VLOOKUP(patch[[#This Row],[tmp-owner.email]],OrgTree!$A:$K, 11, 0), "not ICG SWFW")</f>
        <v>BJ And dev</v>
      </c>
      <c r="S2313" s="7" t="str">
        <f>IF(patch[[#This Row],[reviewer]]=patch[[#This Row],[tmp-owner.email]], "author", _xlfn.IFNA(VLOOKUP(patch[[#This Row],[reviewer]],OrgTree!$A:$K, 11, 0), "not ICG SWFW"))</f>
        <v>author</v>
      </c>
      <c r="T2313" s="7" t="str">
        <f>IF(ISBLANK(patch[[#This Row],[mergeDate]]), "", MID(YEAR(patch[[#This Row],[mergeDate]]), 3,2)&amp;"'ww"&amp;WEEKNUM(patch[[#This Row],[mergeDate]]))</f>
        <v>16'ww37</v>
      </c>
      <c r="U2313" s="7" t="str">
        <f>IF(ISBLANK(patch[[#This Row],[mergeDate]]), U2312, MID(YEAR(patch[[#This Row],[mergeDate]]), 3,2)&amp;"'m"&amp;MONTH(patch[[#This Row],[mergeDate]]))</f>
        <v>16'm9</v>
      </c>
      <c r="V2313" s="7">
        <f>IF(ISBLANK(patch[[#This Row],[project]]), "",SUM(patch[[#This Row],[BJ -1 num]:[SH -1 num]]))</f>
        <v>0</v>
      </c>
      <c r="W2313" s="7">
        <f>IF(ISBLANK(patch[[#This Row],[project]]), "",COUNTIFS($A:$A,patch[[#This Row],[number]],$S:$S, "BJ And dev",$AC:$AC, "Review-1"))</f>
        <v>0</v>
      </c>
      <c r="X2313" s="7">
        <f>IF(ISBLANK(patch[[#This Row],[project]]), "",COUNTIFS($A:$A,patch[[#This Row],[number]],$S:$S, "FL And dev",$AC:$AC, "Review-1"))</f>
        <v>0</v>
      </c>
      <c r="Y2313" s="7">
        <f>IF(ISBLANK(patch[[#This Row],[project]]), "",COUNTIFS($A:$A,patch[[#This Row],[number]],$S:$S, "SH And dev",$AC:$AC, "Review-1"))</f>
        <v>0</v>
      </c>
      <c r="Z2313" s="7">
        <f>IF(ISBLANK(patch[[#This Row],[project]]), "",COUNTIFS($A:$A,patch[[#This Row],[number]],$S:$S, "BJ And dev",$AD:$AD, "&lt;&gt;IntegratorValidationComment"))</f>
        <v>6</v>
      </c>
      <c r="AA2313" s="7">
        <f>IF(ISBLANK(patch[[#This Row],[project]]), "",COUNTIFS($A:$A,patch[[#This Row],[number]],$S:$S, "FL And dev",$AD:$AD, "&lt;&gt;IntegratorValidationComment"))</f>
        <v>0</v>
      </c>
      <c r="AB2313" s="7">
        <f>IF(ISBLANK(patch[[#This Row],[project]]), "",COUNTIFS($A:$A,patch[[#This Row],[number]],$S:$S, "SH And dev",$AD:$AD, "&lt;&gt;IntegratorValidationComment"))</f>
        <v>0</v>
      </c>
      <c r="AC2313" s="7" t="str">
        <f>IF(OR(ISNUMBER(FIND("Review-1", patch[[#This Row],[comments]])), ISNUMBER(FIND("Approver-1", patch[[#This Row],[comments]]))), "Review-1", "")</f>
        <v/>
      </c>
      <c r="AD23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13" s="7" t="str">
        <f>IF(ISBLANK(patch[[#This Row],[number]]),AE2312,patch[[#This Row],[ifCommon]])</f>
        <v>not AndrHAL</v>
      </c>
    </row>
    <row r="2314" spans="1:31">
      <c r="A2314" s="151">
        <v>142788</v>
      </c>
      <c r="B2314" s="151"/>
      <c r="C2314" s="151"/>
      <c r="D2314" s="151"/>
      <c r="E2314" s="151"/>
      <c r="F2314" s="151"/>
      <c r="G2314" s="151"/>
      <c r="H2314" s="151"/>
      <c r="I2314" s="151"/>
      <c r="J2314" s="152">
        <v>42618.700671296298</v>
      </c>
      <c r="K2314" s="151"/>
      <c r="L2314" s="151" t="s">
        <v>24</v>
      </c>
      <c r="M2314" s="152">
        <v>42614.681203703702</v>
      </c>
      <c r="N2314" s="151" t="s">
        <v>25</v>
      </c>
      <c r="O2314" s="151"/>
      <c r="P2314" s="151"/>
      <c r="Q2314" s="7" t="str">
        <f>IF(ISBLANK(patch[[#This Row],[OwnerEmail]]),Q2313,patch[[#This Row],[OwnerEmail]])</f>
        <v>qingwu.zhang@intel.com</v>
      </c>
      <c r="R2314" s="7" t="str">
        <f>_xlfn.IFNA(VLOOKUP(patch[[#This Row],[tmp-owner.email]],OrgTree!$A:$K, 11, 0), "not ICG SWFW")</f>
        <v>BJ And dev</v>
      </c>
      <c r="S2314" s="7" t="str">
        <f>IF(patch[[#This Row],[reviewer]]=patch[[#This Row],[tmp-owner.email]], "author", _xlfn.IFNA(VLOOKUP(patch[[#This Row],[reviewer]],OrgTree!$A:$K, 11, 0), "not ICG SWFW"))</f>
        <v>author</v>
      </c>
      <c r="T2314" s="7" t="str">
        <f>IF(ISBLANK(patch[[#This Row],[mergeDate]]), "", MID(YEAR(patch[[#This Row],[mergeDate]]), 3,2)&amp;"'ww"&amp;WEEKNUM(patch[[#This Row],[mergeDate]]))</f>
        <v>16'ww37</v>
      </c>
      <c r="U2314" s="7" t="str">
        <f>IF(ISBLANK(patch[[#This Row],[mergeDate]]), U2313, MID(YEAR(patch[[#This Row],[mergeDate]]), 3,2)&amp;"'m"&amp;MONTH(patch[[#This Row],[mergeDate]]))</f>
        <v>16'm9</v>
      </c>
      <c r="V2314" s="7" t="str">
        <f>IF(ISBLANK(patch[[#This Row],[project]]), "",SUM(patch[[#This Row],[BJ -1 num]:[SH -1 num]]))</f>
        <v/>
      </c>
      <c r="W2314" s="7" t="str">
        <f>IF(ISBLANK(patch[[#This Row],[project]]), "",COUNTIFS($A:$A,patch[[#This Row],[number]],$S:$S, "BJ And dev",$AC:$AC, "Review-1"))</f>
        <v/>
      </c>
      <c r="X2314" s="7" t="str">
        <f>IF(ISBLANK(patch[[#This Row],[project]]), "",COUNTIFS($A:$A,patch[[#This Row],[number]],$S:$S, "FL And dev",$AC:$AC, "Review-1"))</f>
        <v/>
      </c>
      <c r="Y2314" s="7" t="str">
        <f>IF(ISBLANK(patch[[#This Row],[project]]), "",COUNTIFS($A:$A,patch[[#This Row],[number]],$S:$S, "SH And dev",$AC:$AC, "Review-1"))</f>
        <v/>
      </c>
      <c r="Z2314" s="7" t="str">
        <f>IF(ISBLANK(patch[[#This Row],[project]]), "",COUNTIFS($A:$A,patch[[#This Row],[number]],$S:$S, "BJ And dev",$AD:$AD, "&lt;&gt;IntegratorValidationComment"))</f>
        <v/>
      </c>
      <c r="AA2314" s="7" t="str">
        <f>IF(ISBLANK(patch[[#This Row],[project]]), "",COUNTIFS($A:$A,patch[[#This Row],[number]],$S:$S, "FL And dev",$AD:$AD, "&lt;&gt;IntegratorValidationComment"))</f>
        <v/>
      </c>
      <c r="AB2314" s="7" t="str">
        <f>IF(ISBLANK(patch[[#This Row],[project]]), "",COUNTIFS($A:$A,patch[[#This Row],[number]],$S:$S, "SH And dev",$AD:$AD, "&lt;&gt;IntegratorValidationComment"))</f>
        <v/>
      </c>
      <c r="AC2314" s="7" t="str">
        <f>IF(OR(ISNUMBER(FIND("Review-1", patch[[#This Row],[comments]])), ISNUMBER(FIND("Approver-1", patch[[#This Row],[comments]]))), "Review-1", "")</f>
        <v/>
      </c>
      <c r="AD23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14" s="7">
        <f>IF(ISBLANK(patch[[#This Row],[number]]),AE2313,patch[[#This Row],[ifCommon]])</f>
        <v>0</v>
      </c>
    </row>
    <row r="2315" spans="1:31">
      <c r="A2315" s="151">
        <v>142788</v>
      </c>
      <c r="B2315" s="151"/>
      <c r="C2315" s="151"/>
      <c r="D2315" s="151"/>
      <c r="E2315" s="151"/>
      <c r="F2315" s="151"/>
      <c r="G2315" s="151"/>
      <c r="H2315" s="151"/>
      <c r="I2315" s="151"/>
      <c r="J2315" s="152">
        <v>42618.700671296298</v>
      </c>
      <c r="K2315" s="151"/>
      <c r="L2315" s="151" t="s">
        <v>24</v>
      </c>
      <c r="M2315" s="152">
        <v>42615.632557870369</v>
      </c>
      <c r="N2315" s="151" t="s">
        <v>2429</v>
      </c>
      <c r="O2315" s="151"/>
      <c r="P2315" s="151"/>
      <c r="Q2315" s="7" t="str">
        <f>IF(ISBLANK(patch[[#This Row],[OwnerEmail]]),Q2314,patch[[#This Row],[OwnerEmail]])</f>
        <v>qingwu.zhang@intel.com</v>
      </c>
      <c r="R2315" s="7" t="str">
        <f>_xlfn.IFNA(VLOOKUP(patch[[#This Row],[tmp-owner.email]],OrgTree!$A:$K, 11, 0), "not ICG SWFW")</f>
        <v>BJ And dev</v>
      </c>
      <c r="S2315" s="7" t="str">
        <f>IF(patch[[#This Row],[reviewer]]=patch[[#This Row],[tmp-owner.email]], "author", _xlfn.IFNA(VLOOKUP(patch[[#This Row],[reviewer]],OrgTree!$A:$K, 11, 0), "not ICG SWFW"))</f>
        <v>author</v>
      </c>
      <c r="T2315" s="7" t="str">
        <f>IF(ISBLANK(patch[[#This Row],[mergeDate]]), "", MID(YEAR(patch[[#This Row],[mergeDate]]), 3,2)&amp;"'ww"&amp;WEEKNUM(patch[[#This Row],[mergeDate]]))</f>
        <v>16'ww37</v>
      </c>
      <c r="U2315" s="7" t="str">
        <f>IF(ISBLANK(patch[[#This Row],[mergeDate]]), U2314, MID(YEAR(patch[[#This Row],[mergeDate]]), 3,2)&amp;"'m"&amp;MONTH(patch[[#This Row],[mergeDate]]))</f>
        <v>16'm9</v>
      </c>
      <c r="V2315" s="7" t="str">
        <f>IF(ISBLANK(patch[[#This Row],[project]]), "",SUM(patch[[#This Row],[BJ -1 num]:[SH -1 num]]))</f>
        <v/>
      </c>
      <c r="W2315" s="7" t="str">
        <f>IF(ISBLANK(patch[[#This Row],[project]]), "",COUNTIFS($A:$A,patch[[#This Row],[number]],$S:$S, "BJ And dev",$AC:$AC, "Review-1"))</f>
        <v/>
      </c>
      <c r="X2315" s="7" t="str">
        <f>IF(ISBLANK(patch[[#This Row],[project]]), "",COUNTIFS($A:$A,patch[[#This Row],[number]],$S:$S, "FL And dev",$AC:$AC, "Review-1"))</f>
        <v/>
      </c>
      <c r="Y2315" s="7" t="str">
        <f>IF(ISBLANK(patch[[#This Row],[project]]), "",COUNTIFS($A:$A,patch[[#This Row],[number]],$S:$S, "SH And dev",$AC:$AC, "Review-1"))</f>
        <v/>
      </c>
      <c r="Z2315" s="7" t="str">
        <f>IF(ISBLANK(patch[[#This Row],[project]]), "",COUNTIFS($A:$A,patch[[#This Row],[number]],$S:$S, "BJ And dev",$AD:$AD, "&lt;&gt;IntegratorValidationComment"))</f>
        <v/>
      </c>
      <c r="AA2315" s="7" t="str">
        <f>IF(ISBLANK(patch[[#This Row],[project]]), "",COUNTIFS($A:$A,patch[[#This Row],[number]],$S:$S, "FL And dev",$AD:$AD, "&lt;&gt;IntegratorValidationComment"))</f>
        <v/>
      </c>
      <c r="AB2315" s="7" t="str">
        <f>IF(ISBLANK(patch[[#This Row],[project]]), "",COUNTIFS($A:$A,patch[[#This Row],[number]],$S:$S, "SH And dev",$AD:$AD, "&lt;&gt;IntegratorValidationComment"))</f>
        <v/>
      </c>
      <c r="AC2315" s="7" t="str">
        <f>IF(OR(ISNUMBER(FIND("Review-1", patch[[#This Row],[comments]])), ISNUMBER(FIND("Approver-1", patch[[#This Row],[comments]]))), "Review-1", "")</f>
        <v/>
      </c>
      <c r="AD23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15" s="7">
        <f>IF(ISBLANK(patch[[#This Row],[number]]),AE2314,patch[[#This Row],[ifCommon]])</f>
        <v>0</v>
      </c>
    </row>
    <row r="2316" spans="1:31">
      <c r="A2316" s="151">
        <v>142788</v>
      </c>
      <c r="B2316" s="151"/>
      <c r="C2316" s="151"/>
      <c r="D2316" s="151"/>
      <c r="E2316" s="151"/>
      <c r="F2316" s="151"/>
      <c r="G2316" s="151"/>
      <c r="H2316" s="151"/>
      <c r="I2316" s="151"/>
      <c r="J2316" s="152">
        <v>42618.700671296298</v>
      </c>
      <c r="K2316" s="151"/>
      <c r="L2316" s="151" t="s">
        <v>24</v>
      </c>
      <c r="M2316" s="152">
        <v>42615.632557870369</v>
      </c>
      <c r="N2316" s="151" t="s">
        <v>29</v>
      </c>
      <c r="O2316" s="151"/>
      <c r="P2316" s="151"/>
      <c r="Q2316" s="7" t="str">
        <f>IF(ISBLANK(patch[[#This Row],[OwnerEmail]]),Q2315,patch[[#This Row],[OwnerEmail]])</f>
        <v>qingwu.zhang@intel.com</v>
      </c>
      <c r="R2316" s="7" t="str">
        <f>_xlfn.IFNA(VLOOKUP(patch[[#This Row],[tmp-owner.email]],OrgTree!$A:$K, 11, 0), "not ICG SWFW")</f>
        <v>BJ And dev</v>
      </c>
      <c r="S2316" s="7" t="str">
        <f>IF(patch[[#This Row],[reviewer]]=patch[[#This Row],[tmp-owner.email]], "author", _xlfn.IFNA(VLOOKUP(patch[[#This Row],[reviewer]],OrgTree!$A:$K, 11, 0), "not ICG SWFW"))</f>
        <v>author</v>
      </c>
      <c r="T2316" s="7" t="str">
        <f>IF(ISBLANK(patch[[#This Row],[mergeDate]]), "", MID(YEAR(patch[[#This Row],[mergeDate]]), 3,2)&amp;"'ww"&amp;WEEKNUM(patch[[#This Row],[mergeDate]]))</f>
        <v>16'ww37</v>
      </c>
      <c r="U2316" s="7" t="str">
        <f>IF(ISBLANK(patch[[#This Row],[mergeDate]]), U2315, MID(YEAR(patch[[#This Row],[mergeDate]]), 3,2)&amp;"'m"&amp;MONTH(patch[[#This Row],[mergeDate]]))</f>
        <v>16'm9</v>
      </c>
      <c r="V2316" s="7" t="str">
        <f>IF(ISBLANK(patch[[#This Row],[project]]), "",SUM(patch[[#This Row],[BJ -1 num]:[SH -1 num]]))</f>
        <v/>
      </c>
      <c r="W2316" s="7" t="str">
        <f>IF(ISBLANK(patch[[#This Row],[project]]), "",COUNTIFS($A:$A,patch[[#This Row],[number]],$S:$S, "BJ And dev",$AC:$AC, "Review-1"))</f>
        <v/>
      </c>
      <c r="X2316" s="7" t="str">
        <f>IF(ISBLANK(patch[[#This Row],[project]]), "",COUNTIFS($A:$A,patch[[#This Row],[number]],$S:$S, "FL And dev",$AC:$AC, "Review-1"))</f>
        <v/>
      </c>
      <c r="Y2316" s="7" t="str">
        <f>IF(ISBLANK(patch[[#This Row],[project]]), "",COUNTIFS($A:$A,patch[[#This Row],[number]],$S:$S, "SH And dev",$AC:$AC, "Review-1"))</f>
        <v/>
      </c>
      <c r="Z2316" s="7" t="str">
        <f>IF(ISBLANK(patch[[#This Row],[project]]), "",COUNTIFS($A:$A,patch[[#This Row],[number]],$S:$S, "BJ And dev",$AD:$AD, "&lt;&gt;IntegratorValidationComment"))</f>
        <v/>
      </c>
      <c r="AA2316" s="7" t="str">
        <f>IF(ISBLANK(patch[[#This Row],[project]]), "",COUNTIFS($A:$A,patch[[#This Row],[number]],$S:$S, "FL And dev",$AD:$AD, "&lt;&gt;IntegratorValidationComment"))</f>
        <v/>
      </c>
      <c r="AB2316" s="7" t="str">
        <f>IF(ISBLANK(patch[[#This Row],[project]]), "",COUNTIFS($A:$A,patch[[#This Row],[number]],$S:$S, "SH And dev",$AD:$AD, "&lt;&gt;IntegratorValidationComment"))</f>
        <v/>
      </c>
      <c r="AC2316" s="7" t="str">
        <f>IF(OR(ISNUMBER(FIND("Review-1", patch[[#This Row],[comments]])), ISNUMBER(FIND("Approver-1", patch[[#This Row],[comments]]))), "Review-1", "")</f>
        <v/>
      </c>
      <c r="AD23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16" s="7">
        <f>IF(ISBLANK(patch[[#This Row],[number]]),AE2315,patch[[#This Row],[ifCommon]])</f>
        <v>0</v>
      </c>
    </row>
    <row r="2317" spans="1:31">
      <c r="A2317" s="151">
        <v>142788</v>
      </c>
      <c r="B2317" s="151"/>
      <c r="C2317" s="151"/>
      <c r="D2317" s="151"/>
      <c r="E2317" s="151"/>
      <c r="F2317" s="151"/>
      <c r="G2317" s="151"/>
      <c r="H2317" s="151"/>
      <c r="I2317" s="151"/>
      <c r="J2317" s="152">
        <v>42618.700671296298</v>
      </c>
      <c r="K2317" s="151"/>
      <c r="L2317" s="151" t="s">
        <v>24</v>
      </c>
      <c r="M2317" s="152">
        <v>42615.634328703702</v>
      </c>
      <c r="N2317" s="151" t="s">
        <v>27</v>
      </c>
      <c r="O2317" s="151"/>
      <c r="P2317" s="151"/>
      <c r="Q2317" s="7" t="str">
        <f>IF(ISBLANK(patch[[#This Row],[OwnerEmail]]),Q2316,patch[[#This Row],[OwnerEmail]])</f>
        <v>qingwu.zhang@intel.com</v>
      </c>
      <c r="R2317" s="7" t="str">
        <f>_xlfn.IFNA(VLOOKUP(patch[[#This Row],[tmp-owner.email]],OrgTree!$A:$K, 11, 0), "not ICG SWFW")</f>
        <v>BJ And dev</v>
      </c>
      <c r="S2317" s="7" t="str">
        <f>IF(patch[[#This Row],[reviewer]]=patch[[#This Row],[tmp-owner.email]], "author", _xlfn.IFNA(VLOOKUP(patch[[#This Row],[reviewer]],OrgTree!$A:$K, 11, 0), "not ICG SWFW"))</f>
        <v>author</v>
      </c>
      <c r="T2317" s="7" t="str">
        <f>IF(ISBLANK(patch[[#This Row],[mergeDate]]), "", MID(YEAR(patch[[#This Row],[mergeDate]]), 3,2)&amp;"'ww"&amp;WEEKNUM(patch[[#This Row],[mergeDate]]))</f>
        <v>16'ww37</v>
      </c>
      <c r="U2317" s="7" t="str">
        <f>IF(ISBLANK(patch[[#This Row],[mergeDate]]), U2316, MID(YEAR(patch[[#This Row],[mergeDate]]), 3,2)&amp;"'m"&amp;MONTH(patch[[#This Row],[mergeDate]]))</f>
        <v>16'm9</v>
      </c>
      <c r="V2317" s="7" t="str">
        <f>IF(ISBLANK(patch[[#This Row],[project]]), "",SUM(patch[[#This Row],[BJ -1 num]:[SH -1 num]]))</f>
        <v/>
      </c>
      <c r="W2317" s="7" t="str">
        <f>IF(ISBLANK(patch[[#This Row],[project]]), "",COUNTIFS($A:$A,patch[[#This Row],[number]],$S:$S, "BJ And dev",$AC:$AC, "Review-1"))</f>
        <v/>
      </c>
      <c r="X2317" s="7" t="str">
        <f>IF(ISBLANK(patch[[#This Row],[project]]), "",COUNTIFS($A:$A,patch[[#This Row],[number]],$S:$S, "FL And dev",$AC:$AC, "Review-1"))</f>
        <v/>
      </c>
      <c r="Y2317" s="7" t="str">
        <f>IF(ISBLANK(patch[[#This Row],[project]]), "",COUNTIFS($A:$A,patch[[#This Row],[number]],$S:$S, "SH And dev",$AC:$AC, "Review-1"))</f>
        <v/>
      </c>
      <c r="Z2317" s="7" t="str">
        <f>IF(ISBLANK(patch[[#This Row],[project]]), "",COUNTIFS($A:$A,patch[[#This Row],[number]],$S:$S, "BJ And dev",$AD:$AD, "&lt;&gt;IntegratorValidationComment"))</f>
        <v/>
      </c>
      <c r="AA2317" s="7" t="str">
        <f>IF(ISBLANK(patch[[#This Row],[project]]), "",COUNTIFS($A:$A,patch[[#This Row],[number]],$S:$S, "FL And dev",$AD:$AD, "&lt;&gt;IntegratorValidationComment"))</f>
        <v/>
      </c>
      <c r="AB2317" s="7" t="str">
        <f>IF(ISBLANK(patch[[#This Row],[project]]), "",COUNTIFS($A:$A,patch[[#This Row],[number]],$S:$S, "SH And dev",$AD:$AD, "&lt;&gt;IntegratorValidationComment"))</f>
        <v/>
      </c>
      <c r="AC2317" s="7" t="str">
        <f>IF(OR(ISNUMBER(FIND("Review-1", patch[[#This Row],[comments]])), ISNUMBER(FIND("Approver-1", patch[[#This Row],[comments]]))), "Review-1", "")</f>
        <v/>
      </c>
      <c r="AD23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17" s="7">
        <f>IF(ISBLANK(patch[[#This Row],[number]]),AE2316,patch[[#This Row],[ifCommon]])</f>
        <v>0</v>
      </c>
    </row>
    <row r="2318" spans="1:31">
      <c r="A2318" s="151">
        <v>142788</v>
      </c>
      <c r="B2318" s="151"/>
      <c r="C2318" s="151"/>
      <c r="D2318" s="151"/>
      <c r="E2318" s="151"/>
      <c r="F2318" s="151"/>
      <c r="G2318" s="151"/>
      <c r="H2318" s="151"/>
      <c r="I2318" s="151"/>
      <c r="J2318" s="152">
        <v>42618.700671296298</v>
      </c>
      <c r="K2318" s="151"/>
      <c r="L2318" s="151" t="s">
        <v>59</v>
      </c>
      <c r="M2318" s="152">
        <v>42615.640219907407</v>
      </c>
      <c r="N2318" s="151" t="s">
        <v>3737</v>
      </c>
      <c r="O2318" s="151"/>
      <c r="P2318" s="151"/>
      <c r="Q2318" s="7" t="str">
        <f>IF(ISBLANK(patch[[#This Row],[OwnerEmail]]),Q2317,patch[[#This Row],[OwnerEmail]])</f>
        <v>qingwu.zhang@intel.com</v>
      </c>
      <c r="R2318" s="7" t="str">
        <f>_xlfn.IFNA(VLOOKUP(patch[[#This Row],[tmp-owner.email]],OrgTree!$A:$K, 11, 0), "not ICG SWFW")</f>
        <v>BJ And dev</v>
      </c>
      <c r="S2318" s="7" t="str">
        <f>IF(patch[[#This Row],[reviewer]]=patch[[#This Row],[tmp-owner.email]], "author", _xlfn.IFNA(VLOOKUP(patch[[#This Row],[reviewer]],OrgTree!$A:$K, 11, 0), "not ICG SWFW"))</f>
        <v>BJ And dev</v>
      </c>
      <c r="T2318" s="7" t="str">
        <f>IF(ISBLANK(patch[[#This Row],[mergeDate]]), "", MID(YEAR(patch[[#This Row],[mergeDate]]), 3,2)&amp;"'ww"&amp;WEEKNUM(patch[[#This Row],[mergeDate]]))</f>
        <v>16'ww37</v>
      </c>
      <c r="U2318" s="7" t="str">
        <f>IF(ISBLANK(patch[[#This Row],[mergeDate]]), U2317, MID(YEAR(patch[[#This Row],[mergeDate]]), 3,2)&amp;"'m"&amp;MONTH(patch[[#This Row],[mergeDate]]))</f>
        <v>16'm9</v>
      </c>
      <c r="V2318" s="7" t="str">
        <f>IF(ISBLANK(patch[[#This Row],[project]]), "",SUM(patch[[#This Row],[BJ -1 num]:[SH -1 num]]))</f>
        <v/>
      </c>
      <c r="W2318" s="7" t="str">
        <f>IF(ISBLANK(patch[[#This Row],[project]]), "",COUNTIFS($A:$A,patch[[#This Row],[number]],$S:$S, "BJ And dev",$AC:$AC, "Review-1"))</f>
        <v/>
      </c>
      <c r="X2318" s="7" t="str">
        <f>IF(ISBLANK(patch[[#This Row],[project]]), "",COUNTIFS($A:$A,patch[[#This Row],[number]],$S:$S, "FL And dev",$AC:$AC, "Review-1"))</f>
        <v/>
      </c>
      <c r="Y2318" s="7" t="str">
        <f>IF(ISBLANK(patch[[#This Row],[project]]), "",COUNTIFS($A:$A,patch[[#This Row],[number]],$S:$S, "SH And dev",$AC:$AC, "Review-1"))</f>
        <v/>
      </c>
      <c r="Z2318" s="7" t="str">
        <f>IF(ISBLANK(patch[[#This Row],[project]]), "",COUNTIFS($A:$A,patch[[#This Row],[number]],$S:$S, "BJ And dev",$AD:$AD, "&lt;&gt;IntegratorValidationComment"))</f>
        <v/>
      </c>
      <c r="AA2318" s="7" t="str">
        <f>IF(ISBLANK(patch[[#This Row],[project]]), "",COUNTIFS($A:$A,patch[[#This Row],[number]],$S:$S, "FL And dev",$AD:$AD, "&lt;&gt;IntegratorValidationComment"))</f>
        <v/>
      </c>
      <c r="AB2318" s="7" t="str">
        <f>IF(ISBLANK(patch[[#This Row],[project]]), "",COUNTIFS($A:$A,patch[[#This Row],[number]],$S:$S, "SH And dev",$AD:$AD, "&lt;&gt;IntegratorValidationComment"))</f>
        <v/>
      </c>
      <c r="AC2318" s="7" t="str">
        <f>IF(OR(ISNUMBER(FIND("Review-1", patch[[#This Row],[comments]])), ISNUMBER(FIND("Approver-1", patch[[#This Row],[comments]]))), "Review-1", "")</f>
        <v/>
      </c>
      <c r="AD23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18" s="7">
        <f>IF(ISBLANK(patch[[#This Row],[number]]),AE2317,patch[[#This Row],[ifCommon]])</f>
        <v>0</v>
      </c>
    </row>
    <row r="2319" spans="1:31">
      <c r="A2319" s="151">
        <v>142788</v>
      </c>
      <c r="B2319" s="151"/>
      <c r="C2319" s="151"/>
      <c r="D2319" s="151"/>
      <c r="E2319" s="151"/>
      <c r="F2319" s="151"/>
      <c r="G2319" s="151"/>
      <c r="H2319" s="151"/>
      <c r="I2319" s="152"/>
      <c r="J2319" s="152">
        <v>42618.700671296298</v>
      </c>
      <c r="K2319" s="151"/>
      <c r="L2319" s="151" t="s">
        <v>59</v>
      </c>
      <c r="M2319" s="152">
        <v>42615.647361111107</v>
      </c>
      <c r="N2319" s="151" t="s">
        <v>3738</v>
      </c>
      <c r="O2319" s="151"/>
      <c r="P2319" s="151"/>
      <c r="Q2319" s="7" t="str">
        <f>IF(ISBLANK(patch[[#This Row],[OwnerEmail]]),Q2318,patch[[#This Row],[OwnerEmail]])</f>
        <v>qingwu.zhang@intel.com</v>
      </c>
      <c r="R2319" s="7" t="str">
        <f>_xlfn.IFNA(VLOOKUP(patch[[#This Row],[tmp-owner.email]],OrgTree!$A:$K, 11, 0), "not ICG SWFW")</f>
        <v>BJ And dev</v>
      </c>
      <c r="S2319" s="7" t="str">
        <f>IF(patch[[#This Row],[reviewer]]=patch[[#This Row],[tmp-owner.email]], "author", _xlfn.IFNA(VLOOKUP(patch[[#This Row],[reviewer]],OrgTree!$A:$K, 11, 0), "not ICG SWFW"))</f>
        <v>BJ And dev</v>
      </c>
      <c r="T2319" s="7" t="str">
        <f>IF(ISBLANK(patch[[#This Row],[mergeDate]]), "", MID(YEAR(patch[[#This Row],[mergeDate]]), 3,2)&amp;"'ww"&amp;WEEKNUM(patch[[#This Row],[mergeDate]]))</f>
        <v>16'ww37</v>
      </c>
      <c r="U2319" s="7" t="str">
        <f>IF(ISBLANK(patch[[#This Row],[mergeDate]]), U2318, MID(YEAR(patch[[#This Row],[mergeDate]]), 3,2)&amp;"'m"&amp;MONTH(patch[[#This Row],[mergeDate]]))</f>
        <v>16'm9</v>
      </c>
      <c r="V2319" s="7" t="str">
        <f>IF(ISBLANK(patch[[#This Row],[project]]), "",SUM(patch[[#This Row],[BJ -1 num]:[SH -1 num]]))</f>
        <v/>
      </c>
      <c r="W2319" s="7" t="str">
        <f>IF(ISBLANK(patch[[#This Row],[project]]), "",COUNTIFS($A:$A,patch[[#This Row],[number]],$S:$S, "BJ And dev",$AC:$AC, "Review-1"))</f>
        <v/>
      </c>
      <c r="X2319" s="7" t="str">
        <f>IF(ISBLANK(patch[[#This Row],[project]]), "",COUNTIFS($A:$A,patch[[#This Row],[number]],$S:$S, "FL And dev",$AC:$AC, "Review-1"))</f>
        <v/>
      </c>
      <c r="Y2319" s="7" t="str">
        <f>IF(ISBLANK(patch[[#This Row],[project]]), "",COUNTIFS($A:$A,patch[[#This Row],[number]],$S:$S, "SH And dev",$AC:$AC, "Review-1"))</f>
        <v/>
      </c>
      <c r="Z2319" s="7" t="str">
        <f>IF(ISBLANK(patch[[#This Row],[project]]), "",COUNTIFS($A:$A,patch[[#This Row],[number]],$S:$S, "BJ And dev",$AD:$AD, "&lt;&gt;IntegratorValidationComment"))</f>
        <v/>
      </c>
      <c r="AA2319" s="7" t="str">
        <f>IF(ISBLANK(patch[[#This Row],[project]]), "",COUNTIFS($A:$A,patch[[#This Row],[number]],$S:$S, "FL And dev",$AD:$AD, "&lt;&gt;IntegratorValidationComment"))</f>
        <v/>
      </c>
      <c r="AB2319" s="7" t="str">
        <f>IF(ISBLANK(patch[[#This Row],[project]]), "",COUNTIFS($A:$A,patch[[#This Row],[number]],$S:$S, "SH And dev",$AD:$AD, "&lt;&gt;IntegratorValidationComment"))</f>
        <v/>
      </c>
      <c r="AC2319" s="7" t="str">
        <f>IF(OR(ISNUMBER(FIND("Review-1", patch[[#This Row],[comments]])), ISNUMBER(FIND("Approver-1", patch[[#This Row],[comments]]))), "Review-1", "")</f>
        <v/>
      </c>
      <c r="AD23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19" s="7">
        <f>IF(ISBLANK(patch[[#This Row],[number]]),AE2318,patch[[#This Row],[ifCommon]])</f>
        <v>0</v>
      </c>
    </row>
    <row r="2320" spans="1:31">
      <c r="A2320" s="151">
        <v>142788</v>
      </c>
      <c r="B2320" s="151"/>
      <c r="C2320" s="151"/>
      <c r="D2320" s="151"/>
      <c r="E2320" s="151"/>
      <c r="F2320" s="151"/>
      <c r="G2320" s="151"/>
      <c r="H2320" s="151"/>
      <c r="I2320" s="151"/>
      <c r="J2320" s="152">
        <v>42618.700671296298</v>
      </c>
      <c r="K2320" s="151"/>
      <c r="L2320" s="151" t="s">
        <v>59</v>
      </c>
      <c r="M2320" s="152">
        <v>42615.67386574074</v>
      </c>
      <c r="N2320" s="151" t="s">
        <v>27</v>
      </c>
      <c r="O2320" s="151"/>
      <c r="P2320" s="151"/>
      <c r="Q2320" s="7" t="str">
        <f>IF(ISBLANK(patch[[#This Row],[OwnerEmail]]),Q2319,patch[[#This Row],[OwnerEmail]])</f>
        <v>qingwu.zhang@intel.com</v>
      </c>
      <c r="R2320" s="7" t="str">
        <f>_xlfn.IFNA(VLOOKUP(patch[[#This Row],[tmp-owner.email]],OrgTree!$A:$K, 11, 0), "not ICG SWFW")</f>
        <v>BJ And dev</v>
      </c>
      <c r="S2320" s="7" t="str">
        <f>IF(patch[[#This Row],[reviewer]]=patch[[#This Row],[tmp-owner.email]], "author", _xlfn.IFNA(VLOOKUP(patch[[#This Row],[reviewer]],OrgTree!$A:$K, 11, 0), "not ICG SWFW"))</f>
        <v>BJ And dev</v>
      </c>
      <c r="T2320" s="7" t="str">
        <f>IF(ISBLANK(patch[[#This Row],[mergeDate]]), "", MID(YEAR(patch[[#This Row],[mergeDate]]), 3,2)&amp;"'ww"&amp;WEEKNUM(patch[[#This Row],[mergeDate]]))</f>
        <v>16'ww37</v>
      </c>
      <c r="U2320" s="7" t="str">
        <f>IF(ISBLANK(patch[[#This Row],[mergeDate]]), U2319, MID(YEAR(patch[[#This Row],[mergeDate]]), 3,2)&amp;"'m"&amp;MONTH(patch[[#This Row],[mergeDate]]))</f>
        <v>16'm9</v>
      </c>
      <c r="V2320" s="7" t="str">
        <f>IF(ISBLANK(patch[[#This Row],[project]]), "",SUM(patch[[#This Row],[BJ -1 num]:[SH -1 num]]))</f>
        <v/>
      </c>
      <c r="W2320" s="7" t="str">
        <f>IF(ISBLANK(patch[[#This Row],[project]]), "",COUNTIFS($A:$A,patch[[#This Row],[number]],$S:$S, "BJ And dev",$AC:$AC, "Review-1"))</f>
        <v/>
      </c>
      <c r="X2320" s="7" t="str">
        <f>IF(ISBLANK(patch[[#This Row],[project]]), "",COUNTIFS($A:$A,patch[[#This Row],[number]],$S:$S, "FL And dev",$AC:$AC, "Review-1"))</f>
        <v/>
      </c>
      <c r="Y2320" s="7" t="str">
        <f>IF(ISBLANK(patch[[#This Row],[project]]), "",COUNTIFS($A:$A,patch[[#This Row],[number]],$S:$S, "SH And dev",$AC:$AC, "Review-1"))</f>
        <v/>
      </c>
      <c r="Z2320" s="7" t="str">
        <f>IF(ISBLANK(patch[[#This Row],[project]]), "",COUNTIFS($A:$A,patch[[#This Row],[number]],$S:$S, "BJ And dev",$AD:$AD, "&lt;&gt;IntegratorValidationComment"))</f>
        <v/>
      </c>
      <c r="AA2320" s="7" t="str">
        <f>IF(ISBLANK(patch[[#This Row],[project]]), "",COUNTIFS($A:$A,patch[[#This Row],[number]],$S:$S, "FL And dev",$AD:$AD, "&lt;&gt;IntegratorValidationComment"))</f>
        <v/>
      </c>
      <c r="AB2320" s="7" t="str">
        <f>IF(ISBLANK(patch[[#This Row],[project]]), "",COUNTIFS($A:$A,patch[[#This Row],[number]],$S:$S, "SH And dev",$AD:$AD, "&lt;&gt;IntegratorValidationComment"))</f>
        <v/>
      </c>
      <c r="AC2320" s="7" t="str">
        <f>IF(OR(ISNUMBER(FIND("Review-1", patch[[#This Row],[comments]])), ISNUMBER(FIND("Approver-1", patch[[#This Row],[comments]]))), "Review-1", "")</f>
        <v/>
      </c>
      <c r="AD23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20" s="7">
        <f>IF(ISBLANK(patch[[#This Row],[number]]),AE2319,patch[[#This Row],[ifCommon]])</f>
        <v>0</v>
      </c>
    </row>
    <row r="2321" spans="1:31">
      <c r="A2321" s="151">
        <v>142788</v>
      </c>
      <c r="B2321" s="151"/>
      <c r="C2321" s="151"/>
      <c r="D2321" s="151"/>
      <c r="E2321" s="151"/>
      <c r="F2321" s="151"/>
      <c r="G2321" s="151"/>
      <c r="H2321" s="151"/>
      <c r="I2321" s="151"/>
      <c r="J2321" s="152">
        <v>42618.700671296298</v>
      </c>
      <c r="K2321" s="151"/>
      <c r="L2321" s="151" t="s">
        <v>75</v>
      </c>
      <c r="M2321" s="152">
        <v>42615.677685185183</v>
      </c>
      <c r="N2321" s="151" t="s">
        <v>27</v>
      </c>
      <c r="O2321" s="151"/>
      <c r="P2321" s="151"/>
      <c r="Q2321" s="7" t="str">
        <f>IF(ISBLANK(patch[[#This Row],[OwnerEmail]]),Q2320,patch[[#This Row],[OwnerEmail]])</f>
        <v>qingwu.zhang@intel.com</v>
      </c>
      <c r="R2321" s="7" t="str">
        <f>_xlfn.IFNA(VLOOKUP(patch[[#This Row],[tmp-owner.email]],OrgTree!$A:$K, 11, 0), "not ICG SWFW")</f>
        <v>BJ And dev</v>
      </c>
      <c r="S2321" s="7" t="str">
        <f>IF(patch[[#This Row],[reviewer]]=patch[[#This Row],[tmp-owner.email]], "author", _xlfn.IFNA(VLOOKUP(patch[[#This Row],[reviewer]],OrgTree!$A:$K, 11, 0), "not ICG SWFW"))</f>
        <v>BJ And dev</v>
      </c>
      <c r="T2321" s="7" t="str">
        <f>IF(ISBLANK(patch[[#This Row],[mergeDate]]), "", MID(YEAR(patch[[#This Row],[mergeDate]]), 3,2)&amp;"'ww"&amp;WEEKNUM(patch[[#This Row],[mergeDate]]))</f>
        <v>16'ww37</v>
      </c>
      <c r="U2321" s="7" t="str">
        <f>IF(ISBLANK(patch[[#This Row],[mergeDate]]), U2320, MID(YEAR(patch[[#This Row],[mergeDate]]), 3,2)&amp;"'m"&amp;MONTH(patch[[#This Row],[mergeDate]]))</f>
        <v>16'm9</v>
      </c>
      <c r="V2321" s="7" t="str">
        <f>IF(ISBLANK(patch[[#This Row],[project]]), "",SUM(patch[[#This Row],[BJ -1 num]:[SH -1 num]]))</f>
        <v/>
      </c>
      <c r="W2321" s="7" t="str">
        <f>IF(ISBLANK(patch[[#This Row],[project]]), "",COUNTIFS($A:$A,patch[[#This Row],[number]],$S:$S, "BJ And dev",$AC:$AC, "Review-1"))</f>
        <v/>
      </c>
      <c r="X2321" s="7" t="str">
        <f>IF(ISBLANK(patch[[#This Row],[project]]), "",COUNTIFS($A:$A,patch[[#This Row],[number]],$S:$S, "FL And dev",$AC:$AC, "Review-1"))</f>
        <v/>
      </c>
      <c r="Y2321" s="7" t="str">
        <f>IF(ISBLANK(patch[[#This Row],[project]]), "",COUNTIFS($A:$A,patch[[#This Row],[number]],$S:$S, "SH And dev",$AC:$AC, "Review-1"))</f>
        <v/>
      </c>
      <c r="Z2321" s="7" t="str">
        <f>IF(ISBLANK(patch[[#This Row],[project]]), "",COUNTIFS($A:$A,patch[[#This Row],[number]],$S:$S, "BJ And dev",$AD:$AD, "&lt;&gt;IntegratorValidationComment"))</f>
        <v/>
      </c>
      <c r="AA2321" s="7" t="str">
        <f>IF(ISBLANK(patch[[#This Row],[project]]), "",COUNTIFS($A:$A,patch[[#This Row],[number]],$S:$S, "FL And dev",$AD:$AD, "&lt;&gt;IntegratorValidationComment"))</f>
        <v/>
      </c>
      <c r="AB2321" s="7" t="str">
        <f>IF(ISBLANK(patch[[#This Row],[project]]), "",COUNTIFS($A:$A,patch[[#This Row],[number]],$S:$S, "SH And dev",$AD:$AD, "&lt;&gt;IntegratorValidationComment"))</f>
        <v/>
      </c>
      <c r="AC2321" s="7" t="str">
        <f>IF(OR(ISNUMBER(FIND("Review-1", patch[[#This Row],[comments]])), ISNUMBER(FIND("Approver-1", patch[[#This Row],[comments]]))), "Review-1", "")</f>
        <v/>
      </c>
      <c r="AD23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21" s="7">
        <f>IF(ISBLANK(patch[[#This Row],[number]]),AE2320,patch[[#This Row],[ifCommon]])</f>
        <v>0</v>
      </c>
    </row>
    <row r="2322" spans="1:31">
      <c r="A2322" s="151">
        <v>142788</v>
      </c>
      <c r="B2322" s="151"/>
      <c r="C2322" s="151"/>
      <c r="D2322" s="151"/>
      <c r="E2322" s="151"/>
      <c r="F2322" s="151"/>
      <c r="G2322" s="151"/>
      <c r="H2322" s="151"/>
      <c r="I2322" s="151"/>
      <c r="J2322" s="152">
        <v>42618.700671296298</v>
      </c>
      <c r="K2322" s="151"/>
      <c r="L2322" s="151" t="s">
        <v>1237</v>
      </c>
      <c r="M2322" s="152">
        <v>42615.704421296286</v>
      </c>
      <c r="N2322" s="151" t="s">
        <v>27</v>
      </c>
      <c r="O2322" s="151"/>
      <c r="P2322" s="151"/>
      <c r="Q2322" s="7" t="str">
        <f>IF(ISBLANK(patch[[#This Row],[OwnerEmail]]),Q2321,patch[[#This Row],[OwnerEmail]])</f>
        <v>qingwu.zhang@intel.com</v>
      </c>
      <c r="R2322" s="7" t="str">
        <f>_xlfn.IFNA(VLOOKUP(patch[[#This Row],[tmp-owner.email]],OrgTree!$A:$K, 11, 0), "not ICG SWFW")</f>
        <v>BJ And dev</v>
      </c>
      <c r="S2322" s="7" t="str">
        <f>IF(patch[[#This Row],[reviewer]]=patch[[#This Row],[tmp-owner.email]], "author", _xlfn.IFNA(VLOOKUP(patch[[#This Row],[reviewer]],OrgTree!$A:$K, 11, 0), "not ICG SWFW"))</f>
        <v>BJ And dev</v>
      </c>
      <c r="T2322" s="7" t="str">
        <f>IF(ISBLANK(patch[[#This Row],[mergeDate]]), "", MID(YEAR(patch[[#This Row],[mergeDate]]), 3,2)&amp;"'ww"&amp;WEEKNUM(patch[[#This Row],[mergeDate]]))</f>
        <v>16'ww37</v>
      </c>
      <c r="U2322" s="7" t="str">
        <f>IF(ISBLANK(patch[[#This Row],[mergeDate]]), U2321, MID(YEAR(patch[[#This Row],[mergeDate]]), 3,2)&amp;"'m"&amp;MONTH(patch[[#This Row],[mergeDate]]))</f>
        <v>16'm9</v>
      </c>
      <c r="V2322" s="7" t="str">
        <f>IF(ISBLANK(patch[[#This Row],[project]]), "",SUM(patch[[#This Row],[BJ -1 num]:[SH -1 num]]))</f>
        <v/>
      </c>
      <c r="W2322" s="7" t="str">
        <f>IF(ISBLANK(patch[[#This Row],[project]]), "",COUNTIFS($A:$A,patch[[#This Row],[number]],$S:$S, "BJ And dev",$AC:$AC, "Review-1"))</f>
        <v/>
      </c>
      <c r="X2322" s="7" t="str">
        <f>IF(ISBLANK(patch[[#This Row],[project]]), "",COUNTIFS($A:$A,patch[[#This Row],[number]],$S:$S, "FL And dev",$AC:$AC, "Review-1"))</f>
        <v/>
      </c>
      <c r="Y2322" s="7" t="str">
        <f>IF(ISBLANK(patch[[#This Row],[project]]), "",COUNTIFS($A:$A,patch[[#This Row],[number]],$S:$S, "SH And dev",$AC:$AC, "Review-1"))</f>
        <v/>
      </c>
      <c r="Z2322" s="7" t="str">
        <f>IF(ISBLANK(patch[[#This Row],[project]]), "",COUNTIFS($A:$A,patch[[#This Row],[number]],$S:$S, "BJ And dev",$AD:$AD, "&lt;&gt;IntegratorValidationComment"))</f>
        <v/>
      </c>
      <c r="AA2322" s="7" t="str">
        <f>IF(ISBLANK(patch[[#This Row],[project]]), "",COUNTIFS($A:$A,patch[[#This Row],[number]],$S:$S, "FL And dev",$AD:$AD, "&lt;&gt;IntegratorValidationComment"))</f>
        <v/>
      </c>
      <c r="AB2322" s="7" t="str">
        <f>IF(ISBLANK(patch[[#This Row],[project]]), "",COUNTIFS($A:$A,patch[[#This Row],[number]],$S:$S, "SH And dev",$AD:$AD, "&lt;&gt;IntegratorValidationComment"))</f>
        <v/>
      </c>
      <c r="AC2322" s="7" t="str">
        <f>IF(OR(ISNUMBER(FIND("Review-1", patch[[#This Row],[comments]])), ISNUMBER(FIND("Approver-1", patch[[#This Row],[comments]]))), "Review-1", "")</f>
        <v/>
      </c>
      <c r="AD23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22" s="7">
        <f>IF(ISBLANK(patch[[#This Row],[number]]),AE2321,patch[[#This Row],[ifCommon]])</f>
        <v>0</v>
      </c>
    </row>
    <row r="2323" spans="1:31">
      <c r="A2323" s="151">
        <v>142788</v>
      </c>
      <c r="B2323" s="151"/>
      <c r="C2323" s="151"/>
      <c r="D2323" s="151"/>
      <c r="E2323" s="151"/>
      <c r="F2323" s="151"/>
      <c r="G2323" s="151"/>
      <c r="H2323" s="151"/>
      <c r="I2323" s="151"/>
      <c r="J2323" s="152">
        <v>42618.700671296298</v>
      </c>
      <c r="K2323" s="151"/>
      <c r="L2323" s="151" t="s">
        <v>59</v>
      </c>
      <c r="M2323" s="152">
        <v>42615.711377314823</v>
      </c>
      <c r="N2323" s="151" t="s">
        <v>42</v>
      </c>
      <c r="O2323" s="151"/>
      <c r="P2323" s="151"/>
      <c r="Q2323" s="7" t="str">
        <f>IF(ISBLANK(patch[[#This Row],[OwnerEmail]]),Q2322,patch[[#This Row],[OwnerEmail]])</f>
        <v>qingwu.zhang@intel.com</v>
      </c>
      <c r="R2323" s="7" t="str">
        <f>_xlfn.IFNA(VLOOKUP(patch[[#This Row],[tmp-owner.email]],OrgTree!$A:$K, 11, 0), "not ICG SWFW")</f>
        <v>BJ And dev</v>
      </c>
      <c r="S2323" s="7" t="str">
        <f>IF(patch[[#This Row],[reviewer]]=patch[[#This Row],[tmp-owner.email]], "author", _xlfn.IFNA(VLOOKUP(patch[[#This Row],[reviewer]],OrgTree!$A:$K, 11, 0), "not ICG SWFW"))</f>
        <v>BJ And dev</v>
      </c>
      <c r="T2323" s="7" t="str">
        <f>IF(ISBLANK(patch[[#This Row],[mergeDate]]), "", MID(YEAR(patch[[#This Row],[mergeDate]]), 3,2)&amp;"'ww"&amp;WEEKNUM(patch[[#This Row],[mergeDate]]))</f>
        <v>16'ww37</v>
      </c>
      <c r="U2323" s="7" t="str">
        <f>IF(ISBLANK(patch[[#This Row],[mergeDate]]), U2322, MID(YEAR(patch[[#This Row],[mergeDate]]), 3,2)&amp;"'m"&amp;MONTH(patch[[#This Row],[mergeDate]]))</f>
        <v>16'm9</v>
      </c>
      <c r="V2323" s="7" t="str">
        <f>IF(ISBLANK(patch[[#This Row],[project]]), "",SUM(patch[[#This Row],[BJ -1 num]:[SH -1 num]]))</f>
        <v/>
      </c>
      <c r="W2323" s="7" t="str">
        <f>IF(ISBLANK(patch[[#This Row],[project]]), "",COUNTIFS($A:$A,patch[[#This Row],[number]],$S:$S, "BJ And dev",$AC:$AC, "Review-1"))</f>
        <v/>
      </c>
      <c r="X2323" s="7" t="str">
        <f>IF(ISBLANK(patch[[#This Row],[project]]), "",COUNTIFS($A:$A,patch[[#This Row],[number]],$S:$S, "FL And dev",$AC:$AC, "Review-1"))</f>
        <v/>
      </c>
      <c r="Y2323" s="7" t="str">
        <f>IF(ISBLANK(patch[[#This Row],[project]]), "",COUNTIFS($A:$A,patch[[#This Row],[number]],$S:$S, "SH And dev",$AC:$AC, "Review-1"))</f>
        <v/>
      </c>
      <c r="Z2323" s="7" t="str">
        <f>IF(ISBLANK(patch[[#This Row],[project]]), "",COUNTIFS($A:$A,patch[[#This Row],[number]],$S:$S, "BJ And dev",$AD:$AD, "&lt;&gt;IntegratorValidationComment"))</f>
        <v/>
      </c>
      <c r="AA2323" s="7" t="str">
        <f>IF(ISBLANK(patch[[#This Row],[project]]), "",COUNTIFS($A:$A,patch[[#This Row],[number]],$S:$S, "FL And dev",$AD:$AD, "&lt;&gt;IntegratorValidationComment"))</f>
        <v/>
      </c>
      <c r="AB2323" s="7" t="str">
        <f>IF(ISBLANK(patch[[#This Row],[project]]), "",COUNTIFS($A:$A,patch[[#This Row],[number]],$S:$S, "SH And dev",$AD:$AD, "&lt;&gt;IntegratorValidationComment"))</f>
        <v/>
      </c>
      <c r="AC2323" s="7" t="str">
        <f>IF(OR(ISNUMBER(FIND("Review-1", patch[[#This Row],[comments]])), ISNUMBER(FIND("Approver-1", patch[[#This Row],[comments]]))), "Review-1", "")</f>
        <v/>
      </c>
      <c r="AD23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23" s="7">
        <f>IF(ISBLANK(patch[[#This Row],[number]]),AE2322,patch[[#This Row],[ifCommon]])</f>
        <v>0</v>
      </c>
    </row>
    <row r="2324" spans="1:31">
      <c r="A2324" s="151">
        <v>142788</v>
      </c>
      <c r="B2324" s="151"/>
      <c r="C2324" s="151"/>
      <c r="D2324" s="151"/>
      <c r="E2324" s="151"/>
      <c r="F2324" s="151"/>
      <c r="G2324" s="151"/>
      <c r="H2324" s="151"/>
      <c r="I2324" s="151"/>
      <c r="J2324" s="152">
        <v>42618.700671296298</v>
      </c>
      <c r="K2324" s="151"/>
      <c r="L2324" s="151" t="s">
        <v>115</v>
      </c>
      <c r="M2324" s="152">
        <v>42618.418796296297</v>
      </c>
      <c r="N2324" s="151" t="s">
        <v>2495</v>
      </c>
      <c r="O2324" s="151"/>
      <c r="P2324" s="151"/>
      <c r="Q2324" s="7" t="str">
        <f>IF(ISBLANK(patch[[#This Row],[OwnerEmail]]),Q2323,patch[[#This Row],[OwnerEmail]])</f>
        <v>qingwu.zhang@intel.com</v>
      </c>
      <c r="R2324" s="7" t="str">
        <f>_xlfn.IFNA(VLOOKUP(patch[[#This Row],[tmp-owner.email]],OrgTree!$A:$K, 11, 0), "not ICG SWFW")</f>
        <v>BJ And dev</v>
      </c>
      <c r="S2324" s="7" t="str">
        <f>IF(patch[[#This Row],[reviewer]]=patch[[#This Row],[tmp-owner.email]], "author", _xlfn.IFNA(VLOOKUP(patch[[#This Row],[reviewer]],OrgTree!$A:$K, 11, 0), "not ICG SWFW"))</f>
        <v>Val</v>
      </c>
      <c r="T2324" s="7" t="str">
        <f>IF(ISBLANK(patch[[#This Row],[mergeDate]]), "", MID(YEAR(patch[[#This Row],[mergeDate]]), 3,2)&amp;"'ww"&amp;WEEKNUM(patch[[#This Row],[mergeDate]]))</f>
        <v>16'ww37</v>
      </c>
      <c r="U2324" s="7" t="str">
        <f>IF(ISBLANK(patch[[#This Row],[mergeDate]]), U2323, MID(YEAR(patch[[#This Row],[mergeDate]]), 3,2)&amp;"'m"&amp;MONTH(patch[[#This Row],[mergeDate]]))</f>
        <v>16'm9</v>
      </c>
      <c r="V2324" s="7" t="str">
        <f>IF(ISBLANK(patch[[#This Row],[project]]), "",SUM(patch[[#This Row],[BJ -1 num]:[SH -1 num]]))</f>
        <v/>
      </c>
      <c r="W2324" s="7" t="str">
        <f>IF(ISBLANK(patch[[#This Row],[project]]), "",COUNTIFS($A:$A,patch[[#This Row],[number]],$S:$S, "BJ And dev",$AC:$AC, "Review-1"))</f>
        <v/>
      </c>
      <c r="X2324" s="7" t="str">
        <f>IF(ISBLANK(patch[[#This Row],[project]]), "",COUNTIFS($A:$A,patch[[#This Row],[number]],$S:$S, "FL And dev",$AC:$AC, "Review-1"))</f>
        <v/>
      </c>
      <c r="Y2324" s="7" t="str">
        <f>IF(ISBLANK(patch[[#This Row],[project]]), "",COUNTIFS($A:$A,patch[[#This Row],[number]],$S:$S, "SH And dev",$AC:$AC, "Review-1"))</f>
        <v/>
      </c>
      <c r="Z2324" s="7" t="str">
        <f>IF(ISBLANK(patch[[#This Row],[project]]), "",COUNTIFS($A:$A,patch[[#This Row],[number]],$S:$S, "BJ And dev",$AD:$AD, "&lt;&gt;IntegratorValidationComment"))</f>
        <v/>
      </c>
      <c r="AA2324" s="7" t="str">
        <f>IF(ISBLANK(patch[[#This Row],[project]]), "",COUNTIFS($A:$A,patch[[#This Row],[number]],$S:$S, "FL And dev",$AD:$AD, "&lt;&gt;IntegratorValidationComment"))</f>
        <v/>
      </c>
      <c r="AB2324" s="7" t="str">
        <f>IF(ISBLANK(patch[[#This Row],[project]]), "",COUNTIFS($A:$A,patch[[#This Row],[number]],$S:$S, "SH And dev",$AD:$AD, "&lt;&gt;IntegratorValidationComment"))</f>
        <v/>
      </c>
      <c r="AC2324" s="7" t="str">
        <f>IF(OR(ISNUMBER(FIND("Review-1", patch[[#This Row],[comments]])), ISNUMBER(FIND("Approver-1", patch[[#This Row],[comments]]))), "Review-1", "")</f>
        <v/>
      </c>
      <c r="AD23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324" s="7">
        <f>IF(ISBLANK(patch[[#This Row],[number]]),AE2323,patch[[#This Row],[ifCommon]])</f>
        <v>0</v>
      </c>
    </row>
    <row r="2325" spans="1:31">
      <c r="A2325" s="151">
        <v>142787</v>
      </c>
      <c r="B2325" s="151" t="s">
        <v>2490</v>
      </c>
      <c r="C2325" s="151" t="s">
        <v>2491</v>
      </c>
      <c r="D2325" s="151" t="s">
        <v>3739</v>
      </c>
      <c r="E2325" s="151" t="s">
        <v>55</v>
      </c>
      <c r="F2325" s="151" t="s">
        <v>23</v>
      </c>
      <c r="G2325" s="151" t="s">
        <v>3740</v>
      </c>
      <c r="H2325" s="151" t="s">
        <v>3741</v>
      </c>
      <c r="I2325" s="152">
        <v>42614.669675925928</v>
      </c>
      <c r="J2325" s="152">
        <v>42618.700613425928</v>
      </c>
      <c r="K2325" s="151" t="s">
        <v>2445</v>
      </c>
      <c r="L2325" s="151" t="s">
        <v>55</v>
      </c>
      <c r="M2325" s="152">
        <v>42614.669675925928</v>
      </c>
      <c r="N2325" s="151" t="s">
        <v>25</v>
      </c>
      <c r="O2325" s="151"/>
      <c r="P2325" s="151" t="s">
        <v>2520</v>
      </c>
      <c r="Q2325" s="7" t="str">
        <f>IF(ISBLANK(patch[[#This Row],[OwnerEmail]]),Q2324,patch[[#This Row],[OwnerEmail]])</f>
        <v>liang.l.yang@intel.com</v>
      </c>
      <c r="R2325" s="7" t="str">
        <f>_xlfn.IFNA(VLOOKUP(patch[[#This Row],[tmp-owner.email]],OrgTree!$A:$K, 11, 0), "not ICG SWFW")</f>
        <v>BJ And dev</v>
      </c>
      <c r="S2325" s="7" t="str">
        <f>IF(patch[[#This Row],[reviewer]]=patch[[#This Row],[tmp-owner.email]], "author", _xlfn.IFNA(VLOOKUP(patch[[#This Row],[reviewer]],OrgTree!$A:$K, 11, 0), "not ICG SWFW"))</f>
        <v>author</v>
      </c>
      <c r="T2325" s="7" t="str">
        <f>IF(ISBLANK(patch[[#This Row],[mergeDate]]), "", MID(YEAR(patch[[#This Row],[mergeDate]]), 3,2)&amp;"'ww"&amp;WEEKNUM(patch[[#This Row],[mergeDate]]))</f>
        <v>16'ww37</v>
      </c>
      <c r="U2325" s="7" t="str">
        <f>IF(ISBLANK(patch[[#This Row],[mergeDate]]), U2324, MID(YEAR(patch[[#This Row],[mergeDate]]), 3,2)&amp;"'m"&amp;MONTH(patch[[#This Row],[mergeDate]]))</f>
        <v>16'm9</v>
      </c>
      <c r="V2325" s="7">
        <f>IF(ISBLANK(patch[[#This Row],[project]]), "",SUM(patch[[#This Row],[BJ -1 num]:[SH -1 num]]))</f>
        <v>0</v>
      </c>
      <c r="W2325" s="7">
        <f>IF(ISBLANK(patch[[#This Row],[project]]), "",COUNTIFS($A:$A,patch[[#This Row],[number]],$S:$S, "BJ And dev",$AC:$AC, "Review-1"))</f>
        <v>0</v>
      </c>
      <c r="X2325" s="7">
        <f>IF(ISBLANK(patch[[#This Row],[project]]), "",COUNTIFS($A:$A,patch[[#This Row],[number]],$S:$S, "FL And dev",$AC:$AC, "Review-1"))</f>
        <v>0</v>
      </c>
      <c r="Y2325" s="7">
        <f>IF(ISBLANK(patch[[#This Row],[project]]), "",COUNTIFS($A:$A,patch[[#This Row],[number]],$S:$S, "SH And dev",$AC:$AC, "Review-1"))</f>
        <v>0</v>
      </c>
      <c r="Z2325" s="7">
        <f>IF(ISBLANK(patch[[#This Row],[project]]), "",COUNTIFS($A:$A,patch[[#This Row],[number]],$S:$S, "BJ And dev",$AD:$AD, "&lt;&gt;IntegratorValidationComment"))</f>
        <v>20</v>
      </c>
      <c r="AA2325" s="7">
        <f>IF(ISBLANK(patch[[#This Row],[project]]), "",COUNTIFS($A:$A,patch[[#This Row],[number]],$S:$S, "FL And dev",$AD:$AD, "&lt;&gt;IntegratorValidationComment"))</f>
        <v>0</v>
      </c>
      <c r="AB2325" s="7">
        <f>IF(ISBLANK(patch[[#This Row],[project]]), "",COUNTIFS($A:$A,patch[[#This Row],[number]],$S:$S, "SH And dev",$AD:$AD, "&lt;&gt;IntegratorValidationComment"))</f>
        <v>0</v>
      </c>
      <c r="AC2325" s="7" t="str">
        <f>IF(OR(ISNUMBER(FIND("Review-1", patch[[#This Row],[comments]])), ISNUMBER(FIND("Approver-1", patch[[#This Row],[comments]]))), "Review-1", "")</f>
        <v/>
      </c>
      <c r="AD23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25" s="7" t="str">
        <f>IF(ISBLANK(patch[[#This Row],[number]]),AE2324,patch[[#This Row],[ifCommon]])</f>
        <v>not AndrHAL</v>
      </c>
    </row>
    <row r="2326" spans="1:31">
      <c r="A2326" s="151">
        <v>142787</v>
      </c>
      <c r="B2326" s="151"/>
      <c r="C2326" s="151"/>
      <c r="D2326" s="151"/>
      <c r="E2326" s="151"/>
      <c r="F2326" s="151"/>
      <c r="G2326" s="151"/>
      <c r="H2326" s="151"/>
      <c r="I2326" s="151"/>
      <c r="J2326" s="152">
        <v>42618.700613425928</v>
      </c>
      <c r="K2326" s="151"/>
      <c r="L2326" s="151" t="s">
        <v>55</v>
      </c>
      <c r="M2326" s="152">
        <v>42614.669687499998</v>
      </c>
      <c r="N2326" s="151" t="s">
        <v>2428</v>
      </c>
      <c r="O2326" s="151"/>
      <c r="P2326" s="151"/>
      <c r="Q2326" s="7" t="str">
        <f>IF(ISBLANK(patch[[#This Row],[OwnerEmail]]),Q2325,patch[[#This Row],[OwnerEmail]])</f>
        <v>liang.l.yang@intel.com</v>
      </c>
      <c r="R2326" s="7" t="str">
        <f>_xlfn.IFNA(VLOOKUP(patch[[#This Row],[tmp-owner.email]],OrgTree!$A:$K, 11, 0), "not ICG SWFW")</f>
        <v>BJ And dev</v>
      </c>
      <c r="S2326" s="7" t="str">
        <f>IF(patch[[#This Row],[reviewer]]=patch[[#This Row],[tmp-owner.email]], "author", _xlfn.IFNA(VLOOKUP(patch[[#This Row],[reviewer]],OrgTree!$A:$K, 11, 0), "not ICG SWFW"))</f>
        <v>author</v>
      </c>
      <c r="T2326" s="7" t="str">
        <f>IF(ISBLANK(patch[[#This Row],[mergeDate]]), "", MID(YEAR(patch[[#This Row],[mergeDate]]), 3,2)&amp;"'ww"&amp;WEEKNUM(patch[[#This Row],[mergeDate]]))</f>
        <v>16'ww37</v>
      </c>
      <c r="U2326" s="7" t="str">
        <f>IF(ISBLANK(patch[[#This Row],[mergeDate]]), U2325, MID(YEAR(patch[[#This Row],[mergeDate]]), 3,2)&amp;"'m"&amp;MONTH(patch[[#This Row],[mergeDate]]))</f>
        <v>16'm9</v>
      </c>
      <c r="V2326" s="7" t="str">
        <f>IF(ISBLANK(patch[[#This Row],[project]]), "",SUM(patch[[#This Row],[BJ -1 num]:[SH -1 num]]))</f>
        <v/>
      </c>
      <c r="W2326" s="7" t="str">
        <f>IF(ISBLANK(patch[[#This Row],[project]]), "",COUNTIFS($A:$A,patch[[#This Row],[number]],$S:$S, "BJ And dev",$AC:$AC, "Review-1"))</f>
        <v/>
      </c>
      <c r="X2326" s="7" t="str">
        <f>IF(ISBLANK(patch[[#This Row],[project]]), "",COUNTIFS($A:$A,patch[[#This Row],[number]],$S:$S, "FL And dev",$AC:$AC, "Review-1"))</f>
        <v/>
      </c>
      <c r="Y2326" s="7" t="str">
        <f>IF(ISBLANK(patch[[#This Row],[project]]), "",COUNTIFS($A:$A,patch[[#This Row],[number]],$S:$S, "SH And dev",$AC:$AC, "Review-1"))</f>
        <v/>
      </c>
      <c r="Z2326" s="7" t="str">
        <f>IF(ISBLANK(patch[[#This Row],[project]]), "",COUNTIFS($A:$A,patch[[#This Row],[number]],$S:$S, "BJ And dev",$AD:$AD, "&lt;&gt;IntegratorValidationComment"))</f>
        <v/>
      </c>
      <c r="AA2326" s="7" t="str">
        <f>IF(ISBLANK(patch[[#This Row],[project]]), "",COUNTIFS($A:$A,patch[[#This Row],[number]],$S:$S, "FL And dev",$AD:$AD, "&lt;&gt;IntegratorValidationComment"))</f>
        <v/>
      </c>
      <c r="AB2326" s="7" t="str">
        <f>IF(ISBLANK(patch[[#This Row],[project]]), "",COUNTIFS($A:$A,patch[[#This Row],[number]],$S:$S, "SH And dev",$AD:$AD, "&lt;&gt;IntegratorValidationComment"))</f>
        <v/>
      </c>
      <c r="AC2326" s="7" t="str">
        <f>IF(OR(ISNUMBER(FIND("Review-1", patch[[#This Row],[comments]])), ISNUMBER(FIND("Approver-1", patch[[#This Row],[comments]]))), "Review-1", "")</f>
        <v/>
      </c>
      <c r="AD23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26" s="7">
        <f>IF(ISBLANK(patch[[#This Row],[number]]),AE2325,patch[[#This Row],[ifCommon]])</f>
        <v>0</v>
      </c>
    </row>
    <row r="2327" spans="1:31">
      <c r="A2327" s="151">
        <v>142787</v>
      </c>
      <c r="B2327" s="151"/>
      <c r="C2327" s="151"/>
      <c r="D2327" s="151"/>
      <c r="E2327" s="151"/>
      <c r="F2327" s="151"/>
      <c r="G2327" s="151"/>
      <c r="H2327" s="151"/>
      <c r="I2327" s="151"/>
      <c r="J2327" s="152">
        <v>42618.700613425928</v>
      </c>
      <c r="K2327" s="151"/>
      <c r="L2327" s="151" t="s">
        <v>59</v>
      </c>
      <c r="M2327" s="152">
        <v>42614.67560185185</v>
      </c>
      <c r="N2327" s="151" t="s">
        <v>3742</v>
      </c>
      <c r="O2327" s="151"/>
      <c r="P2327" s="151"/>
      <c r="Q2327" s="7" t="str">
        <f>IF(ISBLANK(patch[[#This Row],[OwnerEmail]]),Q2326,patch[[#This Row],[OwnerEmail]])</f>
        <v>liang.l.yang@intel.com</v>
      </c>
      <c r="R2327" s="7" t="str">
        <f>_xlfn.IFNA(VLOOKUP(patch[[#This Row],[tmp-owner.email]],OrgTree!$A:$K, 11, 0), "not ICG SWFW")</f>
        <v>BJ And dev</v>
      </c>
      <c r="S2327" s="7" t="str">
        <f>IF(patch[[#This Row],[reviewer]]=patch[[#This Row],[tmp-owner.email]], "author", _xlfn.IFNA(VLOOKUP(patch[[#This Row],[reviewer]],OrgTree!$A:$K, 11, 0), "not ICG SWFW"))</f>
        <v>BJ And dev</v>
      </c>
      <c r="T2327" s="7" t="str">
        <f>IF(ISBLANK(patch[[#This Row],[mergeDate]]), "", MID(YEAR(patch[[#This Row],[mergeDate]]), 3,2)&amp;"'ww"&amp;WEEKNUM(patch[[#This Row],[mergeDate]]))</f>
        <v>16'ww37</v>
      </c>
      <c r="U2327" s="7" t="str">
        <f>IF(ISBLANK(patch[[#This Row],[mergeDate]]), U2326, MID(YEAR(patch[[#This Row],[mergeDate]]), 3,2)&amp;"'m"&amp;MONTH(patch[[#This Row],[mergeDate]]))</f>
        <v>16'm9</v>
      </c>
      <c r="V2327" s="7" t="str">
        <f>IF(ISBLANK(patch[[#This Row],[project]]), "",SUM(patch[[#This Row],[BJ -1 num]:[SH -1 num]]))</f>
        <v/>
      </c>
      <c r="W2327" s="7" t="str">
        <f>IF(ISBLANK(patch[[#This Row],[project]]), "",COUNTIFS($A:$A,patch[[#This Row],[number]],$S:$S, "BJ And dev",$AC:$AC, "Review-1"))</f>
        <v/>
      </c>
      <c r="X2327" s="7" t="str">
        <f>IF(ISBLANK(patch[[#This Row],[project]]), "",COUNTIFS($A:$A,patch[[#This Row],[number]],$S:$S, "FL And dev",$AC:$AC, "Review-1"))</f>
        <v/>
      </c>
      <c r="Y2327" s="7" t="str">
        <f>IF(ISBLANK(patch[[#This Row],[project]]), "",COUNTIFS($A:$A,patch[[#This Row],[number]],$S:$S, "SH And dev",$AC:$AC, "Review-1"))</f>
        <v/>
      </c>
      <c r="Z2327" s="7" t="str">
        <f>IF(ISBLANK(patch[[#This Row],[project]]), "",COUNTIFS($A:$A,patch[[#This Row],[number]],$S:$S, "BJ And dev",$AD:$AD, "&lt;&gt;IntegratorValidationComment"))</f>
        <v/>
      </c>
      <c r="AA2327" s="7" t="str">
        <f>IF(ISBLANK(patch[[#This Row],[project]]), "",COUNTIFS($A:$A,patch[[#This Row],[number]],$S:$S, "FL And dev",$AD:$AD, "&lt;&gt;IntegratorValidationComment"))</f>
        <v/>
      </c>
      <c r="AB2327" s="7" t="str">
        <f>IF(ISBLANK(patch[[#This Row],[project]]), "",COUNTIFS($A:$A,patch[[#This Row],[number]],$S:$S, "SH And dev",$AD:$AD, "&lt;&gt;IntegratorValidationComment"))</f>
        <v/>
      </c>
      <c r="AC2327" s="7" t="str">
        <f>IF(OR(ISNUMBER(FIND("Review-1", patch[[#This Row],[comments]])), ISNUMBER(FIND("Approver-1", patch[[#This Row],[comments]]))), "Review-1", "")</f>
        <v/>
      </c>
      <c r="AD23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27" s="7">
        <f>IF(ISBLANK(patch[[#This Row],[number]]),AE2326,patch[[#This Row],[ifCommon]])</f>
        <v>0</v>
      </c>
    </row>
    <row r="2328" spans="1:31">
      <c r="A2328" s="151">
        <v>142787</v>
      </c>
      <c r="B2328" s="151"/>
      <c r="C2328" s="151"/>
      <c r="D2328" s="151"/>
      <c r="E2328" s="151"/>
      <c r="F2328" s="151"/>
      <c r="G2328" s="151"/>
      <c r="H2328" s="151"/>
      <c r="I2328" s="151"/>
      <c r="J2328" s="152">
        <v>42618.700613425928</v>
      </c>
      <c r="K2328" s="151"/>
      <c r="L2328" s="151" t="s">
        <v>55</v>
      </c>
      <c r="M2328" s="152">
        <v>42614.707719907397</v>
      </c>
      <c r="N2328" s="151" t="s">
        <v>2429</v>
      </c>
      <c r="O2328" s="151"/>
      <c r="P2328" s="151"/>
      <c r="Q2328" s="7" t="str">
        <f>IF(ISBLANK(patch[[#This Row],[OwnerEmail]]),Q2327,patch[[#This Row],[OwnerEmail]])</f>
        <v>liang.l.yang@intel.com</v>
      </c>
      <c r="R2328" s="7" t="str">
        <f>_xlfn.IFNA(VLOOKUP(patch[[#This Row],[tmp-owner.email]],OrgTree!$A:$K, 11, 0), "not ICG SWFW")</f>
        <v>BJ And dev</v>
      </c>
      <c r="S2328" s="7" t="str">
        <f>IF(patch[[#This Row],[reviewer]]=patch[[#This Row],[tmp-owner.email]], "author", _xlfn.IFNA(VLOOKUP(patch[[#This Row],[reviewer]],OrgTree!$A:$K, 11, 0), "not ICG SWFW"))</f>
        <v>author</v>
      </c>
      <c r="T2328" s="7" t="str">
        <f>IF(ISBLANK(patch[[#This Row],[mergeDate]]), "", MID(YEAR(patch[[#This Row],[mergeDate]]), 3,2)&amp;"'ww"&amp;WEEKNUM(patch[[#This Row],[mergeDate]]))</f>
        <v>16'ww37</v>
      </c>
      <c r="U2328" s="7" t="str">
        <f>IF(ISBLANK(patch[[#This Row],[mergeDate]]), U2327, MID(YEAR(patch[[#This Row],[mergeDate]]), 3,2)&amp;"'m"&amp;MONTH(patch[[#This Row],[mergeDate]]))</f>
        <v>16'm9</v>
      </c>
      <c r="V2328" s="7" t="str">
        <f>IF(ISBLANK(patch[[#This Row],[project]]), "",SUM(patch[[#This Row],[BJ -1 num]:[SH -1 num]]))</f>
        <v/>
      </c>
      <c r="W2328" s="7" t="str">
        <f>IF(ISBLANK(patch[[#This Row],[project]]), "",COUNTIFS($A:$A,patch[[#This Row],[number]],$S:$S, "BJ And dev",$AC:$AC, "Review-1"))</f>
        <v/>
      </c>
      <c r="X2328" s="7" t="str">
        <f>IF(ISBLANK(patch[[#This Row],[project]]), "",COUNTIFS($A:$A,patch[[#This Row],[number]],$S:$S, "FL And dev",$AC:$AC, "Review-1"))</f>
        <v/>
      </c>
      <c r="Y2328" s="7" t="str">
        <f>IF(ISBLANK(patch[[#This Row],[project]]), "",COUNTIFS($A:$A,patch[[#This Row],[number]],$S:$S, "SH And dev",$AC:$AC, "Review-1"))</f>
        <v/>
      </c>
      <c r="Z2328" s="7" t="str">
        <f>IF(ISBLANK(patch[[#This Row],[project]]), "",COUNTIFS($A:$A,patch[[#This Row],[number]],$S:$S, "BJ And dev",$AD:$AD, "&lt;&gt;IntegratorValidationComment"))</f>
        <v/>
      </c>
      <c r="AA2328" s="7" t="str">
        <f>IF(ISBLANK(patch[[#This Row],[project]]), "",COUNTIFS($A:$A,patch[[#This Row],[number]],$S:$S, "FL And dev",$AD:$AD, "&lt;&gt;IntegratorValidationComment"))</f>
        <v/>
      </c>
      <c r="AB2328" s="7" t="str">
        <f>IF(ISBLANK(patch[[#This Row],[project]]), "",COUNTIFS($A:$A,patch[[#This Row],[number]],$S:$S, "SH And dev",$AD:$AD, "&lt;&gt;IntegratorValidationComment"))</f>
        <v/>
      </c>
      <c r="AC2328" s="7" t="str">
        <f>IF(OR(ISNUMBER(FIND("Review-1", patch[[#This Row],[comments]])), ISNUMBER(FIND("Approver-1", patch[[#This Row],[comments]]))), "Review-1", "")</f>
        <v/>
      </c>
      <c r="AD23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28" s="7">
        <f>IF(ISBLANK(patch[[#This Row],[number]]),AE2327,patch[[#This Row],[ifCommon]])</f>
        <v>0</v>
      </c>
    </row>
    <row r="2329" spans="1:31">
      <c r="A2329" s="151">
        <v>142787</v>
      </c>
      <c r="B2329" s="151"/>
      <c r="C2329" s="151"/>
      <c r="D2329" s="151"/>
      <c r="E2329" s="151"/>
      <c r="F2329" s="151"/>
      <c r="G2329" s="151"/>
      <c r="H2329" s="151"/>
      <c r="I2329" s="151"/>
      <c r="J2329" s="152">
        <v>42618.700613425928</v>
      </c>
      <c r="K2329" s="151"/>
      <c r="L2329" s="151" t="s">
        <v>55</v>
      </c>
      <c r="M2329" s="152">
        <v>42614.707719907397</v>
      </c>
      <c r="N2329" s="151" t="s">
        <v>2460</v>
      </c>
      <c r="O2329" s="151"/>
      <c r="P2329" s="151"/>
      <c r="Q2329" s="7" t="str">
        <f>IF(ISBLANK(patch[[#This Row],[OwnerEmail]]),Q2328,patch[[#This Row],[OwnerEmail]])</f>
        <v>liang.l.yang@intel.com</v>
      </c>
      <c r="R2329" s="7" t="str">
        <f>_xlfn.IFNA(VLOOKUP(patch[[#This Row],[tmp-owner.email]],OrgTree!$A:$K, 11, 0), "not ICG SWFW")</f>
        <v>BJ And dev</v>
      </c>
      <c r="S2329" s="7" t="str">
        <f>IF(patch[[#This Row],[reviewer]]=patch[[#This Row],[tmp-owner.email]], "author", _xlfn.IFNA(VLOOKUP(patch[[#This Row],[reviewer]],OrgTree!$A:$K, 11, 0), "not ICG SWFW"))</f>
        <v>author</v>
      </c>
      <c r="T2329" s="7" t="str">
        <f>IF(ISBLANK(patch[[#This Row],[mergeDate]]), "", MID(YEAR(patch[[#This Row],[mergeDate]]), 3,2)&amp;"'ww"&amp;WEEKNUM(patch[[#This Row],[mergeDate]]))</f>
        <v>16'ww37</v>
      </c>
      <c r="U2329" s="7" t="str">
        <f>IF(ISBLANK(patch[[#This Row],[mergeDate]]), U2328, MID(YEAR(patch[[#This Row],[mergeDate]]), 3,2)&amp;"'m"&amp;MONTH(patch[[#This Row],[mergeDate]]))</f>
        <v>16'm9</v>
      </c>
      <c r="V2329" s="7" t="str">
        <f>IF(ISBLANK(patch[[#This Row],[project]]), "",SUM(patch[[#This Row],[BJ -1 num]:[SH -1 num]]))</f>
        <v/>
      </c>
      <c r="W2329" s="7" t="str">
        <f>IF(ISBLANK(patch[[#This Row],[project]]), "",COUNTIFS($A:$A,patch[[#This Row],[number]],$S:$S, "BJ And dev",$AC:$AC, "Review-1"))</f>
        <v/>
      </c>
      <c r="X2329" s="7" t="str">
        <f>IF(ISBLANK(patch[[#This Row],[project]]), "",COUNTIFS($A:$A,patch[[#This Row],[number]],$S:$S, "FL And dev",$AC:$AC, "Review-1"))</f>
        <v/>
      </c>
      <c r="Y2329" s="7" t="str">
        <f>IF(ISBLANK(patch[[#This Row],[project]]), "",COUNTIFS($A:$A,patch[[#This Row],[number]],$S:$S, "SH And dev",$AC:$AC, "Review-1"))</f>
        <v/>
      </c>
      <c r="Z2329" s="7" t="str">
        <f>IF(ISBLANK(patch[[#This Row],[project]]), "",COUNTIFS($A:$A,patch[[#This Row],[number]],$S:$S, "BJ And dev",$AD:$AD, "&lt;&gt;IntegratorValidationComment"))</f>
        <v/>
      </c>
      <c r="AA2329" s="7" t="str">
        <f>IF(ISBLANK(patch[[#This Row],[project]]), "",COUNTIFS($A:$A,patch[[#This Row],[number]],$S:$S, "FL And dev",$AD:$AD, "&lt;&gt;IntegratorValidationComment"))</f>
        <v/>
      </c>
      <c r="AB2329" s="7" t="str">
        <f>IF(ISBLANK(patch[[#This Row],[project]]), "",COUNTIFS($A:$A,patch[[#This Row],[number]],$S:$S, "SH And dev",$AD:$AD, "&lt;&gt;IntegratorValidationComment"))</f>
        <v/>
      </c>
      <c r="AC2329" s="7" t="str">
        <f>IF(OR(ISNUMBER(FIND("Review-1", patch[[#This Row],[comments]])), ISNUMBER(FIND("Approver-1", patch[[#This Row],[comments]]))), "Review-1", "")</f>
        <v/>
      </c>
      <c r="AD23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29" s="7">
        <f>IF(ISBLANK(patch[[#This Row],[number]]),AE2328,patch[[#This Row],[ifCommon]])</f>
        <v>0</v>
      </c>
    </row>
    <row r="2330" spans="1:31">
      <c r="A2330" s="151">
        <v>142787</v>
      </c>
      <c r="B2330" s="151"/>
      <c r="C2330" s="151"/>
      <c r="D2330" s="151"/>
      <c r="E2330" s="151"/>
      <c r="F2330" s="151"/>
      <c r="G2330" s="151"/>
      <c r="H2330" s="151"/>
      <c r="I2330" s="152"/>
      <c r="J2330" s="152">
        <v>42618.700613425928</v>
      </c>
      <c r="K2330" s="151"/>
      <c r="L2330" s="151" t="s">
        <v>59</v>
      </c>
      <c r="M2330" s="152">
        <v>42614.707743055558</v>
      </c>
      <c r="N2330" s="151" t="s">
        <v>3743</v>
      </c>
      <c r="O2330" s="151"/>
      <c r="P2330" s="151"/>
      <c r="Q2330" s="7" t="str">
        <f>IF(ISBLANK(patch[[#This Row],[OwnerEmail]]),Q2329,patch[[#This Row],[OwnerEmail]])</f>
        <v>liang.l.yang@intel.com</v>
      </c>
      <c r="R2330" s="7" t="str">
        <f>_xlfn.IFNA(VLOOKUP(patch[[#This Row],[tmp-owner.email]],OrgTree!$A:$K, 11, 0), "not ICG SWFW")</f>
        <v>BJ And dev</v>
      </c>
      <c r="S2330" s="7" t="str">
        <f>IF(patch[[#This Row],[reviewer]]=patch[[#This Row],[tmp-owner.email]], "author", _xlfn.IFNA(VLOOKUP(patch[[#This Row],[reviewer]],OrgTree!$A:$K, 11, 0), "not ICG SWFW"))</f>
        <v>BJ And dev</v>
      </c>
      <c r="T2330" s="7" t="str">
        <f>IF(ISBLANK(patch[[#This Row],[mergeDate]]), "", MID(YEAR(patch[[#This Row],[mergeDate]]), 3,2)&amp;"'ww"&amp;WEEKNUM(patch[[#This Row],[mergeDate]]))</f>
        <v>16'ww37</v>
      </c>
      <c r="U2330" s="7" t="str">
        <f>IF(ISBLANK(patch[[#This Row],[mergeDate]]), U2329, MID(YEAR(patch[[#This Row],[mergeDate]]), 3,2)&amp;"'m"&amp;MONTH(patch[[#This Row],[mergeDate]]))</f>
        <v>16'm9</v>
      </c>
      <c r="V2330" s="7" t="str">
        <f>IF(ISBLANK(patch[[#This Row],[project]]), "",SUM(patch[[#This Row],[BJ -1 num]:[SH -1 num]]))</f>
        <v/>
      </c>
      <c r="W2330" s="7" t="str">
        <f>IF(ISBLANK(patch[[#This Row],[project]]), "",COUNTIFS($A:$A,patch[[#This Row],[number]],$S:$S, "BJ And dev",$AC:$AC, "Review-1"))</f>
        <v/>
      </c>
      <c r="X2330" s="7" t="str">
        <f>IF(ISBLANK(patch[[#This Row],[project]]), "",COUNTIFS($A:$A,patch[[#This Row],[number]],$S:$S, "FL And dev",$AC:$AC, "Review-1"))</f>
        <v/>
      </c>
      <c r="Y2330" s="7" t="str">
        <f>IF(ISBLANK(patch[[#This Row],[project]]), "",COUNTIFS($A:$A,patch[[#This Row],[number]],$S:$S, "SH And dev",$AC:$AC, "Review-1"))</f>
        <v/>
      </c>
      <c r="Z2330" s="7" t="str">
        <f>IF(ISBLANK(patch[[#This Row],[project]]), "",COUNTIFS($A:$A,patch[[#This Row],[number]],$S:$S, "BJ And dev",$AD:$AD, "&lt;&gt;IntegratorValidationComment"))</f>
        <v/>
      </c>
      <c r="AA2330" s="7" t="str">
        <f>IF(ISBLANK(patch[[#This Row],[project]]), "",COUNTIFS($A:$A,patch[[#This Row],[number]],$S:$S, "FL And dev",$AD:$AD, "&lt;&gt;IntegratorValidationComment"))</f>
        <v/>
      </c>
      <c r="AB2330" s="7" t="str">
        <f>IF(ISBLANK(patch[[#This Row],[project]]), "",COUNTIFS($A:$A,patch[[#This Row],[number]],$S:$S, "SH And dev",$AD:$AD, "&lt;&gt;IntegratorValidationComment"))</f>
        <v/>
      </c>
      <c r="AC2330" s="7" t="str">
        <f>IF(OR(ISNUMBER(FIND("Review-1", patch[[#This Row],[comments]])), ISNUMBER(FIND("Approver-1", patch[[#This Row],[comments]]))), "Review-1", "")</f>
        <v/>
      </c>
      <c r="AD23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30" s="7">
        <f>IF(ISBLANK(patch[[#This Row],[number]]),AE2329,patch[[#This Row],[ifCommon]])</f>
        <v>0</v>
      </c>
    </row>
    <row r="2331" spans="1:31">
      <c r="A2331" s="151">
        <v>142787</v>
      </c>
      <c r="B2331" s="151"/>
      <c r="C2331" s="151"/>
      <c r="D2331" s="151"/>
      <c r="E2331" s="151"/>
      <c r="F2331" s="151"/>
      <c r="G2331" s="151"/>
      <c r="H2331" s="151"/>
      <c r="I2331" s="151"/>
      <c r="J2331" s="152">
        <v>42618.700613425928</v>
      </c>
      <c r="K2331" s="151"/>
      <c r="L2331" s="151" t="s">
        <v>59</v>
      </c>
      <c r="M2331" s="152">
        <v>42614.709965277783</v>
      </c>
      <c r="N2331" s="151" t="s">
        <v>3744</v>
      </c>
      <c r="O2331" s="151"/>
      <c r="P2331" s="151"/>
      <c r="Q2331" s="7" t="str">
        <f>IF(ISBLANK(patch[[#This Row],[OwnerEmail]]),Q2330,patch[[#This Row],[OwnerEmail]])</f>
        <v>liang.l.yang@intel.com</v>
      </c>
      <c r="R2331" s="7" t="str">
        <f>_xlfn.IFNA(VLOOKUP(patch[[#This Row],[tmp-owner.email]],OrgTree!$A:$K, 11, 0), "not ICG SWFW")</f>
        <v>BJ And dev</v>
      </c>
      <c r="S2331" s="7" t="str">
        <f>IF(patch[[#This Row],[reviewer]]=patch[[#This Row],[tmp-owner.email]], "author", _xlfn.IFNA(VLOOKUP(patch[[#This Row],[reviewer]],OrgTree!$A:$K, 11, 0), "not ICG SWFW"))</f>
        <v>BJ And dev</v>
      </c>
      <c r="T2331" s="7" t="str">
        <f>IF(ISBLANK(patch[[#This Row],[mergeDate]]), "", MID(YEAR(patch[[#This Row],[mergeDate]]), 3,2)&amp;"'ww"&amp;WEEKNUM(patch[[#This Row],[mergeDate]]))</f>
        <v>16'ww37</v>
      </c>
      <c r="U2331" s="7" t="str">
        <f>IF(ISBLANK(patch[[#This Row],[mergeDate]]), U2330, MID(YEAR(patch[[#This Row],[mergeDate]]), 3,2)&amp;"'m"&amp;MONTH(patch[[#This Row],[mergeDate]]))</f>
        <v>16'm9</v>
      </c>
      <c r="V2331" s="7" t="str">
        <f>IF(ISBLANK(patch[[#This Row],[project]]), "",SUM(patch[[#This Row],[BJ -1 num]:[SH -1 num]]))</f>
        <v/>
      </c>
      <c r="W2331" s="7" t="str">
        <f>IF(ISBLANK(patch[[#This Row],[project]]), "",COUNTIFS($A:$A,patch[[#This Row],[number]],$S:$S, "BJ And dev",$AC:$AC, "Review-1"))</f>
        <v/>
      </c>
      <c r="X2331" s="7" t="str">
        <f>IF(ISBLANK(patch[[#This Row],[project]]), "",COUNTIFS($A:$A,patch[[#This Row],[number]],$S:$S, "FL And dev",$AC:$AC, "Review-1"))</f>
        <v/>
      </c>
      <c r="Y2331" s="7" t="str">
        <f>IF(ISBLANK(patch[[#This Row],[project]]), "",COUNTIFS($A:$A,patch[[#This Row],[number]],$S:$S, "SH And dev",$AC:$AC, "Review-1"))</f>
        <v/>
      </c>
      <c r="Z2331" s="7" t="str">
        <f>IF(ISBLANK(patch[[#This Row],[project]]), "",COUNTIFS($A:$A,patch[[#This Row],[number]],$S:$S, "BJ And dev",$AD:$AD, "&lt;&gt;IntegratorValidationComment"))</f>
        <v/>
      </c>
      <c r="AA2331" s="7" t="str">
        <f>IF(ISBLANK(patch[[#This Row],[project]]), "",COUNTIFS($A:$A,patch[[#This Row],[number]],$S:$S, "FL And dev",$AD:$AD, "&lt;&gt;IntegratorValidationComment"))</f>
        <v/>
      </c>
      <c r="AB2331" s="7" t="str">
        <f>IF(ISBLANK(patch[[#This Row],[project]]), "",COUNTIFS($A:$A,patch[[#This Row],[number]],$S:$S, "SH And dev",$AD:$AD, "&lt;&gt;IntegratorValidationComment"))</f>
        <v/>
      </c>
      <c r="AC2331" s="7" t="str">
        <f>IF(OR(ISNUMBER(FIND("Review-1", patch[[#This Row],[comments]])), ISNUMBER(FIND("Approver-1", patch[[#This Row],[comments]]))), "Review-1", "")</f>
        <v/>
      </c>
      <c r="AD23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31" s="7">
        <f>IF(ISBLANK(patch[[#This Row],[number]]),AE2330,patch[[#This Row],[ifCommon]])</f>
        <v>0</v>
      </c>
    </row>
    <row r="2332" spans="1:31">
      <c r="A2332" s="151">
        <v>142787</v>
      </c>
      <c r="B2332" s="151"/>
      <c r="C2332" s="151"/>
      <c r="D2332" s="151"/>
      <c r="E2332" s="151"/>
      <c r="F2332" s="151"/>
      <c r="G2332" s="151"/>
      <c r="H2332" s="151"/>
      <c r="I2332" s="151"/>
      <c r="J2332" s="152">
        <v>42618.700613425928</v>
      </c>
      <c r="K2332" s="151"/>
      <c r="L2332" s="151" t="s">
        <v>59</v>
      </c>
      <c r="M2332" s="152">
        <v>42614.732615740737</v>
      </c>
      <c r="N2332" s="151" t="s">
        <v>3745</v>
      </c>
      <c r="O2332" s="151"/>
      <c r="P2332" s="151"/>
      <c r="Q2332" s="7" t="str">
        <f>IF(ISBLANK(patch[[#This Row],[OwnerEmail]]),Q2331,patch[[#This Row],[OwnerEmail]])</f>
        <v>liang.l.yang@intel.com</v>
      </c>
      <c r="R2332" s="7" t="str">
        <f>_xlfn.IFNA(VLOOKUP(patch[[#This Row],[tmp-owner.email]],OrgTree!$A:$K, 11, 0), "not ICG SWFW")</f>
        <v>BJ And dev</v>
      </c>
      <c r="S2332" s="7" t="str">
        <f>IF(patch[[#This Row],[reviewer]]=patch[[#This Row],[tmp-owner.email]], "author", _xlfn.IFNA(VLOOKUP(patch[[#This Row],[reviewer]],OrgTree!$A:$K, 11, 0), "not ICG SWFW"))</f>
        <v>BJ And dev</v>
      </c>
      <c r="T2332" s="7" t="str">
        <f>IF(ISBLANK(patch[[#This Row],[mergeDate]]), "", MID(YEAR(patch[[#This Row],[mergeDate]]), 3,2)&amp;"'ww"&amp;WEEKNUM(patch[[#This Row],[mergeDate]]))</f>
        <v>16'ww37</v>
      </c>
      <c r="U2332" s="7" t="str">
        <f>IF(ISBLANK(patch[[#This Row],[mergeDate]]), U2331, MID(YEAR(patch[[#This Row],[mergeDate]]), 3,2)&amp;"'m"&amp;MONTH(patch[[#This Row],[mergeDate]]))</f>
        <v>16'm9</v>
      </c>
      <c r="V2332" s="7" t="str">
        <f>IF(ISBLANK(patch[[#This Row],[project]]), "",SUM(patch[[#This Row],[BJ -1 num]:[SH -1 num]]))</f>
        <v/>
      </c>
      <c r="W2332" s="7" t="str">
        <f>IF(ISBLANK(patch[[#This Row],[project]]), "",COUNTIFS($A:$A,patch[[#This Row],[number]],$S:$S, "BJ And dev",$AC:$AC, "Review-1"))</f>
        <v/>
      </c>
      <c r="X2332" s="7" t="str">
        <f>IF(ISBLANK(patch[[#This Row],[project]]), "",COUNTIFS($A:$A,patch[[#This Row],[number]],$S:$S, "FL And dev",$AC:$AC, "Review-1"))</f>
        <v/>
      </c>
      <c r="Y2332" s="7" t="str">
        <f>IF(ISBLANK(patch[[#This Row],[project]]), "",COUNTIFS($A:$A,patch[[#This Row],[number]],$S:$S, "SH And dev",$AC:$AC, "Review-1"))</f>
        <v/>
      </c>
      <c r="Z2332" s="7" t="str">
        <f>IF(ISBLANK(patch[[#This Row],[project]]), "",COUNTIFS($A:$A,patch[[#This Row],[number]],$S:$S, "BJ And dev",$AD:$AD, "&lt;&gt;IntegratorValidationComment"))</f>
        <v/>
      </c>
      <c r="AA2332" s="7" t="str">
        <f>IF(ISBLANK(patch[[#This Row],[project]]), "",COUNTIFS($A:$A,patch[[#This Row],[number]],$S:$S, "FL And dev",$AD:$AD, "&lt;&gt;IntegratorValidationComment"))</f>
        <v/>
      </c>
      <c r="AB2332" s="7" t="str">
        <f>IF(ISBLANK(patch[[#This Row],[project]]), "",COUNTIFS($A:$A,patch[[#This Row],[number]],$S:$S, "SH And dev",$AD:$AD, "&lt;&gt;IntegratorValidationComment"))</f>
        <v/>
      </c>
      <c r="AC2332" s="7" t="str">
        <f>IF(OR(ISNUMBER(FIND("Review-1", patch[[#This Row],[comments]])), ISNUMBER(FIND("Approver-1", patch[[#This Row],[comments]]))), "Review-1", "")</f>
        <v/>
      </c>
      <c r="AD23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32" s="7">
        <f>IF(ISBLANK(patch[[#This Row],[number]]),AE2331,patch[[#This Row],[ifCommon]])</f>
        <v>0</v>
      </c>
    </row>
    <row r="2333" spans="1:31">
      <c r="A2333" s="151">
        <v>142787</v>
      </c>
      <c r="B2333" s="151"/>
      <c r="C2333" s="151"/>
      <c r="D2333" s="151"/>
      <c r="E2333" s="151"/>
      <c r="F2333" s="151"/>
      <c r="G2333" s="151"/>
      <c r="H2333" s="151"/>
      <c r="I2333" s="151"/>
      <c r="J2333" s="152">
        <v>42618.700613425928</v>
      </c>
      <c r="K2333" s="151"/>
      <c r="L2333" s="151" t="s">
        <v>55</v>
      </c>
      <c r="M2333" s="152">
        <v>42614.784675925926</v>
      </c>
      <c r="N2333" s="151" t="s">
        <v>47</v>
      </c>
      <c r="O2333" s="151"/>
      <c r="P2333" s="151"/>
      <c r="Q2333" s="7" t="str">
        <f>IF(ISBLANK(patch[[#This Row],[OwnerEmail]]),Q2332,patch[[#This Row],[OwnerEmail]])</f>
        <v>liang.l.yang@intel.com</v>
      </c>
      <c r="R2333" s="7" t="str">
        <f>_xlfn.IFNA(VLOOKUP(patch[[#This Row],[tmp-owner.email]],OrgTree!$A:$K, 11, 0), "not ICG SWFW")</f>
        <v>BJ And dev</v>
      </c>
      <c r="S2333" s="7" t="str">
        <f>IF(patch[[#This Row],[reviewer]]=patch[[#This Row],[tmp-owner.email]], "author", _xlfn.IFNA(VLOOKUP(patch[[#This Row],[reviewer]],OrgTree!$A:$K, 11, 0), "not ICG SWFW"))</f>
        <v>author</v>
      </c>
      <c r="T2333" s="7" t="str">
        <f>IF(ISBLANK(patch[[#This Row],[mergeDate]]), "", MID(YEAR(patch[[#This Row],[mergeDate]]), 3,2)&amp;"'ww"&amp;WEEKNUM(patch[[#This Row],[mergeDate]]))</f>
        <v>16'ww37</v>
      </c>
      <c r="U2333" s="7" t="str">
        <f>IF(ISBLANK(patch[[#This Row],[mergeDate]]), U2332, MID(YEAR(patch[[#This Row],[mergeDate]]), 3,2)&amp;"'m"&amp;MONTH(patch[[#This Row],[mergeDate]]))</f>
        <v>16'm9</v>
      </c>
      <c r="V2333" s="7" t="str">
        <f>IF(ISBLANK(patch[[#This Row],[project]]), "",SUM(patch[[#This Row],[BJ -1 num]:[SH -1 num]]))</f>
        <v/>
      </c>
      <c r="W2333" s="7" t="str">
        <f>IF(ISBLANK(patch[[#This Row],[project]]), "",COUNTIFS($A:$A,patch[[#This Row],[number]],$S:$S, "BJ And dev",$AC:$AC, "Review-1"))</f>
        <v/>
      </c>
      <c r="X2333" s="7" t="str">
        <f>IF(ISBLANK(patch[[#This Row],[project]]), "",COUNTIFS($A:$A,patch[[#This Row],[number]],$S:$S, "FL And dev",$AC:$AC, "Review-1"))</f>
        <v/>
      </c>
      <c r="Y2333" s="7" t="str">
        <f>IF(ISBLANK(patch[[#This Row],[project]]), "",COUNTIFS($A:$A,patch[[#This Row],[number]],$S:$S, "SH And dev",$AC:$AC, "Review-1"))</f>
        <v/>
      </c>
      <c r="Z2333" s="7" t="str">
        <f>IF(ISBLANK(patch[[#This Row],[project]]), "",COUNTIFS($A:$A,patch[[#This Row],[number]],$S:$S, "BJ And dev",$AD:$AD, "&lt;&gt;IntegratorValidationComment"))</f>
        <v/>
      </c>
      <c r="AA2333" s="7" t="str">
        <f>IF(ISBLANK(patch[[#This Row],[project]]), "",COUNTIFS($A:$A,patch[[#This Row],[number]],$S:$S, "FL And dev",$AD:$AD, "&lt;&gt;IntegratorValidationComment"))</f>
        <v/>
      </c>
      <c r="AB2333" s="7" t="str">
        <f>IF(ISBLANK(patch[[#This Row],[project]]), "",COUNTIFS($A:$A,patch[[#This Row],[number]],$S:$S, "SH And dev",$AD:$AD, "&lt;&gt;IntegratorValidationComment"))</f>
        <v/>
      </c>
      <c r="AC2333" s="7" t="str">
        <f>IF(OR(ISNUMBER(FIND("Review-1", patch[[#This Row],[comments]])), ISNUMBER(FIND("Approver-1", patch[[#This Row],[comments]]))), "Review-1", "")</f>
        <v/>
      </c>
      <c r="AD23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33" s="7">
        <f>IF(ISBLANK(patch[[#This Row],[number]]),AE2332,patch[[#This Row],[ifCommon]])</f>
        <v>0</v>
      </c>
    </row>
    <row r="2334" spans="1:31">
      <c r="A2334" s="151">
        <v>142787</v>
      </c>
      <c r="B2334" s="151"/>
      <c r="C2334" s="151"/>
      <c r="D2334" s="151"/>
      <c r="E2334" s="151"/>
      <c r="F2334" s="151"/>
      <c r="G2334" s="151"/>
      <c r="H2334" s="151"/>
      <c r="I2334" s="151"/>
      <c r="J2334" s="152">
        <v>42618.700613425928</v>
      </c>
      <c r="K2334" s="151"/>
      <c r="L2334" s="151" t="s">
        <v>55</v>
      </c>
      <c r="M2334" s="152">
        <v>42614.784675925926</v>
      </c>
      <c r="N2334" s="151" t="s">
        <v>2450</v>
      </c>
      <c r="O2334" s="151"/>
      <c r="P2334" s="151"/>
      <c r="Q2334" s="7" t="str">
        <f>IF(ISBLANK(patch[[#This Row],[OwnerEmail]]),Q2333,patch[[#This Row],[OwnerEmail]])</f>
        <v>liang.l.yang@intel.com</v>
      </c>
      <c r="R2334" s="7" t="str">
        <f>_xlfn.IFNA(VLOOKUP(patch[[#This Row],[tmp-owner.email]],OrgTree!$A:$K, 11, 0), "not ICG SWFW")</f>
        <v>BJ And dev</v>
      </c>
      <c r="S2334" s="7" t="str">
        <f>IF(patch[[#This Row],[reviewer]]=patch[[#This Row],[tmp-owner.email]], "author", _xlfn.IFNA(VLOOKUP(patch[[#This Row],[reviewer]],OrgTree!$A:$K, 11, 0), "not ICG SWFW"))</f>
        <v>author</v>
      </c>
      <c r="T2334" s="7" t="str">
        <f>IF(ISBLANK(patch[[#This Row],[mergeDate]]), "", MID(YEAR(patch[[#This Row],[mergeDate]]), 3,2)&amp;"'ww"&amp;WEEKNUM(patch[[#This Row],[mergeDate]]))</f>
        <v>16'ww37</v>
      </c>
      <c r="U2334" s="7" t="str">
        <f>IF(ISBLANK(patch[[#This Row],[mergeDate]]), U2333, MID(YEAR(patch[[#This Row],[mergeDate]]), 3,2)&amp;"'m"&amp;MONTH(patch[[#This Row],[mergeDate]]))</f>
        <v>16'm9</v>
      </c>
      <c r="V2334" s="7" t="str">
        <f>IF(ISBLANK(patch[[#This Row],[project]]), "",SUM(patch[[#This Row],[BJ -1 num]:[SH -1 num]]))</f>
        <v/>
      </c>
      <c r="W2334" s="7" t="str">
        <f>IF(ISBLANK(patch[[#This Row],[project]]), "",COUNTIFS($A:$A,patch[[#This Row],[number]],$S:$S, "BJ And dev",$AC:$AC, "Review-1"))</f>
        <v/>
      </c>
      <c r="X2334" s="7" t="str">
        <f>IF(ISBLANK(patch[[#This Row],[project]]), "",COUNTIFS($A:$A,patch[[#This Row],[number]],$S:$S, "FL And dev",$AC:$AC, "Review-1"))</f>
        <v/>
      </c>
      <c r="Y2334" s="7" t="str">
        <f>IF(ISBLANK(patch[[#This Row],[project]]), "",COUNTIFS($A:$A,patch[[#This Row],[number]],$S:$S, "SH And dev",$AC:$AC, "Review-1"))</f>
        <v/>
      </c>
      <c r="Z2334" s="7" t="str">
        <f>IF(ISBLANK(patch[[#This Row],[project]]), "",COUNTIFS($A:$A,patch[[#This Row],[number]],$S:$S, "BJ And dev",$AD:$AD, "&lt;&gt;IntegratorValidationComment"))</f>
        <v/>
      </c>
      <c r="AA2334" s="7" t="str">
        <f>IF(ISBLANK(patch[[#This Row],[project]]), "",COUNTIFS($A:$A,patch[[#This Row],[number]],$S:$S, "FL And dev",$AD:$AD, "&lt;&gt;IntegratorValidationComment"))</f>
        <v/>
      </c>
      <c r="AB2334" s="7" t="str">
        <f>IF(ISBLANK(patch[[#This Row],[project]]), "",COUNTIFS($A:$A,patch[[#This Row],[number]],$S:$S, "SH And dev",$AD:$AD, "&lt;&gt;IntegratorValidationComment"))</f>
        <v/>
      </c>
      <c r="AC2334" s="7" t="str">
        <f>IF(OR(ISNUMBER(FIND("Review-1", patch[[#This Row],[comments]])), ISNUMBER(FIND("Approver-1", patch[[#This Row],[comments]]))), "Review-1", "")</f>
        <v/>
      </c>
      <c r="AD23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34" s="7">
        <f>IF(ISBLANK(patch[[#This Row],[number]]),AE2333,patch[[#This Row],[ifCommon]])</f>
        <v>0</v>
      </c>
    </row>
    <row r="2335" spans="1:31">
      <c r="A2335" s="151">
        <v>142787</v>
      </c>
      <c r="B2335" s="151"/>
      <c r="C2335" s="151"/>
      <c r="D2335" s="151"/>
      <c r="E2335" s="151"/>
      <c r="F2335" s="151"/>
      <c r="G2335" s="151"/>
      <c r="H2335" s="151"/>
      <c r="I2335" s="151"/>
      <c r="J2335" s="152">
        <v>42618.700613425928</v>
      </c>
      <c r="K2335" s="151"/>
      <c r="L2335" s="151" t="s">
        <v>59</v>
      </c>
      <c r="M2335" s="152">
        <v>42614.793680555558</v>
      </c>
      <c r="N2335" s="151" t="s">
        <v>3746</v>
      </c>
      <c r="O2335" s="151"/>
      <c r="P2335" s="151"/>
      <c r="Q2335" s="7" t="str">
        <f>IF(ISBLANK(patch[[#This Row],[OwnerEmail]]),Q2334,patch[[#This Row],[OwnerEmail]])</f>
        <v>liang.l.yang@intel.com</v>
      </c>
      <c r="R2335" s="7" t="str">
        <f>_xlfn.IFNA(VLOOKUP(patch[[#This Row],[tmp-owner.email]],OrgTree!$A:$K, 11, 0), "not ICG SWFW")</f>
        <v>BJ And dev</v>
      </c>
      <c r="S2335" s="7" t="str">
        <f>IF(patch[[#This Row],[reviewer]]=patch[[#This Row],[tmp-owner.email]], "author", _xlfn.IFNA(VLOOKUP(patch[[#This Row],[reviewer]],OrgTree!$A:$K, 11, 0), "not ICG SWFW"))</f>
        <v>BJ And dev</v>
      </c>
      <c r="T2335" s="7" t="str">
        <f>IF(ISBLANK(patch[[#This Row],[mergeDate]]), "", MID(YEAR(patch[[#This Row],[mergeDate]]), 3,2)&amp;"'ww"&amp;WEEKNUM(patch[[#This Row],[mergeDate]]))</f>
        <v>16'ww37</v>
      </c>
      <c r="U2335" s="7" t="str">
        <f>IF(ISBLANK(patch[[#This Row],[mergeDate]]), U2334, MID(YEAR(patch[[#This Row],[mergeDate]]), 3,2)&amp;"'m"&amp;MONTH(patch[[#This Row],[mergeDate]]))</f>
        <v>16'm9</v>
      </c>
      <c r="V2335" s="7" t="str">
        <f>IF(ISBLANK(patch[[#This Row],[project]]), "",SUM(patch[[#This Row],[BJ -1 num]:[SH -1 num]]))</f>
        <v/>
      </c>
      <c r="W2335" s="7" t="str">
        <f>IF(ISBLANK(patch[[#This Row],[project]]), "",COUNTIFS($A:$A,patch[[#This Row],[number]],$S:$S, "BJ And dev",$AC:$AC, "Review-1"))</f>
        <v/>
      </c>
      <c r="X2335" s="7" t="str">
        <f>IF(ISBLANK(patch[[#This Row],[project]]), "",COUNTIFS($A:$A,patch[[#This Row],[number]],$S:$S, "FL And dev",$AC:$AC, "Review-1"))</f>
        <v/>
      </c>
      <c r="Y2335" s="7" t="str">
        <f>IF(ISBLANK(patch[[#This Row],[project]]), "",COUNTIFS($A:$A,patch[[#This Row],[number]],$S:$S, "SH And dev",$AC:$AC, "Review-1"))</f>
        <v/>
      </c>
      <c r="Z2335" s="7" t="str">
        <f>IF(ISBLANK(patch[[#This Row],[project]]), "",COUNTIFS($A:$A,patch[[#This Row],[number]],$S:$S, "BJ And dev",$AD:$AD, "&lt;&gt;IntegratorValidationComment"))</f>
        <v/>
      </c>
      <c r="AA2335" s="7" t="str">
        <f>IF(ISBLANK(patch[[#This Row],[project]]), "",COUNTIFS($A:$A,patch[[#This Row],[number]],$S:$S, "FL And dev",$AD:$AD, "&lt;&gt;IntegratorValidationComment"))</f>
        <v/>
      </c>
      <c r="AB2335" s="7" t="str">
        <f>IF(ISBLANK(patch[[#This Row],[project]]), "",COUNTIFS($A:$A,patch[[#This Row],[number]],$S:$S, "SH And dev",$AD:$AD, "&lt;&gt;IntegratorValidationComment"))</f>
        <v/>
      </c>
      <c r="AC2335" s="7" t="str">
        <f>IF(OR(ISNUMBER(FIND("Review-1", patch[[#This Row],[comments]])), ISNUMBER(FIND("Approver-1", patch[[#This Row],[comments]]))), "Review-1", "")</f>
        <v/>
      </c>
      <c r="AD23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35" s="7">
        <f>IF(ISBLANK(patch[[#This Row],[number]]),AE2334,patch[[#This Row],[ifCommon]])</f>
        <v>0</v>
      </c>
    </row>
    <row r="2336" spans="1:31">
      <c r="A2336" s="151">
        <v>142787</v>
      </c>
      <c r="B2336" s="151"/>
      <c r="C2336" s="151"/>
      <c r="D2336" s="151"/>
      <c r="E2336" s="151"/>
      <c r="F2336" s="151"/>
      <c r="G2336" s="151"/>
      <c r="H2336" s="151"/>
      <c r="I2336" s="151"/>
      <c r="J2336" s="152">
        <v>42618.700613425928</v>
      </c>
      <c r="K2336" s="151"/>
      <c r="L2336" s="151" t="s">
        <v>59</v>
      </c>
      <c r="M2336" s="152">
        <v>42614.796712962961</v>
      </c>
      <c r="N2336" s="151" t="s">
        <v>3747</v>
      </c>
      <c r="O2336" s="151"/>
      <c r="P2336" s="151"/>
      <c r="Q2336" s="7" t="str">
        <f>IF(ISBLANK(patch[[#This Row],[OwnerEmail]]),Q2335,patch[[#This Row],[OwnerEmail]])</f>
        <v>liang.l.yang@intel.com</v>
      </c>
      <c r="R2336" s="7" t="str">
        <f>_xlfn.IFNA(VLOOKUP(patch[[#This Row],[tmp-owner.email]],OrgTree!$A:$K, 11, 0), "not ICG SWFW")</f>
        <v>BJ And dev</v>
      </c>
      <c r="S2336" s="7" t="str">
        <f>IF(patch[[#This Row],[reviewer]]=patch[[#This Row],[tmp-owner.email]], "author", _xlfn.IFNA(VLOOKUP(patch[[#This Row],[reviewer]],OrgTree!$A:$K, 11, 0), "not ICG SWFW"))</f>
        <v>BJ And dev</v>
      </c>
      <c r="T2336" s="7" t="str">
        <f>IF(ISBLANK(patch[[#This Row],[mergeDate]]), "", MID(YEAR(patch[[#This Row],[mergeDate]]), 3,2)&amp;"'ww"&amp;WEEKNUM(patch[[#This Row],[mergeDate]]))</f>
        <v>16'ww37</v>
      </c>
      <c r="U2336" s="7" t="str">
        <f>IF(ISBLANK(patch[[#This Row],[mergeDate]]), U2335, MID(YEAR(patch[[#This Row],[mergeDate]]), 3,2)&amp;"'m"&amp;MONTH(patch[[#This Row],[mergeDate]]))</f>
        <v>16'm9</v>
      </c>
      <c r="V2336" s="7" t="str">
        <f>IF(ISBLANK(patch[[#This Row],[project]]), "",SUM(patch[[#This Row],[BJ -1 num]:[SH -1 num]]))</f>
        <v/>
      </c>
      <c r="W2336" s="7" t="str">
        <f>IF(ISBLANK(patch[[#This Row],[project]]), "",COUNTIFS($A:$A,patch[[#This Row],[number]],$S:$S, "BJ And dev",$AC:$AC, "Review-1"))</f>
        <v/>
      </c>
      <c r="X2336" s="7" t="str">
        <f>IF(ISBLANK(patch[[#This Row],[project]]), "",COUNTIFS($A:$A,patch[[#This Row],[number]],$S:$S, "FL And dev",$AC:$AC, "Review-1"))</f>
        <v/>
      </c>
      <c r="Y2336" s="7" t="str">
        <f>IF(ISBLANK(patch[[#This Row],[project]]), "",COUNTIFS($A:$A,patch[[#This Row],[number]],$S:$S, "SH And dev",$AC:$AC, "Review-1"))</f>
        <v/>
      </c>
      <c r="Z2336" s="7" t="str">
        <f>IF(ISBLANK(patch[[#This Row],[project]]), "",COUNTIFS($A:$A,patch[[#This Row],[number]],$S:$S, "BJ And dev",$AD:$AD, "&lt;&gt;IntegratorValidationComment"))</f>
        <v/>
      </c>
      <c r="AA2336" s="7" t="str">
        <f>IF(ISBLANK(patch[[#This Row],[project]]), "",COUNTIFS($A:$A,patch[[#This Row],[number]],$S:$S, "FL And dev",$AD:$AD, "&lt;&gt;IntegratorValidationComment"))</f>
        <v/>
      </c>
      <c r="AB2336" s="7" t="str">
        <f>IF(ISBLANK(patch[[#This Row],[project]]), "",COUNTIFS($A:$A,patch[[#This Row],[number]],$S:$S, "SH And dev",$AD:$AD, "&lt;&gt;IntegratorValidationComment"))</f>
        <v/>
      </c>
      <c r="AC2336" s="7" t="str">
        <f>IF(OR(ISNUMBER(FIND("Review-1", patch[[#This Row],[comments]])), ISNUMBER(FIND("Approver-1", patch[[#This Row],[comments]]))), "Review-1", "")</f>
        <v/>
      </c>
      <c r="AD23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36" s="7">
        <f>IF(ISBLANK(patch[[#This Row],[number]]),AE2335,patch[[#This Row],[ifCommon]])</f>
        <v>0</v>
      </c>
    </row>
    <row r="2337" spans="1:31">
      <c r="A2337" s="151">
        <v>142787</v>
      </c>
      <c r="B2337" s="151"/>
      <c r="C2337" s="151"/>
      <c r="D2337" s="151"/>
      <c r="E2337" s="151"/>
      <c r="F2337" s="151"/>
      <c r="G2337" s="151"/>
      <c r="H2337" s="151"/>
      <c r="I2337" s="152"/>
      <c r="J2337" s="152">
        <v>42618.700613425928</v>
      </c>
      <c r="K2337" s="151"/>
      <c r="L2337" s="151" t="s">
        <v>55</v>
      </c>
      <c r="M2337" s="152">
        <v>42614.805844907409</v>
      </c>
      <c r="N2337" s="151" t="s">
        <v>1841</v>
      </c>
      <c r="O2337" s="151"/>
      <c r="P2337" s="151"/>
      <c r="Q2337" s="7" t="str">
        <f>IF(ISBLANK(patch[[#This Row],[OwnerEmail]]),Q2336,patch[[#This Row],[OwnerEmail]])</f>
        <v>liang.l.yang@intel.com</v>
      </c>
      <c r="R2337" s="7" t="str">
        <f>_xlfn.IFNA(VLOOKUP(patch[[#This Row],[tmp-owner.email]],OrgTree!$A:$K, 11, 0), "not ICG SWFW")</f>
        <v>BJ And dev</v>
      </c>
      <c r="S2337" s="7" t="str">
        <f>IF(patch[[#This Row],[reviewer]]=patch[[#This Row],[tmp-owner.email]], "author", _xlfn.IFNA(VLOOKUP(patch[[#This Row],[reviewer]],OrgTree!$A:$K, 11, 0), "not ICG SWFW"))</f>
        <v>author</v>
      </c>
      <c r="T2337" s="7" t="str">
        <f>IF(ISBLANK(patch[[#This Row],[mergeDate]]), "", MID(YEAR(patch[[#This Row],[mergeDate]]), 3,2)&amp;"'ww"&amp;WEEKNUM(patch[[#This Row],[mergeDate]]))</f>
        <v>16'ww37</v>
      </c>
      <c r="U2337" s="7" t="str">
        <f>IF(ISBLANK(patch[[#This Row],[mergeDate]]), U2336, MID(YEAR(patch[[#This Row],[mergeDate]]), 3,2)&amp;"'m"&amp;MONTH(patch[[#This Row],[mergeDate]]))</f>
        <v>16'm9</v>
      </c>
      <c r="V2337" s="7" t="str">
        <f>IF(ISBLANK(patch[[#This Row],[project]]), "",SUM(patch[[#This Row],[BJ -1 num]:[SH -1 num]]))</f>
        <v/>
      </c>
      <c r="W2337" s="7" t="str">
        <f>IF(ISBLANK(patch[[#This Row],[project]]), "",COUNTIFS($A:$A,patch[[#This Row],[number]],$S:$S, "BJ And dev",$AC:$AC, "Review-1"))</f>
        <v/>
      </c>
      <c r="X2337" s="7" t="str">
        <f>IF(ISBLANK(patch[[#This Row],[project]]), "",COUNTIFS($A:$A,patch[[#This Row],[number]],$S:$S, "FL And dev",$AC:$AC, "Review-1"))</f>
        <v/>
      </c>
      <c r="Y2337" s="7" t="str">
        <f>IF(ISBLANK(patch[[#This Row],[project]]), "",COUNTIFS($A:$A,patch[[#This Row],[number]],$S:$S, "SH And dev",$AC:$AC, "Review-1"))</f>
        <v/>
      </c>
      <c r="Z2337" s="7" t="str">
        <f>IF(ISBLANK(patch[[#This Row],[project]]), "",COUNTIFS($A:$A,patch[[#This Row],[number]],$S:$S, "BJ And dev",$AD:$AD, "&lt;&gt;IntegratorValidationComment"))</f>
        <v/>
      </c>
      <c r="AA2337" s="7" t="str">
        <f>IF(ISBLANK(patch[[#This Row],[project]]), "",COUNTIFS($A:$A,patch[[#This Row],[number]],$S:$S, "FL And dev",$AD:$AD, "&lt;&gt;IntegratorValidationComment"))</f>
        <v/>
      </c>
      <c r="AB2337" s="7" t="str">
        <f>IF(ISBLANK(patch[[#This Row],[project]]), "",COUNTIFS($A:$A,patch[[#This Row],[number]],$S:$S, "SH And dev",$AD:$AD, "&lt;&gt;IntegratorValidationComment"))</f>
        <v/>
      </c>
      <c r="AC2337" s="7" t="str">
        <f>IF(OR(ISNUMBER(FIND("Review-1", patch[[#This Row],[comments]])), ISNUMBER(FIND("Approver-1", patch[[#This Row],[comments]]))), "Review-1", "")</f>
        <v/>
      </c>
      <c r="AD23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37" s="7">
        <f>IF(ISBLANK(patch[[#This Row],[number]]),AE2336,patch[[#This Row],[ifCommon]])</f>
        <v>0</v>
      </c>
    </row>
    <row r="2338" spans="1:31">
      <c r="A2338" s="151">
        <v>142787</v>
      </c>
      <c r="B2338" s="151"/>
      <c r="C2338" s="151"/>
      <c r="D2338" s="151"/>
      <c r="E2338" s="151"/>
      <c r="F2338" s="151"/>
      <c r="G2338" s="151"/>
      <c r="H2338" s="151"/>
      <c r="I2338" s="151"/>
      <c r="J2338" s="152">
        <v>42618.700613425928</v>
      </c>
      <c r="K2338" s="151"/>
      <c r="L2338" s="151" t="s">
        <v>55</v>
      </c>
      <c r="M2338" s="152">
        <v>42614.805856481478</v>
      </c>
      <c r="N2338" s="151" t="s">
        <v>2451</v>
      </c>
      <c r="O2338" s="151"/>
      <c r="P2338" s="151"/>
      <c r="Q2338" s="7" t="str">
        <f>IF(ISBLANK(patch[[#This Row],[OwnerEmail]]),Q2337,patch[[#This Row],[OwnerEmail]])</f>
        <v>liang.l.yang@intel.com</v>
      </c>
      <c r="R2338" s="7" t="str">
        <f>_xlfn.IFNA(VLOOKUP(patch[[#This Row],[tmp-owner.email]],OrgTree!$A:$K, 11, 0), "not ICG SWFW")</f>
        <v>BJ And dev</v>
      </c>
      <c r="S2338" s="7" t="str">
        <f>IF(patch[[#This Row],[reviewer]]=patch[[#This Row],[tmp-owner.email]], "author", _xlfn.IFNA(VLOOKUP(patch[[#This Row],[reviewer]],OrgTree!$A:$K, 11, 0), "not ICG SWFW"))</f>
        <v>author</v>
      </c>
      <c r="T2338" s="7" t="str">
        <f>IF(ISBLANK(patch[[#This Row],[mergeDate]]), "", MID(YEAR(patch[[#This Row],[mergeDate]]), 3,2)&amp;"'ww"&amp;WEEKNUM(patch[[#This Row],[mergeDate]]))</f>
        <v>16'ww37</v>
      </c>
      <c r="U2338" s="7" t="str">
        <f>IF(ISBLANK(patch[[#This Row],[mergeDate]]), U2337, MID(YEAR(patch[[#This Row],[mergeDate]]), 3,2)&amp;"'m"&amp;MONTH(patch[[#This Row],[mergeDate]]))</f>
        <v>16'm9</v>
      </c>
      <c r="V2338" s="7" t="str">
        <f>IF(ISBLANK(patch[[#This Row],[project]]), "",SUM(patch[[#This Row],[BJ -1 num]:[SH -1 num]]))</f>
        <v/>
      </c>
      <c r="W2338" s="7" t="str">
        <f>IF(ISBLANK(patch[[#This Row],[project]]), "",COUNTIFS($A:$A,patch[[#This Row],[number]],$S:$S, "BJ And dev",$AC:$AC, "Review-1"))</f>
        <v/>
      </c>
      <c r="X2338" s="7" t="str">
        <f>IF(ISBLANK(patch[[#This Row],[project]]), "",COUNTIFS($A:$A,patch[[#This Row],[number]],$S:$S, "FL And dev",$AC:$AC, "Review-1"))</f>
        <v/>
      </c>
      <c r="Y2338" s="7" t="str">
        <f>IF(ISBLANK(patch[[#This Row],[project]]), "",COUNTIFS($A:$A,patch[[#This Row],[number]],$S:$S, "SH And dev",$AC:$AC, "Review-1"))</f>
        <v/>
      </c>
      <c r="Z2338" s="7" t="str">
        <f>IF(ISBLANK(patch[[#This Row],[project]]), "",COUNTIFS($A:$A,patch[[#This Row],[number]],$S:$S, "BJ And dev",$AD:$AD, "&lt;&gt;IntegratorValidationComment"))</f>
        <v/>
      </c>
      <c r="AA2338" s="7" t="str">
        <f>IF(ISBLANK(patch[[#This Row],[project]]), "",COUNTIFS($A:$A,patch[[#This Row],[number]],$S:$S, "FL And dev",$AD:$AD, "&lt;&gt;IntegratorValidationComment"))</f>
        <v/>
      </c>
      <c r="AB2338" s="7" t="str">
        <f>IF(ISBLANK(patch[[#This Row],[project]]), "",COUNTIFS($A:$A,patch[[#This Row],[number]],$S:$S, "SH And dev",$AD:$AD, "&lt;&gt;IntegratorValidationComment"))</f>
        <v/>
      </c>
      <c r="AC2338" s="7" t="str">
        <f>IF(OR(ISNUMBER(FIND("Review-1", patch[[#This Row],[comments]])), ISNUMBER(FIND("Approver-1", patch[[#This Row],[comments]]))), "Review-1", "")</f>
        <v/>
      </c>
      <c r="AD23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38" s="7">
        <f>IF(ISBLANK(patch[[#This Row],[number]]),AE2337,patch[[#This Row],[ifCommon]])</f>
        <v>0</v>
      </c>
    </row>
    <row r="2339" spans="1:31">
      <c r="A2339" s="151">
        <v>142787</v>
      </c>
      <c r="B2339" s="151"/>
      <c r="C2339" s="151"/>
      <c r="D2339" s="151"/>
      <c r="E2339" s="151"/>
      <c r="F2339" s="151"/>
      <c r="G2339" s="151"/>
      <c r="H2339" s="151"/>
      <c r="I2339" s="151"/>
      <c r="J2339" s="152">
        <v>42618.700613425928</v>
      </c>
      <c r="K2339" s="151"/>
      <c r="L2339" s="151" t="s">
        <v>59</v>
      </c>
      <c r="M2339" s="152">
        <v>42614.81453703704</v>
      </c>
      <c r="N2339" s="151" t="s">
        <v>3748</v>
      </c>
      <c r="O2339" s="151"/>
      <c r="P2339" s="151"/>
      <c r="Q2339" s="7" t="str">
        <f>IF(ISBLANK(patch[[#This Row],[OwnerEmail]]),Q2338,patch[[#This Row],[OwnerEmail]])</f>
        <v>liang.l.yang@intel.com</v>
      </c>
      <c r="R2339" s="7" t="str">
        <f>_xlfn.IFNA(VLOOKUP(patch[[#This Row],[tmp-owner.email]],OrgTree!$A:$K, 11, 0), "not ICG SWFW")</f>
        <v>BJ And dev</v>
      </c>
      <c r="S2339" s="7" t="str">
        <f>IF(patch[[#This Row],[reviewer]]=patch[[#This Row],[tmp-owner.email]], "author", _xlfn.IFNA(VLOOKUP(patch[[#This Row],[reviewer]],OrgTree!$A:$K, 11, 0), "not ICG SWFW"))</f>
        <v>BJ And dev</v>
      </c>
      <c r="T2339" s="7" t="str">
        <f>IF(ISBLANK(patch[[#This Row],[mergeDate]]), "", MID(YEAR(patch[[#This Row],[mergeDate]]), 3,2)&amp;"'ww"&amp;WEEKNUM(patch[[#This Row],[mergeDate]]))</f>
        <v>16'ww37</v>
      </c>
      <c r="U2339" s="7" t="str">
        <f>IF(ISBLANK(patch[[#This Row],[mergeDate]]), U2338, MID(YEAR(patch[[#This Row],[mergeDate]]), 3,2)&amp;"'m"&amp;MONTH(patch[[#This Row],[mergeDate]]))</f>
        <v>16'm9</v>
      </c>
      <c r="V2339" s="7" t="str">
        <f>IF(ISBLANK(patch[[#This Row],[project]]), "",SUM(patch[[#This Row],[BJ -1 num]:[SH -1 num]]))</f>
        <v/>
      </c>
      <c r="W2339" s="7" t="str">
        <f>IF(ISBLANK(patch[[#This Row],[project]]), "",COUNTIFS($A:$A,patch[[#This Row],[number]],$S:$S, "BJ And dev",$AC:$AC, "Review-1"))</f>
        <v/>
      </c>
      <c r="X2339" s="7" t="str">
        <f>IF(ISBLANK(patch[[#This Row],[project]]), "",COUNTIFS($A:$A,patch[[#This Row],[number]],$S:$S, "FL And dev",$AC:$AC, "Review-1"))</f>
        <v/>
      </c>
      <c r="Y2339" s="7" t="str">
        <f>IF(ISBLANK(patch[[#This Row],[project]]), "",COUNTIFS($A:$A,patch[[#This Row],[number]],$S:$S, "SH And dev",$AC:$AC, "Review-1"))</f>
        <v/>
      </c>
      <c r="Z2339" s="7" t="str">
        <f>IF(ISBLANK(patch[[#This Row],[project]]), "",COUNTIFS($A:$A,patch[[#This Row],[number]],$S:$S, "BJ And dev",$AD:$AD, "&lt;&gt;IntegratorValidationComment"))</f>
        <v/>
      </c>
      <c r="AA2339" s="7" t="str">
        <f>IF(ISBLANK(patch[[#This Row],[project]]), "",COUNTIFS($A:$A,patch[[#This Row],[number]],$S:$S, "FL And dev",$AD:$AD, "&lt;&gt;IntegratorValidationComment"))</f>
        <v/>
      </c>
      <c r="AB2339" s="7" t="str">
        <f>IF(ISBLANK(patch[[#This Row],[project]]), "",COUNTIFS($A:$A,patch[[#This Row],[number]],$S:$S, "SH And dev",$AD:$AD, "&lt;&gt;IntegratorValidationComment"))</f>
        <v/>
      </c>
      <c r="AC2339" s="7" t="str">
        <f>IF(OR(ISNUMBER(FIND("Review-1", patch[[#This Row],[comments]])), ISNUMBER(FIND("Approver-1", patch[[#This Row],[comments]]))), "Review-1", "")</f>
        <v/>
      </c>
      <c r="AD23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39" s="7">
        <f>IF(ISBLANK(patch[[#This Row],[number]]),AE2338,patch[[#This Row],[ifCommon]])</f>
        <v>0</v>
      </c>
    </row>
    <row r="2340" spans="1:31">
      <c r="A2340" s="151">
        <v>142787</v>
      </c>
      <c r="B2340" s="151"/>
      <c r="C2340" s="151"/>
      <c r="D2340" s="151"/>
      <c r="E2340" s="151"/>
      <c r="F2340" s="151"/>
      <c r="G2340" s="151"/>
      <c r="H2340" s="151"/>
      <c r="I2340" s="151"/>
      <c r="J2340" s="152">
        <v>42618.700613425928</v>
      </c>
      <c r="K2340" s="151"/>
      <c r="L2340" s="151" t="s">
        <v>59</v>
      </c>
      <c r="M2340" s="152">
        <v>42614.823333333326</v>
      </c>
      <c r="N2340" s="151" t="s">
        <v>3749</v>
      </c>
      <c r="O2340" s="151"/>
      <c r="P2340" s="151"/>
      <c r="Q2340" s="7" t="str">
        <f>IF(ISBLANK(patch[[#This Row],[OwnerEmail]]),Q2339,patch[[#This Row],[OwnerEmail]])</f>
        <v>liang.l.yang@intel.com</v>
      </c>
      <c r="R2340" s="7" t="str">
        <f>_xlfn.IFNA(VLOOKUP(patch[[#This Row],[tmp-owner.email]],OrgTree!$A:$K, 11, 0), "not ICG SWFW")</f>
        <v>BJ And dev</v>
      </c>
      <c r="S2340" s="7" t="str">
        <f>IF(patch[[#This Row],[reviewer]]=patch[[#This Row],[tmp-owner.email]], "author", _xlfn.IFNA(VLOOKUP(patch[[#This Row],[reviewer]],OrgTree!$A:$K, 11, 0), "not ICG SWFW"))</f>
        <v>BJ And dev</v>
      </c>
      <c r="T2340" s="7" t="str">
        <f>IF(ISBLANK(patch[[#This Row],[mergeDate]]), "", MID(YEAR(patch[[#This Row],[mergeDate]]), 3,2)&amp;"'ww"&amp;WEEKNUM(patch[[#This Row],[mergeDate]]))</f>
        <v>16'ww37</v>
      </c>
      <c r="U2340" s="7" t="str">
        <f>IF(ISBLANK(patch[[#This Row],[mergeDate]]), U2339, MID(YEAR(patch[[#This Row],[mergeDate]]), 3,2)&amp;"'m"&amp;MONTH(patch[[#This Row],[mergeDate]]))</f>
        <v>16'm9</v>
      </c>
      <c r="V2340" s="7" t="str">
        <f>IF(ISBLANK(patch[[#This Row],[project]]), "",SUM(patch[[#This Row],[BJ -1 num]:[SH -1 num]]))</f>
        <v/>
      </c>
      <c r="W2340" s="7" t="str">
        <f>IF(ISBLANK(patch[[#This Row],[project]]), "",COUNTIFS($A:$A,patch[[#This Row],[number]],$S:$S, "BJ And dev",$AC:$AC, "Review-1"))</f>
        <v/>
      </c>
      <c r="X2340" s="7" t="str">
        <f>IF(ISBLANK(patch[[#This Row],[project]]), "",COUNTIFS($A:$A,patch[[#This Row],[number]],$S:$S, "FL And dev",$AC:$AC, "Review-1"))</f>
        <v/>
      </c>
      <c r="Y2340" s="7" t="str">
        <f>IF(ISBLANK(patch[[#This Row],[project]]), "",COUNTIFS($A:$A,patch[[#This Row],[number]],$S:$S, "SH And dev",$AC:$AC, "Review-1"))</f>
        <v/>
      </c>
      <c r="Z2340" s="7" t="str">
        <f>IF(ISBLANK(patch[[#This Row],[project]]), "",COUNTIFS($A:$A,patch[[#This Row],[number]],$S:$S, "BJ And dev",$AD:$AD, "&lt;&gt;IntegratorValidationComment"))</f>
        <v/>
      </c>
      <c r="AA2340" s="7" t="str">
        <f>IF(ISBLANK(patch[[#This Row],[project]]), "",COUNTIFS($A:$A,patch[[#This Row],[number]],$S:$S, "FL And dev",$AD:$AD, "&lt;&gt;IntegratorValidationComment"))</f>
        <v/>
      </c>
      <c r="AB2340" s="7" t="str">
        <f>IF(ISBLANK(patch[[#This Row],[project]]), "",COUNTIFS($A:$A,patch[[#This Row],[number]],$S:$S, "SH And dev",$AD:$AD, "&lt;&gt;IntegratorValidationComment"))</f>
        <v/>
      </c>
      <c r="AC2340" s="7" t="str">
        <f>IF(OR(ISNUMBER(FIND("Review-1", patch[[#This Row],[comments]])), ISNUMBER(FIND("Approver-1", patch[[#This Row],[comments]]))), "Review-1", "")</f>
        <v/>
      </c>
      <c r="AD23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40" s="7">
        <f>IF(ISBLANK(patch[[#This Row],[number]]),AE2339,patch[[#This Row],[ifCommon]])</f>
        <v>0</v>
      </c>
    </row>
    <row r="2341" spans="1:31">
      <c r="A2341" s="151">
        <v>142787</v>
      </c>
      <c r="B2341" s="151"/>
      <c r="C2341" s="151"/>
      <c r="D2341" s="151"/>
      <c r="E2341" s="151"/>
      <c r="F2341" s="151"/>
      <c r="G2341" s="151"/>
      <c r="H2341" s="151"/>
      <c r="I2341" s="151"/>
      <c r="J2341" s="152">
        <v>42618.700613425928</v>
      </c>
      <c r="K2341" s="151"/>
      <c r="L2341" s="151" t="s">
        <v>55</v>
      </c>
      <c r="M2341" s="152">
        <v>42615.464780092603</v>
      </c>
      <c r="N2341" s="151" t="s">
        <v>2452</v>
      </c>
      <c r="O2341" s="151"/>
      <c r="P2341" s="151"/>
      <c r="Q2341" s="7" t="str">
        <f>IF(ISBLANK(patch[[#This Row],[OwnerEmail]]),Q2340,patch[[#This Row],[OwnerEmail]])</f>
        <v>liang.l.yang@intel.com</v>
      </c>
      <c r="R2341" s="7" t="str">
        <f>_xlfn.IFNA(VLOOKUP(patch[[#This Row],[tmp-owner.email]],OrgTree!$A:$K, 11, 0), "not ICG SWFW")</f>
        <v>BJ And dev</v>
      </c>
      <c r="S2341" s="7" t="str">
        <f>IF(patch[[#This Row],[reviewer]]=patch[[#This Row],[tmp-owner.email]], "author", _xlfn.IFNA(VLOOKUP(patch[[#This Row],[reviewer]],OrgTree!$A:$K, 11, 0), "not ICG SWFW"))</f>
        <v>author</v>
      </c>
      <c r="T2341" s="7" t="str">
        <f>IF(ISBLANK(patch[[#This Row],[mergeDate]]), "", MID(YEAR(patch[[#This Row],[mergeDate]]), 3,2)&amp;"'ww"&amp;WEEKNUM(patch[[#This Row],[mergeDate]]))</f>
        <v>16'ww37</v>
      </c>
      <c r="U2341" s="7" t="str">
        <f>IF(ISBLANK(patch[[#This Row],[mergeDate]]), U2340, MID(YEAR(patch[[#This Row],[mergeDate]]), 3,2)&amp;"'m"&amp;MONTH(patch[[#This Row],[mergeDate]]))</f>
        <v>16'm9</v>
      </c>
      <c r="V2341" s="7" t="str">
        <f>IF(ISBLANK(patch[[#This Row],[project]]), "",SUM(patch[[#This Row],[BJ -1 num]:[SH -1 num]]))</f>
        <v/>
      </c>
      <c r="W2341" s="7" t="str">
        <f>IF(ISBLANK(patch[[#This Row],[project]]), "",COUNTIFS($A:$A,patch[[#This Row],[number]],$S:$S, "BJ And dev",$AC:$AC, "Review-1"))</f>
        <v/>
      </c>
      <c r="X2341" s="7" t="str">
        <f>IF(ISBLANK(patch[[#This Row],[project]]), "",COUNTIFS($A:$A,patch[[#This Row],[number]],$S:$S, "FL And dev",$AC:$AC, "Review-1"))</f>
        <v/>
      </c>
      <c r="Y2341" s="7" t="str">
        <f>IF(ISBLANK(patch[[#This Row],[project]]), "",COUNTIFS($A:$A,patch[[#This Row],[number]],$S:$S, "SH And dev",$AC:$AC, "Review-1"))</f>
        <v/>
      </c>
      <c r="Z2341" s="7" t="str">
        <f>IF(ISBLANK(patch[[#This Row],[project]]), "",COUNTIFS($A:$A,patch[[#This Row],[number]],$S:$S, "BJ And dev",$AD:$AD, "&lt;&gt;IntegratorValidationComment"))</f>
        <v/>
      </c>
      <c r="AA2341" s="7" t="str">
        <f>IF(ISBLANK(patch[[#This Row],[project]]), "",COUNTIFS($A:$A,patch[[#This Row],[number]],$S:$S, "FL And dev",$AD:$AD, "&lt;&gt;IntegratorValidationComment"))</f>
        <v/>
      </c>
      <c r="AB2341" s="7" t="str">
        <f>IF(ISBLANK(patch[[#This Row],[project]]), "",COUNTIFS($A:$A,patch[[#This Row],[number]],$S:$S, "SH And dev",$AD:$AD, "&lt;&gt;IntegratorValidationComment"))</f>
        <v/>
      </c>
      <c r="AC2341" s="7" t="str">
        <f>IF(OR(ISNUMBER(FIND("Review-1", patch[[#This Row],[comments]])), ISNUMBER(FIND("Approver-1", patch[[#This Row],[comments]]))), "Review-1", "")</f>
        <v/>
      </c>
      <c r="AD23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41" s="7">
        <f>IF(ISBLANK(patch[[#This Row],[number]]),AE2340,patch[[#This Row],[ifCommon]])</f>
        <v>0</v>
      </c>
    </row>
    <row r="2342" spans="1:31">
      <c r="A2342" s="151">
        <v>142787</v>
      </c>
      <c r="B2342" s="151"/>
      <c r="C2342" s="151"/>
      <c r="D2342" s="151"/>
      <c r="E2342" s="151"/>
      <c r="F2342" s="151"/>
      <c r="G2342" s="151"/>
      <c r="H2342" s="151"/>
      <c r="I2342" s="151"/>
      <c r="J2342" s="152">
        <v>42618.700613425928</v>
      </c>
      <c r="K2342" s="151"/>
      <c r="L2342" s="151" t="s">
        <v>55</v>
      </c>
      <c r="M2342" s="152">
        <v>42615.464780092603</v>
      </c>
      <c r="N2342" s="151" t="s">
        <v>2453</v>
      </c>
      <c r="O2342" s="151"/>
      <c r="P2342" s="151"/>
      <c r="Q2342" s="7" t="str">
        <f>IF(ISBLANK(patch[[#This Row],[OwnerEmail]]),Q2341,patch[[#This Row],[OwnerEmail]])</f>
        <v>liang.l.yang@intel.com</v>
      </c>
      <c r="R2342" s="7" t="str">
        <f>_xlfn.IFNA(VLOOKUP(patch[[#This Row],[tmp-owner.email]],OrgTree!$A:$K, 11, 0), "not ICG SWFW")</f>
        <v>BJ And dev</v>
      </c>
      <c r="S2342" s="7" t="str">
        <f>IF(patch[[#This Row],[reviewer]]=patch[[#This Row],[tmp-owner.email]], "author", _xlfn.IFNA(VLOOKUP(patch[[#This Row],[reviewer]],OrgTree!$A:$K, 11, 0), "not ICG SWFW"))</f>
        <v>author</v>
      </c>
      <c r="T2342" s="7" t="str">
        <f>IF(ISBLANK(patch[[#This Row],[mergeDate]]), "", MID(YEAR(patch[[#This Row],[mergeDate]]), 3,2)&amp;"'ww"&amp;WEEKNUM(patch[[#This Row],[mergeDate]]))</f>
        <v>16'ww37</v>
      </c>
      <c r="U2342" s="7" t="str">
        <f>IF(ISBLANK(patch[[#This Row],[mergeDate]]), U2341, MID(YEAR(patch[[#This Row],[mergeDate]]), 3,2)&amp;"'m"&amp;MONTH(patch[[#This Row],[mergeDate]]))</f>
        <v>16'm9</v>
      </c>
      <c r="V2342" s="7" t="str">
        <f>IF(ISBLANK(patch[[#This Row],[project]]), "",SUM(patch[[#This Row],[BJ -1 num]:[SH -1 num]]))</f>
        <v/>
      </c>
      <c r="W2342" s="7" t="str">
        <f>IF(ISBLANK(patch[[#This Row],[project]]), "",COUNTIFS($A:$A,patch[[#This Row],[number]],$S:$S, "BJ And dev",$AC:$AC, "Review-1"))</f>
        <v/>
      </c>
      <c r="X2342" s="7" t="str">
        <f>IF(ISBLANK(patch[[#This Row],[project]]), "",COUNTIFS($A:$A,patch[[#This Row],[number]],$S:$S, "FL And dev",$AC:$AC, "Review-1"))</f>
        <v/>
      </c>
      <c r="Y2342" s="7" t="str">
        <f>IF(ISBLANK(patch[[#This Row],[project]]), "",COUNTIFS($A:$A,patch[[#This Row],[number]],$S:$S, "SH And dev",$AC:$AC, "Review-1"))</f>
        <v/>
      </c>
      <c r="Z2342" s="7" t="str">
        <f>IF(ISBLANK(patch[[#This Row],[project]]), "",COUNTIFS($A:$A,patch[[#This Row],[number]],$S:$S, "BJ And dev",$AD:$AD, "&lt;&gt;IntegratorValidationComment"))</f>
        <v/>
      </c>
      <c r="AA2342" s="7" t="str">
        <f>IF(ISBLANK(patch[[#This Row],[project]]), "",COUNTIFS($A:$A,patch[[#This Row],[number]],$S:$S, "FL And dev",$AD:$AD, "&lt;&gt;IntegratorValidationComment"))</f>
        <v/>
      </c>
      <c r="AB2342" s="7" t="str">
        <f>IF(ISBLANK(patch[[#This Row],[project]]), "",COUNTIFS($A:$A,patch[[#This Row],[number]],$S:$S, "SH And dev",$AD:$AD, "&lt;&gt;IntegratorValidationComment"))</f>
        <v/>
      </c>
      <c r="AC2342" s="7" t="str">
        <f>IF(OR(ISNUMBER(FIND("Review-1", patch[[#This Row],[comments]])), ISNUMBER(FIND("Approver-1", patch[[#This Row],[comments]]))), "Review-1", "")</f>
        <v/>
      </c>
      <c r="AD23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42" s="7">
        <f>IF(ISBLANK(patch[[#This Row],[number]]),AE2341,patch[[#This Row],[ifCommon]])</f>
        <v>0</v>
      </c>
    </row>
    <row r="2343" spans="1:31">
      <c r="A2343" s="151">
        <v>142787</v>
      </c>
      <c r="B2343" s="151"/>
      <c r="C2343" s="151"/>
      <c r="D2343" s="151"/>
      <c r="E2343" s="151"/>
      <c r="F2343" s="151"/>
      <c r="G2343" s="151"/>
      <c r="H2343" s="151"/>
      <c r="I2343" s="151"/>
      <c r="J2343" s="152">
        <v>42618.700613425928</v>
      </c>
      <c r="K2343" s="151"/>
      <c r="L2343" s="151" t="s">
        <v>59</v>
      </c>
      <c r="M2343" s="152">
        <v>42615.469259259262</v>
      </c>
      <c r="N2343" s="151" t="s">
        <v>3750</v>
      </c>
      <c r="O2343" s="151"/>
      <c r="P2343" s="151"/>
      <c r="Q2343" s="7" t="str">
        <f>IF(ISBLANK(patch[[#This Row],[OwnerEmail]]),Q2342,patch[[#This Row],[OwnerEmail]])</f>
        <v>liang.l.yang@intel.com</v>
      </c>
      <c r="R2343" s="7" t="str">
        <f>_xlfn.IFNA(VLOOKUP(patch[[#This Row],[tmp-owner.email]],OrgTree!$A:$K, 11, 0), "not ICG SWFW")</f>
        <v>BJ And dev</v>
      </c>
      <c r="S2343" s="7" t="str">
        <f>IF(patch[[#This Row],[reviewer]]=patch[[#This Row],[tmp-owner.email]], "author", _xlfn.IFNA(VLOOKUP(patch[[#This Row],[reviewer]],OrgTree!$A:$K, 11, 0), "not ICG SWFW"))</f>
        <v>BJ And dev</v>
      </c>
      <c r="T2343" s="7" t="str">
        <f>IF(ISBLANK(patch[[#This Row],[mergeDate]]), "", MID(YEAR(patch[[#This Row],[mergeDate]]), 3,2)&amp;"'ww"&amp;WEEKNUM(patch[[#This Row],[mergeDate]]))</f>
        <v>16'ww37</v>
      </c>
      <c r="U2343" s="7" t="str">
        <f>IF(ISBLANK(patch[[#This Row],[mergeDate]]), U2342, MID(YEAR(patch[[#This Row],[mergeDate]]), 3,2)&amp;"'m"&amp;MONTH(patch[[#This Row],[mergeDate]]))</f>
        <v>16'm9</v>
      </c>
      <c r="V2343" s="7" t="str">
        <f>IF(ISBLANK(patch[[#This Row],[project]]), "",SUM(patch[[#This Row],[BJ -1 num]:[SH -1 num]]))</f>
        <v/>
      </c>
      <c r="W2343" s="7" t="str">
        <f>IF(ISBLANK(patch[[#This Row],[project]]), "",COUNTIFS($A:$A,patch[[#This Row],[number]],$S:$S, "BJ And dev",$AC:$AC, "Review-1"))</f>
        <v/>
      </c>
      <c r="X2343" s="7" t="str">
        <f>IF(ISBLANK(patch[[#This Row],[project]]), "",COUNTIFS($A:$A,patch[[#This Row],[number]],$S:$S, "FL And dev",$AC:$AC, "Review-1"))</f>
        <v/>
      </c>
      <c r="Y2343" s="7" t="str">
        <f>IF(ISBLANK(patch[[#This Row],[project]]), "",COUNTIFS($A:$A,patch[[#This Row],[number]],$S:$S, "SH And dev",$AC:$AC, "Review-1"))</f>
        <v/>
      </c>
      <c r="Z2343" s="7" t="str">
        <f>IF(ISBLANK(patch[[#This Row],[project]]), "",COUNTIFS($A:$A,patch[[#This Row],[number]],$S:$S, "BJ And dev",$AD:$AD, "&lt;&gt;IntegratorValidationComment"))</f>
        <v/>
      </c>
      <c r="AA2343" s="7" t="str">
        <f>IF(ISBLANK(patch[[#This Row],[project]]), "",COUNTIFS($A:$A,patch[[#This Row],[number]],$S:$S, "FL And dev",$AD:$AD, "&lt;&gt;IntegratorValidationComment"))</f>
        <v/>
      </c>
      <c r="AB2343" s="7" t="str">
        <f>IF(ISBLANK(patch[[#This Row],[project]]), "",COUNTIFS($A:$A,patch[[#This Row],[number]],$S:$S, "SH And dev",$AD:$AD, "&lt;&gt;IntegratorValidationComment"))</f>
        <v/>
      </c>
      <c r="AC2343" s="7" t="str">
        <f>IF(OR(ISNUMBER(FIND("Review-1", patch[[#This Row],[comments]])), ISNUMBER(FIND("Approver-1", patch[[#This Row],[comments]]))), "Review-1", "")</f>
        <v/>
      </c>
      <c r="AD23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43" s="7">
        <f>IF(ISBLANK(patch[[#This Row],[number]]),AE2342,patch[[#This Row],[ifCommon]])</f>
        <v>0</v>
      </c>
    </row>
    <row r="2344" spans="1:31">
      <c r="A2344" s="151">
        <v>142787</v>
      </c>
      <c r="B2344" s="151"/>
      <c r="C2344" s="151"/>
      <c r="D2344" s="151"/>
      <c r="E2344" s="151"/>
      <c r="F2344" s="151"/>
      <c r="G2344" s="151"/>
      <c r="H2344" s="151"/>
      <c r="I2344" s="151"/>
      <c r="J2344" s="152">
        <v>42618.700613425928</v>
      </c>
      <c r="K2344" s="151"/>
      <c r="L2344" s="151" t="s">
        <v>59</v>
      </c>
      <c r="M2344" s="152">
        <v>42615.480358796303</v>
      </c>
      <c r="N2344" s="151" t="s">
        <v>3751</v>
      </c>
      <c r="O2344" s="151"/>
      <c r="P2344" s="151"/>
      <c r="Q2344" s="7" t="str">
        <f>IF(ISBLANK(patch[[#This Row],[OwnerEmail]]),Q2343,patch[[#This Row],[OwnerEmail]])</f>
        <v>liang.l.yang@intel.com</v>
      </c>
      <c r="R2344" s="7" t="str">
        <f>_xlfn.IFNA(VLOOKUP(patch[[#This Row],[tmp-owner.email]],OrgTree!$A:$K, 11, 0), "not ICG SWFW")</f>
        <v>BJ And dev</v>
      </c>
      <c r="S2344" s="7" t="str">
        <f>IF(patch[[#This Row],[reviewer]]=patch[[#This Row],[tmp-owner.email]], "author", _xlfn.IFNA(VLOOKUP(patch[[#This Row],[reviewer]],OrgTree!$A:$K, 11, 0), "not ICG SWFW"))</f>
        <v>BJ And dev</v>
      </c>
      <c r="T2344" s="7" t="str">
        <f>IF(ISBLANK(patch[[#This Row],[mergeDate]]), "", MID(YEAR(patch[[#This Row],[mergeDate]]), 3,2)&amp;"'ww"&amp;WEEKNUM(patch[[#This Row],[mergeDate]]))</f>
        <v>16'ww37</v>
      </c>
      <c r="U2344" s="7" t="str">
        <f>IF(ISBLANK(patch[[#This Row],[mergeDate]]), U2343, MID(YEAR(patch[[#This Row],[mergeDate]]), 3,2)&amp;"'m"&amp;MONTH(patch[[#This Row],[mergeDate]]))</f>
        <v>16'm9</v>
      </c>
      <c r="V2344" s="7" t="str">
        <f>IF(ISBLANK(patch[[#This Row],[project]]), "",SUM(patch[[#This Row],[BJ -1 num]:[SH -1 num]]))</f>
        <v/>
      </c>
      <c r="W2344" s="7" t="str">
        <f>IF(ISBLANK(patch[[#This Row],[project]]), "",COUNTIFS($A:$A,patch[[#This Row],[number]],$S:$S, "BJ And dev",$AC:$AC, "Review-1"))</f>
        <v/>
      </c>
      <c r="X2344" s="7" t="str">
        <f>IF(ISBLANK(patch[[#This Row],[project]]), "",COUNTIFS($A:$A,patch[[#This Row],[number]],$S:$S, "FL And dev",$AC:$AC, "Review-1"))</f>
        <v/>
      </c>
      <c r="Y2344" s="7" t="str">
        <f>IF(ISBLANK(patch[[#This Row],[project]]), "",COUNTIFS($A:$A,patch[[#This Row],[number]],$S:$S, "SH And dev",$AC:$AC, "Review-1"))</f>
        <v/>
      </c>
      <c r="Z2344" s="7" t="str">
        <f>IF(ISBLANK(patch[[#This Row],[project]]), "",COUNTIFS($A:$A,patch[[#This Row],[number]],$S:$S, "BJ And dev",$AD:$AD, "&lt;&gt;IntegratorValidationComment"))</f>
        <v/>
      </c>
      <c r="AA2344" s="7" t="str">
        <f>IF(ISBLANK(patch[[#This Row],[project]]), "",COUNTIFS($A:$A,patch[[#This Row],[number]],$S:$S, "FL And dev",$AD:$AD, "&lt;&gt;IntegratorValidationComment"))</f>
        <v/>
      </c>
      <c r="AB2344" s="7" t="str">
        <f>IF(ISBLANK(patch[[#This Row],[project]]), "",COUNTIFS($A:$A,patch[[#This Row],[number]],$S:$S, "SH And dev",$AD:$AD, "&lt;&gt;IntegratorValidationComment"))</f>
        <v/>
      </c>
      <c r="AC2344" s="7" t="str">
        <f>IF(OR(ISNUMBER(FIND("Review-1", patch[[#This Row],[comments]])), ISNUMBER(FIND("Approver-1", patch[[#This Row],[comments]]))), "Review-1", "")</f>
        <v/>
      </c>
      <c r="AD23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44" s="7">
        <f>IF(ISBLANK(patch[[#This Row],[number]]),AE2343,patch[[#This Row],[ifCommon]])</f>
        <v>0</v>
      </c>
    </row>
    <row r="2345" spans="1:31">
      <c r="A2345" s="151">
        <v>142787</v>
      </c>
      <c r="B2345" s="151"/>
      <c r="C2345" s="151"/>
      <c r="D2345" s="151"/>
      <c r="E2345" s="151"/>
      <c r="F2345" s="151"/>
      <c r="G2345" s="151"/>
      <c r="H2345" s="151"/>
      <c r="I2345" s="151"/>
      <c r="J2345" s="152">
        <v>42618.700613425928</v>
      </c>
      <c r="K2345" s="151"/>
      <c r="L2345" s="151" t="s">
        <v>55</v>
      </c>
      <c r="M2345" s="152">
        <v>42615.485902777778</v>
      </c>
      <c r="N2345" s="151" t="s">
        <v>1842</v>
      </c>
      <c r="O2345" s="151"/>
      <c r="P2345" s="151"/>
      <c r="Q2345" s="7" t="str">
        <f>IF(ISBLANK(patch[[#This Row],[OwnerEmail]]),Q2344,patch[[#This Row],[OwnerEmail]])</f>
        <v>liang.l.yang@intel.com</v>
      </c>
      <c r="R2345" s="7" t="str">
        <f>_xlfn.IFNA(VLOOKUP(patch[[#This Row],[tmp-owner.email]],OrgTree!$A:$K, 11, 0), "not ICG SWFW")</f>
        <v>BJ And dev</v>
      </c>
      <c r="S2345" s="7" t="str">
        <f>IF(patch[[#This Row],[reviewer]]=patch[[#This Row],[tmp-owner.email]], "author", _xlfn.IFNA(VLOOKUP(patch[[#This Row],[reviewer]],OrgTree!$A:$K, 11, 0), "not ICG SWFW"))</f>
        <v>author</v>
      </c>
      <c r="T2345" s="7" t="str">
        <f>IF(ISBLANK(patch[[#This Row],[mergeDate]]), "", MID(YEAR(patch[[#This Row],[mergeDate]]), 3,2)&amp;"'ww"&amp;WEEKNUM(patch[[#This Row],[mergeDate]]))</f>
        <v>16'ww37</v>
      </c>
      <c r="U2345" s="7" t="str">
        <f>IF(ISBLANK(patch[[#This Row],[mergeDate]]), U2344, MID(YEAR(patch[[#This Row],[mergeDate]]), 3,2)&amp;"'m"&amp;MONTH(patch[[#This Row],[mergeDate]]))</f>
        <v>16'm9</v>
      </c>
      <c r="V2345" s="7" t="str">
        <f>IF(ISBLANK(patch[[#This Row],[project]]), "",SUM(patch[[#This Row],[BJ -1 num]:[SH -1 num]]))</f>
        <v/>
      </c>
      <c r="W2345" s="7" t="str">
        <f>IF(ISBLANK(patch[[#This Row],[project]]), "",COUNTIFS($A:$A,patch[[#This Row],[number]],$S:$S, "BJ And dev",$AC:$AC, "Review-1"))</f>
        <v/>
      </c>
      <c r="X2345" s="7" t="str">
        <f>IF(ISBLANK(patch[[#This Row],[project]]), "",COUNTIFS($A:$A,patch[[#This Row],[number]],$S:$S, "FL And dev",$AC:$AC, "Review-1"))</f>
        <v/>
      </c>
      <c r="Y2345" s="7" t="str">
        <f>IF(ISBLANK(patch[[#This Row],[project]]), "",COUNTIFS($A:$A,patch[[#This Row],[number]],$S:$S, "SH And dev",$AC:$AC, "Review-1"))</f>
        <v/>
      </c>
      <c r="Z2345" s="7" t="str">
        <f>IF(ISBLANK(patch[[#This Row],[project]]), "",COUNTIFS($A:$A,patch[[#This Row],[number]],$S:$S, "BJ And dev",$AD:$AD, "&lt;&gt;IntegratorValidationComment"))</f>
        <v/>
      </c>
      <c r="AA2345" s="7" t="str">
        <f>IF(ISBLANK(patch[[#This Row],[project]]), "",COUNTIFS($A:$A,patch[[#This Row],[number]],$S:$S, "FL And dev",$AD:$AD, "&lt;&gt;IntegratorValidationComment"))</f>
        <v/>
      </c>
      <c r="AB2345" s="7" t="str">
        <f>IF(ISBLANK(patch[[#This Row],[project]]), "",COUNTIFS($A:$A,patch[[#This Row],[number]],$S:$S, "SH And dev",$AD:$AD, "&lt;&gt;IntegratorValidationComment"))</f>
        <v/>
      </c>
      <c r="AC2345" s="7" t="str">
        <f>IF(OR(ISNUMBER(FIND("Review-1", patch[[#This Row],[comments]])), ISNUMBER(FIND("Approver-1", patch[[#This Row],[comments]]))), "Review-1", "")</f>
        <v/>
      </c>
      <c r="AD23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45" s="7">
        <f>IF(ISBLANK(patch[[#This Row],[number]]),AE2344,patch[[#This Row],[ifCommon]])</f>
        <v>0</v>
      </c>
    </row>
    <row r="2346" spans="1:31">
      <c r="A2346" s="151">
        <v>142787</v>
      </c>
      <c r="B2346" s="151"/>
      <c r="C2346" s="151"/>
      <c r="D2346" s="151"/>
      <c r="E2346" s="151"/>
      <c r="F2346" s="151"/>
      <c r="G2346" s="151"/>
      <c r="H2346" s="151"/>
      <c r="I2346" s="151"/>
      <c r="J2346" s="152">
        <v>42618.700613425928</v>
      </c>
      <c r="K2346" s="151"/>
      <c r="L2346" s="151" t="s">
        <v>55</v>
      </c>
      <c r="M2346" s="152">
        <v>42615.485914351862</v>
      </c>
      <c r="N2346" s="151" t="s">
        <v>2465</v>
      </c>
      <c r="O2346" s="151"/>
      <c r="P2346" s="151"/>
      <c r="Q2346" s="7" t="str">
        <f>IF(ISBLANK(patch[[#This Row],[OwnerEmail]]),Q2345,patch[[#This Row],[OwnerEmail]])</f>
        <v>liang.l.yang@intel.com</v>
      </c>
      <c r="R2346" s="7" t="str">
        <f>_xlfn.IFNA(VLOOKUP(patch[[#This Row],[tmp-owner.email]],OrgTree!$A:$K, 11, 0), "not ICG SWFW")</f>
        <v>BJ And dev</v>
      </c>
      <c r="S2346" s="7" t="str">
        <f>IF(patch[[#This Row],[reviewer]]=patch[[#This Row],[tmp-owner.email]], "author", _xlfn.IFNA(VLOOKUP(patch[[#This Row],[reviewer]],OrgTree!$A:$K, 11, 0), "not ICG SWFW"))</f>
        <v>author</v>
      </c>
      <c r="T2346" s="7" t="str">
        <f>IF(ISBLANK(patch[[#This Row],[mergeDate]]), "", MID(YEAR(patch[[#This Row],[mergeDate]]), 3,2)&amp;"'ww"&amp;WEEKNUM(patch[[#This Row],[mergeDate]]))</f>
        <v>16'ww37</v>
      </c>
      <c r="U2346" s="7" t="str">
        <f>IF(ISBLANK(patch[[#This Row],[mergeDate]]), U2345, MID(YEAR(patch[[#This Row],[mergeDate]]), 3,2)&amp;"'m"&amp;MONTH(patch[[#This Row],[mergeDate]]))</f>
        <v>16'm9</v>
      </c>
      <c r="V2346" s="7" t="str">
        <f>IF(ISBLANK(patch[[#This Row],[project]]), "",SUM(patch[[#This Row],[BJ -1 num]:[SH -1 num]]))</f>
        <v/>
      </c>
      <c r="W2346" s="7" t="str">
        <f>IF(ISBLANK(patch[[#This Row],[project]]), "",COUNTIFS($A:$A,patch[[#This Row],[number]],$S:$S, "BJ And dev",$AC:$AC, "Review-1"))</f>
        <v/>
      </c>
      <c r="X2346" s="7" t="str">
        <f>IF(ISBLANK(patch[[#This Row],[project]]), "",COUNTIFS($A:$A,patch[[#This Row],[number]],$S:$S, "FL And dev",$AC:$AC, "Review-1"))</f>
        <v/>
      </c>
      <c r="Y2346" s="7" t="str">
        <f>IF(ISBLANK(patch[[#This Row],[project]]), "",COUNTIFS($A:$A,patch[[#This Row],[number]],$S:$S, "SH And dev",$AC:$AC, "Review-1"))</f>
        <v/>
      </c>
      <c r="Z2346" s="7" t="str">
        <f>IF(ISBLANK(patch[[#This Row],[project]]), "",COUNTIFS($A:$A,patch[[#This Row],[number]],$S:$S, "BJ And dev",$AD:$AD, "&lt;&gt;IntegratorValidationComment"))</f>
        <v/>
      </c>
      <c r="AA2346" s="7" t="str">
        <f>IF(ISBLANK(patch[[#This Row],[project]]), "",COUNTIFS($A:$A,patch[[#This Row],[number]],$S:$S, "FL And dev",$AD:$AD, "&lt;&gt;IntegratorValidationComment"))</f>
        <v/>
      </c>
      <c r="AB2346" s="7" t="str">
        <f>IF(ISBLANK(patch[[#This Row],[project]]), "",COUNTIFS($A:$A,patch[[#This Row],[number]],$S:$S, "SH And dev",$AD:$AD, "&lt;&gt;IntegratorValidationComment"))</f>
        <v/>
      </c>
      <c r="AC2346" s="7" t="str">
        <f>IF(OR(ISNUMBER(FIND("Review-1", patch[[#This Row],[comments]])), ISNUMBER(FIND("Approver-1", patch[[#This Row],[comments]]))), "Review-1", "")</f>
        <v/>
      </c>
      <c r="AD23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46" s="7">
        <f>IF(ISBLANK(patch[[#This Row],[number]]),AE2345,patch[[#This Row],[ifCommon]])</f>
        <v>0</v>
      </c>
    </row>
    <row r="2347" spans="1:31">
      <c r="A2347" s="151">
        <v>142787</v>
      </c>
      <c r="B2347" s="151"/>
      <c r="C2347" s="151"/>
      <c r="D2347" s="151"/>
      <c r="E2347" s="151"/>
      <c r="F2347" s="151"/>
      <c r="G2347" s="151"/>
      <c r="H2347" s="151"/>
      <c r="I2347" s="151"/>
      <c r="J2347" s="152">
        <v>42618.700613425928</v>
      </c>
      <c r="K2347" s="151"/>
      <c r="L2347" s="151" t="s">
        <v>59</v>
      </c>
      <c r="M2347" s="152">
        <v>42615.488634259258</v>
      </c>
      <c r="N2347" s="151" t="s">
        <v>3752</v>
      </c>
      <c r="O2347" s="151"/>
      <c r="P2347" s="151"/>
      <c r="Q2347" s="7" t="str">
        <f>IF(ISBLANK(patch[[#This Row],[OwnerEmail]]),Q2346,patch[[#This Row],[OwnerEmail]])</f>
        <v>liang.l.yang@intel.com</v>
      </c>
      <c r="R2347" s="7" t="str">
        <f>_xlfn.IFNA(VLOOKUP(patch[[#This Row],[tmp-owner.email]],OrgTree!$A:$K, 11, 0), "not ICG SWFW")</f>
        <v>BJ And dev</v>
      </c>
      <c r="S2347" s="7" t="str">
        <f>IF(patch[[#This Row],[reviewer]]=patch[[#This Row],[tmp-owner.email]], "author", _xlfn.IFNA(VLOOKUP(patch[[#This Row],[reviewer]],OrgTree!$A:$K, 11, 0), "not ICG SWFW"))</f>
        <v>BJ And dev</v>
      </c>
      <c r="T2347" s="7" t="str">
        <f>IF(ISBLANK(patch[[#This Row],[mergeDate]]), "", MID(YEAR(patch[[#This Row],[mergeDate]]), 3,2)&amp;"'ww"&amp;WEEKNUM(patch[[#This Row],[mergeDate]]))</f>
        <v>16'ww37</v>
      </c>
      <c r="U2347" s="7" t="str">
        <f>IF(ISBLANK(patch[[#This Row],[mergeDate]]), U2346, MID(YEAR(patch[[#This Row],[mergeDate]]), 3,2)&amp;"'m"&amp;MONTH(patch[[#This Row],[mergeDate]]))</f>
        <v>16'm9</v>
      </c>
      <c r="V2347" s="7" t="str">
        <f>IF(ISBLANK(patch[[#This Row],[project]]), "",SUM(patch[[#This Row],[BJ -1 num]:[SH -1 num]]))</f>
        <v/>
      </c>
      <c r="W2347" s="7" t="str">
        <f>IF(ISBLANK(patch[[#This Row],[project]]), "",COUNTIFS($A:$A,patch[[#This Row],[number]],$S:$S, "BJ And dev",$AC:$AC, "Review-1"))</f>
        <v/>
      </c>
      <c r="X2347" s="7" t="str">
        <f>IF(ISBLANK(patch[[#This Row],[project]]), "",COUNTIFS($A:$A,patch[[#This Row],[number]],$S:$S, "FL And dev",$AC:$AC, "Review-1"))</f>
        <v/>
      </c>
      <c r="Y2347" s="7" t="str">
        <f>IF(ISBLANK(patch[[#This Row],[project]]), "",COUNTIFS($A:$A,patch[[#This Row],[number]],$S:$S, "SH And dev",$AC:$AC, "Review-1"))</f>
        <v/>
      </c>
      <c r="Z2347" s="7" t="str">
        <f>IF(ISBLANK(patch[[#This Row],[project]]), "",COUNTIFS($A:$A,patch[[#This Row],[number]],$S:$S, "BJ And dev",$AD:$AD, "&lt;&gt;IntegratorValidationComment"))</f>
        <v/>
      </c>
      <c r="AA2347" s="7" t="str">
        <f>IF(ISBLANK(patch[[#This Row],[project]]), "",COUNTIFS($A:$A,patch[[#This Row],[number]],$S:$S, "FL And dev",$AD:$AD, "&lt;&gt;IntegratorValidationComment"))</f>
        <v/>
      </c>
      <c r="AB2347" s="7" t="str">
        <f>IF(ISBLANK(patch[[#This Row],[project]]), "",COUNTIFS($A:$A,patch[[#This Row],[number]],$S:$S, "SH And dev",$AD:$AD, "&lt;&gt;IntegratorValidationComment"))</f>
        <v/>
      </c>
      <c r="AC2347" s="7" t="str">
        <f>IF(OR(ISNUMBER(FIND("Review-1", patch[[#This Row],[comments]])), ISNUMBER(FIND("Approver-1", patch[[#This Row],[comments]]))), "Review-1", "")</f>
        <v/>
      </c>
      <c r="AD23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47" s="7">
        <f>IF(ISBLANK(patch[[#This Row],[number]]),AE2346,patch[[#This Row],[ifCommon]])</f>
        <v>0</v>
      </c>
    </row>
    <row r="2348" spans="1:31">
      <c r="A2348" s="151">
        <v>142787</v>
      </c>
      <c r="B2348" s="151"/>
      <c r="C2348" s="151"/>
      <c r="D2348" s="151"/>
      <c r="E2348" s="151"/>
      <c r="F2348" s="151"/>
      <c r="G2348" s="151"/>
      <c r="H2348" s="151"/>
      <c r="I2348" s="152"/>
      <c r="J2348" s="152">
        <v>42618.700613425928</v>
      </c>
      <c r="K2348" s="151"/>
      <c r="L2348" s="151" t="s">
        <v>55</v>
      </c>
      <c r="M2348" s="152">
        <v>42615.497835648152</v>
      </c>
      <c r="N2348" s="151" t="s">
        <v>2466</v>
      </c>
      <c r="O2348" s="151"/>
      <c r="P2348" s="151"/>
      <c r="Q2348" s="7" t="str">
        <f>IF(ISBLANK(patch[[#This Row],[OwnerEmail]]),Q2347,patch[[#This Row],[OwnerEmail]])</f>
        <v>liang.l.yang@intel.com</v>
      </c>
      <c r="R2348" s="7" t="str">
        <f>_xlfn.IFNA(VLOOKUP(patch[[#This Row],[tmp-owner.email]],OrgTree!$A:$K, 11, 0), "not ICG SWFW")</f>
        <v>BJ And dev</v>
      </c>
      <c r="S2348" s="7" t="str">
        <f>IF(patch[[#This Row],[reviewer]]=patch[[#This Row],[tmp-owner.email]], "author", _xlfn.IFNA(VLOOKUP(patch[[#This Row],[reviewer]],OrgTree!$A:$K, 11, 0), "not ICG SWFW"))</f>
        <v>author</v>
      </c>
      <c r="T2348" s="7" t="str">
        <f>IF(ISBLANK(patch[[#This Row],[mergeDate]]), "", MID(YEAR(patch[[#This Row],[mergeDate]]), 3,2)&amp;"'ww"&amp;WEEKNUM(patch[[#This Row],[mergeDate]]))</f>
        <v>16'ww37</v>
      </c>
      <c r="U2348" s="7" t="str">
        <f>IF(ISBLANK(patch[[#This Row],[mergeDate]]), U2347, MID(YEAR(patch[[#This Row],[mergeDate]]), 3,2)&amp;"'m"&amp;MONTH(patch[[#This Row],[mergeDate]]))</f>
        <v>16'm9</v>
      </c>
      <c r="V2348" s="7" t="str">
        <f>IF(ISBLANK(patch[[#This Row],[project]]), "",SUM(patch[[#This Row],[BJ -1 num]:[SH -1 num]]))</f>
        <v/>
      </c>
      <c r="W2348" s="7" t="str">
        <f>IF(ISBLANK(patch[[#This Row],[project]]), "",COUNTIFS($A:$A,patch[[#This Row],[number]],$S:$S, "BJ And dev",$AC:$AC, "Review-1"))</f>
        <v/>
      </c>
      <c r="X2348" s="7" t="str">
        <f>IF(ISBLANK(patch[[#This Row],[project]]), "",COUNTIFS($A:$A,patch[[#This Row],[number]],$S:$S, "FL And dev",$AC:$AC, "Review-1"))</f>
        <v/>
      </c>
      <c r="Y2348" s="7" t="str">
        <f>IF(ISBLANK(patch[[#This Row],[project]]), "",COUNTIFS($A:$A,patch[[#This Row],[number]],$S:$S, "SH And dev",$AC:$AC, "Review-1"))</f>
        <v/>
      </c>
      <c r="Z2348" s="7" t="str">
        <f>IF(ISBLANK(patch[[#This Row],[project]]), "",COUNTIFS($A:$A,patch[[#This Row],[number]],$S:$S, "BJ And dev",$AD:$AD, "&lt;&gt;IntegratorValidationComment"))</f>
        <v/>
      </c>
      <c r="AA2348" s="7" t="str">
        <f>IF(ISBLANK(patch[[#This Row],[project]]), "",COUNTIFS($A:$A,patch[[#This Row],[number]],$S:$S, "FL And dev",$AD:$AD, "&lt;&gt;IntegratorValidationComment"))</f>
        <v/>
      </c>
      <c r="AB2348" s="7" t="str">
        <f>IF(ISBLANK(patch[[#This Row],[project]]), "",COUNTIFS($A:$A,patch[[#This Row],[number]],$S:$S, "SH And dev",$AD:$AD, "&lt;&gt;IntegratorValidationComment"))</f>
        <v/>
      </c>
      <c r="AC2348" s="7" t="str">
        <f>IF(OR(ISNUMBER(FIND("Review-1", patch[[#This Row],[comments]])), ISNUMBER(FIND("Approver-1", patch[[#This Row],[comments]]))), "Review-1", "")</f>
        <v/>
      </c>
      <c r="AD23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48" s="7">
        <f>IF(ISBLANK(patch[[#This Row],[number]]),AE2347,patch[[#This Row],[ifCommon]])</f>
        <v>0</v>
      </c>
    </row>
    <row r="2349" spans="1:31">
      <c r="A2349" s="151">
        <v>142787</v>
      </c>
      <c r="B2349" s="151"/>
      <c r="C2349" s="151"/>
      <c r="D2349" s="151"/>
      <c r="E2349" s="151"/>
      <c r="F2349" s="151"/>
      <c r="G2349" s="151"/>
      <c r="H2349" s="151"/>
      <c r="I2349" s="151"/>
      <c r="J2349" s="152">
        <v>42618.700613425928</v>
      </c>
      <c r="K2349" s="151"/>
      <c r="L2349" s="151" t="s">
        <v>55</v>
      </c>
      <c r="M2349" s="152">
        <v>42615.497835648152</v>
      </c>
      <c r="N2349" s="151" t="s">
        <v>2488</v>
      </c>
      <c r="O2349" s="151"/>
      <c r="P2349" s="151"/>
      <c r="Q2349" s="7" t="str">
        <f>IF(ISBLANK(patch[[#This Row],[OwnerEmail]]),Q2348,patch[[#This Row],[OwnerEmail]])</f>
        <v>liang.l.yang@intel.com</v>
      </c>
      <c r="R2349" s="7" t="str">
        <f>_xlfn.IFNA(VLOOKUP(patch[[#This Row],[tmp-owner.email]],OrgTree!$A:$K, 11, 0), "not ICG SWFW")</f>
        <v>BJ And dev</v>
      </c>
      <c r="S2349" s="7" t="str">
        <f>IF(patch[[#This Row],[reviewer]]=patch[[#This Row],[tmp-owner.email]], "author", _xlfn.IFNA(VLOOKUP(patch[[#This Row],[reviewer]],OrgTree!$A:$K, 11, 0), "not ICG SWFW"))</f>
        <v>author</v>
      </c>
      <c r="T2349" s="7" t="str">
        <f>IF(ISBLANK(patch[[#This Row],[mergeDate]]), "", MID(YEAR(patch[[#This Row],[mergeDate]]), 3,2)&amp;"'ww"&amp;WEEKNUM(patch[[#This Row],[mergeDate]]))</f>
        <v>16'ww37</v>
      </c>
      <c r="U2349" s="7" t="str">
        <f>IF(ISBLANK(patch[[#This Row],[mergeDate]]), U2348, MID(YEAR(patch[[#This Row],[mergeDate]]), 3,2)&amp;"'m"&amp;MONTH(patch[[#This Row],[mergeDate]]))</f>
        <v>16'm9</v>
      </c>
      <c r="V2349" s="7" t="str">
        <f>IF(ISBLANK(patch[[#This Row],[project]]), "",SUM(patch[[#This Row],[BJ -1 num]:[SH -1 num]]))</f>
        <v/>
      </c>
      <c r="W2349" s="7" t="str">
        <f>IF(ISBLANK(patch[[#This Row],[project]]), "",COUNTIFS($A:$A,patch[[#This Row],[number]],$S:$S, "BJ And dev",$AC:$AC, "Review-1"))</f>
        <v/>
      </c>
      <c r="X2349" s="7" t="str">
        <f>IF(ISBLANK(patch[[#This Row],[project]]), "",COUNTIFS($A:$A,patch[[#This Row],[number]],$S:$S, "FL And dev",$AC:$AC, "Review-1"))</f>
        <v/>
      </c>
      <c r="Y2349" s="7" t="str">
        <f>IF(ISBLANK(patch[[#This Row],[project]]), "",COUNTIFS($A:$A,patch[[#This Row],[number]],$S:$S, "SH And dev",$AC:$AC, "Review-1"))</f>
        <v/>
      </c>
      <c r="Z2349" s="7" t="str">
        <f>IF(ISBLANK(patch[[#This Row],[project]]), "",COUNTIFS($A:$A,patch[[#This Row],[number]],$S:$S, "BJ And dev",$AD:$AD, "&lt;&gt;IntegratorValidationComment"))</f>
        <v/>
      </c>
      <c r="AA2349" s="7" t="str">
        <f>IF(ISBLANK(patch[[#This Row],[project]]), "",COUNTIFS($A:$A,patch[[#This Row],[number]],$S:$S, "FL And dev",$AD:$AD, "&lt;&gt;IntegratorValidationComment"))</f>
        <v/>
      </c>
      <c r="AB2349" s="7" t="str">
        <f>IF(ISBLANK(patch[[#This Row],[project]]), "",COUNTIFS($A:$A,patch[[#This Row],[number]],$S:$S, "SH And dev",$AD:$AD, "&lt;&gt;IntegratorValidationComment"))</f>
        <v/>
      </c>
      <c r="AC2349" s="7" t="str">
        <f>IF(OR(ISNUMBER(FIND("Review-1", patch[[#This Row],[comments]])), ISNUMBER(FIND("Approver-1", patch[[#This Row],[comments]]))), "Review-1", "")</f>
        <v/>
      </c>
      <c r="AD23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49" s="7">
        <f>IF(ISBLANK(patch[[#This Row],[number]]),AE2348,patch[[#This Row],[ifCommon]])</f>
        <v>0</v>
      </c>
    </row>
    <row r="2350" spans="1:31">
      <c r="A2350" s="151">
        <v>142787</v>
      </c>
      <c r="B2350" s="151"/>
      <c r="C2350" s="151"/>
      <c r="D2350" s="151"/>
      <c r="E2350" s="151"/>
      <c r="F2350" s="151"/>
      <c r="G2350" s="151"/>
      <c r="H2350" s="151"/>
      <c r="I2350" s="151"/>
      <c r="J2350" s="152">
        <v>42618.700613425928</v>
      </c>
      <c r="K2350" s="151"/>
      <c r="L2350" s="151" t="s">
        <v>59</v>
      </c>
      <c r="M2350" s="152">
        <v>42615.50204861111</v>
      </c>
      <c r="N2350" s="151" t="s">
        <v>3753</v>
      </c>
      <c r="O2350" s="151"/>
      <c r="P2350" s="151"/>
      <c r="Q2350" s="7" t="str">
        <f>IF(ISBLANK(patch[[#This Row],[OwnerEmail]]),Q2349,patch[[#This Row],[OwnerEmail]])</f>
        <v>liang.l.yang@intel.com</v>
      </c>
      <c r="R2350" s="7" t="str">
        <f>_xlfn.IFNA(VLOOKUP(patch[[#This Row],[tmp-owner.email]],OrgTree!$A:$K, 11, 0), "not ICG SWFW")</f>
        <v>BJ And dev</v>
      </c>
      <c r="S2350" s="7" t="str">
        <f>IF(patch[[#This Row],[reviewer]]=patch[[#This Row],[tmp-owner.email]], "author", _xlfn.IFNA(VLOOKUP(patch[[#This Row],[reviewer]],OrgTree!$A:$K, 11, 0), "not ICG SWFW"))</f>
        <v>BJ And dev</v>
      </c>
      <c r="T2350" s="7" t="str">
        <f>IF(ISBLANK(patch[[#This Row],[mergeDate]]), "", MID(YEAR(patch[[#This Row],[mergeDate]]), 3,2)&amp;"'ww"&amp;WEEKNUM(patch[[#This Row],[mergeDate]]))</f>
        <v>16'ww37</v>
      </c>
      <c r="U2350" s="7" t="str">
        <f>IF(ISBLANK(patch[[#This Row],[mergeDate]]), U2349, MID(YEAR(patch[[#This Row],[mergeDate]]), 3,2)&amp;"'m"&amp;MONTH(patch[[#This Row],[mergeDate]]))</f>
        <v>16'm9</v>
      </c>
      <c r="V2350" s="7" t="str">
        <f>IF(ISBLANK(patch[[#This Row],[project]]), "",SUM(patch[[#This Row],[BJ -1 num]:[SH -1 num]]))</f>
        <v/>
      </c>
      <c r="W2350" s="7" t="str">
        <f>IF(ISBLANK(patch[[#This Row],[project]]), "",COUNTIFS($A:$A,patch[[#This Row],[number]],$S:$S, "BJ And dev",$AC:$AC, "Review-1"))</f>
        <v/>
      </c>
      <c r="X2350" s="7" t="str">
        <f>IF(ISBLANK(patch[[#This Row],[project]]), "",COUNTIFS($A:$A,patch[[#This Row],[number]],$S:$S, "FL And dev",$AC:$AC, "Review-1"))</f>
        <v/>
      </c>
      <c r="Y2350" s="7" t="str">
        <f>IF(ISBLANK(patch[[#This Row],[project]]), "",COUNTIFS($A:$A,patch[[#This Row],[number]],$S:$S, "SH And dev",$AC:$AC, "Review-1"))</f>
        <v/>
      </c>
      <c r="Z2350" s="7" t="str">
        <f>IF(ISBLANK(patch[[#This Row],[project]]), "",COUNTIFS($A:$A,patch[[#This Row],[number]],$S:$S, "BJ And dev",$AD:$AD, "&lt;&gt;IntegratorValidationComment"))</f>
        <v/>
      </c>
      <c r="AA2350" s="7" t="str">
        <f>IF(ISBLANK(patch[[#This Row],[project]]), "",COUNTIFS($A:$A,patch[[#This Row],[number]],$S:$S, "FL And dev",$AD:$AD, "&lt;&gt;IntegratorValidationComment"))</f>
        <v/>
      </c>
      <c r="AB2350" s="7" t="str">
        <f>IF(ISBLANK(patch[[#This Row],[project]]), "",COUNTIFS($A:$A,patch[[#This Row],[number]],$S:$S, "SH And dev",$AD:$AD, "&lt;&gt;IntegratorValidationComment"))</f>
        <v/>
      </c>
      <c r="AC2350" s="7" t="str">
        <f>IF(OR(ISNUMBER(FIND("Review-1", patch[[#This Row],[comments]])), ISNUMBER(FIND("Approver-1", patch[[#This Row],[comments]]))), "Review-1", "")</f>
        <v/>
      </c>
      <c r="AD23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50" s="7">
        <f>IF(ISBLANK(patch[[#This Row],[number]]),AE2349,patch[[#This Row],[ifCommon]])</f>
        <v>0</v>
      </c>
    </row>
    <row r="2351" spans="1:31">
      <c r="A2351" s="151">
        <v>142787</v>
      </c>
      <c r="B2351" s="151"/>
      <c r="C2351" s="151"/>
      <c r="D2351" s="151"/>
      <c r="E2351" s="151"/>
      <c r="F2351" s="151"/>
      <c r="G2351" s="151"/>
      <c r="H2351" s="151"/>
      <c r="I2351" s="151"/>
      <c r="J2351" s="152">
        <v>42618.700613425928</v>
      </c>
      <c r="K2351" s="151"/>
      <c r="L2351" s="151" t="s">
        <v>55</v>
      </c>
      <c r="M2351" s="152">
        <v>42615.503287037027</v>
      </c>
      <c r="N2351" s="151" t="s">
        <v>1854</v>
      </c>
      <c r="O2351" s="151"/>
      <c r="P2351" s="151"/>
      <c r="Q2351" s="7" t="str">
        <f>IF(ISBLANK(patch[[#This Row],[OwnerEmail]]),Q2350,patch[[#This Row],[OwnerEmail]])</f>
        <v>liang.l.yang@intel.com</v>
      </c>
      <c r="R2351" s="7" t="str">
        <f>_xlfn.IFNA(VLOOKUP(patch[[#This Row],[tmp-owner.email]],OrgTree!$A:$K, 11, 0), "not ICG SWFW")</f>
        <v>BJ And dev</v>
      </c>
      <c r="S2351" s="7" t="str">
        <f>IF(patch[[#This Row],[reviewer]]=patch[[#This Row],[tmp-owner.email]], "author", _xlfn.IFNA(VLOOKUP(patch[[#This Row],[reviewer]],OrgTree!$A:$K, 11, 0), "not ICG SWFW"))</f>
        <v>author</v>
      </c>
      <c r="T2351" s="7" t="str">
        <f>IF(ISBLANK(patch[[#This Row],[mergeDate]]), "", MID(YEAR(patch[[#This Row],[mergeDate]]), 3,2)&amp;"'ww"&amp;WEEKNUM(patch[[#This Row],[mergeDate]]))</f>
        <v>16'ww37</v>
      </c>
      <c r="U2351" s="7" t="str">
        <f>IF(ISBLANK(patch[[#This Row],[mergeDate]]), U2350, MID(YEAR(patch[[#This Row],[mergeDate]]), 3,2)&amp;"'m"&amp;MONTH(patch[[#This Row],[mergeDate]]))</f>
        <v>16'm9</v>
      </c>
      <c r="V2351" s="7" t="str">
        <f>IF(ISBLANK(patch[[#This Row],[project]]), "",SUM(patch[[#This Row],[BJ -1 num]:[SH -1 num]]))</f>
        <v/>
      </c>
      <c r="W2351" s="7" t="str">
        <f>IF(ISBLANK(patch[[#This Row],[project]]), "",COUNTIFS($A:$A,patch[[#This Row],[number]],$S:$S, "BJ And dev",$AC:$AC, "Review-1"))</f>
        <v/>
      </c>
      <c r="X2351" s="7" t="str">
        <f>IF(ISBLANK(patch[[#This Row],[project]]), "",COUNTIFS($A:$A,patch[[#This Row],[number]],$S:$S, "FL And dev",$AC:$AC, "Review-1"))</f>
        <v/>
      </c>
      <c r="Y2351" s="7" t="str">
        <f>IF(ISBLANK(patch[[#This Row],[project]]), "",COUNTIFS($A:$A,patch[[#This Row],[number]],$S:$S, "SH And dev",$AC:$AC, "Review-1"))</f>
        <v/>
      </c>
      <c r="Z2351" s="7" t="str">
        <f>IF(ISBLANK(patch[[#This Row],[project]]), "",COUNTIFS($A:$A,patch[[#This Row],[number]],$S:$S, "BJ And dev",$AD:$AD, "&lt;&gt;IntegratorValidationComment"))</f>
        <v/>
      </c>
      <c r="AA2351" s="7" t="str">
        <f>IF(ISBLANK(patch[[#This Row],[project]]), "",COUNTIFS($A:$A,patch[[#This Row],[number]],$S:$S, "FL And dev",$AD:$AD, "&lt;&gt;IntegratorValidationComment"))</f>
        <v/>
      </c>
      <c r="AB2351" s="7" t="str">
        <f>IF(ISBLANK(patch[[#This Row],[project]]), "",COUNTIFS($A:$A,patch[[#This Row],[number]],$S:$S, "SH And dev",$AD:$AD, "&lt;&gt;IntegratorValidationComment"))</f>
        <v/>
      </c>
      <c r="AC2351" s="7" t="str">
        <f>IF(OR(ISNUMBER(FIND("Review-1", patch[[#This Row],[comments]])), ISNUMBER(FIND("Approver-1", patch[[#This Row],[comments]]))), "Review-1", "")</f>
        <v/>
      </c>
      <c r="AD23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51" s="7">
        <f>IF(ISBLANK(patch[[#This Row],[number]]),AE2350,patch[[#This Row],[ifCommon]])</f>
        <v>0</v>
      </c>
    </row>
    <row r="2352" spans="1:31">
      <c r="A2352" s="151">
        <v>142787</v>
      </c>
      <c r="B2352" s="151"/>
      <c r="C2352" s="151"/>
      <c r="D2352" s="151"/>
      <c r="E2352" s="151"/>
      <c r="F2352" s="151"/>
      <c r="G2352" s="151"/>
      <c r="H2352" s="151"/>
      <c r="I2352" s="151"/>
      <c r="J2352" s="152">
        <v>42618.700613425928</v>
      </c>
      <c r="K2352" s="151"/>
      <c r="L2352" s="151" t="s">
        <v>59</v>
      </c>
      <c r="M2352" s="152">
        <v>42615.516053240739</v>
      </c>
      <c r="N2352" s="151" t="s">
        <v>3754</v>
      </c>
      <c r="O2352" s="151"/>
      <c r="P2352" s="151"/>
      <c r="Q2352" s="7" t="str">
        <f>IF(ISBLANK(patch[[#This Row],[OwnerEmail]]),Q2351,patch[[#This Row],[OwnerEmail]])</f>
        <v>liang.l.yang@intel.com</v>
      </c>
      <c r="R2352" s="7" t="str">
        <f>_xlfn.IFNA(VLOOKUP(patch[[#This Row],[tmp-owner.email]],OrgTree!$A:$K, 11, 0), "not ICG SWFW")</f>
        <v>BJ And dev</v>
      </c>
      <c r="S2352" s="7" t="str">
        <f>IF(patch[[#This Row],[reviewer]]=patch[[#This Row],[tmp-owner.email]], "author", _xlfn.IFNA(VLOOKUP(patch[[#This Row],[reviewer]],OrgTree!$A:$K, 11, 0), "not ICG SWFW"))</f>
        <v>BJ And dev</v>
      </c>
      <c r="T2352" s="7" t="str">
        <f>IF(ISBLANK(patch[[#This Row],[mergeDate]]), "", MID(YEAR(patch[[#This Row],[mergeDate]]), 3,2)&amp;"'ww"&amp;WEEKNUM(patch[[#This Row],[mergeDate]]))</f>
        <v>16'ww37</v>
      </c>
      <c r="U2352" s="7" t="str">
        <f>IF(ISBLANK(patch[[#This Row],[mergeDate]]), U2351, MID(YEAR(patch[[#This Row],[mergeDate]]), 3,2)&amp;"'m"&amp;MONTH(patch[[#This Row],[mergeDate]]))</f>
        <v>16'm9</v>
      </c>
      <c r="V2352" s="7" t="str">
        <f>IF(ISBLANK(patch[[#This Row],[project]]), "",SUM(patch[[#This Row],[BJ -1 num]:[SH -1 num]]))</f>
        <v/>
      </c>
      <c r="W2352" s="7" t="str">
        <f>IF(ISBLANK(patch[[#This Row],[project]]), "",COUNTIFS($A:$A,patch[[#This Row],[number]],$S:$S, "BJ And dev",$AC:$AC, "Review-1"))</f>
        <v/>
      </c>
      <c r="X2352" s="7" t="str">
        <f>IF(ISBLANK(patch[[#This Row],[project]]), "",COUNTIFS($A:$A,patch[[#This Row],[number]],$S:$S, "FL And dev",$AC:$AC, "Review-1"))</f>
        <v/>
      </c>
      <c r="Y2352" s="7" t="str">
        <f>IF(ISBLANK(patch[[#This Row],[project]]), "",COUNTIFS($A:$A,patch[[#This Row],[number]],$S:$S, "SH And dev",$AC:$AC, "Review-1"))</f>
        <v/>
      </c>
      <c r="Z2352" s="7" t="str">
        <f>IF(ISBLANK(patch[[#This Row],[project]]), "",COUNTIFS($A:$A,patch[[#This Row],[number]],$S:$S, "BJ And dev",$AD:$AD, "&lt;&gt;IntegratorValidationComment"))</f>
        <v/>
      </c>
      <c r="AA2352" s="7" t="str">
        <f>IF(ISBLANK(patch[[#This Row],[project]]), "",COUNTIFS($A:$A,patch[[#This Row],[number]],$S:$S, "FL And dev",$AD:$AD, "&lt;&gt;IntegratorValidationComment"))</f>
        <v/>
      </c>
      <c r="AB2352" s="7" t="str">
        <f>IF(ISBLANK(patch[[#This Row],[project]]), "",COUNTIFS($A:$A,patch[[#This Row],[number]],$S:$S, "SH And dev",$AD:$AD, "&lt;&gt;IntegratorValidationComment"))</f>
        <v/>
      </c>
      <c r="AC2352" s="7" t="str">
        <f>IF(OR(ISNUMBER(FIND("Review-1", patch[[#This Row],[comments]])), ISNUMBER(FIND("Approver-1", patch[[#This Row],[comments]]))), "Review-1", "")</f>
        <v/>
      </c>
      <c r="AD23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52" s="7">
        <f>IF(ISBLANK(patch[[#This Row],[number]]),AE2351,patch[[#This Row],[ifCommon]])</f>
        <v>0</v>
      </c>
    </row>
    <row r="2353" spans="1:31">
      <c r="A2353" s="151">
        <v>142787</v>
      </c>
      <c r="B2353" s="151"/>
      <c r="C2353" s="151"/>
      <c r="D2353" s="151"/>
      <c r="E2353" s="151"/>
      <c r="F2353" s="151"/>
      <c r="G2353" s="151"/>
      <c r="H2353" s="151"/>
      <c r="I2353" s="151"/>
      <c r="J2353" s="152">
        <v>42618.700613425928</v>
      </c>
      <c r="K2353" s="151"/>
      <c r="L2353" s="151" t="s">
        <v>55</v>
      </c>
      <c r="M2353" s="152">
        <v>42615.6562962963</v>
      </c>
      <c r="N2353" s="151" t="s">
        <v>1846</v>
      </c>
      <c r="O2353" s="151"/>
      <c r="P2353" s="151"/>
      <c r="Q2353" s="7" t="str">
        <f>IF(ISBLANK(patch[[#This Row],[OwnerEmail]]),Q2352,patch[[#This Row],[OwnerEmail]])</f>
        <v>liang.l.yang@intel.com</v>
      </c>
      <c r="R2353" s="7" t="str">
        <f>_xlfn.IFNA(VLOOKUP(patch[[#This Row],[tmp-owner.email]],OrgTree!$A:$K, 11, 0), "not ICG SWFW")</f>
        <v>BJ And dev</v>
      </c>
      <c r="S2353" s="7" t="str">
        <f>IF(patch[[#This Row],[reviewer]]=patch[[#This Row],[tmp-owner.email]], "author", _xlfn.IFNA(VLOOKUP(patch[[#This Row],[reviewer]],OrgTree!$A:$K, 11, 0), "not ICG SWFW"))</f>
        <v>author</v>
      </c>
      <c r="T2353" s="7" t="str">
        <f>IF(ISBLANK(patch[[#This Row],[mergeDate]]), "", MID(YEAR(patch[[#This Row],[mergeDate]]), 3,2)&amp;"'ww"&amp;WEEKNUM(patch[[#This Row],[mergeDate]]))</f>
        <v>16'ww37</v>
      </c>
      <c r="U2353" s="7" t="str">
        <f>IF(ISBLANK(patch[[#This Row],[mergeDate]]), U2352, MID(YEAR(patch[[#This Row],[mergeDate]]), 3,2)&amp;"'m"&amp;MONTH(patch[[#This Row],[mergeDate]]))</f>
        <v>16'm9</v>
      </c>
      <c r="V2353" s="7" t="str">
        <f>IF(ISBLANK(patch[[#This Row],[project]]), "",SUM(patch[[#This Row],[BJ -1 num]:[SH -1 num]]))</f>
        <v/>
      </c>
      <c r="W2353" s="7" t="str">
        <f>IF(ISBLANK(patch[[#This Row],[project]]), "",COUNTIFS($A:$A,patch[[#This Row],[number]],$S:$S, "BJ And dev",$AC:$AC, "Review-1"))</f>
        <v/>
      </c>
      <c r="X2353" s="7" t="str">
        <f>IF(ISBLANK(patch[[#This Row],[project]]), "",COUNTIFS($A:$A,patch[[#This Row],[number]],$S:$S, "FL And dev",$AC:$AC, "Review-1"))</f>
        <v/>
      </c>
      <c r="Y2353" s="7" t="str">
        <f>IF(ISBLANK(patch[[#This Row],[project]]), "",COUNTIFS($A:$A,patch[[#This Row],[number]],$S:$S, "SH And dev",$AC:$AC, "Review-1"))</f>
        <v/>
      </c>
      <c r="Z2353" s="7" t="str">
        <f>IF(ISBLANK(patch[[#This Row],[project]]), "",COUNTIFS($A:$A,patch[[#This Row],[number]],$S:$S, "BJ And dev",$AD:$AD, "&lt;&gt;IntegratorValidationComment"))</f>
        <v/>
      </c>
      <c r="AA2353" s="7" t="str">
        <f>IF(ISBLANK(patch[[#This Row],[project]]), "",COUNTIFS($A:$A,patch[[#This Row],[number]],$S:$S, "FL And dev",$AD:$AD, "&lt;&gt;IntegratorValidationComment"))</f>
        <v/>
      </c>
      <c r="AB2353" s="7" t="str">
        <f>IF(ISBLANK(patch[[#This Row],[project]]), "",COUNTIFS($A:$A,patch[[#This Row],[number]],$S:$S, "SH And dev",$AD:$AD, "&lt;&gt;IntegratorValidationComment"))</f>
        <v/>
      </c>
      <c r="AC2353" s="7" t="str">
        <f>IF(OR(ISNUMBER(FIND("Review-1", patch[[#This Row],[comments]])), ISNUMBER(FIND("Approver-1", patch[[#This Row],[comments]]))), "Review-1", "")</f>
        <v/>
      </c>
      <c r="AD23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53" s="7">
        <f>IF(ISBLANK(patch[[#This Row],[number]]),AE2352,patch[[#This Row],[ifCommon]])</f>
        <v>0</v>
      </c>
    </row>
    <row r="2354" spans="1:31">
      <c r="A2354" s="151">
        <v>142787</v>
      </c>
      <c r="B2354" s="151"/>
      <c r="C2354" s="151"/>
      <c r="D2354" s="151"/>
      <c r="E2354" s="151"/>
      <c r="F2354" s="151"/>
      <c r="G2354" s="151"/>
      <c r="H2354" s="151"/>
      <c r="I2354" s="151"/>
      <c r="J2354" s="152">
        <v>42618.700613425928</v>
      </c>
      <c r="K2354" s="151"/>
      <c r="L2354" s="151" t="s">
        <v>55</v>
      </c>
      <c r="M2354" s="152">
        <v>42615.6562962963</v>
      </c>
      <c r="N2354" s="151" t="s">
        <v>2467</v>
      </c>
      <c r="O2354" s="151"/>
      <c r="P2354" s="151"/>
      <c r="Q2354" s="7" t="str">
        <f>IF(ISBLANK(patch[[#This Row],[OwnerEmail]]),Q2353,patch[[#This Row],[OwnerEmail]])</f>
        <v>liang.l.yang@intel.com</v>
      </c>
      <c r="R2354" s="7" t="str">
        <f>_xlfn.IFNA(VLOOKUP(patch[[#This Row],[tmp-owner.email]],OrgTree!$A:$K, 11, 0), "not ICG SWFW")</f>
        <v>BJ And dev</v>
      </c>
      <c r="S2354" s="7" t="str">
        <f>IF(patch[[#This Row],[reviewer]]=patch[[#This Row],[tmp-owner.email]], "author", _xlfn.IFNA(VLOOKUP(patch[[#This Row],[reviewer]],OrgTree!$A:$K, 11, 0), "not ICG SWFW"))</f>
        <v>author</v>
      </c>
      <c r="T2354" s="7" t="str">
        <f>IF(ISBLANK(patch[[#This Row],[mergeDate]]), "", MID(YEAR(patch[[#This Row],[mergeDate]]), 3,2)&amp;"'ww"&amp;WEEKNUM(patch[[#This Row],[mergeDate]]))</f>
        <v>16'ww37</v>
      </c>
      <c r="U2354" s="7" t="str">
        <f>IF(ISBLANK(patch[[#This Row],[mergeDate]]), U2353, MID(YEAR(patch[[#This Row],[mergeDate]]), 3,2)&amp;"'m"&amp;MONTH(patch[[#This Row],[mergeDate]]))</f>
        <v>16'm9</v>
      </c>
      <c r="V2354" s="7" t="str">
        <f>IF(ISBLANK(patch[[#This Row],[project]]), "",SUM(patch[[#This Row],[BJ -1 num]:[SH -1 num]]))</f>
        <v/>
      </c>
      <c r="W2354" s="7" t="str">
        <f>IF(ISBLANK(patch[[#This Row],[project]]), "",COUNTIFS($A:$A,patch[[#This Row],[number]],$S:$S, "BJ And dev",$AC:$AC, "Review-1"))</f>
        <v/>
      </c>
      <c r="X2354" s="7" t="str">
        <f>IF(ISBLANK(patch[[#This Row],[project]]), "",COUNTIFS($A:$A,patch[[#This Row],[number]],$S:$S, "FL And dev",$AC:$AC, "Review-1"))</f>
        <v/>
      </c>
      <c r="Y2354" s="7" t="str">
        <f>IF(ISBLANK(patch[[#This Row],[project]]), "",COUNTIFS($A:$A,patch[[#This Row],[number]],$S:$S, "SH And dev",$AC:$AC, "Review-1"))</f>
        <v/>
      </c>
      <c r="Z2354" s="7" t="str">
        <f>IF(ISBLANK(patch[[#This Row],[project]]), "",COUNTIFS($A:$A,patch[[#This Row],[number]],$S:$S, "BJ And dev",$AD:$AD, "&lt;&gt;IntegratorValidationComment"))</f>
        <v/>
      </c>
      <c r="AA2354" s="7" t="str">
        <f>IF(ISBLANK(patch[[#This Row],[project]]), "",COUNTIFS($A:$A,patch[[#This Row],[number]],$S:$S, "FL And dev",$AD:$AD, "&lt;&gt;IntegratorValidationComment"))</f>
        <v/>
      </c>
      <c r="AB2354" s="7" t="str">
        <f>IF(ISBLANK(patch[[#This Row],[project]]), "",COUNTIFS($A:$A,patch[[#This Row],[number]],$S:$S, "SH And dev",$AD:$AD, "&lt;&gt;IntegratorValidationComment"))</f>
        <v/>
      </c>
      <c r="AC2354" s="7" t="str">
        <f>IF(OR(ISNUMBER(FIND("Review-1", patch[[#This Row],[comments]])), ISNUMBER(FIND("Approver-1", patch[[#This Row],[comments]]))), "Review-1", "")</f>
        <v/>
      </c>
      <c r="AD23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54" s="7">
        <f>IF(ISBLANK(patch[[#This Row],[number]]),AE2353,patch[[#This Row],[ifCommon]])</f>
        <v>0</v>
      </c>
    </row>
    <row r="2355" spans="1:31">
      <c r="A2355" s="151">
        <v>142787</v>
      </c>
      <c r="B2355" s="151"/>
      <c r="C2355" s="151"/>
      <c r="D2355" s="151"/>
      <c r="E2355" s="151"/>
      <c r="F2355" s="151"/>
      <c r="G2355" s="151"/>
      <c r="H2355" s="151"/>
      <c r="I2355" s="151"/>
      <c r="J2355" s="152">
        <v>42618.700613425928</v>
      </c>
      <c r="K2355" s="151"/>
      <c r="L2355" s="151" t="s">
        <v>59</v>
      </c>
      <c r="M2355" s="152">
        <v>42615.661990740737</v>
      </c>
      <c r="N2355" s="151" t="s">
        <v>3755</v>
      </c>
      <c r="O2355" s="151"/>
      <c r="P2355" s="151"/>
      <c r="Q2355" s="7" t="str">
        <f>IF(ISBLANK(patch[[#This Row],[OwnerEmail]]),Q2354,patch[[#This Row],[OwnerEmail]])</f>
        <v>liang.l.yang@intel.com</v>
      </c>
      <c r="R2355" s="7" t="str">
        <f>_xlfn.IFNA(VLOOKUP(patch[[#This Row],[tmp-owner.email]],OrgTree!$A:$K, 11, 0), "not ICG SWFW")</f>
        <v>BJ And dev</v>
      </c>
      <c r="S2355" s="7" t="str">
        <f>IF(patch[[#This Row],[reviewer]]=patch[[#This Row],[tmp-owner.email]], "author", _xlfn.IFNA(VLOOKUP(patch[[#This Row],[reviewer]],OrgTree!$A:$K, 11, 0), "not ICG SWFW"))</f>
        <v>BJ And dev</v>
      </c>
      <c r="T2355" s="7" t="str">
        <f>IF(ISBLANK(patch[[#This Row],[mergeDate]]), "", MID(YEAR(patch[[#This Row],[mergeDate]]), 3,2)&amp;"'ww"&amp;WEEKNUM(patch[[#This Row],[mergeDate]]))</f>
        <v>16'ww37</v>
      </c>
      <c r="U2355" s="7" t="str">
        <f>IF(ISBLANK(patch[[#This Row],[mergeDate]]), U2354, MID(YEAR(patch[[#This Row],[mergeDate]]), 3,2)&amp;"'m"&amp;MONTH(patch[[#This Row],[mergeDate]]))</f>
        <v>16'm9</v>
      </c>
      <c r="V2355" s="7" t="str">
        <f>IF(ISBLANK(patch[[#This Row],[project]]), "",SUM(patch[[#This Row],[BJ -1 num]:[SH -1 num]]))</f>
        <v/>
      </c>
      <c r="W2355" s="7" t="str">
        <f>IF(ISBLANK(patch[[#This Row],[project]]), "",COUNTIFS($A:$A,patch[[#This Row],[number]],$S:$S, "BJ And dev",$AC:$AC, "Review-1"))</f>
        <v/>
      </c>
      <c r="X2355" s="7" t="str">
        <f>IF(ISBLANK(patch[[#This Row],[project]]), "",COUNTIFS($A:$A,patch[[#This Row],[number]],$S:$S, "FL And dev",$AC:$AC, "Review-1"))</f>
        <v/>
      </c>
      <c r="Y2355" s="7" t="str">
        <f>IF(ISBLANK(patch[[#This Row],[project]]), "",COUNTIFS($A:$A,patch[[#This Row],[number]],$S:$S, "SH And dev",$AC:$AC, "Review-1"))</f>
        <v/>
      </c>
      <c r="Z2355" s="7" t="str">
        <f>IF(ISBLANK(patch[[#This Row],[project]]), "",COUNTIFS($A:$A,patch[[#This Row],[number]],$S:$S, "BJ And dev",$AD:$AD, "&lt;&gt;IntegratorValidationComment"))</f>
        <v/>
      </c>
      <c r="AA2355" s="7" t="str">
        <f>IF(ISBLANK(patch[[#This Row],[project]]), "",COUNTIFS($A:$A,patch[[#This Row],[number]],$S:$S, "FL And dev",$AD:$AD, "&lt;&gt;IntegratorValidationComment"))</f>
        <v/>
      </c>
      <c r="AB2355" s="7" t="str">
        <f>IF(ISBLANK(patch[[#This Row],[project]]), "",COUNTIFS($A:$A,patch[[#This Row],[number]],$S:$S, "SH And dev",$AD:$AD, "&lt;&gt;IntegratorValidationComment"))</f>
        <v/>
      </c>
      <c r="AC2355" s="7" t="str">
        <f>IF(OR(ISNUMBER(FIND("Review-1", patch[[#This Row],[comments]])), ISNUMBER(FIND("Approver-1", patch[[#This Row],[comments]]))), "Review-1", "")</f>
        <v/>
      </c>
      <c r="AD23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55" s="7">
        <f>IF(ISBLANK(patch[[#This Row],[number]]),AE2354,patch[[#This Row],[ifCommon]])</f>
        <v>0</v>
      </c>
    </row>
    <row r="2356" spans="1:31">
      <c r="A2356" s="151">
        <v>142787</v>
      </c>
      <c r="B2356" s="151"/>
      <c r="C2356" s="151"/>
      <c r="D2356" s="151"/>
      <c r="E2356" s="151"/>
      <c r="F2356" s="151"/>
      <c r="G2356" s="151"/>
      <c r="H2356" s="151"/>
      <c r="I2356" s="151"/>
      <c r="J2356" s="152">
        <v>42618.700613425928</v>
      </c>
      <c r="K2356" s="151"/>
      <c r="L2356" s="151" t="s">
        <v>59</v>
      </c>
      <c r="M2356" s="152">
        <v>42615.669756944437</v>
      </c>
      <c r="N2356" s="151" t="s">
        <v>3756</v>
      </c>
      <c r="O2356" s="151"/>
      <c r="P2356" s="151"/>
      <c r="Q2356" s="7" t="str">
        <f>IF(ISBLANK(patch[[#This Row],[OwnerEmail]]),Q2355,patch[[#This Row],[OwnerEmail]])</f>
        <v>liang.l.yang@intel.com</v>
      </c>
      <c r="R2356" s="7" t="str">
        <f>_xlfn.IFNA(VLOOKUP(patch[[#This Row],[tmp-owner.email]],OrgTree!$A:$K, 11, 0), "not ICG SWFW")</f>
        <v>BJ And dev</v>
      </c>
      <c r="S2356" s="7" t="str">
        <f>IF(patch[[#This Row],[reviewer]]=patch[[#This Row],[tmp-owner.email]], "author", _xlfn.IFNA(VLOOKUP(patch[[#This Row],[reviewer]],OrgTree!$A:$K, 11, 0), "not ICG SWFW"))</f>
        <v>BJ And dev</v>
      </c>
      <c r="T2356" s="7" t="str">
        <f>IF(ISBLANK(patch[[#This Row],[mergeDate]]), "", MID(YEAR(patch[[#This Row],[mergeDate]]), 3,2)&amp;"'ww"&amp;WEEKNUM(patch[[#This Row],[mergeDate]]))</f>
        <v>16'ww37</v>
      </c>
      <c r="U2356" s="7" t="str">
        <f>IF(ISBLANK(patch[[#This Row],[mergeDate]]), U2355, MID(YEAR(patch[[#This Row],[mergeDate]]), 3,2)&amp;"'m"&amp;MONTH(patch[[#This Row],[mergeDate]]))</f>
        <v>16'm9</v>
      </c>
      <c r="V2356" s="7" t="str">
        <f>IF(ISBLANK(patch[[#This Row],[project]]), "",SUM(patch[[#This Row],[BJ -1 num]:[SH -1 num]]))</f>
        <v/>
      </c>
      <c r="W2356" s="7" t="str">
        <f>IF(ISBLANK(patch[[#This Row],[project]]), "",COUNTIFS($A:$A,patch[[#This Row],[number]],$S:$S, "BJ And dev",$AC:$AC, "Review-1"))</f>
        <v/>
      </c>
      <c r="X2356" s="7" t="str">
        <f>IF(ISBLANK(patch[[#This Row],[project]]), "",COUNTIFS($A:$A,patch[[#This Row],[number]],$S:$S, "FL And dev",$AC:$AC, "Review-1"))</f>
        <v/>
      </c>
      <c r="Y2356" s="7" t="str">
        <f>IF(ISBLANK(patch[[#This Row],[project]]), "",COUNTIFS($A:$A,patch[[#This Row],[number]],$S:$S, "SH And dev",$AC:$AC, "Review-1"))</f>
        <v/>
      </c>
      <c r="Z2356" s="7" t="str">
        <f>IF(ISBLANK(patch[[#This Row],[project]]), "",COUNTIFS($A:$A,patch[[#This Row],[number]],$S:$S, "BJ And dev",$AD:$AD, "&lt;&gt;IntegratorValidationComment"))</f>
        <v/>
      </c>
      <c r="AA2356" s="7" t="str">
        <f>IF(ISBLANK(patch[[#This Row],[project]]), "",COUNTIFS($A:$A,patch[[#This Row],[number]],$S:$S, "FL And dev",$AD:$AD, "&lt;&gt;IntegratorValidationComment"))</f>
        <v/>
      </c>
      <c r="AB2356" s="7" t="str">
        <f>IF(ISBLANK(patch[[#This Row],[project]]), "",COUNTIFS($A:$A,patch[[#This Row],[number]],$S:$S, "SH And dev",$AD:$AD, "&lt;&gt;IntegratorValidationComment"))</f>
        <v/>
      </c>
      <c r="AC2356" s="7" t="str">
        <f>IF(OR(ISNUMBER(FIND("Review-1", patch[[#This Row],[comments]])), ISNUMBER(FIND("Approver-1", patch[[#This Row],[comments]]))), "Review-1", "")</f>
        <v/>
      </c>
      <c r="AD23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56" s="7">
        <f>IF(ISBLANK(patch[[#This Row],[number]]),AE2355,patch[[#This Row],[ifCommon]])</f>
        <v>0</v>
      </c>
    </row>
    <row r="2357" spans="1:31">
      <c r="A2357" s="151">
        <v>142787</v>
      </c>
      <c r="B2357" s="151"/>
      <c r="C2357" s="151"/>
      <c r="D2357" s="151"/>
      <c r="E2357" s="151"/>
      <c r="F2357" s="151"/>
      <c r="G2357" s="151"/>
      <c r="H2357" s="151"/>
      <c r="I2357" s="152"/>
      <c r="J2357" s="152">
        <v>42618.700613425928</v>
      </c>
      <c r="K2357" s="151"/>
      <c r="L2357" s="151" t="s">
        <v>32</v>
      </c>
      <c r="M2357" s="152">
        <v>42615.731006944443</v>
      </c>
      <c r="N2357" s="151" t="s">
        <v>1849</v>
      </c>
      <c r="O2357" s="151"/>
      <c r="P2357" s="151"/>
      <c r="Q2357" s="7" t="str">
        <f>IF(ISBLANK(patch[[#This Row],[OwnerEmail]]),Q2356,patch[[#This Row],[OwnerEmail]])</f>
        <v>liang.l.yang@intel.com</v>
      </c>
      <c r="R2357" s="7" t="str">
        <f>_xlfn.IFNA(VLOOKUP(patch[[#This Row],[tmp-owner.email]],OrgTree!$A:$K, 11, 0), "not ICG SWFW")</f>
        <v>BJ And dev</v>
      </c>
      <c r="S2357" s="7" t="str">
        <f>IF(patch[[#This Row],[reviewer]]=patch[[#This Row],[tmp-owner.email]], "author", _xlfn.IFNA(VLOOKUP(patch[[#This Row],[reviewer]],OrgTree!$A:$K, 11, 0), "not ICG SWFW"))</f>
        <v>BJ And dev</v>
      </c>
      <c r="T2357" s="7" t="str">
        <f>IF(ISBLANK(patch[[#This Row],[mergeDate]]), "", MID(YEAR(patch[[#This Row],[mergeDate]]), 3,2)&amp;"'ww"&amp;WEEKNUM(patch[[#This Row],[mergeDate]]))</f>
        <v>16'ww37</v>
      </c>
      <c r="U2357" s="7" t="str">
        <f>IF(ISBLANK(patch[[#This Row],[mergeDate]]), U2356, MID(YEAR(patch[[#This Row],[mergeDate]]), 3,2)&amp;"'m"&amp;MONTH(patch[[#This Row],[mergeDate]]))</f>
        <v>16'm9</v>
      </c>
      <c r="V2357" s="7" t="str">
        <f>IF(ISBLANK(patch[[#This Row],[project]]), "",SUM(patch[[#This Row],[BJ -1 num]:[SH -1 num]]))</f>
        <v/>
      </c>
      <c r="W2357" s="7" t="str">
        <f>IF(ISBLANK(patch[[#This Row],[project]]), "",COUNTIFS($A:$A,patch[[#This Row],[number]],$S:$S, "BJ And dev",$AC:$AC, "Review-1"))</f>
        <v/>
      </c>
      <c r="X2357" s="7" t="str">
        <f>IF(ISBLANK(patch[[#This Row],[project]]), "",COUNTIFS($A:$A,patch[[#This Row],[number]],$S:$S, "FL And dev",$AC:$AC, "Review-1"))</f>
        <v/>
      </c>
      <c r="Y2357" s="7" t="str">
        <f>IF(ISBLANK(patch[[#This Row],[project]]), "",COUNTIFS($A:$A,patch[[#This Row],[number]],$S:$S, "SH And dev",$AC:$AC, "Review-1"))</f>
        <v/>
      </c>
      <c r="Z2357" s="7" t="str">
        <f>IF(ISBLANK(patch[[#This Row],[project]]), "",COUNTIFS($A:$A,patch[[#This Row],[number]],$S:$S, "BJ And dev",$AD:$AD, "&lt;&gt;IntegratorValidationComment"))</f>
        <v/>
      </c>
      <c r="AA2357" s="7" t="str">
        <f>IF(ISBLANK(patch[[#This Row],[project]]), "",COUNTIFS($A:$A,patch[[#This Row],[number]],$S:$S, "FL And dev",$AD:$AD, "&lt;&gt;IntegratorValidationComment"))</f>
        <v/>
      </c>
      <c r="AB2357" s="7" t="str">
        <f>IF(ISBLANK(patch[[#This Row],[project]]), "",COUNTIFS($A:$A,patch[[#This Row],[number]],$S:$S, "SH And dev",$AD:$AD, "&lt;&gt;IntegratorValidationComment"))</f>
        <v/>
      </c>
      <c r="AC2357" s="7" t="str">
        <f>IF(OR(ISNUMBER(FIND("Review-1", patch[[#This Row],[comments]])), ISNUMBER(FIND("Approver-1", patch[[#This Row],[comments]]))), "Review-1", "")</f>
        <v/>
      </c>
      <c r="AD23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57" s="7">
        <f>IF(ISBLANK(patch[[#This Row],[number]]),AE2356,patch[[#This Row],[ifCommon]])</f>
        <v>0</v>
      </c>
    </row>
    <row r="2358" spans="1:31">
      <c r="A2358" s="151">
        <v>142787</v>
      </c>
      <c r="B2358" s="151"/>
      <c r="C2358" s="151"/>
      <c r="D2358" s="151"/>
      <c r="E2358" s="151"/>
      <c r="F2358" s="151"/>
      <c r="G2358" s="151"/>
      <c r="H2358" s="151"/>
      <c r="I2358" s="151"/>
      <c r="J2358" s="152">
        <v>42618.700613425928</v>
      </c>
      <c r="K2358" s="151"/>
      <c r="L2358" s="151" t="s">
        <v>59</v>
      </c>
      <c r="M2358" s="152">
        <v>42615.732615740737</v>
      </c>
      <c r="N2358" s="151" t="s">
        <v>3757</v>
      </c>
      <c r="O2358" s="151"/>
      <c r="P2358" s="151"/>
      <c r="Q2358" s="7" t="str">
        <f>IF(ISBLANK(patch[[#This Row],[OwnerEmail]]),Q2357,patch[[#This Row],[OwnerEmail]])</f>
        <v>liang.l.yang@intel.com</v>
      </c>
      <c r="R2358" s="7" t="str">
        <f>_xlfn.IFNA(VLOOKUP(patch[[#This Row],[tmp-owner.email]],OrgTree!$A:$K, 11, 0), "not ICG SWFW")</f>
        <v>BJ And dev</v>
      </c>
      <c r="S2358" s="7" t="str">
        <f>IF(patch[[#This Row],[reviewer]]=patch[[#This Row],[tmp-owner.email]], "author", _xlfn.IFNA(VLOOKUP(patch[[#This Row],[reviewer]],OrgTree!$A:$K, 11, 0), "not ICG SWFW"))</f>
        <v>BJ And dev</v>
      </c>
      <c r="T2358" s="7" t="str">
        <f>IF(ISBLANK(patch[[#This Row],[mergeDate]]), "", MID(YEAR(patch[[#This Row],[mergeDate]]), 3,2)&amp;"'ww"&amp;WEEKNUM(patch[[#This Row],[mergeDate]]))</f>
        <v>16'ww37</v>
      </c>
      <c r="U2358" s="7" t="str">
        <f>IF(ISBLANK(patch[[#This Row],[mergeDate]]), U2357, MID(YEAR(patch[[#This Row],[mergeDate]]), 3,2)&amp;"'m"&amp;MONTH(patch[[#This Row],[mergeDate]]))</f>
        <v>16'm9</v>
      </c>
      <c r="V2358" s="7" t="str">
        <f>IF(ISBLANK(patch[[#This Row],[project]]), "",SUM(patch[[#This Row],[BJ -1 num]:[SH -1 num]]))</f>
        <v/>
      </c>
      <c r="W2358" s="7" t="str">
        <f>IF(ISBLANK(patch[[#This Row],[project]]), "",COUNTIFS($A:$A,patch[[#This Row],[number]],$S:$S, "BJ And dev",$AC:$AC, "Review-1"))</f>
        <v/>
      </c>
      <c r="X2358" s="7" t="str">
        <f>IF(ISBLANK(patch[[#This Row],[project]]), "",COUNTIFS($A:$A,patch[[#This Row],[number]],$S:$S, "FL And dev",$AC:$AC, "Review-1"))</f>
        <v/>
      </c>
      <c r="Y2358" s="7" t="str">
        <f>IF(ISBLANK(patch[[#This Row],[project]]), "",COUNTIFS($A:$A,patch[[#This Row],[number]],$S:$S, "SH And dev",$AC:$AC, "Review-1"))</f>
        <v/>
      </c>
      <c r="Z2358" s="7" t="str">
        <f>IF(ISBLANK(patch[[#This Row],[project]]), "",COUNTIFS($A:$A,patch[[#This Row],[number]],$S:$S, "BJ And dev",$AD:$AD, "&lt;&gt;IntegratorValidationComment"))</f>
        <v/>
      </c>
      <c r="AA2358" s="7" t="str">
        <f>IF(ISBLANK(patch[[#This Row],[project]]), "",COUNTIFS($A:$A,patch[[#This Row],[number]],$S:$S, "FL And dev",$AD:$AD, "&lt;&gt;IntegratorValidationComment"))</f>
        <v/>
      </c>
      <c r="AB2358" s="7" t="str">
        <f>IF(ISBLANK(patch[[#This Row],[project]]), "",COUNTIFS($A:$A,patch[[#This Row],[number]],$S:$S, "SH And dev",$AD:$AD, "&lt;&gt;IntegratorValidationComment"))</f>
        <v/>
      </c>
      <c r="AC2358" s="7" t="str">
        <f>IF(OR(ISNUMBER(FIND("Review-1", patch[[#This Row],[comments]])), ISNUMBER(FIND("Approver-1", patch[[#This Row],[comments]]))), "Review-1", "")</f>
        <v/>
      </c>
      <c r="AD23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58" s="7">
        <f>IF(ISBLANK(patch[[#This Row],[number]]),AE2357,patch[[#This Row],[ifCommon]])</f>
        <v>0</v>
      </c>
    </row>
    <row r="2359" spans="1:31">
      <c r="A2359" s="151">
        <v>142787</v>
      </c>
      <c r="B2359" s="151"/>
      <c r="C2359" s="151"/>
      <c r="D2359" s="151"/>
      <c r="E2359" s="151"/>
      <c r="F2359" s="151"/>
      <c r="G2359" s="151"/>
      <c r="H2359" s="151"/>
      <c r="I2359" s="151"/>
      <c r="J2359" s="152">
        <v>42618.700613425928</v>
      </c>
      <c r="K2359" s="151"/>
      <c r="L2359" s="151" t="s">
        <v>59</v>
      </c>
      <c r="M2359" s="152">
        <v>42615.734768518523</v>
      </c>
      <c r="N2359" s="151" t="s">
        <v>1849</v>
      </c>
      <c r="O2359" s="151"/>
      <c r="P2359" s="151"/>
      <c r="Q2359" s="7" t="str">
        <f>IF(ISBLANK(patch[[#This Row],[OwnerEmail]]),Q2358,patch[[#This Row],[OwnerEmail]])</f>
        <v>liang.l.yang@intel.com</v>
      </c>
      <c r="R2359" s="7" t="str">
        <f>_xlfn.IFNA(VLOOKUP(patch[[#This Row],[tmp-owner.email]],OrgTree!$A:$K, 11, 0), "not ICG SWFW")</f>
        <v>BJ And dev</v>
      </c>
      <c r="S2359" s="7" t="str">
        <f>IF(patch[[#This Row],[reviewer]]=patch[[#This Row],[tmp-owner.email]], "author", _xlfn.IFNA(VLOOKUP(patch[[#This Row],[reviewer]],OrgTree!$A:$K, 11, 0), "not ICG SWFW"))</f>
        <v>BJ And dev</v>
      </c>
      <c r="T2359" s="7" t="str">
        <f>IF(ISBLANK(patch[[#This Row],[mergeDate]]), "", MID(YEAR(patch[[#This Row],[mergeDate]]), 3,2)&amp;"'ww"&amp;WEEKNUM(patch[[#This Row],[mergeDate]]))</f>
        <v>16'ww37</v>
      </c>
      <c r="U2359" s="7" t="str">
        <f>IF(ISBLANK(patch[[#This Row],[mergeDate]]), U2358, MID(YEAR(patch[[#This Row],[mergeDate]]), 3,2)&amp;"'m"&amp;MONTH(patch[[#This Row],[mergeDate]]))</f>
        <v>16'm9</v>
      </c>
      <c r="V2359" s="7" t="str">
        <f>IF(ISBLANK(patch[[#This Row],[project]]), "",SUM(patch[[#This Row],[BJ -1 num]:[SH -1 num]]))</f>
        <v/>
      </c>
      <c r="W2359" s="7" t="str">
        <f>IF(ISBLANK(patch[[#This Row],[project]]), "",COUNTIFS($A:$A,patch[[#This Row],[number]],$S:$S, "BJ And dev",$AC:$AC, "Review-1"))</f>
        <v/>
      </c>
      <c r="X2359" s="7" t="str">
        <f>IF(ISBLANK(patch[[#This Row],[project]]), "",COUNTIFS($A:$A,patch[[#This Row],[number]],$S:$S, "FL And dev",$AC:$AC, "Review-1"))</f>
        <v/>
      </c>
      <c r="Y2359" s="7" t="str">
        <f>IF(ISBLANK(patch[[#This Row],[project]]), "",COUNTIFS($A:$A,patch[[#This Row],[number]],$S:$S, "SH And dev",$AC:$AC, "Review-1"))</f>
        <v/>
      </c>
      <c r="Z2359" s="7" t="str">
        <f>IF(ISBLANK(patch[[#This Row],[project]]), "",COUNTIFS($A:$A,patch[[#This Row],[number]],$S:$S, "BJ And dev",$AD:$AD, "&lt;&gt;IntegratorValidationComment"))</f>
        <v/>
      </c>
      <c r="AA2359" s="7" t="str">
        <f>IF(ISBLANK(patch[[#This Row],[project]]), "",COUNTIFS($A:$A,patch[[#This Row],[number]],$S:$S, "FL And dev",$AD:$AD, "&lt;&gt;IntegratorValidationComment"))</f>
        <v/>
      </c>
      <c r="AB2359" s="7" t="str">
        <f>IF(ISBLANK(patch[[#This Row],[project]]), "",COUNTIFS($A:$A,patch[[#This Row],[number]],$S:$S, "SH And dev",$AD:$AD, "&lt;&gt;IntegratorValidationComment"))</f>
        <v/>
      </c>
      <c r="AC2359" s="7" t="str">
        <f>IF(OR(ISNUMBER(FIND("Review-1", patch[[#This Row],[comments]])), ISNUMBER(FIND("Approver-1", patch[[#This Row],[comments]]))), "Review-1", "")</f>
        <v/>
      </c>
      <c r="AD23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59" s="7">
        <f>IF(ISBLANK(patch[[#This Row],[number]]),AE2358,patch[[#This Row],[ifCommon]])</f>
        <v>0</v>
      </c>
    </row>
    <row r="2360" spans="1:31">
      <c r="A2360" s="151">
        <v>142787</v>
      </c>
      <c r="B2360" s="151"/>
      <c r="C2360" s="151"/>
      <c r="D2360" s="151"/>
      <c r="E2360" s="151"/>
      <c r="F2360" s="151"/>
      <c r="G2360" s="151"/>
      <c r="H2360" s="151"/>
      <c r="I2360" s="151"/>
      <c r="J2360" s="152">
        <v>42618.700613425928</v>
      </c>
      <c r="K2360" s="151"/>
      <c r="L2360" s="151" t="s">
        <v>59</v>
      </c>
      <c r="M2360" s="152">
        <v>42615.734895833331</v>
      </c>
      <c r="N2360" s="151" t="s">
        <v>3758</v>
      </c>
      <c r="O2360" s="151"/>
      <c r="P2360" s="151"/>
      <c r="Q2360" s="7" t="str">
        <f>IF(ISBLANK(patch[[#This Row],[OwnerEmail]]),Q2359,patch[[#This Row],[OwnerEmail]])</f>
        <v>liang.l.yang@intel.com</v>
      </c>
      <c r="R2360" s="7" t="str">
        <f>_xlfn.IFNA(VLOOKUP(patch[[#This Row],[tmp-owner.email]],OrgTree!$A:$K, 11, 0), "not ICG SWFW")</f>
        <v>BJ And dev</v>
      </c>
      <c r="S2360" s="7" t="str">
        <f>IF(patch[[#This Row],[reviewer]]=patch[[#This Row],[tmp-owner.email]], "author", _xlfn.IFNA(VLOOKUP(patch[[#This Row],[reviewer]],OrgTree!$A:$K, 11, 0), "not ICG SWFW"))</f>
        <v>BJ And dev</v>
      </c>
      <c r="T2360" s="7" t="str">
        <f>IF(ISBLANK(patch[[#This Row],[mergeDate]]), "", MID(YEAR(patch[[#This Row],[mergeDate]]), 3,2)&amp;"'ww"&amp;WEEKNUM(patch[[#This Row],[mergeDate]]))</f>
        <v>16'ww37</v>
      </c>
      <c r="U2360" s="7" t="str">
        <f>IF(ISBLANK(patch[[#This Row],[mergeDate]]), U2359, MID(YEAR(patch[[#This Row],[mergeDate]]), 3,2)&amp;"'m"&amp;MONTH(patch[[#This Row],[mergeDate]]))</f>
        <v>16'm9</v>
      </c>
      <c r="V2360" s="7" t="str">
        <f>IF(ISBLANK(patch[[#This Row],[project]]), "",SUM(patch[[#This Row],[BJ -1 num]:[SH -1 num]]))</f>
        <v/>
      </c>
      <c r="W2360" s="7" t="str">
        <f>IF(ISBLANK(patch[[#This Row],[project]]), "",COUNTIFS($A:$A,patch[[#This Row],[number]],$S:$S, "BJ And dev",$AC:$AC, "Review-1"))</f>
        <v/>
      </c>
      <c r="X2360" s="7" t="str">
        <f>IF(ISBLANK(patch[[#This Row],[project]]), "",COUNTIFS($A:$A,patch[[#This Row],[number]],$S:$S, "FL And dev",$AC:$AC, "Review-1"))</f>
        <v/>
      </c>
      <c r="Y2360" s="7" t="str">
        <f>IF(ISBLANK(patch[[#This Row],[project]]), "",COUNTIFS($A:$A,patch[[#This Row],[number]],$S:$S, "SH And dev",$AC:$AC, "Review-1"))</f>
        <v/>
      </c>
      <c r="Z2360" s="7" t="str">
        <f>IF(ISBLANK(patch[[#This Row],[project]]), "",COUNTIFS($A:$A,patch[[#This Row],[number]],$S:$S, "BJ And dev",$AD:$AD, "&lt;&gt;IntegratorValidationComment"))</f>
        <v/>
      </c>
      <c r="AA2360" s="7" t="str">
        <f>IF(ISBLANK(patch[[#This Row],[project]]), "",COUNTIFS($A:$A,patch[[#This Row],[number]],$S:$S, "FL And dev",$AD:$AD, "&lt;&gt;IntegratorValidationComment"))</f>
        <v/>
      </c>
      <c r="AB2360" s="7" t="str">
        <f>IF(ISBLANK(patch[[#This Row],[project]]), "",COUNTIFS($A:$A,patch[[#This Row],[number]],$S:$S, "SH And dev",$AD:$AD, "&lt;&gt;IntegratorValidationComment"))</f>
        <v/>
      </c>
      <c r="AC2360" s="7" t="str">
        <f>IF(OR(ISNUMBER(FIND("Review-1", patch[[#This Row],[comments]])), ISNUMBER(FIND("Approver-1", patch[[#This Row],[comments]]))), "Review-1", "")</f>
        <v/>
      </c>
      <c r="AD23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60" s="7">
        <f>IF(ISBLANK(patch[[#This Row],[number]]),AE2359,patch[[#This Row],[ifCommon]])</f>
        <v>0</v>
      </c>
    </row>
    <row r="2361" spans="1:31">
      <c r="A2361" s="151">
        <v>142787</v>
      </c>
      <c r="B2361" s="151"/>
      <c r="C2361" s="151"/>
      <c r="D2361" s="151"/>
      <c r="E2361" s="151"/>
      <c r="F2361" s="151"/>
      <c r="G2361" s="151"/>
      <c r="H2361" s="151"/>
      <c r="I2361" s="151"/>
      <c r="J2361" s="152">
        <v>42618.700613425928</v>
      </c>
      <c r="K2361" s="151"/>
      <c r="L2361" s="151" t="s">
        <v>24</v>
      </c>
      <c r="M2361" s="152">
        <v>42615.735358796293</v>
      </c>
      <c r="N2361" s="151" t="s">
        <v>2502</v>
      </c>
      <c r="O2361" s="151"/>
      <c r="P2361" s="151"/>
      <c r="Q2361" s="7" t="str">
        <f>IF(ISBLANK(patch[[#This Row],[OwnerEmail]]),Q2360,patch[[#This Row],[OwnerEmail]])</f>
        <v>liang.l.yang@intel.com</v>
      </c>
      <c r="R2361" s="7" t="str">
        <f>_xlfn.IFNA(VLOOKUP(patch[[#This Row],[tmp-owner.email]],OrgTree!$A:$K, 11, 0), "not ICG SWFW")</f>
        <v>BJ And dev</v>
      </c>
      <c r="S2361" s="7" t="str">
        <f>IF(patch[[#This Row],[reviewer]]=patch[[#This Row],[tmp-owner.email]], "author", _xlfn.IFNA(VLOOKUP(patch[[#This Row],[reviewer]],OrgTree!$A:$K, 11, 0), "not ICG SWFW"))</f>
        <v>BJ And dev</v>
      </c>
      <c r="T2361" s="7" t="str">
        <f>IF(ISBLANK(patch[[#This Row],[mergeDate]]), "", MID(YEAR(patch[[#This Row],[mergeDate]]), 3,2)&amp;"'ww"&amp;WEEKNUM(patch[[#This Row],[mergeDate]]))</f>
        <v>16'ww37</v>
      </c>
      <c r="U2361" s="7" t="str">
        <f>IF(ISBLANK(patch[[#This Row],[mergeDate]]), U2360, MID(YEAR(patch[[#This Row],[mergeDate]]), 3,2)&amp;"'m"&amp;MONTH(patch[[#This Row],[mergeDate]]))</f>
        <v>16'm9</v>
      </c>
      <c r="V2361" s="7" t="str">
        <f>IF(ISBLANK(patch[[#This Row],[project]]), "",SUM(patch[[#This Row],[BJ -1 num]:[SH -1 num]]))</f>
        <v/>
      </c>
      <c r="W2361" s="7" t="str">
        <f>IF(ISBLANK(patch[[#This Row],[project]]), "",COUNTIFS($A:$A,patch[[#This Row],[number]],$S:$S, "BJ And dev",$AC:$AC, "Review-1"))</f>
        <v/>
      </c>
      <c r="X2361" s="7" t="str">
        <f>IF(ISBLANK(patch[[#This Row],[project]]), "",COUNTIFS($A:$A,patch[[#This Row],[number]],$S:$S, "FL And dev",$AC:$AC, "Review-1"))</f>
        <v/>
      </c>
      <c r="Y2361" s="7" t="str">
        <f>IF(ISBLANK(patch[[#This Row],[project]]), "",COUNTIFS($A:$A,patch[[#This Row],[number]],$S:$S, "SH And dev",$AC:$AC, "Review-1"))</f>
        <v/>
      </c>
      <c r="Z2361" s="7" t="str">
        <f>IF(ISBLANK(patch[[#This Row],[project]]), "",COUNTIFS($A:$A,patch[[#This Row],[number]],$S:$S, "BJ And dev",$AD:$AD, "&lt;&gt;IntegratorValidationComment"))</f>
        <v/>
      </c>
      <c r="AA2361" s="7" t="str">
        <f>IF(ISBLANK(patch[[#This Row],[project]]), "",COUNTIFS($A:$A,patch[[#This Row],[number]],$S:$S, "FL And dev",$AD:$AD, "&lt;&gt;IntegratorValidationComment"))</f>
        <v/>
      </c>
      <c r="AB2361" s="7" t="str">
        <f>IF(ISBLANK(patch[[#This Row],[project]]), "",COUNTIFS($A:$A,patch[[#This Row],[number]],$S:$S, "SH And dev",$AD:$AD, "&lt;&gt;IntegratorValidationComment"))</f>
        <v/>
      </c>
      <c r="AC2361" s="7" t="str">
        <f>IF(OR(ISNUMBER(FIND("Review-1", patch[[#This Row],[comments]])), ISNUMBER(FIND("Approver-1", patch[[#This Row],[comments]]))), "Review-1", "")</f>
        <v/>
      </c>
      <c r="AD23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61" s="7">
        <f>IF(ISBLANK(patch[[#This Row],[number]]),AE2360,patch[[#This Row],[ifCommon]])</f>
        <v>0</v>
      </c>
    </row>
    <row r="2362" spans="1:31">
      <c r="A2362" s="151">
        <v>142787</v>
      </c>
      <c r="B2362" s="151"/>
      <c r="C2362" s="151"/>
      <c r="D2362" s="151"/>
      <c r="E2362" s="151"/>
      <c r="F2362" s="151"/>
      <c r="G2362" s="151"/>
      <c r="H2362" s="151"/>
      <c r="I2362" s="151"/>
      <c r="J2362" s="152">
        <v>42618.700613425928</v>
      </c>
      <c r="K2362" s="151"/>
      <c r="L2362" s="151" t="s">
        <v>115</v>
      </c>
      <c r="M2362" s="152">
        <v>42618.418668981481</v>
      </c>
      <c r="N2362" s="151" t="s">
        <v>2503</v>
      </c>
      <c r="O2362" s="151"/>
      <c r="P2362" s="151"/>
      <c r="Q2362" s="7" t="str">
        <f>IF(ISBLANK(patch[[#This Row],[OwnerEmail]]),Q2361,patch[[#This Row],[OwnerEmail]])</f>
        <v>liang.l.yang@intel.com</v>
      </c>
      <c r="R2362" s="7" t="str">
        <f>_xlfn.IFNA(VLOOKUP(patch[[#This Row],[tmp-owner.email]],OrgTree!$A:$K, 11, 0), "not ICG SWFW")</f>
        <v>BJ And dev</v>
      </c>
      <c r="S2362" s="7" t="str">
        <f>IF(patch[[#This Row],[reviewer]]=patch[[#This Row],[tmp-owner.email]], "author", _xlfn.IFNA(VLOOKUP(patch[[#This Row],[reviewer]],OrgTree!$A:$K, 11, 0), "not ICG SWFW"))</f>
        <v>Val</v>
      </c>
      <c r="T2362" s="7" t="str">
        <f>IF(ISBLANK(patch[[#This Row],[mergeDate]]), "", MID(YEAR(patch[[#This Row],[mergeDate]]), 3,2)&amp;"'ww"&amp;WEEKNUM(patch[[#This Row],[mergeDate]]))</f>
        <v>16'ww37</v>
      </c>
      <c r="U2362" s="7" t="str">
        <f>IF(ISBLANK(patch[[#This Row],[mergeDate]]), U2361, MID(YEAR(patch[[#This Row],[mergeDate]]), 3,2)&amp;"'m"&amp;MONTH(patch[[#This Row],[mergeDate]]))</f>
        <v>16'm9</v>
      </c>
      <c r="V2362" s="7" t="str">
        <f>IF(ISBLANK(patch[[#This Row],[project]]), "",SUM(patch[[#This Row],[BJ -1 num]:[SH -1 num]]))</f>
        <v/>
      </c>
      <c r="W2362" s="7" t="str">
        <f>IF(ISBLANK(patch[[#This Row],[project]]), "",COUNTIFS($A:$A,patch[[#This Row],[number]],$S:$S, "BJ And dev",$AC:$AC, "Review-1"))</f>
        <v/>
      </c>
      <c r="X2362" s="7" t="str">
        <f>IF(ISBLANK(patch[[#This Row],[project]]), "",COUNTIFS($A:$A,patch[[#This Row],[number]],$S:$S, "FL And dev",$AC:$AC, "Review-1"))</f>
        <v/>
      </c>
      <c r="Y2362" s="7" t="str">
        <f>IF(ISBLANK(patch[[#This Row],[project]]), "",COUNTIFS($A:$A,patch[[#This Row],[number]],$S:$S, "SH And dev",$AC:$AC, "Review-1"))</f>
        <v/>
      </c>
      <c r="Z2362" s="7" t="str">
        <f>IF(ISBLANK(patch[[#This Row],[project]]), "",COUNTIFS($A:$A,patch[[#This Row],[number]],$S:$S, "BJ And dev",$AD:$AD, "&lt;&gt;IntegratorValidationComment"))</f>
        <v/>
      </c>
      <c r="AA2362" s="7" t="str">
        <f>IF(ISBLANK(patch[[#This Row],[project]]), "",COUNTIFS($A:$A,patch[[#This Row],[number]],$S:$S, "FL And dev",$AD:$AD, "&lt;&gt;IntegratorValidationComment"))</f>
        <v/>
      </c>
      <c r="AB2362" s="7" t="str">
        <f>IF(ISBLANK(patch[[#This Row],[project]]), "",COUNTIFS($A:$A,patch[[#This Row],[number]],$S:$S, "SH And dev",$AD:$AD, "&lt;&gt;IntegratorValidationComment"))</f>
        <v/>
      </c>
      <c r="AC2362" s="7" t="str">
        <f>IF(OR(ISNUMBER(FIND("Review-1", patch[[#This Row],[comments]])), ISNUMBER(FIND("Approver-1", patch[[#This Row],[comments]]))), "Review-1", "")</f>
        <v/>
      </c>
      <c r="AD23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362" s="7">
        <f>IF(ISBLANK(patch[[#This Row],[number]]),AE2361,patch[[#This Row],[ifCommon]])</f>
        <v>0</v>
      </c>
    </row>
    <row r="2363" spans="1:31">
      <c r="A2363" s="151">
        <v>142786</v>
      </c>
      <c r="B2363" s="151" t="s">
        <v>2490</v>
      </c>
      <c r="C2363" s="151" t="s">
        <v>2491</v>
      </c>
      <c r="D2363" s="151" t="s">
        <v>3759</v>
      </c>
      <c r="E2363" s="151" t="s">
        <v>55</v>
      </c>
      <c r="F2363" s="151" t="s">
        <v>23</v>
      </c>
      <c r="G2363" s="151" t="s">
        <v>3760</v>
      </c>
      <c r="H2363" s="151" t="s">
        <v>3761</v>
      </c>
      <c r="I2363" s="152">
        <v>42614.669675925928</v>
      </c>
      <c r="J2363" s="152">
        <v>42618.700613425928</v>
      </c>
      <c r="K2363" s="151" t="s">
        <v>2445</v>
      </c>
      <c r="L2363" s="151" t="s">
        <v>55</v>
      </c>
      <c r="M2363" s="152">
        <v>42614.669675925928</v>
      </c>
      <c r="N2363" s="151" t="s">
        <v>25</v>
      </c>
      <c r="O2363" s="151"/>
      <c r="P2363" s="151" t="s">
        <v>3400</v>
      </c>
      <c r="Q2363" s="7" t="str">
        <f>IF(ISBLANK(patch[[#This Row],[OwnerEmail]]),Q2362,patch[[#This Row],[OwnerEmail]])</f>
        <v>liang.l.yang@intel.com</v>
      </c>
      <c r="R2363" s="7" t="str">
        <f>_xlfn.IFNA(VLOOKUP(patch[[#This Row],[tmp-owner.email]],OrgTree!$A:$K, 11, 0), "not ICG SWFW")</f>
        <v>BJ And dev</v>
      </c>
      <c r="S2363" s="7" t="str">
        <f>IF(patch[[#This Row],[reviewer]]=patch[[#This Row],[tmp-owner.email]], "author", _xlfn.IFNA(VLOOKUP(patch[[#This Row],[reviewer]],OrgTree!$A:$K, 11, 0), "not ICG SWFW"))</f>
        <v>author</v>
      </c>
      <c r="T2363" s="7" t="str">
        <f>IF(ISBLANK(patch[[#This Row],[mergeDate]]), "", MID(YEAR(patch[[#This Row],[mergeDate]]), 3,2)&amp;"'ww"&amp;WEEKNUM(patch[[#This Row],[mergeDate]]))</f>
        <v>16'ww37</v>
      </c>
      <c r="U2363" s="7" t="str">
        <f>IF(ISBLANK(patch[[#This Row],[mergeDate]]), U2362, MID(YEAR(patch[[#This Row],[mergeDate]]), 3,2)&amp;"'m"&amp;MONTH(patch[[#This Row],[mergeDate]]))</f>
        <v>16'm9</v>
      </c>
      <c r="V2363" s="7">
        <f>IF(ISBLANK(patch[[#This Row],[project]]), "",SUM(patch[[#This Row],[BJ -1 num]:[SH -1 num]]))</f>
        <v>1</v>
      </c>
      <c r="W2363" s="7">
        <f>IF(ISBLANK(patch[[#This Row],[project]]), "",COUNTIFS($A:$A,patch[[#This Row],[number]],$S:$S, "BJ And dev",$AC:$AC, "Review-1"))</f>
        <v>1</v>
      </c>
      <c r="X2363" s="7">
        <f>IF(ISBLANK(patch[[#This Row],[project]]), "",COUNTIFS($A:$A,patch[[#This Row],[number]],$S:$S, "FL And dev",$AC:$AC, "Review-1"))</f>
        <v>0</v>
      </c>
      <c r="Y2363" s="7">
        <f>IF(ISBLANK(patch[[#This Row],[project]]), "",COUNTIFS($A:$A,patch[[#This Row],[number]],$S:$S, "SH And dev",$AC:$AC, "Review-1"))</f>
        <v>0</v>
      </c>
      <c r="Z2363" s="7">
        <f>IF(ISBLANK(patch[[#This Row],[project]]), "",COUNTIFS($A:$A,patch[[#This Row],[number]],$S:$S, "BJ And dev",$AD:$AD, "&lt;&gt;IntegratorValidationComment"))</f>
        <v>27</v>
      </c>
      <c r="AA2363" s="7">
        <f>IF(ISBLANK(patch[[#This Row],[project]]), "",COUNTIFS($A:$A,patch[[#This Row],[number]],$S:$S, "FL And dev",$AD:$AD, "&lt;&gt;IntegratorValidationComment"))</f>
        <v>0</v>
      </c>
      <c r="AB2363" s="7">
        <f>IF(ISBLANK(patch[[#This Row],[project]]), "",COUNTIFS($A:$A,patch[[#This Row],[number]],$S:$S, "SH And dev",$AD:$AD, "&lt;&gt;IntegratorValidationComment"))</f>
        <v>0</v>
      </c>
      <c r="AC2363" s="7" t="str">
        <f>IF(OR(ISNUMBER(FIND("Review-1", patch[[#This Row],[comments]])), ISNUMBER(FIND("Approver-1", patch[[#This Row],[comments]]))), "Review-1", "")</f>
        <v/>
      </c>
      <c r="AD23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63" s="7" t="str">
        <f>IF(ISBLANK(patch[[#This Row],[number]]),AE2362,patch[[#This Row],[ifCommon]])</f>
        <v>not AndrHAL</v>
      </c>
    </row>
    <row r="2364" spans="1:31">
      <c r="A2364" s="151">
        <v>142786</v>
      </c>
      <c r="B2364" s="151"/>
      <c r="C2364" s="151"/>
      <c r="D2364" s="151"/>
      <c r="E2364" s="151"/>
      <c r="F2364" s="151"/>
      <c r="G2364" s="151"/>
      <c r="H2364" s="151"/>
      <c r="I2364" s="151"/>
      <c r="J2364" s="152">
        <v>42618.700613425928</v>
      </c>
      <c r="K2364" s="151"/>
      <c r="L2364" s="151" t="s">
        <v>55</v>
      </c>
      <c r="M2364" s="152">
        <v>42614.669687499998</v>
      </c>
      <c r="N2364" s="151" t="s">
        <v>2428</v>
      </c>
      <c r="O2364" s="151"/>
      <c r="P2364" s="151"/>
      <c r="Q2364" s="7" t="str">
        <f>IF(ISBLANK(patch[[#This Row],[OwnerEmail]]),Q2363,patch[[#This Row],[OwnerEmail]])</f>
        <v>liang.l.yang@intel.com</v>
      </c>
      <c r="R2364" s="7" t="str">
        <f>_xlfn.IFNA(VLOOKUP(patch[[#This Row],[tmp-owner.email]],OrgTree!$A:$K, 11, 0), "not ICG SWFW")</f>
        <v>BJ And dev</v>
      </c>
      <c r="S2364" s="7" t="str">
        <f>IF(patch[[#This Row],[reviewer]]=patch[[#This Row],[tmp-owner.email]], "author", _xlfn.IFNA(VLOOKUP(patch[[#This Row],[reviewer]],OrgTree!$A:$K, 11, 0), "not ICG SWFW"))</f>
        <v>author</v>
      </c>
      <c r="T2364" s="7" t="str">
        <f>IF(ISBLANK(patch[[#This Row],[mergeDate]]), "", MID(YEAR(patch[[#This Row],[mergeDate]]), 3,2)&amp;"'ww"&amp;WEEKNUM(patch[[#This Row],[mergeDate]]))</f>
        <v>16'ww37</v>
      </c>
      <c r="U2364" s="7" t="str">
        <f>IF(ISBLANK(patch[[#This Row],[mergeDate]]), U2363, MID(YEAR(patch[[#This Row],[mergeDate]]), 3,2)&amp;"'m"&amp;MONTH(patch[[#This Row],[mergeDate]]))</f>
        <v>16'm9</v>
      </c>
      <c r="V2364" s="7" t="str">
        <f>IF(ISBLANK(patch[[#This Row],[project]]), "",SUM(patch[[#This Row],[BJ -1 num]:[SH -1 num]]))</f>
        <v/>
      </c>
      <c r="W2364" s="7" t="str">
        <f>IF(ISBLANK(patch[[#This Row],[project]]), "",COUNTIFS($A:$A,patch[[#This Row],[number]],$S:$S, "BJ And dev",$AC:$AC, "Review-1"))</f>
        <v/>
      </c>
      <c r="X2364" s="7" t="str">
        <f>IF(ISBLANK(patch[[#This Row],[project]]), "",COUNTIFS($A:$A,patch[[#This Row],[number]],$S:$S, "FL And dev",$AC:$AC, "Review-1"))</f>
        <v/>
      </c>
      <c r="Y2364" s="7" t="str">
        <f>IF(ISBLANK(patch[[#This Row],[project]]), "",COUNTIFS($A:$A,patch[[#This Row],[number]],$S:$S, "SH And dev",$AC:$AC, "Review-1"))</f>
        <v/>
      </c>
      <c r="Z2364" s="7" t="str">
        <f>IF(ISBLANK(patch[[#This Row],[project]]), "",COUNTIFS($A:$A,patch[[#This Row],[number]],$S:$S, "BJ And dev",$AD:$AD, "&lt;&gt;IntegratorValidationComment"))</f>
        <v/>
      </c>
      <c r="AA2364" s="7" t="str">
        <f>IF(ISBLANK(patch[[#This Row],[project]]), "",COUNTIFS($A:$A,patch[[#This Row],[number]],$S:$S, "FL And dev",$AD:$AD, "&lt;&gt;IntegratorValidationComment"))</f>
        <v/>
      </c>
      <c r="AB2364" s="7" t="str">
        <f>IF(ISBLANK(patch[[#This Row],[project]]), "",COUNTIFS($A:$A,patch[[#This Row],[number]],$S:$S, "SH And dev",$AD:$AD, "&lt;&gt;IntegratorValidationComment"))</f>
        <v/>
      </c>
      <c r="AC2364" s="7" t="str">
        <f>IF(OR(ISNUMBER(FIND("Review-1", patch[[#This Row],[comments]])), ISNUMBER(FIND("Approver-1", patch[[#This Row],[comments]]))), "Review-1", "")</f>
        <v/>
      </c>
      <c r="AD23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64" s="7">
        <f>IF(ISBLANK(patch[[#This Row],[number]]),AE2363,patch[[#This Row],[ifCommon]])</f>
        <v>0</v>
      </c>
    </row>
    <row r="2365" spans="1:31">
      <c r="A2365" s="151">
        <v>142786</v>
      </c>
      <c r="B2365" s="151"/>
      <c r="C2365" s="151"/>
      <c r="D2365" s="151"/>
      <c r="E2365" s="151"/>
      <c r="F2365" s="151"/>
      <c r="G2365" s="151"/>
      <c r="H2365" s="151"/>
      <c r="I2365" s="151"/>
      <c r="J2365" s="152">
        <v>42618.700613425928</v>
      </c>
      <c r="K2365" s="151"/>
      <c r="L2365" s="151" t="s">
        <v>59</v>
      </c>
      <c r="M2365" s="152">
        <v>42614.67559027778</v>
      </c>
      <c r="N2365" s="151" t="s">
        <v>3762</v>
      </c>
      <c r="O2365" s="151"/>
      <c r="P2365" s="151"/>
      <c r="Q2365" s="7" t="str">
        <f>IF(ISBLANK(patch[[#This Row],[OwnerEmail]]),Q2364,patch[[#This Row],[OwnerEmail]])</f>
        <v>liang.l.yang@intel.com</v>
      </c>
      <c r="R2365" s="7" t="str">
        <f>_xlfn.IFNA(VLOOKUP(patch[[#This Row],[tmp-owner.email]],OrgTree!$A:$K, 11, 0), "not ICG SWFW")</f>
        <v>BJ And dev</v>
      </c>
      <c r="S2365" s="7" t="str">
        <f>IF(patch[[#This Row],[reviewer]]=patch[[#This Row],[tmp-owner.email]], "author", _xlfn.IFNA(VLOOKUP(patch[[#This Row],[reviewer]],OrgTree!$A:$K, 11, 0), "not ICG SWFW"))</f>
        <v>BJ And dev</v>
      </c>
      <c r="T2365" s="7" t="str">
        <f>IF(ISBLANK(patch[[#This Row],[mergeDate]]), "", MID(YEAR(patch[[#This Row],[mergeDate]]), 3,2)&amp;"'ww"&amp;WEEKNUM(patch[[#This Row],[mergeDate]]))</f>
        <v>16'ww37</v>
      </c>
      <c r="U2365" s="7" t="str">
        <f>IF(ISBLANK(patch[[#This Row],[mergeDate]]), U2364, MID(YEAR(patch[[#This Row],[mergeDate]]), 3,2)&amp;"'m"&amp;MONTH(patch[[#This Row],[mergeDate]]))</f>
        <v>16'm9</v>
      </c>
      <c r="V2365" s="7" t="str">
        <f>IF(ISBLANK(patch[[#This Row],[project]]), "",SUM(patch[[#This Row],[BJ -1 num]:[SH -1 num]]))</f>
        <v/>
      </c>
      <c r="W2365" s="7" t="str">
        <f>IF(ISBLANK(patch[[#This Row],[project]]), "",COUNTIFS($A:$A,patch[[#This Row],[number]],$S:$S, "BJ And dev",$AC:$AC, "Review-1"))</f>
        <v/>
      </c>
      <c r="X2365" s="7" t="str">
        <f>IF(ISBLANK(patch[[#This Row],[project]]), "",COUNTIFS($A:$A,patch[[#This Row],[number]],$S:$S, "FL And dev",$AC:$AC, "Review-1"))</f>
        <v/>
      </c>
      <c r="Y2365" s="7" t="str">
        <f>IF(ISBLANK(patch[[#This Row],[project]]), "",COUNTIFS($A:$A,patch[[#This Row],[number]],$S:$S, "SH And dev",$AC:$AC, "Review-1"))</f>
        <v/>
      </c>
      <c r="Z2365" s="7" t="str">
        <f>IF(ISBLANK(patch[[#This Row],[project]]), "",COUNTIFS($A:$A,patch[[#This Row],[number]],$S:$S, "BJ And dev",$AD:$AD, "&lt;&gt;IntegratorValidationComment"))</f>
        <v/>
      </c>
      <c r="AA2365" s="7" t="str">
        <f>IF(ISBLANK(patch[[#This Row],[project]]), "",COUNTIFS($A:$A,patch[[#This Row],[number]],$S:$S, "FL And dev",$AD:$AD, "&lt;&gt;IntegratorValidationComment"))</f>
        <v/>
      </c>
      <c r="AB2365" s="7" t="str">
        <f>IF(ISBLANK(patch[[#This Row],[project]]), "",COUNTIFS($A:$A,patch[[#This Row],[number]],$S:$S, "SH And dev",$AD:$AD, "&lt;&gt;IntegratorValidationComment"))</f>
        <v/>
      </c>
      <c r="AC2365" s="7" t="str">
        <f>IF(OR(ISNUMBER(FIND("Review-1", patch[[#This Row],[comments]])), ISNUMBER(FIND("Approver-1", patch[[#This Row],[comments]]))), "Review-1", "")</f>
        <v/>
      </c>
      <c r="AD23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65" s="7">
        <f>IF(ISBLANK(patch[[#This Row],[number]]),AE2364,patch[[#This Row],[ifCommon]])</f>
        <v>0</v>
      </c>
    </row>
    <row r="2366" spans="1:31">
      <c r="A2366" s="151">
        <v>142786</v>
      </c>
      <c r="B2366" s="151"/>
      <c r="C2366" s="151"/>
      <c r="D2366" s="151"/>
      <c r="E2366" s="151"/>
      <c r="F2366" s="151"/>
      <c r="G2366" s="151"/>
      <c r="H2366" s="151"/>
      <c r="I2366" s="152"/>
      <c r="J2366" s="152">
        <v>42618.700613425928</v>
      </c>
      <c r="K2366" s="151"/>
      <c r="L2366" s="151" t="s">
        <v>59</v>
      </c>
      <c r="M2366" s="152">
        <v>42614.693333333344</v>
      </c>
      <c r="N2366" s="151" t="s">
        <v>3763</v>
      </c>
      <c r="O2366" s="151"/>
      <c r="P2366" s="151"/>
      <c r="Q2366" s="7" t="str">
        <f>IF(ISBLANK(patch[[#This Row],[OwnerEmail]]),Q2365,patch[[#This Row],[OwnerEmail]])</f>
        <v>liang.l.yang@intel.com</v>
      </c>
      <c r="R2366" s="7" t="str">
        <f>_xlfn.IFNA(VLOOKUP(patch[[#This Row],[tmp-owner.email]],OrgTree!$A:$K, 11, 0), "not ICG SWFW")</f>
        <v>BJ And dev</v>
      </c>
      <c r="S2366" s="7" t="str">
        <f>IF(patch[[#This Row],[reviewer]]=patch[[#This Row],[tmp-owner.email]], "author", _xlfn.IFNA(VLOOKUP(patch[[#This Row],[reviewer]],OrgTree!$A:$K, 11, 0), "not ICG SWFW"))</f>
        <v>BJ And dev</v>
      </c>
      <c r="T2366" s="7" t="str">
        <f>IF(ISBLANK(patch[[#This Row],[mergeDate]]), "", MID(YEAR(patch[[#This Row],[mergeDate]]), 3,2)&amp;"'ww"&amp;WEEKNUM(patch[[#This Row],[mergeDate]]))</f>
        <v>16'ww37</v>
      </c>
      <c r="U2366" s="7" t="str">
        <f>IF(ISBLANK(patch[[#This Row],[mergeDate]]), U2365, MID(YEAR(patch[[#This Row],[mergeDate]]), 3,2)&amp;"'m"&amp;MONTH(patch[[#This Row],[mergeDate]]))</f>
        <v>16'm9</v>
      </c>
      <c r="V2366" s="7" t="str">
        <f>IF(ISBLANK(patch[[#This Row],[project]]), "",SUM(patch[[#This Row],[BJ -1 num]:[SH -1 num]]))</f>
        <v/>
      </c>
      <c r="W2366" s="7" t="str">
        <f>IF(ISBLANK(patch[[#This Row],[project]]), "",COUNTIFS($A:$A,patch[[#This Row],[number]],$S:$S, "BJ And dev",$AC:$AC, "Review-1"))</f>
        <v/>
      </c>
      <c r="X2366" s="7" t="str">
        <f>IF(ISBLANK(patch[[#This Row],[project]]), "",COUNTIFS($A:$A,patch[[#This Row],[number]],$S:$S, "FL And dev",$AC:$AC, "Review-1"))</f>
        <v/>
      </c>
      <c r="Y2366" s="7" t="str">
        <f>IF(ISBLANK(patch[[#This Row],[project]]), "",COUNTIFS($A:$A,patch[[#This Row],[number]],$S:$S, "SH And dev",$AC:$AC, "Review-1"))</f>
        <v/>
      </c>
      <c r="Z2366" s="7" t="str">
        <f>IF(ISBLANK(patch[[#This Row],[project]]), "",COUNTIFS($A:$A,patch[[#This Row],[number]],$S:$S, "BJ And dev",$AD:$AD, "&lt;&gt;IntegratorValidationComment"))</f>
        <v/>
      </c>
      <c r="AA2366" s="7" t="str">
        <f>IF(ISBLANK(patch[[#This Row],[project]]), "",COUNTIFS($A:$A,patch[[#This Row],[number]],$S:$S, "FL And dev",$AD:$AD, "&lt;&gt;IntegratorValidationComment"))</f>
        <v/>
      </c>
      <c r="AB2366" s="7" t="str">
        <f>IF(ISBLANK(patch[[#This Row],[project]]), "",COUNTIFS($A:$A,patch[[#This Row],[number]],$S:$S, "SH And dev",$AD:$AD, "&lt;&gt;IntegratorValidationComment"))</f>
        <v/>
      </c>
      <c r="AC2366" s="7" t="str">
        <f>IF(OR(ISNUMBER(FIND("Review-1", patch[[#This Row],[comments]])), ISNUMBER(FIND("Approver-1", patch[[#This Row],[comments]]))), "Review-1", "")</f>
        <v/>
      </c>
      <c r="AD23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66" s="7">
        <f>IF(ISBLANK(patch[[#This Row],[number]]),AE2365,patch[[#This Row],[ifCommon]])</f>
        <v>0</v>
      </c>
    </row>
    <row r="2367" spans="1:31">
      <c r="A2367" s="151">
        <v>142786</v>
      </c>
      <c r="B2367" s="151"/>
      <c r="C2367" s="151"/>
      <c r="D2367" s="151"/>
      <c r="E2367" s="151"/>
      <c r="F2367" s="151"/>
      <c r="G2367" s="151"/>
      <c r="H2367" s="151"/>
      <c r="I2367" s="151"/>
      <c r="J2367" s="152">
        <v>42618.700613425928</v>
      </c>
      <c r="K2367" s="151"/>
      <c r="L2367" s="151" t="s">
        <v>55</v>
      </c>
      <c r="M2367" s="152">
        <v>42614.707719907397</v>
      </c>
      <c r="N2367" s="151" t="s">
        <v>2429</v>
      </c>
      <c r="O2367" s="151"/>
      <c r="P2367" s="151"/>
      <c r="Q2367" s="7" t="str">
        <f>IF(ISBLANK(patch[[#This Row],[OwnerEmail]]),Q2366,patch[[#This Row],[OwnerEmail]])</f>
        <v>liang.l.yang@intel.com</v>
      </c>
      <c r="R2367" s="7" t="str">
        <f>_xlfn.IFNA(VLOOKUP(patch[[#This Row],[tmp-owner.email]],OrgTree!$A:$K, 11, 0), "not ICG SWFW")</f>
        <v>BJ And dev</v>
      </c>
      <c r="S2367" s="7" t="str">
        <f>IF(patch[[#This Row],[reviewer]]=patch[[#This Row],[tmp-owner.email]], "author", _xlfn.IFNA(VLOOKUP(patch[[#This Row],[reviewer]],OrgTree!$A:$K, 11, 0), "not ICG SWFW"))</f>
        <v>author</v>
      </c>
      <c r="T2367" s="7" t="str">
        <f>IF(ISBLANK(patch[[#This Row],[mergeDate]]), "", MID(YEAR(patch[[#This Row],[mergeDate]]), 3,2)&amp;"'ww"&amp;WEEKNUM(patch[[#This Row],[mergeDate]]))</f>
        <v>16'ww37</v>
      </c>
      <c r="U2367" s="7" t="str">
        <f>IF(ISBLANK(patch[[#This Row],[mergeDate]]), U2366, MID(YEAR(patch[[#This Row],[mergeDate]]), 3,2)&amp;"'m"&amp;MONTH(patch[[#This Row],[mergeDate]]))</f>
        <v>16'm9</v>
      </c>
      <c r="V2367" s="7" t="str">
        <f>IF(ISBLANK(patch[[#This Row],[project]]), "",SUM(patch[[#This Row],[BJ -1 num]:[SH -1 num]]))</f>
        <v/>
      </c>
      <c r="W2367" s="7" t="str">
        <f>IF(ISBLANK(patch[[#This Row],[project]]), "",COUNTIFS($A:$A,patch[[#This Row],[number]],$S:$S, "BJ And dev",$AC:$AC, "Review-1"))</f>
        <v/>
      </c>
      <c r="X2367" s="7" t="str">
        <f>IF(ISBLANK(patch[[#This Row],[project]]), "",COUNTIFS($A:$A,patch[[#This Row],[number]],$S:$S, "FL And dev",$AC:$AC, "Review-1"))</f>
        <v/>
      </c>
      <c r="Y2367" s="7" t="str">
        <f>IF(ISBLANK(patch[[#This Row],[project]]), "",COUNTIFS($A:$A,patch[[#This Row],[number]],$S:$S, "SH And dev",$AC:$AC, "Review-1"))</f>
        <v/>
      </c>
      <c r="Z2367" s="7" t="str">
        <f>IF(ISBLANK(patch[[#This Row],[project]]), "",COUNTIFS($A:$A,patch[[#This Row],[number]],$S:$S, "BJ And dev",$AD:$AD, "&lt;&gt;IntegratorValidationComment"))</f>
        <v/>
      </c>
      <c r="AA2367" s="7" t="str">
        <f>IF(ISBLANK(patch[[#This Row],[project]]), "",COUNTIFS($A:$A,patch[[#This Row],[number]],$S:$S, "FL And dev",$AD:$AD, "&lt;&gt;IntegratorValidationComment"))</f>
        <v/>
      </c>
      <c r="AB2367" s="7" t="str">
        <f>IF(ISBLANK(patch[[#This Row],[project]]), "",COUNTIFS($A:$A,patch[[#This Row],[number]],$S:$S, "SH And dev",$AD:$AD, "&lt;&gt;IntegratorValidationComment"))</f>
        <v/>
      </c>
      <c r="AC2367" s="7" t="str">
        <f>IF(OR(ISNUMBER(FIND("Review-1", patch[[#This Row],[comments]])), ISNUMBER(FIND("Approver-1", patch[[#This Row],[comments]]))), "Review-1", "")</f>
        <v/>
      </c>
      <c r="AD23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67" s="7">
        <f>IF(ISBLANK(patch[[#This Row],[number]]),AE2366,patch[[#This Row],[ifCommon]])</f>
        <v>0</v>
      </c>
    </row>
    <row r="2368" spans="1:31">
      <c r="A2368" s="151">
        <v>142786</v>
      </c>
      <c r="B2368" s="151"/>
      <c r="C2368" s="151"/>
      <c r="D2368" s="151"/>
      <c r="E2368" s="151"/>
      <c r="F2368" s="151"/>
      <c r="G2368" s="151"/>
      <c r="H2368" s="151"/>
      <c r="I2368" s="151"/>
      <c r="J2368" s="152">
        <v>42618.700613425928</v>
      </c>
      <c r="K2368" s="151"/>
      <c r="L2368" s="151" t="s">
        <v>55</v>
      </c>
      <c r="M2368" s="152">
        <v>42614.707719907397</v>
      </c>
      <c r="N2368" s="151" t="s">
        <v>29</v>
      </c>
      <c r="O2368" s="151"/>
      <c r="P2368" s="151"/>
      <c r="Q2368" s="7" t="str">
        <f>IF(ISBLANK(patch[[#This Row],[OwnerEmail]]),Q2367,patch[[#This Row],[OwnerEmail]])</f>
        <v>liang.l.yang@intel.com</v>
      </c>
      <c r="R2368" s="7" t="str">
        <f>_xlfn.IFNA(VLOOKUP(patch[[#This Row],[tmp-owner.email]],OrgTree!$A:$K, 11, 0), "not ICG SWFW")</f>
        <v>BJ And dev</v>
      </c>
      <c r="S2368" s="7" t="str">
        <f>IF(patch[[#This Row],[reviewer]]=patch[[#This Row],[tmp-owner.email]], "author", _xlfn.IFNA(VLOOKUP(patch[[#This Row],[reviewer]],OrgTree!$A:$K, 11, 0), "not ICG SWFW"))</f>
        <v>author</v>
      </c>
      <c r="T2368" s="7" t="str">
        <f>IF(ISBLANK(patch[[#This Row],[mergeDate]]), "", MID(YEAR(patch[[#This Row],[mergeDate]]), 3,2)&amp;"'ww"&amp;WEEKNUM(patch[[#This Row],[mergeDate]]))</f>
        <v>16'ww37</v>
      </c>
      <c r="U2368" s="7" t="str">
        <f>IF(ISBLANK(patch[[#This Row],[mergeDate]]), U2367, MID(YEAR(patch[[#This Row],[mergeDate]]), 3,2)&amp;"'m"&amp;MONTH(patch[[#This Row],[mergeDate]]))</f>
        <v>16'm9</v>
      </c>
      <c r="V2368" s="7" t="str">
        <f>IF(ISBLANK(patch[[#This Row],[project]]), "",SUM(patch[[#This Row],[BJ -1 num]:[SH -1 num]]))</f>
        <v/>
      </c>
      <c r="W2368" s="7" t="str">
        <f>IF(ISBLANK(patch[[#This Row],[project]]), "",COUNTIFS($A:$A,patch[[#This Row],[number]],$S:$S, "BJ And dev",$AC:$AC, "Review-1"))</f>
        <v/>
      </c>
      <c r="X2368" s="7" t="str">
        <f>IF(ISBLANK(patch[[#This Row],[project]]), "",COUNTIFS($A:$A,patch[[#This Row],[number]],$S:$S, "FL And dev",$AC:$AC, "Review-1"))</f>
        <v/>
      </c>
      <c r="Y2368" s="7" t="str">
        <f>IF(ISBLANK(patch[[#This Row],[project]]), "",COUNTIFS($A:$A,patch[[#This Row],[number]],$S:$S, "SH And dev",$AC:$AC, "Review-1"))</f>
        <v/>
      </c>
      <c r="Z2368" s="7" t="str">
        <f>IF(ISBLANK(patch[[#This Row],[project]]), "",COUNTIFS($A:$A,patch[[#This Row],[number]],$S:$S, "BJ And dev",$AD:$AD, "&lt;&gt;IntegratorValidationComment"))</f>
        <v/>
      </c>
      <c r="AA2368" s="7" t="str">
        <f>IF(ISBLANK(patch[[#This Row],[project]]), "",COUNTIFS($A:$A,patch[[#This Row],[number]],$S:$S, "FL And dev",$AD:$AD, "&lt;&gt;IntegratorValidationComment"))</f>
        <v/>
      </c>
      <c r="AB2368" s="7" t="str">
        <f>IF(ISBLANK(patch[[#This Row],[project]]), "",COUNTIFS($A:$A,patch[[#This Row],[number]],$S:$S, "SH And dev",$AD:$AD, "&lt;&gt;IntegratorValidationComment"))</f>
        <v/>
      </c>
      <c r="AC2368" s="7" t="str">
        <f>IF(OR(ISNUMBER(FIND("Review-1", patch[[#This Row],[comments]])), ISNUMBER(FIND("Approver-1", patch[[#This Row],[comments]]))), "Review-1", "")</f>
        <v/>
      </c>
      <c r="AD23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68" s="7">
        <f>IF(ISBLANK(patch[[#This Row],[number]]),AE2367,patch[[#This Row],[ifCommon]])</f>
        <v>0</v>
      </c>
    </row>
    <row r="2369" spans="1:31">
      <c r="A2369" s="151">
        <v>142786</v>
      </c>
      <c r="B2369" s="151"/>
      <c r="C2369" s="151"/>
      <c r="D2369" s="151"/>
      <c r="E2369" s="151"/>
      <c r="F2369" s="151"/>
      <c r="G2369" s="151"/>
      <c r="H2369" s="151"/>
      <c r="I2369" s="151"/>
      <c r="J2369" s="152">
        <v>42618.700613425928</v>
      </c>
      <c r="K2369" s="151"/>
      <c r="L2369" s="151" t="s">
        <v>59</v>
      </c>
      <c r="M2369" s="152">
        <v>42614.71</v>
      </c>
      <c r="N2369" s="151" t="s">
        <v>3764</v>
      </c>
      <c r="O2369" s="151"/>
      <c r="P2369" s="151"/>
      <c r="Q2369" s="7" t="str">
        <f>IF(ISBLANK(patch[[#This Row],[OwnerEmail]]),Q2368,patch[[#This Row],[OwnerEmail]])</f>
        <v>liang.l.yang@intel.com</v>
      </c>
      <c r="R2369" s="7" t="str">
        <f>_xlfn.IFNA(VLOOKUP(patch[[#This Row],[tmp-owner.email]],OrgTree!$A:$K, 11, 0), "not ICG SWFW")</f>
        <v>BJ And dev</v>
      </c>
      <c r="S2369" s="7" t="str">
        <f>IF(patch[[#This Row],[reviewer]]=patch[[#This Row],[tmp-owner.email]], "author", _xlfn.IFNA(VLOOKUP(patch[[#This Row],[reviewer]],OrgTree!$A:$K, 11, 0), "not ICG SWFW"))</f>
        <v>BJ And dev</v>
      </c>
      <c r="T2369" s="7" t="str">
        <f>IF(ISBLANK(patch[[#This Row],[mergeDate]]), "", MID(YEAR(patch[[#This Row],[mergeDate]]), 3,2)&amp;"'ww"&amp;WEEKNUM(patch[[#This Row],[mergeDate]]))</f>
        <v>16'ww37</v>
      </c>
      <c r="U2369" s="7" t="str">
        <f>IF(ISBLANK(patch[[#This Row],[mergeDate]]), U2368, MID(YEAR(patch[[#This Row],[mergeDate]]), 3,2)&amp;"'m"&amp;MONTH(patch[[#This Row],[mergeDate]]))</f>
        <v>16'm9</v>
      </c>
      <c r="V2369" s="7" t="str">
        <f>IF(ISBLANK(patch[[#This Row],[project]]), "",SUM(patch[[#This Row],[BJ -1 num]:[SH -1 num]]))</f>
        <v/>
      </c>
      <c r="W2369" s="7" t="str">
        <f>IF(ISBLANK(patch[[#This Row],[project]]), "",COUNTIFS($A:$A,patch[[#This Row],[number]],$S:$S, "BJ And dev",$AC:$AC, "Review-1"))</f>
        <v/>
      </c>
      <c r="X2369" s="7" t="str">
        <f>IF(ISBLANK(patch[[#This Row],[project]]), "",COUNTIFS($A:$A,patch[[#This Row],[number]],$S:$S, "FL And dev",$AC:$AC, "Review-1"))</f>
        <v/>
      </c>
      <c r="Y2369" s="7" t="str">
        <f>IF(ISBLANK(patch[[#This Row],[project]]), "",COUNTIFS($A:$A,patch[[#This Row],[number]],$S:$S, "SH And dev",$AC:$AC, "Review-1"))</f>
        <v/>
      </c>
      <c r="Z2369" s="7" t="str">
        <f>IF(ISBLANK(patch[[#This Row],[project]]), "",COUNTIFS($A:$A,patch[[#This Row],[number]],$S:$S, "BJ And dev",$AD:$AD, "&lt;&gt;IntegratorValidationComment"))</f>
        <v/>
      </c>
      <c r="AA2369" s="7" t="str">
        <f>IF(ISBLANK(patch[[#This Row],[project]]), "",COUNTIFS($A:$A,patch[[#This Row],[number]],$S:$S, "FL And dev",$AD:$AD, "&lt;&gt;IntegratorValidationComment"))</f>
        <v/>
      </c>
      <c r="AB2369" s="7" t="str">
        <f>IF(ISBLANK(patch[[#This Row],[project]]), "",COUNTIFS($A:$A,patch[[#This Row],[number]],$S:$S, "SH And dev",$AD:$AD, "&lt;&gt;IntegratorValidationComment"))</f>
        <v/>
      </c>
      <c r="AC2369" s="7" t="str">
        <f>IF(OR(ISNUMBER(FIND("Review-1", patch[[#This Row],[comments]])), ISNUMBER(FIND("Approver-1", patch[[#This Row],[comments]]))), "Review-1", "")</f>
        <v/>
      </c>
      <c r="AD23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69" s="7">
        <f>IF(ISBLANK(patch[[#This Row],[number]]),AE2368,patch[[#This Row],[ifCommon]])</f>
        <v>0</v>
      </c>
    </row>
    <row r="2370" spans="1:31">
      <c r="A2370" s="151">
        <v>142786</v>
      </c>
      <c r="B2370" s="151"/>
      <c r="C2370" s="151"/>
      <c r="D2370" s="151"/>
      <c r="E2370" s="151"/>
      <c r="F2370" s="151"/>
      <c r="G2370" s="151"/>
      <c r="H2370" s="151"/>
      <c r="I2370" s="151"/>
      <c r="J2370" s="152">
        <v>42618.700613425928</v>
      </c>
      <c r="K2370" s="151"/>
      <c r="L2370" s="151" t="s">
        <v>55</v>
      </c>
      <c r="M2370" s="152">
        <v>42614.711597222216</v>
      </c>
      <c r="N2370" s="151" t="s">
        <v>2450</v>
      </c>
      <c r="O2370" s="151"/>
      <c r="P2370" s="151"/>
      <c r="Q2370" s="7" t="str">
        <f>IF(ISBLANK(patch[[#This Row],[OwnerEmail]]),Q2369,patch[[#This Row],[OwnerEmail]])</f>
        <v>liang.l.yang@intel.com</v>
      </c>
      <c r="R2370" s="7" t="str">
        <f>_xlfn.IFNA(VLOOKUP(patch[[#This Row],[tmp-owner.email]],OrgTree!$A:$K, 11, 0), "not ICG SWFW")</f>
        <v>BJ And dev</v>
      </c>
      <c r="S2370" s="7" t="str">
        <f>IF(patch[[#This Row],[reviewer]]=patch[[#This Row],[tmp-owner.email]], "author", _xlfn.IFNA(VLOOKUP(patch[[#This Row],[reviewer]],OrgTree!$A:$K, 11, 0), "not ICG SWFW"))</f>
        <v>author</v>
      </c>
      <c r="T2370" s="7" t="str">
        <f>IF(ISBLANK(patch[[#This Row],[mergeDate]]), "", MID(YEAR(patch[[#This Row],[mergeDate]]), 3,2)&amp;"'ww"&amp;WEEKNUM(patch[[#This Row],[mergeDate]]))</f>
        <v>16'ww37</v>
      </c>
      <c r="U2370" s="7" t="str">
        <f>IF(ISBLANK(patch[[#This Row],[mergeDate]]), U2369, MID(YEAR(patch[[#This Row],[mergeDate]]), 3,2)&amp;"'m"&amp;MONTH(patch[[#This Row],[mergeDate]]))</f>
        <v>16'm9</v>
      </c>
      <c r="V2370" s="7" t="str">
        <f>IF(ISBLANK(patch[[#This Row],[project]]), "",SUM(patch[[#This Row],[BJ -1 num]:[SH -1 num]]))</f>
        <v/>
      </c>
      <c r="W2370" s="7" t="str">
        <f>IF(ISBLANK(patch[[#This Row],[project]]), "",COUNTIFS($A:$A,patch[[#This Row],[number]],$S:$S, "BJ And dev",$AC:$AC, "Review-1"))</f>
        <v/>
      </c>
      <c r="X2370" s="7" t="str">
        <f>IF(ISBLANK(patch[[#This Row],[project]]), "",COUNTIFS($A:$A,patch[[#This Row],[number]],$S:$S, "FL And dev",$AC:$AC, "Review-1"))</f>
        <v/>
      </c>
      <c r="Y2370" s="7" t="str">
        <f>IF(ISBLANK(patch[[#This Row],[project]]), "",COUNTIFS($A:$A,patch[[#This Row],[number]],$S:$S, "SH And dev",$AC:$AC, "Review-1"))</f>
        <v/>
      </c>
      <c r="Z2370" s="7" t="str">
        <f>IF(ISBLANK(patch[[#This Row],[project]]), "",COUNTIFS($A:$A,patch[[#This Row],[number]],$S:$S, "BJ And dev",$AD:$AD, "&lt;&gt;IntegratorValidationComment"))</f>
        <v/>
      </c>
      <c r="AA2370" s="7" t="str">
        <f>IF(ISBLANK(patch[[#This Row],[project]]), "",COUNTIFS($A:$A,patch[[#This Row],[number]],$S:$S, "FL And dev",$AD:$AD, "&lt;&gt;IntegratorValidationComment"))</f>
        <v/>
      </c>
      <c r="AB2370" s="7" t="str">
        <f>IF(ISBLANK(patch[[#This Row],[project]]), "",COUNTIFS($A:$A,patch[[#This Row],[number]],$S:$S, "SH And dev",$AD:$AD, "&lt;&gt;IntegratorValidationComment"))</f>
        <v/>
      </c>
      <c r="AC2370" s="7" t="str">
        <f>IF(OR(ISNUMBER(FIND("Review-1", patch[[#This Row],[comments]])), ISNUMBER(FIND("Approver-1", patch[[#This Row],[comments]]))), "Review-1", "")</f>
        <v/>
      </c>
      <c r="AD23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70" s="7">
        <f>IF(ISBLANK(patch[[#This Row],[number]]),AE2369,patch[[#This Row],[ifCommon]])</f>
        <v>0</v>
      </c>
    </row>
    <row r="2371" spans="1:31">
      <c r="A2371" s="151">
        <v>142786</v>
      </c>
      <c r="B2371" s="151"/>
      <c r="C2371" s="151"/>
      <c r="D2371" s="151"/>
      <c r="E2371" s="151"/>
      <c r="F2371" s="151"/>
      <c r="G2371" s="151"/>
      <c r="H2371" s="151"/>
      <c r="I2371" s="151"/>
      <c r="J2371" s="152">
        <v>42618.700613425928</v>
      </c>
      <c r="K2371" s="151"/>
      <c r="L2371" s="151" t="s">
        <v>55</v>
      </c>
      <c r="M2371" s="152">
        <v>42614.711597222216</v>
      </c>
      <c r="N2371" s="151" t="s">
        <v>1829</v>
      </c>
      <c r="O2371" s="151"/>
      <c r="P2371" s="151"/>
      <c r="Q2371" s="7" t="str">
        <f>IF(ISBLANK(patch[[#This Row],[OwnerEmail]]),Q2370,patch[[#This Row],[OwnerEmail]])</f>
        <v>liang.l.yang@intel.com</v>
      </c>
      <c r="R2371" s="7" t="str">
        <f>_xlfn.IFNA(VLOOKUP(patch[[#This Row],[tmp-owner.email]],OrgTree!$A:$K, 11, 0), "not ICG SWFW")</f>
        <v>BJ And dev</v>
      </c>
      <c r="S2371" s="7" t="str">
        <f>IF(patch[[#This Row],[reviewer]]=patch[[#This Row],[tmp-owner.email]], "author", _xlfn.IFNA(VLOOKUP(patch[[#This Row],[reviewer]],OrgTree!$A:$K, 11, 0), "not ICG SWFW"))</f>
        <v>author</v>
      </c>
      <c r="T2371" s="7" t="str">
        <f>IF(ISBLANK(patch[[#This Row],[mergeDate]]), "", MID(YEAR(patch[[#This Row],[mergeDate]]), 3,2)&amp;"'ww"&amp;WEEKNUM(patch[[#This Row],[mergeDate]]))</f>
        <v>16'ww37</v>
      </c>
      <c r="U2371" s="7" t="str">
        <f>IF(ISBLANK(patch[[#This Row],[mergeDate]]), U2370, MID(YEAR(patch[[#This Row],[mergeDate]]), 3,2)&amp;"'m"&amp;MONTH(patch[[#This Row],[mergeDate]]))</f>
        <v>16'm9</v>
      </c>
      <c r="V2371" s="7" t="str">
        <f>IF(ISBLANK(patch[[#This Row],[project]]), "",SUM(patch[[#This Row],[BJ -1 num]:[SH -1 num]]))</f>
        <v/>
      </c>
      <c r="W2371" s="7" t="str">
        <f>IF(ISBLANK(patch[[#This Row],[project]]), "",COUNTIFS($A:$A,patch[[#This Row],[number]],$S:$S, "BJ And dev",$AC:$AC, "Review-1"))</f>
        <v/>
      </c>
      <c r="X2371" s="7" t="str">
        <f>IF(ISBLANK(patch[[#This Row],[project]]), "",COUNTIFS($A:$A,patch[[#This Row],[number]],$S:$S, "FL And dev",$AC:$AC, "Review-1"))</f>
        <v/>
      </c>
      <c r="Y2371" s="7" t="str">
        <f>IF(ISBLANK(patch[[#This Row],[project]]), "",COUNTIFS($A:$A,patch[[#This Row],[number]],$S:$S, "SH And dev",$AC:$AC, "Review-1"))</f>
        <v/>
      </c>
      <c r="Z2371" s="7" t="str">
        <f>IF(ISBLANK(patch[[#This Row],[project]]), "",COUNTIFS($A:$A,patch[[#This Row],[number]],$S:$S, "BJ And dev",$AD:$AD, "&lt;&gt;IntegratorValidationComment"))</f>
        <v/>
      </c>
      <c r="AA2371" s="7" t="str">
        <f>IF(ISBLANK(patch[[#This Row],[project]]), "",COUNTIFS($A:$A,patch[[#This Row],[number]],$S:$S, "FL And dev",$AD:$AD, "&lt;&gt;IntegratorValidationComment"))</f>
        <v/>
      </c>
      <c r="AB2371" s="7" t="str">
        <f>IF(ISBLANK(patch[[#This Row],[project]]), "",COUNTIFS($A:$A,patch[[#This Row],[number]],$S:$S, "SH And dev",$AD:$AD, "&lt;&gt;IntegratorValidationComment"))</f>
        <v/>
      </c>
      <c r="AC2371" s="7" t="str">
        <f>IF(OR(ISNUMBER(FIND("Review-1", patch[[#This Row],[comments]])), ISNUMBER(FIND("Approver-1", patch[[#This Row],[comments]]))), "Review-1", "")</f>
        <v/>
      </c>
      <c r="AD23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71" s="7">
        <f>IF(ISBLANK(patch[[#This Row],[number]]),AE2370,patch[[#This Row],[ifCommon]])</f>
        <v>0</v>
      </c>
    </row>
    <row r="2372" spans="1:31">
      <c r="A2372" s="151">
        <v>142786</v>
      </c>
      <c r="B2372" s="151"/>
      <c r="C2372" s="151"/>
      <c r="D2372" s="151"/>
      <c r="E2372" s="151"/>
      <c r="F2372" s="151"/>
      <c r="G2372" s="151"/>
      <c r="H2372" s="151"/>
      <c r="I2372" s="151"/>
      <c r="J2372" s="152">
        <v>42618.700613425928</v>
      </c>
      <c r="K2372" s="151"/>
      <c r="L2372" s="151" t="s">
        <v>59</v>
      </c>
      <c r="M2372" s="152">
        <v>42614.716539351852</v>
      </c>
      <c r="N2372" s="151" t="s">
        <v>3765</v>
      </c>
      <c r="O2372" s="151"/>
      <c r="P2372" s="151"/>
      <c r="Q2372" s="7" t="str">
        <f>IF(ISBLANK(patch[[#This Row],[OwnerEmail]]),Q2371,patch[[#This Row],[OwnerEmail]])</f>
        <v>liang.l.yang@intel.com</v>
      </c>
      <c r="R2372" s="7" t="str">
        <f>_xlfn.IFNA(VLOOKUP(patch[[#This Row],[tmp-owner.email]],OrgTree!$A:$K, 11, 0), "not ICG SWFW")</f>
        <v>BJ And dev</v>
      </c>
      <c r="S2372" s="7" t="str">
        <f>IF(patch[[#This Row],[reviewer]]=patch[[#This Row],[tmp-owner.email]], "author", _xlfn.IFNA(VLOOKUP(patch[[#This Row],[reviewer]],OrgTree!$A:$K, 11, 0), "not ICG SWFW"))</f>
        <v>BJ And dev</v>
      </c>
      <c r="T2372" s="7" t="str">
        <f>IF(ISBLANK(patch[[#This Row],[mergeDate]]), "", MID(YEAR(patch[[#This Row],[mergeDate]]), 3,2)&amp;"'ww"&amp;WEEKNUM(patch[[#This Row],[mergeDate]]))</f>
        <v>16'ww37</v>
      </c>
      <c r="U2372" s="7" t="str">
        <f>IF(ISBLANK(patch[[#This Row],[mergeDate]]), U2371, MID(YEAR(patch[[#This Row],[mergeDate]]), 3,2)&amp;"'m"&amp;MONTH(patch[[#This Row],[mergeDate]]))</f>
        <v>16'm9</v>
      </c>
      <c r="V2372" s="7" t="str">
        <f>IF(ISBLANK(patch[[#This Row],[project]]), "",SUM(patch[[#This Row],[BJ -1 num]:[SH -1 num]]))</f>
        <v/>
      </c>
      <c r="W2372" s="7" t="str">
        <f>IF(ISBLANK(patch[[#This Row],[project]]), "",COUNTIFS($A:$A,patch[[#This Row],[number]],$S:$S, "BJ And dev",$AC:$AC, "Review-1"))</f>
        <v/>
      </c>
      <c r="X2372" s="7" t="str">
        <f>IF(ISBLANK(patch[[#This Row],[project]]), "",COUNTIFS($A:$A,patch[[#This Row],[number]],$S:$S, "FL And dev",$AC:$AC, "Review-1"))</f>
        <v/>
      </c>
      <c r="Y2372" s="7" t="str">
        <f>IF(ISBLANK(patch[[#This Row],[project]]), "",COUNTIFS($A:$A,patch[[#This Row],[number]],$S:$S, "SH And dev",$AC:$AC, "Review-1"))</f>
        <v/>
      </c>
      <c r="Z2372" s="7" t="str">
        <f>IF(ISBLANK(patch[[#This Row],[project]]), "",COUNTIFS($A:$A,patch[[#This Row],[number]],$S:$S, "BJ And dev",$AD:$AD, "&lt;&gt;IntegratorValidationComment"))</f>
        <v/>
      </c>
      <c r="AA2372" s="7" t="str">
        <f>IF(ISBLANK(patch[[#This Row],[project]]), "",COUNTIFS($A:$A,patch[[#This Row],[number]],$S:$S, "FL And dev",$AD:$AD, "&lt;&gt;IntegratorValidationComment"))</f>
        <v/>
      </c>
      <c r="AB2372" s="7" t="str">
        <f>IF(ISBLANK(patch[[#This Row],[project]]), "",COUNTIFS($A:$A,patch[[#This Row],[number]],$S:$S, "SH And dev",$AD:$AD, "&lt;&gt;IntegratorValidationComment"))</f>
        <v/>
      </c>
      <c r="AC2372" s="7" t="str">
        <f>IF(OR(ISNUMBER(FIND("Review-1", patch[[#This Row],[comments]])), ISNUMBER(FIND("Approver-1", patch[[#This Row],[comments]]))), "Review-1", "")</f>
        <v/>
      </c>
      <c r="AD23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72" s="7">
        <f>IF(ISBLANK(patch[[#This Row],[number]]),AE2371,patch[[#This Row],[ifCommon]])</f>
        <v>0</v>
      </c>
    </row>
    <row r="2373" spans="1:31">
      <c r="A2373" s="151">
        <v>142786</v>
      </c>
      <c r="B2373" s="151"/>
      <c r="C2373" s="151"/>
      <c r="D2373" s="151"/>
      <c r="E2373" s="151"/>
      <c r="F2373" s="151"/>
      <c r="G2373" s="151"/>
      <c r="H2373" s="151"/>
      <c r="I2373" s="152"/>
      <c r="J2373" s="152">
        <v>42618.700613425928</v>
      </c>
      <c r="K2373" s="151"/>
      <c r="L2373" s="151" t="s">
        <v>59</v>
      </c>
      <c r="M2373" s="152">
        <v>42614.725081018521</v>
      </c>
      <c r="N2373" s="151" t="s">
        <v>3766</v>
      </c>
      <c r="O2373" s="151"/>
      <c r="P2373" s="151"/>
      <c r="Q2373" s="7" t="str">
        <f>IF(ISBLANK(patch[[#This Row],[OwnerEmail]]),Q2372,patch[[#This Row],[OwnerEmail]])</f>
        <v>liang.l.yang@intel.com</v>
      </c>
      <c r="R2373" s="7" t="str">
        <f>_xlfn.IFNA(VLOOKUP(patch[[#This Row],[tmp-owner.email]],OrgTree!$A:$K, 11, 0), "not ICG SWFW")</f>
        <v>BJ And dev</v>
      </c>
      <c r="S2373" s="7" t="str">
        <f>IF(patch[[#This Row],[reviewer]]=patch[[#This Row],[tmp-owner.email]], "author", _xlfn.IFNA(VLOOKUP(patch[[#This Row],[reviewer]],OrgTree!$A:$K, 11, 0), "not ICG SWFW"))</f>
        <v>BJ And dev</v>
      </c>
      <c r="T2373" s="7" t="str">
        <f>IF(ISBLANK(patch[[#This Row],[mergeDate]]), "", MID(YEAR(patch[[#This Row],[mergeDate]]), 3,2)&amp;"'ww"&amp;WEEKNUM(patch[[#This Row],[mergeDate]]))</f>
        <v>16'ww37</v>
      </c>
      <c r="U2373" s="7" t="str">
        <f>IF(ISBLANK(patch[[#This Row],[mergeDate]]), U2372, MID(YEAR(patch[[#This Row],[mergeDate]]), 3,2)&amp;"'m"&amp;MONTH(patch[[#This Row],[mergeDate]]))</f>
        <v>16'm9</v>
      </c>
      <c r="V2373" s="7" t="str">
        <f>IF(ISBLANK(patch[[#This Row],[project]]), "",SUM(patch[[#This Row],[BJ -1 num]:[SH -1 num]]))</f>
        <v/>
      </c>
      <c r="W2373" s="7" t="str">
        <f>IF(ISBLANK(patch[[#This Row],[project]]), "",COUNTIFS($A:$A,patch[[#This Row],[number]],$S:$S, "BJ And dev",$AC:$AC, "Review-1"))</f>
        <v/>
      </c>
      <c r="X2373" s="7" t="str">
        <f>IF(ISBLANK(patch[[#This Row],[project]]), "",COUNTIFS($A:$A,patch[[#This Row],[number]],$S:$S, "FL And dev",$AC:$AC, "Review-1"))</f>
        <v/>
      </c>
      <c r="Y2373" s="7" t="str">
        <f>IF(ISBLANK(patch[[#This Row],[project]]), "",COUNTIFS($A:$A,patch[[#This Row],[number]],$S:$S, "SH And dev",$AC:$AC, "Review-1"))</f>
        <v/>
      </c>
      <c r="Z2373" s="7" t="str">
        <f>IF(ISBLANK(patch[[#This Row],[project]]), "",COUNTIFS($A:$A,patch[[#This Row],[number]],$S:$S, "BJ And dev",$AD:$AD, "&lt;&gt;IntegratorValidationComment"))</f>
        <v/>
      </c>
      <c r="AA2373" s="7" t="str">
        <f>IF(ISBLANK(patch[[#This Row],[project]]), "",COUNTIFS($A:$A,patch[[#This Row],[number]],$S:$S, "FL And dev",$AD:$AD, "&lt;&gt;IntegratorValidationComment"))</f>
        <v/>
      </c>
      <c r="AB2373" s="7" t="str">
        <f>IF(ISBLANK(patch[[#This Row],[project]]), "",COUNTIFS($A:$A,patch[[#This Row],[number]],$S:$S, "SH And dev",$AD:$AD, "&lt;&gt;IntegratorValidationComment"))</f>
        <v/>
      </c>
      <c r="AC2373" s="7" t="str">
        <f>IF(OR(ISNUMBER(FIND("Review-1", patch[[#This Row],[comments]])), ISNUMBER(FIND("Approver-1", patch[[#This Row],[comments]]))), "Review-1", "")</f>
        <v/>
      </c>
      <c r="AD23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73" s="7">
        <f>IF(ISBLANK(patch[[#This Row],[number]]),AE2372,patch[[#This Row],[ifCommon]])</f>
        <v>0</v>
      </c>
    </row>
    <row r="2374" spans="1:31">
      <c r="A2374" s="151">
        <v>142786</v>
      </c>
      <c r="B2374" s="151"/>
      <c r="C2374" s="151"/>
      <c r="D2374" s="151"/>
      <c r="E2374" s="151"/>
      <c r="F2374" s="151"/>
      <c r="G2374" s="151"/>
      <c r="H2374" s="151"/>
      <c r="I2374" s="151"/>
      <c r="J2374" s="152">
        <v>42618.700613425928</v>
      </c>
      <c r="K2374" s="151"/>
      <c r="L2374" s="151" t="s">
        <v>59</v>
      </c>
      <c r="M2374" s="152">
        <v>42614.735127314823</v>
      </c>
      <c r="N2374" s="151" t="s">
        <v>3767</v>
      </c>
      <c r="O2374" s="151"/>
      <c r="P2374" s="151"/>
      <c r="Q2374" s="7" t="str">
        <f>IF(ISBLANK(patch[[#This Row],[OwnerEmail]]),Q2373,patch[[#This Row],[OwnerEmail]])</f>
        <v>liang.l.yang@intel.com</v>
      </c>
      <c r="R2374" s="7" t="str">
        <f>_xlfn.IFNA(VLOOKUP(patch[[#This Row],[tmp-owner.email]],OrgTree!$A:$K, 11, 0), "not ICG SWFW")</f>
        <v>BJ And dev</v>
      </c>
      <c r="S2374" s="7" t="str">
        <f>IF(patch[[#This Row],[reviewer]]=patch[[#This Row],[tmp-owner.email]], "author", _xlfn.IFNA(VLOOKUP(patch[[#This Row],[reviewer]],OrgTree!$A:$K, 11, 0), "not ICG SWFW"))</f>
        <v>BJ And dev</v>
      </c>
      <c r="T2374" s="7" t="str">
        <f>IF(ISBLANK(patch[[#This Row],[mergeDate]]), "", MID(YEAR(patch[[#This Row],[mergeDate]]), 3,2)&amp;"'ww"&amp;WEEKNUM(patch[[#This Row],[mergeDate]]))</f>
        <v>16'ww37</v>
      </c>
      <c r="U2374" s="7" t="str">
        <f>IF(ISBLANK(patch[[#This Row],[mergeDate]]), U2373, MID(YEAR(patch[[#This Row],[mergeDate]]), 3,2)&amp;"'m"&amp;MONTH(patch[[#This Row],[mergeDate]]))</f>
        <v>16'm9</v>
      </c>
      <c r="V2374" s="7" t="str">
        <f>IF(ISBLANK(patch[[#This Row],[project]]), "",SUM(patch[[#This Row],[BJ -1 num]:[SH -1 num]]))</f>
        <v/>
      </c>
      <c r="W2374" s="7" t="str">
        <f>IF(ISBLANK(patch[[#This Row],[project]]), "",COUNTIFS($A:$A,patch[[#This Row],[number]],$S:$S, "BJ And dev",$AC:$AC, "Review-1"))</f>
        <v/>
      </c>
      <c r="X2374" s="7" t="str">
        <f>IF(ISBLANK(patch[[#This Row],[project]]), "",COUNTIFS($A:$A,patch[[#This Row],[number]],$S:$S, "FL And dev",$AC:$AC, "Review-1"))</f>
        <v/>
      </c>
      <c r="Y2374" s="7" t="str">
        <f>IF(ISBLANK(patch[[#This Row],[project]]), "",COUNTIFS($A:$A,patch[[#This Row],[number]],$S:$S, "SH And dev",$AC:$AC, "Review-1"))</f>
        <v/>
      </c>
      <c r="Z2374" s="7" t="str">
        <f>IF(ISBLANK(patch[[#This Row],[project]]), "",COUNTIFS($A:$A,patch[[#This Row],[number]],$S:$S, "BJ And dev",$AD:$AD, "&lt;&gt;IntegratorValidationComment"))</f>
        <v/>
      </c>
      <c r="AA2374" s="7" t="str">
        <f>IF(ISBLANK(patch[[#This Row],[project]]), "",COUNTIFS($A:$A,patch[[#This Row],[number]],$S:$S, "FL And dev",$AD:$AD, "&lt;&gt;IntegratorValidationComment"))</f>
        <v/>
      </c>
      <c r="AB2374" s="7" t="str">
        <f>IF(ISBLANK(patch[[#This Row],[project]]), "",COUNTIFS($A:$A,patch[[#This Row],[number]],$S:$S, "SH And dev",$AD:$AD, "&lt;&gt;IntegratorValidationComment"))</f>
        <v/>
      </c>
      <c r="AC2374" s="7" t="str">
        <f>IF(OR(ISNUMBER(FIND("Review-1", patch[[#This Row],[comments]])), ISNUMBER(FIND("Approver-1", patch[[#This Row],[comments]]))), "Review-1", "")</f>
        <v/>
      </c>
      <c r="AD23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74" s="7">
        <f>IF(ISBLANK(patch[[#This Row],[number]]),AE2373,patch[[#This Row],[ifCommon]])</f>
        <v>0</v>
      </c>
    </row>
    <row r="2375" spans="1:31">
      <c r="A2375" s="151">
        <v>142786</v>
      </c>
      <c r="B2375" s="151"/>
      <c r="C2375" s="151"/>
      <c r="D2375" s="151"/>
      <c r="E2375" s="151"/>
      <c r="F2375" s="151"/>
      <c r="G2375" s="151"/>
      <c r="H2375" s="151"/>
      <c r="I2375" s="151"/>
      <c r="J2375" s="152">
        <v>42618.700613425928</v>
      </c>
      <c r="K2375" s="151"/>
      <c r="L2375" s="151" t="s">
        <v>59</v>
      </c>
      <c r="M2375" s="152">
        <v>42614.752789351849</v>
      </c>
      <c r="N2375" s="151" t="s">
        <v>3768</v>
      </c>
      <c r="O2375" s="151"/>
      <c r="P2375" s="151"/>
      <c r="Q2375" s="7" t="str">
        <f>IF(ISBLANK(patch[[#This Row],[OwnerEmail]]),Q2374,patch[[#This Row],[OwnerEmail]])</f>
        <v>liang.l.yang@intel.com</v>
      </c>
      <c r="R2375" s="7" t="str">
        <f>_xlfn.IFNA(VLOOKUP(patch[[#This Row],[tmp-owner.email]],OrgTree!$A:$K, 11, 0), "not ICG SWFW")</f>
        <v>BJ And dev</v>
      </c>
      <c r="S2375" s="7" t="str">
        <f>IF(patch[[#This Row],[reviewer]]=patch[[#This Row],[tmp-owner.email]], "author", _xlfn.IFNA(VLOOKUP(patch[[#This Row],[reviewer]],OrgTree!$A:$K, 11, 0), "not ICG SWFW"))</f>
        <v>BJ And dev</v>
      </c>
      <c r="T2375" s="7" t="str">
        <f>IF(ISBLANK(patch[[#This Row],[mergeDate]]), "", MID(YEAR(patch[[#This Row],[mergeDate]]), 3,2)&amp;"'ww"&amp;WEEKNUM(patch[[#This Row],[mergeDate]]))</f>
        <v>16'ww37</v>
      </c>
      <c r="U2375" s="7" t="str">
        <f>IF(ISBLANK(patch[[#This Row],[mergeDate]]), U2374, MID(YEAR(patch[[#This Row],[mergeDate]]), 3,2)&amp;"'m"&amp;MONTH(patch[[#This Row],[mergeDate]]))</f>
        <v>16'm9</v>
      </c>
      <c r="V2375" s="7" t="str">
        <f>IF(ISBLANK(patch[[#This Row],[project]]), "",SUM(patch[[#This Row],[BJ -1 num]:[SH -1 num]]))</f>
        <v/>
      </c>
      <c r="W2375" s="7" t="str">
        <f>IF(ISBLANK(patch[[#This Row],[project]]), "",COUNTIFS($A:$A,patch[[#This Row],[number]],$S:$S, "BJ And dev",$AC:$AC, "Review-1"))</f>
        <v/>
      </c>
      <c r="X2375" s="7" t="str">
        <f>IF(ISBLANK(patch[[#This Row],[project]]), "",COUNTIFS($A:$A,patch[[#This Row],[number]],$S:$S, "FL And dev",$AC:$AC, "Review-1"))</f>
        <v/>
      </c>
      <c r="Y2375" s="7" t="str">
        <f>IF(ISBLANK(patch[[#This Row],[project]]), "",COUNTIFS($A:$A,patch[[#This Row],[number]],$S:$S, "SH And dev",$AC:$AC, "Review-1"))</f>
        <v/>
      </c>
      <c r="Z2375" s="7" t="str">
        <f>IF(ISBLANK(patch[[#This Row],[project]]), "",COUNTIFS($A:$A,patch[[#This Row],[number]],$S:$S, "BJ And dev",$AD:$AD, "&lt;&gt;IntegratorValidationComment"))</f>
        <v/>
      </c>
      <c r="AA2375" s="7" t="str">
        <f>IF(ISBLANK(patch[[#This Row],[project]]), "",COUNTIFS($A:$A,patch[[#This Row],[number]],$S:$S, "FL And dev",$AD:$AD, "&lt;&gt;IntegratorValidationComment"))</f>
        <v/>
      </c>
      <c r="AB2375" s="7" t="str">
        <f>IF(ISBLANK(patch[[#This Row],[project]]), "",COUNTIFS($A:$A,patch[[#This Row],[number]],$S:$S, "SH And dev",$AD:$AD, "&lt;&gt;IntegratorValidationComment"))</f>
        <v/>
      </c>
      <c r="AC2375" s="7" t="str">
        <f>IF(OR(ISNUMBER(FIND("Review-1", patch[[#This Row],[comments]])), ISNUMBER(FIND("Approver-1", patch[[#This Row],[comments]]))), "Review-1", "")</f>
        <v/>
      </c>
      <c r="AD23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75" s="7">
        <f>IF(ISBLANK(patch[[#This Row],[number]]),AE2374,patch[[#This Row],[ifCommon]])</f>
        <v>0</v>
      </c>
    </row>
    <row r="2376" spans="1:31">
      <c r="A2376" s="151">
        <v>142786</v>
      </c>
      <c r="B2376" s="151"/>
      <c r="C2376" s="151"/>
      <c r="D2376" s="151"/>
      <c r="E2376" s="151"/>
      <c r="F2376" s="151"/>
      <c r="G2376" s="151"/>
      <c r="H2376" s="151"/>
      <c r="I2376" s="151"/>
      <c r="J2376" s="152">
        <v>42618.700613425928</v>
      </c>
      <c r="K2376" s="151"/>
      <c r="L2376" s="151" t="s">
        <v>55</v>
      </c>
      <c r="M2376" s="152">
        <v>42614.784675925926</v>
      </c>
      <c r="N2376" s="151" t="s">
        <v>2451</v>
      </c>
      <c r="O2376" s="151"/>
      <c r="P2376" s="151"/>
      <c r="Q2376" s="7" t="str">
        <f>IF(ISBLANK(patch[[#This Row],[OwnerEmail]]),Q2375,patch[[#This Row],[OwnerEmail]])</f>
        <v>liang.l.yang@intel.com</v>
      </c>
      <c r="R2376" s="7" t="str">
        <f>_xlfn.IFNA(VLOOKUP(patch[[#This Row],[tmp-owner.email]],OrgTree!$A:$K, 11, 0), "not ICG SWFW")</f>
        <v>BJ And dev</v>
      </c>
      <c r="S2376" s="7" t="str">
        <f>IF(patch[[#This Row],[reviewer]]=patch[[#This Row],[tmp-owner.email]], "author", _xlfn.IFNA(VLOOKUP(patch[[#This Row],[reviewer]],OrgTree!$A:$K, 11, 0), "not ICG SWFW"))</f>
        <v>author</v>
      </c>
      <c r="T2376" s="7" t="str">
        <f>IF(ISBLANK(patch[[#This Row],[mergeDate]]), "", MID(YEAR(patch[[#This Row],[mergeDate]]), 3,2)&amp;"'ww"&amp;WEEKNUM(patch[[#This Row],[mergeDate]]))</f>
        <v>16'ww37</v>
      </c>
      <c r="U2376" s="7" t="str">
        <f>IF(ISBLANK(patch[[#This Row],[mergeDate]]), U2375, MID(YEAR(patch[[#This Row],[mergeDate]]), 3,2)&amp;"'m"&amp;MONTH(patch[[#This Row],[mergeDate]]))</f>
        <v>16'm9</v>
      </c>
      <c r="V2376" s="7" t="str">
        <f>IF(ISBLANK(patch[[#This Row],[project]]), "",SUM(patch[[#This Row],[BJ -1 num]:[SH -1 num]]))</f>
        <v/>
      </c>
      <c r="W2376" s="7" t="str">
        <f>IF(ISBLANK(patch[[#This Row],[project]]), "",COUNTIFS($A:$A,patch[[#This Row],[number]],$S:$S, "BJ And dev",$AC:$AC, "Review-1"))</f>
        <v/>
      </c>
      <c r="X2376" s="7" t="str">
        <f>IF(ISBLANK(patch[[#This Row],[project]]), "",COUNTIFS($A:$A,patch[[#This Row],[number]],$S:$S, "FL And dev",$AC:$AC, "Review-1"))</f>
        <v/>
      </c>
      <c r="Y2376" s="7" t="str">
        <f>IF(ISBLANK(patch[[#This Row],[project]]), "",COUNTIFS($A:$A,patch[[#This Row],[number]],$S:$S, "SH And dev",$AC:$AC, "Review-1"))</f>
        <v/>
      </c>
      <c r="Z2376" s="7" t="str">
        <f>IF(ISBLANK(patch[[#This Row],[project]]), "",COUNTIFS($A:$A,patch[[#This Row],[number]],$S:$S, "BJ And dev",$AD:$AD, "&lt;&gt;IntegratorValidationComment"))</f>
        <v/>
      </c>
      <c r="AA2376" s="7" t="str">
        <f>IF(ISBLANK(patch[[#This Row],[project]]), "",COUNTIFS($A:$A,patch[[#This Row],[number]],$S:$S, "FL And dev",$AD:$AD, "&lt;&gt;IntegratorValidationComment"))</f>
        <v/>
      </c>
      <c r="AB2376" s="7" t="str">
        <f>IF(ISBLANK(patch[[#This Row],[project]]), "",COUNTIFS($A:$A,patch[[#This Row],[number]],$S:$S, "SH And dev",$AD:$AD, "&lt;&gt;IntegratorValidationComment"))</f>
        <v/>
      </c>
      <c r="AC2376" s="7" t="str">
        <f>IF(OR(ISNUMBER(FIND("Review-1", patch[[#This Row],[comments]])), ISNUMBER(FIND("Approver-1", patch[[#This Row],[comments]]))), "Review-1", "")</f>
        <v/>
      </c>
      <c r="AD23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76" s="7">
        <f>IF(ISBLANK(patch[[#This Row],[number]]),AE2375,patch[[#This Row],[ifCommon]])</f>
        <v>0</v>
      </c>
    </row>
    <row r="2377" spans="1:31">
      <c r="A2377" s="151">
        <v>142786</v>
      </c>
      <c r="B2377" s="151"/>
      <c r="C2377" s="151"/>
      <c r="D2377" s="151"/>
      <c r="E2377" s="151"/>
      <c r="F2377" s="151"/>
      <c r="G2377" s="151"/>
      <c r="H2377" s="151"/>
      <c r="I2377" s="152"/>
      <c r="J2377" s="152">
        <v>42618.700613425928</v>
      </c>
      <c r="K2377" s="151"/>
      <c r="L2377" s="151" t="s">
        <v>55</v>
      </c>
      <c r="M2377" s="152">
        <v>42614.784675925926</v>
      </c>
      <c r="N2377" s="151" t="s">
        <v>49</v>
      </c>
      <c r="O2377" s="151"/>
      <c r="P2377" s="151"/>
      <c r="Q2377" s="7" t="str">
        <f>IF(ISBLANK(patch[[#This Row],[OwnerEmail]]),Q2376,patch[[#This Row],[OwnerEmail]])</f>
        <v>liang.l.yang@intel.com</v>
      </c>
      <c r="R2377" s="7" t="str">
        <f>_xlfn.IFNA(VLOOKUP(patch[[#This Row],[tmp-owner.email]],OrgTree!$A:$K, 11, 0), "not ICG SWFW")</f>
        <v>BJ And dev</v>
      </c>
      <c r="S2377" s="7" t="str">
        <f>IF(patch[[#This Row],[reviewer]]=patch[[#This Row],[tmp-owner.email]], "author", _xlfn.IFNA(VLOOKUP(patch[[#This Row],[reviewer]],OrgTree!$A:$K, 11, 0), "not ICG SWFW"))</f>
        <v>author</v>
      </c>
      <c r="T2377" s="7" t="str">
        <f>IF(ISBLANK(patch[[#This Row],[mergeDate]]), "", MID(YEAR(patch[[#This Row],[mergeDate]]), 3,2)&amp;"'ww"&amp;WEEKNUM(patch[[#This Row],[mergeDate]]))</f>
        <v>16'ww37</v>
      </c>
      <c r="U2377" s="7" t="str">
        <f>IF(ISBLANK(patch[[#This Row],[mergeDate]]), U2376, MID(YEAR(patch[[#This Row],[mergeDate]]), 3,2)&amp;"'m"&amp;MONTH(patch[[#This Row],[mergeDate]]))</f>
        <v>16'm9</v>
      </c>
      <c r="V2377" s="7" t="str">
        <f>IF(ISBLANK(patch[[#This Row],[project]]), "",SUM(patch[[#This Row],[BJ -1 num]:[SH -1 num]]))</f>
        <v/>
      </c>
      <c r="W2377" s="7" t="str">
        <f>IF(ISBLANK(patch[[#This Row],[project]]), "",COUNTIFS($A:$A,patch[[#This Row],[number]],$S:$S, "BJ And dev",$AC:$AC, "Review-1"))</f>
        <v/>
      </c>
      <c r="X2377" s="7" t="str">
        <f>IF(ISBLANK(patch[[#This Row],[project]]), "",COUNTIFS($A:$A,patch[[#This Row],[number]],$S:$S, "FL And dev",$AC:$AC, "Review-1"))</f>
        <v/>
      </c>
      <c r="Y2377" s="7" t="str">
        <f>IF(ISBLANK(patch[[#This Row],[project]]), "",COUNTIFS($A:$A,patch[[#This Row],[number]],$S:$S, "SH And dev",$AC:$AC, "Review-1"))</f>
        <v/>
      </c>
      <c r="Z2377" s="7" t="str">
        <f>IF(ISBLANK(patch[[#This Row],[project]]), "",COUNTIFS($A:$A,patch[[#This Row],[number]],$S:$S, "BJ And dev",$AD:$AD, "&lt;&gt;IntegratorValidationComment"))</f>
        <v/>
      </c>
      <c r="AA2377" s="7" t="str">
        <f>IF(ISBLANK(patch[[#This Row],[project]]), "",COUNTIFS($A:$A,patch[[#This Row],[number]],$S:$S, "FL And dev",$AD:$AD, "&lt;&gt;IntegratorValidationComment"))</f>
        <v/>
      </c>
      <c r="AB2377" s="7" t="str">
        <f>IF(ISBLANK(patch[[#This Row],[project]]), "",COUNTIFS($A:$A,patch[[#This Row],[number]],$S:$S, "SH And dev",$AD:$AD, "&lt;&gt;IntegratorValidationComment"))</f>
        <v/>
      </c>
      <c r="AC2377" s="7" t="str">
        <f>IF(OR(ISNUMBER(FIND("Review-1", patch[[#This Row],[comments]])), ISNUMBER(FIND("Approver-1", patch[[#This Row],[comments]]))), "Review-1", "")</f>
        <v/>
      </c>
      <c r="AD23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77" s="7">
        <f>IF(ISBLANK(patch[[#This Row],[number]]),AE2376,patch[[#This Row],[ifCommon]])</f>
        <v>0</v>
      </c>
    </row>
    <row r="2378" spans="1:31">
      <c r="A2378" s="151">
        <v>142786</v>
      </c>
      <c r="B2378" s="151"/>
      <c r="C2378" s="151"/>
      <c r="D2378" s="151"/>
      <c r="E2378" s="151"/>
      <c r="F2378" s="151"/>
      <c r="G2378" s="151"/>
      <c r="H2378" s="151"/>
      <c r="I2378" s="151"/>
      <c r="J2378" s="152">
        <v>42618.700613425928</v>
      </c>
      <c r="K2378" s="151"/>
      <c r="L2378" s="151" t="s">
        <v>59</v>
      </c>
      <c r="M2378" s="152">
        <v>42614.793703703697</v>
      </c>
      <c r="N2378" s="151" t="s">
        <v>3769</v>
      </c>
      <c r="O2378" s="151"/>
      <c r="P2378" s="151"/>
      <c r="Q2378" s="7" t="str">
        <f>IF(ISBLANK(patch[[#This Row],[OwnerEmail]]),Q2377,patch[[#This Row],[OwnerEmail]])</f>
        <v>liang.l.yang@intel.com</v>
      </c>
      <c r="R2378" s="7" t="str">
        <f>_xlfn.IFNA(VLOOKUP(patch[[#This Row],[tmp-owner.email]],OrgTree!$A:$K, 11, 0), "not ICG SWFW")</f>
        <v>BJ And dev</v>
      </c>
      <c r="S2378" s="7" t="str">
        <f>IF(patch[[#This Row],[reviewer]]=patch[[#This Row],[tmp-owner.email]], "author", _xlfn.IFNA(VLOOKUP(patch[[#This Row],[reviewer]],OrgTree!$A:$K, 11, 0), "not ICG SWFW"))</f>
        <v>BJ And dev</v>
      </c>
      <c r="T2378" s="7" t="str">
        <f>IF(ISBLANK(patch[[#This Row],[mergeDate]]), "", MID(YEAR(patch[[#This Row],[mergeDate]]), 3,2)&amp;"'ww"&amp;WEEKNUM(patch[[#This Row],[mergeDate]]))</f>
        <v>16'ww37</v>
      </c>
      <c r="U2378" s="7" t="str">
        <f>IF(ISBLANK(patch[[#This Row],[mergeDate]]), U2377, MID(YEAR(patch[[#This Row],[mergeDate]]), 3,2)&amp;"'m"&amp;MONTH(patch[[#This Row],[mergeDate]]))</f>
        <v>16'm9</v>
      </c>
      <c r="V2378" s="7" t="str">
        <f>IF(ISBLANK(patch[[#This Row],[project]]), "",SUM(patch[[#This Row],[BJ -1 num]:[SH -1 num]]))</f>
        <v/>
      </c>
      <c r="W2378" s="7" t="str">
        <f>IF(ISBLANK(patch[[#This Row],[project]]), "",COUNTIFS($A:$A,patch[[#This Row],[number]],$S:$S, "BJ And dev",$AC:$AC, "Review-1"))</f>
        <v/>
      </c>
      <c r="X2378" s="7" t="str">
        <f>IF(ISBLANK(patch[[#This Row],[project]]), "",COUNTIFS($A:$A,patch[[#This Row],[number]],$S:$S, "FL And dev",$AC:$AC, "Review-1"))</f>
        <v/>
      </c>
      <c r="Y2378" s="7" t="str">
        <f>IF(ISBLANK(patch[[#This Row],[project]]), "",COUNTIFS($A:$A,patch[[#This Row],[number]],$S:$S, "SH And dev",$AC:$AC, "Review-1"))</f>
        <v/>
      </c>
      <c r="Z2378" s="7" t="str">
        <f>IF(ISBLANK(patch[[#This Row],[project]]), "",COUNTIFS($A:$A,patch[[#This Row],[number]],$S:$S, "BJ And dev",$AD:$AD, "&lt;&gt;IntegratorValidationComment"))</f>
        <v/>
      </c>
      <c r="AA2378" s="7" t="str">
        <f>IF(ISBLANK(patch[[#This Row],[project]]), "",COUNTIFS($A:$A,patch[[#This Row],[number]],$S:$S, "FL And dev",$AD:$AD, "&lt;&gt;IntegratorValidationComment"))</f>
        <v/>
      </c>
      <c r="AB2378" s="7" t="str">
        <f>IF(ISBLANK(patch[[#This Row],[project]]), "",COUNTIFS($A:$A,patch[[#This Row],[number]],$S:$S, "SH And dev",$AD:$AD, "&lt;&gt;IntegratorValidationComment"))</f>
        <v/>
      </c>
      <c r="AC2378" s="7" t="str">
        <f>IF(OR(ISNUMBER(FIND("Review-1", patch[[#This Row],[comments]])), ISNUMBER(FIND("Approver-1", patch[[#This Row],[comments]]))), "Review-1", "")</f>
        <v/>
      </c>
      <c r="AD23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78" s="7">
        <f>IF(ISBLANK(patch[[#This Row],[number]]),AE2377,patch[[#This Row],[ifCommon]])</f>
        <v>0</v>
      </c>
    </row>
    <row r="2379" spans="1:31">
      <c r="A2379" s="151">
        <v>142786</v>
      </c>
      <c r="B2379" s="151"/>
      <c r="C2379" s="151"/>
      <c r="D2379" s="151"/>
      <c r="E2379" s="151"/>
      <c r="F2379" s="151"/>
      <c r="G2379" s="151"/>
      <c r="H2379" s="151"/>
      <c r="I2379" s="151"/>
      <c r="J2379" s="152">
        <v>42618.700613425928</v>
      </c>
      <c r="K2379" s="151"/>
      <c r="L2379" s="151" t="s">
        <v>59</v>
      </c>
      <c r="M2379" s="152">
        <v>42614.802083333343</v>
      </c>
      <c r="N2379" s="151" t="s">
        <v>3770</v>
      </c>
      <c r="O2379" s="151"/>
      <c r="P2379" s="151"/>
      <c r="Q2379" s="7" t="str">
        <f>IF(ISBLANK(patch[[#This Row],[OwnerEmail]]),Q2378,patch[[#This Row],[OwnerEmail]])</f>
        <v>liang.l.yang@intel.com</v>
      </c>
      <c r="R2379" s="7" t="str">
        <f>_xlfn.IFNA(VLOOKUP(patch[[#This Row],[tmp-owner.email]],OrgTree!$A:$K, 11, 0), "not ICG SWFW")</f>
        <v>BJ And dev</v>
      </c>
      <c r="S2379" s="7" t="str">
        <f>IF(patch[[#This Row],[reviewer]]=patch[[#This Row],[tmp-owner.email]], "author", _xlfn.IFNA(VLOOKUP(patch[[#This Row],[reviewer]],OrgTree!$A:$K, 11, 0), "not ICG SWFW"))</f>
        <v>BJ And dev</v>
      </c>
      <c r="T2379" s="7" t="str">
        <f>IF(ISBLANK(patch[[#This Row],[mergeDate]]), "", MID(YEAR(patch[[#This Row],[mergeDate]]), 3,2)&amp;"'ww"&amp;WEEKNUM(patch[[#This Row],[mergeDate]]))</f>
        <v>16'ww37</v>
      </c>
      <c r="U2379" s="7" t="str">
        <f>IF(ISBLANK(patch[[#This Row],[mergeDate]]), U2378, MID(YEAR(patch[[#This Row],[mergeDate]]), 3,2)&amp;"'m"&amp;MONTH(patch[[#This Row],[mergeDate]]))</f>
        <v>16'm9</v>
      </c>
      <c r="V2379" s="7" t="str">
        <f>IF(ISBLANK(patch[[#This Row],[project]]), "",SUM(patch[[#This Row],[BJ -1 num]:[SH -1 num]]))</f>
        <v/>
      </c>
      <c r="W2379" s="7" t="str">
        <f>IF(ISBLANK(patch[[#This Row],[project]]), "",COUNTIFS($A:$A,patch[[#This Row],[number]],$S:$S, "BJ And dev",$AC:$AC, "Review-1"))</f>
        <v/>
      </c>
      <c r="X2379" s="7" t="str">
        <f>IF(ISBLANK(patch[[#This Row],[project]]), "",COUNTIFS($A:$A,patch[[#This Row],[number]],$S:$S, "FL And dev",$AC:$AC, "Review-1"))</f>
        <v/>
      </c>
      <c r="Y2379" s="7" t="str">
        <f>IF(ISBLANK(patch[[#This Row],[project]]), "",COUNTIFS($A:$A,patch[[#This Row],[number]],$S:$S, "SH And dev",$AC:$AC, "Review-1"))</f>
        <v/>
      </c>
      <c r="Z2379" s="7" t="str">
        <f>IF(ISBLANK(patch[[#This Row],[project]]), "",COUNTIFS($A:$A,patch[[#This Row],[number]],$S:$S, "BJ And dev",$AD:$AD, "&lt;&gt;IntegratorValidationComment"))</f>
        <v/>
      </c>
      <c r="AA2379" s="7" t="str">
        <f>IF(ISBLANK(patch[[#This Row],[project]]), "",COUNTIFS($A:$A,patch[[#This Row],[number]],$S:$S, "FL And dev",$AD:$AD, "&lt;&gt;IntegratorValidationComment"))</f>
        <v/>
      </c>
      <c r="AB2379" s="7" t="str">
        <f>IF(ISBLANK(patch[[#This Row],[project]]), "",COUNTIFS($A:$A,patch[[#This Row],[number]],$S:$S, "SH And dev",$AD:$AD, "&lt;&gt;IntegratorValidationComment"))</f>
        <v/>
      </c>
      <c r="AC2379" s="7" t="str">
        <f>IF(OR(ISNUMBER(FIND("Review-1", patch[[#This Row],[comments]])), ISNUMBER(FIND("Approver-1", patch[[#This Row],[comments]]))), "Review-1", "")</f>
        <v/>
      </c>
      <c r="AD23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79" s="7">
        <f>IF(ISBLANK(patch[[#This Row],[number]]),AE2378,patch[[#This Row],[ifCommon]])</f>
        <v>0</v>
      </c>
    </row>
    <row r="2380" spans="1:31">
      <c r="A2380" s="151">
        <v>142786</v>
      </c>
      <c r="B2380" s="151"/>
      <c r="C2380" s="151"/>
      <c r="D2380" s="151"/>
      <c r="E2380" s="151"/>
      <c r="F2380" s="151"/>
      <c r="G2380" s="151"/>
      <c r="H2380" s="151"/>
      <c r="I2380" s="151"/>
      <c r="J2380" s="152">
        <v>42618.700613425928</v>
      </c>
      <c r="K2380" s="151"/>
      <c r="L2380" s="151" t="s">
        <v>55</v>
      </c>
      <c r="M2380" s="152">
        <v>42614.805844907409</v>
      </c>
      <c r="N2380" s="151" t="s">
        <v>1836</v>
      </c>
      <c r="O2380" s="151"/>
      <c r="P2380" s="151"/>
      <c r="Q2380" s="7" t="str">
        <f>IF(ISBLANK(patch[[#This Row],[OwnerEmail]]),Q2379,patch[[#This Row],[OwnerEmail]])</f>
        <v>liang.l.yang@intel.com</v>
      </c>
      <c r="R2380" s="7" t="str">
        <f>_xlfn.IFNA(VLOOKUP(patch[[#This Row],[tmp-owner.email]],OrgTree!$A:$K, 11, 0), "not ICG SWFW")</f>
        <v>BJ And dev</v>
      </c>
      <c r="S2380" s="7" t="str">
        <f>IF(patch[[#This Row],[reviewer]]=patch[[#This Row],[tmp-owner.email]], "author", _xlfn.IFNA(VLOOKUP(patch[[#This Row],[reviewer]],OrgTree!$A:$K, 11, 0), "not ICG SWFW"))</f>
        <v>author</v>
      </c>
      <c r="T2380" s="7" t="str">
        <f>IF(ISBLANK(patch[[#This Row],[mergeDate]]), "", MID(YEAR(patch[[#This Row],[mergeDate]]), 3,2)&amp;"'ww"&amp;WEEKNUM(patch[[#This Row],[mergeDate]]))</f>
        <v>16'ww37</v>
      </c>
      <c r="U2380" s="7" t="str">
        <f>IF(ISBLANK(patch[[#This Row],[mergeDate]]), U2379, MID(YEAR(patch[[#This Row],[mergeDate]]), 3,2)&amp;"'m"&amp;MONTH(patch[[#This Row],[mergeDate]]))</f>
        <v>16'm9</v>
      </c>
      <c r="V2380" s="7" t="str">
        <f>IF(ISBLANK(patch[[#This Row],[project]]), "",SUM(patch[[#This Row],[BJ -1 num]:[SH -1 num]]))</f>
        <v/>
      </c>
      <c r="W2380" s="7" t="str">
        <f>IF(ISBLANK(patch[[#This Row],[project]]), "",COUNTIFS($A:$A,patch[[#This Row],[number]],$S:$S, "BJ And dev",$AC:$AC, "Review-1"))</f>
        <v/>
      </c>
      <c r="X2380" s="7" t="str">
        <f>IF(ISBLANK(patch[[#This Row],[project]]), "",COUNTIFS($A:$A,patch[[#This Row],[number]],$S:$S, "FL And dev",$AC:$AC, "Review-1"))</f>
        <v/>
      </c>
      <c r="Y2380" s="7" t="str">
        <f>IF(ISBLANK(patch[[#This Row],[project]]), "",COUNTIFS($A:$A,patch[[#This Row],[number]],$S:$S, "SH And dev",$AC:$AC, "Review-1"))</f>
        <v/>
      </c>
      <c r="Z2380" s="7" t="str">
        <f>IF(ISBLANK(patch[[#This Row],[project]]), "",COUNTIFS($A:$A,patch[[#This Row],[number]],$S:$S, "BJ And dev",$AD:$AD, "&lt;&gt;IntegratorValidationComment"))</f>
        <v/>
      </c>
      <c r="AA2380" s="7" t="str">
        <f>IF(ISBLANK(patch[[#This Row],[project]]), "",COUNTIFS($A:$A,patch[[#This Row],[number]],$S:$S, "FL And dev",$AD:$AD, "&lt;&gt;IntegratorValidationComment"))</f>
        <v/>
      </c>
      <c r="AB2380" s="7" t="str">
        <f>IF(ISBLANK(patch[[#This Row],[project]]), "",COUNTIFS($A:$A,patch[[#This Row],[number]],$S:$S, "SH And dev",$AD:$AD, "&lt;&gt;IntegratorValidationComment"))</f>
        <v/>
      </c>
      <c r="AC2380" s="7" t="str">
        <f>IF(OR(ISNUMBER(FIND("Review-1", patch[[#This Row],[comments]])), ISNUMBER(FIND("Approver-1", patch[[#This Row],[comments]]))), "Review-1", "")</f>
        <v/>
      </c>
      <c r="AD23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80" s="7">
        <f>IF(ISBLANK(patch[[#This Row],[number]]),AE2379,patch[[#This Row],[ifCommon]])</f>
        <v>0</v>
      </c>
    </row>
    <row r="2381" spans="1:31">
      <c r="A2381" s="151">
        <v>142786</v>
      </c>
      <c r="B2381" s="151"/>
      <c r="C2381" s="151"/>
      <c r="D2381" s="151"/>
      <c r="E2381" s="151"/>
      <c r="F2381" s="151"/>
      <c r="G2381" s="151"/>
      <c r="H2381" s="151"/>
      <c r="I2381" s="151"/>
      <c r="J2381" s="152">
        <v>42618.700613425928</v>
      </c>
      <c r="K2381" s="151"/>
      <c r="L2381" s="151" t="s">
        <v>55</v>
      </c>
      <c r="M2381" s="152">
        <v>42614.805856481478</v>
      </c>
      <c r="N2381" s="151" t="s">
        <v>2453</v>
      </c>
      <c r="O2381" s="151"/>
      <c r="P2381" s="151"/>
      <c r="Q2381" s="7" t="str">
        <f>IF(ISBLANK(patch[[#This Row],[OwnerEmail]]),Q2380,patch[[#This Row],[OwnerEmail]])</f>
        <v>liang.l.yang@intel.com</v>
      </c>
      <c r="R2381" s="7" t="str">
        <f>_xlfn.IFNA(VLOOKUP(patch[[#This Row],[tmp-owner.email]],OrgTree!$A:$K, 11, 0), "not ICG SWFW")</f>
        <v>BJ And dev</v>
      </c>
      <c r="S2381" s="7" t="str">
        <f>IF(patch[[#This Row],[reviewer]]=patch[[#This Row],[tmp-owner.email]], "author", _xlfn.IFNA(VLOOKUP(patch[[#This Row],[reviewer]],OrgTree!$A:$K, 11, 0), "not ICG SWFW"))</f>
        <v>author</v>
      </c>
      <c r="T2381" s="7" t="str">
        <f>IF(ISBLANK(patch[[#This Row],[mergeDate]]), "", MID(YEAR(patch[[#This Row],[mergeDate]]), 3,2)&amp;"'ww"&amp;WEEKNUM(patch[[#This Row],[mergeDate]]))</f>
        <v>16'ww37</v>
      </c>
      <c r="U2381" s="7" t="str">
        <f>IF(ISBLANK(patch[[#This Row],[mergeDate]]), U2380, MID(YEAR(patch[[#This Row],[mergeDate]]), 3,2)&amp;"'m"&amp;MONTH(patch[[#This Row],[mergeDate]]))</f>
        <v>16'm9</v>
      </c>
      <c r="V2381" s="7" t="str">
        <f>IF(ISBLANK(patch[[#This Row],[project]]), "",SUM(patch[[#This Row],[BJ -1 num]:[SH -1 num]]))</f>
        <v/>
      </c>
      <c r="W2381" s="7" t="str">
        <f>IF(ISBLANK(patch[[#This Row],[project]]), "",COUNTIFS($A:$A,patch[[#This Row],[number]],$S:$S, "BJ And dev",$AC:$AC, "Review-1"))</f>
        <v/>
      </c>
      <c r="X2381" s="7" t="str">
        <f>IF(ISBLANK(patch[[#This Row],[project]]), "",COUNTIFS($A:$A,patch[[#This Row],[number]],$S:$S, "FL And dev",$AC:$AC, "Review-1"))</f>
        <v/>
      </c>
      <c r="Y2381" s="7" t="str">
        <f>IF(ISBLANK(patch[[#This Row],[project]]), "",COUNTIFS($A:$A,patch[[#This Row],[number]],$S:$S, "SH And dev",$AC:$AC, "Review-1"))</f>
        <v/>
      </c>
      <c r="Z2381" s="7" t="str">
        <f>IF(ISBLANK(patch[[#This Row],[project]]), "",COUNTIFS($A:$A,patch[[#This Row],[number]],$S:$S, "BJ And dev",$AD:$AD, "&lt;&gt;IntegratorValidationComment"))</f>
        <v/>
      </c>
      <c r="AA2381" s="7" t="str">
        <f>IF(ISBLANK(patch[[#This Row],[project]]), "",COUNTIFS($A:$A,patch[[#This Row],[number]],$S:$S, "FL And dev",$AD:$AD, "&lt;&gt;IntegratorValidationComment"))</f>
        <v/>
      </c>
      <c r="AB2381" s="7" t="str">
        <f>IF(ISBLANK(patch[[#This Row],[project]]), "",COUNTIFS($A:$A,patch[[#This Row],[number]],$S:$S, "SH And dev",$AD:$AD, "&lt;&gt;IntegratorValidationComment"))</f>
        <v/>
      </c>
      <c r="AC2381" s="7" t="str">
        <f>IF(OR(ISNUMBER(FIND("Review-1", patch[[#This Row],[comments]])), ISNUMBER(FIND("Approver-1", patch[[#This Row],[comments]]))), "Review-1", "")</f>
        <v/>
      </c>
      <c r="AD23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81" s="7">
        <f>IF(ISBLANK(patch[[#This Row],[number]]),AE2380,patch[[#This Row],[ifCommon]])</f>
        <v>0</v>
      </c>
    </row>
    <row r="2382" spans="1:31">
      <c r="A2382" s="151">
        <v>142786</v>
      </c>
      <c r="B2382" s="151"/>
      <c r="C2382" s="151"/>
      <c r="D2382" s="151"/>
      <c r="E2382" s="151"/>
      <c r="F2382" s="151"/>
      <c r="G2382" s="151"/>
      <c r="H2382" s="151"/>
      <c r="I2382" s="151"/>
      <c r="J2382" s="152">
        <v>42618.700613425928</v>
      </c>
      <c r="K2382" s="151"/>
      <c r="L2382" s="151" t="s">
        <v>59</v>
      </c>
      <c r="M2382" s="152">
        <v>42614.81453703704</v>
      </c>
      <c r="N2382" s="151" t="s">
        <v>3771</v>
      </c>
      <c r="O2382" s="151"/>
      <c r="P2382" s="151"/>
      <c r="Q2382" s="7" t="str">
        <f>IF(ISBLANK(patch[[#This Row],[OwnerEmail]]),Q2381,patch[[#This Row],[OwnerEmail]])</f>
        <v>liang.l.yang@intel.com</v>
      </c>
      <c r="R2382" s="7" t="str">
        <f>_xlfn.IFNA(VLOOKUP(patch[[#This Row],[tmp-owner.email]],OrgTree!$A:$K, 11, 0), "not ICG SWFW")</f>
        <v>BJ And dev</v>
      </c>
      <c r="S2382" s="7" t="str">
        <f>IF(patch[[#This Row],[reviewer]]=patch[[#This Row],[tmp-owner.email]], "author", _xlfn.IFNA(VLOOKUP(patch[[#This Row],[reviewer]],OrgTree!$A:$K, 11, 0), "not ICG SWFW"))</f>
        <v>BJ And dev</v>
      </c>
      <c r="T2382" s="7" t="str">
        <f>IF(ISBLANK(patch[[#This Row],[mergeDate]]), "", MID(YEAR(patch[[#This Row],[mergeDate]]), 3,2)&amp;"'ww"&amp;WEEKNUM(patch[[#This Row],[mergeDate]]))</f>
        <v>16'ww37</v>
      </c>
      <c r="U2382" s="7" t="str">
        <f>IF(ISBLANK(patch[[#This Row],[mergeDate]]), U2381, MID(YEAR(patch[[#This Row],[mergeDate]]), 3,2)&amp;"'m"&amp;MONTH(patch[[#This Row],[mergeDate]]))</f>
        <v>16'm9</v>
      </c>
      <c r="V2382" s="7" t="str">
        <f>IF(ISBLANK(patch[[#This Row],[project]]), "",SUM(patch[[#This Row],[BJ -1 num]:[SH -1 num]]))</f>
        <v/>
      </c>
      <c r="W2382" s="7" t="str">
        <f>IF(ISBLANK(patch[[#This Row],[project]]), "",COUNTIFS($A:$A,patch[[#This Row],[number]],$S:$S, "BJ And dev",$AC:$AC, "Review-1"))</f>
        <v/>
      </c>
      <c r="X2382" s="7" t="str">
        <f>IF(ISBLANK(patch[[#This Row],[project]]), "",COUNTIFS($A:$A,patch[[#This Row],[number]],$S:$S, "FL And dev",$AC:$AC, "Review-1"))</f>
        <v/>
      </c>
      <c r="Y2382" s="7" t="str">
        <f>IF(ISBLANK(patch[[#This Row],[project]]), "",COUNTIFS($A:$A,patch[[#This Row],[number]],$S:$S, "SH And dev",$AC:$AC, "Review-1"))</f>
        <v/>
      </c>
      <c r="Z2382" s="7" t="str">
        <f>IF(ISBLANK(patch[[#This Row],[project]]), "",COUNTIFS($A:$A,patch[[#This Row],[number]],$S:$S, "BJ And dev",$AD:$AD, "&lt;&gt;IntegratorValidationComment"))</f>
        <v/>
      </c>
      <c r="AA2382" s="7" t="str">
        <f>IF(ISBLANK(patch[[#This Row],[project]]), "",COUNTIFS($A:$A,patch[[#This Row],[number]],$S:$S, "FL And dev",$AD:$AD, "&lt;&gt;IntegratorValidationComment"))</f>
        <v/>
      </c>
      <c r="AB2382" s="7" t="str">
        <f>IF(ISBLANK(patch[[#This Row],[project]]), "",COUNTIFS($A:$A,patch[[#This Row],[number]],$S:$S, "SH And dev",$AD:$AD, "&lt;&gt;IntegratorValidationComment"))</f>
        <v/>
      </c>
      <c r="AC2382" s="7" t="str">
        <f>IF(OR(ISNUMBER(FIND("Review-1", patch[[#This Row],[comments]])), ISNUMBER(FIND("Approver-1", patch[[#This Row],[comments]]))), "Review-1", "")</f>
        <v/>
      </c>
      <c r="AD23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82" s="7">
        <f>IF(ISBLANK(patch[[#This Row],[number]]),AE2381,patch[[#This Row],[ifCommon]])</f>
        <v>0</v>
      </c>
    </row>
    <row r="2383" spans="1:31">
      <c r="A2383" s="151">
        <v>142786</v>
      </c>
      <c r="B2383" s="151"/>
      <c r="C2383" s="151"/>
      <c r="D2383" s="151"/>
      <c r="E2383" s="151"/>
      <c r="F2383" s="151"/>
      <c r="G2383" s="151"/>
      <c r="H2383" s="151"/>
      <c r="I2383" s="151"/>
      <c r="J2383" s="152">
        <v>42618.700613425928</v>
      </c>
      <c r="K2383" s="151"/>
      <c r="L2383" s="151" t="s">
        <v>59</v>
      </c>
      <c r="M2383" s="152">
        <v>42614.82068287037</v>
      </c>
      <c r="N2383" s="151" t="s">
        <v>3772</v>
      </c>
      <c r="O2383" s="151"/>
      <c r="P2383" s="151"/>
      <c r="Q2383" s="7" t="str">
        <f>IF(ISBLANK(patch[[#This Row],[OwnerEmail]]),Q2382,patch[[#This Row],[OwnerEmail]])</f>
        <v>liang.l.yang@intel.com</v>
      </c>
      <c r="R2383" s="7" t="str">
        <f>_xlfn.IFNA(VLOOKUP(patch[[#This Row],[tmp-owner.email]],OrgTree!$A:$K, 11, 0), "not ICG SWFW")</f>
        <v>BJ And dev</v>
      </c>
      <c r="S2383" s="7" t="str">
        <f>IF(patch[[#This Row],[reviewer]]=patch[[#This Row],[tmp-owner.email]], "author", _xlfn.IFNA(VLOOKUP(patch[[#This Row],[reviewer]],OrgTree!$A:$K, 11, 0), "not ICG SWFW"))</f>
        <v>BJ And dev</v>
      </c>
      <c r="T2383" s="7" t="str">
        <f>IF(ISBLANK(patch[[#This Row],[mergeDate]]), "", MID(YEAR(patch[[#This Row],[mergeDate]]), 3,2)&amp;"'ww"&amp;WEEKNUM(patch[[#This Row],[mergeDate]]))</f>
        <v>16'ww37</v>
      </c>
      <c r="U2383" s="7" t="str">
        <f>IF(ISBLANK(patch[[#This Row],[mergeDate]]), U2382, MID(YEAR(patch[[#This Row],[mergeDate]]), 3,2)&amp;"'m"&amp;MONTH(patch[[#This Row],[mergeDate]]))</f>
        <v>16'm9</v>
      </c>
      <c r="V2383" s="7" t="str">
        <f>IF(ISBLANK(patch[[#This Row],[project]]), "",SUM(patch[[#This Row],[BJ -1 num]:[SH -1 num]]))</f>
        <v/>
      </c>
      <c r="W2383" s="7" t="str">
        <f>IF(ISBLANK(patch[[#This Row],[project]]), "",COUNTIFS($A:$A,patch[[#This Row],[number]],$S:$S, "BJ And dev",$AC:$AC, "Review-1"))</f>
        <v/>
      </c>
      <c r="X2383" s="7" t="str">
        <f>IF(ISBLANK(patch[[#This Row],[project]]), "",COUNTIFS($A:$A,patch[[#This Row],[number]],$S:$S, "FL And dev",$AC:$AC, "Review-1"))</f>
        <v/>
      </c>
      <c r="Y2383" s="7" t="str">
        <f>IF(ISBLANK(patch[[#This Row],[project]]), "",COUNTIFS($A:$A,patch[[#This Row],[number]],$S:$S, "SH And dev",$AC:$AC, "Review-1"))</f>
        <v/>
      </c>
      <c r="Z2383" s="7" t="str">
        <f>IF(ISBLANK(patch[[#This Row],[project]]), "",COUNTIFS($A:$A,patch[[#This Row],[number]],$S:$S, "BJ And dev",$AD:$AD, "&lt;&gt;IntegratorValidationComment"))</f>
        <v/>
      </c>
      <c r="AA2383" s="7" t="str">
        <f>IF(ISBLANK(patch[[#This Row],[project]]), "",COUNTIFS($A:$A,patch[[#This Row],[number]],$S:$S, "FL And dev",$AD:$AD, "&lt;&gt;IntegratorValidationComment"))</f>
        <v/>
      </c>
      <c r="AB2383" s="7" t="str">
        <f>IF(ISBLANK(patch[[#This Row],[project]]), "",COUNTIFS($A:$A,patch[[#This Row],[number]],$S:$S, "SH And dev",$AD:$AD, "&lt;&gt;IntegratorValidationComment"))</f>
        <v/>
      </c>
      <c r="AC2383" s="7" t="str">
        <f>IF(OR(ISNUMBER(FIND("Review-1", patch[[#This Row],[comments]])), ISNUMBER(FIND("Approver-1", patch[[#This Row],[comments]]))), "Review-1", "")</f>
        <v/>
      </c>
      <c r="AD23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83" s="7">
        <f>IF(ISBLANK(patch[[#This Row],[number]]),AE2382,patch[[#This Row],[ifCommon]])</f>
        <v>0</v>
      </c>
    </row>
    <row r="2384" spans="1:31">
      <c r="A2384" s="151">
        <v>142786</v>
      </c>
      <c r="B2384" s="151"/>
      <c r="C2384" s="151"/>
      <c r="D2384" s="151"/>
      <c r="E2384" s="151"/>
      <c r="F2384" s="151"/>
      <c r="G2384" s="151"/>
      <c r="H2384" s="151"/>
      <c r="I2384" s="151"/>
      <c r="J2384" s="152">
        <v>42618.700613425928</v>
      </c>
      <c r="K2384" s="151"/>
      <c r="L2384" s="151" t="s">
        <v>55</v>
      </c>
      <c r="M2384" s="152">
        <v>42615.464490740742</v>
      </c>
      <c r="N2384" s="151" t="s">
        <v>2465</v>
      </c>
      <c r="O2384" s="151"/>
      <c r="P2384" s="151"/>
      <c r="Q2384" s="7" t="str">
        <f>IF(ISBLANK(patch[[#This Row],[OwnerEmail]]),Q2383,patch[[#This Row],[OwnerEmail]])</f>
        <v>liang.l.yang@intel.com</v>
      </c>
      <c r="R2384" s="7" t="str">
        <f>_xlfn.IFNA(VLOOKUP(patch[[#This Row],[tmp-owner.email]],OrgTree!$A:$K, 11, 0), "not ICG SWFW")</f>
        <v>BJ And dev</v>
      </c>
      <c r="S2384" s="7" t="str">
        <f>IF(patch[[#This Row],[reviewer]]=patch[[#This Row],[tmp-owner.email]], "author", _xlfn.IFNA(VLOOKUP(patch[[#This Row],[reviewer]],OrgTree!$A:$K, 11, 0), "not ICG SWFW"))</f>
        <v>author</v>
      </c>
      <c r="T2384" s="7" t="str">
        <f>IF(ISBLANK(patch[[#This Row],[mergeDate]]), "", MID(YEAR(patch[[#This Row],[mergeDate]]), 3,2)&amp;"'ww"&amp;WEEKNUM(patch[[#This Row],[mergeDate]]))</f>
        <v>16'ww37</v>
      </c>
      <c r="U2384" s="7" t="str">
        <f>IF(ISBLANK(patch[[#This Row],[mergeDate]]), U2383, MID(YEAR(patch[[#This Row],[mergeDate]]), 3,2)&amp;"'m"&amp;MONTH(patch[[#This Row],[mergeDate]]))</f>
        <v>16'm9</v>
      </c>
      <c r="V2384" s="7" t="str">
        <f>IF(ISBLANK(patch[[#This Row],[project]]), "",SUM(patch[[#This Row],[BJ -1 num]:[SH -1 num]]))</f>
        <v/>
      </c>
      <c r="W2384" s="7" t="str">
        <f>IF(ISBLANK(patch[[#This Row],[project]]), "",COUNTIFS($A:$A,patch[[#This Row],[number]],$S:$S, "BJ And dev",$AC:$AC, "Review-1"))</f>
        <v/>
      </c>
      <c r="X2384" s="7" t="str">
        <f>IF(ISBLANK(patch[[#This Row],[project]]), "",COUNTIFS($A:$A,patch[[#This Row],[number]],$S:$S, "FL And dev",$AC:$AC, "Review-1"))</f>
        <v/>
      </c>
      <c r="Y2384" s="7" t="str">
        <f>IF(ISBLANK(patch[[#This Row],[project]]), "",COUNTIFS($A:$A,patch[[#This Row],[number]],$S:$S, "SH And dev",$AC:$AC, "Review-1"))</f>
        <v/>
      </c>
      <c r="Z2384" s="7" t="str">
        <f>IF(ISBLANK(patch[[#This Row],[project]]), "",COUNTIFS($A:$A,patch[[#This Row],[number]],$S:$S, "BJ And dev",$AD:$AD, "&lt;&gt;IntegratorValidationComment"))</f>
        <v/>
      </c>
      <c r="AA2384" s="7" t="str">
        <f>IF(ISBLANK(patch[[#This Row],[project]]), "",COUNTIFS($A:$A,patch[[#This Row],[number]],$S:$S, "FL And dev",$AD:$AD, "&lt;&gt;IntegratorValidationComment"))</f>
        <v/>
      </c>
      <c r="AB2384" s="7" t="str">
        <f>IF(ISBLANK(patch[[#This Row],[project]]), "",COUNTIFS($A:$A,patch[[#This Row],[number]],$S:$S, "SH And dev",$AD:$AD, "&lt;&gt;IntegratorValidationComment"))</f>
        <v/>
      </c>
      <c r="AC2384" s="7" t="str">
        <f>IF(OR(ISNUMBER(FIND("Review-1", patch[[#This Row],[comments]])), ISNUMBER(FIND("Approver-1", patch[[#This Row],[comments]]))), "Review-1", "")</f>
        <v/>
      </c>
      <c r="AD23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84" s="7">
        <f>IF(ISBLANK(patch[[#This Row],[number]]),AE2383,patch[[#This Row],[ifCommon]])</f>
        <v>0</v>
      </c>
    </row>
    <row r="2385" spans="1:31">
      <c r="A2385" s="151">
        <v>142786</v>
      </c>
      <c r="B2385" s="151"/>
      <c r="C2385" s="151"/>
      <c r="D2385" s="151"/>
      <c r="E2385" s="151"/>
      <c r="F2385" s="151"/>
      <c r="G2385" s="151"/>
      <c r="H2385" s="151"/>
      <c r="I2385" s="151"/>
      <c r="J2385" s="152">
        <v>42618.700613425928</v>
      </c>
      <c r="K2385" s="151"/>
      <c r="L2385" s="151" t="s">
        <v>55</v>
      </c>
      <c r="M2385" s="152">
        <v>42615.464490740742</v>
      </c>
      <c r="N2385" s="151" t="s">
        <v>2512</v>
      </c>
      <c r="O2385" s="151"/>
      <c r="P2385" s="151"/>
      <c r="Q2385" s="7" t="str">
        <f>IF(ISBLANK(patch[[#This Row],[OwnerEmail]]),Q2384,patch[[#This Row],[OwnerEmail]])</f>
        <v>liang.l.yang@intel.com</v>
      </c>
      <c r="R2385" s="7" t="str">
        <f>_xlfn.IFNA(VLOOKUP(patch[[#This Row],[tmp-owner.email]],OrgTree!$A:$K, 11, 0), "not ICG SWFW")</f>
        <v>BJ And dev</v>
      </c>
      <c r="S2385" s="7" t="str">
        <f>IF(patch[[#This Row],[reviewer]]=patch[[#This Row],[tmp-owner.email]], "author", _xlfn.IFNA(VLOOKUP(patch[[#This Row],[reviewer]],OrgTree!$A:$K, 11, 0), "not ICG SWFW"))</f>
        <v>author</v>
      </c>
      <c r="T2385" s="7" t="str">
        <f>IF(ISBLANK(patch[[#This Row],[mergeDate]]), "", MID(YEAR(patch[[#This Row],[mergeDate]]), 3,2)&amp;"'ww"&amp;WEEKNUM(patch[[#This Row],[mergeDate]]))</f>
        <v>16'ww37</v>
      </c>
      <c r="U2385" s="7" t="str">
        <f>IF(ISBLANK(patch[[#This Row],[mergeDate]]), U2384, MID(YEAR(patch[[#This Row],[mergeDate]]), 3,2)&amp;"'m"&amp;MONTH(patch[[#This Row],[mergeDate]]))</f>
        <v>16'm9</v>
      </c>
      <c r="V2385" s="7" t="str">
        <f>IF(ISBLANK(patch[[#This Row],[project]]), "",SUM(patch[[#This Row],[BJ -1 num]:[SH -1 num]]))</f>
        <v/>
      </c>
      <c r="W2385" s="7" t="str">
        <f>IF(ISBLANK(patch[[#This Row],[project]]), "",COUNTIFS($A:$A,patch[[#This Row],[number]],$S:$S, "BJ And dev",$AC:$AC, "Review-1"))</f>
        <v/>
      </c>
      <c r="X2385" s="7" t="str">
        <f>IF(ISBLANK(patch[[#This Row],[project]]), "",COUNTIFS($A:$A,patch[[#This Row],[number]],$S:$S, "FL And dev",$AC:$AC, "Review-1"))</f>
        <v/>
      </c>
      <c r="Y2385" s="7" t="str">
        <f>IF(ISBLANK(patch[[#This Row],[project]]), "",COUNTIFS($A:$A,patch[[#This Row],[number]],$S:$S, "SH And dev",$AC:$AC, "Review-1"))</f>
        <v/>
      </c>
      <c r="Z2385" s="7" t="str">
        <f>IF(ISBLANK(patch[[#This Row],[project]]), "",COUNTIFS($A:$A,patch[[#This Row],[number]],$S:$S, "BJ And dev",$AD:$AD, "&lt;&gt;IntegratorValidationComment"))</f>
        <v/>
      </c>
      <c r="AA2385" s="7" t="str">
        <f>IF(ISBLANK(patch[[#This Row],[project]]), "",COUNTIFS($A:$A,patch[[#This Row],[number]],$S:$S, "FL And dev",$AD:$AD, "&lt;&gt;IntegratorValidationComment"))</f>
        <v/>
      </c>
      <c r="AB2385" s="7" t="str">
        <f>IF(ISBLANK(patch[[#This Row],[project]]), "",COUNTIFS($A:$A,patch[[#This Row],[number]],$S:$S, "SH And dev",$AD:$AD, "&lt;&gt;IntegratorValidationComment"))</f>
        <v/>
      </c>
      <c r="AC2385" s="7" t="str">
        <f>IF(OR(ISNUMBER(FIND("Review-1", patch[[#This Row],[comments]])), ISNUMBER(FIND("Approver-1", patch[[#This Row],[comments]]))), "Review-1", "")</f>
        <v/>
      </c>
      <c r="AD23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85" s="7">
        <f>IF(ISBLANK(patch[[#This Row],[number]]),AE2384,patch[[#This Row],[ifCommon]])</f>
        <v>0</v>
      </c>
    </row>
    <row r="2386" spans="1:31">
      <c r="A2386" s="151">
        <v>142786</v>
      </c>
      <c r="B2386" s="151"/>
      <c r="C2386" s="151"/>
      <c r="D2386" s="151"/>
      <c r="E2386" s="151"/>
      <c r="F2386" s="151"/>
      <c r="G2386" s="151"/>
      <c r="H2386" s="151"/>
      <c r="I2386" s="151"/>
      <c r="J2386" s="152">
        <v>42618.700613425928</v>
      </c>
      <c r="K2386" s="151"/>
      <c r="L2386" s="151" t="s">
        <v>59</v>
      </c>
      <c r="M2386" s="152">
        <v>42615.469270833331</v>
      </c>
      <c r="N2386" s="151" t="s">
        <v>3773</v>
      </c>
      <c r="O2386" s="151"/>
      <c r="P2386" s="151"/>
      <c r="Q2386" s="7" t="str">
        <f>IF(ISBLANK(patch[[#This Row],[OwnerEmail]]),Q2385,patch[[#This Row],[OwnerEmail]])</f>
        <v>liang.l.yang@intel.com</v>
      </c>
      <c r="R2386" s="7" t="str">
        <f>_xlfn.IFNA(VLOOKUP(patch[[#This Row],[tmp-owner.email]],OrgTree!$A:$K, 11, 0), "not ICG SWFW")</f>
        <v>BJ And dev</v>
      </c>
      <c r="S2386" s="7" t="str">
        <f>IF(patch[[#This Row],[reviewer]]=patch[[#This Row],[tmp-owner.email]], "author", _xlfn.IFNA(VLOOKUP(patch[[#This Row],[reviewer]],OrgTree!$A:$K, 11, 0), "not ICG SWFW"))</f>
        <v>BJ And dev</v>
      </c>
      <c r="T2386" s="7" t="str">
        <f>IF(ISBLANK(patch[[#This Row],[mergeDate]]), "", MID(YEAR(patch[[#This Row],[mergeDate]]), 3,2)&amp;"'ww"&amp;WEEKNUM(patch[[#This Row],[mergeDate]]))</f>
        <v>16'ww37</v>
      </c>
      <c r="U2386" s="7" t="str">
        <f>IF(ISBLANK(patch[[#This Row],[mergeDate]]), U2385, MID(YEAR(patch[[#This Row],[mergeDate]]), 3,2)&amp;"'m"&amp;MONTH(patch[[#This Row],[mergeDate]]))</f>
        <v>16'm9</v>
      </c>
      <c r="V2386" s="7" t="str">
        <f>IF(ISBLANK(patch[[#This Row],[project]]), "",SUM(patch[[#This Row],[BJ -1 num]:[SH -1 num]]))</f>
        <v/>
      </c>
      <c r="W2386" s="7" t="str">
        <f>IF(ISBLANK(patch[[#This Row],[project]]), "",COUNTIFS($A:$A,patch[[#This Row],[number]],$S:$S, "BJ And dev",$AC:$AC, "Review-1"))</f>
        <v/>
      </c>
      <c r="X2386" s="7" t="str">
        <f>IF(ISBLANK(patch[[#This Row],[project]]), "",COUNTIFS($A:$A,patch[[#This Row],[number]],$S:$S, "FL And dev",$AC:$AC, "Review-1"))</f>
        <v/>
      </c>
      <c r="Y2386" s="7" t="str">
        <f>IF(ISBLANK(patch[[#This Row],[project]]), "",COUNTIFS($A:$A,patch[[#This Row],[number]],$S:$S, "SH And dev",$AC:$AC, "Review-1"))</f>
        <v/>
      </c>
      <c r="Z2386" s="7" t="str">
        <f>IF(ISBLANK(patch[[#This Row],[project]]), "",COUNTIFS($A:$A,patch[[#This Row],[number]],$S:$S, "BJ And dev",$AD:$AD, "&lt;&gt;IntegratorValidationComment"))</f>
        <v/>
      </c>
      <c r="AA2386" s="7" t="str">
        <f>IF(ISBLANK(patch[[#This Row],[project]]), "",COUNTIFS($A:$A,patch[[#This Row],[number]],$S:$S, "FL And dev",$AD:$AD, "&lt;&gt;IntegratorValidationComment"))</f>
        <v/>
      </c>
      <c r="AB2386" s="7" t="str">
        <f>IF(ISBLANK(patch[[#This Row],[project]]), "",COUNTIFS($A:$A,patch[[#This Row],[number]],$S:$S, "SH And dev",$AD:$AD, "&lt;&gt;IntegratorValidationComment"))</f>
        <v/>
      </c>
      <c r="AC2386" s="7" t="str">
        <f>IF(OR(ISNUMBER(FIND("Review-1", patch[[#This Row],[comments]])), ISNUMBER(FIND("Approver-1", patch[[#This Row],[comments]]))), "Review-1", "")</f>
        <v/>
      </c>
      <c r="AD23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86" s="7">
        <f>IF(ISBLANK(patch[[#This Row],[number]]),AE2385,patch[[#This Row],[ifCommon]])</f>
        <v>0</v>
      </c>
    </row>
    <row r="2387" spans="1:31">
      <c r="A2387" s="151">
        <v>142786</v>
      </c>
      <c r="B2387" s="151"/>
      <c r="C2387" s="151"/>
      <c r="D2387" s="151"/>
      <c r="E2387" s="151"/>
      <c r="F2387" s="151"/>
      <c r="G2387" s="151"/>
      <c r="H2387" s="151"/>
      <c r="I2387" s="151"/>
      <c r="J2387" s="152">
        <v>42618.700613425928</v>
      </c>
      <c r="K2387" s="151"/>
      <c r="L2387" s="151" t="s">
        <v>59</v>
      </c>
      <c r="M2387" s="152">
        <v>42615.477592592593</v>
      </c>
      <c r="N2387" s="151" t="s">
        <v>3774</v>
      </c>
      <c r="O2387" s="151"/>
      <c r="P2387" s="151"/>
      <c r="Q2387" s="7" t="str">
        <f>IF(ISBLANK(patch[[#This Row],[OwnerEmail]]),Q2386,patch[[#This Row],[OwnerEmail]])</f>
        <v>liang.l.yang@intel.com</v>
      </c>
      <c r="R2387" s="7" t="str">
        <f>_xlfn.IFNA(VLOOKUP(patch[[#This Row],[tmp-owner.email]],OrgTree!$A:$K, 11, 0), "not ICG SWFW")</f>
        <v>BJ And dev</v>
      </c>
      <c r="S2387" s="7" t="str">
        <f>IF(patch[[#This Row],[reviewer]]=patch[[#This Row],[tmp-owner.email]], "author", _xlfn.IFNA(VLOOKUP(patch[[#This Row],[reviewer]],OrgTree!$A:$K, 11, 0), "not ICG SWFW"))</f>
        <v>BJ And dev</v>
      </c>
      <c r="T2387" s="7" t="str">
        <f>IF(ISBLANK(patch[[#This Row],[mergeDate]]), "", MID(YEAR(patch[[#This Row],[mergeDate]]), 3,2)&amp;"'ww"&amp;WEEKNUM(patch[[#This Row],[mergeDate]]))</f>
        <v>16'ww37</v>
      </c>
      <c r="U2387" s="7" t="str">
        <f>IF(ISBLANK(patch[[#This Row],[mergeDate]]), U2386, MID(YEAR(patch[[#This Row],[mergeDate]]), 3,2)&amp;"'m"&amp;MONTH(patch[[#This Row],[mergeDate]]))</f>
        <v>16'm9</v>
      </c>
      <c r="V2387" s="7" t="str">
        <f>IF(ISBLANK(patch[[#This Row],[project]]), "",SUM(patch[[#This Row],[BJ -1 num]:[SH -1 num]]))</f>
        <v/>
      </c>
      <c r="W2387" s="7" t="str">
        <f>IF(ISBLANK(patch[[#This Row],[project]]), "",COUNTIFS($A:$A,patch[[#This Row],[number]],$S:$S, "BJ And dev",$AC:$AC, "Review-1"))</f>
        <v/>
      </c>
      <c r="X2387" s="7" t="str">
        <f>IF(ISBLANK(patch[[#This Row],[project]]), "",COUNTIFS($A:$A,patch[[#This Row],[number]],$S:$S, "FL And dev",$AC:$AC, "Review-1"))</f>
        <v/>
      </c>
      <c r="Y2387" s="7" t="str">
        <f>IF(ISBLANK(patch[[#This Row],[project]]), "",COUNTIFS($A:$A,patch[[#This Row],[number]],$S:$S, "SH And dev",$AC:$AC, "Review-1"))</f>
        <v/>
      </c>
      <c r="Z2387" s="7" t="str">
        <f>IF(ISBLANK(patch[[#This Row],[project]]), "",COUNTIFS($A:$A,patch[[#This Row],[number]],$S:$S, "BJ And dev",$AD:$AD, "&lt;&gt;IntegratorValidationComment"))</f>
        <v/>
      </c>
      <c r="AA2387" s="7" t="str">
        <f>IF(ISBLANK(patch[[#This Row],[project]]), "",COUNTIFS($A:$A,patch[[#This Row],[number]],$S:$S, "FL And dev",$AD:$AD, "&lt;&gt;IntegratorValidationComment"))</f>
        <v/>
      </c>
      <c r="AB2387" s="7" t="str">
        <f>IF(ISBLANK(patch[[#This Row],[project]]), "",COUNTIFS($A:$A,patch[[#This Row],[number]],$S:$S, "SH And dev",$AD:$AD, "&lt;&gt;IntegratorValidationComment"))</f>
        <v/>
      </c>
      <c r="AC2387" s="7" t="str">
        <f>IF(OR(ISNUMBER(FIND("Review-1", patch[[#This Row],[comments]])), ISNUMBER(FIND("Approver-1", patch[[#This Row],[comments]]))), "Review-1", "")</f>
        <v/>
      </c>
      <c r="AD23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87" s="7">
        <f>IF(ISBLANK(patch[[#This Row],[number]]),AE2386,patch[[#This Row],[ifCommon]])</f>
        <v>0</v>
      </c>
    </row>
    <row r="2388" spans="1:31">
      <c r="A2388" s="151">
        <v>142786</v>
      </c>
      <c r="B2388" s="151"/>
      <c r="C2388" s="151"/>
      <c r="D2388" s="151"/>
      <c r="E2388" s="151"/>
      <c r="F2388" s="151"/>
      <c r="G2388" s="151"/>
      <c r="H2388" s="151"/>
      <c r="I2388" s="152"/>
      <c r="J2388" s="152">
        <v>42618.700613425928</v>
      </c>
      <c r="K2388" s="151"/>
      <c r="L2388" s="151" t="s">
        <v>55</v>
      </c>
      <c r="M2388" s="152">
        <v>42615.485902777778</v>
      </c>
      <c r="N2388" s="151" t="s">
        <v>2466</v>
      </c>
      <c r="O2388" s="151"/>
      <c r="P2388" s="151"/>
      <c r="Q2388" s="7" t="str">
        <f>IF(ISBLANK(patch[[#This Row],[OwnerEmail]]),Q2387,patch[[#This Row],[OwnerEmail]])</f>
        <v>liang.l.yang@intel.com</v>
      </c>
      <c r="R2388" s="7" t="str">
        <f>_xlfn.IFNA(VLOOKUP(patch[[#This Row],[tmp-owner.email]],OrgTree!$A:$K, 11, 0), "not ICG SWFW")</f>
        <v>BJ And dev</v>
      </c>
      <c r="S2388" s="7" t="str">
        <f>IF(patch[[#This Row],[reviewer]]=patch[[#This Row],[tmp-owner.email]], "author", _xlfn.IFNA(VLOOKUP(patch[[#This Row],[reviewer]],OrgTree!$A:$K, 11, 0), "not ICG SWFW"))</f>
        <v>author</v>
      </c>
      <c r="T2388" s="7" t="str">
        <f>IF(ISBLANK(patch[[#This Row],[mergeDate]]), "", MID(YEAR(patch[[#This Row],[mergeDate]]), 3,2)&amp;"'ww"&amp;WEEKNUM(patch[[#This Row],[mergeDate]]))</f>
        <v>16'ww37</v>
      </c>
      <c r="U2388" s="7" t="str">
        <f>IF(ISBLANK(patch[[#This Row],[mergeDate]]), U2387, MID(YEAR(patch[[#This Row],[mergeDate]]), 3,2)&amp;"'m"&amp;MONTH(patch[[#This Row],[mergeDate]]))</f>
        <v>16'm9</v>
      </c>
      <c r="V2388" s="7" t="str">
        <f>IF(ISBLANK(patch[[#This Row],[project]]), "",SUM(patch[[#This Row],[BJ -1 num]:[SH -1 num]]))</f>
        <v/>
      </c>
      <c r="W2388" s="7" t="str">
        <f>IF(ISBLANK(patch[[#This Row],[project]]), "",COUNTIFS($A:$A,patch[[#This Row],[number]],$S:$S, "BJ And dev",$AC:$AC, "Review-1"))</f>
        <v/>
      </c>
      <c r="X2388" s="7" t="str">
        <f>IF(ISBLANK(patch[[#This Row],[project]]), "",COUNTIFS($A:$A,patch[[#This Row],[number]],$S:$S, "FL And dev",$AC:$AC, "Review-1"))</f>
        <v/>
      </c>
      <c r="Y2388" s="7" t="str">
        <f>IF(ISBLANK(patch[[#This Row],[project]]), "",COUNTIFS($A:$A,patch[[#This Row],[number]],$S:$S, "SH And dev",$AC:$AC, "Review-1"))</f>
        <v/>
      </c>
      <c r="Z2388" s="7" t="str">
        <f>IF(ISBLANK(patch[[#This Row],[project]]), "",COUNTIFS($A:$A,patch[[#This Row],[number]],$S:$S, "BJ And dev",$AD:$AD, "&lt;&gt;IntegratorValidationComment"))</f>
        <v/>
      </c>
      <c r="AA2388" s="7" t="str">
        <f>IF(ISBLANK(patch[[#This Row],[project]]), "",COUNTIFS($A:$A,patch[[#This Row],[number]],$S:$S, "FL And dev",$AD:$AD, "&lt;&gt;IntegratorValidationComment"))</f>
        <v/>
      </c>
      <c r="AB2388" s="7" t="str">
        <f>IF(ISBLANK(patch[[#This Row],[project]]), "",COUNTIFS($A:$A,patch[[#This Row],[number]],$S:$S, "SH And dev",$AD:$AD, "&lt;&gt;IntegratorValidationComment"))</f>
        <v/>
      </c>
      <c r="AC2388" s="7" t="str">
        <f>IF(OR(ISNUMBER(FIND("Review-1", patch[[#This Row],[comments]])), ISNUMBER(FIND("Approver-1", patch[[#This Row],[comments]]))), "Review-1", "")</f>
        <v/>
      </c>
      <c r="AD23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88" s="7">
        <f>IF(ISBLANK(patch[[#This Row],[number]]),AE2387,patch[[#This Row],[ifCommon]])</f>
        <v>0</v>
      </c>
    </row>
    <row r="2389" spans="1:31">
      <c r="A2389" s="151">
        <v>142786</v>
      </c>
      <c r="B2389" s="151"/>
      <c r="C2389" s="151"/>
      <c r="D2389" s="151"/>
      <c r="E2389" s="151"/>
      <c r="F2389" s="151"/>
      <c r="G2389" s="151"/>
      <c r="H2389" s="151"/>
      <c r="I2389" s="151"/>
      <c r="J2389" s="152">
        <v>42618.700613425928</v>
      </c>
      <c r="K2389" s="151"/>
      <c r="L2389" s="151" t="s">
        <v>55</v>
      </c>
      <c r="M2389" s="152">
        <v>42615.485902777778</v>
      </c>
      <c r="N2389" s="151" t="s">
        <v>1844</v>
      </c>
      <c r="O2389" s="151"/>
      <c r="P2389" s="151"/>
      <c r="Q2389" s="7" t="str">
        <f>IF(ISBLANK(patch[[#This Row],[OwnerEmail]]),Q2388,patch[[#This Row],[OwnerEmail]])</f>
        <v>liang.l.yang@intel.com</v>
      </c>
      <c r="R2389" s="7" t="str">
        <f>_xlfn.IFNA(VLOOKUP(patch[[#This Row],[tmp-owner.email]],OrgTree!$A:$K, 11, 0), "not ICG SWFW")</f>
        <v>BJ And dev</v>
      </c>
      <c r="S2389" s="7" t="str">
        <f>IF(patch[[#This Row],[reviewer]]=patch[[#This Row],[tmp-owner.email]], "author", _xlfn.IFNA(VLOOKUP(patch[[#This Row],[reviewer]],OrgTree!$A:$K, 11, 0), "not ICG SWFW"))</f>
        <v>author</v>
      </c>
      <c r="T2389" s="7" t="str">
        <f>IF(ISBLANK(patch[[#This Row],[mergeDate]]), "", MID(YEAR(patch[[#This Row],[mergeDate]]), 3,2)&amp;"'ww"&amp;WEEKNUM(patch[[#This Row],[mergeDate]]))</f>
        <v>16'ww37</v>
      </c>
      <c r="U2389" s="7" t="str">
        <f>IF(ISBLANK(patch[[#This Row],[mergeDate]]), U2388, MID(YEAR(patch[[#This Row],[mergeDate]]), 3,2)&amp;"'m"&amp;MONTH(patch[[#This Row],[mergeDate]]))</f>
        <v>16'm9</v>
      </c>
      <c r="V2389" s="7" t="str">
        <f>IF(ISBLANK(patch[[#This Row],[project]]), "",SUM(patch[[#This Row],[BJ -1 num]:[SH -1 num]]))</f>
        <v/>
      </c>
      <c r="W2389" s="7" t="str">
        <f>IF(ISBLANK(patch[[#This Row],[project]]), "",COUNTIFS($A:$A,patch[[#This Row],[number]],$S:$S, "BJ And dev",$AC:$AC, "Review-1"))</f>
        <v/>
      </c>
      <c r="X2389" s="7" t="str">
        <f>IF(ISBLANK(patch[[#This Row],[project]]), "",COUNTIFS($A:$A,patch[[#This Row],[number]],$S:$S, "FL And dev",$AC:$AC, "Review-1"))</f>
        <v/>
      </c>
      <c r="Y2389" s="7" t="str">
        <f>IF(ISBLANK(patch[[#This Row],[project]]), "",COUNTIFS($A:$A,patch[[#This Row],[number]],$S:$S, "SH And dev",$AC:$AC, "Review-1"))</f>
        <v/>
      </c>
      <c r="Z2389" s="7" t="str">
        <f>IF(ISBLANK(patch[[#This Row],[project]]), "",COUNTIFS($A:$A,patch[[#This Row],[number]],$S:$S, "BJ And dev",$AD:$AD, "&lt;&gt;IntegratorValidationComment"))</f>
        <v/>
      </c>
      <c r="AA2389" s="7" t="str">
        <f>IF(ISBLANK(patch[[#This Row],[project]]), "",COUNTIFS($A:$A,patch[[#This Row],[number]],$S:$S, "FL And dev",$AD:$AD, "&lt;&gt;IntegratorValidationComment"))</f>
        <v/>
      </c>
      <c r="AB2389" s="7" t="str">
        <f>IF(ISBLANK(patch[[#This Row],[project]]), "",COUNTIFS($A:$A,patch[[#This Row],[number]],$S:$S, "SH And dev",$AD:$AD, "&lt;&gt;IntegratorValidationComment"))</f>
        <v/>
      </c>
      <c r="AC2389" s="7" t="str">
        <f>IF(OR(ISNUMBER(FIND("Review-1", patch[[#This Row],[comments]])), ISNUMBER(FIND("Approver-1", patch[[#This Row],[comments]]))), "Review-1", "")</f>
        <v/>
      </c>
      <c r="AD23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89" s="7">
        <f>IF(ISBLANK(patch[[#This Row],[number]]),AE2388,patch[[#This Row],[ifCommon]])</f>
        <v>0</v>
      </c>
    </row>
    <row r="2390" spans="1:31">
      <c r="A2390" s="151">
        <v>142786</v>
      </c>
      <c r="B2390" s="151"/>
      <c r="C2390" s="151"/>
      <c r="D2390" s="151"/>
      <c r="E2390" s="151"/>
      <c r="F2390" s="151"/>
      <c r="G2390" s="151"/>
      <c r="H2390" s="151"/>
      <c r="I2390" s="151"/>
      <c r="J2390" s="152">
        <v>42618.700613425928</v>
      </c>
      <c r="K2390" s="151"/>
      <c r="L2390" s="151" t="s">
        <v>59</v>
      </c>
      <c r="M2390" s="152">
        <v>42615.488634259258</v>
      </c>
      <c r="N2390" s="151" t="s">
        <v>3775</v>
      </c>
      <c r="O2390" s="151"/>
      <c r="P2390" s="151"/>
      <c r="Q2390" s="7" t="str">
        <f>IF(ISBLANK(patch[[#This Row],[OwnerEmail]]),Q2389,patch[[#This Row],[OwnerEmail]])</f>
        <v>liang.l.yang@intel.com</v>
      </c>
      <c r="R2390" s="7" t="str">
        <f>_xlfn.IFNA(VLOOKUP(patch[[#This Row],[tmp-owner.email]],OrgTree!$A:$K, 11, 0), "not ICG SWFW")</f>
        <v>BJ And dev</v>
      </c>
      <c r="S2390" s="7" t="str">
        <f>IF(patch[[#This Row],[reviewer]]=patch[[#This Row],[tmp-owner.email]], "author", _xlfn.IFNA(VLOOKUP(patch[[#This Row],[reviewer]],OrgTree!$A:$K, 11, 0), "not ICG SWFW"))</f>
        <v>BJ And dev</v>
      </c>
      <c r="T2390" s="7" t="str">
        <f>IF(ISBLANK(patch[[#This Row],[mergeDate]]), "", MID(YEAR(patch[[#This Row],[mergeDate]]), 3,2)&amp;"'ww"&amp;WEEKNUM(patch[[#This Row],[mergeDate]]))</f>
        <v>16'ww37</v>
      </c>
      <c r="U2390" s="7" t="str">
        <f>IF(ISBLANK(patch[[#This Row],[mergeDate]]), U2389, MID(YEAR(patch[[#This Row],[mergeDate]]), 3,2)&amp;"'m"&amp;MONTH(patch[[#This Row],[mergeDate]]))</f>
        <v>16'm9</v>
      </c>
      <c r="V2390" s="7" t="str">
        <f>IF(ISBLANK(patch[[#This Row],[project]]), "",SUM(patch[[#This Row],[BJ -1 num]:[SH -1 num]]))</f>
        <v/>
      </c>
      <c r="W2390" s="7" t="str">
        <f>IF(ISBLANK(patch[[#This Row],[project]]), "",COUNTIFS($A:$A,patch[[#This Row],[number]],$S:$S, "BJ And dev",$AC:$AC, "Review-1"))</f>
        <v/>
      </c>
      <c r="X2390" s="7" t="str">
        <f>IF(ISBLANK(patch[[#This Row],[project]]), "",COUNTIFS($A:$A,patch[[#This Row],[number]],$S:$S, "FL And dev",$AC:$AC, "Review-1"))</f>
        <v/>
      </c>
      <c r="Y2390" s="7" t="str">
        <f>IF(ISBLANK(patch[[#This Row],[project]]), "",COUNTIFS($A:$A,patch[[#This Row],[number]],$S:$S, "SH And dev",$AC:$AC, "Review-1"))</f>
        <v/>
      </c>
      <c r="Z2390" s="7" t="str">
        <f>IF(ISBLANK(patch[[#This Row],[project]]), "",COUNTIFS($A:$A,patch[[#This Row],[number]],$S:$S, "BJ And dev",$AD:$AD, "&lt;&gt;IntegratorValidationComment"))</f>
        <v/>
      </c>
      <c r="AA2390" s="7" t="str">
        <f>IF(ISBLANK(patch[[#This Row],[project]]), "",COUNTIFS($A:$A,patch[[#This Row],[number]],$S:$S, "FL And dev",$AD:$AD, "&lt;&gt;IntegratorValidationComment"))</f>
        <v/>
      </c>
      <c r="AB2390" s="7" t="str">
        <f>IF(ISBLANK(patch[[#This Row],[project]]), "",COUNTIFS($A:$A,patch[[#This Row],[number]],$S:$S, "SH And dev",$AD:$AD, "&lt;&gt;IntegratorValidationComment"))</f>
        <v/>
      </c>
      <c r="AC2390" s="7" t="str">
        <f>IF(OR(ISNUMBER(FIND("Review-1", patch[[#This Row],[comments]])), ISNUMBER(FIND("Approver-1", patch[[#This Row],[comments]]))), "Review-1", "")</f>
        <v/>
      </c>
      <c r="AD23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90" s="7">
        <f>IF(ISBLANK(patch[[#This Row],[number]]),AE2389,patch[[#This Row],[ifCommon]])</f>
        <v>0</v>
      </c>
    </row>
    <row r="2391" spans="1:31">
      <c r="A2391" s="151">
        <v>142786</v>
      </c>
      <c r="B2391" s="151"/>
      <c r="C2391" s="151"/>
      <c r="D2391" s="151"/>
      <c r="E2391" s="151"/>
      <c r="F2391" s="151"/>
      <c r="G2391" s="151"/>
      <c r="H2391" s="151"/>
      <c r="I2391" s="151"/>
      <c r="J2391" s="152">
        <v>42618.700613425928</v>
      </c>
      <c r="K2391" s="151"/>
      <c r="L2391" s="151" t="s">
        <v>59</v>
      </c>
      <c r="M2391" s="152">
        <v>42615.497037037043</v>
      </c>
      <c r="N2391" s="151" t="s">
        <v>3776</v>
      </c>
      <c r="O2391" s="151"/>
      <c r="P2391" s="151"/>
      <c r="Q2391" s="7" t="str">
        <f>IF(ISBLANK(patch[[#This Row],[OwnerEmail]]),Q2390,patch[[#This Row],[OwnerEmail]])</f>
        <v>liang.l.yang@intel.com</v>
      </c>
      <c r="R2391" s="7" t="str">
        <f>_xlfn.IFNA(VLOOKUP(patch[[#This Row],[tmp-owner.email]],OrgTree!$A:$K, 11, 0), "not ICG SWFW")</f>
        <v>BJ And dev</v>
      </c>
      <c r="S2391" s="7" t="str">
        <f>IF(patch[[#This Row],[reviewer]]=patch[[#This Row],[tmp-owner.email]], "author", _xlfn.IFNA(VLOOKUP(patch[[#This Row],[reviewer]],OrgTree!$A:$K, 11, 0), "not ICG SWFW"))</f>
        <v>BJ And dev</v>
      </c>
      <c r="T2391" s="7" t="str">
        <f>IF(ISBLANK(patch[[#This Row],[mergeDate]]), "", MID(YEAR(patch[[#This Row],[mergeDate]]), 3,2)&amp;"'ww"&amp;WEEKNUM(patch[[#This Row],[mergeDate]]))</f>
        <v>16'ww37</v>
      </c>
      <c r="U2391" s="7" t="str">
        <f>IF(ISBLANK(patch[[#This Row],[mergeDate]]), U2390, MID(YEAR(patch[[#This Row],[mergeDate]]), 3,2)&amp;"'m"&amp;MONTH(patch[[#This Row],[mergeDate]]))</f>
        <v>16'm9</v>
      </c>
      <c r="V2391" s="7" t="str">
        <f>IF(ISBLANK(patch[[#This Row],[project]]), "",SUM(patch[[#This Row],[BJ -1 num]:[SH -1 num]]))</f>
        <v/>
      </c>
      <c r="W2391" s="7" t="str">
        <f>IF(ISBLANK(patch[[#This Row],[project]]), "",COUNTIFS($A:$A,patch[[#This Row],[number]],$S:$S, "BJ And dev",$AC:$AC, "Review-1"))</f>
        <v/>
      </c>
      <c r="X2391" s="7" t="str">
        <f>IF(ISBLANK(patch[[#This Row],[project]]), "",COUNTIFS($A:$A,patch[[#This Row],[number]],$S:$S, "FL And dev",$AC:$AC, "Review-1"))</f>
        <v/>
      </c>
      <c r="Y2391" s="7" t="str">
        <f>IF(ISBLANK(patch[[#This Row],[project]]), "",COUNTIFS($A:$A,patch[[#This Row],[number]],$S:$S, "SH And dev",$AC:$AC, "Review-1"))</f>
        <v/>
      </c>
      <c r="Z2391" s="7" t="str">
        <f>IF(ISBLANK(patch[[#This Row],[project]]), "",COUNTIFS($A:$A,patch[[#This Row],[number]],$S:$S, "BJ And dev",$AD:$AD, "&lt;&gt;IntegratorValidationComment"))</f>
        <v/>
      </c>
      <c r="AA2391" s="7" t="str">
        <f>IF(ISBLANK(patch[[#This Row],[project]]), "",COUNTIFS($A:$A,patch[[#This Row],[number]],$S:$S, "FL And dev",$AD:$AD, "&lt;&gt;IntegratorValidationComment"))</f>
        <v/>
      </c>
      <c r="AB2391" s="7" t="str">
        <f>IF(ISBLANK(patch[[#This Row],[project]]), "",COUNTIFS($A:$A,patch[[#This Row],[number]],$S:$S, "SH And dev",$AD:$AD, "&lt;&gt;IntegratorValidationComment"))</f>
        <v/>
      </c>
      <c r="AC2391" s="7" t="str">
        <f>IF(OR(ISNUMBER(FIND("Review-1", patch[[#This Row],[comments]])), ISNUMBER(FIND("Approver-1", patch[[#This Row],[comments]]))), "Review-1", "")</f>
        <v/>
      </c>
      <c r="AD23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91" s="7">
        <f>IF(ISBLANK(patch[[#This Row],[number]]),AE2390,patch[[#This Row],[ifCommon]])</f>
        <v>0</v>
      </c>
    </row>
    <row r="2392" spans="1:31">
      <c r="A2392" s="151">
        <v>142786</v>
      </c>
      <c r="B2392" s="151"/>
      <c r="C2392" s="151"/>
      <c r="D2392" s="151"/>
      <c r="E2392" s="151"/>
      <c r="F2392" s="151"/>
      <c r="G2392" s="151"/>
      <c r="H2392" s="151"/>
      <c r="I2392" s="151"/>
      <c r="J2392" s="152">
        <v>42618.700613425928</v>
      </c>
      <c r="K2392" s="151"/>
      <c r="L2392" s="151" t="s">
        <v>55</v>
      </c>
      <c r="M2392" s="152">
        <v>42615.497708333343</v>
      </c>
      <c r="N2392" s="151" t="s">
        <v>2524</v>
      </c>
      <c r="O2392" s="151"/>
      <c r="P2392" s="151"/>
      <c r="Q2392" s="7" t="str">
        <f>IF(ISBLANK(patch[[#This Row],[OwnerEmail]]),Q2391,patch[[#This Row],[OwnerEmail]])</f>
        <v>liang.l.yang@intel.com</v>
      </c>
      <c r="R2392" s="7" t="str">
        <f>_xlfn.IFNA(VLOOKUP(patch[[#This Row],[tmp-owner.email]],OrgTree!$A:$K, 11, 0), "not ICG SWFW")</f>
        <v>BJ And dev</v>
      </c>
      <c r="S2392" s="7" t="str">
        <f>IF(patch[[#This Row],[reviewer]]=patch[[#This Row],[tmp-owner.email]], "author", _xlfn.IFNA(VLOOKUP(patch[[#This Row],[reviewer]],OrgTree!$A:$K, 11, 0), "not ICG SWFW"))</f>
        <v>author</v>
      </c>
      <c r="T2392" s="7" t="str">
        <f>IF(ISBLANK(patch[[#This Row],[mergeDate]]), "", MID(YEAR(patch[[#This Row],[mergeDate]]), 3,2)&amp;"'ww"&amp;WEEKNUM(patch[[#This Row],[mergeDate]]))</f>
        <v>16'ww37</v>
      </c>
      <c r="U2392" s="7" t="str">
        <f>IF(ISBLANK(patch[[#This Row],[mergeDate]]), U2391, MID(YEAR(patch[[#This Row],[mergeDate]]), 3,2)&amp;"'m"&amp;MONTH(patch[[#This Row],[mergeDate]]))</f>
        <v>16'm9</v>
      </c>
      <c r="V2392" s="7" t="str">
        <f>IF(ISBLANK(patch[[#This Row],[project]]), "",SUM(patch[[#This Row],[BJ -1 num]:[SH -1 num]]))</f>
        <v/>
      </c>
      <c r="W2392" s="7" t="str">
        <f>IF(ISBLANK(patch[[#This Row],[project]]), "",COUNTIFS($A:$A,patch[[#This Row],[number]],$S:$S, "BJ And dev",$AC:$AC, "Review-1"))</f>
        <v/>
      </c>
      <c r="X2392" s="7" t="str">
        <f>IF(ISBLANK(patch[[#This Row],[project]]), "",COUNTIFS($A:$A,patch[[#This Row],[number]],$S:$S, "FL And dev",$AC:$AC, "Review-1"))</f>
        <v/>
      </c>
      <c r="Y2392" s="7" t="str">
        <f>IF(ISBLANK(patch[[#This Row],[project]]), "",COUNTIFS($A:$A,patch[[#This Row],[number]],$S:$S, "SH And dev",$AC:$AC, "Review-1"))</f>
        <v/>
      </c>
      <c r="Z2392" s="7" t="str">
        <f>IF(ISBLANK(patch[[#This Row],[project]]), "",COUNTIFS($A:$A,patch[[#This Row],[number]],$S:$S, "BJ And dev",$AD:$AD, "&lt;&gt;IntegratorValidationComment"))</f>
        <v/>
      </c>
      <c r="AA2392" s="7" t="str">
        <f>IF(ISBLANK(patch[[#This Row],[project]]), "",COUNTIFS($A:$A,patch[[#This Row],[number]],$S:$S, "FL And dev",$AD:$AD, "&lt;&gt;IntegratorValidationComment"))</f>
        <v/>
      </c>
      <c r="AB2392" s="7" t="str">
        <f>IF(ISBLANK(patch[[#This Row],[project]]), "",COUNTIFS($A:$A,patch[[#This Row],[number]],$S:$S, "SH And dev",$AD:$AD, "&lt;&gt;IntegratorValidationComment"))</f>
        <v/>
      </c>
      <c r="AC2392" s="7" t="str">
        <f>IF(OR(ISNUMBER(FIND("Review-1", patch[[#This Row],[comments]])), ISNUMBER(FIND("Approver-1", patch[[#This Row],[comments]]))), "Review-1", "")</f>
        <v/>
      </c>
      <c r="AD23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92" s="7">
        <f>IF(ISBLANK(patch[[#This Row],[number]]),AE2391,patch[[#This Row],[ifCommon]])</f>
        <v>0</v>
      </c>
    </row>
    <row r="2393" spans="1:31">
      <c r="A2393" s="151">
        <v>142786</v>
      </c>
      <c r="B2393" s="151"/>
      <c r="C2393" s="151"/>
      <c r="D2393" s="151"/>
      <c r="E2393" s="151"/>
      <c r="F2393" s="151"/>
      <c r="G2393" s="151"/>
      <c r="H2393" s="151"/>
      <c r="I2393" s="151"/>
      <c r="J2393" s="152">
        <v>42618.700613425928</v>
      </c>
      <c r="K2393" s="151"/>
      <c r="L2393" s="151" t="s">
        <v>55</v>
      </c>
      <c r="M2393" s="152">
        <v>42615.497719907413</v>
      </c>
      <c r="N2393" s="151" t="s">
        <v>2467</v>
      </c>
      <c r="O2393" s="151"/>
      <c r="P2393" s="151"/>
      <c r="Q2393" s="7" t="str">
        <f>IF(ISBLANK(patch[[#This Row],[OwnerEmail]]),Q2392,patch[[#This Row],[OwnerEmail]])</f>
        <v>liang.l.yang@intel.com</v>
      </c>
      <c r="R2393" s="7" t="str">
        <f>_xlfn.IFNA(VLOOKUP(patch[[#This Row],[tmp-owner.email]],OrgTree!$A:$K, 11, 0), "not ICG SWFW")</f>
        <v>BJ And dev</v>
      </c>
      <c r="S2393" s="7" t="str">
        <f>IF(patch[[#This Row],[reviewer]]=patch[[#This Row],[tmp-owner.email]], "author", _xlfn.IFNA(VLOOKUP(patch[[#This Row],[reviewer]],OrgTree!$A:$K, 11, 0), "not ICG SWFW"))</f>
        <v>author</v>
      </c>
      <c r="T2393" s="7" t="str">
        <f>IF(ISBLANK(patch[[#This Row],[mergeDate]]), "", MID(YEAR(patch[[#This Row],[mergeDate]]), 3,2)&amp;"'ww"&amp;WEEKNUM(patch[[#This Row],[mergeDate]]))</f>
        <v>16'ww37</v>
      </c>
      <c r="U2393" s="7" t="str">
        <f>IF(ISBLANK(patch[[#This Row],[mergeDate]]), U2392, MID(YEAR(patch[[#This Row],[mergeDate]]), 3,2)&amp;"'m"&amp;MONTH(patch[[#This Row],[mergeDate]]))</f>
        <v>16'm9</v>
      </c>
      <c r="V2393" s="7" t="str">
        <f>IF(ISBLANK(patch[[#This Row],[project]]), "",SUM(patch[[#This Row],[BJ -1 num]:[SH -1 num]]))</f>
        <v/>
      </c>
      <c r="W2393" s="7" t="str">
        <f>IF(ISBLANK(patch[[#This Row],[project]]), "",COUNTIFS($A:$A,patch[[#This Row],[number]],$S:$S, "BJ And dev",$AC:$AC, "Review-1"))</f>
        <v/>
      </c>
      <c r="X2393" s="7" t="str">
        <f>IF(ISBLANK(patch[[#This Row],[project]]), "",COUNTIFS($A:$A,patch[[#This Row],[number]],$S:$S, "FL And dev",$AC:$AC, "Review-1"))</f>
        <v/>
      </c>
      <c r="Y2393" s="7" t="str">
        <f>IF(ISBLANK(patch[[#This Row],[project]]), "",COUNTIFS($A:$A,patch[[#This Row],[number]],$S:$S, "SH And dev",$AC:$AC, "Review-1"))</f>
        <v/>
      </c>
      <c r="Z2393" s="7" t="str">
        <f>IF(ISBLANK(patch[[#This Row],[project]]), "",COUNTIFS($A:$A,patch[[#This Row],[number]],$S:$S, "BJ And dev",$AD:$AD, "&lt;&gt;IntegratorValidationComment"))</f>
        <v/>
      </c>
      <c r="AA2393" s="7" t="str">
        <f>IF(ISBLANK(patch[[#This Row],[project]]), "",COUNTIFS($A:$A,patch[[#This Row],[number]],$S:$S, "FL And dev",$AD:$AD, "&lt;&gt;IntegratorValidationComment"))</f>
        <v/>
      </c>
      <c r="AB2393" s="7" t="str">
        <f>IF(ISBLANK(patch[[#This Row],[project]]), "",COUNTIFS($A:$A,patch[[#This Row],[number]],$S:$S, "SH And dev",$AD:$AD, "&lt;&gt;IntegratorValidationComment"))</f>
        <v/>
      </c>
      <c r="AC2393" s="7" t="str">
        <f>IF(OR(ISNUMBER(FIND("Review-1", patch[[#This Row],[comments]])), ISNUMBER(FIND("Approver-1", patch[[#This Row],[comments]]))), "Review-1", "")</f>
        <v/>
      </c>
      <c r="AD23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93" s="7">
        <f>IF(ISBLANK(patch[[#This Row],[number]]),AE2392,patch[[#This Row],[ifCommon]])</f>
        <v>0</v>
      </c>
    </row>
    <row r="2394" spans="1:31">
      <c r="A2394" s="151">
        <v>142786</v>
      </c>
      <c r="B2394" s="151"/>
      <c r="C2394" s="151"/>
      <c r="D2394" s="151"/>
      <c r="E2394" s="151"/>
      <c r="F2394" s="151"/>
      <c r="G2394" s="151"/>
      <c r="H2394" s="151"/>
      <c r="I2394" s="151"/>
      <c r="J2394" s="152">
        <v>42618.700613425928</v>
      </c>
      <c r="K2394" s="151"/>
      <c r="L2394" s="151" t="s">
        <v>59</v>
      </c>
      <c r="M2394" s="152">
        <v>42615.50204861111</v>
      </c>
      <c r="N2394" s="151" t="s">
        <v>3777</v>
      </c>
      <c r="O2394" s="151"/>
      <c r="P2394" s="151"/>
      <c r="Q2394" s="7" t="str">
        <f>IF(ISBLANK(patch[[#This Row],[OwnerEmail]]),Q2393,patch[[#This Row],[OwnerEmail]])</f>
        <v>liang.l.yang@intel.com</v>
      </c>
      <c r="R2394" s="7" t="str">
        <f>_xlfn.IFNA(VLOOKUP(patch[[#This Row],[tmp-owner.email]],OrgTree!$A:$K, 11, 0), "not ICG SWFW")</f>
        <v>BJ And dev</v>
      </c>
      <c r="S2394" s="7" t="str">
        <f>IF(patch[[#This Row],[reviewer]]=patch[[#This Row],[tmp-owner.email]], "author", _xlfn.IFNA(VLOOKUP(patch[[#This Row],[reviewer]],OrgTree!$A:$K, 11, 0), "not ICG SWFW"))</f>
        <v>BJ And dev</v>
      </c>
      <c r="T2394" s="7" t="str">
        <f>IF(ISBLANK(patch[[#This Row],[mergeDate]]), "", MID(YEAR(patch[[#This Row],[mergeDate]]), 3,2)&amp;"'ww"&amp;WEEKNUM(patch[[#This Row],[mergeDate]]))</f>
        <v>16'ww37</v>
      </c>
      <c r="U2394" s="7" t="str">
        <f>IF(ISBLANK(patch[[#This Row],[mergeDate]]), U2393, MID(YEAR(patch[[#This Row],[mergeDate]]), 3,2)&amp;"'m"&amp;MONTH(patch[[#This Row],[mergeDate]]))</f>
        <v>16'm9</v>
      </c>
      <c r="V2394" s="7" t="str">
        <f>IF(ISBLANK(patch[[#This Row],[project]]), "",SUM(patch[[#This Row],[BJ -1 num]:[SH -1 num]]))</f>
        <v/>
      </c>
      <c r="W2394" s="7" t="str">
        <f>IF(ISBLANK(patch[[#This Row],[project]]), "",COUNTIFS($A:$A,patch[[#This Row],[number]],$S:$S, "BJ And dev",$AC:$AC, "Review-1"))</f>
        <v/>
      </c>
      <c r="X2394" s="7" t="str">
        <f>IF(ISBLANK(patch[[#This Row],[project]]), "",COUNTIFS($A:$A,patch[[#This Row],[number]],$S:$S, "FL And dev",$AC:$AC, "Review-1"))</f>
        <v/>
      </c>
      <c r="Y2394" s="7" t="str">
        <f>IF(ISBLANK(patch[[#This Row],[project]]), "",COUNTIFS($A:$A,patch[[#This Row],[number]],$S:$S, "SH And dev",$AC:$AC, "Review-1"))</f>
        <v/>
      </c>
      <c r="Z2394" s="7" t="str">
        <f>IF(ISBLANK(patch[[#This Row],[project]]), "",COUNTIFS($A:$A,patch[[#This Row],[number]],$S:$S, "BJ And dev",$AD:$AD, "&lt;&gt;IntegratorValidationComment"))</f>
        <v/>
      </c>
      <c r="AA2394" s="7" t="str">
        <f>IF(ISBLANK(patch[[#This Row],[project]]), "",COUNTIFS($A:$A,patch[[#This Row],[number]],$S:$S, "FL And dev",$AD:$AD, "&lt;&gt;IntegratorValidationComment"))</f>
        <v/>
      </c>
      <c r="AB2394" s="7" t="str">
        <f>IF(ISBLANK(patch[[#This Row],[project]]), "",COUNTIFS($A:$A,patch[[#This Row],[number]],$S:$S, "SH And dev",$AD:$AD, "&lt;&gt;IntegratorValidationComment"))</f>
        <v/>
      </c>
      <c r="AC2394" s="7" t="str">
        <f>IF(OR(ISNUMBER(FIND("Review-1", patch[[#This Row],[comments]])), ISNUMBER(FIND("Approver-1", patch[[#This Row],[comments]]))), "Review-1", "")</f>
        <v/>
      </c>
      <c r="AD23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94" s="7">
        <f>IF(ISBLANK(patch[[#This Row],[number]]),AE2393,patch[[#This Row],[ifCommon]])</f>
        <v>0</v>
      </c>
    </row>
    <row r="2395" spans="1:31">
      <c r="A2395" s="151">
        <v>142786</v>
      </c>
      <c r="B2395" s="151"/>
      <c r="C2395" s="151"/>
      <c r="D2395" s="151"/>
      <c r="E2395" s="151"/>
      <c r="F2395" s="151"/>
      <c r="G2395" s="151"/>
      <c r="H2395" s="151"/>
      <c r="I2395" s="151"/>
      <c r="J2395" s="152">
        <v>42618.700613425928</v>
      </c>
      <c r="K2395" s="151"/>
      <c r="L2395" s="151" t="s">
        <v>55</v>
      </c>
      <c r="M2395" s="152">
        <v>42615.503229166658</v>
      </c>
      <c r="N2395" s="151" t="s">
        <v>1849</v>
      </c>
      <c r="O2395" s="151"/>
      <c r="P2395" s="151"/>
      <c r="Q2395" s="7" t="str">
        <f>IF(ISBLANK(patch[[#This Row],[OwnerEmail]]),Q2394,patch[[#This Row],[OwnerEmail]])</f>
        <v>liang.l.yang@intel.com</v>
      </c>
      <c r="R2395" s="7" t="str">
        <f>_xlfn.IFNA(VLOOKUP(patch[[#This Row],[tmp-owner.email]],OrgTree!$A:$K, 11, 0), "not ICG SWFW")</f>
        <v>BJ And dev</v>
      </c>
      <c r="S2395" s="7" t="str">
        <f>IF(patch[[#This Row],[reviewer]]=patch[[#This Row],[tmp-owner.email]], "author", _xlfn.IFNA(VLOOKUP(patch[[#This Row],[reviewer]],OrgTree!$A:$K, 11, 0), "not ICG SWFW"))</f>
        <v>author</v>
      </c>
      <c r="T2395" s="7" t="str">
        <f>IF(ISBLANK(patch[[#This Row],[mergeDate]]), "", MID(YEAR(patch[[#This Row],[mergeDate]]), 3,2)&amp;"'ww"&amp;WEEKNUM(patch[[#This Row],[mergeDate]]))</f>
        <v>16'ww37</v>
      </c>
      <c r="U2395" s="7" t="str">
        <f>IF(ISBLANK(patch[[#This Row],[mergeDate]]), U2394, MID(YEAR(patch[[#This Row],[mergeDate]]), 3,2)&amp;"'m"&amp;MONTH(patch[[#This Row],[mergeDate]]))</f>
        <v>16'm9</v>
      </c>
      <c r="V2395" s="7" t="str">
        <f>IF(ISBLANK(patch[[#This Row],[project]]), "",SUM(patch[[#This Row],[BJ -1 num]:[SH -1 num]]))</f>
        <v/>
      </c>
      <c r="W2395" s="7" t="str">
        <f>IF(ISBLANK(patch[[#This Row],[project]]), "",COUNTIFS($A:$A,patch[[#This Row],[number]],$S:$S, "BJ And dev",$AC:$AC, "Review-1"))</f>
        <v/>
      </c>
      <c r="X2395" s="7" t="str">
        <f>IF(ISBLANK(patch[[#This Row],[project]]), "",COUNTIFS($A:$A,patch[[#This Row],[number]],$S:$S, "FL And dev",$AC:$AC, "Review-1"))</f>
        <v/>
      </c>
      <c r="Y2395" s="7" t="str">
        <f>IF(ISBLANK(patch[[#This Row],[project]]), "",COUNTIFS($A:$A,patch[[#This Row],[number]],$S:$S, "SH And dev",$AC:$AC, "Review-1"))</f>
        <v/>
      </c>
      <c r="Z2395" s="7" t="str">
        <f>IF(ISBLANK(patch[[#This Row],[project]]), "",COUNTIFS($A:$A,patch[[#This Row],[number]],$S:$S, "BJ And dev",$AD:$AD, "&lt;&gt;IntegratorValidationComment"))</f>
        <v/>
      </c>
      <c r="AA2395" s="7" t="str">
        <f>IF(ISBLANK(patch[[#This Row],[project]]), "",COUNTIFS($A:$A,patch[[#This Row],[number]],$S:$S, "FL And dev",$AD:$AD, "&lt;&gt;IntegratorValidationComment"))</f>
        <v/>
      </c>
      <c r="AB2395" s="7" t="str">
        <f>IF(ISBLANK(patch[[#This Row],[project]]), "",COUNTIFS($A:$A,patch[[#This Row],[number]],$S:$S, "SH And dev",$AD:$AD, "&lt;&gt;IntegratorValidationComment"))</f>
        <v/>
      </c>
      <c r="AC2395" s="7" t="str">
        <f>IF(OR(ISNUMBER(FIND("Review-1", patch[[#This Row],[comments]])), ISNUMBER(FIND("Approver-1", patch[[#This Row],[comments]]))), "Review-1", "")</f>
        <v/>
      </c>
      <c r="AD23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95" s="7">
        <f>IF(ISBLANK(patch[[#This Row],[number]]),AE2394,patch[[#This Row],[ifCommon]])</f>
        <v>0</v>
      </c>
    </row>
    <row r="2396" spans="1:31">
      <c r="A2396" s="151">
        <v>142786</v>
      </c>
      <c r="B2396" s="151"/>
      <c r="C2396" s="151"/>
      <c r="D2396" s="151"/>
      <c r="E2396" s="151"/>
      <c r="F2396" s="151"/>
      <c r="G2396" s="151"/>
      <c r="H2396" s="151"/>
      <c r="I2396" s="151"/>
      <c r="J2396" s="152">
        <v>42618.700613425928</v>
      </c>
      <c r="K2396" s="151"/>
      <c r="L2396" s="151" t="s">
        <v>59</v>
      </c>
      <c r="M2396" s="152">
        <v>42615.513101851851</v>
      </c>
      <c r="N2396" s="151" t="s">
        <v>3778</v>
      </c>
      <c r="O2396" s="151"/>
      <c r="P2396" s="151"/>
      <c r="Q2396" s="7" t="str">
        <f>IF(ISBLANK(patch[[#This Row],[OwnerEmail]]),Q2395,patch[[#This Row],[OwnerEmail]])</f>
        <v>liang.l.yang@intel.com</v>
      </c>
      <c r="R2396" s="7" t="str">
        <f>_xlfn.IFNA(VLOOKUP(patch[[#This Row],[tmp-owner.email]],OrgTree!$A:$K, 11, 0), "not ICG SWFW")</f>
        <v>BJ And dev</v>
      </c>
      <c r="S2396" s="7" t="str">
        <f>IF(patch[[#This Row],[reviewer]]=patch[[#This Row],[tmp-owner.email]], "author", _xlfn.IFNA(VLOOKUP(patch[[#This Row],[reviewer]],OrgTree!$A:$K, 11, 0), "not ICG SWFW"))</f>
        <v>BJ And dev</v>
      </c>
      <c r="T2396" s="7" t="str">
        <f>IF(ISBLANK(patch[[#This Row],[mergeDate]]), "", MID(YEAR(patch[[#This Row],[mergeDate]]), 3,2)&amp;"'ww"&amp;WEEKNUM(patch[[#This Row],[mergeDate]]))</f>
        <v>16'ww37</v>
      </c>
      <c r="U2396" s="7" t="str">
        <f>IF(ISBLANK(patch[[#This Row],[mergeDate]]), U2395, MID(YEAR(patch[[#This Row],[mergeDate]]), 3,2)&amp;"'m"&amp;MONTH(patch[[#This Row],[mergeDate]]))</f>
        <v>16'm9</v>
      </c>
      <c r="V2396" s="7" t="str">
        <f>IF(ISBLANK(patch[[#This Row],[project]]), "",SUM(patch[[#This Row],[BJ -1 num]:[SH -1 num]]))</f>
        <v/>
      </c>
      <c r="W2396" s="7" t="str">
        <f>IF(ISBLANK(patch[[#This Row],[project]]), "",COUNTIFS($A:$A,patch[[#This Row],[number]],$S:$S, "BJ And dev",$AC:$AC, "Review-1"))</f>
        <v/>
      </c>
      <c r="X2396" s="7" t="str">
        <f>IF(ISBLANK(patch[[#This Row],[project]]), "",COUNTIFS($A:$A,patch[[#This Row],[number]],$S:$S, "FL And dev",$AC:$AC, "Review-1"))</f>
        <v/>
      </c>
      <c r="Y2396" s="7" t="str">
        <f>IF(ISBLANK(patch[[#This Row],[project]]), "",COUNTIFS($A:$A,patch[[#This Row],[number]],$S:$S, "SH And dev",$AC:$AC, "Review-1"))</f>
        <v/>
      </c>
      <c r="Z2396" s="7" t="str">
        <f>IF(ISBLANK(patch[[#This Row],[project]]), "",COUNTIFS($A:$A,patch[[#This Row],[number]],$S:$S, "BJ And dev",$AD:$AD, "&lt;&gt;IntegratorValidationComment"))</f>
        <v/>
      </c>
      <c r="AA2396" s="7" t="str">
        <f>IF(ISBLANK(patch[[#This Row],[project]]), "",COUNTIFS($A:$A,patch[[#This Row],[number]],$S:$S, "FL And dev",$AD:$AD, "&lt;&gt;IntegratorValidationComment"))</f>
        <v/>
      </c>
      <c r="AB2396" s="7" t="str">
        <f>IF(ISBLANK(patch[[#This Row],[project]]), "",COUNTIFS($A:$A,patch[[#This Row],[number]],$S:$S, "SH And dev",$AD:$AD, "&lt;&gt;IntegratorValidationComment"))</f>
        <v/>
      </c>
      <c r="AC2396" s="7" t="str">
        <f>IF(OR(ISNUMBER(FIND("Review-1", patch[[#This Row],[comments]])), ISNUMBER(FIND("Approver-1", patch[[#This Row],[comments]]))), "Review-1", "")</f>
        <v/>
      </c>
      <c r="AD23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96" s="7">
        <f>IF(ISBLANK(patch[[#This Row],[number]]),AE2395,patch[[#This Row],[ifCommon]])</f>
        <v>0</v>
      </c>
    </row>
    <row r="2397" spans="1:31">
      <c r="A2397" s="151">
        <v>142786</v>
      </c>
      <c r="B2397" s="151"/>
      <c r="C2397" s="151"/>
      <c r="D2397" s="151"/>
      <c r="E2397" s="151"/>
      <c r="F2397" s="151"/>
      <c r="G2397" s="151"/>
      <c r="H2397" s="151"/>
      <c r="I2397" s="151"/>
      <c r="J2397" s="152">
        <v>42618.700613425928</v>
      </c>
      <c r="K2397" s="151"/>
      <c r="L2397" s="151" t="s">
        <v>24</v>
      </c>
      <c r="M2397" s="152">
        <v>42615.518784722219</v>
      </c>
      <c r="N2397" s="151" t="s">
        <v>1849</v>
      </c>
      <c r="O2397" s="151"/>
      <c r="P2397" s="151"/>
      <c r="Q2397" s="7" t="str">
        <f>IF(ISBLANK(patch[[#This Row],[OwnerEmail]]),Q2396,patch[[#This Row],[OwnerEmail]])</f>
        <v>liang.l.yang@intel.com</v>
      </c>
      <c r="R2397" s="7" t="str">
        <f>_xlfn.IFNA(VLOOKUP(patch[[#This Row],[tmp-owner.email]],OrgTree!$A:$K, 11, 0), "not ICG SWFW")</f>
        <v>BJ And dev</v>
      </c>
      <c r="S2397" s="7" t="str">
        <f>IF(patch[[#This Row],[reviewer]]=patch[[#This Row],[tmp-owner.email]], "author", _xlfn.IFNA(VLOOKUP(patch[[#This Row],[reviewer]],OrgTree!$A:$K, 11, 0), "not ICG SWFW"))</f>
        <v>BJ And dev</v>
      </c>
      <c r="T2397" s="7" t="str">
        <f>IF(ISBLANK(patch[[#This Row],[mergeDate]]), "", MID(YEAR(patch[[#This Row],[mergeDate]]), 3,2)&amp;"'ww"&amp;WEEKNUM(patch[[#This Row],[mergeDate]]))</f>
        <v>16'ww37</v>
      </c>
      <c r="U2397" s="7" t="str">
        <f>IF(ISBLANK(patch[[#This Row],[mergeDate]]), U2396, MID(YEAR(patch[[#This Row],[mergeDate]]), 3,2)&amp;"'m"&amp;MONTH(patch[[#This Row],[mergeDate]]))</f>
        <v>16'm9</v>
      </c>
      <c r="V2397" s="7" t="str">
        <f>IF(ISBLANK(patch[[#This Row],[project]]), "",SUM(patch[[#This Row],[BJ -1 num]:[SH -1 num]]))</f>
        <v/>
      </c>
      <c r="W2397" s="7" t="str">
        <f>IF(ISBLANK(patch[[#This Row],[project]]), "",COUNTIFS($A:$A,patch[[#This Row],[number]],$S:$S, "BJ And dev",$AC:$AC, "Review-1"))</f>
        <v/>
      </c>
      <c r="X2397" s="7" t="str">
        <f>IF(ISBLANK(patch[[#This Row],[project]]), "",COUNTIFS($A:$A,patch[[#This Row],[number]],$S:$S, "FL And dev",$AC:$AC, "Review-1"))</f>
        <v/>
      </c>
      <c r="Y2397" s="7" t="str">
        <f>IF(ISBLANK(patch[[#This Row],[project]]), "",COUNTIFS($A:$A,patch[[#This Row],[number]],$S:$S, "SH And dev",$AC:$AC, "Review-1"))</f>
        <v/>
      </c>
      <c r="Z2397" s="7" t="str">
        <f>IF(ISBLANK(patch[[#This Row],[project]]), "",COUNTIFS($A:$A,patch[[#This Row],[number]],$S:$S, "BJ And dev",$AD:$AD, "&lt;&gt;IntegratorValidationComment"))</f>
        <v/>
      </c>
      <c r="AA2397" s="7" t="str">
        <f>IF(ISBLANK(patch[[#This Row],[project]]), "",COUNTIFS($A:$A,patch[[#This Row],[number]],$S:$S, "FL And dev",$AD:$AD, "&lt;&gt;IntegratorValidationComment"))</f>
        <v/>
      </c>
      <c r="AB2397" s="7" t="str">
        <f>IF(ISBLANK(patch[[#This Row],[project]]), "",COUNTIFS($A:$A,patch[[#This Row],[number]],$S:$S, "SH And dev",$AD:$AD, "&lt;&gt;IntegratorValidationComment"))</f>
        <v/>
      </c>
      <c r="AC2397" s="7" t="str">
        <f>IF(OR(ISNUMBER(FIND("Review-1", patch[[#This Row],[comments]])), ISNUMBER(FIND("Approver-1", patch[[#This Row],[comments]]))), "Review-1", "")</f>
        <v/>
      </c>
      <c r="AD23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97" s="7">
        <f>IF(ISBLANK(patch[[#This Row],[number]]),AE2396,patch[[#This Row],[ifCommon]])</f>
        <v>0</v>
      </c>
    </row>
    <row r="2398" spans="1:31">
      <c r="A2398" s="151">
        <v>142786</v>
      </c>
      <c r="B2398" s="151"/>
      <c r="C2398" s="151"/>
      <c r="D2398" s="151"/>
      <c r="E2398" s="151"/>
      <c r="F2398" s="151"/>
      <c r="G2398" s="151"/>
      <c r="H2398" s="151"/>
      <c r="I2398" s="151"/>
      <c r="J2398" s="152">
        <v>42618.700613425928</v>
      </c>
      <c r="K2398" s="151"/>
      <c r="L2398" s="151" t="s">
        <v>24</v>
      </c>
      <c r="M2398" s="152">
        <v>42615.520810185182</v>
      </c>
      <c r="N2398" s="151" t="s">
        <v>2552</v>
      </c>
      <c r="O2398" s="151" t="s">
        <v>3779</v>
      </c>
      <c r="P2398" s="151"/>
      <c r="Q2398" s="7" t="str">
        <f>IF(ISBLANK(patch[[#This Row],[OwnerEmail]]),Q2397,patch[[#This Row],[OwnerEmail]])</f>
        <v>liang.l.yang@intel.com</v>
      </c>
      <c r="R2398" s="7" t="str">
        <f>_xlfn.IFNA(VLOOKUP(patch[[#This Row],[tmp-owner.email]],OrgTree!$A:$K, 11, 0), "not ICG SWFW")</f>
        <v>BJ And dev</v>
      </c>
      <c r="S2398" s="7" t="str">
        <f>IF(patch[[#This Row],[reviewer]]=patch[[#This Row],[tmp-owner.email]], "author", _xlfn.IFNA(VLOOKUP(patch[[#This Row],[reviewer]],OrgTree!$A:$K, 11, 0), "not ICG SWFW"))</f>
        <v>BJ And dev</v>
      </c>
      <c r="T2398" s="7" t="str">
        <f>IF(ISBLANK(patch[[#This Row],[mergeDate]]), "", MID(YEAR(patch[[#This Row],[mergeDate]]), 3,2)&amp;"'ww"&amp;WEEKNUM(patch[[#This Row],[mergeDate]]))</f>
        <v>16'ww37</v>
      </c>
      <c r="U2398" s="7" t="str">
        <f>IF(ISBLANK(patch[[#This Row],[mergeDate]]), U2397, MID(YEAR(patch[[#This Row],[mergeDate]]), 3,2)&amp;"'m"&amp;MONTH(patch[[#This Row],[mergeDate]]))</f>
        <v>16'm9</v>
      </c>
      <c r="V2398" s="7" t="str">
        <f>IF(ISBLANK(patch[[#This Row],[project]]), "",SUM(patch[[#This Row],[BJ -1 num]:[SH -1 num]]))</f>
        <v/>
      </c>
      <c r="W2398" s="7" t="str">
        <f>IF(ISBLANK(patch[[#This Row],[project]]), "",COUNTIFS($A:$A,patch[[#This Row],[number]],$S:$S, "BJ And dev",$AC:$AC, "Review-1"))</f>
        <v/>
      </c>
      <c r="X2398" s="7" t="str">
        <f>IF(ISBLANK(patch[[#This Row],[project]]), "",COUNTIFS($A:$A,patch[[#This Row],[number]],$S:$S, "FL And dev",$AC:$AC, "Review-1"))</f>
        <v/>
      </c>
      <c r="Y2398" s="7" t="str">
        <f>IF(ISBLANK(patch[[#This Row],[project]]), "",COUNTIFS($A:$A,patch[[#This Row],[number]],$S:$S, "SH And dev",$AC:$AC, "Review-1"))</f>
        <v/>
      </c>
      <c r="Z2398" s="7" t="str">
        <f>IF(ISBLANK(patch[[#This Row],[project]]), "",COUNTIFS($A:$A,patch[[#This Row],[number]],$S:$S, "BJ And dev",$AD:$AD, "&lt;&gt;IntegratorValidationComment"))</f>
        <v/>
      </c>
      <c r="AA2398" s="7" t="str">
        <f>IF(ISBLANK(patch[[#This Row],[project]]), "",COUNTIFS($A:$A,patch[[#This Row],[number]],$S:$S, "FL And dev",$AD:$AD, "&lt;&gt;IntegratorValidationComment"))</f>
        <v/>
      </c>
      <c r="AB2398" s="7" t="str">
        <f>IF(ISBLANK(patch[[#This Row],[project]]), "",COUNTIFS($A:$A,patch[[#This Row],[number]],$S:$S, "SH And dev",$AD:$AD, "&lt;&gt;IntegratorValidationComment"))</f>
        <v/>
      </c>
      <c r="AC2398" s="7" t="str">
        <f>IF(OR(ISNUMBER(FIND("Review-1", patch[[#This Row],[comments]])), ISNUMBER(FIND("Approver-1", patch[[#This Row],[comments]]))), "Review-1", "")</f>
        <v>Review-1</v>
      </c>
      <c r="AD23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98" s="7">
        <f>IF(ISBLANK(patch[[#This Row],[number]]),AE2397,patch[[#This Row],[ifCommon]])</f>
        <v>0</v>
      </c>
    </row>
    <row r="2399" spans="1:31">
      <c r="A2399" s="151">
        <v>142786</v>
      </c>
      <c r="B2399" s="151"/>
      <c r="C2399" s="151"/>
      <c r="D2399" s="151"/>
      <c r="E2399" s="151"/>
      <c r="F2399" s="151"/>
      <c r="G2399" s="151"/>
      <c r="H2399" s="151"/>
      <c r="I2399" s="151"/>
      <c r="J2399" s="152">
        <v>42618.700613425928</v>
      </c>
      <c r="K2399" s="151"/>
      <c r="L2399" s="151" t="s">
        <v>55</v>
      </c>
      <c r="M2399" s="152">
        <v>42615.6562962963</v>
      </c>
      <c r="N2399" s="151" t="s">
        <v>2468</v>
      </c>
      <c r="O2399" s="151"/>
      <c r="P2399" s="151"/>
      <c r="Q2399" s="7" t="str">
        <f>IF(ISBLANK(patch[[#This Row],[OwnerEmail]]),Q2398,patch[[#This Row],[OwnerEmail]])</f>
        <v>liang.l.yang@intel.com</v>
      </c>
      <c r="R2399" s="7" t="str">
        <f>_xlfn.IFNA(VLOOKUP(patch[[#This Row],[tmp-owner.email]],OrgTree!$A:$K, 11, 0), "not ICG SWFW")</f>
        <v>BJ And dev</v>
      </c>
      <c r="S2399" s="7" t="str">
        <f>IF(patch[[#This Row],[reviewer]]=patch[[#This Row],[tmp-owner.email]], "author", _xlfn.IFNA(VLOOKUP(patch[[#This Row],[reviewer]],OrgTree!$A:$K, 11, 0), "not ICG SWFW"))</f>
        <v>author</v>
      </c>
      <c r="T2399" s="7" t="str">
        <f>IF(ISBLANK(patch[[#This Row],[mergeDate]]), "", MID(YEAR(patch[[#This Row],[mergeDate]]), 3,2)&amp;"'ww"&amp;WEEKNUM(patch[[#This Row],[mergeDate]]))</f>
        <v>16'ww37</v>
      </c>
      <c r="U2399" s="7" t="str">
        <f>IF(ISBLANK(patch[[#This Row],[mergeDate]]), U2398, MID(YEAR(patch[[#This Row],[mergeDate]]), 3,2)&amp;"'m"&amp;MONTH(patch[[#This Row],[mergeDate]]))</f>
        <v>16'm9</v>
      </c>
      <c r="V2399" s="7" t="str">
        <f>IF(ISBLANK(patch[[#This Row],[project]]), "",SUM(patch[[#This Row],[BJ -1 num]:[SH -1 num]]))</f>
        <v/>
      </c>
      <c r="W2399" s="7" t="str">
        <f>IF(ISBLANK(patch[[#This Row],[project]]), "",COUNTIFS($A:$A,patch[[#This Row],[number]],$S:$S, "BJ And dev",$AC:$AC, "Review-1"))</f>
        <v/>
      </c>
      <c r="X2399" s="7" t="str">
        <f>IF(ISBLANK(patch[[#This Row],[project]]), "",COUNTIFS($A:$A,patch[[#This Row],[number]],$S:$S, "FL And dev",$AC:$AC, "Review-1"))</f>
        <v/>
      </c>
      <c r="Y2399" s="7" t="str">
        <f>IF(ISBLANK(patch[[#This Row],[project]]), "",COUNTIFS($A:$A,patch[[#This Row],[number]],$S:$S, "SH And dev",$AC:$AC, "Review-1"))</f>
        <v/>
      </c>
      <c r="Z2399" s="7" t="str">
        <f>IF(ISBLANK(patch[[#This Row],[project]]), "",COUNTIFS($A:$A,patch[[#This Row],[number]],$S:$S, "BJ And dev",$AD:$AD, "&lt;&gt;IntegratorValidationComment"))</f>
        <v/>
      </c>
      <c r="AA2399" s="7" t="str">
        <f>IF(ISBLANK(patch[[#This Row],[project]]), "",COUNTIFS($A:$A,patch[[#This Row],[number]],$S:$S, "FL And dev",$AD:$AD, "&lt;&gt;IntegratorValidationComment"))</f>
        <v/>
      </c>
      <c r="AB2399" s="7" t="str">
        <f>IF(ISBLANK(patch[[#This Row],[project]]), "",COUNTIFS($A:$A,patch[[#This Row],[number]],$S:$S, "SH And dev",$AD:$AD, "&lt;&gt;IntegratorValidationComment"))</f>
        <v/>
      </c>
      <c r="AC2399" s="7" t="str">
        <f>IF(OR(ISNUMBER(FIND("Review-1", patch[[#This Row],[comments]])), ISNUMBER(FIND("Approver-1", patch[[#This Row],[comments]]))), "Review-1", "")</f>
        <v/>
      </c>
      <c r="AD23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399" s="7">
        <f>IF(ISBLANK(patch[[#This Row],[number]]),AE2398,patch[[#This Row],[ifCommon]])</f>
        <v>0</v>
      </c>
    </row>
    <row r="2400" spans="1:31">
      <c r="A2400" s="151">
        <v>142786</v>
      </c>
      <c r="B2400" s="151"/>
      <c r="C2400" s="151"/>
      <c r="D2400" s="151"/>
      <c r="E2400" s="151"/>
      <c r="F2400" s="151"/>
      <c r="G2400" s="151"/>
      <c r="H2400" s="151"/>
      <c r="I2400" s="151"/>
      <c r="J2400" s="152">
        <v>42618.700613425928</v>
      </c>
      <c r="K2400" s="151"/>
      <c r="L2400" s="151" t="s">
        <v>55</v>
      </c>
      <c r="M2400" s="152">
        <v>42615.6562962963</v>
      </c>
      <c r="N2400" s="151" t="s">
        <v>1896</v>
      </c>
      <c r="O2400" s="151"/>
      <c r="P2400" s="151"/>
      <c r="Q2400" s="7" t="str">
        <f>IF(ISBLANK(patch[[#This Row],[OwnerEmail]]),Q2399,patch[[#This Row],[OwnerEmail]])</f>
        <v>liang.l.yang@intel.com</v>
      </c>
      <c r="R2400" s="7" t="str">
        <f>_xlfn.IFNA(VLOOKUP(patch[[#This Row],[tmp-owner.email]],OrgTree!$A:$K, 11, 0), "not ICG SWFW")</f>
        <v>BJ And dev</v>
      </c>
      <c r="S2400" s="7" t="str">
        <f>IF(patch[[#This Row],[reviewer]]=patch[[#This Row],[tmp-owner.email]], "author", _xlfn.IFNA(VLOOKUP(patch[[#This Row],[reviewer]],OrgTree!$A:$K, 11, 0), "not ICG SWFW"))</f>
        <v>author</v>
      </c>
      <c r="T2400" s="7" t="str">
        <f>IF(ISBLANK(patch[[#This Row],[mergeDate]]), "", MID(YEAR(patch[[#This Row],[mergeDate]]), 3,2)&amp;"'ww"&amp;WEEKNUM(patch[[#This Row],[mergeDate]]))</f>
        <v>16'ww37</v>
      </c>
      <c r="U2400" s="7" t="str">
        <f>IF(ISBLANK(patch[[#This Row],[mergeDate]]), U2399, MID(YEAR(patch[[#This Row],[mergeDate]]), 3,2)&amp;"'m"&amp;MONTH(patch[[#This Row],[mergeDate]]))</f>
        <v>16'm9</v>
      </c>
      <c r="V2400" s="7" t="str">
        <f>IF(ISBLANK(patch[[#This Row],[project]]), "",SUM(patch[[#This Row],[BJ -1 num]:[SH -1 num]]))</f>
        <v/>
      </c>
      <c r="W2400" s="7" t="str">
        <f>IF(ISBLANK(patch[[#This Row],[project]]), "",COUNTIFS($A:$A,patch[[#This Row],[number]],$S:$S, "BJ And dev",$AC:$AC, "Review-1"))</f>
        <v/>
      </c>
      <c r="X2400" s="7" t="str">
        <f>IF(ISBLANK(patch[[#This Row],[project]]), "",COUNTIFS($A:$A,patch[[#This Row],[number]],$S:$S, "FL And dev",$AC:$AC, "Review-1"))</f>
        <v/>
      </c>
      <c r="Y2400" s="7" t="str">
        <f>IF(ISBLANK(patch[[#This Row],[project]]), "",COUNTIFS($A:$A,patch[[#This Row],[number]],$S:$S, "SH And dev",$AC:$AC, "Review-1"))</f>
        <v/>
      </c>
      <c r="Z2400" s="7" t="str">
        <f>IF(ISBLANK(patch[[#This Row],[project]]), "",COUNTIFS($A:$A,patch[[#This Row],[number]],$S:$S, "BJ And dev",$AD:$AD, "&lt;&gt;IntegratorValidationComment"))</f>
        <v/>
      </c>
      <c r="AA2400" s="7" t="str">
        <f>IF(ISBLANK(patch[[#This Row],[project]]), "",COUNTIFS($A:$A,patch[[#This Row],[number]],$S:$S, "FL And dev",$AD:$AD, "&lt;&gt;IntegratorValidationComment"))</f>
        <v/>
      </c>
      <c r="AB2400" s="7" t="str">
        <f>IF(ISBLANK(patch[[#This Row],[project]]), "",COUNTIFS($A:$A,patch[[#This Row],[number]],$S:$S, "SH And dev",$AD:$AD, "&lt;&gt;IntegratorValidationComment"))</f>
        <v/>
      </c>
      <c r="AC2400" s="7" t="str">
        <f>IF(OR(ISNUMBER(FIND("Review-1", patch[[#This Row],[comments]])), ISNUMBER(FIND("Approver-1", patch[[#This Row],[comments]]))), "Review-1", "")</f>
        <v/>
      </c>
      <c r="AD24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00" s="7">
        <f>IF(ISBLANK(patch[[#This Row],[number]]),AE2399,patch[[#This Row],[ifCommon]])</f>
        <v>0</v>
      </c>
    </row>
    <row r="2401" spans="1:31">
      <c r="A2401" s="151">
        <v>142786</v>
      </c>
      <c r="B2401" s="151"/>
      <c r="C2401" s="151"/>
      <c r="D2401" s="151"/>
      <c r="E2401" s="151"/>
      <c r="F2401" s="151"/>
      <c r="G2401" s="151"/>
      <c r="H2401" s="151"/>
      <c r="I2401" s="151"/>
      <c r="J2401" s="152">
        <v>42618.700613425928</v>
      </c>
      <c r="K2401" s="151"/>
      <c r="L2401" s="151" t="s">
        <v>55</v>
      </c>
      <c r="M2401" s="152">
        <v>42615.659178240741</v>
      </c>
      <c r="N2401" s="151" t="s">
        <v>1867</v>
      </c>
      <c r="O2401" s="151"/>
      <c r="P2401" s="151"/>
      <c r="Q2401" s="7" t="str">
        <f>IF(ISBLANK(patch[[#This Row],[OwnerEmail]]),Q2400,patch[[#This Row],[OwnerEmail]])</f>
        <v>liang.l.yang@intel.com</v>
      </c>
      <c r="R2401" s="7" t="str">
        <f>_xlfn.IFNA(VLOOKUP(patch[[#This Row],[tmp-owner.email]],OrgTree!$A:$K, 11, 0), "not ICG SWFW")</f>
        <v>BJ And dev</v>
      </c>
      <c r="S2401" s="7" t="str">
        <f>IF(patch[[#This Row],[reviewer]]=patch[[#This Row],[tmp-owner.email]], "author", _xlfn.IFNA(VLOOKUP(patch[[#This Row],[reviewer]],OrgTree!$A:$K, 11, 0), "not ICG SWFW"))</f>
        <v>author</v>
      </c>
      <c r="T2401" s="7" t="str">
        <f>IF(ISBLANK(patch[[#This Row],[mergeDate]]), "", MID(YEAR(patch[[#This Row],[mergeDate]]), 3,2)&amp;"'ww"&amp;WEEKNUM(patch[[#This Row],[mergeDate]]))</f>
        <v>16'ww37</v>
      </c>
      <c r="U2401" s="7" t="str">
        <f>IF(ISBLANK(patch[[#This Row],[mergeDate]]), U2400, MID(YEAR(patch[[#This Row],[mergeDate]]), 3,2)&amp;"'m"&amp;MONTH(patch[[#This Row],[mergeDate]]))</f>
        <v>16'm9</v>
      </c>
      <c r="V2401" s="7" t="str">
        <f>IF(ISBLANK(patch[[#This Row],[project]]), "",SUM(patch[[#This Row],[BJ -1 num]:[SH -1 num]]))</f>
        <v/>
      </c>
      <c r="W2401" s="7" t="str">
        <f>IF(ISBLANK(patch[[#This Row],[project]]), "",COUNTIFS($A:$A,patch[[#This Row],[number]],$S:$S, "BJ And dev",$AC:$AC, "Review-1"))</f>
        <v/>
      </c>
      <c r="X2401" s="7" t="str">
        <f>IF(ISBLANK(patch[[#This Row],[project]]), "",COUNTIFS($A:$A,patch[[#This Row],[number]],$S:$S, "FL And dev",$AC:$AC, "Review-1"))</f>
        <v/>
      </c>
      <c r="Y2401" s="7" t="str">
        <f>IF(ISBLANK(patch[[#This Row],[project]]), "",COUNTIFS($A:$A,patch[[#This Row],[number]],$S:$S, "SH And dev",$AC:$AC, "Review-1"))</f>
        <v/>
      </c>
      <c r="Z2401" s="7" t="str">
        <f>IF(ISBLANK(patch[[#This Row],[project]]), "",COUNTIFS($A:$A,patch[[#This Row],[number]],$S:$S, "BJ And dev",$AD:$AD, "&lt;&gt;IntegratorValidationComment"))</f>
        <v/>
      </c>
      <c r="AA2401" s="7" t="str">
        <f>IF(ISBLANK(patch[[#This Row],[project]]), "",COUNTIFS($A:$A,patch[[#This Row],[number]],$S:$S, "FL And dev",$AD:$AD, "&lt;&gt;IntegratorValidationComment"))</f>
        <v/>
      </c>
      <c r="AB2401" s="7" t="str">
        <f>IF(ISBLANK(patch[[#This Row],[project]]), "",COUNTIFS($A:$A,patch[[#This Row],[number]],$S:$S, "SH And dev",$AD:$AD, "&lt;&gt;IntegratorValidationComment"))</f>
        <v/>
      </c>
      <c r="AC2401" s="7" t="str">
        <f>IF(OR(ISNUMBER(FIND("Review-1", patch[[#This Row],[comments]])), ISNUMBER(FIND("Approver-1", patch[[#This Row],[comments]]))), "Review-1", "")</f>
        <v/>
      </c>
      <c r="AD24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01" s="7">
        <f>IF(ISBLANK(patch[[#This Row],[number]]),AE2400,patch[[#This Row],[ifCommon]])</f>
        <v>0</v>
      </c>
    </row>
    <row r="2402" spans="1:31">
      <c r="A2402" s="151">
        <v>142786</v>
      </c>
      <c r="B2402" s="151"/>
      <c r="C2402" s="151"/>
      <c r="D2402" s="151"/>
      <c r="E2402" s="151"/>
      <c r="F2402" s="151"/>
      <c r="G2402" s="151"/>
      <c r="H2402" s="151"/>
      <c r="I2402" s="151"/>
      <c r="J2402" s="152">
        <v>42618.700613425928</v>
      </c>
      <c r="K2402" s="151"/>
      <c r="L2402" s="151" t="s">
        <v>59</v>
      </c>
      <c r="M2402" s="152">
        <v>42615.661990740737</v>
      </c>
      <c r="N2402" s="151" t="s">
        <v>3780</v>
      </c>
      <c r="O2402" s="151"/>
      <c r="P2402" s="151"/>
      <c r="Q2402" s="7" t="str">
        <f>IF(ISBLANK(patch[[#This Row],[OwnerEmail]]),Q2401,patch[[#This Row],[OwnerEmail]])</f>
        <v>liang.l.yang@intel.com</v>
      </c>
      <c r="R2402" s="7" t="str">
        <f>_xlfn.IFNA(VLOOKUP(patch[[#This Row],[tmp-owner.email]],OrgTree!$A:$K, 11, 0), "not ICG SWFW")</f>
        <v>BJ And dev</v>
      </c>
      <c r="S2402" s="7" t="str">
        <f>IF(patch[[#This Row],[reviewer]]=patch[[#This Row],[tmp-owner.email]], "author", _xlfn.IFNA(VLOOKUP(patch[[#This Row],[reviewer]],OrgTree!$A:$K, 11, 0), "not ICG SWFW"))</f>
        <v>BJ And dev</v>
      </c>
      <c r="T2402" s="7" t="str">
        <f>IF(ISBLANK(patch[[#This Row],[mergeDate]]), "", MID(YEAR(patch[[#This Row],[mergeDate]]), 3,2)&amp;"'ww"&amp;WEEKNUM(patch[[#This Row],[mergeDate]]))</f>
        <v>16'ww37</v>
      </c>
      <c r="U2402" s="7" t="str">
        <f>IF(ISBLANK(patch[[#This Row],[mergeDate]]), U2401, MID(YEAR(patch[[#This Row],[mergeDate]]), 3,2)&amp;"'m"&amp;MONTH(patch[[#This Row],[mergeDate]]))</f>
        <v>16'm9</v>
      </c>
      <c r="V2402" s="7" t="str">
        <f>IF(ISBLANK(patch[[#This Row],[project]]), "",SUM(patch[[#This Row],[BJ -1 num]:[SH -1 num]]))</f>
        <v/>
      </c>
      <c r="W2402" s="7" t="str">
        <f>IF(ISBLANK(patch[[#This Row],[project]]), "",COUNTIFS($A:$A,patch[[#This Row],[number]],$S:$S, "BJ And dev",$AC:$AC, "Review-1"))</f>
        <v/>
      </c>
      <c r="X2402" s="7" t="str">
        <f>IF(ISBLANK(patch[[#This Row],[project]]), "",COUNTIFS($A:$A,patch[[#This Row],[number]],$S:$S, "FL And dev",$AC:$AC, "Review-1"))</f>
        <v/>
      </c>
      <c r="Y2402" s="7" t="str">
        <f>IF(ISBLANK(patch[[#This Row],[project]]), "",COUNTIFS($A:$A,patch[[#This Row],[number]],$S:$S, "SH And dev",$AC:$AC, "Review-1"))</f>
        <v/>
      </c>
      <c r="Z2402" s="7" t="str">
        <f>IF(ISBLANK(patch[[#This Row],[project]]), "",COUNTIFS($A:$A,patch[[#This Row],[number]],$S:$S, "BJ And dev",$AD:$AD, "&lt;&gt;IntegratorValidationComment"))</f>
        <v/>
      </c>
      <c r="AA2402" s="7" t="str">
        <f>IF(ISBLANK(patch[[#This Row],[project]]), "",COUNTIFS($A:$A,patch[[#This Row],[number]],$S:$S, "FL And dev",$AD:$AD, "&lt;&gt;IntegratorValidationComment"))</f>
        <v/>
      </c>
      <c r="AB2402" s="7" t="str">
        <f>IF(ISBLANK(patch[[#This Row],[project]]), "",COUNTIFS($A:$A,patch[[#This Row],[number]],$S:$S, "SH And dev",$AD:$AD, "&lt;&gt;IntegratorValidationComment"))</f>
        <v/>
      </c>
      <c r="AC2402" s="7" t="str">
        <f>IF(OR(ISNUMBER(FIND("Review-1", patch[[#This Row],[comments]])), ISNUMBER(FIND("Approver-1", patch[[#This Row],[comments]]))), "Review-1", "")</f>
        <v/>
      </c>
      <c r="AD24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02" s="7">
        <f>IF(ISBLANK(patch[[#This Row],[number]]),AE2401,patch[[#This Row],[ifCommon]])</f>
        <v>0</v>
      </c>
    </row>
    <row r="2403" spans="1:31">
      <c r="A2403" s="151">
        <v>142786</v>
      </c>
      <c r="B2403" s="151"/>
      <c r="C2403" s="151"/>
      <c r="D2403" s="151"/>
      <c r="E2403" s="151"/>
      <c r="F2403" s="151"/>
      <c r="G2403" s="151"/>
      <c r="H2403" s="151"/>
      <c r="I2403" s="151"/>
      <c r="J2403" s="152">
        <v>42618.700613425928</v>
      </c>
      <c r="K2403" s="151"/>
      <c r="L2403" s="151" t="s">
        <v>24</v>
      </c>
      <c r="M2403" s="152">
        <v>42615.66505787037</v>
      </c>
      <c r="N2403" s="151" t="s">
        <v>1867</v>
      </c>
      <c r="O2403" s="151"/>
      <c r="P2403" s="151"/>
      <c r="Q2403" s="7" t="str">
        <f>IF(ISBLANK(patch[[#This Row],[OwnerEmail]]),Q2402,patch[[#This Row],[OwnerEmail]])</f>
        <v>liang.l.yang@intel.com</v>
      </c>
      <c r="R2403" s="7" t="str">
        <f>_xlfn.IFNA(VLOOKUP(patch[[#This Row],[tmp-owner.email]],OrgTree!$A:$K, 11, 0), "not ICG SWFW")</f>
        <v>BJ And dev</v>
      </c>
      <c r="S2403" s="7" t="str">
        <f>IF(patch[[#This Row],[reviewer]]=patch[[#This Row],[tmp-owner.email]], "author", _xlfn.IFNA(VLOOKUP(patch[[#This Row],[reviewer]],OrgTree!$A:$K, 11, 0), "not ICG SWFW"))</f>
        <v>BJ And dev</v>
      </c>
      <c r="T2403" s="7" t="str">
        <f>IF(ISBLANK(patch[[#This Row],[mergeDate]]), "", MID(YEAR(patch[[#This Row],[mergeDate]]), 3,2)&amp;"'ww"&amp;WEEKNUM(patch[[#This Row],[mergeDate]]))</f>
        <v>16'ww37</v>
      </c>
      <c r="U2403" s="7" t="str">
        <f>IF(ISBLANK(patch[[#This Row],[mergeDate]]), U2402, MID(YEAR(patch[[#This Row],[mergeDate]]), 3,2)&amp;"'m"&amp;MONTH(patch[[#This Row],[mergeDate]]))</f>
        <v>16'm9</v>
      </c>
      <c r="V2403" s="7" t="str">
        <f>IF(ISBLANK(patch[[#This Row],[project]]), "",SUM(patch[[#This Row],[BJ -1 num]:[SH -1 num]]))</f>
        <v/>
      </c>
      <c r="W2403" s="7" t="str">
        <f>IF(ISBLANK(patch[[#This Row],[project]]), "",COUNTIFS($A:$A,patch[[#This Row],[number]],$S:$S, "BJ And dev",$AC:$AC, "Review-1"))</f>
        <v/>
      </c>
      <c r="X2403" s="7" t="str">
        <f>IF(ISBLANK(patch[[#This Row],[project]]), "",COUNTIFS($A:$A,patch[[#This Row],[number]],$S:$S, "FL And dev",$AC:$AC, "Review-1"))</f>
        <v/>
      </c>
      <c r="Y2403" s="7" t="str">
        <f>IF(ISBLANK(patch[[#This Row],[project]]), "",COUNTIFS($A:$A,patch[[#This Row],[number]],$S:$S, "SH And dev",$AC:$AC, "Review-1"))</f>
        <v/>
      </c>
      <c r="Z2403" s="7" t="str">
        <f>IF(ISBLANK(patch[[#This Row],[project]]), "",COUNTIFS($A:$A,patch[[#This Row],[number]],$S:$S, "BJ And dev",$AD:$AD, "&lt;&gt;IntegratorValidationComment"))</f>
        <v/>
      </c>
      <c r="AA2403" s="7" t="str">
        <f>IF(ISBLANK(patch[[#This Row],[project]]), "",COUNTIFS($A:$A,patch[[#This Row],[number]],$S:$S, "FL And dev",$AD:$AD, "&lt;&gt;IntegratorValidationComment"))</f>
        <v/>
      </c>
      <c r="AB2403" s="7" t="str">
        <f>IF(ISBLANK(patch[[#This Row],[project]]), "",COUNTIFS($A:$A,patch[[#This Row],[number]],$S:$S, "SH And dev",$AD:$AD, "&lt;&gt;IntegratorValidationComment"))</f>
        <v/>
      </c>
      <c r="AC2403" s="7" t="str">
        <f>IF(OR(ISNUMBER(FIND("Review-1", patch[[#This Row],[comments]])), ISNUMBER(FIND("Approver-1", patch[[#This Row],[comments]]))), "Review-1", "")</f>
        <v/>
      </c>
      <c r="AD24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03" s="7">
        <f>IF(ISBLANK(patch[[#This Row],[number]]),AE2402,patch[[#This Row],[ifCommon]])</f>
        <v>0</v>
      </c>
    </row>
    <row r="2404" spans="1:31">
      <c r="A2404" s="151">
        <v>142786</v>
      </c>
      <c r="B2404" s="151"/>
      <c r="C2404" s="151"/>
      <c r="D2404" s="151"/>
      <c r="E2404" s="151"/>
      <c r="F2404" s="151"/>
      <c r="G2404" s="151"/>
      <c r="H2404" s="151"/>
      <c r="I2404" s="151"/>
      <c r="J2404" s="152">
        <v>42618.700613425928</v>
      </c>
      <c r="K2404" s="151"/>
      <c r="L2404" s="151" t="s">
        <v>59</v>
      </c>
      <c r="M2404" s="152">
        <v>42615.668680555558</v>
      </c>
      <c r="N2404" s="151" t="s">
        <v>3781</v>
      </c>
      <c r="O2404" s="151"/>
      <c r="P2404" s="151"/>
      <c r="Q2404" s="7" t="str">
        <f>IF(ISBLANK(patch[[#This Row],[OwnerEmail]]),Q2403,patch[[#This Row],[OwnerEmail]])</f>
        <v>liang.l.yang@intel.com</v>
      </c>
      <c r="R2404" s="7" t="str">
        <f>_xlfn.IFNA(VLOOKUP(patch[[#This Row],[tmp-owner.email]],OrgTree!$A:$K, 11, 0), "not ICG SWFW")</f>
        <v>BJ And dev</v>
      </c>
      <c r="S2404" s="7" t="str">
        <f>IF(patch[[#This Row],[reviewer]]=patch[[#This Row],[tmp-owner.email]], "author", _xlfn.IFNA(VLOOKUP(patch[[#This Row],[reviewer]],OrgTree!$A:$K, 11, 0), "not ICG SWFW"))</f>
        <v>BJ And dev</v>
      </c>
      <c r="T2404" s="7" t="str">
        <f>IF(ISBLANK(patch[[#This Row],[mergeDate]]), "", MID(YEAR(patch[[#This Row],[mergeDate]]), 3,2)&amp;"'ww"&amp;WEEKNUM(patch[[#This Row],[mergeDate]]))</f>
        <v>16'ww37</v>
      </c>
      <c r="U2404" s="7" t="str">
        <f>IF(ISBLANK(patch[[#This Row],[mergeDate]]), U2403, MID(YEAR(patch[[#This Row],[mergeDate]]), 3,2)&amp;"'m"&amp;MONTH(patch[[#This Row],[mergeDate]]))</f>
        <v>16'm9</v>
      </c>
      <c r="V2404" s="7" t="str">
        <f>IF(ISBLANK(patch[[#This Row],[project]]), "",SUM(patch[[#This Row],[BJ -1 num]:[SH -1 num]]))</f>
        <v/>
      </c>
      <c r="W2404" s="7" t="str">
        <f>IF(ISBLANK(patch[[#This Row],[project]]), "",COUNTIFS($A:$A,patch[[#This Row],[number]],$S:$S, "BJ And dev",$AC:$AC, "Review-1"))</f>
        <v/>
      </c>
      <c r="X2404" s="7" t="str">
        <f>IF(ISBLANK(patch[[#This Row],[project]]), "",COUNTIFS($A:$A,patch[[#This Row],[number]],$S:$S, "FL And dev",$AC:$AC, "Review-1"))</f>
        <v/>
      </c>
      <c r="Y2404" s="7" t="str">
        <f>IF(ISBLANK(patch[[#This Row],[project]]), "",COUNTIFS($A:$A,patch[[#This Row],[number]],$S:$S, "SH And dev",$AC:$AC, "Review-1"))</f>
        <v/>
      </c>
      <c r="Z2404" s="7" t="str">
        <f>IF(ISBLANK(patch[[#This Row],[project]]), "",COUNTIFS($A:$A,patch[[#This Row],[number]],$S:$S, "BJ And dev",$AD:$AD, "&lt;&gt;IntegratorValidationComment"))</f>
        <v/>
      </c>
      <c r="AA2404" s="7" t="str">
        <f>IF(ISBLANK(patch[[#This Row],[project]]), "",COUNTIFS($A:$A,patch[[#This Row],[number]],$S:$S, "FL And dev",$AD:$AD, "&lt;&gt;IntegratorValidationComment"))</f>
        <v/>
      </c>
      <c r="AB2404" s="7" t="str">
        <f>IF(ISBLANK(patch[[#This Row],[project]]), "",COUNTIFS($A:$A,patch[[#This Row],[number]],$S:$S, "SH And dev",$AD:$AD, "&lt;&gt;IntegratorValidationComment"))</f>
        <v/>
      </c>
      <c r="AC2404" s="7" t="str">
        <f>IF(OR(ISNUMBER(FIND("Review-1", patch[[#This Row],[comments]])), ISNUMBER(FIND("Approver-1", patch[[#This Row],[comments]]))), "Review-1", "")</f>
        <v/>
      </c>
      <c r="AD24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04" s="7">
        <f>IF(ISBLANK(patch[[#This Row],[number]]),AE2403,patch[[#This Row],[ifCommon]])</f>
        <v>0</v>
      </c>
    </row>
    <row r="2405" spans="1:31">
      <c r="A2405" s="151">
        <v>142786</v>
      </c>
      <c r="B2405" s="151"/>
      <c r="C2405" s="151"/>
      <c r="D2405" s="151"/>
      <c r="E2405" s="151"/>
      <c r="F2405" s="151"/>
      <c r="G2405" s="151"/>
      <c r="H2405" s="151"/>
      <c r="I2405" s="151"/>
      <c r="J2405" s="152">
        <v>42618.700613425928</v>
      </c>
      <c r="K2405" s="151"/>
      <c r="L2405" s="151" t="s">
        <v>32</v>
      </c>
      <c r="M2405" s="152">
        <v>42615.676412037043</v>
      </c>
      <c r="N2405" s="151" t="s">
        <v>2506</v>
      </c>
      <c r="O2405" s="151"/>
      <c r="P2405" s="151"/>
      <c r="Q2405" s="7" t="str">
        <f>IF(ISBLANK(patch[[#This Row],[OwnerEmail]]),Q2404,patch[[#This Row],[OwnerEmail]])</f>
        <v>liang.l.yang@intel.com</v>
      </c>
      <c r="R2405" s="7" t="str">
        <f>_xlfn.IFNA(VLOOKUP(patch[[#This Row],[tmp-owner.email]],OrgTree!$A:$K, 11, 0), "not ICG SWFW")</f>
        <v>BJ And dev</v>
      </c>
      <c r="S2405" s="7" t="str">
        <f>IF(patch[[#This Row],[reviewer]]=patch[[#This Row],[tmp-owner.email]], "author", _xlfn.IFNA(VLOOKUP(patch[[#This Row],[reviewer]],OrgTree!$A:$K, 11, 0), "not ICG SWFW"))</f>
        <v>BJ And dev</v>
      </c>
      <c r="T2405" s="7" t="str">
        <f>IF(ISBLANK(patch[[#This Row],[mergeDate]]), "", MID(YEAR(patch[[#This Row],[mergeDate]]), 3,2)&amp;"'ww"&amp;WEEKNUM(patch[[#This Row],[mergeDate]]))</f>
        <v>16'ww37</v>
      </c>
      <c r="U2405" s="7" t="str">
        <f>IF(ISBLANK(patch[[#This Row],[mergeDate]]), U2404, MID(YEAR(patch[[#This Row],[mergeDate]]), 3,2)&amp;"'m"&amp;MONTH(patch[[#This Row],[mergeDate]]))</f>
        <v>16'm9</v>
      </c>
      <c r="V2405" s="7" t="str">
        <f>IF(ISBLANK(patch[[#This Row],[project]]), "",SUM(patch[[#This Row],[BJ -1 num]:[SH -1 num]]))</f>
        <v/>
      </c>
      <c r="W2405" s="7" t="str">
        <f>IF(ISBLANK(patch[[#This Row],[project]]), "",COUNTIFS($A:$A,patch[[#This Row],[number]],$S:$S, "BJ And dev",$AC:$AC, "Review-1"))</f>
        <v/>
      </c>
      <c r="X2405" s="7" t="str">
        <f>IF(ISBLANK(patch[[#This Row],[project]]), "",COUNTIFS($A:$A,patch[[#This Row],[number]],$S:$S, "FL And dev",$AC:$AC, "Review-1"))</f>
        <v/>
      </c>
      <c r="Y2405" s="7" t="str">
        <f>IF(ISBLANK(patch[[#This Row],[project]]), "",COUNTIFS($A:$A,patch[[#This Row],[number]],$S:$S, "SH And dev",$AC:$AC, "Review-1"))</f>
        <v/>
      </c>
      <c r="Z2405" s="7" t="str">
        <f>IF(ISBLANK(patch[[#This Row],[project]]), "",COUNTIFS($A:$A,patch[[#This Row],[number]],$S:$S, "BJ And dev",$AD:$AD, "&lt;&gt;IntegratorValidationComment"))</f>
        <v/>
      </c>
      <c r="AA2405" s="7" t="str">
        <f>IF(ISBLANK(patch[[#This Row],[project]]), "",COUNTIFS($A:$A,patch[[#This Row],[number]],$S:$S, "FL And dev",$AD:$AD, "&lt;&gt;IntegratorValidationComment"))</f>
        <v/>
      </c>
      <c r="AB2405" s="7" t="str">
        <f>IF(ISBLANK(patch[[#This Row],[project]]), "",COUNTIFS($A:$A,patch[[#This Row],[number]],$S:$S, "SH And dev",$AD:$AD, "&lt;&gt;IntegratorValidationComment"))</f>
        <v/>
      </c>
      <c r="AC2405" s="7" t="str">
        <f>IF(OR(ISNUMBER(FIND("Review-1", patch[[#This Row],[comments]])), ISNUMBER(FIND("Approver-1", patch[[#This Row],[comments]]))), "Review-1", "")</f>
        <v/>
      </c>
      <c r="AD24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05" s="7">
        <f>IF(ISBLANK(patch[[#This Row],[number]]),AE2404,patch[[#This Row],[ifCommon]])</f>
        <v>0</v>
      </c>
    </row>
    <row r="2406" spans="1:31">
      <c r="A2406" s="151">
        <v>142786</v>
      </c>
      <c r="B2406" s="151"/>
      <c r="C2406" s="151"/>
      <c r="D2406" s="151"/>
      <c r="E2406" s="151"/>
      <c r="F2406" s="151"/>
      <c r="G2406" s="151"/>
      <c r="H2406" s="151"/>
      <c r="I2406" s="152"/>
      <c r="J2406" s="152">
        <v>42618.700613425928</v>
      </c>
      <c r="K2406" s="151"/>
      <c r="L2406" s="151" t="s">
        <v>59</v>
      </c>
      <c r="M2406" s="152">
        <v>42615.678530092591</v>
      </c>
      <c r="N2406" s="151" t="s">
        <v>3782</v>
      </c>
      <c r="O2406" s="151"/>
      <c r="P2406" s="151"/>
      <c r="Q2406" s="7" t="str">
        <f>IF(ISBLANK(patch[[#This Row],[OwnerEmail]]),Q2405,patch[[#This Row],[OwnerEmail]])</f>
        <v>liang.l.yang@intel.com</v>
      </c>
      <c r="R2406" s="7" t="str">
        <f>_xlfn.IFNA(VLOOKUP(patch[[#This Row],[tmp-owner.email]],OrgTree!$A:$K, 11, 0), "not ICG SWFW")</f>
        <v>BJ And dev</v>
      </c>
      <c r="S2406" s="7" t="str">
        <f>IF(patch[[#This Row],[reviewer]]=patch[[#This Row],[tmp-owner.email]], "author", _xlfn.IFNA(VLOOKUP(patch[[#This Row],[reviewer]],OrgTree!$A:$K, 11, 0), "not ICG SWFW"))</f>
        <v>BJ And dev</v>
      </c>
      <c r="T2406" s="7" t="str">
        <f>IF(ISBLANK(patch[[#This Row],[mergeDate]]), "", MID(YEAR(patch[[#This Row],[mergeDate]]), 3,2)&amp;"'ww"&amp;WEEKNUM(patch[[#This Row],[mergeDate]]))</f>
        <v>16'ww37</v>
      </c>
      <c r="U2406" s="7" t="str">
        <f>IF(ISBLANK(patch[[#This Row],[mergeDate]]), U2405, MID(YEAR(patch[[#This Row],[mergeDate]]), 3,2)&amp;"'m"&amp;MONTH(patch[[#This Row],[mergeDate]]))</f>
        <v>16'm9</v>
      </c>
      <c r="V2406" s="7" t="str">
        <f>IF(ISBLANK(patch[[#This Row],[project]]), "",SUM(patch[[#This Row],[BJ -1 num]:[SH -1 num]]))</f>
        <v/>
      </c>
      <c r="W2406" s="7" t="str">
        <f>IF(ISBLANK(patch[[#This Row],[project]]), "",COUNTIFS($A:$A,patch[[#This Row],[number]],$S:$S, "BJ And dev",$AC:$AC, "Review-1"))</f>
        <v/>
      </c>
      <c r="X2406" s="7" t="str">
        <f>IF(ISBLANK(patch[[#This Row],[project]]), "",COUNTIFS($A:$A,patch[[#This Row],[number]],$S:$S, "FL And dev",$AC:$AC, "Review-1"))</f>
        <v/>
      </c>
      <c r="Y2406" s="7" t="str">
        <f>IF(ISBLANK(patch[[#This Row],[project]]), "",COUNTIFS($A:$A,patch[[#This Row],[number]],$S:$S, "SH And dev",$AC:$AC, "Review-1"))</f>
        <v/>
      </c>
      <c r="Z2406" s="7" t="str">
        <f>IF(ISBLANK(patch[[#This Row],[project]]), "",COUNTIFS($A:$A,patch[[#This Row],[number]],$S:$S, "BJ And dev",$AD:$AD, "&lt;&gt;IntegratorValidationComment"))</f>
        <v/>
      </c>
      <c r="AA2406" s="7" t="str">
        <f>IF(ISBLANK(patch[[#This Row],[project]]), "",COUNTIFS($A:$A,patch[[#This Row],[number]],$S:$S, "FL And dev",$AD:$AD, "&lt;&gt;IntegratorValidationComment"))</f>
        <v/>
      </c>
      <c r="AB2406" s="7" t="str">
        <f>IF(ISBLANK(patch[[#This Row],[project]]), "",COUNTIFS($A:$A,patch[[#This Row],[number]],$S:$S, "SH And dev",$AD:$AD, "&lt;&gt;IntegratorValidationComment"))</f>
        <v/>
      </c>
      <c r="AC2406" s="7" t="str">
        <f>IF(OR(ISNUMBER(FIND("Review-1", patch[[#This Row],[comments]])), ISNUMBER(FIND("Approver-1", patch[[#This Row],[comments]]))), "Review-1", "")</f>
        <v/>
      </c>
      <c r="AD24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06" s="7">
        <f>IF(ISBLANK(patch[[#This Row],[number]]),AE2405,patch[[#This Row],[ifCommon]])</f>
        <v>0</v>
      </c>
    </row>
    <row r="2407" spans="1:31">
      <c r="A2407" s="151">
        <v>142786</v>
      </c>
      <c r="B2407" s="151"/>
      <c r="C2407" s="151"/>
      <c r="D2407" s="151"/>
      <c r="E2407" s="151"/>
      <c r="F2407" s="151"/>
      <c r="G2407" s="151"/>
      <c r="H2407" s="151"/>
      <c r="I2407" s="151"/>
      <c r="J2407" s="152">
        <v>42618.700613425928</v>
      </c>
      <c r="K2407" s="151"/>
      <c r="L2407" s="151" t="s">
        <v>59</v>
      </c>
      <c r="M2407" s="152">
        <v>42615.679606481477</v>
      </c>
      <c r="N2407" s="151" t="s">
        <v>3783</v>
      </c>
      <c r="O2407" s="151"/>
      <c r="P2407" s="151"/>
      <c r="Q2407" s="7" t="str">
        <f>IF(ISBLANK(patch[[#This Row],[OwnerEmail]]),Q2406,patch[[#This Row],[OwnerEmail]])</f>
        <v>liang.l.yang@intel.com</v>
      </c>
      <c r="R2407" s="7" t="str">
        <f>_xlfn.IFNA(VLOOKUP(patch[[#This Row],[tmp-owner.email]],OrgTree!$A:$K, 11, 0), "not ICG SWFW")</f>
        <v>BJ And dev</v>
      </c>
      <c r="S2407" s="7" t="str">
        <f>IF(patch[[#This Row],[reviewer]]=patch[[#This Row],[tmp-owner.email]], "author", _xlfn.IFNA(VLOOKUP(patch[[#This Row],[reviewer]],OrgTree!$A:$K, 11, 0), "not ICG SWFW"))</f>
        <v>BJ And dev</v>
      </c>
      <c r="T2407" s="7" t="str">
        <f>IF(ISBLANK(patch[[#This Row],[mergeDate]]), "", MID(YEAR(patch[[#This Row],[mergeDate]]), 3,2)&amp;"'ww"&amp;WEEKNUM(patch[[#This Row],[mergeDate]]))</f>
        <v>16'ww37</v>
      </c>
      <c r="U2407" s="7" t="str">
        <f>IF(ISBLANK(patch[[#This Row],[mergeDate]]), U2406, MID(YEAR(patch[[#This Row],[mergeDate]]), 3,2)&amp;"'m"&amp;MONTH(patch[[#This Row],[mergeDate]]))</f>
        <v>16'm9</v>
      </c>
      <c r="V2407" s="7" t="str">
        <f>IF(ISBLANK(patch[[#This Row],[project]]), "",SUM(patch[[#This Row],[BJ -1 num]:[SH -1 num]]))</f>
        <v/>
      </c>
      <c r="W2407" s="7" t="str">
        <f>IF(ISBLANK(patch[[#This Row],[project]]), "",COUNTIFS($A:$A,patch[[#This Row],[number]],$S:$S, "BJ And dev",$AC:$AC, "Review-1"))</f>
        <v/>
      </c>
      <c r="X2407" s="7" t="str">
        <f>IF(ISBLANK(patch[[#This Row],[project]]), "",COUNTIFS($A:$A,patch[[#This Row],[number]],$S:$S, "FL And dev",$AC:$AC, "Review-1"))</f>
        <v/>
      </c>
      <c r="Y2407" s="7" t="str">
        <f>IF(ISBLANK(patch[[#This Row],[project]]), "",COUNTIFS($A:$A,patch[[#This Row],[number]],$S:$S, "SH And dev",$AC:$AC, "Review-1"))</f>
        <v/>
      </c>
      <c r="Z2407" s="7" t="str">
        <f>IF(ISBLANK(patch[[#This Row],[project]]), "",COUNTIFS($A:$A,patch[[#This Row],[number]],$S:$S, "BJ And dev",$AD:$AD, "&lt;&gt;IntegratorValidationComment"))</f>
        <v/>
      </c>
      <c r="AA2407" s="7" t="str">
        <f>IF(ISBLANK(patch[[#This Row],[project]]), "",COUNTIFS($A:$A,patch[[#This Row],[number]],$S:$S, "FL And dev",$AD:$AD, "&lt;&gt;IntegratorValidationComment"))</f>
        <v/>
      </c>
      <c r="AB2407" s="7" t="str">
        <f>IF(ISBLANK(patch[[#This Row],[project]]), "",COUNTIFS($A:$A,patch[[#This Row],[number]],$S:$S, "SH And dev",$AD:$AD, "&lt;&gt;IntegratorValidationComment"))</f>
        <v/>
      </c>
      <c r="AC2407" s="7" t="str">
        <f>IF(OR(ISNUMBER(FIND("Review-1", patch[[#This Row],[comments]])), ISNUMBER(FIND("Approver-1", patch[[#This Row],[comments]]))), "Review-1", "")</f>
        <v/>
      </c>
      <c r="AD24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07" s="7">
        <f>IF(ISBLANK(patch[[#This Row],[number]]),AE2406,patch[[#This Row],[ifCommon]])</f>
        <v>0</v>
      </c>
    </row>
    <row r="2408" spans="1:31">
      <c r="A2408" s="151">
        <v>142786</v>
      </c>
      <c r="B2408" s="151"/>
      <c r="C2408" s="151"/>
      <c r="D2408" s="151"/>
      <c r="E2408" s="151"/>
      <c r="F2408" s="151"/>
      <c r="G2408" s="151"/>
      <c r="H2408" s="151"/>
      <c r="I2408" s="151"/>
      <c r="J2408" s="152">
        <v>42618.700613425928</v>
      </c>
      <c r="K2408" s="151"/>
      <c r="L2408" s="151" t="s">
        <v>59</v>
      </c>
      <c r="M2408" s="152">
        <v>42615.726354166669</v>
      </c>
      <c r="N2408" s="151" t="s">
        <v>3784</v>
      </c>
      <c r="O2408" s="151"/>
      <c r="P2408" s="151"/>
      <c r="Q2408" s="7" t="str">
        <f>IF(ISBLANK(patch[[#This Row],[OwnerEmail]]),Q2407,patch[[#This Row],[OwnerEmail]])</f>
        <v>liang.l.yang@intel.com</v>
      </c>
      <c r="R2408" s="7" t="str">
        <f>_xlfn.IFNA(VLOOKUP(patch[[#This Row],[tmp-owner.email]],OrgTree!$A:$K, 11, 0), "not ICG SWFW")</f>
        <v>BJ And dev</v>
      </c>
      <c r="S2408" s="7" t="str">
        <f>IF(patch[[#This Row],[reviewer]]=patch[[#This Row],[tmp-owner.email]], "author", _xlfn.IFNA(VLOOKUP(patch[[#This Row],[reviewer]],OrgTree!$A:$K, 11, 0), "not ICG SWFW"))</f>
        <v>BJ And dev</v>
      </c>
      <c r="T2408" s="7" t="str">
        <f>IF(ISBLANK(patch[[#This Row],[mergeDate]]), "", MID(YEAR(patch[[#This Row],[mergeDate]]), 3,2)&amp;"'ww"&amp;WEEKNUM(patch[[#This Row],[mergeDate]]))</f>
        <v>16'ww37</v>
      </c>
      <c r="U2408" s="7" t="str">
        <f>IF(ISBLANK(patch[[#This Row],[mergeDate]]), U2407, MID(YEAR(patch[[#This Row],[mergeDate]]), 3,2)&amp;"'m"&amp;MONTH(patch[[#This Row],[mergeDate]]))</f>
        <v>16'm9</v>
      </c>
      <c r="V2408" s="7" t="str">
        <f>IF(ISBLANK(patch[[#This Row],[project]]), "",SUM(patch[[#This Row],[BJ -1 num]:[SH -1 num]]))</f>
        <v/>
      </c>
      <c r="W2408" s="7" t="str">
        <f>IF(ISBLANK(patch[[#This Row],[project]]), "",COUNTIFS($A:$A,patch[[#This Row],[number]],$S:$S, "BJ And dev",$AC:$AC, "Review-1"))</f>
        <v/>
      </c>
      <c r="X2408" s="7" t="str">
        <f>IF(ISBLANK(patch[[#This Row],[project]]), "",COUNTIFS($A:$A,patch[[#This Row],[number]],$S:$S, "FL And dev",$AC:$AC, "Review-1"))</f>
        <v/>
      </c>
      <c r="Y2408" s="7" t="str">
        <f>IF(ISBLANK(patch[[#This Row],[project]]), "",COUNTIFS($A:$A,patch[[#This Row],[number]],$S:$S, "SH And dev",$AC:$AC, "Review-1"))</f>
        <v/>
      </c>
      <c r="Z2408" s="7" t="str">
        <f>IF(ISBLANK(patch[[#This Row],[project]]), "",COUNTIFS($A:$A,patch[[#This Row],[number]],$S:$S, "BJ And dev",$AD:$AD, "&lt;&gt;IntegratorValidationComment"))</f>
        <v/>
      </c>
      <c r="AA2408" s="7" t="str">
        <f>IF(ISBLANK(patch[[#This Row],[project]]), "",COUNTIFS($A:$A,patch[[#This Row],[number]],$S:$S, "FL And dev",$AD:$AD, "&lt;&gt;IntegratorValidationComment"))</f>
        <v/>
      </c>
      <c r="AB2408" s="7" t="str">
        <f>IF(ISBLANK(patch[[#This Row],[project]]), "",COUNTIFS($A:$A,patch[[#This Row],[number]],$S:$S, "SH And dev",$AD:$AD, "&lt;&gt;IntegratorValidationComment"))</f>
        <v/>
      </c>
      <c r="AC2408" s="7" t="str">
        <f>IF(OR(ISNUMBER(FIND("Review-1", patch[[#This Row],[comments]])), ISNUMBER(FIND("Approver-1", patch[[#This Row],[comments]]))), "Review-1", "")</f>
        <v/>
      </c>
      <c r="AD24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08" s="7">
        <f>IF(ISBLANK(patch[[#This Row],[number]]),AE2407,patch[[#This Row],[ifCommon]])</f>
        <v>0</v>
      </c>
    </row>
    <row r="2409" spans="1:31">
      <c r="A2409" s="151">
        <v>142786</v>
      </c>
      <c r="B2409" s="151"/>
      <c r="C2409" s="151"/>
      <c r="D2409" s="151"/>
      <c r="E2409" s="151"/>
      <c r="F2409" s="151"/>
      <c r="G2409" s="151"/>
      <c r="H2409" s="151"/>
      <c r="I2409" s="151"/>
      <c r="J2409" s="152">
        <v>42618.700613425928</v>
      </c>
      <c r="K2409" s="151"/>
      <c r="L2409" s="151" t="s">
        <v>59</v>
      </c>
      <c r="M2409" s="152">
        <v>42615.72865740741</v>
      </c>
      <c r="N2409" s="151" t="s">
        <v>3785</v>
      </c>
      <c r="O2409" s="151"/>
      <c r="P2409" s="151"/>
      <c r="Q2409" s="7" t="str">
        <f>IF(ISBLANK(patch[[#This Row],[OwnerEmail]]),Q2408,patch[[#This Row],[OwnerEmail]])</f>
        <v>liang.l.yang@intel.com</v>
      </c>
      <c r="R2409" s="7" t="str">
        <f>_xlfn.IFNA(VLOOKUP(patch[[#This Row],[tmp-owner.email]],OrgTree!$A:$K, 11, 0), "not ICG SWFW")</f>
        <v>BJ And dev</v>
      </c>
      <c r="S2409" s="7" t="str">
        <f>IF(patch[[#This Row],[reviewer]]=patch[[#This Row],[tmp-owner.email]], "author", _xlfn.IFNA(VLOOKUP(patch[[#This Row],[reviewer]],OrgTree!$A:$K, 11, 0), "not ICG SWFW"))</f>
        <v>BJ And dev</v>
      </c>
      <c r="T2409" s="7" t="str">
        <f>IF(ISBLANK(patch[[#This Row],[mergeDate]]), "", MID(YEAR(patch[[#This Row],[mergeDate]]), 3,2)&amp;"'ww"&amp;WEEKNUM(patch[[#This Row],[mergeDate]]))</f>
        <v>16'ww37</v>
      </c>
      <c r="U2409" s="7" t="str">
        <f>IF(ISBLANK(patch[[#This Row],[mergeDate]]), U2408, MID(YEAR(patch[[#This Row],[mergeDate]]), 3,2)&amp;"'m"&amp;MONTH(patch[[#This Row],[mergeDate]]))</f>
        <v>16'm9</v>
      </c>
      <c r="V2409" s="7" t="str">
        <f>IF(ISBLANK(patch[[#This Row],[project]]), "",SUM(patch[[#This Row],[BJ -1 num]:[SH -1 num]]))</f>
        <v/>
      </c>
      <c r="W2409" s="7" t="str">
        <f>IF(ISBLANK(patch[[#This Row],[project]]), "",COUNTIFS($A:$A,patch[[#This Row],[number]],$S:$S, "BJ And dev",$AC:$AC, "Review-1"))</f>
        <v/>
      </c>
      <c r="X2409" s="7" t="str">
        <f>IF(ISBLANK(patch[[#This Row],[project]]), "",COUNTIFS($A:$A,patch[[#This Row],[number]],$S:$S, "FL And dev",$AC:$AC, "Review-1"))</f>
        <v/>
      </c>
      <c r="Y2409" s="7" t="str">
        <f>IF(ISBLANK(patch[[#This Row],[project]]), "",COUNTIFS($A:$A,patch[[#This Row],[number]],$S:$S, "SH And dev",$AC:$AC, "Review-1"))</f>
        <v/>
      </c>
      <c r="Z2409" s="7" t="str">
        <f>IF(ISBLANK(patch[[#This Row],[project]]), "",COUNTIFS($A:$A,patch[[#This Row],[number]],$S:$S, "BJ And dev",$AD:$AD, "&lt;&gt;IntegratorValidationComment"))</f>
        <v/>
      </c>
      <c r="AA2409" s="7" t="str">
        <f>IF(ISBLANK(patch[[#This Row],[project]]), "",COUNTIFS($A:$A,patch[[#This Row],[number]],$S:$S, "FL And dev",$AD:$AD, "&lt;&gt;IntegratorValidationComment"))</f>
        <v/>
      </c>
      <c r="AB2409" s="7" t="str">
        <f>IF(ISBLANK(patch[[#This Row],[project]]), "",COUNTIFS($A:$A,patch[[#This Row],[number]],$S:$S, "SH And dev",$AD:$AD, "&lt;&gt;IntegratorValidationComment"))</f>
        <v/>
      </c>
      <c r="AC2409" s="7" t="str">
        <f>IF(OR(ISNUMBER(FIND("Review-1", patch[[#This Row],[comments]])), ISNUMBER(FIND("Approver-1", patch[[#This Row],[comments]]))), "Review-1", "")</f>
        <v/>
      </c>
      <c r="AD24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09" s="7">
        <f>IF(ISBLANK(patch[[#This Row],[number]]),AE2408,patch[[#This Row],[ifCommon]])</f>
        <v>0</v>
      </c>
    </row>
    <row r="2410" spans="1:31">
      <c r="A2410" s="151">
        <v>142786</v>
      </c>
      <c r="B2410" s="151"/>
      <c r="C2410" s="151"/>
      <c r="D2410" s="151"/>
      <c r="E2410" s="151"/>
      <c r="F2410" s="151"/>
      <c r="G2410" s="151"/>
      <c r="H2410" s="151"/>
      <c r="I2410" s="151"/>
      <c r="J2410" s="152">
        <v>42618.700613425928</v>
      </c>
      <c r="K2410" s="151"/>
      <c r="L2410" s="151" t="s">
        <v>115</v>
      </c>
      <c r="M2410" s="152">
        <v>42618.418726851851</v>
      </c>
      <c r="N2410" s="151" t="s">
        <v>2507</v>
      </c>
      <c r="O2410" s="151"/>
      <c r="P2410" s="151"/>
      <c r="Q2410" s="7" t="str">
        <f>IF(ISBLANK(patch[[#This Row],[OwnerEmail]]),Q2409,patch[[#This Row],[OwnerEmail]])</f>
        <v>liang.l.yang@intel.com</v>
      </c>
      <c r="R2410" s="7" t="str">
        <f>_xlfn.IFNA(VLOOKUP(patch[[#This Row],[tmp-owner.email]],OrgTree!$A:$K, 11, 0), "not ICG SWFW")</f>
        <v>BJ And dev</v>
      </c>
      <c r="S2410" s="7" t="str">
        <f>IF(patch[[#This Row],[reviewer]]=patch[[#This Row],[tmp-owner.email]], "author", _xlfn.IFNA(VLOOKUP(patch[[#This Row],[reviewer]],OrgTree!$A:$K, 11, 0), "not ICG SWFW"))</f>
        <v>Val</v>
      </c>
      <c r="T2410" s="7" t="str">
        <f>IF(ISBLANK(patch[[#This Row],[mergeDate]]), "", MID(YEAR(patch[[#This Row],[mergeDate]]), 3,2)&amp;"'ww"&amp;WEEKNUM(patch[[#This Row],[mergeDate]]))</f>
        <v>16'ww37</v>
      </c>
      <c r="U2410" s="7" t="str">
        <f>IF(ISBLANK(patch[[#This Row],[mergeDate]]), U2409, MID(YEAR(patch[[#This Row],[mergeDate]]), 3,2)&amp;"'m"&amp;MONTH(patch[[#This Row],[mergeDate]]))</f>
        <v>16'm9</v>
      </c>
      <c r="V2410" s="7" t="str">
        <f>IF(ISBLANK(patch[[#This Row],[project]]), "",SUM(patch[[#This Row],[BJ -1 num]:[SH -1 num]]))</f>
        <v/>
      </c>
      <c r="W2410" s="7" t="str">
        <f>IF(ISBLANK(patch[[#This Row],[project]]), "",COUNTIFS($A:$A,patch[[#This Row],[number]],$S:$S, "BJ And dev",$AC:$AC, "Review-1"))</f>
        <v/>
      </c>
      <c r="X2410" s="7" t="str">
        <f>IF(ISBLANK(patch[[#This Row],[project]]), "",COUNTIFS($A:$A,patch[[#This Row],[number]],$S:$S, "FL And dev",$AC:$AC, "Review-1"))</f>
        <v/>
      </c>
      <c r="Y2410" s="7" t="str">
        <f>IF(ISBLANK(patch[[#This Row],[project]]), "",COUNTIFS($A:$A,patch[[#This Row],[number]],$S:$S, "SH And dev",$AC:$AC, "Review-1"))</f>
        <v/>
      </c>
      <c r="Z2410" s="7" t="str">
        <f>IF(ISBLANK(patch[[#This Row],[project]]), "",COUNTIFS($A:$A,patch[[#This Row],[number]],$S:$S, "BJ And dev",$AD:$AD, "&lt;&gt;IntegratorValidationComment"))</f>
        <v/>
      </c>
      <c r="AA2410" s="7" t="str">
        <f>IF(ISBLANK(patch[[#This Row],[project]]), "",COUNTIFS($A:$A,patch[[#This Row],[number]],$S:$S, "FL And dev",$AD:$AD, "&lt;&gt;IntegratorValidationComment"))</f>
        <v/>
      </c>
      <c r="AB2410" s="7" t="str">
        <f>IF(ISBLANK(patch[[#This Row],[project]]), "",COUNTIFS($A:$A,patch[[#This Row],[number]],$S:$S, "SH And dev",$AD:$AD, "&lt;&gt;IntegratorValidationComment"))</f>
        <v/>
      </c>
      <c r="AC2410" s="7" t="str">
        <f>IF(OR(ISNUMBER(FIND("Review-1", patch[[#This Row],[comments]])), ISNUMBER(FIND("Approver-1", patch[[#This Row],[comments]]))), "Review-1", "")</f>
        <v/>
      </c>
      <c r="AD24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410" s="7">
        <f>IF(ISBLANK(patch[[#This Row],[number]]),AE2409,patch[[#This Row],[ifCommon]])</f>
        <v>0</v>
      </c>
    </row>
    <row r="2411" spans="1:31">
      <c r="A2411" s="151">
        <v>142785</v>
      </c>
      <c r="B2411" s="151" t="s">
        <v>2490</v>
      </c>
      <c r="C2411" s="151" t="s">
        <v>2491</v>
      </c>
      <c r="D2411" s="151" t="s">
        <v>3786</v>
      </c>
      <c r="E2411" s="151" t="s">
        <v>55</v>
      </c>
      <c r="F2411" s="151" t="s">
        <v>23</v>
      </c>
      <c r="G2411" s="151" t="s">
        <v>3787</v>
      </c>
      <c r="H2411" s="151" t="s">
        <v>3788</v>
      </c>
      <c r="I2411" s="152">
        <v>42614.669675925928</v>
      </c>
      <c r="J2411" s="152">
        <v>42618.700509259259</v>
      </c>
      <c r="K2411" s="151" t="s">
        <v>2445</v>
      </c>
      <c r="L2411" s="151" t="s">
        <v>55</v>
      </c>
      <c r="M2411" s="152">
        <v>42614.669675925928</v>
      </c>
      <c r="N2411" s="151" t="s">
        <v>25</v>
      </c>
      <c r="O2411" s="151"/>
      <c r="P2411" s="151" t="s">
        <v>2498</v>
      </c>
      <c r="Q2411" s="7" t="str">
        <f>IF(ISBLANK(patch[[#This Row],[OwnerEmail]]),Q2410,patch[[#This Row],[OwnerEmail]])</f>
        <v>liang.l.yang@intel.com</v>
      </c>
      <c r="R2411" s="7" t="str">
        <f>_xlfn.IFNA(VLOOKUP(patch[[#This Row],[tmp-owner.email]],OrgTree!$A:$K, 11, 0), "not ICG SWFW")</f>
        <v>BJ And dev</v>
      </c>
      <c r="S2411" s="7" t="str">
        <f>IF(patch[[#This Row],[reviewer]]=patch[[#This Row],[tmp-owner.email]], "author", _xlfn.IFNA(VLOOKUP(patch[[#This Row],[reviewer]],OrgTree!$A:$K, 11, 0), "not ICG SWFW"))</f>
        <v>author</v>
      </c>
      <c r="T2411" s="7" t="str">
        <f>IF(ISBLANK(patch[[#This Row],[mergeDate]]), "", MID(YEAR(patch[[#This Row],[mergeDate]]), 3,2)&amp;"'ww"&amp;WEEKNUM(patch[[#This Row],[mergeDate]]))</f>
        <v>16'ww37</v>
      </c>
      <c r="U2411" s="7" t="str">
        <f>IF(ISBLANK(patch[[#This Row],[mergeDate]]), U2410, MID(YEAR(patch[[#This Row],[mergeDate]]), 3,2)&amp;"'m"&amp;MONTH(patch[[#This Row],[mergeDate]]))</f>
        <v>16'm9</v>
      </c>
      <c r="V2411" s="7">
        <f>IF(ISBLANK(patch[[#This Row],[project]]), "",SUM(patch[[#This Row],[BJ -1 num]:[SH -1 num]]))</f>
        <v>0</v>
      </c>
      <c r="W2411" s="7">
        <f>IF(ISBLANK(patch[[#This Row],[project]]), "",COUNTIFS($A:$A,patch[[#This Row],[number]],$S:$S, "BJ And dev",$AC:$AC, "Review-1"))</f>
        <v>0</v>
      </c>
      <c r="X2411" s="7">
        <f>IF(ISBLANK(patch[[#This Row],[project]]), "",COUNTIFS($A:$A,patch[[#This Row],[number]],$S:$S, "FL And dev",$AC:$AC, "Review-1"))</f>
        <v>0</v>
      </c>
      <c r="Y2411" s="7">
        <f>IF(ISBLANK(patch[[#This Row],[project]]), "",COUNTIFS($A:$A,patch[[#This Row],[number]],$S:$S, "SH And dev",$AC:$AC, "Review-1"))</f>
        <v>0</v>
      </c>
      <c r="Z2411" s="7">
        <f>IF(ISBLANK(patch[[#This Row],[project]]), "",COUNTIFS($A:$A,patch[[#This Row],[number]],$S:$S, "BJ And dev",$AD:$AD, "&lt;&gt;IntegratorValidationComment"))</f>
        <v>19</v>
      </c>
      <c r="AA2411" s="7">
        <f>IF(ISBLANK(patch[[#This Row],[project]]), "",COUNTIFS($A:$A,patch[[#This Row],[number]],$S:$S, "FL And dev",$AD:$AD, "&lt;&gt;IntegratorValidationComment"))</f>
        <v>0</v>
      </c>
      <c r="AB2411" s="7">
        <f>IF(ISBLANK(patch[[#This Row],[project]]), "",COUNTIFS($A:$A,patch[[#This Row],[number]],$S:$S, "SH And dev",$AD:$AD, "&lt;&gt;IntegratorValidationComment"))</f>
        <v>0</v>
      </c>
      <c r="AC2411" s="7" t="str">
        <f>IF(OR(ISNUMBER(FIND("Review-1", patch[[#This Row],[comments]])), ISNUMBER(FIND("Approver-1", patch[[#This Row],[comments]]))), "Review-1", "")</f>
        <v/>
      </c>
      <c r="AD24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11" s="7" t="str">
        <f>IF(ISBLANK(patch[[#This Row],[number]]),AE2410,patch[[#This Row],[ifCommon]])</f>
        <v>not AndrHAL</v>
      </c>
    </row>
    <row r="2412" spans="1:31">
      <c r="A2412" s="151">
        <v>142785</v>
      </c>
      <c r="B2412" s="151"/>
      <c r="C2412" s="151"/>
      <c r="D2412" s="151"/>
      <c r="E2412" s="151"/>
      <c r="F2412" s="151"/>
      <c r="G2412" s="151"/>
      <c r="H2412" s="151"/>
      <c r="I2412" s="151"/>
      <c r="J2412" s="152">
        <v>42618.700509259259</v>
      </c>
      <c r="K2412" s="151"/>
      <c r="L2412" s="151" t="s">
        <v>55</v>
      </c>
      <c r="M2412" s="152">
        <v>42614.669675925928</v>
      </c>
      <c r="N2412" s="151" t="s">
        <v>2428</v>
      </c>
      <c r="O2412" s="151"/>
      <c r="P2412" s="151"/>
      <c r="Q2412" s="7" t="str">
        <f>IF(ISBLANK(patch[[#This Row],[OwnerEmail]]),Q2411,patch[[#This Row],[OwnerEmail]])</f>
        <v>liang.l.yang@intel.com</v>
      </c>
      <c r="R2412" s="7" t="str">
        <f>_xlfn.IFNA(VLOOKUP(patch[[#This Row],[tmp-owner.email]],OrgTree!$A:$K, 11, 0), "not ICG SWFW")</f>
        <v>BJ And dev</v>
      </c>
      <c r="S2412" s="7" t="str">
        <f>IF(patch[[#This Row],[reviewer]]=patch[[#This Row],[tmp-owner.email]], "author", _xlfn.IFNA(VLOOKUP(patch[[#This Row],[reviewer]],OrgTree!$A:$K, 11, 0), "not ICG SWFW"))</f>
        <v>author</v>
      </c>
      <c r="T2412" s="7" t="str">
        <f>IF(ISBLANK(patch[[#This Row],[mergeDate]]), "", MID(YEAR(patch[[#This Row],[mergeDate]]), 3,2)&amp;"'ww"&amp;WEEKNUM(patch[[#This Row],[mergeDate]]))</f>
        <v>16'ww37</v>
      </c>
      <c r="U2412" s="7" t="str">
        <f>IF(ISBLANK(patch[[#This Row],[mergeDate]]), U2411, MID(YEAR(patch[[#This Row],[mergeDate]]), 3,2)&amp;"'m"&amp;MONTH(patch[[#This Row],[mergeDate]]))</f>
        <v>16'm9</v>
      </c>
      <c r="V2412" s="7" t="str">
        <f>IF(ISBLANK(patch[[#This Row],[project]]), "",SUM(patch[[#This Row],[BJ -1 num]:[SH -1 num]]))</f>
        <v/>
      </c>
      <c r="W2412" s="7" t="str">
        <f>IF(ISBLANK(patch[[#This Row],[project]]), "",COUNTIFS($A:$A,patch[[#This Row],[number]],$S:$S, "BJ And dev",$AC:$AC, "Review-1"))</f>
        <v/>
      </c>
      <c r="X2412" s="7" t="str">
        <f>IF(ISBLANK(patch[[#This Row],[project]]), "",COUNTIFS($A:$A,patch[[#This Row],[number]],$S:$S, "FL And dev",$AC:$AC, "Review-1"))</f>
        <v/>
      </c>
      <c r="Y2412" s="7" t="str">
        <f>IF(ISBLANK(patch[[#This Row],[project]]), "",COUNTIFS($A:$A,patch[[#This Row],[number]],$S:$S, "SH And dev",$AC:$AC, "Review-1"))</f>
        <v/>
      </c>
      <c r="Z2412" s="7" t="str">
        <f>IF(ISBLANK(patch[[#This Row],[project]]), "",COUNTIFS($A:$A,patch[[#This Row],[number]],$S:$S, "BJ And dev",$AD:$AD, "&lt;&gt;IntegratorValidationComment"))</f>
        <v/>
      </c>
      <c r="AA2412" s="7" t="str">
        <f>IF(ISBLANK(patch[[#This Row],[project]]), "",COUNTIFS($A:$A,patch[[#This Row],[number]],$S:$S, "FL And dev",$AD:$AD, "&lt;&gt;IntegratorValidationComment"))</f>
        <v/>
      </c>
      <c r="AB2412" s="7" t="str">
        <f>IF(ISBLANK(patch[[#This Row],[project]]), "",COUNTIFS($A:$A,patch[[#This Row],[number]],$S:$S, "SH And dev",$AD:$AD, "&lt;&gt;IntegratorValidationComment"))</f>
        <v/>
      </c>
      <c r="AC2412" s="7" t="str">
        <f>IF(OR(ISNUMBER(FIND("Review-1", patch[[#This Row],[comments]])), ISNUMBER(FIND("Approver-1", patch[[#This Row],[comments]]))), "Review-1", "")</f>
        <v/>
      </c>
      <c r="AD24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12" s="7">
        <f>IF(ISBLANK(patch[[#This Row],[number]]),AE2411,patch[[#This Row],[ifCommon]])</f>
        <v>0</v>
      </c>
    </row>
    <row r="2413" spans="1:31">
      <c r="A2413" s="151">
        <v>142785</v>
      </c>
      <c r="B2413" s="151"/>
      <c r="C2413" s="151"/>
      <c r="D2413" s="151"/>
      <c r="E2413" s="151"/>
      <c r="F2413" s="151"/>
      <c r="G2413" s="151"/>
      <c r="H2413" s="151"/>
      <c r="I2413" s="151"/>
      <c r="J2413" s="152">
        <v>42618.700509259259</v>
      </c>
      <c r="K2413" s="151"/>
      <c r="L2413" s="151" t="s">
        <v>55</v>
      </c>
      <c r="M2413" s="152">
        <v>42614.673587962963</v>
      </c>
      <c r="N2413" s="151" t="s">
        <v>40</v>
      </c>
      <c r="O2413" s="151"/>
      <c r="P2413" s="151"/>
      <c r="Q2413" s="7" t="str">
        <f>IF(ISBLANK(patch[[#This Row],[OwnerEmail]]),Q2412,patch[[#This Row],[OwnerEmail]])</f>
        <v>liang.l.yang@intel.com</v>
      </c>
      <c r="R2413" s="7" t="str">
        <f>_xlfn.IFNA(VLOOKUP(patch[[#This Row],[tmp-owner.email]],OrgTree!$A:$K, 11, 0), "not ICG SWFW")</f>
        <v>BJ And dev</v>
      </c>
      <c r="S2413" s="7" t="str">
        <f>IF(patch[[#This Row],[reviewer]]=patch[[#This Row],[tmp-owner.email]], "author", _xlfn.IFNA(VLOOKUP(patch[[#This Row],[reviewer]],OrgTree!$A:$K, 11, 0), "not ICG SWFW"))</f>
        <v>author</v>
      </c>
      <c r="T2413" s="7" t="str">
        <f>IF(ISBLANK(patch[[#This Row],[mergeDate]]), "", MID(YEAR(patch[[#This Row],[mergeDate]]), 3,2)&amp;"'ww"&amp;WEEKNUM(patch[[#This Row],[mergeDate]]))</f>
        <v>16'ww37</v>
      </c>
      <c r="U2413" s="7" t="str">
        <f>IF(ISBLANK(patch[[#This Row],[mergeDate]]), U2412, MID(YEAR(patch[[#This Row],[mergeDate]]), 3,2)&amp;"'m"&amp;MONTH(patch[[#This Row],[mergeDate]]))</f>
        <v>16'm9</v>
      </c>
      <c r="V2413" s="7" t="str">
        <f>IF(ISBLANK(patch[[#This Row],[project]]), "",SUM(patch[[#This Row],[BJ -1 num]:[SH -1 num]]))</f>
        <v/>
      </c>
      <c r="W2413" s="7" t="str">
        <f>IF(ISBLANK(patch[[#This Row],[project]]), "",COUNTIFS($A:$A,patch[[#This Row],[number]],$S:$S, "BJ And dev",$AC:$AC, "Review-1"))</f>
        <v/>
      </c>
      <c r="X2413" s="7" t="str">
        <f>IF(ISBLANK(patch[[#This Row],[project]]), "",COUNTIFS($A:$A,patch[[#This Row],[number]],$S:$S, "FL And dev",$AC:$AC, "Review-1"))</f>
        <v/>
      </c>
      <c r="Y2413" s="7" t="str">
        <f>IF(ISBLANK(patch[[#This Row],[project]]), "",COUNTIFS($A:$A,patch[[#This Row],[number]],$S:$S, "SH And dev",$AC:$AC, "Review-1"))</f>
        <v/>
      </c>
      <c r="Z2413" s="7" t="str">
        <f>IF(ISBLANK(patch[[#This Row],[project]]), "",COUNTIFS($A:$A,patch[[#This Row],[number]],$S:$S, "BJ And dev",$AD:$AD, "&lt;&gt;IntegratorValidationComment"))</f>
        <v/>
      </c>
      <c r="AA2413" s="7" t="str">
        <f>IF(ISBLANK(patch[[#This Row],[project]]), "",COUNTIFS($A:$A,patch[[#This Row],[number]],$S:$S, "FL And dev",$AD:$AD, "&lt;&gt;IntegratorValidationComment"))</f>
        <v/>
      </c>
      <c r="AB2413" s="7" t="str">
        <f>IF(ISBLANK(patch[[#This Row],[project]]), "",COUNTIFS($A:$A,patch[[#This Row],[number]],$S:$S, "SH And dev",$AD:$AD, "&lt;&gt;IntegratorValidationComment"))</f>
        <v/>
      </c>
      <c r="AC2413" s="7" t="str">
        <f>IF(OR(ISNUMBER(FIND("Review-1", patch[[#This Row],[comments]])), ISNUMBER(FIND("Approver-1", patch[[#This Row],[comments]]))), "Review-1", "")</f>
        <v/>
      </c>
      <c r="AD24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13" s="7">
        <f>IF(ISBLANK(patch[[#This Row],[number]]),AE2412,patch[[#This Row],[ifCommon]])</f>
        <v>0</v>
      </c>
    </row>
    <row r="2414" spans="1:31">
      <c r="A2414" s="151">
        <v>142785</v>
      </c>
      <c r="B2414" s="151"/>
      <c r="C2414" s="151"/>
      <c r="D2414" s="151"/>
      <c r="E2414" s="151"/>
      <c r="F2414" s="151"/>
      <c r="G2414" s="151"/>
      <c r="H2414" s="151"/>
      <c r="I2414" s="151"/>
      <c r="J2414" s="152">
        <v>42618.700509259259</v>
      </c>
      <c r="K2414" s="151"/>
      <c r="L2414" s="151" t="s">
        <v>59</v>
      </c>
      <c r="M2414" s="152">
        <v>42614.674710648149</v>
      </c>
      <c r="N2414" s="151" t="s">
        <v>40</v>
      </c>
      <c r="O2414" s="151"/>
      <c r="P2414" s="151"/>
      <c r="Q2414" s="7" t="str">
        <f>IF(ISBLANK(patch[[#This Row],[OwnerEmail]]),Q2413,patch[[#This Row],[OwnerEmail]])</f>
        <v>liang.l.yang@intel.com</v>
      </c>
      <c r="R2414" s="7" t="str">
        <f>_xlfn.IFNA(VLOOKUP(patch[[#This Row],[tmp-owner.email]],OrgTree!$A:$K, 11, 0), "not ICG SWFW")</f>
        <v>BJ And dev</v>
      </c>
      <c r="S2414" s="7" t="str">
        <f>IF(patch[[#This Row],[reviewer]]=patch[[#This Row],[tmp-owner.email]], "author", _xlfn.IFNA(VLOOKUP(patch[[#This Row],[reviewer]],OrgTree!$A:$K, 11, 0), "not ICG SWFW"))</f>
        <v>BJ And dev</v>
      </c>
      <c r="T2414" s="7" t="str">
        <f>IF(ISBLANK(patch[[#This Row],[mergeDate]]), "", MID(YEAR(patch[[#This Row],[mergeDate]]), 3,2)&amp;"'ww"&amp;WEEKNUM(patch[[#This Row],[mergeDate]]))</f>
        <v>16'ww37</v>
      </c>
      <c r="U2414" s="7" t="str">
        <f>IF(ISBLANK(patch[[#This Row],[mergeDate]]), U2413, MID(YEAR(patch[[#This Row],[mergeDate]]), 3,2)&amp;"'m"&amp;MONTH(patch[[#This Row],[mergeDate]]))</f>
        <v>16'm9</v>
      </c>
      <c r="V2414" s="7" t="str">
        <f>IF(ISBLANK(patch[[#This Row],[project]]), "",SUM(patch[[#This Row],[BJ -1 num]:[SH -1 num]]))</f>
        <v/>
      </c>
      <c r="W2414" s="7" t="str">
        <f>IF(ISBLANK(patch[[#This Row],[project]]), "",COUNTIFS($A:$A,patch[[#This Row],[number]],$S:$S, "BJ And dev",$AC:$AC, "Review-1"))</f>
        <v/>
      </c>
      <c r="X2414" s="7" t="str">
        <f>IF(ISBLANK(patch[[#This Row],[project]]), "",COUNTIFS($A:$A,patch[[#This Row],[number]],$S:$S, "FL And dev",$AC:$AC, "Review-1"))</f>
        <v/>
      </c>
      <c r="Y2414" s="7" t="str">
        <f>IF(ISBLANK(patch[[#This Row],[project]]), "",COUNTIFS($A:$A,patch[[#This Row],[number]],$S:$S, "SH And dev",$AC:$AC, "Review-1"))</f>
        <v/>
      </c>
      <c r="Z2414" s="7" t="str">
        <f>IF(ISBLANK(patch[[#This Row],[project]]), "",COUNTIFS($A:$A,patch[[#This Row],[number]],$S:$S, "BJ And dev",$AD:$AD, "&lt;&gt;IntegratorValidationComment"))</f>
        <v/>
      </c>
      <c r="AA2414" s="7" t="str">
        <f>IF(ISBLANK(patch[[#This Row],[project]]), "",COUNTIFS($A:$A,patch[[#This Row],[number]],$S:$S, "FL And dev",$AD:$AD, "&lt;&gt;IntegratorValidationComment"))</f>
        <v/>
      </c>
      <c r="AB2414" s="7" t="str">
        <f>IF(ISBLANK(patch[[#This Row],[project]]), "",COUNTIFS($A:$A,patch[[#This Row],[number]],$S:$S, "SH And dev",$AD:$AD, "&lt;&gt;IntegratorValidationComment"))</f>
        <v/>
      </c>
      <c r="AC2414" s="7" t="str">
        <f>IF(OR(ISNUMBER(FIND("Review-1", patch[[#This Row],[comments]])), ISNUMBER(FIND("Approver-1", patch[[#This Row],[comments]]))), "Review-1", "")</f>
        <v/>
      </c>
      <c r="AD24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14" s="7">
        <f>IF(ISBLANK(patch[[#This Row],[number]]),AE2413,patch[[#This Row],[ifCommon]])</f>
        <v>0</v>
      </c>
    </row>
    <row r="2415" spans="1:31">
      <c r="A2415" s="151">
        <v>142785</v>
      </c>
      <c r="B2415" s="151"/>
      <c r="C2415" s="151"/>
      <c r="D2415" s="151"/>
      <c r="E2415" s="151"/>
      <c r="F2415" s="151"/>
      <c r="G2415" s="151"/>
      <c r="H2415" s="151"/>
      <c r="I2415" s="151"/>
      <c r="J2415" s="152">
        <v>42618.700509259259</v>
      </c>
      <c r="K2415" s="151"/>
      <c r="L2415" s="151" t="s">
        <v>59</v>
      </c>
      <c r="M2415" s="152">
        <v>42614.67559027778</v>
      </c>
      <c r="N2415" s="151" t="s">
        <v>3789</v>
      </c>
      <c r="O2415" s="151"/>
      <c r="P2415" s="151"/>
      <c r="Q2415" s="7" t="str">
        <f>IF(ISBLANK(patch[[#This Row],[OwnerEmail]]),Q2414,patch[[#This Row],[OwnerEmail]])</f>
        <v>liang.l.yang@intel.com</v>
      </c>
      <c r="R2415" s="7" t="str">
        <f>_xlfn.IFNA(VLOOKUP(patch[[#This Row],[tmp-owner.email]],OrgTree!$A:$K, 11, 0), "not ICG SWFW")</f>
        <v>BJ And dev</v>
      </c>
      <c r="S2415" s="7" t="str">
        <f>IF(patch[[#This Row],[reviewer]]=patch[[#This Row],[tmp-owner.email]], "author", _xlfn.IFNA(VLOOKUP(patch[[#This Row],[reviewer]],OrgTree!$A:$K, 11, 0), "not ICG SWFW"))</f>
        <v>BJ And dev</v>
      </c>
      <c r="T2415" s="7" t="str">
        <f>IF(ISBLANK(patch[[#This Row],[mergeDate]]), "", MID(YEAR(patch[[#This Row],[mergeDate]]), 3,2)&amp;"'ww"&amp;WEEKNUM(patch[[#This Row],[mergeDate]]))</f>
        <v>16'ww37</v>
      </c>
      <c r="U2415" s="7" t="str">
        <f>IF(ISBLANK(patch[[#This Row],[mergeDate]]), U2414, MID(YEAR(patch[[#This Row],[mergeDate]]), 3,2)&amp;"'m"&amp;MONTH(patch[[#This Row],[mergeDate]]))</f>
        <v>16'm9</v>
      </c>
      <c r="V2415" s="7" t="str">
        <f>IF(ISBLANK(patch[[#This Row],[project]]), "",SUM(patch[[#This Row],[BJ -1 num]:[SH -1 num]]))</f>
        <v/>
      </c>
      <c r="W2415" s="7" t="str">
        <f>IF(ISBLANK(patch[[#This Row],[project]]), "",COUNTIFS($A:$A,patch[[#This Row],[number]],$S:$S, "BJ And dev",$AC:$AC, "Review-1"))</f>
        <v/>
      </c>
      <c r="X2415" s="7" t="str">
        <f>IF(ISBLANK(patch[[#This Row],[project]]), "",COUNTIFS($A:$A,patch[[#This Row],[number]],$S:$S, "FL And dev",$AC:$AC, "Review-1"))</f>
        <v/>
      </c>
      <c r="Y2415" s="7" t="str">
        <f>IF(ISBLANK(patch[[#This Row],[project]]), "",COUNTIFS($A:$A,patch[[#This Row],[number]],$S:$S, "SH And dev",$AC:$AC, "Review-1"))</f>
        <v/>
      </c>
      <c r="Z2415" s="7" t="str">
        <f>IF(ISBLANK(patch[[#This Row],[project]]), "",COUNTIFS($A:$A,patch[[#This Row],[number]],$S:$S, "BJ And dev",$AD:$AD, "&lt;&gt;IntegratorValidationComment"))</f>
        <v/>
      </c>
      <c r="AA2415" s="7" t="str">
        <f>IF(ISBLANK(patch[[#This Row],[project]]), "",COUNTIFS($A:$A,patch[[#This Row],[number]],$S:$S, "FL And dev",$AD:$AD, "&lt;&gt;IntegratorValidationComment"))</f>
        <v/>
      </c>
      <c r="AB2415" s="7" t="str">
        <f>IF(ISBLANK(patch[[#This Row],[project]]), "",COUNTIFS($A:$A,patch[[#This Row],[number]],$S:$S, "SH And dev",$AD:$AD, "&lt;&gt;IntegratorValidationComment"))</f>
        <v/>
      </c>
      <c r="AC2415" s="7" t="str">
        <f>IF(OR(ISNUMBER(FIND("Review-1", patch[[#This Row],[comments]])), ISNUMBER(FIND("Approver-1", patch[[#This Row],[comments]]))), "Review-1", "")</f>
        <v/>
      </c>
      <c r="AD24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15" s="7">
        <f>IF(ISBLANK(patch[[#This Row],[number]]),AE2414,patch[[#This Row],[ifCommon]])</f>
        <v>0</v>
      </c>
    </row>
    <row r="2416" spans="1:31">
      <c r="A2416" s="151">
        <v>142785</v>
      </c>
      <c r="B2416" s="151"/>
      <c r="C2416" s="151"/>
      <c r="D2416" s="151"/>
      <c r="E2416" s="151"/>
      <c r="F2416" s="151"/>
      <c r="G2416" s="151"/>
      <c r="H2416" s="151"/>
      <c r="I2416" s="152"/>
      <c r="J2416" s="152">
        <v>42618.700509259259</v>
      </c>
      <c r="K2416" s="151"/>
      <c r="L2416" s="151" t="s">
        <v>59</v>
      </c>
      <c r="M2416" s="152">
        <v>42614.678946759261</v>
      </c>
      <c r="N2416" s="151" t="s">
        <v>3790</v>
      </c>
      <c r="O2416" s="151"/>
      <c r="P2416" s="151"/>
      <c r="Q2416" s="7" t="str">
        <f>IF(ISBLANK(patch[[#This Row],[OwnerEmail]]),Q2415,patch[[#This Row],[OwnerEmail]])</f>
        <v>liang.l.yang@intel.com</v>
      </c>
      <c r="R2416" s="7" t="str">
        <f>_xlfn.IFNA(VLOOKUP(patch[[#This Row],[tmp-owner.email]],OrgTree!$A:$K, 11, 0), "not ICG SWFW")</f>
        <v>BJ And dev</v>
      </c>
      <c r="S2416" s="7" t="str">
        <f>IF(patch[[#This Row],[reviewer]]=patch[[#This Row],[tmp-owner.email]], "author", _xlfn.IFNA(VLOOKUP(patch[[#This Row],[reviewer]],OrgTree!$A:$K, 11, 0), "not ICG SWFW"))</f>
        <v>BJ And dev</v>
      </c>
      <c r="T2416" s="7" t="str">
        <f>IF(ISBLANK(patch[[#This Row],[mergeDate]]), "", MID(YEAR(patch[[#This Row],[mergeDate]]), 3,2)&amp;"'ww"&amp;WEEKNUM(patch[[#This Row],[mergeDate]]))</f>
        <v>16'ww37</v>
      </c>
      <c r="U2416" s="7" t="str">
        <f>IF(ISBLANK(patch[[#This Row],[mergeDate]]), U2415, MID(YEAR(patch[[#This Row],[mergeDate]]), 3,2)&amp;"'m"&amp;MONTH(patch[[#This Row],[mergeDate]]))</f>
        <v>16'm9</v>
      </c>
      <c r="V2416" s="7" t="str">
        <f>IF(ISBLANK(patch[[#This Row],[project]]), "",SUM(patch[[#This Row],[BJ -1 num]:[SH -1 num]]))</f>
        <v/>
      </c>
      <c r="W2416" s="7" t="str">
        <f>IF(ISBLANK(patch[[#This Row],[project]]), "",COUNTIFS($A:$A,patch[[#This Row],[number]],$S:$S, "BJ And dev",$AC:$AC, "Review-1"))</f>
        <v/>
      </c>
      <c r="X2416" s="7" t="str">
        <f>IF(ISBLANK(patch[[#This Row],[project]]), "",COUNTIFS($A:$A,patch[[#This Row],[number]],$S:$S, "FL And dev",$AC:$AC, "Review-1"))</f>
        <v/>
      </c>
      <c r="Y2416" s="7" t="str">
        <f>IF(ISBLANK(patch[[#This Row],[project]]), "",COUNTIFS($A:$A,patch[[#This Row],[number]],$S:$S, "SH And dev",$AC:$AC, "Review-1"))</f>
        <v/>
      </c>
      <c r="Z2416" s="7" t="str">
        <f>IF(ISBLANK(patch[[#This Row],[project]]), "",COUNTIFS($A:$A,patch[[#This Row],[number]],$S:$S, "BJ And dev",$AD:$AD, "&lt;&gt;IntegratorValidationComment"))</f>
        <v/>
      </c>
      <c r="AA2416" s="7" t="str">
        <f>IF(ISBLANK(patch[[#This Row],[project]]), "",COUNTIFS($A:$A,patch[[#This Row],[number]],$S:$S, "FL And dev",$AD:$AD, "&lt;&gt;IntegratorValidationComment"))</f>
        <v/>
      </c>
      <c r="AB2416" s="7" t="str">
        <f>IF(ISBLANK(patch[[#This Row],[project]]), "",COUNTIFS($A:$A,patch[[#This Row],[number]],$S:$S, "SH And dev",$AD:$AD, "&lt;&gt;IntegratorValidationComment"))</f>
        <v/>
      </c>
      <c r="AC2416" s="7" t="str">
        <f>IF(OR(ISNUMBER(FIND("Review-1", patch[[#This Row],[comments]])), ISNUMBER(FIND("Approver-1", patch[[#This Row],[comments]]))), "Review-1", "")</f>
        <v/>
      </c>
      <c r="AD24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16" s="7">
        <f>IF(ISBLANK(patch[[#This Row],[number]]),AE2415,patch[[#This Row],[ifCommon]])</f>
        <v>0</v>
      </c>
    </row>
    <row r="2417" spans="1:31">
      <c r="A2417" s="151">
        <v>142785</v>
      </c>
      <c r="B2417" s="151"/>
      <c r="C2417" s="151"/>
      <c r="D2417" s="151"/>
      <c r="E2417" s="151"/>
      <c r="F2417" s="151"/>
      <c r="G2417" s="151"/>
      <c r="H2417" s="151"/>
      <c r="I2417" s="151"/>
      <c r="J2417" s="152">
        <v>42618.700509259259</v>
      </c>
      <c r="K2417" s="151"/>
      <c r="L2417" s="151" t="s">
        <v>55</v>
      </c>
      <c r="M2417" s="152">
        <v>42614.784675925926</v>
      </c>
      <c r="N2417" s="151" t="s">
        <v>2460</v>
      </c>
      <c r="O2417" s="151"/>
      <c r="P2417" s="151"/>
      <c r="Q2417" s="7" t="str">
        <f>IF(ISBLANK(patch[[#This Row],[OwnerEmail]]),Q2416,patch[[#This Row],[OwnerEmail]])</f>
        <v>liang.l.yang@intel.com</v>
      </c>
      <c r="R2417" s="7" t="str">
        <f>_xlfn.IFNA(VLOOKUP(patch[[#This Row],[tmp-owner.email]],OrgTree!$A:$K, 11, 0), "not ICG SWFW")</f>
        <v>BJ And dev</v>
      </c>
      <c r="S2417" s="7" t="str">
        <f>IF(patch[[#This Row],[reviewer]]=patch[[#This Row],[tmp-owner.email]], "author", _xlfn.IFNA(VLOOKUP(patch[[#This Row],[reviewer]],OrgTree!$A:$K, 11, 0), "not ICG SWFW"))</f>
        <v>author</v>
      </c>
      <c r="T2417" s="7" t="str">
        <f>IF(ISBLANK(patch[[#This Row],[mergeDate]]), "", MID(YEAR(patch[[#This Row],[mergeDate]]), 3,2)&amp;"'ww"&amp;WEEKNUM(patch[[#This Row],[mergeDate]]))</f>
        <v>16'ww37</v>
      </c>
      <c r="U2417" s="7" t="str">
        <f>IF(ISBLANK(patch[[#This Row],[mergeDate]]), U2416, MID(YEAR(patch[[#This Row],[mergeDate]]), 3,2)&amp;"'m"&amp;MONTH(patch[[#This Row],[mergeDate]]))</f>
        <v>16'm9</v>
      </c>
      <c r="V2417" s="7" t="str">
        <f>IF(ISBLANK(patch[[#This Row],[project]]), "",SUM(patch[[#This Row],[BJ -1 num]:[SH -1 num]]))</f>
        <v/>
      </c>
      <c r="W2417" s="7" t="str">
        <f>IF(ISBLANK(patch[[#This Row],[project]]), "",COUNTIFS($A:$A,patch[[#This Row],[number]],$S:$S, "BJ And dev",$AC:$AC, "Review-1"))</f>
        <v/>
      </c>
      <c r="X2417" s="7" t="str">
        <f>IF(ISBLANK(patch[[#This Row],[project]]), "",COUNTIFS($A:$A,patch[[#This Row],[number]],$S:$S, "FL And dev",$AC:$AC, "Review-1"))</f>
        <v/>
      </c>
      <c r="Y2417" s="7" t="str">
        <f>IF(ISBLANK(patch[[#This Row],[project]]), "",COUNTIFS($A:$A,patch[[#This Row],[number]],$S:$S, "SH And dev",$AC:$AC, "Review-1"))</f>
        <v/>
      </c>
      <c r="Z2417" s="7" t="str">
        <f>IF(ISBLANK(patch[[#This Row],[project]]), "",COUNTIFS($A:$A,patch[[#This Row],[number]],$S:$S, "BJ And dev",$AD:$AD, "&lt;&gt;IntegratorValidationComment"))</f>
        <v/>
      </c>
      <c r="AA2417" s="7" t="str">
        <f>IF(ISBLANK(patch[[#This Row],[project]]), "",COUNTIFS($A:$A,patch[[#This Row],[number]],$S:$S, "FL And dev",$AD:$AD, "&lt;&gt;IntegratorValidationComment"))</f>
        <v/>
      </c>
      <c r="AB2417" s="7" t="str">
        <f>IF(ISBLANK(patch[[#This Row],[project]]), "",COUNTIFS($A:$A,patch[[#This Row],[number]],$S:$S, "SH And dev",$AD:$AD, "&lt;&gt;IntegratorValidationComment"))</f>
        <v/>
      </c>
      <c r="AC2417" s="7" t="str">
        <f>IF(OR(ISNUMBER(FIND("Review-1", patch[[#This Row],[comments]])), ISNUMBER(FIND("Approver-1", patch[[#This Row],[comments]]))), "Review-1", "")</f>
        <v/>
      </c>
      <c r="AD24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17" s="7">
        <f>IF(ISBLANK(patch[[#This Row],[number]]),AE2416,patch[[#This Row],[ifCommon]])</f>
        <v>0</v>
      </c>
    </row>
    <row r="2418" spans="1:31">
      <c r="A2418" s="151">
        <v>142785</v>
      </c>
      <c r="B2418" s="151"/>
      <c r="C2418" s="151"/>
      <c r="D2418" s="151"/>
      <c r="E2418" s="151"/>
      <c r="F2418" s="151"/>
      <c r="G2418" s="151"/>
      <c r="H2418" s="151"/>
      <c r="I2418" s="151"/>
      <c r="J2418" s="152">
        <v>42618.700509259259</v>
      </c>
      <c r="K2418" s="151"/>
      <c r="L2418" s="151" t="s">
        <v>55</v>
      </c>
      <c r="M2418" s="152">
        <v>42614.784675925926</v>
      </c>
      <c r="N2418" s="151" t="s">
        <v>2429</v>
      </c>
      <c r="O2418" s="151"/>
      <c r="P2418" s="151"/>
      <c r="Q2418" s="7" t="str">
        <f>IF(ISBLANK(patch[[#This Row],[OwnerEmail]]),Q2417,patch[[#This Row],[OwnerEmail]])</f>
        <v>liang.l.yang@intel.com</v>
      </c>
      <c r="R2418" s="7" t="str">
        <f>_xlfn.IFNA(VLOOKUP(patch[[#This Row],[tmp-owner.email]],OrgTree!$A:$K, 11, 0), "not ICG SWFW")</f>
        <v>BJ And dev</v>
      </c>
      <c r="S2418" s="7" t="str">
        <f>IF(patch[[#This Row],[reviewer]]=patch[[#This Row],[tmp-owner.email]], "author", _xlfn.IFNA(VLOOKUP(patch[[#This Row],[reviewer]],OrgTree!$A:$K, 11, 0), "not ICG SWFW"))</f>
        <v>author</v>
      </c>
      <c r="T2418" s="7" t="str">
        <f>IF(ISBLANK(patch[[#This Row],[mergeDate]]), "", MID(YEAR(patch[[#This Row],[mergeDate]]), 3,2)&amp;"'ww"&amp;WEEKNUM(patch[[#This Row],[mergeDate]]))</f>
        <v>16'ww37</v>
      </c>
      <c r="U2418" s="7" t="str">
        <f>IF(ISBLANK(patch[[#This Row],[mergeDate]]), U2417, MID(YEAR(patch[[#This Row],[mergeDate]]), 3,2)&amp;"'m"&amp;MONTH(patch[[#This Row],[mergeDate]]))</f>
        <v>16'm9</v>
      </c>
      <c r="V2418" s="7" t="str">
        <f>IF(ISBLANK(patch[[#This Row],[project]]), "",SUM(patch[[#This Row],[BJ -1 num]:[SH -1 num]]))</f>
        <v/>
      </c>
      <c r="W2418" s="7" t="str">
        <f>IF(ISBLANK(patch[[#This Row],[project]]), "",COUNTIFS($A:$A,patch[[#This Row],[number]],$S:$S, "BJ And dev",$AC:$AC, "Review-1"))</f>
        <v/>
      </c>
      <c r="X2418" s="7" t="str">
        <f>IF(ISBLANK(patch[[#This Row],[project]]), "",COUNTIFS($A:$A,patch[[#This Row],[number]],$S:$S, "FL And dev",$AC:$AC, "Review-1"))</f>
        <v/>
      </c>
      <c r="Y2418" s="7" t="str">
        <f>IF(ISBLANK(patch[[#This Row],[project]]), "",COUNTIFS($A:$A,patch[[#This Row],[number]],$S:$S, "SH And dev",$AC:$AC, "Review-1"))</f>
        <v/>
      </c>
      <c r="Z2418" s="7" t="str">
        <f>IF(ISBLANK(patch[[#This Row],[project]]), "",COUNTIFS($A:$A,patch[[#This Row],[number]],$S:$S, "BJ And dev",$AD:$AD, "&lt;&gt;IntegratorValidationComment"))</f>
        <v/>
      </c>
      <c r="AA2418" s="7" t="str">
        <f>IF(ISBLANK(patch[[#This Row],[project]]), "",COUNTIFS($A:$A,patch[[#This Row],[number]],$S:$S, "FL And dev",$AD:$AD, "&lt;&gt;IntegratorValidationComment"))</f>
        <v/>
      </c>
      <c r="AB2418" s="7" t="str">
        <f>IF(ISBLANK(patch[[#This Row],[project]]), "",COUNTIFS($A:$A,patch[[#This Row],[number]],$S:$S, "SH And dev",$AD:$AD, "&lt;&gt;IntegratorValidationComment"))</f>
        <v/>
      </c>
      <c r="AC2418" s="7" t="str">
        <f>IF(OR(ISNUMBER(FIND("Review-1", patch[[#This Row],[comments]])), ISNUMBER(FIND("Approver-1", patch[[#This Row],[comments]]))), "Review-1", "")</f>
        <v/>
      </c>
      <c r="AD24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18" s="7">
        <f>IF(ISBLANK(patch[[#This Row],[number]]),AE2417,patch[[#This Row],[ifCommon]])</f>
        <v>0</v>
      </c>
    </row>
    <row r="2419" spans="1:31">
      <c r="A2419" s="151">
        <v>142785</v>
      </c>
      <c r="B2419" s="151"/>
      <c r="C2419" s="151"/>
      <c r="D2419" s="151"/>
      <c r="E2419" s="151"/>
      <c r="F2419" s="151"/>
      <c r="G2419" s="151"/>
      <c r="H2419" s="151"/>
      <c r="I2419" s="151"/>
      <c r="J2419" s="152">
        <v>42618.700509259259</v>
      </c>
      <c r="K2419" s="151"/>
      <c r="L2419" s="151" t="s">
        <v>59</v>
      </c>
      <c r="M2419" s="152">
        <v>42614.793715277781</v>
      </c>
      <c r="N2419" s="151" t="s">
        <v>3791</v>
      </c>
      <c r="O2419" s="151"/>
      <c r="P2419" s="151"/>
      <c r="Q2419" s="7" t="str">
        <f>IF(ISBLANK(patch[[#This Row],[OwnerEmail]]),Q2418,patch[[#This Row],[OwnerEmail]])</f>
        <v>liang.l.yang@intel.com</v>
      </c>
      <c r="R2419" s="7" t="str">
        <f>_xlfn.IFNA(VLOOKUP(patch[[#This Row],[tmp-owner.email]],OrgTree!$A:$K, 11, 0), "not ICG SWFW")</f>
        <v>BJ And dev</v>
      </c>
      <c r="S2419" s="7" t="str">
        <f>IF(patch[[#This Row],[reviewer]]=patch[[#This Row],[tmp-owner.email]], "author", _xlfn.IFNA(VLOOKUP(patch[[#This Row],[reviewer]],OrgTree!$A:$K, 11, 0), "not ICG SWFW"))</f>
        <v>BJ And dev</v>
      </c>
      <c r="T2419" s="7" t="str">
        <f>IF(ISBLANK(patch[[#This Row],[mergeDate]]), "", MID(YEAR(patch[[#This Row],[mergeDate]]), 3,2)&amp;"'ww"&amp;WEEKNUM(patch[[#This Row],[mergeDate]]))</f>
        <v>16'ww37</v>
      </c>
      <c r="U2419" s="7" t="str">
        <f>IF(ISBLANK(patch[[#This Row],[mergeDate]]), U2418, MID(YEAR(patch[[#This Row],[mergeDate]]), 3,2)&amp;"'m"&amp;MONTH(patch[[#This Row],[mergeDate]]))</f>
        <v>16'm9</v>
      </c>
      <c r="V2419" s="7" t="str">
        <f>IF(ISBLANK(patch[[#This Row],[project]]), "",SUM(patch[[#This Row],[BJ -1 num]:[SH -1 num]]))</f>
        <v/>
      </c>
      <c r="W2419" s="7" t="str">
        <f>IF(ISBLANK(patch[[#This Row],[project]]), "",COUNTIFS($A:$A,patch[[#This Row],[number]],$S:$S, "BJ And dev",$AC:$AC, "Review-1"))</f>
        <v/>
      </c>
      <c r="X2419" s="7" t="str">
        <f>IF(ISBLANK(patch[[#This Row],[project]]), "",COUNTIFS($A:$A,patch[[#This Row],[number]],$S:$S, "FL And dev",$AC:$AC, "Review-1"))</f>
        <v/>
      </c>
      <c r="Y2419" s="7" t="str">
        <f>IF(ISBLANK(patch[[#This Row],[project]]), "",COUNTIFS($A:$A,patch[[#This Row],[number]],$S:$S, "SH And dev",$AC:$AC, "Review-1"))</f>
        <v/>
      </c>
      <c r="Z2419" s="7" t="str">
        <f>IF(ISBLANK(patch[[#This Row],[project]]), "",COUNTIFS($A:$A,patch[[#This Row],[number]],$S:$S, "BJ And dev",$AD:$AD, "&lt;&gt;IntegratorValidationComment"))</f>
        <v/>
      </c>
      <c r="AA2419" s="7" t="str">
        <f>IF(ISBLANK(patch[[#This Row],[project]]), "",COUNTIFS($A:$A,patch[[#This Row],[number]],$S:$S, "FL And dev",$AD:$AD, "&lt;&gt;IntegratorValidationComment"))</f>
        <v/>
      </c>
      <c r="AB2419" s="7" t="str">
        <f>IF(ISBLANK(patch[[#This Row],[project]]), "",COUNTIFS($A:$A,patch[[#This Row],[number]],$S:$S, "SH And dev",$AD:$AD, "&lt;&gt;IntegratorValidationComment"))</f>
        <v/>
      </c>
      <c r="AC2419" s="7" t="str">
        <f>IF(OR(ISNUMBER(FIND("Review-1", patch[[#This Row],[comments]])), ISNUMBER(FIND("Approver-1", patch[[#This Row],[comments]]))), "Review-1", "")</f>
        <v/>
      </c>
      <c r="AD24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19" s="7">
        <f>IF(ISBLANK(patch[[#This Row],[number]]),AE2418,patch[[#This Row],[ifCommon]])</f>
        <v>0</v>
      </c>
    </row>
    <row r="2420" spans="1:31">
      <c r="A2420" s="151">
        <v>142785</v>
      </c>
      <c r="B2420" s="151"/>
      <c r="C2420" s="151"/>
      <c r="D2420" s="151"/>
      <c r="E2420" s="151"/>
      <c r="F2420" s="151"/>
      <c r="G2420" s="151"/>
      <c r="H2420" s="151"/>
      <c r="I2420" s="151"/>
      <c r="J2420" s="152">
        <v>42618.700509259259</v>
      </c>
      <c r="K2420" s="151"/>
      <c r="L2420" s="151" t="s">
        <v>59</v>
      </c>
      <c r="M2420" s="152">
        <v>42614.799398148149</v>
      </c>
      <c r="N2420" s="151" t="s">
        <v>3792</v>
      </c>
      <c r="O2420" s="151"/>
      <c r="P2420" s="151"/>
      <c r="Q2420" s="7" t="str">
        <f>IF(ISBLANK(patch[[#This Row],[OwnerEmail]]),Q2419,patch[[#This Row],[OwnerEmail]])</f>
        <v>liang.l.yang@intel.com</v>
      </c>
      <c r="R2420" s="7" t="str">
        <f>_xlfn.IFNA(VLOOKUP(patch[[#This Row],[tmp-owner.email]],OrgTree!$A:$K, 11, 0), "not ICG SWFW")</f>
        <v>BJ And dev</v>
      </c>
      <c r="S2420" s="7" t="str">
        <f>IF(patch[[#This Row],[reviewer]]=patch[[#This Row],[tmp-owner.email]], "author", _xlfn.IFNA(VLOOKUP(patch[[#This Row],[reviewer]],OrgTree!$A:$K, 11, 0), "not ICG SWFW"))</f>
        <v>BJ And dev</v>
      </c>
      <c r="T2420" s="7" t="str">
        <f>IF(ISBLANK(patch[[#This Row],[mergeDate]]), "", MID(YEAR(patch[[#This Row],[mergeDate]]), 3,2)&amp;"'ww"&amp;WEEKNUM(patch[[#This Row],[mergeDate]]))</f>
        <v>16'ww37</v>
      </c>
      <c r="U2420" s="7" t="str">
        <f>IF(ISBLANK(patch[[#This Row],[mergeDate]]), U2419, MID(YEAR(patch[[#This Row],[mergeDate]]), 3,2)&amp;"'m"&amp;MONTH(patch[[#This Row],[mergeDate]]))</f>
        <v>16'm9</v>
      </c>
      <c r="V2420" s="7" t="str">
        <f>IF(ISBLANK(patch[[#This Row],[project]]), "",SUM(patch[[#This Row],[BJ -1 num]:[SH -1 num]]))</f>
        <v/>
      </c>
      <c r="W2420" s="7" t="str">
        <f>IF(ISBLANK(patch[[#This Row],[project]]), "",COUNTIFS($A:$A,patch[[#This Row],[number]],$S:$S, "BJ And dev",$AC:$AC, "Review-1"))</f>
        <v/>
      </c>
      <c r="X2420" s="7" t="str">
        <f>IF(ISBLANK(patch[[#This Row],[project]]), "",COUNTIFS($A:$A,patch[[#This Row],[number]],$S:$S, "FL And dev",$AC:$AC, "Review-1"))</f>
        <v/>
      </c>
      <c r="Y2420" s="7" t="str">
        <f>IF(ISBLANK(patch[[#This Row],[project]]), "",COUNTIFS($A:$A,patch[[#This Row],[number]],$S:$S, "SH And dev",$AC:$AC, "Review-1"))</f>
        <v/>
      </c>
      <c r="Z2420" s="7" t="str">
        <f>IF(ISBLANK(patch[[#This Row],[project]]), "",COUNTIFS($A:$A,patch[[#This Row],[number]],$S:$S, "BJ And dev",$AD:$AD, "&lt;&gt;IntegratorValidationComment"))</f>
        <v/>
      </c>
      <c r="AA2420" s="7" t="str">
        <f>IF(ISBLANK(patch[[#This Row],[project]]), "",COUNTIFS($A:$A,patch[[#This Row],[number]],$S:$S, "FL And dev",$AD:$AD, "&lt;&gt;IntegratorValidationComment"))</f>
        <v/>
      </c>
      <c r="AB2420" s="7" t="str">
        <f>IF(ISBLANK(patch[[#This Row],[project]]), "",COUNTIFS($A:$A,patch[[#This Row],[number]],$S:$S, "SH And dev",$AD:$AD, "&lt;&gt;IntegratorValidationComment"))</f>
        <v/>
      </c>
      <c r="AC2420" s="7" t="str">
        <f>IF(OR(ISNUMBER(FIND("Review-1", patch[[#This Row],[comments]])), ISNUMBER(FIND("Approver-1", patch[[#This Row],[comments]]))), "Review-1", "")</f>
        <v/>
      </c>
      <c r="AD24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20" s="7">
        <f>IF(ISBLANK(patch[[#This Row],[number]]),AE2419,patch[[#This Row],[ifCommon]])</f>
        <v>0</v>
      </c>
    </row>
    <row r="2421" spans="1:31">
      <c r="A2421" s="151">
        <v>142785</v>
      </c>
      <c r="B2421" s="151"/>
      <c r="C2421" s="151"/>
      <c r="D2421" s="151"/>
      <c r="E2421" s="151"/>
      <c r="F2421" s="151"/>
      <c r="G2421" s="151"/>
      <c r="H2421" s="151"/>
      <c r="I2421" s="151"/>
      <c r="J2421" s="152">
        <v>42618.700509259259</v>
      </c>
      <c r="K2421" s="151"/>
      <c r="L2421" s="151" t="s">
        <v>55</v>
      </c>
      <c r="M2421" s="152">
        <v>42614.805844907409</v>
      </c>
      <c r="N2421" s="151" t="s">
        <v>47</v>
      </c>
      <c r="O2421" s="151"/>
      <c r="P2421" s="151"/>
      <c r="Q2421" s="7" t="str">
        <f>IF(ISBLANK(patch[[#This Row],[OwnerEmail]]),Q2420,patch[[#This Row],[OwnerEmail]])</f>
        <v>liang.l.yang@intel.com</v>
      </c>
      <c r="R2421" s="7" t="str">
        <f>_xlfn.IFNA(VLOOKUP(patch[[#This Row],[tmp-owner.email]],OrgTree!$A:$K, 11, 0), "not ICG SWFW")</f>
        <v>BJ And dev</v>
      </c>
      <c r="S2421" s="7" t="str">
        <f>IF(patch[[#This Row],[reviewer]]=patch[[#This Row],[tmp-owner.email]], "author", _xlfn.IFNA(VLOOKUP(patch[[#This Row],[reviewer]],OrgTree!$A:$K, 11, 0), "not ICG SWFW"))</f>
        <v>author</v>
      </c>
      <c r="T2421" s="7" t="str">
        <f>IF(ISBLANK(patch[[#This Row],[mergeDate]]), "", MID(YEAR(patch[[#This Row],[mergeDate]]), 3,2)&amp;"'ww"&amp;WEEKNUM(patch[[#This Row],[mergeDate]]))</f>
        <v>16'ww37</v>
      </c>
      <c r="U2421" s="7" t="str">
        <f>IF(ISBLANK(patch[[#This Row],[mergeDate]]), U2420, MID(YEAR(patch[[#This Row],[mergeDate]]), 3,2)&amp;"'m"&amp;MONTH(patch[[#This Row],[mergeDate]]))</f>
        <v>16'm9</v>
      </c>
      <c r="V2421" s="7" t="str">
        <f>IF(ISBLANK(patch[[#This Row],[project]]), "",SUM(patch[[#This Row],[BJ -1 num]:[SH -1 num]]))</f>
        <v/>
      </c>
      <c r="W2421" s="7" t="str">
        <f>IF(ISBLANK(patch[[#This Row],[project]]), "",COUNTIFS($A:$A,patch[[#This Row],[number]],$S:$S, "BJ And dev",$AC:$AC, "Review-1"))</f>
        <v/>
      </c>
      <c r="X2421" s="7" t="str">
        <f>IF(ISBLANK(patch[[#This Row],[project]]), "",COUNTIFS($A:$A,patch[[#This Row],[number]],$S:$S, "FL And dev",$AC:$AC, "Review-1"))</f>
        <v/>
      </c>
      <c r="Y2421" s="7" t="str">
        <f>IF(ISBLANK(patch[[#This Row],[project]]), "",COUNTIFS($A:$A,patch[[#This Row],[number]],$S:$S, "SH And dev",$AC:$AC, "Review-1"))</f>
        <v/>
      </c>
      <c r="Z2421" s="7" t="str">
        <f>IF(ISBLANK(patch[[#This Row],[project]]), "",COUNTIFS($A:$A,patch[[#This Row],[number]],$S:$S, "BJ And dev",$AD:$AD, "&lt;&gt;IntegratorValidationComment"))</f>
        <v/>
      </c>
      <c r="AA2421" s="7" t="str">
        <f>IF(ISBLANK(patch[[#This Row],[project]]), "",COUNTIFS($A:$A,patch[[#This Row],[number]],$S:$S, "FL And dev",$AD:$AD, "&lt;&gt;IntegratorValidationComment"))</f>
        <v/>
      </c>
      <c r="AB2421" s="7" t="str">
        <f>IF(ISBLANK(patch[[#This Row],[project]]), "",COUNTIFS($A:$A,patch[[#This Row],[number]],$S:$S, "SH And dev",$AD:$AD, "&lt;&gt;IntegratorValidationComment"))</f>
        <v/>
      </c>
      <c r="AC2421" s="7" t="str">
        <f>IF(OR(ISNUMBER(FIND("Review-1", patch[[#This Row],[comments]])), ISNUMBER(FIND("Approver-1", patch[[#This Row],[comments]]))), "Review-1", "")</f>
        <v/>
      </c>
      <c r="AD24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21" s="7">
        <f>IF(ISBLANK(patch[[#This Row],[number]]),AE2420,patch[[#This Row],[ifCommon]])</f>
        <v>0</v>
      </c>
    </row>
    <row r="2422" spans="1:31">
      <c r="A2422" s="151">
        <v>142785</v>
      </c>
      <c r="B2422" s="151"/>
      <c r="C2422" s="151"/>
      <c r="D2422" s="151"/>
      <c r="E2422" s="151"/>
      <c r="F2422" s="151"/>
      <c r="G2422" s="151"/>
      <c r="H2422" s="151"/>
      <c r="I2422" s="151"/>
      <c r="J2422" s="152">
        <v>42618.700509259259</v>
      </c>
      <c r="K2422" s="151"/>
      <c r="L2422" s="151" t="s">
        <v>55</v>
      </c>
      <c r="M2422" s="152">
        <v>42614.805856481478</v>
      </c>
      <c r="N2422" s="151" t="s">
        <v>2450</v>
      </c>
      <c r="O2422" s="151"/>
      <c r="P2422" s="151"/>
      <c r="Q2422" s="7" t="str">
        <f>IF(ISBLANK(patch[[#This Row],[OwnerEmail]]),Q2421,patch[[#This Row],[OwnerEmail]])</f>
        <v>liang.l.yang@intel.com</v>
      </c>
      <c r="R2422" s="7" t="str">
        <f>_xlfn.IFNA(VLOOKUP(patch[[#This Row],[tmp-owner.email]],OrgTree!$A:$K, 11, 0), "not ICG SWFW")</f>
        <v>BJ And dev</v>
      </c>
      <c r="S2422" s="7" t="str">
        <f>IF(patch[[#This Row],[reviewer]]=patch[[#This Row],[tmp-owner.email]], "author", _xlfn.IFNA(VLOOKUP(patch[[#This Row],[reviewer]],OrgTree!$A:$K, 11, 0), "not ICG SWFW"))</f>
        <v>author</v>
      </c>
      <c r="T2422" s="7" t="str">
        <f>IF(ISBLANK(patch[[#This Row],[mergeDate]]), "", MID(YEAR(patch[[#This Row],[mergeDate]]), 3,2)&amp;"'ww"&amp;WEEKNUM(patch[[#This Row],[mergeDate]]))</f>
        <v>16'ww37</v>
      </c>
      <c r="U2422" s="7" t="str">
        <f>IF(ISBLANK(patch[[#This Row],[mergeDate]]), U2421, MID(YEAR(patch[[#This Row],[mergeDate]]), 3,2)&amp;"'m"&amp;MONTH(patch[[#This Row],[mergeDate]]))</f>
        <v>16'm9</v>
      </c>
      <c r="V2422" s="7" t="str">
        <f>IF(ISBLANK(patch[[#This Row],[project]]), "",SUM(patch[[#This Row],[BJ -1 num]:[SH -1 num]]))</f>
        <v/>
      </c>
      <c r="W2422" s="7" t="str">
        <f>IF(ISBLANK(patch[[#This Row],[project]]), "",COUNTIFS($A:$A,patch[[#This Row],[number]],$S:$S, "BJ And dev",$AC:$AC, "Review-1"))</f>
        <v/>
      </c>
      <c r="X2422" s="7" t="str">
        <f>IF(ISBLANK(patch[[#This Row],[project]]), "",COUNTIFS($A:$A,patch[[#This Row],[number]],$S:$S, "FL And dev",$AC:$AC, "Review-1"))</f>
        <v/>
      </c>
      <c r="Y2422" s="7" t="str">
        <f>IF(ISBLANK(patch[[#This Row],[project]]), "",COUNTIFS($A:$A,patch[[#This Row],[number]],$S:$S, "SH And dev",$AC:$AC, "Review-1"))</f>
        <v/>
      </c>
      <c r="Z2422" s="7" t="str">
        <f>IF(ISBLANK(patch[[#This Row],[project]]), "",COUNTIFS($A:$A,patch[[#This Row],[number]],$S:$S, "BJ And dev",$AD:$AD, "&lt;&gt;IntegratorValidationComment"))</f>
        <v/>
      </c>
      <c r="AA2422" s="7" t="str">
        <f>IF(ISBLANK(patch[[#This Row],[project]]), "",COUNTIFS($A:$A,patch[[#This Row],[number]],$S:$S, "FL And dev",$AD:$AD, "&lt;&gt;IntegratorValidationComment"))</f>
        <v/>
      </c>
      <c r="AB2422" s="7" t="str">
        <f>IF(ISBLANK(patch[[#This Row],[project]]), "",COUNTIFS($A:$A,patch[[#This Row],[number]],$S:$S, "SH And dev",$AD:$AD, "&lt;&gt;IntegratorValidationComment"))</f>
        <v/>
      </c>
      <c r="AC2422" s="7" t="str">
        <f>IF(OR(ISNUMBER(FIND("Review-1", patch[[#This Row],[comments]])), ISNUMBER(FIND("Approver-1", patch[[#This Row],[comments]]))), "Review-1", "")</f>
        <v/>
      </c>
      <c r="AD24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22" s="7">
        <f>IF(ISBLANK(patch[[#This Row],[number]]),AE2421,patch[[#This Row],[ifCommon]])</f>
        <v>0</v>
      </c>
    </row>
    <row r="2423" spans="1:31">
      <c r="A2423" s="151">
        <v>142785</v>
      </c>
      <c r="B2423" s="151"/>
      <c r="C2423" s="151"/>
      <c r="D2423" s="151"/>
      <c r="E2423" s="151"/>
      <c r="F2423" s="151"/>
      <c r="G2423" s="151"/>
      <c r="H2423" s="151"/>
      <c r="I2423" s="152"/>
      <c r="J2423" s="152">
        <v>42618.700509259259</v>
      </c>
      <c r="K2423" s="151"/>
      <c r="L2423" s="151" t="s">
        <v>59</v>
      </c>
      <c r="M2423" s="152">
        <v>42614.81453703704</v>
      </c>
      <c r="N2423" s="151" t="s">
        <v>3793</v>
      </c>
      <c r="O2423" s="151"/>
      <c r="P2423" s="151"/>
      <c r="Q2423" s="7" t="str">
        <f>IF(ISBLANK(patch[[#This Row],[OwnerEmail]]),Q2422,patch[[#This Row],[OwnerEmail]])</f>
        <v>liang.l.yang@intel.com</v>
      </c>
      <c r="R2423" s="7" t="str">
        <f>_xlfn.IFNA(VLOOKUP(patch[[#This Row],[tmp-owner.email]],OrgTree!$A:$K, 11, 0), "not ICG SWFW")</f>
        <v>BJ And dev</v>
      </c>
      <c r="S2423" s="7" t="str">
        <f>IF(patch[[#This Row],[reviewer]]=patch[[#This Row],[tmp-owner.email]], "author", _xlfn.IFNA(VLOOKUP(patch[[#This Row],[reviewer]],OrgTree!$A:$K, 11, 0), "not ICG SWFW"))</f>
        <v>BJ And dev</v>
      </c>
      <c r="T2423" s="7" t="str">
        <f>IF(ISBLANK(patch[[#This Row],[mergeDate]]), "", MID(YEAR(patch[[#This Row],[mergeDate]]), 3,2)&amp;"'ww"&amp;WEEKNUM(patch[[#This Row],[mergeDate]]))</f>
        <v>16'ww37</v>
      </c>
      <c r="U2423" s="7" t="str">
        <f>IF(ISBLANK(patch[[#This Row],[mergeDate]]), U2422, MID(YEAR(patch[[#This Row],[mergeDate]]), 3,2)&amp;"'m"&amp;MONTH(patch[[#This Row],[mergeDate]]))</f>
        <v>16'm9</v>
      </c>
      <c r="V2423" s="7" t="str">
        <f>IF(ISBLANK(patch[[#This Row],[project]]), "",SUM(patch[[#This Row],[BJ -1 num]:[SH -1 num]]))</f>
        <v/>
      </c>
      <c r="W2423" s="7" t="str">
        <f>IF(ISBLANK(patch[[#This Row],[project]]), "",COUNTIFS($A:$A,patch[[#This Row],[number]],$S:$S, "BJ And dev",$AC:$AC, "Review-1"))</f>
        <v/>
      </c>
      <c r="X2423" s="7" t="str">
        <f>IF(ISBLANK(patch[[#This Row],[project]]), "",COUNTIFS($A:$A,patch[[#This Row],[number]],$S:$S, "FL And dev",$AC:$AC, "Review-1"))</f>
        <v/>
      </c>
      <c r="Y2423" s="7" t="str">
        <f>IF(ISBLANK(patch[[#This Row],[project]]), "",COUNTIFS($A:$A,patch[[#This Row],[number]],$S:$S, "SH And dev",$AC:$AC, "Review-1"))</f>
        <v/>
      </c>
      <c r="Z2423" s="7" t="str">
        <f>IF(ISBLANK(patch[[#This Row],[project]]), "",COUNTIFS($A:$A,patch[[#This Row],[number]],$S:$S, "BJ And dev",$AD:$AD, "&lt;&gt;IntegratorValidationComment"))</f>
        <v/>
      </c>
      <c r="AA2423" s="7" t="str">
        <f>IF(ISBLANK(patch[[#This Row],[project]]), "",COUNTIFS($A:$A,patch[[#This Row],[number]],$S:$S, "FL And dev",$AD:$AD, "&lt;&gt;IntegratorValidationComment"))</f>
        <v/>
      </c>
      <c r="AB2423" s="7" t="str">
        <f>IF(ISBLANK(patch[[#This Row],[project]]), "",COUNTIFS($A:$A,patch[[#This Row],[number]],$S:$S, "SH And dev",$AD:$AD, "&lt;&gt;IntegratorValidationComment"))</f>
        <v/>
      </c>
      <c r="AC2423" s="7" t="str">
        <f>IF(OR(ISNUMBER(FIND("Review-1", patch[[#This Row],[comments]])), ISNUMBER(FIND("Approver-1", patch[[#This Row],[comments]]))), "Review-1", "")</f>
        <v/>
      </c>
      <c r="AD24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23" s="7">
        <f>IF(ISBLANK(patch[[#This Row],[number]]),AE2422,patch[[#This Row],[ifCommon]])</f>
        <v>0</v>
      </c>
    </row>
    <row r="2424" spans="1:31">
      <c r="A2424" s="151">
        <v>142785</v>
      </c>
      <c r="B2424" s="151"/>
      <c r="C2424" s="151"/>
      <c r="D2424" s="151"/>
      <c r="E2424" s="151"/>
      <c r="F2424" s="151"/>
      <c r="G2424" s="151"/>
      <c r="H2424" s="151"/>
      <c r="I2424" s="151"/>
      <c r="J2424" s="152">
        <v>42618.700509259259</v>
      </c>
      <c r="K2424" s="151"/>
      <c r="L2424" s="151" t="s">
        <v>59</v>
      </c>
      <c r="M2424" s="152">
        <v>42614.817858796298</v>
      </c>
      <c r="N2424" s="151" t="s">
        <v>3794</v>
      </c>
      <c r="O2424" s="151"/>
      <c r="P2424" s="151"/>
      <c r="Q2424" s="7" t="str">
        <f>IF(ISBLANK(patch[[#This Row],[OwnerEmail]]),Q2423,patch[[#This Row],[OwnerEmail]])</f>
        <v>liang.l.yang@intel.com</v>
      </c>
      <c r="R2424" s="7" t="str">
        <f>_xlfn.IFNA(VLOOKUP(patch[[#This Row],[tmp-owner.email]],OrgTree!$A:$K, 11, 0), "not ICG SWFW")</f>
        <v>BJ And dev</v>
      </c>
      <c r="S2424" s="7" t="str">
        <f>IF(patch[[#This Row],[reviewer]]=patch[[#This Row],[tmp-owner.email]], "author", _xlfn.IFNA(VLOOKUP(patch[[#This Row],[reviewer]],OrgTree!$A:$K, 11, 0), "not ICG SWFW"))</f>
        <v>BJ And dev</v>
      </c>
      <c r="T2424" s="7" t="str">
        <f>IF(ISBLANK(patch[[#This Row],[mergeDate]]), "", MID(YEAR(patch[[#This Row],[mergeDate]]), 3,2)&amp;"'ww"&amp;WEEKNUM(patch[[#This Row],[mergeDate]]))</f>
        <v>16'ww37</v>
      </c>
      <c r="U2424" s="7" t="str">
        <f>IF(ISBLANK(patch[[#This Row],[mergeDate]]), U2423, MID(YEAR(patch[[#This Row],[mergeDate]]), 3,2)&amp;"'m"&amp;MONTH(patch[[#This Row],[mergeDate]]))</f>
        <v>16'm9</v>
      </c>
      <c r="V2424" s="7" t="str">
        <f>IF(ISBLANK(patch[[#This Row],[project]]), "",SUM(patch[[#This Row],[BJ -1 num]:[SH -1 num]]))</f>
        <v/>
      </c>
      <c r="W2424" s="7" t="str">
        <f>IF(ISBLANK(patch[[#This Row],[project]]), "",COUNTIFS($A:$A,patch[[#This Row],[number]],$S:$S, "BJ And dev",$AC:$AC, "Review-1"))</f>
        <v/>
      </c>
      <c r="X2424" s="7" t="str">
        <f>IF(ISBLANK(patch[[#This Row],[project]]), "",COUNTIFS($A:$A,patch[[#This Row],[number]],$S:$S, "FL And dev",$AC:$AC, "Review-1"))</f>
        <v/>
      </c>
      <c r="Y2424" s="7" t="str">
        <f>IF(ISBLANK(patch[[#This Row],[project]]), "",COUNTIFS($A:$A,patch[[#This Row],[number]],$S:$S, "SH And dev",$AC:$AC, "Review-1"))</f>
        <v/>
      </c>
      <c r="Z2424" s="7" t="str">
        <f>IF(ISBLANK(patch[[#This Row],[project]]), "",COUNTIFS($A:$A,patch[[#This Row],[number]],$S:$S, "BJ And dev",$AD:$AD, "&lt;&gt;IntegratorValidationComment"))</f>
        <v/>
      </c>
      <c r="AA2424" s="7" t="str">
        <f>IF(ISBLANK(patch[[#This Row],[project]]), "",COUNTIFS($A:$A,patch[[#This Row],[number]],$S:$S, "FL And dev",$AD:$AD, "&lt;&gt;IntegratorValidationComment"))</f>
        <v/>
      </c>
      <c r="AB2424" s="7" t="str">
        <f>IF(ISBLANK(patch[[#This Row],[project]]), "",COUNTIFS($A:$A,patch[[#This Row],[number]],$S:$S, "SH And dev",$AD:$AD, "&lt;&gt;IntegratorValidationComment"))</f>
        <v/>
      </c>
      <c r="AC2424" s="7" t="str">
        <f>IF(OR(ISNUMBER(FIND("Review-1", patch[[#This Row],[comments]])), ISNUMBER(FIND("Approver-1", patch[[#This Row],[comments]]))), "Review-1", "")</f>
        <v/>
      </c>
      <c r="AD24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24" s="7">
        <f>IF(ISBLANK(patch[[#This Row],[number]]),AE2423,patch[[#This Row],[ifCommon]])</f>
        <v>0</v>
      </c>
    </row>
    <row r="2425" spans="1:31">
      <c r="A2425" s="151">
        <v>142785</v>
      </c>
      <c r="B2425" s="151"/>
      <c r="C2425" s="151"/>
      <c r="D2425" s="151"/>
      <c r="E2425" s="151"/>
      <c r="F2425" s="151"/>
      <c r="G2425" s="151"/>
      <c r="H2425" s="151"/>
      <c r="I2425" s="151"/>
      <c r="J2425" s="152">
        <v>42618.700509259259</v>
      </c>
      <c r="K2425" s="151"/>
      <c r="L2425" s="151" t="s">
        <v>55</v>
      </c>
      <c r="M2425" s="152">
        <v>42615.464328703703</v>
      </c>
      <c r="N2425" s="151" t="s">
        <v>2536</v>
      </c>
      <c r="O2425" s="151"/>
      <c r="P2425" s="151"/>
      <c r="Q2425" s="7" t="str">
        <f>IF(ISBLANK(patch[[#This Row],[OwnerEmail]]),Q2424,patch[[#This Row],[OwnerEmail]])</f>
        <v>liang.l.yang@intel.com</v>
      </c>
      <c r="R2425" s="7" t="str">
        <f>_xlfn.IFNA(VLOOKUP(patch[[#This Row],[tmp-owner.email]],OrgTree!$A:$K, 11, 0), "not ICG SWFW")</f>
        <v>BJ And dev</v>
      </c>
      <c r="S2425" s="7" t="str">
        <f>IF(patch[[#This Row],[reviewer]]=patch[[#This Row],[tmp-owner.email]], "author", _xlfn.IFNA(VLOOKUP(patch[[#This Row],[reviewer]],OrgTree!$A:$K, 11, 0), "not ICG SWFW"))</f>
        <v>author</v>
      </c>
      <c r="T2425" s="7" t="str">
        <f>IF(ISBLANK(patch[[#This Row],[mergeDate]]), "", MID(YEAR(patch[[#This Row],[mergeDate]]), 3,2)&amp;"'ww"&amp;WEEKNUM(patch[[#This Row],[mergeDate]]))</f>
        <v>16'ww37</v>
      </c>
      <c r="U2425" s="7" t="str">
        <f>IF(ISBLANK(patch[[#This Row],[mergeDate]]), U2424, MID(YEAR(patch[[#This Row],[mergeDate]]), 3,2)&amp;"'m"&amp;MONTH(patch[[#This Row],[mergeDate]]))</f>
        <v>16'm9</v>
      </c>
      <c r="V2425" s="7" t="str">
        <f>IF(ISBLANK(patch[[#This Row],[project]]), "",SUM(patch[[#This Row],[BJ -1 num]:[SH -1 num]]))</f>
        <v/>
      </c>
      <c r="W2425" s="7" t="str">
        <f>IF(ISBLANK(patch[[#This Row],[project]]), "",COUNTIFS($A:$A,patch[[#This Row],[number]],$S:$S, "BJ And dev",$AC:$AC, "Review-1"))</f>
        <v/>
      </c>
      <c r="X2425" s="7" t="str">
        <f>IF(ISBLANK(patch[[#This Row],[project]]), "",COUNTIFS($A:$A,patch[[#This Row],[number]],$S:$S, "FL And dev",$AC:$AC, "Review-1"))</f>
        <v/>
      </c>
      <c r="Y2425" s="7" t="str">
        <f>IF(ISBLANK(patch[[#This Row],[project]]), "",COUNTIFS($A:$A,patch[[#This Row],[number]],$S:$S, "SH And dev",$AC:$AC, "Review-1"))</f>
        <v/>
      </c>
      <c r="Z2425" s="7" t="str">
        <f>IF(ISBLANK(patch[[#This Row],[project]]), "",COUNTIFS($A:$A,patch[[#This Row],[number]],$S:$S, "BJ And dev",$AD:$AD, "&lt;&gt;IntegratorValidationComment"))</f>
        <v/>
      </c>
      <c r="AA2425" s="7" t="str">
        <f>IF(ISBLANK(patch[[#This Row],[project]]), "",COUNTIFS($A:$A,patch[[#This Row],[number]],$S:$S, "FL And dev",$AD:$AD, "&lt;&gt;IntegratorValidationComment"))</f>
        <v/>
      </c>
      <c r="AB2425" s="7" t="str">
        <f>IF(ISBLANK(patch[[#This Row],[project]]), "",COUNTIFS($A:$A,patch[[#This Row],[number]],$S:$S, "SH And dev",$AD:$AD, "&lt;&gt;IntegratorValidationComment"))</f>
        <v/>
      </c>
      <c r="AC2425" s="7" t="str">
        <f>IF(OR(ISNUMBER(FIND("Review-1", patch[[#This Row],[comments]])), ISNUMBER(FIND("Approver-1", patch[[#This Row],[comments]]))), "Review-1", "")</f>
        <v/>
      </c>
      <c r="AD24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25" s="7">
        <f>IF(ISBLANK(patch[[#This Row],[number]]),AE2424,patch[[#This Row],[ifCommon]])</f>
        <v>0</v>
      </c>
    </row>
    <row r="2426" spans="1:31">
      <c r="A2426" s="151">
        <v>142785</v>
      </c>
      <c r="B2426" s="151"/>
      <c r="C2426" s="151"/>
      <c r="D2426" s="151"/>
      <c r="E2426" s="151"/>
      <c r="F2426" s="151"/>
      <c r="G2426" s="151"/>
      <c r="H2426" s="151"/>
      <c r="I2426" s="151"/>
      <c r="J2426" s="152">
        <v>42618.700509259259</v>
      </c>
      <c r="K2426" s="151"/>
      <c r="L2426" s="151" t="s">
        <v>55</v>
      </c>
      <c r="M2426" s="152">
        <v>42615.46434027778</v>
      </c>
      <c r="N2426" s="151" t="s">
        <v>2451</v>
      </c>
      <c r="O2426" s="151"/>
      <c r="P2426" s="151"/>
      <c r="Q2426" s="7" t="str">
        <f>IF(ISBLANK(patch[[#This Row],[OwnerEmail]]),Q2425,patch[[#This Row],[OwnerEmail]])</f>
        <v>liang.l.yang@intel.com</v>
      </c>
      <c r="R2426" s="7" t="str">
        <f>_xlfn.IFNA(VLOOKUP(patch[[#This Row],[tmp-owner.email]],OrgTree!$A:$K, 11, 0), "not ICG SWFW")</f>
        <v>BJ And dev</v>
      </c>
      <c r="S2426" s="7" t="str">
        <f>IF(patch[[#This Row],[reviewer]]=patch[[#This Row],[tmp-owner.email]], "author", _xlfn.IFNA(VLOOKUP(patch[[#This Row],[reviewer]],OrgTree!$A:$K, 11, 0), "not ICG SWFW"))</f>
        <v>author</v>
      </c>
      <c r="T2426" s="7" t="str">
        <f>IF(ISBLANK(patch[[#This Row],[mergeDate]]), "", MID(YEAR(patch[[#This Row],[mergeDate]]), 3,2)&amp;"'ww"&amp;WEEKNUM(patch[[#This Row],[mergeDate]]))</f>
        <v>16'ww37</v>
      </c>
      <c r="U2426" s="7" t="str">
        <f>IF(ISBLANK(patch[[#This Row],[mergeDate]]), U2425, MID(YEAR(patch[[#This Row],[mergeDate]]), 3,2)&amp;"'m"&amp;MONTH(patch[[#This Row],[mergeDate]]))</f>
        <v>16'm9</v>
      </c>
      <c r="V2426" s="7" t="str">
        <f>IF(ISBLANK(patch[[#This Row],[project]]), "",SUM(patch[[#This Row],[BJ -1 num]:[SH -1 num]]))</f>
        <v/>
      </c>
      <c r="W2426" s="7" t="str">
        <f>IF(ISBLANK(patch[[#This Row],[project]]), "",COUNTIFS($A:$A,patch[[#This Row],[number]],$S:$S, "BJ And dev",$AC:$AC, "Review-1"))</f>
        <v/>
      </c>
      <c r="X2426" s="7" t="str">
        <f>IF(ISBLANK(patch[[#This Row],[project]]), "",COUNTIFS($A:$A,patch[[#This Row],[number]],$S:$S, "FL And dev",$AC:$AC, "Review-1"))</f>
        <v/>
      </c>
      <c r="Y2426" s="7" t="str">
        <f>IF(ISBLANK(patch[[#This Row],[project]]), "",COUNTIFS($A:$A,patch[[#This Row],[number]],$S:$S, "SH And dev",$AC:$AC, "Review-1"))</f>
        <v/>
      </c>
      <c r="Z2426" s="7" t="str">
        <f>IF(ISBLANK(patch[[#This Row],[project]]), "",COUNTIFS($A:$A,patch[[#This Row],[number]],$S:$S, "BJ And dev",$AD:$AD, "&lt;&gt;IntegratorValidationComment"))</f>
        <v/>
      </c>
      <c r="AA2426" s="7" t="str">
        <f>IF(ISBLANK(patch[[#This Row],[project]]), "",COUNTIFS($A:$A,patch[[#This Row],[number]],$S:$S, "FL And dev",$AD:$AD, "&lt;&gt;IntegratorValidationComment"))</f>
        <v/>
      </c>
      <c r="AB2426" s="7" t="str">
        <f>IF(ISBLANK(patch[[#This Row],[project]]), "",COUNTIFS($A:$A,patch[[#This Row],[number]],$S:$S, "SH And dev",$AD:$AD, "&lt;&gt;IntegratorValidationComment"))</f>
        <v/>
      </c>
      <c r="AC2426" s="7" t="str">
        <f>IF(OR(ISNUMBER(FIND("Review-1", patch[[#This Row],[comments]])), ISNUMBER(FIND("Approver-1", patch[[#This Row],[comments]]))), "Review-1", "")</f>
        <v/>
      </c>
      <c r="AD24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26" s="7">
        <f>IF(ISBLANK(patch[[#This Row],[number]]),AE2425,patch[[#This Row],[ifCommon]])</f>
        <v>0</v>
      </c>
    </row>
    <row r="2427" spans="1:31">
      <c r="A2427" s="151">
        <v>142785</v>
      </c>
      <c r="B2427" s="151"/>
      <c r="C2427" s="151"/>
      <c r="D2427" s="151"/>
      <c r="E2427" s="151"/>
      <c r="F2427" s="151"/>
      <c r="G2427" s="151"/>
      <c r="H2427" s="151"/>
      <c r="I2427" s="151"/>
      <c r="J2427" s="152">
        <v>42618.700509259259</v>
      </c>
      <c r="K2427" s="151"/>
      <c r="L2427" s="151" t="s">
        <v>59</v>
      </c>
      <c r="M2427" s="152">
        <v>42615.469259259262</v>
      </c>
      <c r="N2427" s="151" t="s">
        <v>3795</v>
      </c>
      <c r="O2427" s="151"/>
      <c r="P2427" s="151"/>
      <c r="Q2427" s="7" t="str">
        <f>IF(ISBLANK(patch[[#This Row],[OwnerEmail]]),Q2426,patch[[#This Row],[OwnerEmail]])</f>
        <v>liang.l.yang@intel.com</v>
      </c>
      <c r="R2427" s="7" t="str">
        <f>_xlfn.IFNA(VLOOKUP(patch[[#This Row],[tmp-owner.email]],OrgTree!$A:$K, 11, 0), "not ICG SWFW")</f>
        <v>BJ And dev</v>
      </c>
      <c r="S2427" s="7" t="str">
        <f>IF(patch[[#This Row],[reviewer]]=patch[[#This Row],[tmp-owner.email]], "author", _xlfn.IFNA(VLOOKUP(patch[[#This Row],[reviewer]],OrgTree!$A:$K, 11, 0), "not ICG SWFW"))</f>
        <v>BJ And dev</v>
      </c>
      <c r="T2427" s="7" t="str">
        <f>IF(ISBLANK(patch[[#This Row],[mergeDate]]), "", MID(YEAR(patch[[#This Row],[mergeDate]]), 3,2)&amp;"'ww"&amp;WEEKNUM(patch[[#This Row],[mergeDate]]))</f>
        <v>16'ww37</v>
      </c>
      <c r="U2427" s="7" t="str">
        <f>IF(ISBLANK(patch[[#This Row],[mergeDate]]), U2426, MID(YEAR(patch[[#This Row],[mergeDate]]), 3,2)&amp;"'m"&amp;MONTH(patch[[#This Row],[mergeDate]]))</f>
        <v>16'm9</v>
      </c>
      <c r="V2427" s="7" t="str">
        <f>IF(ISBLANK(patch[[#This Row],[project]]), "",SUM(patch[[#This Row],[BJ -1 num]:[SH -1 num]]))</f>
        <v/>
      </c>
      <c r="W2427" s="7" t="str">
        <f>IF(ISBLANK(patch[[#This Row],[project]]), "",COUNTIFS($A:$A,patch[[#This Row],[number]],$S:$S, "BJ And dev",$AC:$AC, "Review-1"))</f>
        <v/>
      </c>
      <c r="X2427" s="7" t="str">
        <f>IF(ISBLANK(patch[[#This Row],[project]]), "",COUNTIFS($A:$A,patch[[#This Row],[number]],$S:$S, "FL And dev",$AC:$AC, "Review-1"))</f>
        <v/>
      </c>
      <c r="Y2427" s="7" t="str">
        <f>IF(ISBLANK(patch[[#This Row],[project]]), "",COUNTIFS($A:$A,patch[[#This Row],[number]],$S:$S, "SH And dev",$AC:$AC, "Review-1"))</f>
        <v/>
      </c>
      <c r="Z2427" s="7" t="str">
        <f>IF(ISBLANK(patch[[#This Row],[project]]), "",COUNTIFS($A:$A,patch[[#This Row],[number]],$S:$S, "BJ And dev",$AD:$AD, "&lt;&gt;IntegratorValidationComment"))</f>
        <v/>
      </c>
      <c r="AA2427" s="7" t="str">
        <f>IF(ISBLANK(patch[[#This Row],[project]]), "",COUNTIFS($A:$A,patch[[#This Row],[number]],$S:$S, "FL And dev",$AD:$AD, "&lt;&gt;IntegratorValidationComment"))</f>
        <v/>
      </c>
      <c r="AB2427" s="7" t="str">
        <f>IF(ISBLANK(patch[[#This Row],[project]]), "",COUNTIFS($A:$A,patch[[#This Row],[number]],$S:$S, "SH And dev",$AD:$AD, "&lt;&gt;IntegratorValidationComment"))</f>
        <v/>
      </c>
      <c r="AC2427" s="7" t="str">
        <f>IF(OR(ISNUMBER(FIND("Review-1", patch[[#This Row],[comments]])), ISNUMBER(FIND("Approver-1", patch[[#This Row],[comments]]))), "Review-1", "")</f>
        <v/>
      </c>
      <c r="AD24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27" s="7">
        <f>IF(ISBLANK(patch[[#This Row],[number]]),AE2426,patch[[#This Row],[ifCommon]])</f>
        <v>0</v>
      </c>
    </row>
    <row r="2428" spans="1:31">
      <c r="A2428" s="151">
        <v>142785</v>
      </c>
      <c r="B2428" s="151"/>
      <c r="C2428" s="151"/>
      <c r="D2428" s="151"/>
      <c r="E2428" s="151"/>
      <c r="F2428" s="151"/>
      <c r="G2428" s="151"/>
      <c r="H2428" s="151"/>
      <c r="I2428" s="151"/>
      <c r="J2428" s="152">
        <v>42618.700509259259</v>
      </c>
      <c r="K2428" s="151"/>
      <c r="L2428" s="151" t="s">
        <v>59</v>
      </c>
      <c r="M2428" s="152">
        <v>42615.474953703713</v>
      </c>
      <c r="N2428" s="151" t="s">
        <v>3796</v>
      </c>
      <c r="O2428" s="151"/>
      <c r="P2428" s="151"/>
      <c r="Q2428" s="7" t="str">
        <f>IF(ISBLANK(patch[[#This Row],[OwnerEmail]]),Q2427,patch[[#This Row],[OwnerEmail]])</f>
        <v>liang.l.yang@intel.com</v>
      </c>
      <c r="R2428" s="7" t="str">
        <f>_xlfn.IFNA(VLOOKUP(patch[[#This Row],[tmp-owner.email]],OrgTree!$A:$K, 11, 0), "not ICG SWFW")</f>
        <v>BJ And dev</v>
      </c>
      <c r="S2428" s="7" t="str">
        <f>IF(patch[[#This Row],[reviewer]]=patch[[#This Row],[tmp-owner.email]], "author", _xlfn.IFNA(VLOOKUP(patch[[#This Row],[reviewer]],OrgTree!$A:$K, 11, 0), "not ICG SWFW"))</f>
        <v>BJ And dev</v>
      </c>
      <c r="T2428" s="7" t="str">
        <f>IF(ISBLANK(patch[[#This Row],[mergeDate]]), "", MID(YEAR(patch[[#This Row],[mergeDate]]), 3,2)&amp;"'ww"&amp;WEEKNUM(patch[[#This Row],[mergeDate]]))</f>
        <v>16'ww37</v>
      </c>
      <c r="U2428" s="7" t="str">
        <f>IF(ISBLANK(patch[[#This Row],[mergeDate]]), U2427, MID(YEAR(patch[[#This Row],[mergeDate]]), 3,2)&amp;"'m"&amp;MONTH(patch[[#This Row],[mergeDate]]))</f>
        <v>16'm9</v>
      </c>
      <c r="V2428" s="7" t="str">
        <f>IF(ISBLANK(patch[[#This Row],[project]]), "",SUM(patch[[#This Row],[BJ -1 num]:[SH -1 num]]))</f>
        <v/>
      </c>
      <c r="W2428" s="7" t="str">
        <f>IF(ISBLANK(patch[[#This Row],[project]]), "",COUNTIFS($A:$A,patch[[#This Row],[number]],$S:$S, "BJ And dev",$AC:$AC, "Review-1"))</f>
        <v/>
      </c>
      <c r="X2428" s="7" t="str">
        <f>IF(ISBLANK(patch[[#This Row],[project]]), "",COUNTIFS($A:$A,patch[[#This Row],[number]],$S:$S, "FL And dev",$AC:$AC, "Review-1"))</f>
        <v/>
      </c>
      <c r="Y2428" s="7" t="str">
        <f>IF(ISBLANK(patch[[#This Row],[project]]), "",COUNTIFS($A:$A,patch[[#This Row],[number]],$S:$S, "SH And dev",$AC:$AC, "Review-1"))</f>
        <v/>
      </c>
      <c r="Z2428" s="7" t="str">
        <f>IF(ISBLANK(patch[[#This Row],[project]]), "",COUNTIFS($A:$A,patch[[#This Row],[number]],$S:$S, "BJ And dev",$AD:$AD, "&lt;&gt;IntegratorValidationComment"))</f>
        <v/>
      </c>
      <c r="AA2428" s="7" t="str">
        <f>IF(ISBLANK(patch[[#This Row],[project]]), "",COUNTIFS($A:$A,patch[[#This Row],[number]],$S:$S, "FL And dev",$AD:$AD, "&lt;&gt;IntegratorValidationComment"))</f>
        <v/>
      </c>
      <c r="AB2428" s="7" t="str">
        <f>IF(ISBLANK(patch[[#This Row],[project]]), "",COUNTIFS($A:$A,patch[[#This Row],[number]],$S:$S, "SH And dev",$AD:$AD, "&lt;&gt;IntegratorValidationComment"))</f>
        <v/>
      </c>
      <c r="AC2428" s="7" t="str">
        <f>IF(OR(ISNUMBER(FIND("Review-1", patch[[#This Row],[comments]])), ISNUMBER(FIND("Approver-1", patch[[#This Row],[comments]]))), "Review-1", "")</f>
        <v/>
      </c>
      <c r="AD24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28" s="7">
        <f>IF(ISBLANK(patch[[#This Row],[number]]),AE2427,patch[[#This Row],[ifCommon]])</f>
        <v>0</v>
      </c>
    </row>
    <row r="2429" spans="1:31">
      <c r="A2429" s="151">
        <v>142785</v>
      </c>
      <c r="B2429" s="151"/>
      <c r="C2429" s="151"/>
      <c r="D2429" s="151"/>
      <c r="E2429" s="151"/>
      <c r="F2429" s="151"/>
      <c r="G2429" s="151"/>
      <c r="H2429" s="151"/>
      <c r="I2429" s="151"/>
      <c r="J2429" s="152">
        <v>42618.700509259259</v>
      </c>
      <c r="K2429" s="151"/>
      <c r="L2429" s="151" t="s">
        <v>55</v>
      </c>
      <c r="M2429" s="152">
        <v>42615.485902777778</v>
      </c>
      <c r="N2429" s="151" t="s">
        <v>1855</v>
      </c>
      <c r="O2429" s="151"/>
      <c r="P2429" s="151"/>
      <c r="Q2429" s="7" t="str">
        <f>IF(ISBLANK(patch[[#This Row],[OwnerEmail]]),Q2428,patch[[#This Row],[OwnerEmail]])</f>
        <v>liang.l.yang@intel.com</v>
      </c>
      <c r="R2429" s="7" t="str">
        <f>_xlfn.IFNA(VLOOKUP(patch[[#This Row],[tmp-owner.email]],OrgTree!$A:$K, 11, 0), "not ICG SWFW")</f>
        <v>BJ And dev</v>
      </c>
      <c r="S2429" s="7" t="str">
        <f>IF(patch[[#This Row],[reviewer]]=patch[[#This Row],[tmp-owner.email]], "author", _xlfn.IFNA(VLOOKUP(patch[[#This Row],[reviewer]],OrgTree!$A:$K, 11, 0), "not ICG SWFW"))</f>
        <v>author</v>
      </c>
      <c r="T2429" s="7" t="str">
        <f>IF(ISBLANK(patch[[#This Row],[mergeDate]]), "", MID(YEAR(patch[[#This Row],[mergeDate]]), 3,2)&amp;"'ww"&amp;WEEKNUM(patch[[#This Row],[mergeDate]]))</f>
        <v>16'ww37</v>
      </c>
      <c r="U2429" s="7" t="str">
        <f>IF(ISBLANK(patch[[#This Row],[mergeDate]]), U2428, MID(YEAR(patch[[#This Row],[mergeDate]]), 3,2)&amp;"'m"&amp;MONTH(patch[[#This Row],[mergeDate]]))</f>
        <v>16'm9</v>
      </c>
      <c r="V2429" s="7" t="str">
        <f>IF(ISBLANK(patch[[#This Row],[project]]), "",SUM(patch[[#This Row],[BJ -1 num]:[SH -1 num]]))</f>
        <v/>
      </c>
      <c r="W2429" s="7" t="str">
        <f>IF(ISBLANK(patch[[#This Row],[project]]), "",COUNTIFS($A:$A,patch[[#This Row],[number]],$S:$S, "BJ And dev",$AC:$AC, "Review-1"))</f>
        <v/>
      </c>
      <c r="X2429" s="7" t="str">
        <f>IF(ISBLANK(patch[[#This Row],[project]]), "",COUNTIFS($A:$A,patch[[#This Row],[number]],$S:$S, "FL And dev",$AC:$AC, "Review-1"))</f>
        <v/>
      </c>
      <c r="Y2429" s="7" t="str">
        <f>IF(ISBLANK(patch[[#This Row],[project]]), "",COUNTIFS($A:$A,patch[[#This Row],[number]],$S:$S, "SH And dev",$AC:$AC, "Review-1"))</f>
        <v/>
      </c>
      <c r="Z2429" s="7" t="str">
        <f>IF(ISBLANK(patch[[#This Row],[project]]), "",COUNTIFS($A:$A,patch[[#This Row],[number]],$S:$S, "BJ And dev",$AD:$AD, "&lt;&gt;IntegratorValidationComment"))</f>
        <v/>
      </c>
      <c r="AA2429" s="7" t="str">
        <f>IF(ISBLANK(patch[[#This Row],[project]]), "",COUNTIFS($A:$A,patch[[#This Row],[number]],$S:$S, "FL And dev",$AD:$AD, "&lt;&gt;IntegratorValidationComment"))</f>
        <v/>
      </c>
      <c r="AB2429" s="7" t="str">
        <f>IF(ISBLANK(patch[[#This Row],[project]]), "",COUNTIFS($A:$A,patch[[#This Row],[number]],$S:$S, "SH And dev",$AD:$AD, "&lt;&gt;IntegratorValidationComment"))</f>
        <v/>
      </c>
      <c r="AC2429" s="7" t="str">
        <f>IF(OR(ISNUMBER(FIND("Review-1", patch[[#This Row],[comments]])), ISNUMBER(FIND("Approver-1", patch[[#This Row],[comments]]))), "Review-1", "")</f>
        <v/>
      </c>
      <c r="AD24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29" s="7">
        <f>IF(ISBLANK(patch[[#This Row],[number]]),AE2428,patch[[#This Row],[ifCommon]])</f>
        <v>0</v>
      </c>
    </row>
    <row r="2430" spans="1:31">
      <c r="A2430" s="151">
        <v>142785</v>
      </c>
      <c r="B2430" s="151"/>
      <c r="C2430" s="151"/>
      <c r="D2430" s="151"/>
      <c r="E2430" s="151"/>
      <c r="F2430" s="151"/>
      <c r="G2430" s="151"/>
      <c r="H2430" s="151"/>
      <c r="I2430" s="151"/>
      <c r="J2430" s="152">
        <v>42618.700509259259</v>
      </c>
      <c r="K2430" s="151"/>
      <c r="L2430" s="151" t="s">
        <v>55</v>
      </c>
      <c r="M2430" s="152">
        <v>42615.485914351862</v>
      </c>
      <c r="N2430" s="151" t="s">
        <v>2453</v>
      </c>
      <c r="O2430" s="151"/>
      <c r="P2430" s="151"/>
      <c r="Q2430" s="7" t="str">
        <f>IF(ISBLANK(patch[[#This Row],[OwnerEmail]]),Q2429,patch[[#This Row],[OwnerEmail]])</f>
        <v>liang.l.yang@intel.com</v>
      </c>
      <c r="R2430" s="7" t="str">
        <f>_xlfn.IFNA(VLOOKUP(patch[[#This Row],[tmp-owner.email]],OrgTree!$A:$K, 11, 0), "not ICG SWFW")</f>
        <v>BJ And dev</v>
      </c>
      <c r="S2430" s="7" t="str">
        <f>IF(patch[[#This Row],[reviewer]]=patch[[#This Row],[tmp-owner.email]], "author", _xlfn.IFNA(VLOOKUP(patch[[#This Row],[reviewer]],OrgTree!$A:$K, 11, 0), "not ICG SWFW"))</f>
        <v>author</v>
      </c>
      <c r="T2430" s="7" t="str">
        <f>IF(ISBLANK(patch[[#This Row],[mergeDate]]), "", MID(YEAR(patch[[#This Row],[mergeDate]]), 3,2)&amp;"'ww"&amp;WEEKNUM(patch[[#This Row],[mergeDate]]))</f>
        <v>16'ww37</v>
      </c>
      <c r="U2430" s="7" t="str">
        <f>IF(ISBLANK(patch[[#This Row],[mergeDate]]), U2429, MID(YEAR(patch[[#This Row],[mergeDate]]), 3,2)&amp;"'m"&amp;MONTH(patch[[#This Row],[mergeDate]]))</f>
        <v>16'm9</v>
      </c>
      <c r="V2430" s="7" t="str">
        <f>IF(ISBLANK(patch[[#This Row],[project]]), "",SUM(patch[[#This Row],[BJ -1 num]:[SH -1 num]]))</f>
        <v/>
      </c>
      <c r="W2430" s="7" t="str">
        <f>IF(ISBLANK(patch[[#This Row],[project]]), "",COUNTIFS($A:$A,patch[[#This Row],[number]],$S:$S, "BJ And dev",$AC:$AC, "Review-1"))</f>
        <v/>
      </c>
      <c r="X2430" s="7" t="str">
        <f>IF(ISBLANK(patch[[#This Row],[project]]), "",COUNTIFS($A:$A,patch[[#This Row],[number]],$S:$S, "FL And dev",$AC:$AC, "Review-1"))</f>
        <v/>
      </c>
      <c r="Y2430" s="7" t="str">
        <f>IF(ISBLANK(patch[[#This Row],[project]]), "",COUNTIFS($A:$A,patch[[#This Row],[number]],$S:$S, "SH And dev",$AC:$AC, "Review-1"))</f>
        <v/>
      </c>
      <c r="Z2430" s="7" t="str">
        <f>IF(ISBLANK(patch[[#This Row],[project]]), "",COUNTIFS($A:$A,patch[[#This Row],[number]],$S:$S, "BJ And dev",$AD:$AD, "&lt;&gt;IntegratorValidationComment"))</f>
        <v/>
      </c>
      <c r="AA2430" s="7" t="str">
        <f>IF(ISBLANK(patch[[#This Row],[project]]), "",COUNTIFS($A:$A,patch[[#This Row],[number]],$S:$S, "FL And dev",$AD:$AD, "&lt;&gt;IntegratorValidationComment"))</f>
        <v/>
      </c>
      <c r="AB2430" s="7" t="str">
        <f>IF(ISBLANK(patch[[#This Row],[project]]), "",COUNTIFS($A:$A,patch[[#This Row],[number]],$S:$S, "SH And dev",$AD:$AD, "&lt;&gt;IntegratorValidationComment"))</f>
        <v/>
      </c>
      <c r="AC2430" s="7" t="str">
        <f>IF(OR(ISNUMBER(FIND("Review-1", patch[[#This Row],[comments]])), ISNUMBER(FIND("Approver-1", patch[[#This Row],[comments]]))), "Review-1", "")</f>
        <v/>
      </c>
      <c r="AD24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30" s="7">
        <f>IF(ISBLANK(patch[[#This Row],[number]]),AE2429,patch[[#This Row],[ifCommon]])</f>
        <v>0</v>
      </c>
    </row>
    <row r="2431" spans="1:31">
      <c r="A2431" s="151">
        <v>142785</v>
      </c>
      <c r="B2431" s="151"/>
      <c r="C2431" s="151"/>
      <c r="D2431" s="151"/>
      <c r="E2431" s="151"/>
      <c r="F2431" s="151"/>
      <c r="G2431" s="151"/>
      <c r="H2431" s="151"/>
      <c r="I2431" s="151"/>
      <c r="J2431" s="152">
        <v>42618.700509259259</v>
      </c>
      <c r="K2431" s="151"/>
      <c r="L2431" s="151" t="s">
        <v>59</v>
      </c>
      <c r="M2431" s="152">
        <v>42615.488634259258</v>
      </c>
      <c r="N2431" s="151" t="s">
        <v>3797</v>
      </c>
      <c r="O2431" s="151"/>
      <c r="P2431" s="151"/>
      <c r="Q2431" s="7" t="str">
        <f>IF(ISBLANK(patch[[#This Row],[OwnerEmail]]),Q2430,patch[[#This Row],[OwnerEmail]])</f>
        <v>liang.l.yang@intel.com</v>
      </c>
      <c r="R2431" s="7" t="str">
        <f>_xlfn.IFNA(VLOOKUP(patch[[#This Row],[tmp-owner.email]],OrgTree!$A:$K, 11, 0), "not ICG SWFW")</f>
        <v>BJ And dev</v>
      </c>
      <c r="S2431" s="7" t="str">
        <f>IF(patch[[#This Row],[reviewer]]=patch[[#This Row],[tmp-owner.email]], "author", _xlfn.IFNA(VLOOKUP(patch[[#This Row],[reviewer]],OrgTree!$A:$K, 11, 0), "not ICG SWFW"))</f>
        <v>BJ And dev</v>
      </c>
      <c r="T2431" s="7" t="str">
        <f>IF(ISBLANK(patch[[#This Row],[mergeDate]]), "", MID(YEAR(patch[[#This Row],[mergeDate]]), 3,2)&amp;"'ww"&amp;WEEKNUM(patch[[#This Row],[mergeDate]]))</f>
        <v>16'ww37</v>
      </c>
      <c r="U2431" s="7" t="str">
        <f>IF(ISBLANK(patch[[#This Row],[mergeDate]]), U2430, MID(YEAR(patch[[#This Row],[mergeDate]]), 3,2)&amp;"'m"&amp;MONTH(patch[[#This Row],[mergeDate]]))</f>
        <v>16'm9</v>
      </c>
      <c r="V2431" s="7" t="str">
        <f>IF(ISBLANK(patch[[#This Row],[project]]), "",SUM(patch[[#This Row],[BJ -1 num]:[SH -1 num]]))</f>
        <v/>
      </c>
      <c r="W2431" s="7" t="str">
        <f>IF(ISBLANK(patch[[#This Row],[project]]), "",COUNTIFS($A:$A,patch[[#This Row],[number]],$S:$S, "BJ And dev",$AC:$AC, "Review-1"))</f>
        <v/>
      </c>
      <c r="X2431" s="7" t="str">
        <f>IF(ISBLANK(patch[[#This Row],[project]]), "",COUNTIFS($A:$A,patch[[#This Row],[number]],$S:$S, "FL And dev",$AC:$AC, "Review-1"))</f>
        <v/>
      </c>
      <c r="Y2431" s="7" t="str">
        <f>IF(ISBLANK(patch[[#This Row],[project]]), "",COUNTIFS($A:$A,patch[[#This Row],[number]],$S:$S, "SH And dev",$AC:$AC, "Review-1"))</f>
        <v/>
      </c>
      <c r="Z2431" s="7" t="str">
        <f>IF(ISBLANK(patch[[#This Row],[project]]), "",COUNTIFS($A:$A,patch[[#This Row],[number]],$S:$S, "BJ And dev",$AD:$AD, "&lt;&gt;IntegratorValidationComment"))</f>
        <v/>
      </c>
      <c r="AA2431" s="7" t="str">
        <f>IF(ISBLANK(patch[[#This Row],[project]]), "",COUNTIFS($A:$A,patch[[#This Row],[number]],$S:$S, "FL And dev",$AD:$AD, "&lt;&gt;IntegratorValidationComment"))</f>
        <v/>
      </c>
      <c r="AB2431" s="7" t="str">
        <f>IF(ISBLANK(patch[[#This Row],[project]]), "",COUNTIFS($A:$A,patch[[#This Row],[number]],$S:$S, "SH And dev",$AD:$AD, "&lt;&gt;IntegratorValidationComment"))</f>
        <v/>
      </c>
      <c r="AC2431" s="7" t="str">
        <f>IF(OR(ISNUMBER(FIND("Review-1", patch[[#This Row],[comments]])), ISNUMBER(FIND("Approver-1", patch[[#This Row],[comments]]))), "Review-1", "")</f>
        <v/>
      </c>
      <c r="AD24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31" s="7">
        <f>IF(ISBLANK(patch[[#This Row],[number]]),AE2430,patch[[#This Row],[ifCommon]])</f>
        <v>0</v>
      </c>
    </row>
    <row r="2432" spans="1:31">
      <c r="A2432" s="151">
        <v>142785</v>
      </c>
      <c r="B2432" s="151"/>
      <c r="C2432" s="151"/>
      <c r="D2432" s="151"/>
      <c r="E2432" s="151"/>
      <c r="F2432" s="151"/>
      <c r="G2432" s="151"/>
      <c r="H2432" s="151"/>
      <c r="I2432" s="152"/>
      <c r="J2432" s="152">
        <v>42618.700509259259</v>
      </c>
      <c r="K2432" s="151"/>
      <c r="L2432" s="151" t="s">
        <v>59</v>
      </c>
      <c r="M2432" s="152">
        <v>42615.495486111111</v>
      </c>
      <c r="N2432" s="151" t="s">
        <v>3798</v>
      </c>
      <c r="O2432" s="151"/>
      <c r="P2432" s="151"/>
      <c r="Q2432" s="7" t="str">
        <f>IF(ISBLANK(patch[[#This Row],[OwnerEmail]]),Q2431,patch[[#This Row],[OwnerEmail]])</f>
        <v>liang.l.yang@intel.com</v>
      </c>
      <c r="R2432" s="7" t="str">
        <f>_xlfn.IFNA(VLOOKUP(patch[[#This Row],[tmp-owner.email]],OrgTree!$A:$K, 11, 0), "not ICG SWFW")</f>
        <v>BJ And dev</v>
      </c>
      <c r="S2432" s="7" t="str">
        <f>IF(patch[[#This Row],[reviewer]]=patch[[#This Row],[tmp-owner.email]], "author", _xlfn.IFNA(VLOOKUP(patch[[#This Row],[reviewer]],OrgTree!$A:$K, 11, 0), "not ICG SWFW"))</f>
        <v>BJ And dev</v>
      </c>
      <c r="T2432" s="7" t="str">
        <f>IF(ISBLANK(patch[[#This Row],[mergeDate]]), "", MID(YEAR(patch[[#This Row],[mergeDate]]), 3,2)&amp;"'ww"&amp;WEEKNUM(patch[[#This Row],[mergeDate]]))</f>
        <v>16'ww37</v>
      </c>
      <c r="U2432" s="7" t="str">
        <f>IF(ISBLANK(patch[[#This Row],[mergeDate]]), U2431, MID(YEAR(patch[[#This Row],[mergeDate]]), 3,2)&amp;"'m"&amp;MONTH(patch[[#This Row],[mergeDate]]))</f>
        <v>16'm9</v>
      </c>
      <c r="V2432" s="7" t="str">
        <f>IF(ISBLANK(patch[[#This Row],[project]]), "",SUM(patch[[#This Row],[BJ -1 num]:[SH -1 num]]))</f>
        <v/>
      </c>
      <c r="W2432" s="7" t="str">
        <f>IF(ISBLANK(patch[[#This Row],[project]]), "",COUNTIFS($A:$A,patch[[#This Row],[number]],$S:$S, "BJ And dev",$AC:$AC, "Review-1"))</f>
        <v/>
      </c>
      <c r="X2432" s="7" t="str">
        <f>IF(ISBLANK(patch[[#This Row],[project]]), "",COUNTIFS($A:$A,patch[[#This Row],[number]],$S:$S, "FL And dev",$AC:$AC, "Review-1"))</f>
        <v/>
      </c>
      <c r="Y2432" s="7" t="str">
        <f>IF(ISBLANK(patch[[#This Row],[project]]), "",COUNTIFS($A:$A,patch[[#This Row],[number]],$S:$S, "SH And dev",$AC:$AC, "Review-1"))</f>
        <v/>
      </c>
      <c r="Z2432" s="7" t="str">
        <f>IF(ISBLANK(patch[[#This Row],[project]]), "",COUNTIFS($A:$A,patch[[#This Row],[number]],$S:$S, "BJ And dev",$AD:$AD, "&lt;&gt;IntegratorValidationComment"))</f>
        <v/>
      </c>
      <c r="AA2432" s="7" t="str">
        <f>IF(ISBLANK(patch[[#This Row],[project]]), "",COUNTIFS($A:$A,patch[[#This Row],[number]],$S:$S, "FL And dev",$AD:$AD, "&lt;&gt;IntegratorValidationComment"))</f>
        <v/>
      </c>
      <c r="AB2432" s="7" t="str">
        <f>IF(ISBLANK(patch[[#This Row],[project]]), "",COUNTIFS($A:$A,patch[[#This Row],[number]],$S:$S, "SH And dev",$AD:$AD, "&lt;&gt;IntegratorValidationComment"))</f>
        <v/>
      </c>
      <c r="AC2432" s="7" t="str">
        <f>IF(OR(ISNUMBER(FIND("Review-1", patch[[#This Row],[comments]])), ISNUMBER(FIND("Approver-1", patch[[#This Row],[comments]]))), "Review-1", "")</f>
        <v/>
      </c>
      <c r="AD24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32" s="7">
        <f>IF(ISBLANK(patch[[#This Row],[number]]),AE2431,patch[[#This Row],[ifCommon]])</f>
        <v>0</v>
      </c>
    </row>
    <row r="2433" spans="1:31">
      <c r="A2433" s="151">
        <v>142785</v>
      </c>
      <c r="B2433" s="151"/>
      <c r="C2433" s="151"/>
      <c r="D2433" s="151"/>
      <c r="E2433" s="151"/>
      <c r="F2433" s="151"/>
      <c r="G2433" s="151"/>
      <c r="H2433" s="151"/>
      <c r="I2433" s="151"/>
      <c r="J2433" s="152">
        <v>42618.700509259259</v>
      </c>
      <c r="K2433" s="151"/>
      <c r="L2433" s="151" t="s">
        <v>55</v>
      </c>
      <c r="M2433" s="152">
        <v>42615.497557870367</v>
      </c>
      <c r="N2433" s="151" t="s">
        <v>2465</v>
      </c>
      <c r="O2433" s="151"/>
      <c r="P2433" s="151"/>
      <c r="Q2433" s="7" t="str">
        <f>IF(ISBLANK(patch[[#This Row],[OwnerEmail]]),Q2432,patch[[#This Row],[OwnerEmail]])</f>
        <v>liang.l.yang@intel.com</v>
      </c>
      <c r="R2433" s="7" t="str">
        <f>_xlfn.IFNA(VLOOKUP(patch[[#This Row],[tmp-owner.email]],OrgTree!$A:$K, 11, 0), "not ICG SWFW")</f>
        <v>BJ And dev</v>
      </c>
      <c r="S2433" s="7" t="str">
        <f>IF(patch[[#This Row],[reviewer]]=patch[[#This Row],[tmp-owner.email]], "author", _xlfn.IFNA(VLOOKUP(patch[[#This Row],[reviewer]],OrgTree!$A:$K, 11, 0), "not ICG SWFW"))</f>
        <v>author</v>
      </c>
      <c r="T2433" s="7" t="str">
        <f>IF(ISBLANK(patch[[#This Row],[mergeDate]]), "", MID(YEAR(patch[[#This Row],[mergeDate]]), 3,2)&amp;"'ww"&amp;WEEKNUM(patch[[#This Row],[mergeDate]]))</f>
        <v>16'ww37</v>
      </c>
      <c r="U2433" s="7" t="str">
        <f>IF(ISBLANK(patch[[#This Row],[mergeDate]]), U2432, MID(YEAR(patch[[#This Row],[mergeDate]]), 3,2)&amp;"'m"&amp;MONTH(patch[[#This Row],[mergeDate]]))</f>
        <v>16'm9</v>
      </c>
      <c r="V2433" s="7" t="str">
        <f>IF(ISBLANK(patch[[#This Row],[project]]), "",SUM(patch[[#This Row],[BJ -1 num]:[SH -1 num]]))</f>
        <v/>
      </c>
      <c r="W2433" s="7" t="str">
        <f>IF(ISBLANK(patch[[#This Row],[project]]), "",COUNTIFS($A:$A,patch[[#This Row],[number]],$S:$S, "BJ And dev",$AC:$AC, "Review-1"))</f>
        <v/>
      </c>
      <c r="X2433" s="7" t="str">
        <f>IF(ISBLANK(patch[[#This Row],[project]]), "",COUNTIFS($A:$A,patch[[#This Row],[number]],$S:$S, "FL And dev",$AC:$AC, "Review-1"))</f>
        <v/>
      </c>
      <c r="Y2433" s="7" t="str">
        <f>IF(ISBLANK(patch[[#This Row],[project]]), "",COUNTIFS($A:$A,patch[[#This Row],[number]],$S:$S, "SH And dev",$AC:$AC, "Review-1"))</f>
        <v/>
      </c>
      <c r="Z2433" s="7" t="str">
        <f>IF(ISBLANK(patch[[#This Row],[project]]), "",COUNTIFS($A:$A,patch[[#This Row],[number]],$S:$S, "BJ And dev",$AD:$AD, "&lt;&gt;IntegratorValidationComment"))</f>
        <v/>
      </c>
      <c r="AA2433" s="7" t="str">
        <f>IF(ISBLANK(patch[[#This Row],[project]]), "",COUNTIFS($A:$A,patch[[#This Row],[number]],$S:$S, "FL And dev",$AD:$AD, "&lt;&gt;IntegratorValidationComment"))</f>
        <v/>
      </c>
      <c r="AB2433" s="7" t="str">
        <f>IF(ISBLANK(patch[[#This Row],[project]]), "",COUNTIFS($A:$A,patch[[#This Row],[number]],$S:$S, "SH And dev",$AD:$AD, "&lt;&gt;IntegratorValidationComment"))</f>
        <v/>
      </c>
      <c r="AC2433" s="7" t="str">
        <f>IF(OR(ISNUMBER(FIND("Review-1", patch[[#This Row],[comments]])), ISNUMBER(FIND("Approver-1", patch[[#This Row],[comments]]))), "Review-1", "")</f>
        <v/>
      </c>
      <c r="AD24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33" s="7">
        <f>IF(ISBLANK(patch[[#This Row],[number]]),AE2432,patch[[#This Row],[ifCommon]])</f>
        <v>0</v>
      </c>
    </row>
    <row r="2434" spans="1:31">
      <c r="A2434" s="151">
        <v>142785</v>
      </c>
      <c r="B2434" s="151"/>
      <c r="C2434" s="151"/>
      <c r="D2434" s="151"/>
      <c r="E2434" s="151"/>
      <c r="F2434" s="151"/>
      <c r="G2434" s="151"/>
      <c r="H2434" s="151"/>
      <c r="I2434" s="152"/>
      <c r="J2434" s="152">
        <v>42618.700509259259</v>
      </c>
      <c r="K2434" s="151"/>
      <c r="L2434" s="151" t="s">
        <v>55</v>
      </c>
      <c r="M2434" s="152">
        <v>42615.497557870367</v>
      </c>
      <c r="N2434" s="151" t="s">
        <v>2512</v>
      </c>
      <c r="O2434" s="151"/>
      <c r="P2434" s="151"/>
      <c r="Q2434" s="7" t="str">
        <f>IF(ISBLANK(patch[[#This Row],[OwnerEmail]]),Q2433,patch[[#This Row],[OwnerEmail]])</f>
        <v>liang.l.yang@intel.com</v>
      </c>
      <c r="R2434" s="7" t="str">
        <f>_xlfn.IFNA(VLOOKUP(patch[[#This Row],[tmp-owner.email]],OrgTree!$A:$K, 11, 0), "not ICG SWFW")</f>
        <v>BJ And dev</v>
      </c>
      <c r="S2434" s="7" t="str">
        <f>IF(patch[[#This Row],[reviewer]]=patch[[#This Row],[tmp-owner.email]], "author", _xlfn.IFNA(VLOOKUP(patch[[#This Row],[reviewer]],OrgTree!$A:$K, 11, 0), "not ICG SWFW"))</f>
        <v>author</v>
      </c>
      <c r="T2434" s="7" t="str">
        <f>IF(ISBLANK(patch[[#This Row],[mergeDate]]), "", MID(YEAR(patch[[#This Row],[mergeDate]]), 3,2)&amp;"'ww"&amp;WEEKNUM(patch[[#This Row],[mergeDate]]))</f>
        <v>16'ww37</v>
      </c>
      <c r="U2434" s="7" t="str">
        <f>IF(ISBLANK(patch[[#This Row],[mergeDate]]), U2433, MID(YEAR(patch[[#This Row],[mergeDate]]), 3,2)&amp;"'m"&amp;MONTH(patch[[#This Row],[mergeDate]]))</f>
        <v>16'm9</v>
      </c>
      <c r="V2434" s="7" t="str">
        <f>IF(ISBLANK(patch[[#This Row],[project]]), "",SUM(patch[[#This Row],[BJ -1 num]:[SH -1 num]]))</f>
        <v/>
      </c>
      <c r="W2434" s="7" t="str">
        <f>IF(ISBLANK(patch[[#This Row],[project]]), "",COUNTIFS($A:$A,patch[[#This Row],[number]],$S:$S, "BJ And dev",$AC:$AC, "Review-1"))</f>
        <v/>
      </c>
      <c r="X2434" s="7" t="str">
        <f>IF(ISBLANK(patch[[#This Row],[project]]), "",COUNTIFS($A:$A,patch[[#This Row],[number]],$S:$S, "FL And dev",$AC:$AC, "Review-1"))</f>
        <v/>
      </c>
      <c r="Y2434" s="7" t="str">
        <f>IF(ISBLANK(patch[[#This Row],[project]]), "",COUNTIFS($A:$A,patch[[#This Row],[number]],$S:$S, "SH And dev",$AC:$AC, "Review-1"))</f>
        <v/>
      </c>
      <c r="Z2434" s="7" t="str">
        <f>IF(ISBLANK(patch[[#This Row],[project]]), "",COUNTIFS($A:$A,patch[[#This Row],[number]],$S:$S, "BJ And dev",$AD:$AD, "&lt;&gt;IntegratorValidationComment"))</f>
        <v/>
      </c>
      <c r="AA2434" s="7" t="str">
        <f>IF(ISBLANK(patch[[#This Row],[project]]), "",COUNTIFS($A:$A,patch[[#This Row],[number]],$S:$S, "FL And dev",$AD:$AD, "&lt;&gt;IntegratorValidationComment"))</f>
        <v/>
      </c>
      <c r="AB2434" s="7" t="str">
        <f>IF(ISBLANK(patch[[#This Row],[project]]), "",COUNTIFS($A:$A,patch[[#This Row],[number]],$S:$S, "SH And dev",$AD:$AD, "&lt;&gt;IntegratorValidationComment"))</f>
        <v/>
      </c>
      <c r="AC2434" s="7" t="str">
        <f>IF(OR(ISNUMBER(FIND("Review-1", patch[[#This Row],[comments]])), ISNUMBER(FIND("Approver-1", patch[[#This Row],[comments]]))), "Review-1", "")</f>
        <v/>
      </c>
      <c r="AD24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34" s="7">
        <f>IF(ISBLANK(patch[[#This Row],[number]]),AE2433,patch[[#This Row],[ifCommon]])</f>
        <v>0</v>
      </c>
    </row>
    <row r="2435" spans="1:31">
      <c r="A2435" s="151">
        <v>142785</v>
      </c>
      <c r="B2435" s="151"/>
      <c r="C2435" s="151"/>
      <c r="D2435" s="151"/>
      <c r="E2435" s="151"/>
      <c r="F2435" s="151"/>
      <c r="G2435" s="151"/>
      <c r="H2435" s="151"/>
      <c r="I2435" s="151"/>
      <c r="J2435" s="152">
        <v>42618.700509259259</v>
      </c>
      <c r="K2435" s="151"/>
      <c r="L2435" s="151" t="s">
        <v>59</v>
      </c>
      <c r="M2435" s="152">
        <v>42615.500613425917</v>
      </c>
      <c r="N2435" s="151" t="s">
        <v>3799</v>
      </c>
      <c r="O2435" s="151"/>
      <c r="P2435" s="151"/>
      <c r="Q2435" s="7" t="str">
        <f>IF(ISBLANK(patch[[#This Row],[OwnerEmail]]),Q2434,patch[[#This Row],[OwnerEmail]])</f>
        <v>liang.l.yang@intel.com</v>
      </c>
      <c r="R2435" s="7" t="str">
        <f>_xlfn.IFNA(VLOOKUP(patch[[#This Row],[tmp-owner.email]],OrgTree!$A:$K, 11, 0), "not ICG SWFW")</f>
        <v>BJ And dev</v>
      </c>
      <c r="S2435" s="7" t="str">
        <f>IF(patch[[#This Row],[reviewer]]=patch[[#This Row],[tmp-owner.email]], "author", _xlfn.IFNA(VLOOKUP(patch[[#This Row],[reviewer]],OrgTree!$A:$K, 11, 0), "not ICG SWFW"))</f>
        <v>BJ And dev</v>
      </c>
      <c r="T2435" s="7" t="str">
        <f>IF(ISBLANK(patch[[#This Row],[mergeDate]]), "", MID(YEAR(patch[[#This Row],[mergeDate]]), 3,2)&amp;"'ww"&amp;WEEKNUM(patch[[#This Row],[mergeDate]]))</f>
        <v>16'ww37</v>
      </c>
      <c r="U2435" s="7" t="str">
        <f>IF(ISBLANK(patch[[#This Row],[mergeDate]]), U2434, MID(YEAR(patch[[#This Row],[mergeDate]]), 3,2)&amp;"'m"&amp;MONTH(patch[[#This Row],[mergeDate]]))</f>
        <v>16'm9</v>
      </c>
      <c r="V2435" s="7" t="str">
        <f>IF(ISBLANK(patch[[#This Row],[project]]), "",SUM(patch[[#This Row],[BJ -1 num]:[SH -1 num]]))</f>
        <v/>
      </c>
      <c r="W2435" s="7" t="str">
        <f>IF(ISBLANK(patch[[#This Row],[project]]), "",COUNTIFS($A:$A,patch[[#This Row],[number]],$S:$S, "BJ And dev",$AC:$AC, "Review-1"))</f>
        <v/>
      </c>
      <c r="X2435" s="7" t="str">
        <f>IF(ISBLANK(patch[[#This Row],[project]]), "",COUNTIFS($A:$A,patch[[#This Row],[number]],$S:$S, "FL And dev",$AC:$AC, "Review-1"))</f>
        <v/>
      </c>
      <c r="Y2435" s="7" t="str">
        <f>IF(ISBLANK(patch[[#This Row],[project]]), "",COUNTIFS($A:$A,patch[[#This Row],[number]],$S:$S, "SH And dev",$AC:$AC, "Review-1"))</f>
        <v/>
      </c>
      <c r="Z2435" s="7" t="str">
        <f>IF(ISBLANK(patch[[#This Row],[project]]), "",COUNTIFS($A:$A,patch[[#This Row],[number]],$S:$S, "BJ And dev",$AD:$AD, "&lt;&gt;IntegratorValidationComment"))</f>
        <v/>
      </c>
      <c r="AA2435" s="7" t="str">
        <f>IF(ISBLANK(patch[[#This Row],[project]]), "",COUNTIFS($A:$A,patch[[#This Row],[number]],$S:$S, "FL And dev",$AD:$AD, "&lt;&gt;IntegratorValidationComment"))</f>
        <v/>
      </c>
      <c r="AB2435" s="7" t="str">
        <f>IF(ISBLANK(patch[[#This Row],[project]]), "",COUNTIFS($A:$A,patch[[#This Row],[number]],$S:$S, "SH And dev",$AD:$AD, "&lt;&gt;IntegratorValidationComment"))</f>
        <v/>
      </c>
      <c r="AC2435" s="7" t="str">
        <f>IF(OR(ISNUMBER(FIND("Review-1", patch[[#This Row],[comments]])), ISNUMBER(FIND("Approver-1", patch[[#This Row],[comments]]))), "Review-1", "")</f>
        <v/>
      </c>
      <c r="AD24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35" s="7">
        <f>IF(ISBLANK(patch[[#This Row],[number]]),AE2434,patch[[#This Row],[ifCommon]])</f>
        <v>0</v>
      </c>
    </row>
    <row r="2436" spans="1:31">
      <c r="A2436" s="151">
        <v>142785</v>
      </c>
      <c r="B2436" s="151"/>
      <c r="C2436" s="151"/>
      <c r="D2436" s="151"/>
      <c r="E2436" s="151"/>
      <c r="F2436" s="151"/>
      <c r="G2436" s="151"/>
      <c r="H2436" s="151"/>
      <c r="I2436" s="151"/>
      <c r="J2436" s="152">
        <v>42618.700509259259</v>
      </c>
      <c r="K2436" s="151"/>
      <c r="L2436" s="151" t="s">
        <v>59</v>
      </c>
      <c r="M2436" s="152">
        <v>42615.50204861111</v>
      </c>
      <c r="N2436" s="151" t="s">
        <v>3800</v>
      </c>
      <c r="O2436" s="151"/>
      <c r="P2436" s="151"/>
      <c r="Q2436" s="7" t="str">
        <f>IF(ISBLANK(patch[[#This Row],[OwnerEmail]]),Q2435,patch[[#This Row],[OwnerEmail]])</f>
        <v>liang.l.yang@intel.com</v>
      </c>
      <c r="R2436" s="7" t="str">
        <f>_xlfn.IFNA(VLOOKUP(patch[[#This Row],[tmp-owner.email]],OrgTree!$A:$K, 11, 0), "not ICG SWFW")</f>
        <v>BJ And dev</v>
      </c>
      <c r="S2436" s="7" t="str">
        <f>IF(patch[[#This Row],[reviewer]]=patch[[#This Row],[tmp-owner.email]], "author", _xlfn.IFNA(VLOOKUP(patch[[#This Row],[reviewer]],OrgTree!$A:$K, 11, 0), "not ICG SWFW"))</f>
        <v>BJ And dev</v>
      </c>
      <c r="T2436" s="7" t="str">
        <f>IF(ISBLANK(patch[[#This Row],[mergeDate]]), "", MID(YEAR(patch[[#This Row],[mergeDate]]), 3,2)&amp;"'ww"&amp;WEEKNUM(patch[[#This Row],[mergeDate]]))</f>
        <v>16'ww37</v>
      </c>
      <c r="U2436" s="7" t="str">
        <f>IF(ISBLANK(patch[[#This Row],[mergeDate]]), U2435, MID(YEAR(patch[[#This Row],[mergeDate]]), 3,2)&amp;"'m"&amp;MONTH(patch[[#This Row],[mergeDate]]))</f>
        <v>16'm9</v>
      </c>
      <c r="V2436" s="7" t="str">
        <f>IF(ISBLANK(patch[[#This Row],[project]]), "",SUM(patch[[#This Row],[BJ -1 num]:[SH -1 num]]))</f>
        <v/>
      </c>
      <c r="W2436" s="7" t="str">
        <f>IF(ISBLANK(patch[[#This Row],[project]]), "",COUNTIFS($A:$A,patch[[#This Row],[number]],$S:$S, "BJ And dev",$AC:$AC, "Review-1"))</f>
        <v/>
      </c>
      <c r="X2436" s="7" t="str">
        <f>IF(ISBLANK(patch[[#This Row],[project]]), "",COUNTIFS($A:$A,patch[[#This Row],[number]],$S:$S, "FL And dev",$AC:$AC, "Review-1"))</f>
        <v/>
      </c>
      <c r="Y2436" s="7" t="str">
        <f>IF(ISBLANK(patch[[#This Row],[project]]), "",COUNTIFS($A:$A,patch[[#This Row],[number]],$S:$S, "SH And dev",$AC:$AC, "Review-1"))</f>
        <v/>
      </c>
      <c r="Z2436" s="7" t="str">
        <f>IF(ISBLANK(patch[[#This Row],[project]]), "",COUNTIFS($A:$A,patch[[#This Row],[number]],$S:$S, "BJ And dev",$AD:$AD, "&lt;&gt;IntegratorValidationComment"))</f>
        <v/>
      </c>
      <c r="AA2436" s="7" t="str">
        <f>IF(ISBLANK(patch[[#This Row],[project]]), "",COUNTIFS($A:$A,patch[[#This Row],[number]],$S:$S, "FL And dev",$AD:$AD, "&lt;&gt;IntegratorValidationComment"))</f>
        <v/>
      </c>
      <c r="AB2436" s="7" t="str">
        <f>IF(ISBLANK(patch[[#This Row],[project]]), "",COUNTIFS($A:$A,patch[[#This Row],[number]],$S:$S, "SH And dev",$AD:$AD, "&lt;&gt;IntegratorValidationComment"))</f>
        <v/>
      </c>
      <c r="AC2436" s="7" t="str">
        <f>IF(OR(ISNUMBER(FIND("Review-1", patch[[#This Row],[comments]])), ISNUMBER(FIND("Approver-1", patch[[#This Row],[comments]]))), "Review-1", "")</f>
        <v/>
      </c>
      <c r="AD24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36" s="7">
        <f>IF(ISBLANK(patch[[#This Row],[number]]),AE2435,patch[[#This Row],[ifCommon]])</f>
        <v>0</v>
      </c>
    </row>
    <row r="2437" spans="1:31">
      <c r="A2437" s="151">
        <v>142785</v>
      </c>
      <c r="B2437" s="151"/>
      <c r="C2437" s="151"/>
      <c r="D2437" s="151"/>
      <c r="E2437" s="151"/>
      <c r="F2437" s="151"/>
      <c r="G2437" s="151"/>
      <c r="H2437" s="151"/>
      <c r="I2437" s="151"/>
      <c r="J2437" s="152">
        <v>42618.700509259259</v>
      </c>
      <c r="K2437" s="151"/>
      <c r="L2437" s="151" t="s">
        <v>59</v>
      </c>
      <c r="M2437" s="152">
        <v>42615.506990740738</v>
      </c>
      <c r="N2437" s="151" t="s">
        <v>3801</v>
      </c>
      <c r="O2437" s="151"/>
      <c r="P2437" s="151"/>
      <c r="Q2437" s="7" t="str">
        <f>IF(ISBLANK(patch[[#This Row],[OwnerEmail]]),Q2436,patch[[#This Row],[OwnerEmail]])</f>
        <v>liang.l.yang@intel.com</v>
      </c>
      <c r="R2437" s="7" t="str">
        <f>_xlfn.IFNA(VLOOKUP(patch[[#This Row],[tmp-owner.email]],OrgTree!$A:$K, 11, 0), "not ICG SWFW")</f>
        <v>BJ And dev</v>
      </c>
      <c r="S2437" s="7" t="str">
        <f>IF(patch[[#This Row],[reviewer]]=patch[[#This Row],[tmp-owner.email]], "author", _xlfn.IFNA(VLOOKUP(patch[[#This Row],[reviewer]],OrgTree!$A:$K, 11, 0), "not ICG SWFW"))</f>
        <v>BJ And dev</v>
      </c>
      <c r="T2437" s="7" t="str">
        <f>IF(ISBLANK(patch[[#This Row],[mergeDate]]), "", MID(YEAR(patch[[#This Row],[mergeDate]]), 3,2)&amp;"'ww"&amp;WEEKNUM(patch[[#This Row],[mergeDate]]))</f>
        <v>16'ww37</v>
      </c>
      <c r="U2437" s="7" t="str">
        <f>IF(ISBLANK(patch[[#This Row],[mergeDate]]), U2436, MID(YEAR(patch[[#This Row],[mergeDate]]), 3,2)&amp;"'m"&amp;MONTH(patch[[#This Row],[mergeDate]]))</f>
        <v>16'm9</v>
      </c>
      <c r="V2437" s="7" t="str">
        <f>IF(ISBLANK(patch[[#This Row],[project]]), "",SUM(patch[[#This Row],[BJ -1 num]:[SH -1 num]]))</f>
        <v/>
      </c>
      <c r="W2437" s="7" t="str">
        <f>IF(ISBLANK(patch[[#This Row],[project]]), "",COUNTIFS($A:$A,patch[[#This Row],[number]],$S:$S, "BJ And dev",$AC:$AC, "Review-1"))</f>
        <v/>
      </c>
      <c r="X2437" s="7" t="str">
        <f>IF(ISBLANK(patch[[#This Row],[project]]), "",COUNTIFS($A:$A,patch[[#This Row],[number]],$S:$S, "FL And dev",$AC:$AC, "Review-1"))</f>
        <v/>
      </c>
      <c r="Y2437" s="7" t="str">
        <f>IF(ISBLANK(patch[[#This Row],[project]]), "",COUNTIFS($A:$A,patch[[#This Row],[number]],$S:$S, "SH And dev",$AC:$AC, "Review-1"))</f>
        <v/>
      </c>
      <c r="Z2437" s="7" t="str">
        <f>IF(ISBLANK(patch[[#This Row],[project]]), "",COUNTIFS($A:$A,patch[[#This Row],[number]],$S:$S, "BJ And dev",$AD:$AD, "&lt;&gt;IntegratorValidationComment"))</f>
        <v/>
      </c>
      <c r="AA2437" s="7" t="str">
        <f>IF(ISBLANK(patch[[#This Row],[project]]), "",COUNTIFS($A:$A,patch[[#This Row],[number]],$S:$S, "FL And dev",$AD:$AD, "&lt;&gt;IntegratorValidationComment"))</f>
        <v/>
      </c>
      <c r="AB2437" s="7" t="str">
        <f>IF(ISBLANK(patch[[#This Row],[project]]), "",COUNTIFS($A:$A,patch[[#This Row],[number]],$S:$S, "SH And dev",$AD:$AD, "&lt;&gt;IntegratorValidationComment"))</f>
        <v/>
      </c>
      <c r="AC2437" s="7" t="str">
        <f>IF(OR(ISNUMBER(FIND("Review-1", patch[[#This Row],[comments]])), ISNUMBER(FIND("Approver-1", patch[[#This Row],[comments]]))), "Review-1", "")</f>
        <v/>
      </c>
      <c r="AD24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37" s="7">
        <f>IF(ISBLANK(patch[[#This Row],[number]]),AE2436,patch[[#This Row],[ifCommon]])</f>
        <v>0</v>
      </c>
    </row>
    <row r="2438" spans="1:31">
      <c r="A2438" s="151">
        <v>142785</v>
      </c>
      <c r="B2438" s="151"/>
      <c r="C2438" s="151"/>
      <c r="D2438" s="151"/>
      <c r="E2438" s="151"/>
      <c r="F2438" s="151"/>
      <c r="G2438" s="151"/>
      <c r="H2438" s="151"/>
      <c r="I2438" s="151"/>
      <c r="J2438" s="152">
        <v>42618.700509259259</v>
      </c>
      <c r="K2438" s="151"/>
      <c r="L2438" s="151" t="s">
        <v>24</v>
      </c>
      <c r="M2438" s="152">
        <v>42615.516886574071</v>
      </c>
      <c r="N2438" s="151" t="s">
        <v>1843</v>
      </c>
      <c r="O2438" s="151"/>
      <c r="P2438" s="151"/>
      <c r="Q2438" s="7" t="str">
        <f>IF(ISBLANK(patch[[#This Row],[OwnerEmail]]),Q2437,patch[[#This Row],[OwnerEmail]])</f>
        <v>liang.l.yang@intel.com</v>
      </c>
      <c r="R2438" s="7" t="str">
        <f>_xlfn.IFNA(VLOOKUP(patch[[#This Row],[tmp-owner.email]],OrgTree!$A:$K, 11, 0), "not ICG SWFW")</f>
        <v>BJ And dev</v>
      </c>
      <c r="S2438" s="7" t="str">
        <f>IF(patch[[#This Row],[reviewer]]=patch[[#This Row],[tmp-owner.email]], "author", _xlfn.IFNA(VLOOKUP(patch[[#This Row],[reviewer]],OrgTree!$A:$K, 11, 0), "not ICG SWFW"))</f>
        <v>BJ And dev</v>
      </c>
      <c r="T2438" s="7" t="str">
        <f>IF(ISBLANK(patch[[#This Row],[mergeDate]]), "", MID(YEAR(patch[[#This Row],[mergeDate]]), 3,2)&amp;"'ww"&amp;WEEKNUM(patch[[#This Row],[mergeDate]]))</f>
        <v>16'ww37</v>
      </c>
      <c r="U2438" s="7" t="str">
        <f>IF(ISBLANK(patch[[#This Row],[mergeDate]]), U2437, MID(YEAR(patch[[#This Row],[mergeDate]]), 3,2)&amp;"'m"&amp;MONTH(patch[[#This Row],[mergeDate]]))</f>
        <v>16'm9</v>
      </c>
      <c r="V2438" s="7" t="str">
        <f>IF(ISBLANK(patch[[#This Row],[project]]), "",SUM(patch[[#This Row],[BJ -1 num]:[SH -1 num]]))</f>
        <v/>
      </c>
      <c r="W2438" s="7" t="str">
        <f>IF(ISBLANK(patch[[#This Row],[project]]), "",COUNTIFS($A:$A,patch[[#This Row],[number]],$S:$S, "BJ And dev",$AC:$AC, "Review-1"))</f>
        <v/>
      </c>
      <c r="X2438" s="7" t="str">
        <f>IF(ISBLANK(patch[[#This Row],[project]]), "",COUNTIFS($A:$A,patch[[#This Row],[number]],$S:$S, "FL And dev",$AC:$AC, "Review-1"))</f>
        <v/>
      </c>
      <c r="Y2438" s="7" t="str">
        <f>IF(ISBLANK(patch[[#This Row],[project]]), "",COUNTIFS($A:$A,patch[[#This Row],[number]],$S:$S, "SH And dev",$AC:$AC, "Review-1"))</f>
        <v/>
      </c>
      <c r="Z2438" s="7" t="str">
        <f>IF(ISBLANK(patch[[#This Row],[project]]), "",COUNTIFS($A:$A,patch[[#This Row],[number]],$S:$S, "BJ And dev",$AD:$AD, "&lt;&gt;IntegratorValidationComment"))</f>
        <v/>
      </c>
      <c r="AA2438" s="7" t="str">
        <f>IF(ISBLANK(patch[[#This Row],[project]]), "",COUNTIFS($A:$A,patch[[#This Row],[number]],$S:$S, "FL And dev",$AD:$AD, "&lt;&gt;IntegratorValidationComment"))</f>
        <v/>
      </c>
      <c r="AB2438" s="7" t="str">
        <f>IF(ISBLANK(patch[[#This Row],[project]]), "",COUNTIFS($A:$A,patch[[#This Row],[number]],$S:$S, "SH And dev",$AD:$AD, "&lt;&gt;IntegratorValidationComment"))</f>
        <v/>
      </c>
      <c r="AC2438" s="7" t="str">
        <f>IF(OR(ISNUMBER(FIND("Review-1", patch[[#This Row],[comments]])), ISNUMBER(FIND("Approver-1", patch[[#This Row],[comments]]))), "Review-1", "")</f>
        <v/>
      </c>
      <c r="AD24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38" s="7">
        <f>IF(ISBLANK(patch[[#This Row],[number]]),AE2437,patch[[#This Row],[ifCommon]])</f>
        <v>0</v>
      </c>
    </row>
    <row r="2439" spans="1:31">
      <c r="A2439" s="151">
        <v>142785</v>
      </c>
      <c r="B2439" s="151"/>
      <c r="C2439" s="151"/>
      <c r="D2439" s="151"/>
      <c r="E2439" s="151"/>
      <c r="F2439" s="151"/>
      <c r="G2439" s="151"/>
      <c r="H2439" s="151"/>
      <c r="I2439" s="151"/>
      <c r="J2439" s="152">
        <v>42618.700509259259</v>
      </c>
      <c r="K2439" s="151"/>
      <c r="L2439" s="151" t="s">
        <v>59</v>
      </c>
      <c r="M2439" s="152">
        <v>42615.589224537027</v>
      </c>
      <c r="N2439" s="151" t="s">
        <v>1881</v>
      </c>
      <c r="O2439" s="151"/>
      <c r="P2439" s="151"/>
      <c r="Q2439" s="7" t="str">
        <f>IF(ISBLANK(patch[[#This Row],[OwnerEmail]]),Q2438,patch[[#This Row],[OwnerEmail]])</f>
        <v>liang.l.yang@intel.com</v>
      </c>
      <c r="R2439" s="7" t="str">
        <f>_xlfn.IFNA(VLOOKUP(patch[[#This Row],[tmp-owner.email]],OrgTree!$A:$K, 11, 0), "not ICG SWFW")</f>
        <v>BJ And dev</v>
      </c>
      <c r="S2439" s="7" t="str">
        <f>IF(patch[[#This Row],[reviewer]]=patch[[#This Row],[tmp-owner.email]], "author", _xlfn.IFNA(VLOOKUP(patch[[#This Row],[reviewer]],OrgTree!$A:$K, 11, 0), "not ICG SWFW"))</f>
        <v>BJ And dev</v>
      </c>
      <c r="T2439" s="7" t="str">
        <f>IF(ISBLANK(patch[[#This Row],[mergeDate]]), "", MID(YEAR(patch[[#This Row],[mergeDate]]), 3,2)&amp;"'ww"&amp;WEEKNUM(patch[[#This Row],[mergeDate]]))</f>
        <v>16'ww37</v>
      </c>
      <c r="U2439" s="7" t="str">
        <f>IF(ISBLANK(patch[[#This Row],[mergeDate]]), U2438, MID(YEAR(patch[[#This Row],[mergeDate]]), 3,2)&amp;"'m"&amp;MONTH(patch[[#This Row],[mergeDate]]))</f>
        <v>16'm9</v>
      </c>
      <c r="V2439" s="7" t="str">
        <f>IF(ISBLANK(patch[[#This Row],[project]]), "",SUM(patch[[#This Row],[BJ -1 num]:[SH -1 num]]))</f>
        <v/>
      </c>
      <c r="W2439" s="7" t="str">
        <f>IF(ISBLANK(patch[[#This Row],[project]]), "",COUNTIFS($A:$A,patch[[#This Row],[number]],$S:$S, "BJ And dev",$AC:$AC, "Review-1"))</f>
        <v/>
      </c>
      <c r="X2439" s="7" t="str">
        <f>IF(ISBLANK(patch[[#This Row],[project]]), "",COUNTIFS($A:$A,patch[[#This Row],[number]],$S:$S, "FL And dev",$AC:$AC, "Review-1"))</f>
        <v/>
      </c>
      <c r="Y2439" s="7" t="str">
        <f>IF(ISBLANK(patch[[#This Row],[project]]), "",COUNTIFS($A:$A,patch[[#This Row],[number]],$S:$S, "SH And dev",$AC:$AC, "Review-1"))</f>
        <v/>
      </c>
      <c r="Z2439" s="7" t="str">
        <f>IF(ISBLANK(patch[[#This Row],[project]]), "",COUNTIFS($A:$A,patch[[#This Row],[number]],$S:$S, "BJ And dev",$AD:$AD, "&lt;&gt;IntegratorValidationComment"))</f>
        <v/>
      </c>
      <c r="AA2439" s="7" t="str">
        <f>IF(ISBLANK(patch[[#This Row],[project]]), "",COUNTIFS($A:$A,patch[[#This Row],[number]],$S:$S, "FL And dev",$AD:$AD, "&lt;&gt;IntegratorValidationComment"))</f>
        <v/>
      </c>
      <c r="AB2439" s="7" t="str">
        <f>IF(ISBLANK(patch[[#This Row],[project]]), "",COUNTIFS($A:$A,patch[[#This Row],[number]],$S:$S, "SH And dev",$AD:$AD, "&lt;&gt;IntegratorValidationComment"))</f>
        <v/>
      </c>
      <c r="AC2439" s="7" t="str">
        <f>IF(OR(ISNUMBER(FIND("Review-1", patch[[#This Row],[comments]])), ISNUMBER(FIND("Approver-1", patch[[#This Row],[comments]]))), "Review-1", "")</f>
        <v/>
      </c>
      <c r="AD24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39" s="7">
        <f>IF(ISBLANK(patch[[#This Row],[number]]),AE2438,patch[[#This Row],[ifCommon]])</f>
        <v>0</v>
      </c>
    </row>
    <row r="2440" spans="1:31">
      <c r="A2440" s="151">
        <v>142785</v>
      </c>
      <c r="B2440" s="151"/>
      <c r="C2440" s="151"/>
      <c r="D2440" s="151"/>
      <c r="E2440" s="151"/>
      <c r="F2440" s="151"/>
      <c r="G2440" s="151"/>
      <c r="H2440" s="151"/>
      <c r="I2440" s="151"/>
      <c r="J2440" s="152">
        <v>42618.700509259259</v>
      </c>
      <c r="K2440" s="151"/>
      <c r="L2440" s="151" t="s">
        <v>55</v>
      </c>
      <c r="M2440" s="152">
        <v>42615.6562962963</v>
      </c>
      <c r="N2440" s="151" t="s">
        <v>2544</v>
      </c>
      <c r="O2440" s="151"/>
      <c r="P2440" s="151"/>
      <c r="Q2440" s="7" t="str">
        <f>IF(ISBLANK(patch[[#This Row],[OwnerEmail]]),Q2439,patch[[#This Row],[OwnerEmail]])</f>
        <v>liang.l.yang@intel.com</v>
      </c>
      <c r="R2440" s="7" t="str">
        <f>_xlfn.IFNA(VLOOKUP(patch[[#This Row],[tmp-owner.email]],OrgTree!$A:$K, 11, 0), "not ICG SWFW")</f>
        <v>BJ And dev</v>
      </c>
      <c r="S2440" s="7" t="str">
        <f>IF(patch[[#This Row],[reviewer]]=patch[[#This Row],[tmp-owner.email]], "author", _xlfn.IFNA(VLOOKUP(patch[[#This Row],[reviewer]],OrgTree!$A:$K, 11, 0), "not ICG SWFW"))</f>
        <v>author</v>
      </c>
      <c r="T2440" s="7" t="str">
        <f>IF(ISBLANK(patch[[#This Row],[mergeDate]]), "", MID(YEAR(patch[[#This Row],[mergeDate]]), 3,2)&amp;"'ww"&amp;WEEKNUM(patch[[#This Row],[mergeDate]]))</f>
        <v>16'ww37</v>
      </c>
      <c r="U2440" s="7" t="str">
        <f>IF(ISBLANK(patch[[#This Row],[mergeDate]]), U2439, MID(YEAR(patch[[#This Row],[mergeDate]]), 3,2)&amp;"'m"&amp;MONTH(patch[[#This Row],[mergeDate]]))</f>
        <v>16'm9</v>
      </c>
      <c r="V2440" s="7" t="str">
        <f>IF(ISBLANK(patch[[#This Row],[project]]), "",SUM(patch[[#This Row],[BJ -1 num]:[SH -1 num]]))</f>
        <v/>
      </c>
      <c r="W2440" s="7" t="str">
        <f>IF(ISBLANK(patch[[#This Row],[project]]), "",COUNTIFS($A:$A,patch[[#This Row],[number]],$S:$S, "BJ And dev",$AC:$AC, "Review-1"))</f>
        <v/>
      </c>
      <c r="X2440" s="7" t="str">
        <f>IF(ISBLANK(patch[[#This Row],[project]]), "",COUNTIFS($A:$A,patch[[#This Row],[number]],$S:$S, "FL And dev",$AC:$AC, "Review-1"))</f>
        <v/>
      </c>
      <c r="Y2440" s="7" t="str">
        <f>IF(ISBLANK(patch[[#This Row],[project]]), "",COUNTIFS($A:$A,patch[[#This Row],[number]],$S:$S, "SH And dev",$AC:$AC, "Review-1"))</f>
        <v/>
      </c>
      <c r="Z2440" s="7" t="str">
        <f>IF(ISBLANK(patch[[#This Row],[project]]), "",COUNTIFS($A:$A,patch[[#This Row],[number]],$S:$S, "BJ And dev",$AD:$AD, "&lt;&gt;IntegratorValidationComment"))</f>
        <v/>
      </c>
      <c r="AA2440" s="7" t="str">
        <f>IF(ISBLANK(patch[[#This Row],[project]]), "",COUNTIFS($A:$A,patch[[#This Row],[number]],$S:$S, "FL And dev",$AD:$AD, "&lt;&gt;IntegratorValidationComment"))</f>
        <v/>
      </c>
      <c r="AB2440" s="7" t="str">
        <f>IF(ISBLANK(patch[[#This Row],[project]]), "",COUNTIFS($A:$A,patch[[#This Row],[number]],$S:$S, "SH And dev",$AD:$AD, "&lt;&gt;IntegratorValidationComment"))</f>
        <v/>
      </c>
      <c r="AC2440" s="7" t="str">
        <f>IF(OR(ISNUMBER(FIND("Review-1", patch[[#This Row],[comments]])), ISNUMBER(FIND("Approver-1", patch[[#This Row],[comments]]))), "Review-1", "")</f>
        <v/>
      </c>
      <c r="AD24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40" s="7">
        <f>IF(ISBLANK(patch[[#This Row],[number]]),AE2439,patch[[#This Row],[ifCommon]])</f>
        <v>0</v>
      </c>
    </row>
    <row r="2441" spans="1:31">
      <c r="A2441" s="151">
        <v>142785</v>
      </c>
      <c r="B2441" s="151"/>
      <c r="C2441" s="151"/>
      <c r="D2441" s="151"/>
      <c r="E2441" s="151"/>
      <c r="F2441" s="151"/>
      <c r="G2441" s="151"/>
      <c r="H2441" s="151"/>
      <c r="I2441" s="151"/>
      <c r="J2441" s="152">
        <v>42618.700509259259</v>
      </c>
      <c r="K2441" s="151"/>
      <c r="L2441" s="151" t="s">
        <v>55</v>
      </c>
      <c r="M2441" s="152">
        <v>42615.6562962963</v>
      </c>
      <c r="N2441" s="151" t="s">
        <v>2466</v>
      </c>
      <c r="O2441" s="151"/>
      <c r="P2441" s="151"/>
      <c r="Q2441" s="7" t="str">
        <f>IF(ISBLANK(patch[[#This Row],[OwnerEmail]]),Q2440,patch[[#This Row],[OwnerEmail]])</f>
        <v>liang.l.yang@intel.com</v>
      </c>
      <c r="R2441" s="7" t="str">
        <f>_xlfn.IFNA(VLOOKUP(patch[[#This Row],[tmp-owner.email]],OrgTree!$A:$K, 11, 0), "not ICG SWFW")</f>
        <v>BJ And dev</v>
      </c>
      <c r="S2441" s="7" t="str">
        <f>IF(patch[[#This Row],[reviewer]]=patch[[#This Row],[tmp-owner.email]], "author", _xlfn.IFNA(VLOOKUP(patch[[#This Row],[reviewer]],OrgTree!$A:$K, 11, 0), "not ICG SWFW"))</f>
        <v>author</v>
      </c>
      <c r="T2441" s="7" t="str">
        <f>IF(ISBLANK(patch[[#This Row],[mergeDate]]), "", MID(YEAR(patch[[#This Row],[mergeDate]]), 3,2)&amp;"'ww"&amp;WEEKNUM(patch[[#This Row],[mergeDate]]))</f>
        <v>16'ww37</v>
      </c>
      <c r="U2441" s="7" t="str">
        <f>IF(ISBLANK(patch[[#This Row],[mergeDate]]), U2440, MID(YEAR(patch[[#This Row],[mergeDate]]), 3,2)&amp;"'m"&amp;MONTH(patch[[#This Row],[mergeDate]]))</f>
        <v>16'm9</v>
      </c>
      <c r="V2441" s="7" t="str">
        <f>IF(ISBLANK(patch[[#This Row],[project]]), "",SUM(patch[[#This Row],[BJ -1 num]:[SH -1 num]]))</f>
        <v/>
      </c>
      <c r="W2441" s="7" t="str">
        <f>IF(ISBLANK(patch[[#This Row],[project]]), "",COUNTIFS($A:$A,patch[[#This Row],[number]],$S:$S, "BJ And dev",$AC:$AC, "Review-1"))</f>
        <v/>
      </c>
      <c r="X2441" s="7" t="str">
        <f>IF(ISBLANK(patch[[#This Row],[project]]), "",COUNTIFS($A:$A,patch[[#This Row],[number]],$S:$S, "FL And dev",$AC:$AC, "Review-1"))</f>
        <v/>
      </c>
      <c r="Y2441" s="7" t="str">
        <f>IF(ISBLANK(patch[[#This Row],[project]]), "",COUNTIFS($A:$A,patch[[#This Row],[number]],$S:$S, "SH And dev",$AC:$AC, "Review-1"))</f>
        <v/>
      </c>
      <c r="Z2441" s="7" t="str">
        <f>IF(ISBLANK(patch[[#This Row],[project]]), "",COUNTIFS($A:$A,patch[[#This Row],[number]],$S:$S, "BJ And dev",$AD:$AD, "&lt;&gt;IntegratorValidationComment"))</f>
        <v/>
      </c>
      <c r="AA2441" s="7" t="str">
        <f>IF(ISBLANK(patch[[#This Row],[project]]), "",COUNTIFS($A:$A,patch[[#This Row],[number]],$S:$S, "FL And dev",$AD:$AD, "&lt;&gt;IntegratorValidationComment"))</f>
        <v/>
      </c>
      <c r="AB2441" s="7" t="str">
        <f>IF(ISBLANK(patch[[#This Row],[project]]), "",COUNTIFS($A:$A,patch[[#This Row],[number]],$S:$S, "SH And dev",$AD:$AD, "&lt;&gt;IntegratorValidationComment"))</f>
        <v/>
      </c>
      <c r="AC2441" s="7" t="str">
        <f>IF(OR(ISNUMBER(FIND("Review-1", patch[[#This Row],[comments]])), ISNUMBER(FIND("Approver-1", patch[[#This Row],[comments]]))), "Review-1", "")</f>
        <v/>
      </c>
      <c r="AD24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41" s="7">
        <f>IF(ISBLANK(patch[[#This Row],[number]]),AE2440,patch[[#This Row],[ifCommon]])</f>
        <v>0</v>
      </c>
    </row>
    <row r="2442" spans="1:31">
      <c r="A2442" s="151">
        <v>142785</v>
      </c>
      <c r="B2442" s="151"/>
      <c r="C2442" s="151"/>
      <c r="D2442" s="151"/>
      <c r="E2442" s="151"/>
      <c r="F2442" s="151"/>
      <c r="G2442" s="151"/>
      <c r="H2442" s="151"/>
      <c r="I2442" s="151"/>
      <c r="J2442" s="152">
        <v>42618.700509259259</v>
      </c>
      <c r="K2442" s="151"/>
      <c r="L2442" s="151" t="s">
        <v>59</v>
      </c>
      <c r="M2442" s="152">
        <v>42615.66201388889</v>
      </c>
      <c r="N2442" s="151" t="s">
        <v>3802</v>
      </c>
      <c r="O2442" s="151"/>
      <c r="P2442" s="151"/>
      <c r="Q2442" s="7" t="str">
        <f>IF(ISBLANK(patch[[#This Row],[OwnerEmail]]),Q2441,patch[[#This Row],[OwnerEmail]])</f>
        <v>liang.l.yang@intel.com</v>
      </c>
      <c r="R2442" s="7" t="str">
        <f>_xlfn.IFNA(VLOOKUP(patch[[#This Row],[tmp-owner.email]],OrgTree!$A:$K, 11, 0), "not ICG SWFW")</f>
        <v>BJ And dev</v>
      </c>
      <c r="S2442" s="7" t="str">
        <f>IF(patch[[#This Row],[reviewer]]=patch[[#This Row],[tmp-owner.email]], "author", _xlfn.IFNA(VLOOKUP(patch[[#This Row],[reviewer]],OrgTree!$A:$K, 11, 0), "not ICG SWFW"))</f>
        <v>BJ And dev</v>
      </c>
      <c r="T2442" s="7" t="str">
        <f>IF(ISBLANK(patch[[#This Row],[mergeDate]]), "", MID(YEAR(patch[[#This Row],[mergeDate]]), 3,2)&amp;"'ww"&amp;WEEKNUM(patch[[#This Row],[mergeDate]]))</f>
        <v>16'ww37</v>
      </c>
      <c r="U2442" s="7" t="str">
        <f>IF(ISBLANK(patch[[#This Row],[mergeDate]]), U2441, MID(YEAR(patch[[#This Row],[mergeDate]]), 3,2)&amp;"'m"&amp;MONTH(patch[[#This Row],[mergeDate]]))</f>
        <v>16'm9</v>
      </c>
      <c r="V2442" s="7" t="str">
        <f>IF(ISBLANK(patch[[#This Row],[project]]), "",SUM(patch[[#This Row],[BJ -1 num]:[SH -1 num]]))</f>
        <v/>
      </c>
      <c r="W2442" s="7" t="str">
        <f>IF(ISBLANK(patch[[#This Row],[project]]), "",COUNTIFS($A:$A,patch[[#This Row],[number]],$S:$S, "BJ And dev",$AC:$AC, "Review-1"))</f>
        <v/>
      </c>
      <c r="X2442" s="7" t="str">
        <f>IF(ISBLANK(patch[[#This Row],[project]]), "",COUNTIFS($A:$A,patch[[#This Row],[number]],$S:$S, "FL And dev",$AC:$AC, "Review-1"))</f>
        <v/>
      </c>
      <c r="Y2442" s="7" t="str">
        <f>IF(ISBLANK(patch[[#This Row],[project]]), "",COUNTIFS($A:$A,patch[[#This Row],[number]],$S:$S, "SH And dev",$AC:$AC, "Review-1"))</f>
        <v/>
      </c>
      <c r="Z2442" s="7" t="str">
        <f>IF(ISBLANK(patch[[#This Row],[project]]), "",COUNTIFS($A:$A,patch[[#This Row],[number]],$S:$S, "BJ And dev",$AD:$AD, "&lt;&gt;IntegratorValidationComment"))</f>
        <v/>
      </c>
      <c r="AA2442" s="7" t="str">
        <f>IF(ISBLANK(patch[[#This Row],[project]]), "",COUNTIFS($A:$A,patch[[#This Row],[number]],$S:$S, "FL And dev",$AD:$AD, "&lt;&gt;IntegratorValidationComment"))</f>
        <v/>
      </c>
      <c r="AB2442" s="7" t="str">
        <f>IF(ISBLANK(patch[[#This Row],[project]]), "",COUNTIFS($A:$A,patch[[#This Row],[number]],$S:$S, "SH And dev",$AD:$AD, "&lt;&gt;IntegratorValidationComment"))</f>
        <v/>
      </c>
      <c r="AC2442" s="7" t="str">
        <f>IF(OR(ISNUMBER(FIND("Review-1", patch[[#This Row],[comments]])), ISNUMBER(FIND("Approver-1", patch[[#This Row],[comments]]))), "Review-1", "")</f>
        <v/>
      </c>
      <c r="AD24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42" s="7">
        <f>IF(ISBLANK(patch[[#This Row],[number]]),AE2441,patch[[#This Row],[ifCommon]])</f>
        <v>0</v>
      </c>
    </row>
    <row r="2443" spans="1:31">
      <c r="A2443" s="151">
        <v>142785</v>
      </c>
      <c r="B2443" s="151"/>
      <c r="C2443" s="151"/>
      <c r="D2443" s="151"/>
      <c r="E2443" s="151"/>
      <c r="F2443" s="151"/>
      <c r="G2443" s="151"/>
      <c r="H2443" s="151"/>
      <c r="I2443" s="151"/>
      <c r="J2443" s="152">
        <v>42618.700509259259</v>
      </c>
      <c r="K2443" s="151"/>
      <c r="L2443" s="151" t="s">
        <v>59</v>
      </c>
      <c r="M2443" s="152">
        <v>42615.667511574073</v>
      </c>
      <c r="N2443" s="151" t="s">
        <v>3803</v>
      </c>
      <c r="O2443" s="151"/>
      <c r="P2443" s="151"/>
      <c r="Q2443" s="7" t="str">
        <f>IF(ISBLANK(patch[[#This Row],[OwnerEmail]]),Q2442,patch[[#This Row],[OwnerEmail]])</f>
        <v>liang.l.yang@intel.com</v>
      </c>
      <c r="R2443" s="7" t="str">
        <f>_xlfn.IFNA(VLOOKUP(patch[[#This Row],[tmp-owner.email]],OrgTree!$A:$K, 11, 0), "not ICG SWFW")</f>
        <v>BJ And dev</v>
      </c>
      <c r="S2443" s="7" t="str">
        <f>IF(patch[[#This Row],[reviewer]]=patch[[#This Row],[tmp-owner.email]], "author", _xlfn.IFNA(VLOOKUP(patch[[#This Row],[reviewer]],OrgTree!$A:$K, 11, 0), "not ICG SWFW"))</f>
        <v>BJ And dev</v>
      </c>
      <c r="T2443" s="7" t="str">
        <f>IF(ISBLANK(patch[[#This Row],[mergeDate]]), "", MID(YEAR(patch[[#This Row],[mergeDate]]), 3,2)&amp;"'ww"&amp;WEEKNUM(patch[[#This Row],[mergeDate]]))</f>
        <v>16'ww37</v>
      </c>
      <c r="U2443" s="7" t="str">
        <f>IF(ISBLANK(patch[[#This Row],[mergeDate]]), U2442, MID(YEAR(patch[[#This Row],[mergeDate]]), 3,2)&amp;"'m"&amp;MONTH(patch[[#This Row],[mergeDate]]))</f>
        <v>16'm9</v>
      </c>
      <c r="V2443" s="7" t="str">
        <f>IF(ISBLANK(patch[[#This Row],[project]]), "",SUM(patch[[#This Row],[BJ -1 num]:[SH -1 num]]))</f>
        <v/>
      </c>
      <c r="W2443" s="7" t="str">
        <f>IF(ISBLANK(patch[[#This Row],[project]]), "",COUNTIFS($A:$A,patch[[#This Row],[number]],$S:$S, "BJ And dev",$AC:$AC, "Review-1"))</f>
        <v/>
      </c>
      <c r="X2443" s="7" t="str">
        <f>IF(ISBLANK(patch[[#This Row],[project]]), "",COUNTIFS($A:$A,patch[[#This Row],[number]],$S:$S, "FL And dev",$AC:$AC, "Review-1"))</f>
        <v/>
      </c>
      <c r="Y2443" s="7" t="str">
        <f>IF(ISBLANK(patch[[#This Row],[project]]), "",COUNTIFS($A:$A,patch[[#This Row],[number]],$S:$S, "SH And dev",$AC:$AC, "Review-1"))</f>
        <v/>
      </c>
      <c r="Z2443" s="7" t="str">
        <f>IF(ISBLANK(patch[[#This Row],[project]]), "",COUNTIFS($A:$A,patch[[#This Row],[number]],$S:$S, "BJ And dev",$AD:$AD, "&lt;&gt;IntegratorValidationComment"))</f>
        <v/>
      </c>
      <c r="AA2443" s="7" t="str">
        <f>IF(ISBLANK(patch[[#This Row],[project]]), "",COUNTIFS($A:$A,patch[[#This Row],[number]],$S:$S, "FL And dev",$AD:$AD, "&lt;&gt;IntegratorValidationComment"))</f>
        <v/>
      </c>
      <c r="AB2443" s="7" t="str">
        <f>IF(ISBLANK(patch[[#This Row],[project]]), "",COUNTIFS($A:$A,patch[[#This Row],[number]],$S:$S, "SH And dev",$AD:$AD, "&lt;&gt;IntegratorValidationComment"))</f>
        <v/>
      </c>
      <c r="AC2443" s="7" t="str">
        <f>IF(OR(ISNUMBER(FIND("Review-1", patch[[#This Row],[comments]])), ISNUMBER(FIND("Approver-1", patch[[#This Row],[comments]]))), "Review-1", "")</f>
        <v/>
      </c>
      <c r="AD24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43" s="7">
        <f>IF(ISBLANK(patch[[#This Row],[number]]),AE2442,patch[[#This Row],[ifCommon]])</f>
        <v>0</v>
      </c>
    </row>
    <row r="2444" spans="1:31">
      <c r="A2444" s="151">
        <v>142785</v>
      </c>
      <c r="B2444" s="151"/>
      <c r="C2444" s="151"/>
      <c r="D2444" s="151"/>
      <c r="E2444" s="151"/>
      <c r="F2444" s="151"/>
      <c r="G2444" s="151"/>
      <c r="H2444" s="151"/>
      <c r="I2444" s="151"/>
      <c r="J2444" s="152">
        <v>42618.700509259259</v>
      </c>
      <c r="K2444" s="151"/>
      <c r="L2444" s="151" t="s">
        <v>59</v>
      </c>
      <c r="M2444" s="152">
        <v>42615.71534722222</v>
      </c>
      <c r="N2444" s="151" t="s">
        <v>3804</v>
      </c>
      <c r="O2444" s="151"/>
      <c r="P2444" s="151"/>
      <c r="Q2444" s="7" t="str">
        <f>IF(ISBLANK(patch[[#This Row],[OwnerEmail]]),Q2443,patch[[#This Row],[OwnerEmail]])</f>
        <v>liang.l.yang@intel.com</v>
      </c>
      <c r="R2444" s="7" t="str">
        <f>_xlfn.IFNA(VLOOKUP(patch[[#This Row],[tmp-owner.email]],OrgTree!$A:$K, 11, 0), "not ICG SWFW")</f>
        <v>BJ And dev</v>
      </c>
      <c r="S2444" s="7" t="str">
        <f>IF(patch[[#This Row],[reviewer]]=patch[[#This Row],[tmp-owner.email]], "author", _xlfn.IFNA(VLOOKUP(patch[[#This Row],[reviewer]],OrgTree!$A:$K, 11, 0), "not ICG SWFW"))</f>
        <v>BJ And dev</v>
      </c>
      <c r="T2444" s="7" t="str">
        <f>IF(ISBLANK(patch[[#This Row],[mergeDate]]), "", MID(YEAR(patch[[#This Row],[mergeDate]]), 3,2)&amp;"'ww"&amp;WEEKNUM(patch[[#This Row],[mergeDate]]))</f>
        <v>16'ww37</v>
      </c>
      <c r="U2444" s="7" t="str">
        <f>IF(ISBLANK(patch[[#This Row],[mergeDate]]), U2443, MID(YEAR(patch[[#This Row],[mergeDate]]), 3,2)&amp;"'m"&amp;MONTH(patch[[#This Row],[mergeDate]]))</f>
        <v>16'm9</v>
      </c>
      <c r="V2444" s="7" t="str">
        <f>IF(ISBLANK(patch[[#This Row],[project]]), "",SUM(patch[[#This Row],[BJ -1 num]:[SH -1 num]]))</f>
        <v/>
      </c>
      <c r="W2444" s="7" t="str">
        <f>IF(ISBLANK(patch[[#This Row],[project]]), "",COUNTIFS($A:$A,patch[[#This Row],[number]],$S:$S, "BJ And dev",$AC:$AC, "Review-1"))</f>
        <v/>
      </c>
      <c r="X2444" s="7" t="str">
        <f>IF(ISBLANK(patch[[#This Row],[project]]), "",COUNTIFS($A:$A,patch[[#This Row],[number]],$S:$S, "FL And dev",$AC:$AC, "Review-1"))</f>
        <v/>
      </c>
      <c r="Y2444" s="7" t="str">
        <f>IF(ISBLANK(patch[[#This Row],[project]]), "",COUNTIFS($A:$A,patch[[#This Row],[number]],$S:$S, "SH And dev",$AC:$AC, "Review-1"))</f>
        <v/>
      </c>
      <c r="Z2444" s="7" t="str">
        <f>IF(ISBLANK(patch[[#This Row],[project]]), "",COUNTIFS($A:$A,patch[[#This Row],[number]],$S:$S, "BJ And dev",$AD:$AD, "&lt;&gt;IntegratorValidationComment"))</f>
        <v/>
      </c>
      <c r="AA2444" s="7" t="str">
        <f>IF(ISBLANK(patch[[#This Row],[project]]), "",COUNTIFS($A:$A,patch[[#This Row],[number]],$S:$S, "FL And dev",$AD:$AD, "&lt;&gt;IntegratorValidationComment"))</f>
        <v/>
      </c>
      <c r="AB2444" s="7" t="str">
        <f>IF(ISBLANK(patch[[#This Row],[project]]), "",COUNTIFS($A:$A,patch[[#This Row],[number]],$S:$S, "SH And dev",$AD:$AD, "&lt;&gt;IntegratorValidationComment"))</f>
        <v/>
      </c>
      <c r="AC2444" s="7" t="str">
        <f>IF(OR(ISNUMBER(FIND("Review-1", patch[[#This Row],[comments]])), ISNUMBER(FIND("Approver-1", patch[[#This Row],[comments]]))), "Review-1", "")</f>
        <v/>
      </c>
      <c r="AD24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44" s="7">
        <f>IF(ISBLANK(patch[[#This Row],[number]]),AE2443,patch[[#This Row],[ifCommon]])</f>
        <v>0</v>
      </c>
    </row>
    <row r="2445" spans="1:31">
      <c r="A2445" s="151">
        <v>142785</v>
      </c>
      <c r="B2445" s="151"/>
      <c r="C2445" s="151"/>
      <c r="D2445" s="151"/>
      <c r="E2445" s="151"/>
      <c r="F2445" s="151"/>
      <c r="G2445" s="151"/>
      <c r="H2445" s="151"/>
      <c r="I2445" s="151"/>
      <c r="J2445" s="152">
        <v>42618.700509259259</v>
      </c>
      <c r="K2445" s="151"/>
      <c r="L2445" s="151" t="s">
        <v>115</v>
      </c>
      <c r="M2445" s="152">
        <v>42618.418599537043</v>
      </c>
      <c r="N2445" s="151" t="s">
        <v>2489</v>
      </c>
      <c r="O2445" s="151"/>
      <c r="P2445" s="151"/>
      <c r="Q2445" s="7" t="str">
        <f>IF(ISBLANK(patch[[#This Row],[OwnerEmail]]),Q2444,patch[[#This Row],[OwnerEmail]])</f>
        <v>liang.l.yang@intel.com</v>
      </c>
      <c r="R2445" s="7" t="str">
        <f>_xlfn.IFNA(VLOOKUP(patch[[#This Row],[tmp-owner.email]],OrgTree!$A:$K, 11, 0), "not ICG SWFW")</f>
        <v>BJ And dev</v>
      </c>
      <c r="S2445" s="7" t="str">
        <f>IF(patch[[#This Row],[reviewer]]=patch[[#This Row],[tmp-owner.email]], "author", _xlfn.IFNA(VLOOKUP(patch[[#This Row],[reviewer]],OrgTree!$A:$K, 11, 0), "not ICG SWFW"))</f>
        <v>Val</v>
      </c>
      <c r="T2445" s="7" t="str">
        <f>IF(ISBLANK(patch[[#This Row],[mergeDate]]), "", MID(YEAR(patch[[#This Row],[mergeDate]]), 3,2)&amp;"'ww"&amp;WEEKNUM(patch[[#This Row],[mergeDate]]))</f>
        <v>16'ww37</v>
      </c>
      <c r="U2445" s="7" t="str">
        <f>IF(ISBLANK(patch[[#This Row],[mergeDate]]), U2444, MID(YEAR(patch[[#This Row],[mergeDate]]), 3,2)&amp;"'m"&amp;MONTH(patch[[#This Row],[mergeDate]]))</f>
        <v>16'm9</v>
      </c>
      <c r="V2445" s="7" t="str">
        <f>IF(ISBLANK(patch[[#This Row],[project]]), "",SUM(patch[[#This Row],[BJ -1 num]:[SH -1 num]]))</f>
        <v/>
      </c>
      <c r="W2445" s="7" t="str">
        <f>IF(ISBLANK(patch[[#This Row],[project]]), "",COUNTIFS($A:$A,patch[[#This Row],[number]],$S:$S, "BJ And dev",$AC:$AC, "Review-1"))</f>
        <v/>
      </c>
      <c r="X2445" s="7" t="str">
        <f>IF(ISBLANK(patch[[#This Row],[project]]), "",COUNTIFS($A:$A,patch[[#This Row],[number]],$S:$S, "FL And dev",$AC:$AC, "Review-1"))</f>
        <v/>
      </c>
      <c r="Y2445" s="7" t="str">
        <f>IF(ISBLANK(patch[[#This Row],[project]]), "",COUNTIFS($A:$A,patch[[#This Row],[number]],$S:$S, "SH And dev",$AC:$AC, "Review-1"))</f>
        <v/>
      </c>
      <c r="Z2445" s="7" t="str">
        <f>IF(ISBLANK(patch[[#This Row],[project]]), "",COUNTIFS($A:$A,patch[[#This Row],[number]],$S:$S, "BJ And dev",$AD:$AD, "&lt;&gt;IntegratorValidationComment"))</f>
        <v/>
      </c>
      <c r="AA2445" s="7" t="str">
        <f>IF(ISBLANK(patch[[#This Row],[project]]), "",COUNTIFS($A:$A,patch[[#This Row],[number]],$S:$S, "FL And dev",$AD:$AD, "&lt;&gt;IntegratorValidationComment"))</f>
        <v/>
      </c>
      <c r="AB2445" s="7" t="str">
        <f>IF(ISBLANK(patch[[#This Row],[project]]), "",COUNTIFS($A:$A,patch[[#This Row],[number]],$S:$S, "SH And dev",$AD:$AD, "&lt;&gt;IntegratorValidationComment"))</f>
        <v/>
      </c>
      <c r="AC2445" s="7" t="str">
        <f>IF(OR(ISNUMBER(FIND("Review-1", patch[[#This Row],[comments]])), ISNUMBER(FIND("Approver-1", patch[[#This Row],[comments]]))), "Review-1", "")</f>
        <v/>
      </c>
      <c r="AD24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445" s="7">
        <f>IF(ISBLANK(patch[[#This Row],[number]]),AE2444,patch[[#This Row],[ifCommon]])</f>
        <v>0</v>
      </c>
    </row>
    <row r="2446" spans="1:31">
      <c r="A2446" s="151">
        <v>142938</v>
      </c>
      <c r="B2446" s="151" t="s">
        <v>2490</v>
      </c>
      <c r="C2446" s="151" t="s">
        <v>2491</v>
      </c>
      <c r="D2446" s="151" t="s">
        <v>3805</v>
      </c>
      <c r="E2446" s="151" t="s">
        <v>115</v>
      </c>
      <c r="F2446" s="151" t="s">
        <v>23</v>
      </c>
      <c r="G2446" s="151" t="s">
        <v>3806</v>
      </c>
      <c r="H2446" s="151" t="s">
        <v>3807</v>
      </c>
      <c r="I2446" s="152">
        <v>42615.448263888888</v>
      </c>
      <c r="J2446" s="152">
        <v>42615.720069444447</v>
      </c>
      <c r="K2446" s="151" t="s">
        <v>2445</v>
      </c>
      <c r="L2446" s="151" t="s">
        <v>115</v>
      </c>
      <c r="M2446" s="152">
        <v>42615.448263888888</v>
      </c>
      <c r="N2446" s="151" t="s">
        <v>2428</v>
      </c>
      <c r="O2446" s="151"/>
      <c r="P2446" s="151" t="s">
        <v>3279</v>
      </c>
      <c r="Q2446" s="7" t="str">
        <f>IF(ISBLANK(patch[[#This Row],[OwnerEmail]]),Q2445,patch[[#This Row],[OwnerEmail]])</f>
        <v>wei.l.li@intel.com</v>
      </c>
      <c r="R2446" s="7" t="str">
        <f>_xlfn.IFNA(VLOOKUP(patch[[#This Row],[tmp-owner.email]],OrgTree!$A:$K, 11, 0), "not ICG SWFW")</f>
        <v>Val</v>
      </c>
      <c r="S2446" s="7" t="str">
        <f>IF(patch[[#This Row],[reviewer]]=patch[[#This Row],[tmp-owner.email]], "author", _xlfn.IFNA(VLOOKUP(patch[[#This Row],[reviewer]],OrgTree!$A:$K, 11, 0), "not ICG SWFW"))</f>
        <v>author</v>
      </c>
      <c r="T2446" s="7" t="str">
        <f>IF(ISBLANK(patch[[#This Row],[mergeDate]]), "", MID(YEAR(patch[[#This Row],[mergeDate]]), 3,2)&amp;"'ww"&amp;WEEKNUM(patch[[#This Row],[mergeDate]]))</f>
        <v>16'ww36</v>
      </c>
      <c r="U2446" s="7" t="str">
        <f>IF(ISBLANK(patch[[#This Row],[mergeDate]]), U2445, MID(YEAR(patch[[#This Row],[mergeDate]]), 3,2)&amp;"'m"&amp;MONTH(patch[[#This Row],[mergeDate]]))</f>
        <v>16'm9</v>
      </c>
      <c r="V2446" s="7">
        <f>IF(ISBLANK(patch[[#This Row],[project]]), "",SUM(patch[[#This Row],[BJ -1 num]:[SH -1 num]]))</f>
        <v>0</v>
      </c>
      <c r="W2446" s="7">
        <f>IF(ISBLANK(patch[[#This Row],[project]]), "",COUNTIFS($A:$A,patch[[#This Row],[number]],$S:$S, "BJ And dev",$AC:$AC, "Review-1"))</f>
        <v>0</v>
      </c>
      <c r="X2446" s="7">
        <f>IF(ISBLANK(patch[[#This Row],[project]]), "",COUNTIFS($A:$A,patch[[#This Row],[number]],$S:$S, "FL And dev",$AC:$AC, "Review-1"))</f>
        <v>0</v>
      </c>
      <c r="Y2446" s="7">
        <f>IF(ISBLANK(patch[[#This Row],[project]]), "",COUNTIFS($A:$A,patch[[#This Row],[number]],$S:$S, "SH And dev",$AC:$AC, "Review-1"))</f>
        <v>0</v>
      </c>
      <c r="Z2446" s="7">
        <f>IF(ISBLANK(patch[[#This Row],[project]]), "",COUNTIFS($A:$A,patch[[#This Row],[number]],$S:$S, "BJ And dev",$AD:$AD, "&lt;&gt;IntegratorValidationComment"))</f>
        <v>8</v>
      </c>
      <c r="AA2446" s="7">
        <f>IF(ISBLANK(patch[[#This Row],[project]]), "",COUNTIFS($A:$A,patch[[#This Row],[number]],$S:$S, "FL And dev",$AD:$AD, "&lt;&gt;IntegratorValidationComment"))</f>
        <v>0</v>
      </c>
      <c r="AB2446" s="7">
        <f>IF(ISBLANK(patch[[#This Row],[project]]), "",COUNTIFS($A:$A,patch[[#This Row],[number]],$S:$S, "SH And dev",$AD:$AD, "&lt;&gt;IntegratorValidationComment"))</f>
        <v>0</v>
      </c>
      <c r="AC2446" s="7" t="str">
        <f>IF(OR(ISNUMBER(FIND("Review-1", patch[[#This Row],[comments]])), ISNUMBER(FIND("Approver-1", patch[[#This Row],[comments]]))), "Review-1", "")</f>
        <v/>
      </c>
      <c r="AD24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46" s="7" t="str">
        <f>IF(ISBLANK(patch[[#This Row],[number]]),AE2445,patch[[#This Row],[ifCommon]])</f>
        <v>not AndrHAL</v>
      </c>
    </row>
    <row r="2447" spans="1:31">
      <c r="A2447" s="151">
        <v>142938</v>
      </c>
      <c r="B2447" s="151"/>
      <c r="C2447" s="151"/>
      <c r="D2447" s="151"/>
      <c r="E2447" s="151"/>
      <c r="F2447" s="151"/>
      <c r="G2447" s="151"/>
      <c r="H2447" s="151"/>
      <c r="I2447" s="151"/>
      <c r="J2447" s="152">
        <v>42615.720069444447</v>
      </c>
      <c r="K2447" s="151"/>
      <c r="L2447" s="151" t="s">
        <v>59</v>
      </c>
      <c r="M2447" s="152">
        <v>42615.451493055552</v>
      </c>
      <c r="N2447" s="151" t="s">
        <v>2757</v>
      </c>
      <c r="O2447" s="151"/>
      <c r="P2447" s="151"/>
      <c r="Q2447" s="7" t="str">
        <f>IF(ISBLANK(patch[[#This Row],[OwnerEmail]]),Q2446,patch[[#This Row],[OwnerEmail]])</f>
        <v>wei.l.li@intel.com</v>
      </c>
      <c r="R2447" s="7" t="str">
        <f>_xlfn.IFNA(VLOOKUP(patch[[#This Row],[tmp-owner.email]],OrgTree!$A:$K, 11, 0), "not ICG SWFW")</f>
        <v>Val</v>
      </c>
      <c r="S2447" s="7" t="str">
        <f>IF(patch[[#This Row],[reviewer]]=patch[[#This Row],[tmp-owner.email]], "author", _xlfn.IFNA(VLOOKUP(patch[[#This Row],[reviewer]],OrgTree!$A:$K, 11, 0), "not ICG SWFW"))</f>
        <v>BJ And dev</v>
      </c>
      <c r="T2447" s="7" t="str">
        <f>IF(ISBLANK(patch[[#This Row],[mergeDate]]), "", MID(YEAR(patch[[#This Row],[mergeDate]]), 3,2)&amp;"'ww"&amp;WEEKNUM(patch[[#This Row],[mergeDate]]))</f>
        <v>16'ww36</v>
      </c>
      <c r="U2447" s="7" t="str">
        <f>IF(ISBLANK(patch[[#This Row],[mergeDate]]), U2446, MID(YEAR(patch[[#This Row],[mergeDate]]), 3,2)&amp;"'m"&amp;MONTH(patch[[#This Row],[mergeDate]]))</f>
        <v>16'm9</v>
      </c>
      <c r="V2447" s="7" t="str">
        <f>IF(ISBLANK(patch[[#This Row],[project]]), "",SUM(patch[[#This Row],[BJ -1 num]:[SH -1 num]]))</f>
        <v/>
      </c>
      <c r="W2447" s="7" t="str">
        <f>IF(ISBLANK(patch[[#This Row],[project]]), "",COUNTIFS($A:$A,patch[[#This Row],[number]],$S:$S, "BJ And dev",$AC:$AC, "Review-1"))</f>
        <v/>
      </c>
      <c r="X2447" s="7" t="str">
        <f>IF(ISBLANK(patch[[#This Row],[project]]), "",COUNTIFS($A:$A,patch[[#This Row],[number]],$S:$S, "FL And dev",$AC:$AC, "Review-1"))</f>
        <v/>
      </c>
      <c r="Y2447" s="7" t="str">
        <f>IF(ISBLANK(patch[[#This Row],[project]]), "",COUNTIFS($A:$A,patch[[#This Row],[number]],$S:$S, "SH And dev",$AC:$AC, "Review-1"))</f>
        <v/>
      </c>
      <c r="Z2447" s="7" t="str">
        <f>IF(ISBLANK(patch[[#This Row],[project]]), "",COUNTIFS($A:$A,patch[[#This Row],[number]],$S:$S, "BJ And dev",$AD:$AD, "&lt;&gt;IntegratorValidationComment"))</f>
        <v/>
      </c>
      <c r="AA2447" s="7" t="str">
        <f>IF(ISBLANK(patch[[#This Row],[project]]), "",COUNTIFS($A:$A,patch[[#This Row],[number]],$S:$S, "FL And dev",$AD:$AD, "&lt;&gt;IntegratorValidationComment"))</f>
        <v/>
      </c>
      <c r="AB2447" s="7" t="str">
        <f>IF(ISBLANK(patch[[#This Row],[project]]), "",COUNTIFS($A:$A,patch[[#This Row],[number]],$S:$S, "SH And dev",$AD:$AD, "&lt;&gt;IntegratorValidationComment"))</f>
        <v/>
      </c>
      <c r="AC2447" s="7" t="str">
        <f>IF(OR(ISNUMBER(FIND("Review-1", patch[[#This Row],[comments]])), ISNUMBER(FIND("Approver-1", patch[[#This Row],[comments]]))), "Review-1", "")</f>
        <v/>
      </c>
      <c r="AD24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47" s="7">
        <f>IF(ISBLANK(patch[[#This Row],[number]]),AE2446,patch[[#This Row],[ifCommon]])</f>
        <v>0</v>
      </c>
    </row>
    <row r="2448" spans="1:31">
      <c r="A2448" s="151">
        <v>142938</v>
      </c>
      <c r="B2448" s="151"/>
      <c r="C2448" s="151"/>
      <c r="D2448" s="151"/>
      <c r="E2448" s="151"/>
      <c r="F2448" s="151"/>
      <c r="G2448" s="151"/>
      <c r="H2448" s="151"/>
      <c r="I2448" s="151"/>
      <c r="J2448" s="152">
        <v>42615.720069444447</v>
      </c>
      <c r="K2448" s="151"/>
      <c r="L2448" s="151" t="s">
        <v>59</v>
      </c>
      <c r="M2448" s="152">
        <v>42615.45207175926</v>
      </c>
      <c r="N2448" s="151" t="s">
        <v>3808</v>
      </c>
      <c r="O2448" s="151"/>
      <c r="P2448" s="151"/>
      <c r="Q2448" s="7" t="str">
        <f>IF(ISBLANK(patch[[#This Row],[OwnerEmail]]),Q2447,patch[[#This Row],[OwnerEmail]])</f>
        <v>wei.l.li@intel.com</v>
      </c>
      <c r="R2448" s="7" t="str">
        <f>_xlfn.IFNA(VLOOKUP(patch[[#This Row],[tmp-owner.email]],OrgTree!$A:$K, 11, 0), "not ICG SWFW")</f>
        <v>Val</v>
      </c>
      <c r="S2448" s="7" t="str">
        <f>IF(patch[[#This Row],[reviewer]]=patch[[#This Row],[tmp-owner.email]], "author", _xlfn.IFNA(VLOOKUP(patch[[#This Row],[reviewer]],OrgTree!$A:$K, 11, 0), "not ICG SWFW"))</f>
        <v>BJ And dev</v>
      </c>
      <c r="T2448" s="7" t="str">
        <f>IF(ISBLANK(patch[[#This Row],[mergeDate]]), "", MID(YEAR(patch[[#This Row],[mergeDate]]), 3,2)&amp;"'ww"&amp;WEEKNUM(patch[[#This Row],[mergeDate]]))</f>
        <v>16'ww36</v>
      </c>
      <c r="U2448" s="7" t="str">
        <f>IF(ISBLANK(patch[[#This Row],[mergeDate]]), U2447, MID(YEAR(patch[[#This Row],[mergeDate]]), 3,2)&amp;"'m"&amp;MONTH(patch[[#This Row],[mergeDate]]))</f>
        <v>16'm9</v>
      </c>
      <c r="V2448" s="7" t="str">
        <f>IF(ISBLANK(patch[[#This Row],[project]]), "",SUM(patch[[#This Row],[BJ -1 num]:[SH -1 num]]))</f>
        <v/>
      </c>
      <c r="W2448" s="7" t="str">
        <f>IF(ISBLANK(patch[[#This Row],[project]]), "",COUNTIFS($A:$A,patch[[#This Row],[number]],$S:$S, "BJ And dev",$AC:$AC, "Review-1"))</f>
        <v/>
      </c>
      <c r="X2448" s="7" t="str">
        <f>IF(ISBLANK(patch[[#This Row],[project]]), "",COUNTIFS($A:$A,patch[[#This Row],[number]],$S:$S, "FL And dev",$AC:$AC, "Review-1"))</f>
        <v/>
      </c>
      <c r="Y2448" s="7" t="str">
        <f>IF(ISBLANK(patch[[#This Row],[project]]), "",COUNTIFS($A:$A,patch[[#This Row],[number]],$S:$S, "SH And dev",$AC:$AC, "Review-1"))</f>
        <v/>
      </c>
      <c r="Z2448" s="7" t="str">
        <f>IF(ISBLANK(patch[[#This Row],[project]]), "",COUNTIFS($A:$A,patch[[#This Row],[number]],$S:$S, "BJ And dev",$AD:$AD, "&lt;&gt;IntegratorValidationComment"))</f>
        <v/>
      </c>
      <c r="AA2448" s="7" t="str">
        <f>IF(ISBLANK(patch[[#This Row],[project]]), "",COUNTIFS($A:$A,patch[[#This Row],[number]],$S:$S, "FL And dev",$AD:$AD, "&lt;&gt;IntegratorValidationComment"))</f>
        <v/>
      </c>
      <c r="AB2448" s="7" t="str">
        <f>IF(ISBLANK(patch[[#This Row],[project]]), "",COUNTIFS($A:$A,patch[[#This Row],[number]],$S:$S, "SH And dev",$AD:$AD, "&lt;&gt;IntegratorValidationComment"))</f>
        <v/>
      </c>
      <c r="AC2448" s="7" t="str">
        <f>IF(OR(ISNUMBER(FIND("Review-1", patch[[#This Row],[comments]])), ISNUMBER(FIND("Approver-1", patch[[#This Row],[comments]]))), "Review-1", "")</f>
        <v/>
      </c>
      <c r="AD24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48" s="7">
        <f>IF(ISBLANK(patch[[#This Row],[number]]),AE2447,patch[[#This Row],[ifCommon]])</f>
        <v>0</v>
      </c>
    </row>
    <row r="2449" spans="1:31">
      <c r="A2449" s="151">
        <v>142938</v>
      </c>
      <c r="B2449" s="151"/>
      <c r="C2449" s="151"/>
      <c r="D2449" s="151"/>
      <c r="E2449" s="151"/>
      <c r="F2449" s="151"/>
      <c r="G2449" s="151"/>
      <c r="H2449" s="151"/>
      <c r="I2449" s="151"/>
      <c r="J2449" s="152">
        <v>42615.720069444447</v>
      </c>
      <c r="K2449" s="151"/>
      <c r="L2449" s="151" t="s">
        <v>59</v>
      </c>
      <c r="M2449" s="152">
        <v>42615.452766203707</v>
      </c>
      <c r="N2449" s="151" t="s">
        <v>3809</v>
      </c>
      <c r="O2449" s="151"/>
      <c r="P2449" s="151"/>
      <c r="Q2449" s="7" t="str">
        <f>IF(ISBLANK(patch[[#This Row],[OwnerEmail]]),Q2448,patch[[#This Row],[OwnerEmail]])</f>
        <v>wei.l.li@intel.com</v>
      </c>
      <c r="R2449" s="7" t="str">
        <f>_xlfn.IFNA(VLOOKUP(patch[[#This Row],[tmp-owner.email]],OrgTree!$A:$K, 11, 0), "not ICG SWFW")</f>
        <v>Val</v>
      </c>
      <c r="S2449" s="7" t="str">
        <f>IF(patch[[#This Row],[reviewer]]=patch[[#This Row],[tmp-owner.email]], "author", _xlfn.IFNA(VLOOKUP(patch[[#This Row],[reviewer]],OrgTree!$A:$K, 11, 0), "not ICG SWFW"))</f>
        <v>BJ And dev</v>
      </c>
      <c r="T2449" s="7" t="str">
        <f>IF(ISBLANK(patch[[#This Row],[mergeDate]]), "", MID(YEAR(patch[[#This Row],[mergeDate]]), 3,2)&amp;"'ww"&amp;WEEKNUM(patch[[#This Row],[mergeDate]]))</f>
        <v>16'ww36</v>
      </c>
      <c r="U2449" s="7" t="str">
        <f>IF(ISBLANK(patch[[#This Row],[mergeDate]]), U2448, MID(YEAR(patch[[#This Row],[mergeDate]]), 3,2)&amp;"'m"&amp;MONTH(patch[[#This Row],[mergeDate]]))</f>
        <v>16'm9</v>
      </c>
      <c r="V2449" s="7" t="str">
        <f>IF(ISBLANK(patch[[#This Row],[project]]), "",SUM(patch[[#This Row],[BJ -1 num]:[SH -1 num]]))</f>
        <v/>
      </c>
      <c r="W2449" s="7" t="str">
        <f>IF(ISBLANK(patch[[#This Row],[project]]), "",COUNTIFS($A:$A,patch[[#This Row],[number]],$S:$S, "BJ And dev",$AC:$AC, "Review-1"))</f>
        <v/>
      </c>
      <c r="X2449" s="7" t="str">
        <f>IF(ISBLANK(patch[[#This Row],[project]]), "",COUNTIFS($A:$A,patch[[#This Row],[number]],$S:$S, "FL And dev",$AC:$AC, "Review-1"))</f>
        <v/>
      </c>
      <c r="Y2449" s="7" t="str">
        <f>IF(ISBLANK(patch[[#This Row],[project]]), "",COUNTIFS($A:$A,patch[[#This Row],[number]],$S:$S, "SH And dev",$AC:$AC, "Review-1"))</f>
        <v/>
      </c>
      <c r="Z2449" s="7" t="str">
        <f>IF(ISBLANK(patch[[#This Row],[project]]), "",COUNTIFS($A:$A,patch[[#This Row],[number]],$S:$S, "BJ And dev",$AD:$AD, "&lt;&gt;IntegratorValidationComment"))</f>
        <v/>
      </c>
      <c r="AA2449" s="7" t="str">
        <f>IF(ISBLANK(patch[[#This Row],[project]]), "",COUNTIFS($A:$A,patch[[#This Row],[number]],$S:$S, "FL And dev",$AD:$AD, "&lt;&gt;IntegratorValidationComment"))</f>
        <v/>
      </c>
      <c r="AB2449" s="7" t="str">
        <f>IF(ISBLANK(patch[[#This Row],[project]]), "",COUNTIFS($A:$A,patch[[#This Row],[number]],$S:$S, "SH And dev",$AD:$AD, "&lt;&gt;IntegratorValidationComment"))</f>
        <v/>
      </c>
      <c r="AC2449" s="7" t="str">
        <f>IF(OR(ISNUMBER(FIND("Review-1", patch[[#This Row],[comments]])), ISNUMBER(FIND("Approver-1", patch[[#This Row],[comments]]))), "Review-1", "")</f>
        <v/>
      </c>
      <c r="AD24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49" s="7">
        <f>IF(ISBLANK(patch[[#This Row],[number]]),AE2448,patch[[#This Row],[ifCommon]])</f>
        <v>0</v>
      </c>
    </row>
    <row r="2450" spans="1:31">
      <c r="A2450" s="151">
        <v>142938</v>
      </c>
      <c r="B2450" s="151"/>
      <c r="C2450" s="151"/>
      <c r="D2450" s="151"/>
      <c r="E2450" s="151"/>
      <c r="F2450" s="151"/>
      <c r="G2450" s="151"/>
      <c r="H2450" s="151"/>
      <c r="I2450" s="151"/>
      <c r="J2450" s="152">
        <v>42615.720069444447</v>
      </c>
      <c r="K2450" s="151"/>
      <c r="L2450" s="151" t="s">
        <v>115</v>
      </c>
      <c r="M2450" s="152">
        <v>42615.473749999997</v>
      </c>
      <c r="N2450" s="151" t="s">
        <v>2505</v>
      </c>
      <c r="O2450" s="151"/>
      <c r="P2450" s="151"/>
      <c r="Q2450" s="7" t="str">
        <f>IF(ISBLANK(patch[[#This Row],[OwnerEmail]]),Q2449,patch[[#This Row],[OwnerEmail]])</f>
        <v>wei.l.li@intel.com</v>
      </c>
      <c r="R2450" s="7" t="str">
        <f>_xlfn.IFNA(VLOOKUP(patch[[#This Row],[tmp-owner.email]],OrgTree!$A:$K, 11, 0), "not ICG SWFW")</f>
        <v>Val</v>
      </c>
      <c r="S2450" s="7" t="str">
        <f>IF(patch[[#This Row],[reviewer]]=patch[[#This Row],[tmp-owner.email]], "author", _xlfn.IFNA(VLOOKUP(patch[[#This Row],[reviewer]],OrgTree!$A:$K, 11, 0), "not ICG SWFW"))</f>
        <v>author</v>
      </c>
      <c r="T2450" s="7" t="str">
        <f>IF(ISBLANK(patch[[#This Row],[mergeDate]]), "", MID(YEAR(patch[[#This Row],[mergeDate]]), 3,2)&amp;"'ww"&amp;WEEKNUM(patch[[#This Row],[mergeDate]]))</f>
        <v>16'ww36</v>
      </c>
      <c r="U2450" s="7" t="str">
        <f>IF(ISBLANK(patch[[#This Row],[mergeDate]]), U2449, MID(YEAR(patch[[#This Row],[mergeDate]]), 3,2)&amp;"'m"&amp;MONTH(patch[[#This Row],[mergeDate]]))</f>
        <v>16'm9</v>
      </c>
      <c r="V2450" s="7" t="str">
        <f>IF(ISBLANK(patch[[#This Row],[project]]), "",SUM(patch[[#This Row],[BJ -1 num]:[SH -1 num]]))</f>
        <v/>
      </c>
      <c r="W2450" s="7" t="str">
        <f>IF(ISBLANK(patch[[#This Row],[project]]), "",COUNTIFS($A:$A,patch[[#This Row],[number]],$S:$S, "BJ And dev",$AC:$AC, "Review-1"))</f>
        <v/>
      </c>
      <c r="X2450" s="7" t="str">
        <f>IF(ISBLANK(patch[[#This Row],[project]]), "",COUNTIFS($A:$A,patch[[#This Row],[number]],$S:$S, "FL And dev",$AC:$AC, "Review-1"))</f>
        <v/>
      </c>
      <c r="Y2450" s="7" t="str">
        <f>IF(ISBLANK(patch[[#This Row],[project]]), "",COUNTIFS($A:$A,patch[[#This Row],[number]],$S:$S, "SH And dev",$AC:$AC, "Review-1"))</f>
        <v/>
      </c>
      <c r="Z2450" s="7" t="str">
        <f>IF(ISBLANK(patch[[#This Row],[project]]), "",COUNTIFS($A:$A,patch[[#This Row],[number]],$S:$S, "BJ And dev",$AD:$AD, "&lt;&gt;IntegratorValidationComment"))</f>
        <v/>
      </c>
      <c r="AA2450" s="7" t="str">
        <f>IF(ISBLANK(patch[[#This Row],[project]]), "",COUNTIFS($A:$A,patch[[#This Row],[number]],$S:$S, "FL And dev",$AD:$AD, "&lt;&gt;IntegratorValidationComment"))</f>
        <v/>
      </c>
      <c r="AB2450" s="7" t="str">
        <f>IF(ISBLANK(patch[[#This Row],[project]]), "",COUNTIFS($A:$A,patch[[#This Row],[number]],$S:$S, "SH And dev",$AD:$AD, "&lt;&gt;IntegratorValidationComment"))</f>
        <v/>
      </c>
      <c r="AC2450" s="7" t="str">
        <f>IF(OR(ISNUMBER(FIND("Review-1", patch[[#This Row],[comments]])), ISNUMBER(FIND("Approver-1", patch[[#This Row],[comments]]))), "Review-1", "")</f>
        <v/>
      </c>
      <c r="AD24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50" s="7">
        <f>IF(ISBLANK(patch[[#This Row],[number]]),AE2449,patch[[#This Row],[ifCommon]])</f>
        <v>0</v>
      </c>
    </row>
    <row r="2451" spans="1:31">
      <c r="A2451" s="151">
        <v>142938</v>
      </c>
      <c r="B2451" s="151"/>
      <c r="C2451" s="151"/>
      <c r="D2451" s="151"/>
      <c r="E2451" s="151"/>
      <c r="F2451" s="151"/>
      <c r="G2451" s="151"/>
      <c r="H2451" s="151"/>
      <c r="I2451" s="151"/>
      <c r="J2451" s="152">
        <v>42615.720069444447</v>
      </c>
      <c r="K2451" s="151"/>
      <c r="L2451" s="151" t="s">
        <v>115</v>
      </c>
      <c r="M2451" s="152">
        <v>42615.473749999997</v>
      </c>
      <c r="N2451" s="151" t="s">
        <v>2429</v>
      </c>
      <c r="O2451" s="151"/>
      <c r="P2451" s="151"/>
      <c r="Q2451" s="7" t="str">
        <f>IF(ISBLANK(patch[[#This Row],[OwnerEmail]]),Q2450,patch[[#This Row],[OwnerEmail]])</f>
        <v>wei.l.li@intel.com</v>
      </c>
      <c r="R2451" s="7" t="str">
        <f>_xlfn.IFNA(VLOOKUP(patch[[#This Row],[tmp-owner.email]],OrgTree!$A:$K, 11, 0), "not ICG SWFW")</f>
        <v>Val</v>
      </c>
      <c r="S2451" s="7" t="str">
        <f>IF(patch[[#This Row],[reviewer]]=patch[[#This Row],[tmp-owner.email]], "author", _xlfn.IFNA(VLOOKUP(patch[[#This Row],[reviewer]],OrgTree!$A:$K, 11, 0), "not ICG SWFW"))</f>
        <v>author</v>
      </c>
      <c r="T2451" s="7" t="str">
        <f>IF(ISBLANK(patch[[#This Row],[mergeDate]]), "", MID(YEAR(patch[[#This Row],[mergeDate]]), 3,2)&amp;"'ww"&amp;WEEKNUM(patch[[#This Row],[mergeDate]]))</f>
        <v>16'ww36</v>
      </c>
      <c r="U2451" s="7" t="str">
        <f>IF(ISBLANK(patch[[#This Row],[mergeDate]]), U2450, MID(YEAR(patch[[#This Row],[mergeDate]]), 3,2)&amp;"'m"&amp;MONTH(patch[[#This Row],[mergeDate]]))</f>
        <v>16'm9</v>
      </c>
      <c r="V2451" s="7" t="str">
        <f>IF(ISBLANK(patch[[#This Row],[project]]), "",SUM(patch[[#This Row],[BJ -1 num]:[SH -1 num]]))</f>
        <v/>
      </c>
      <c r="W2451" s="7" t="str">
        <f>IF(ISBLANK(patch[[#This Row],[project]]), "",COUNTIFS($A:$A,patch[[#This Row],[number]],$S:$S, "BJ And dev",$AC:$AC, "Review-1"))</f>
        <v/>
      </c>
      <c r="X2451" s="7" t="str">
        <f>IF(ISBLANK(patch[[#This Row],[project]]), "",COUNTIFS($A:$A,patch[[#This Row],[number]],$S:$S, "FL And dev",$AC:$AC, "Review-1"))</f>
        <v/>
      </c>
      <c r="Y2451" s="7" t="str">
        <f>IF(ISBLANK(patch[[#This Row],[project]]), "",COUNTIFS($A:$A,patch[[#This Row],[number]],$S:$S, "SH And dev",$AC:$AC, "Review-1"))</f>
        <v/>
      </c>
      <c r="Z2451" s="7" t="str">
        <f>IF(ISBLANK(patch[[#This Row],[project]]), "",COUNTIFS($A:$A,patch[[#This Row],[number]],$S:$S, "BJ And dev",$AD:$AD, "&lt;&gt;IntegratorValidationComment"))</f>
        <v/>
      </c>
      <c r="AA2451" s="7" t="str">
        <f>IF(ISBLANK(patch[[#This Row],[project]]), "",COUNTIFS($A:$A,patch[[#This Row],[number]],$S:$S, "FL And dev",$AD:$AD, "&lt;&gt;IntegratorValidationComment"))</f>
        <v/>
      </c>
      <c r="AB2451" s="7" t="str">
        <f>IF(ISBLANK(patch[[#This Row],[project]]), "",COUNTIFS($A:$A,patch[[#This Row],[number]],$S:$S, "SH And dev",$AD:$AD, "&lt;&gt;IntegratorValidationComment"))</f>
        <v/>
      </c>
      <c r="AC2451" s="7" t="str">
        <f>IF(OR(ISNUMBER(FIND("Review-1", patch[[#This Row],[comments]])), ISNUMBER(FIND("Approver-1", patch[[#This Row],[comments]]))), "Review-1", "")</f>
        <v/>
      </c>
      <c r="AD24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51" s="7">
        <f>IF(ISBLANK(patch[[#This Row],[number]]),AE2450,patch[[#This Row],[ifCommon]])</f>
        <v>0</v>
      </c>
    </row>
    <row r="2452" spans="1:31">
      <c r="A2452" s="151">
        <v>142938</v>
      </c>
      <c r="B2452" s="151"/>
      <c r="C2452" s="151"/>
      <c r="D2452" s="151"/>
      <c r="E2452" s="151"/>
      <c r="F2452" s="151"/>
      <c r="G2452" s="151"/>
      <c r="H2452" s="151"/>
      <c r="I2452" s="151"/>
      <c r="J2452" s="152">
        <v>42615.720069444447</v>
      </c>
      <c r="K2452" s="151"/>
      <c r="L2452" s="151" t="s">
        <v>59</v>
      </c>
      <c r="M2452" s="152">
        <v>42615.479270833333</v>
      </c>
      <c r="N2452" s="151" t="s">
        <v>2846</v>
      </c>
      <c r="O2452" s="151"/>
      <c r="P2452" s="151"/>
      <c r="Q2452" s="7" t="str">
        <f>IF(ISBLANK(patch[[#This Row],[OwnerEmail]]),Q2451,patch[[#This Row],[OwnerEmail]])</f>
        <v>wei.l.li@intel.com</v>
      </c>
      <c r="R2452" s="7" t="str">
        <f>_xlfn.IFNA(VLOOKUP(patch[[#This Row],[tmp-owner.email]],OrgTree!$A:$K, 11, 0), "not ICG SWFW")</f>
        <v>Val</v>
      </c>
      <c r="S2452" s="7" t="str">
        <f>IF(patch[[#This Row],[reviewer]]=patch[[#This Row],[tmp-owner.email]], "author", _xlfn.IFNA(VLOOKUP(patch[[#This Row],[reviewer]],OrgTree!$A:$K, 11, 0), "not ICG SWFW"))</f>
        <v>BJ And dev</v>
      </c>
      <c r="T2452" s="7" t="str">
        <f>IF(ISBLANK(patch[[#This Row],[mergeDate]]), "", MID(YEAR(patch[[#This Row],[mergeDate]]), 3,2)&amp;"'ww"&amp;WEEKNUM(patch[[#This Row],[mergeDate]]))</f>
        <v>16'ww36</v>
      </c>
      <c r="U2452" s="7" t="str">
        <f>IF(ISBLANK(patch[[#This Row],[mergeDate]]), U2451, MID(YEAR(patch[[#This Row],[mergeDate]]), 3,2)&amp;"'m"&amp;MONTH(patch[[#This Row],[mergeDate]]))</f>
        <v>16'm9</v>
      </c>
      <c r="V2452" s="7" t="str">
        <f>IF(ISBLANK(patch[[#This Row],[project]]), "",SUM(patch[[#This Row],[BJ -1 num]:[SH -1 num]]))</f>
        <v/>
      </c>
      <c r="W2452" s="7" t="str">
        <f>IF(ISBLANK(patch[[#This Row],[project]]), "",COUNTIFS($A:$A,patch[[#This Row],[number]],$S:$S, "BJ And dev",$AC:$AC, "Review-1"))</f>
        <v/>
      </c>
      <c r="X2452" s="7" t="str">
        <f>IF(ISBLANK(patch[[#This Row],[project]]), "",COUNTIFS($A:$A,patch[[#This Row],[number]],$S:$S, "FL And dev",$AC:$AC, "Review-1"))</f>
        <v/>
      </c>
      <c r="Y2452" s="7" t="str">
        <f>IF(ISBLANK(patch[[#This Row],[project]]), "",COUNTIFS($A:$A,patch[[#This Row],[number]],$S:$S, "SH And dev",$AC:$AC, "Review-1"))</f>
        <v/>
      </c>
      <c r="Z2452" s="7" t="str">
        <f>IF(ISBLANK(patch[[#This Row],[project]]), "",COUNTIFS($A:$A,patch[[#This Row],[number]],$S:$S, "BJ And dev",$AD:$AD, "&lt;&gt;IntegratorValidationComment"))</f>
        <v/>
      </c>
      <c r="AA2452" s="7" t="str">
        <f>IF(ISBLANK(patch[[#This Row],[project]]), "",COUNTIFS($A:$A,patch[[#This Row],[number]],$S:$S, "FL And dev",$AD:$AD, "&lt;&gt;IntegratorValidationComment"))</f>
        <v/>
      </c>
      <c r="AB2452" s="7" t="str">
        <f>IF(ISBLANK(patch[[#This Row],[project]]), "",COUNTIFS($A:$A,patch[[#This Row],[number]],$S:$S, "SH And dev",$AD:$AD, "&lt;&gt;IntegratorValidationComment"))</f>
        <v/>
      </c>
      <c r="AC2452" s="7" t="str">
        <f>IF(OR(ISNUMBER(FIND("Review-1", patch[[#This Row],[comments]])), ISNUMBER(FIND("Approver-1", patch[[#This Row],[comments]]))), "Review-1", "")</f>
        <v/>
      </c>
      <c r="AD24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52" s="7">
        <f>IF(ISBLANK(patch[[#This Row],[number]]),AE2451,patch[[#This Row],[ifCommon]])</f>
        <v>0</v>
      </c>
    </row>
    <row r="2453" spans="1:31">
      <c r="A2453" s="151">
        <v>142938</v>
      </c>
      <c r="B2453" s="151"/>
      <c r="C2453" s="151"/>
      <c r="D2453" s="151"/>
      <c r="E2453" s="151"/>
      <c r="F2453" s="151"/>
      <c r="G2453" s="151"/>
      <c r="H2453" s="151"/>
      <c r="I2453" s="151"/>
      <c r="J2453" s="152">
        <v>42615.720069444447</v>
      </c>
      <c r="K2453" s="151"/>
      <c r="L2453" s="151" t="s">
        <v>59</v>
      </c>
      <c r="M2453" s="152">
        <v>42615.481180555558</v>
      </c>
      <c r="N2453" s="151" t="s">
        <v>3810</v>
      </c>
      <c r="O2453" s="151"/>
      <c r="P2453" s="151"/>
      <c r="Q2453" s="7" t="str">
        <f>IF(ISBLANK(patch[[#This Row],[OwnerEmail]]),Q2452,patch[[#This Row],[OwnerEmail]])</f>
        <v>wei.l.li@intel.com</v>
      </c>
      <c r="R2453" s="7" t="str">
        <f>_xlfn.IFNA(VLOOKUP(patch[[#This Row],[tmp-owner.email]],OrgTree!$A:$K, 11, 0), "not ICG SWFW")</f>
        <v>Val</v>
      </c>
      <c r="S2453" s="7" t="str">
        <f>IF(patch[[#This Row],[reviewer]]=patch[[#This Row],[tmp-owner.email]], "author", _xlfn.IFNA(VLOOKUP(patch[[#This Row],[reviewer]],OrgTree!$A:$K, 11, 0), "not ICG SWFW"))</f>
        <v>BJ And dev</v>
      </c>
      <c r="T2453" s="7" t="str">
        <f>IF(ISBLANK(patch[[#This Row],[mergeDate]]), "", MID(YEAR(patch[[#This Row],[mergeDate]]), 3,2)&amp;"'ww"&amp;WEEKNUM(patch[[#This Row],[mergeDate]]))</f>
        <v>16'ww36</v>
      </c>
      <c r="U2453" s="7" t="str">
        <f>IF(ISBLANK(patch[[#This Row],[mergeDate]]), U2452, MID(YEAR(patch[[#This Row],[mergeDate]]), 3,2)&amp;"'m"&amp;MONTH(patch[[#This Row],[mergeDate]]))</f>
        <v>16'm9</v>
      </c>
      <c r="V2453" s="7" t="str">
        <f>IF(ISBLANK(patch[[#This Row],[project]]), "",SUM(patch[[#This Row],[BJ -1 num]:[SH -1 num]]))</f>
        <v/>
      </c>
      <c r="W2453" s="7" t="str">
        <f>IF(ISBLANK(patch[[#This Row],[project]]), "",COUNTIFS($A:$A,patch[[#This Row],[number]],$S:$S, "BJ And dev",$AC:$AC, "Review-1"))</f>
        <v/>
      </c>
      <c r="X2453" s="7" t="str">
        <f>IF(ISBLANK(patch[[#This Row],[project]]), "",COUNTIFS($A:$A,patch[[#This Row],[number]],$S:$S, "FL And dev",$AC:$AC, "Review-1"))</f>
        <v/>
      </c>
      <c r="Y2453" s="7" t="str">
        <f>IF(ISBLANK(patch[[#This Row],[project]]), "",COUNTIFS($A:$A,patch[[#This Row],[number]],$S:$S, "SH And dev",$AC:$AC, "Review-1"))</f>
        <v/>
      </c>
      <c r="Z2453" s="7" t="str">
        <f>IF(ISBLANK(patch[[#This Row],[project]]), "",COUNTIFS($A:$A,patch[[#This Row],[number]],$S:$S, "BJ And dev",$AD:$AD, "&lt;&gt;IntegratorValidationComment"))</f>
        <v/>
      </c>
      <c r="AA2453" s="7" t="str">
        <f>IF(ISBLANK(patch[[#This Row],[project]]), "",COUNTIFS($A:$A,patch[[#This Row],[number]],$S:$S, "FL And dev",$AD:$AD, "&lt;&gt;IntegratorValidationComment"))</f>
        <v/>
      </c>
      <c r="AB2453" s="7" t="str">
        <f>IF(ISBLANK(patch[[#This Row],[project]]), "",COUNTIFS($A:$A,patch[[#This Row],[number]],$S:$S, "SH And dev",$AD:$AD, "&lt;&gt;IntegratorValidationComment"))</f>
        <v/>
      </c>
      <c r="AC2453" s="7" t="str">
        <f>IF(OR(ISNUMBER(FIND("Review-1", patch[[#This Row],[comments]])), ISNUMBER(FIND("Approver-1", patch[[#This Row],[comments]]))), "Review-1", "")</f>
        <v/>
      </c>
      <c r="AD24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53" s="7">
        <f>IF(ISBLANK(patch[[#This Row],[number]]),AE2452,patch[[#This Row],[ifCommon]])</f>
        <v>0</v>
      </c>
    </row>
    <row r="2454" spans="1:31">
      <c r="A2454" s="151">
        <v>142938</v>
      </c>
      <c r="B2454" s="151"/>
      <c r="C2454" s="151"/>
      <c r="D2454" s="151"/>
      <c r="E2454" s="151"/>
      <c r="F2454" s="151"/>
      <c r="G2454" s="151"/>
      <c r="H2454" s="151"/>
      <c r="I2454" s="151"/>
      <c r="J2454" s="152">
        <v>42615.720069444447</v>
      </c>
      <c r="K2454" s="151"/>
      <c r="L2454" s="151" t="s">
        <v>59</v>
      </c>
      <c r="M2454" s="152">
        <v>42615.49255787037</v>
      </c>
      <c r="N2454" s="151" t="s">
        <v>3811</v>
      </c>
      <c r="O2454" s="151"/>
      <c r="P2454" s="151"/>
      <c r="Q2454" s="7" t="str">
        <f>IF(ISBLANK(patch[[#This Row],[OwnerEmail]]),Q2453,patch[[#This Row],[OwnerEmail]])</f>
        <v>wei.l.li@intel.com</v>
      </c>
      <c r="R2454" s="7" t="str">
        <f>_xlfn.IFNA(VLOOKUP(patch[[#This Row],[tmp-owner.email]],OrgTree!$A:$K, 11, 0), "not ICG SWFW")</f>
        <v>Val</v>
      </c>
      <c r="S2454" s="7" t="str">
        <f>IF(patch[[#This Row],[reviewer]]=patch[[#This Row],[tmp-owner.email]], "author", _xlfn.IFNA(VLOOKUP(patch[[#This Row],[reviewer]],OrgTree!$A:$K, 11, 0), "not ICG SWFW"))</f>
        <v>BJ And dev</v>
      </c>
      <c r="T2454" s="7" t="str">
        <f>IF(ISBLANK(patch[[#This Row],[mergeDate]]), "", MID(YEAR(patch[[#This Row],[mergeDate]]), 3,2)&amp;"'ww"&amp;WEEKNUM(patch[[#This Row],[mergeDate]]))</f>
        <v>16'ww36</v>
      </c>
      <c r="U2454" s="7" t="str">
        <f>IF(ISBLANK(patch[[#This Row],[mergeDate]]), U2453, MID(YEAR(patch[[#This Row],[mergeDate]]), 3,2)&amp;"'m"&amp;MONTH(patch[[#This Row],[mergeDate]]))</f>
        <v>16'm9</v>
      </c>
      <c r="V2454" s="7" t="str">
        <f>IF(ISBLANK(patch[[#This Row],[project]]), "",SUM(patch[[#This Row],[BJ -1 num]:[SH -1 num]]))</f>
        <v/>
      </c>
      <c r="W2454" s="7" t="str">
        <f>IF(ISBLANK(patch[[#This Row],[project]]), "",COUNTIFS($A:$A,patch[[#This Row],[number]],$S:$S, "BJ And dev",$AC:$AC, "Review-1"))</f>
        <v/>
      </c>
      <c r="X2454" s="7" t="str">
        <f>IF(ISBLANK(patch[[#This Row],[project]]), "",COUNTIFS($A:$A,patch[[#This Row],[number]],$S:$S, "FL And dev",$AC:$AC, "Review-1"))</f>
        <v/>
      </c>
      <c r="Y2454" s="7" t="str">
        <f>IF(ISBLANK(patch[[#This Row],[project]]), "",COUNTIFS($A:$A,patch[[#This Row],[number]],$S:$S, "SH And dev",$AC:$AC, "Review-1"))</f>
        <v/>
      </c>
      <c r="Z2454" s="7" t="str">
        <f>IF(ISBLANK(patch[[#This Row],[project]]), "",COUNTIFS($A:$A,patch[[#This Row],[number]],$S:$S, "BJ And dev",$AD:$AD, "&lt;&gt;IntegratorValidationComment"))</f>
        <v/>
      </c>
      <c r="AA2454" s="7" t="str">
        <f>IF(ISBLANK(patch[[#This Row],[project]]), "",COUNTIFS($A:$A,patch[[#This Row],[number]],$S:$S, "FL And dev",$AD:$AD, "&lt;&gt;IntegratorValidationComment"))</f>
        <v/>
      </c>
      <c r="AB2454" s="7" t="str">
        <f>IF(ISBLANK(patch[[#This Row],[project]]), "",COUNTIFS($A:$A,patch[[#This Row],[number]],$S:$S, "SH And dev",$AD:$AD, "&lt;&gt;IntegratorValidationComment"))</f>
        <v/>
      </c>
      <c r="AC2454" s="7" t="str">
        <f>IF(OR(ISNUMBER(FIND("Review-1", patch[[#This Row],[comments]])), ISNUMBER(FIND("Approver-1", patch[[#This Row],[comments]]))), "Review-1", "")</f>
        <v/>
      </c>
      <c r="AD24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54" s="7">
        <f>IF(ISBLANK(patch[[#This Row],[number]]),AE2453,patch[[#This Row],[ifCommon]])</f>
        <v>0</v>
      </c>
    </row>
    <row r="2455" spans="1:31">
      <c r="A2455" s="151">
        <v>142938</v>
      </c>
      <c r="B2455" s="151"/>
      <c r="C2455" s="151"/>
      <c r="D2455" s="151"/>
      <c r="E2455" s="151"/>
      <c r="F2455" s="151"/>
      <c r="G2455" s="151"/>
      <c r="H2455" s="151"/>
      <c r="I2455" s="151"/>
      <c r="J2455" s="152">
        <v>42615.720069444447</v>
      </c>
      <c r="K2455" s="151"/>
      <c r="L2455" s="151" t="s">
        <v>55</v>
      </c>
      <c r="M2455" s="152">
        <v>42615.506689814807</v>
      </c>
      <c r="N2455" s="151" t="s">
        <v>27</v>
      </c>
      <c r="O2455" s="151"/>
      <c r="P2455" s="151"/>
      <c r="Q2455" s="7" t="str">
        <f>IF(ISBLANK(patch[[#This Row],[OwnerEmail]]),Q2454,patch[[#This Row],[OwnerEmail]])</f>
        <v>wei.l.li@intel.com</v>
      </c>
      <c r="R2455" s="7" t="str">
        <f>_xlfn.IFNA(VLOOKUP(patch[[#This Row],[tmp-owner.email]],OrgTree!$A:$K, 11, 0), "not ICG SWFW")</f>
        <v>Val</v>
      </c>
      <c r="S2455" s="7" t="str">
        <f>IF(patch[[#This Row],[reviewer]]=patch[[#This Row],[tmp-owner.email]], "author", _xlfn.IFNA(VLOOKUP(patch[[#This Row],[reviewer]],OrgTree!$A:$K, 11, 0), "not ICG SWFW"))</f>
        <v>BJ And dev</v>
      </c>
      <c r="T2455" s="7" t="str">
        <f>IF(ISBLANK(patch[[#This Row],[mergeDate]]), "", MID(YEAR(patch[[#This Row],[mergeDate]]), 3,2)&amp;"'ww"&amp;WEEKNUM(patch[[#This Row],[mergeDate]]))</f>
        <v>16'ww36</v>
      </c>
      <c r="U2455" s="7" t="str">
        <f>IF(ISBLANK(patch[[#This Row],[mergeDate]]), U2454, MID(YEAR(patch[[#This Row],[mergeDate]]), 3,2)&amp;"'m"&amp;MONTH(patch[[#This Row],[mergeDate]]))</f>
        <v>16'm9</v>
      </c>
      <c r="V2455" s="7" t="str">
        <f>IF(ISBLANK(patch[[#This Row],[project]]), "",SUM(patch[[#This Row],[BJ -1 num]:[SH -1 num]]))</f>
        <v/>
      </c>
      <c r="W2455" s="7" t="str">
        <f>IF(ISBLANK(patch[[#This Row],[project]]), "",COUNTIFS($A:$A,patch[[#This Row],[number]],$S:$S, "BJ And dev",$AC:$AC, "Review-1"))</f>
        <v/>
      </c>
      <c r="X2455" s="7" t="str">
        <f>IF(ISBLANK(patch[[#This Row],[project]]), "",COUNTIFS($A:$A,patch[[#This Row],[number]],$S:$S, "FL And dev",$AC:$AC, "Review-1"))</f>
        <v/>
      </c>
      <c r="Y2455" s="7" t="str">
        <f>IF(ISBLANK(patch[[#This Row],[project]]), "",COUNTIFS($A:$A,patch[[#This Row],[number]],$S:$S, "SH And dev",$AC:$AC, "Review-1"))</f>
        <v/>
      </c>
      <c r="Z2455" s="7" t="str">
        <f>IF(ISBLANK(patch[[#This Row],[project]]), "",COUNTIFS($A:$A,patch[[#This Row],[number]],$S:$S, "BJ And dev",$AD:$AD, "&lt;&gt;IntegratorValidationComment"))</f>
        <v/>
      </c>
      <c r="AA2455" s="7" t="str">
        <f>IF(ISBLANK(patch[[#This Row],[project]]), "",COUNTIFS($A:$A,patch[[#This Row],[number]],$S:$S, "FL And dev",$AD:$AD, "&lt;&gt;IntegratorValidationComment"))</f>
        <v/>
      </c>
      <c r="AB2455" s="7" t="str">
        <f>IF(ISBLANK(patch[[#This Row],[project]]), "",COUNTIFS($A:$A,patch[[#This Row],[number]],$S:$S, "SH And dev",$AD:$AD, "&lt;&gt;IntegratorValidationComment"))</f>
        <v/>
      </c>
      <c r="AC2455" s="7" t="str">
        <f>IF(OR(ISNUMBER(FIND("Review-1", patch[[#This Row],[comments]])), ISNUMBER(FIND("Approver-1", patch[[#This Row],[comments]]))), "Review-1", "")</f>
        <v/>
      </c>
      <c r="AD24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55" s="7">
        <f>IF(ISBLANK(patch[[#This Row],[number]]),AE2454,patch[[#This Row],[ifCommon]])</f>
        <v>0</v>
      </c>
    </row>
    <row r="2456" spans="1:31">
      <c r="A2456" s="151">
        <v>142938</v>
      </c>
      <c r="B2456" s="151"/>
      <c r="C2456" s="151"/>
      <c r="D2456" s="151"/>
      <c r="E2456" s="151"/>
      <c r="F2456" s="151"/>
      <c r="G2456" s="151"/>
      <c r="H2456" s="151"/>
      <c r="I2456" s="151"/>
      <c r="J2456" s="152">
        <v>42615.720069444447</v>
      </c>
      <c r="K2456" s="151"/>
      <c r="L2456" s="151" t="s">
        <v>55</v>
      </c>
      <c r="M2456" s="152">
        <v>42615.506724537037</v>
      </c>
      <c r="N2456" s="151" t="s">
        <v>42</v>
      </c>
      <c r="O2456" s="151"/>
      <c r="P2456" s="151"/>
      <c r="Q2456" s="7" t="str">
        <f>IF(ISBLANK(patch[[#This Row],[OwnerEmail]]),Q2455,patch[[#This Row],[OwnerEmail]])</f>
        <v>wei.l.li@intel.com</v>
      </c>
      <c r="R2456" s="7" t="str">
        <f>_xlfn.IFNA(VLOOKUP(patch[[#This Row],[tmp-owner.email]],OrgTree!$A:$K, 11, 0), "not ICG SWFW")</f>
        <v>Val</v>
      </c>
      <c r="S2456" s="7" t="str">
        <f>IF(patch[[#This Row],[reviewer]]=patch[[#This Row],[tmp-owner.email]], "author", _xlfn.IFNA(VLOOKUP(patch[[#This Row],[reviewer]],OrgTree!$A:$K, 11, 0), "not ICG SWFW"))</f>
        <v>BJ And dev</v>
      </c>
      <c r="T2456" s="7" t="str">
        <f>IF(ISBLANK(patch[[#This Row],[mergeDate]]), "", MID(YEAR(patch[[#This Row],[mergeDate]]), 3,2)&amp;"'ww"&amp;WEEKNUM(patch[[#This Row],[mergeDate]]))</f>
        <v>16'ww36</v>
      </c>
      <c r="U2456" s="7" t="str">
        <f>IF(ISBLANK(patch[[#This Row],[mergeDate]]), U2455, MID(YEAR(patch[[#This Row],[mergeDate]]), 3,2)&amp;"'m"&amp;MONTH(patch[[#This Row],[mergeDate]]))</f>
        <v>16'm9</v>
      </c>
      <c r="V2456" s="7" t="str">
        <f>IF(ISBLANK(patch[[#This Row],[project]]), "",SUM(patch[[#This Row],[BJ -1 num]:[SH -1 num]]))</f>
        <v/>
      </c>
      <c r="W2456" s="7" t="str">
        <f>IF(ISBLANK(patch[[#This Row],[project]]), "",COUNTIFS($A:$A,patch[[#This Row],[number]],$S:$S, "BJ And dev",$AC:$AC, "Review-1"))</f>
        <v/>
      </c>
      <c r="X2456" s="7" t="str">
        <f>IF(ISBLANK(patch[[#This Row],[project]]), "",COUNTIFS($A:$A,patch[[#This Row],[number]],$S:$S, "FL And dev",$AC:$AC, "Review-1"))</f>
        <v/>
      </c>
      <c r="Y2456" s="7" t="str">
        <f>IF(ISBLANK(patch[[#This Row],[project]]), "",COUNTIFS($A:$A,patch[[#This Row],[number]],$S:$S, "SH And dev",$AC:$AC, "Review-1"))</f>
        <v/>
      </c>
      <c r="Z2456" s="7" t="str">
        <f>IF(ISBLANK(patch[[#This Row],[project]]), "",COUNTIFS($A:$A,patch[[#This Row],[number]],$S:$S, "BJ And dev",$AD:$AD, "&lt;&gt;IntegratorValidationComment"))</f>
        <v/>
      </c>
      <c r="AA2456" s="7" t="str">
        <f>IF(ISBLANK(patch[[#This Row],[project]]), "",COUNTIFS($A:$A,patch[[#This Row],[number]],$S:$S, "FL And dev",$AD:$AD, "&lt;&gt;IntegratorValidationComment"))</f>
        <v/>
      </c>
      <c r="AB2456" s="7" t="str">
        <f>IF(ISBLANK(patch[[#This Row],[project]]), "",COUNTIFS($A:$A,patch[[#This Row],[number]],$S:$S, "SH And dev",$AD:$AD, "&lt;&gt;IntegratorValidationComment"))</f>
        <v/>
      </c>
      <c r="AC2456" s="7" t="str">
        <f>IF(OR(ISNUMBER(FIND("Review-1", patch[[#This Row],[comments]])), ISNUMBER(FIND("Approver-1", patch[[#This Row],[comments]]))), "Review-1", "")</f>
        <v/>
      </c>
      <c r="AD24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56" s="7">
        <f>IF(ISBLANK(patch[[#This Row],[number]]),AE2455,patch[[#This Row],[ifCommon]])</f>
        <v>0</v>
      </c>
    </row>
    <row r="2457" spans="1:31">
      <c r="A2457" s="151">
        <v>142938</v>
      </c>
      <c r="B2457" s="151"/>
      <c r="C2457" s="151"/>
      <c r="D2457" s="151"/>
      <c r="E2457" s="151"/>
      <c r="F2457" s="151"/>
      <c r="G2457" s="151"/>
      <c r="H2457" s="151"/>
      <c r="I2457" s="152"/>
      <c r="J2457" s="152">
        <v>42615.720069444447</v>
      </c>
      <c r="K2457" s="151"/>
      <c r="L2457" s="151" t="s">
        <v>115</v>
      </c>
      <c r="M2457" s="152">
        <v>42615.511759259258</v>
      </c>
      <c r="N2457" s="151" t="s">
        <v>2495</v>
      </c>
      <c r="O2457" s="151"/>
      <c r="P2457" s="151"/>
      <c r="Q2457" s="7" t="str">
        <f>IF(ISBLANK(patch[[#This Row],[OwnerEmail]]),Q2456,patch[[#This Row],[OwnerEmail]])</f>
        <v>wei.l.li@intel.com</v>
      </c>
      <c r="R2457" s="7" t="str">
        <f>_xlfn.IFNA(VLOOKUP(patch[[#This Row],[tmp-owner.email]],OrgTree!$A:$K, 11, 0), "not ICG SWFW")</f>
        <v>Val</v>
      </c>
      <c r="S2457" s="7" t="str">
        <f>IF(patch[[#This Row],[reviewer]]=patch[[#This Row],[tmp-owner.email]], "author", _xlfn.IFNA(VLOOKUP(patch[[#This Row],[reviewer]],OrgTree!$A:$K, 11, 0), "not ICG SWFW"))</f>
        <v>author</v>
      </c>
      <c r="T2457" s="7" t="str">
        <f>IF(ISBLANK(patch[[#This Row],[mergeDate]]), "", MID(YEAR(patch[[#This Row],[mergeDate]]), 3,2)&amp;"'ww"&amp;WEEKNUM(patch[[#This Row],[mergeDate]]))</f>
        <v>16'ww36</v>
      </c>
      <c r="U2457" s="7" t="str">
        <f>IF(ISBLANK(patch[[#This Row],[mergeDate]]), U2456, MID(YEAR(patch[[#This Row],[mergeDate]]), 3,2)&amp;"'m"&amp;MONTH(patch[[#This Row],[mergeDate]]))</f>
        <v>16'm9</v>
      </c>
      <c r="V2457" s="7" t="str">
        <f>IF(ISBLANK(patch[[#This Row],[project]]), "",SUM(patch[[#This Row],[BJ -1 num]:[SH -1 num]]))</f>
        <v/>
      </c>
      <c r="W2457" s="7" t="str">
        <f>IF(ISBLANK(patch[[#This Row],[project]]), "",COUNTIFS($A:$A,patch[[#This Row],[number]],$S:$S, "BJ And dev",$AC:$AC, "Review-1"))</f>
        <v/>
      </c>
      <c r="X2457" s="7" t="str">
        <f>IF(ISBLANK(patch[[#This Row],[project]]), "",COUNTIFS($A:$A,patch[[#This Row],[number]],$S:$S, "FL And dev",$AC:$AC, "Review-1"))</f>
        <v/>
      </c>
      <c r="Y2457" s="7" t="str">
        <f>IF(ISBLANK(patch[[#This Row],[project]]), "",COUNTIFS($A:$A,patch[[#This Row],[number]],$S:$S, "SH And dev",$AC:$AC, "Review-1"))</f>
        <v/>
      </c>
      <c r="Z2457" s="7" t="str">
        <f>IF(ISBLANK(patch[[#This Row],[project]]), "",COUNTIFS($A:$A,patch[[#This Row],[number]],$S:$S, "BJ And dev",$AD:$AD, "&lt;&gt;IntegratorValidationComment"))</f>
        <v/>
      </c>
      <c r="AA2457" s="7" t="str">
        <f>IF(ISBLANK(patch[[#This Row],[project]]), "",COUNTIFS($A:$A,patch[[#This Row],[number]],$S:$S, "FL And dev",$AD:$AD, "&lt;&gt;IntegratorValidationComment"))</f>
        <v/>
      </c>
      <c r="AB2457" s="7" t="str">
        <f>IF(ISBLANK(patch[[#This Row],[project]]), "",COUNTIFS($A:$A,patch[[#This Row],[number]],$S:$S, "SH And dev",$AD:$AD, "&lt;&gt;IntegratorValidationComment"))</f>
        <v/>
      </c>
      <c r="AC2457" s="7" t="str">
        <f>IF(OR(ISNUMBER(FIND("Review-1", patch[[#This Row],[comments]])), ISNUMBER(FIND("Approver-1", patch[[#This Row],[comments]]))), "Review-1", "")</f>
        <v/>
      </c>
      <c r="AD24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457" s="7">
        <f>IF(ISBLANK(patch[[#This Row],[number]]),AE2456,patch[[#This Row],[ifCommon]])</f>
        <v>0</v>
      </c>
    </row>
    <row r="2458" spans="1:31">
      <c r="A2458" s="151">
        <v>142680</v>
      </c>
      <c r="B2458" s="151" t="s">
        <v>2493</v>
      </c>
      <c r="C2458" s="151" t="s">
        <v>2491</v>
      </c>
      <c r="D2458" s="151" t="s">
        <v>3812</v>
      </c>
      <c r="E2458" s="151" t="s">
        <v>1203</v>
      </c>
      <c r="F2458" s="151" t="s">
        <v>23</v>
      </c>
      <c r="G2458" s="151" t="s">
        <v>3813</v>
      </c>
      <c r="H2458" s="151" t="s">
        <v>3814</v>
      </c>
      <c r="I2458" s="152">
        <v>42614.450104166674</v>
      </c>
      <c r="J2458" s="152">
        <v>42615.719988425917</v>
      </c>
      <c r="K2458" s="151" t="s">
        <v>2445</v>
      </c>
      <c r="L2458" s="151" t="s">
        <v>1203</v>
      </c>
      <c r="M2458" s="152">
        <v>42614.450104166674</v>
      </c>
      <c r="N2458" s="151" t="s">
        <v>2428</v>
      </c>
      <c r="O2458" s="151"/>
      <c r="P2458" s="151" t="s">
        <v>2554</v>
      </c>
      <c r="Q2458" s="7" t="str">
        <f>IF(ISBLANK(patch[[#This Row],[OwnerEmail]]),Q2457,patch[[#This Row],[OwnerEmail]])</f>
        <v>xi.cao@intel.com</v>
      </c>
      <c r="R2458" s="7" t="str">
        <f>_xlfn.IFNA(VLOOKUP(patch[[#This Row],[tmp-owner.email]],OrgTree!$A:$K, 11, 0), "not ICG SWFW")</f>
        <v>BJ And dev</v>
      </c>
      <c r="S2458" s="7" t="str">
        <f>IF(patch[[#This Row],[reviewer]]=patch[[#This Row],[tmp-owner.email]], "author", _xlfn.IFNA(VLOOKUP(patch[[#This Row],[reviewer]],OrgTree!$A:$K, 11, 0), "not ICG SWFW"))</f>
        <v>author</v>
      </c>
      <c r="T2458" s="7" t="str">
        <f>IF(ISBLANK(patch[[#This Row],[mergeDate]]), "", MID(YEAR(patch[[#This Row],[mergeDate]]), 3,2)&amp;"'ww"&amp;WEEKNUM(patch[[#This Row],[mergeDate]]))</f>
        <v>16'ww36</v>
      </c>
      <c r="U2458" s="7" t="str">
        <f>IF(ISBLANK(patch[[#This Row],[mergeDate]]), U2457, MID(YEAR(patch[[#This Row],[mergeDate]]), 3,2)&amp;"'m"&amp;MONTH(patch[[#This Row],[mergeDate]]))</f>
        <v>16'm9</v>
      </c>
      <c r="V2458" s="7">
        <f>IF(ISBLANK(patch[[#This Row],[project]]), "",SUM(patch[[#This Row],[BJ -1 num]:[SH -1 num]]))</f>
        <v>0</v>
      </c>
      <c r="W2458" s="7">
        <f>IF(ISBLANK(patch[[#This Row],[project]]), "",COUNTIFS($A:$A,patch[[#This Row],[number]],$S:$S, "BJ And dev",$AC:$AC, "Review-1"))</f>
        <v>0</v>
      </c>
      <c r="X2458" s="7">
        <f>IF(ISBLANK(patch[[#This Row],[project]]), "",COUNTIFS($A:$A,patch[[#This Row],[number]],$S:$S, "FL And dev",$AC:$AC, "Review-1"))</f>
        <v>0</v>
      </c>
      <c r="Y2458" s="7">
        <f>IF(ISBLANK(patch[[#This Row],[project]]), "",COUNTIFS($A:$A,patch[[#This Row],[number]],$S:$S, "SH And dev",$AC:$AC, "Review-1"))</f>
        <v>0</v>
      </c>
      <c r="Z2458" s="7">
        <f>IF(ISBLANK(patch[[#This Row],[project]]), "",COUNTIFS($A:$A,patch[[#This Row],[number]],$S:$S, "BJ And dev",$AD:$AD, "&lt;&gt;IntegratorValidationComment"))</f>
        <v>27</v>
      </c>
      <c r="AA2458" s="7">
        <f>IF(ISBLANK(patch[[#This Row],[project]]), "",COUNTIFS($A:$A,patch[[#This Row],[number]],$S:$S, "FL And dev",$AD:$AD, "&lt;&gt;IntegratorValidationComment"))</f>
        <v>0</v>
      </c>
      <c r="AB2458" s="7">
        <f>IF(ISBLANK(patch[[#This Row],[project]]), "",COUNTIFS($A:$A,patch[[#This Row],[number]],$S:$S, "SH And dev",$AD:$AD, "&lt;&gt;IntegratorValidationComment"))</f>
        <v>0</v>
      </c>
      <c r="AC2458" s="7" t="str">
        <f>IF(OR(ISNUMBER(FIND("Review-1", patch[[#This Row],[comments]])), ISNUMBER(FIND("Approver-1", patch[[#This Row],[comments]]))), "Review-1", "")</f>
        <v/>
      </c>
      <c r="AD24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58" s="7" t="str">
        <f>IF(ISBLANK(patch[[#This Row],[number]]),AE2457,patch[[#This Row],[ifCommon]])</f>
        <v>not AndrHAL</v>
      </c>
    </row>
    <row r="2459" spans="1:31">
      <c r="A2459" s="151">
        <v>142680</v>
      </c>
      <c r="B2459" s="151"/>
      <c r="C2459" s="151"/>
      <c r="D2459" s="151"/>
      <c r="E2459" s="151"/>
      <c r="F2459" s="151"/>
      <c r="G2459" s="151"/>
      <c r="H2459" s="151"/>
      <c r="I2459" s="151"/>
      <c r="J2459" s="152">
        <v>42615.719988425917</v>
      </c>
      <c r="K2459" s="151"/>
      <c r="L2459" s="151" t="s">
        <v>1203</v>
      </c>
      <c r="M2459" s="152">
        <v>42614.450104166674</v>
      </c>
      <c r="N2459" s="151" t="s">
        <v>25</v>
      </c>
      <c r="O2459" s="151"/>
      <c r="P2459" s="151"/>
      <c r="Q2459" s="7" t="str">
        <f>IF(ISBLANK(patch[[#This Row],[OwnerEmail]]),Q2458,patch[[#This Row],[OwnerEmail]])</f>
        <v>xi.cao@intel.com</v>
      </c>
      <c r="R2459" s="7" t="str">
        <f>_xlfn.IFNA(VLOOKUP(patch[[#This Row],[tmp-owner.email]],OrgTree!$A:$K, 11, 0), "not ICG SWFW")</f>
        <v>BJ And dev</v>
      </c>
      <c r="S2459" s="7" t="str">
        <f>IF(patch[[#This Row],[reviewer]]=patch[[#This Row],[tmp-owner.email]], "author", _xlfn.IFNA(VLOOKUP(patch[[#This Row],[reviewer]],OrgTree!$A:$K, 11, 0), "not ICG SWFW"))</f>
        <v>author</v>
      </c>
      <c r="T2459" s="7" t="str">
        <f>IF(ISBLANK(patch[[#This Row],[mergeDate]]), "", MID(YEAR(patch[[#This Row],[mergeDate]]), 3,2)&amp;"'ww"&amp;WEEKNUM(patch[[#This Row],[mergeDate]]))</f>
        <v>16'ww36</v>
      </c>
      <c r="U2459" s="7" t="str">
        <f>IF(ISBLANK(patch[[#This Row],[mergeDate]]), U2458, MID(YEAR(patch[[#This Row],[mergeDate]]), 3,2)&amp;"'m"&amp;MONTH(patch[[#This Row],[mergeDate]]))</f>
        <v>16'm9</v>
      </c>
      <c r="V2459" s="7" t="str">
        <f>IF(ISBLANK(patch[[#This Row],[project]]), "",SUM(patch[[#This Row],[BJ -1 num]:[SH -1 num]]))</f>
        <v/>
      </c>
      <c r="W2459" s="7" t="str">
        <f>IF(ISBLANK(patch[[#This Row],[project]]), "",COUNTIFS($A:$A,patch[[#This Row],[number]],$S:$S, "BJ And dev",$AC:$AC, "Review-1"))</f>
        <v/>
      </c>
      <c r="X2459" s="7" t="str">
        <f>IF(ISBLANK(patch[[#This Row],[project]]), "",COUNTIFS($A:$A,patch[[#This Row],[number]],$S:$S, "FL And dev",$AC:$AC, "Review-1"))</f>
        <v/>
      </c>
      <c r="Y2459" s="7" t="str">
        <f>IF(ISBLANK(patch[[#This Row],[project]]), "",COUNTIFS($A:$A,patch[[#This Row],[number]],$S:$S, "SH And dev",$AC:$AC, "Review-1"))</f>
        <v/>
      </c>
      <c r="Z2459" s="7" t="str">
        <f>IF(ISBLANK(patch[[#This Row],[project]]), "",COUNTIFS($A:$A,patch[[#This Row],[number]],$S:$S, "BJ And dev",$AD:$AD, "&lt;&gt;IntegratorValidationComment"))</f>
        <v/>
      </c>
      <c r="AA2459" s="7" t="str">
        <f>IF(ISBLANK(patch[[#This Row],[project]]), "",COUNTIFS($A:$A,patch[[#This Row],[number]],$S:$S, "FL And dev",$AD:$AD, "&lt;&gt;IntegratorValidationComment"))</f>
        <v/>
      </c>
      <c r="AB2459" s="7" t="str">
        <f>IF(ISBLANK(patch[[#This Row],[project]]), "",COUNTIFS($A:$A,patch[[#This Row],[number]],$S:$S, "SH And dev",$AD:$AD, "&lt;&gt;IntegratorValidationComment"))</f>
        <v/>
      </c>
      <c r="AC2459" s="7" t="str">
        <f>IF(OR(ISNUMBER(FIND("Review-1", patch[[#This Row],[comments]])), ISNUMBER(FIND("Approver-1", patch[[#This Row],[comments]]))), "Review-1", "")</f>
        <v/>
      </c>
      <c r="AD24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59" s="7">
        <f>IF(ISBLANK(patch[[#This Row],[number]]),AE2458,patch[[#This Row],[ifCommon]])</f>
        <v>0</v>
      </c>
    </row>
    <row r="2460" spans="1:31">
      <c r="A2460" s="151">
        <v>142680</v>
      </c>
      <c r="B2460" s="151"/>
      <c r="C2460" s="151"/>
      <c r="D2460" s="151"/>
      <c r="E2460" s="151"/>
      <c r="F2460" s="151"/>
      <c r="G2460" s="151"/>
      <c r="H2460" s="151"/>
      <c r="I2460" s="151"/>
      <c r="J2460" s="152">
        <v>42615.719988425917</v>
      </c>
      <c r="K2460" s="151"/>
      <c r="L2460" s="151" t="s">
        <v>59</v>
      </c>
      <c r="M2460" s="152">
        <v>42614.451469907413</v>
      </c>
      <c r="N2460" s="151" t="s">
        <v>3815</v>
      </c>
      <c r="O2460" s="151"/>
      <c r="P2460" s="151"/>
      <c r="Q2460" s="7" t="str">
        <f>IF(ISBLANK(patch[[#This Row],[OwnerEmail]]),Q2459,patch[[#This Row],[OwnerEmail]])</f>
        <v>xi.cao@intel.com</v>
      </c>
      <c r="R2460" s="7" t="str">
        <f>_xlfn.IFNA(VLOOKUP(patch[[#This Row],[tmp-owner.email]],OrgTree!$A:$K, 11, 0), "not ICG SWFW")</f>
        <v>BJ And dev</v>
      </c>
      <c r="S2460" s="7" t="str">
        <f>IF(patch[[#This Row],[reviewer]]=patch[[#This Row],[tmp-owner.email]], "author", _xlfn.IFNA(VLOOKUP(patch[[#This Row],[reviewer]],OrgTree!$A:$K, 11, 0), "not ICG SWFW"))</f>
        <v>BJ And dev</v>
      </c>
      <c r="T2460" s="7" t="str">
        <f>IF(ISBLANK(patch[[#This Row],[mergeDate]]), "", MID(YEAR(patch[[#This Row],[mergeDate]]), 3,2)&amp;"'ww"&amp;WEEKNUM(patch[[#This Row],[mergeDate]]))</f>
        <v>16'ww36</v>
      </c>
      <c r="U2460" s="7" t="str">
        <f>IF(ISBLANK(patch[[#This Row],[mergeDate]]), U2459, MID(YEAR(patch[[#This Row],[mergeDate]]), 3,2)&amp;"'m"&amp;MONTH(patch[[#This Row],[mergeDate]]))</f>
        <v>16'm9</v>
      </c>
      <c r="V2460" s="7" t="str">
        <f>IF(ISBLANK(patch[[#This Row],[project]]), "",SUM(patch[[#This Row],[BJ -1 num]:[SH -1 num]]))</f>
        <v/>
      </c>
      <c r="W2460" s="7" t="str">
        <f>IF(ISBLANK(patch[[#This Row],[project]]), "",COUNTIFS($A:$A,patch[[#This Row],[number]],$S:$S, "BJ And dev",$AC:$AC, "Review-1"))</f>
        <v/>
      </c>
      <c r="X2460" s="7" t="str">
        <f>IF(ISBLANK(patch[[#This Row],[project]]), "",COUNTIFS($A:$A,patch[[#This Row],[number]],$S:$S, "FL And dev",$AC:$AC, "Review-1"))</f>
        <v/>
      </c>
      <c r="Y2460" s="7" t="str">
        <f>IF(ISBLANK(patch[[#This Row],[project]]), "",COUNTIFS($A:$A,patch[[#This Row],[number]],$S:$S, "SH And dev",$AC:$AC, "Review-1"))</f>
        <v/>
      </c>
      <c r="Z2460" s="7" t="str">
        <f>IF(ISBLANK(patch[[#This Row],[project]]), "",COUNTIFS($A:$A,patch[[#This Row],[number]],$S:$S, "BJ And dev",$AD:$AD, "&lt;&gt;IntegratorValidationComment"))</f>
        <v/>
      </c>
      <c r="AA2460" s="7" t="str">
        <f>IF(ISBLANK(patch[[#This Row],[project]]), "",COUNTIFS($A:$A,patch[[#This Row],[number]],$S:$S, "FL And dev",$AD:$AD, "&lt;&gt;IntegratorValidationComment"))</f>
        <v/>
      </c>
      <c r="AB2460" s="7" t="str">
        <f>IF(ISBLANK(patch[[#This Row],[project]]), "",COUNTIFS($A:$A,patch[[#This Row],[number]],$S:$S, "SH And dev",$AD:$AD, "&lt;&gt;IntegratorValidationComment"))</f>
        <v/>
      </c>
      <c r="AC2460" s="7" t="str">
        <f>IF(OR(ISNUMBER(FIND("Review-1", patch[[#This Row],[comments]])), ISNUMBER(FIND("Approver-1", patch[[#This Row],[comments]]))), "Review-1", "")</f>
        <v/>
      </c>
      <c r="AD24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60" s="7">
        <f>IF(ISBLANK(patch[[#This Row],[number]]),AE2459,patch[[#This Row],[ifCommon]])</f>
        <v>0</v>
      </c>
    </row>
    <row r="2461" spans="1:31">
      <c r="A2461" s="151">
        <v>142680</v>
      </c>
      <c r="B2461" s="151"/>
      <c r="C2461" s="151"/>
      <c r="D2461" s="151"/>
      <c r="E2461" s="151"/>
      <c r="F2461" s="151"/>
      <c r="G2461" s="151"/>
      <c r="H2461" s="151"/>
      <c r="I2461" s="151"/>
      <c r="J2461" s="152">
        <v>42615.719988425917</v>
      </c>
      <c r="K2461" s="151"/>
      <c r="L2461" s="151" t="s">
        <v>59</v>
      </c>
      <c r="M2461" s="152">
        <v>42614.451863425929</v>
      </c>
      <c r="N2461" s="151" t="s">
        <v>3816</v>
      </c>
      <c r="O2461" s="151"/>
      <c r="P2461" s="151"/>
      <c r="Q2461" s="7" t="str">
        <f>IF(ISBLANK(patch[[#This Row],[OwnerEmail]]),Q2460,patch[[#This Row],[OwnerEmail]])</f>
        <v>xi.cao@intel.com</v>
      </c>
      <c r="R2461" s="7" t="str">
        <f>_xlfn.IFNA(VLOOKUP(patch[[#This Row],[tmp-owner.email]],OrgTree!$A:$K, 11, 0), "not ICG SWFW")</f>
        <v>BJ And dev</v>
      </c>
      <c r="S2461" s="7" t="str">
        <f>IF(patch[[#This Row],[reviewer]]=patch[[#This Row],[tmp-owner.email]], "author", _xlfn.IFNA(VLOOKUP(patch[[#This Row],[reviewer]],OrgTree!$A:$K, 11, 0), "not ICG SWFW"))</f>
        <v>BJ And dev</v>
      </c>
      <c r="T2461" s="7" t="str">
        <f>IF(ISBLANK(patch[[#This Row],[mergeDate]]), "", MID(YEAR(patch[[#This Row],[mergeDate]]), 3,2)&amp;"'ww"&amp;WEEKNUM(patch[[#This Row],[mergeDate]]))</f>
        <v>16'ww36</v>
      </c>
      <c r="U2461" s="7" t="str">
        <f>IF(ISBLANK(patch[[#This Row],[mergeDate]]), U2460, MID(YEAR(patch[[#This Row],[mergeDate]]), 3,2)&amp;"'m"&amp;MONTH(patch[[#This Row],[mergeDate]]))</f>
        <v>16'm9</v>
      </c>
      <c r="V2461" s="7" t="str">
        <f>IF(ISBLANK(patch[[#This Row],[project]]), "",SUM(patch[[#This Row],[BJ -1 num]:[SH -1 num]]))</f>
        <v/>
      </c>
      <c r="W2461" s="7" t="str">
        <f>IF(ISBLANK(patch[[#This Row],[project]]), "",COUNTIFS($A:$A,patch[[#This Row],[number]],$S:$S, "BJ And dev",$AC:$AC, "Review-1"))</f>
        <v/>
      </c>
      <c r="X2461" s="7" t="str">
        <f>IF(ISBLANK(patch[[#This Row],[project]]), "",COUNTIFS($A:$A,patch[[#This Row],[number]],$S:$S, "FL And dev",$AC:$AC, "Review-1"))</f>
        <v/>
      </c>
      <c r="Y2461" s="7" t="str">
        <f>IF(ISBLANK(patch[[#This Row],[project]]), "",COUNTIFS($A:$A,patch[[#This Row],[number]],$S:$S, "SH And dev",$AC:$AC, "Review-1"))</f>
        <v/>
      </c>
      <c r="Z2461" s="7" t="str">
        <f>IF(ISBLANK(patch[[#This Row],[project]]), "",COUNTIFS($A:$A,patch[[#This Row],[number]],$S:$S, "BJ And dev",$AD:$AD, "&lt;&gt;IntegratorValidationComment"))</f>
        <v/>
      </c>
      <c r="AA2461" s="7" t="str">
        <f>IF(ISBLANK(patch[[#This Row],[project]]), "",COUNTIFS($A:$A,patch[[#This Row],[number]],$S:$S, "FL And dev",$AD:$AD, "&lt;&gt;IntegratorValidationComment"))</f>
        <v/>
      </c>
      <c r="AB2461" s="7" t="str">
        <f>IF(ISBLANK(patch[[#This Row],[project]]), "",COUNTIFS($A:$A,patch[[#This Row],[number]],$S:$S, "SH And dev",$AD:$AD, "&lt;&gt;IntegratorValidationComment"))</f>
        <v/>
      </c>
      <c r="AC2461" s="7" t="str">
        <f>IF(OR(ISNUMBER(FIND("Review-1", patch[[#This Row],[comments]])), ISNUMBER(FIND("Approver-1", patch[[#This Row],[comments]]))), "Review-1", "")</f>
        <v/>
      </c>
      <c r="AD24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61" s="7">
        <f>IF(ISBLANK(patch[[#This Row],[number]]),AE2460,patch[[#This Row],[ifCommon]])</f>
        <v>0</v>
      </c>
    </row>
    <row r="2462" spans="1:31">
      <c r="A2462" s="151">
        <v>142680</v>
      </c>
      <c r="B2462" s="151"/>
      <c r="C2462" s="151"/>
      <c r="D2462" s="151"/>
      <c r="E2462" s="151"/>
      <c r="F2462" s="151"/>
      <c r="G2462" s="151"/>
      <c r="H2462" s="151"/>
      <c r="I2462" s="151"/>
      <c r="J2462" s="152">
        <v>42615.719988425917</v>
      </c>
      <c r="K2462" s="151"/>
      <c r="L2462" s="151" t="s">
        <v>1203</v>
      </c>
      <c r="M2462" s="152">
        <v>42614.457025462973</v>
      </c>
      <c r="N2462" s="151" t="s">
        <v>2429</v>
      </c>
      <c r="O2462" s="151"/>
      <c r="P2462" s="151"/>
      <c r="Q2462" s="7" t="str">
        <f>IF(ISBLANK(patch[[#This Row],[OwnerEmail]]),Q2461,patch[[#This Row],[OwnerEmail]])</f>
        <v>xi.cao@intel.com</v>
      </c>
      <c r="R2462" s="7" t="str">
        <f>_xlfn.IFNA(VLOOKUP(patch[[#This Row],[tmp-owner.email]],OrgTree!$A:$K, 11, 0), "not ICG SWFW")</f>
        <v>BJ And dev</v>
      </c>
      <c r="S2462" s="7" t="str">
        <f>IF(patch[[#This Row],[reviewer]]=patch[[#This Row],[tmp-owner.email]], "author", _xlfn.IFNA(VLOOKUP(patch[[#This Row],[reviewer]],OrgTree!$A:$K, 11, 0), "not ICG SWFW"))</f>
        <v>author</v>
      </c>
      <c r="T2462" s="7" t="str">
        <f>IF(ISBLANK(patch[[#This Row],[mergeDate]]), "", MID(YEAR(patch[[#This Row],[mergeDate]]), 3,2)&amp;"'ww"&amp;WEEKNUM(patch[[#This Row],[mergeDate]]))</f>
        <v>16'ww36</v>
      </c>
      <c r="U2462" s="7" t="str">
        <f>IF(ISBLANK(patch[[#This Row],[mergeDate]]), U2461, MID(YEAR(patch[[#This Row],[mergeDate]]), 3,2)&amp;"'m"&amp;MONTH(patch[[#This Row],[mergeDate]]))</f>
        <v>16'm9</v>
      </c>
      <c r="V2462" s="7" t="str">
        <f>IF(ISBLANK(patch[[#This Row],[project]]), "",SUM(patch[[#This Row],[BJ -1 num]:[SH -1 num]]))</f>
        <v/>
      </c>
      <c r="W2462" s="7" t="str">
        <f>IF(ISBLANK(patch[[#This Row],[project]]), "",COUNTIFS($A:$A,patch[[#This Row],[number]],$S:$S, "BJ And dev",$AC:$AC, "Review-1"))</f>
        <v/>
      </c>
      <c r="X2462" s="7" t="str">
        <f>IF(ISBLANK(patch[[#This Row],[project]]), "",COUNTIFS($A:$A,patch[[#This Row],[number]],$S:$S, "FL And dev",$AC:$AC, "Review-1"))</f>
        <v/>
      </c>
      <c r="Y2462" s="7" t="str">
        <f>IF(ISBLANK(patch[[#This Row],[project]]), "",COUNTIFS($A:$A,patch[[#This Row],[number]],$S:$S, "SH And dev",$AC:$AC, "Review-1"))</f>
        <v/>
      </c>
      <c r="Z2462" s="7" t="str">
        <f>IF(ISBLANK(patch[[#This Row],[project]]), "",COUNTIFS($A:$A,patch[[#This Row],[number]],$S:$S, "BJ And dev",$AD:$AD, "&lt;&gt;IntegratorValidationComment"))</f>
        <v/>
      </c>
      <c r="AA2462" s="7" t="str">
        <f>IF(ISBLANK(patch[[#This Row],[project]]), "",COUNTIFS($A:$A,patch[[#This Row],[number]],$S:$S, "FL And dev",$AD:$AD, "&lt;&gt;IntegratorValidationComment"))</f>
        <v/>
      </c>
      <c r="AB2462" s="7" t="str">
        <f>IF(ISBLANK(patch[[#This Row],[project]]), "",COUNTIFS($A:$A,patch[[#This Row],[number]],$S:$S, "SH And dev",$AD:$AD, "&lt;&gt;IntegratorValidationComment"))</f>
        <v/>
      </c>
      <c r="AC2462" s="7" t="str">
        <f>IF(OR(ISNUMBER(FIND("Review-1", patch[[#This Row],[comments]])), ISNUMBER(FIND("Approver-1", patch[[#This Row],[comments]]))), "Review-1", "")</f>
        <v/>
      </c>
      <c r="AD24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62" s="7">
        <f>IF(ISBLANK(patch[[#This Row],[number]]),AE2461,patch[[#This Row],[ifCommon]])</f>
        <v>0</v>
      </c>
    </row>
    <row r="2463" spans="1:31">
      <c r="A2463" s="151">
        <v>142680</v>
      </c>
      <c r="B2463" s="151"/>
      <c r="C2463" s="151"/>
      <c r="D2463" s="151"/>
      <c r="E2463" s="151"/>
      <c r="F2463" s="151"/>
      <c r="G2463" s="151"/>
      <c r="H2463" s="151"/>
      <c r="I2463" s="151"/>
      <c r="J2463" s="152">
        <v>42615.719988425917</v>
      </c>
      <c r="K2463" s="151"/>
      <c r="L2463" s="151" t="s">
        <v>1203</v>
      </c>
      <c r="M2463" s="152">
        <v>42614.457025462973</v>
      </c>
      <c r="N2463" s="151" t="s">
        <v>29</v>
      </c>
      <c r="O2463" s="151"/>
      <c r="P2463" s="151"/>
      <c r="Q2463" s="7" t="str">
        <f>IF(ISBLANK(patch[[#This Row],[OwnerEmail]]),Q2462,patch[[#This Row],[OwnerEmail]])</f>
        <v>xi.cao@intel.com</v>
      </c>
      <c r="R2463" s="7" t="str">
        <f>_xlfn.IFNA(VLOOKUP(patch[[#This Row],[tmp-owner.email]],OrgTree!$A:$K, 11, 0), "not ICG SWFW")</f>
        <v>BJ And dev</v>
      </c>
      <c r="S2463" s="7" t="str">
        <f>IF(patch[[#This Row],[reviewer]]=patch[[#This Row],[tmp-owner.email]], "author", _xlfn.IFNA(VLOOKUP(patch[[#This Row],[reviewer]],OrgTree!$A:$K, 11, 0), "not ICG SWFW"))</f>
        <v>author</v>
      </c>
      <c r="T2463" s="7" t="str">
        <f>IF(ISBLANK(patch[[#This Row],[mergeDate]]), "", MID(YEAR(patch[[#This Row],[mergeDate]]), 3,2)&amp;"'ww"&amp;WEEKNUM(patch[[#This Row],[mergeDate]]))</f>
        <v>16'ww36</v>
      </c>
      <c r="U2463" s="7" t="str">
        <f>IF(ISBLANK(patch[[#This Row],[mergeDate]]), U2462, MID(YEAR(patch[[#This Row],[mergeDate]]), 3,2)&amp;"'m"&amp;MONTH(patch[[#This Row],[mergeDate]]))</f>
        <v>16'm9</v>
      </c>
      <c r="V2463" s="7" t="str">
        <f>IF(ISBLANK(patch[[#This Row],[project]]), "",SUM(patch[[#This Row],[BJ -1 num]:[SH -1 num]]))</f>
        <v/>
      </c>
      <c r="W2463" s="7" t="str">
        <f>IF(ISBLANK(patch[[#This Row],[project]]), "",COUNTIFS($A:$A,patch[[#This Row],[number]],$S:$S, "BJ And dev",$AC:$AC, "Review-1"))</f>
        <v/>
      </c>
      <c r="X2463" s="7" t="str">
        <f>IF(ISBLANK(patch[[#This Row],[project]]), "",COUNTIFS($A:$A,patch[[#This Row],[number]],$S:$S, "FL And dev",$AC:$AC, "Review-1"))</f>
        <v/>
      </c>
      <c r="Y2463" s="7" t="str">
        <f>IF(ISBLANK(patch[[#This Row],[project]]), "",COUNTIFS($A:$A,patch[[#This Row],[number]],$S:$S, "SH And dev",$AC:$AC, "Review-1"))</f>
        <v/>
      </c>
      <c r="Z2463" s="7" t="str">
        <f>IF(ISBLANK(patch[[#This Row],[project]]), "",COUNTIFS($A:$A,patch[[#This Row],[number]],$S:$S, "BJ And dev",$AD:$AD, "&lt;&gt;IntegratorValidationComment"))</f>
        <v/>
      </c>
      <c r="AA2463" s="7" t="str">
        <f>IF(ISBLANK(patch[[#This Row],[project]]), "",COUNTIFS($A:$A,patch[[#This Row],[number]],$S:$S, "FL And dev",$AD:$AD, "&lt;&gt;IntegratorValidationComment"))</f>
        <v/>
      </c>
      <c r="AB2463" s="7" t="str">
        <f>IF(ISBLANK(patch[[#This Row],[project]]), "",COUNTIFS($A:$A,patch[[#This Row],[number]],$S:$S, "SH And dev",$AD:$AD, "&lt;&gt;IntegratorValidationComment"))</f>
        <v/>
      </c>
      <c r="AC2463" s="7" t="str">
        <f>IF(OR(ISNUMBER(FIND("Review-1", patch[[#This Row],[comments]])), ISNUMBER(FIND("Approver-1", patch[[#This Row],[comments]]))), "Review-1", "")</f>
        <v/>
      </c>
      <c r="AD24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63" s="7">
        <f>IF(ISBLANK(patch[[#This Row],[number]]),AE2462,patch[[#This Row],[ifCommon]])</f>
        <v>0</v>
      </c>
    </row>
    <row r="2464" spans="1:31">
      <c r="A2464" s="151">
        <v>142680</v>
      </c>
      <c r="B2464" s="151"/>
      <c r="C2464" s="151"/>
      <c r="D2464" s="151"/>
      <c r="E2464" s="151"/>
      <c r="F2464" s="151"/>
      <c r="G2464" s="151"/>
      <c r="H2464" s="151"/>
      <c r="I2464" s="151"/>
      <c r="J2464" s="152">
        <v>42615.719988425917</v>
      </c>
      <c r="K2464" s="151"/>
      <c r="L2464" s="151" t="s">
        <v>59</v>
      </c>
      <c r="M2464" s="152">
        <v>42614.458182870367</v>
      </c>
      <c r="N2464" s="151" t="s">
        <v>3817</v>
      </c>
      <c r="O2464" s="151"/>
      <c r="P2464" s="151"/>
      <c r="Q2464" s="7" t="str">
        <f>IF(ISBLANK(patch[[#This Row],[OwnerEmail]]),Q2463,patch[[#This Row],[OwnerEmail]])</f>
        <v>xi.cao@intel.com</v>
      </c>
      <c r="R2464" s="7" t="str">
        <f>_xlfn.IFNA(VLOOKUP(patch[[#This Row],[tmp-owner.email]],OrgTree!$A:$K, 11, 0), "not ICG SWFW")</f>
        <v>BJ And dev</v>
      </c>
      <c r="S2464" s="7" t="str">
        <f>IF(patch[[#This Row],[reviewer]]=patch[[#This Row],[tmp-owner.email]], "author", _xlfn.IFNA(VLOOKUP(patch[[#This Row],[reviewer]],OrgTree!$A:$K, 11, 0), "not ICG SWFW"))</f>
        <v>BJ And dev</v>
      </c>
      <c r="T2464" s="7" t="str">
        <f>IF(ISBLANK(patch[[#This Row],[mergeDate]]), "", MID(YEAR(patch[[#This Row],[mergeDate]]), 3,2)&amp;"'ww"&amp;WEEKNUM(patch[[#This Row],[mergeDate]]))</f>
        <v>16'ww36</v>
      </c>
      <c r="U2464" s="7" t="str">
        <f>IF(ISBLANK(patch[[#This Row],[mergeDate]]), U2463, MID(YEAR(patch[[#This Row],[mergeDate]]), 3,2)&amp;"'m"&amp;MONTH(patch[[#This Row],[mergeDate]]))</f>
        <v>16'm9</v>
      </c>
      <c r="V2464" s="7" t="str">
        <f>IF(ISBLANK(patch[[#This Row],[project]]), "",SUM(patch[[#This Row],[BJ -1 num]:[SH -1 num]]))</f>
        <v/>
      </c>
      <c r="W2464" s="7" t="str">
        <f>IF(ISBLANK(patch[[#This Row],[project]]), "",COUNTIFS($A:$A,patch[[#This Row],[number]],$S:$S, "BJ And dev",$AC:$AC, "Review-1"))</f>
        <v/>
      </c>
      <c r="X2464" s="7" t="str">
        <f>IF(ISBLANK(patch[[#This Row],[project]]), "",COUNTIFS($A:$A,patch[[#This Row],[number]],$S:$S, "FL And dev",$AC:$AC, "Review-1"))</f>
        <v/>
      </c>
      <c r="Y2464" s="7" t="str">
        <f>IF(ISBLANK(patch[[#This Row],[project]]), "",COUNTIFS($A:$A,patch[[#This Row],[number]],$S:$S, "SH And dev",$AC:$AC, "Review-1"))</f>
        <v/>
      </c>
      <c r="Z2464" s="7" t="str">
        <f>IF(ISBLANK(patch[[#This Row],[project]]), "",COUNTIFS($A:$A,patch[[#This Row],[number]],$S:$S, "BJ And dev",$AD:$AD, "&lt;&gt;IntegratorValidationComment"))</f>
        <v/>
      </c>
      <c r="AA2464" s="7" t="str">
        <f>IF(ISBLANK(patch[[#This Row],[project]]), "",COUNTIFS($A:$A,patch[[#This Row],[number]],$S:$S, "FL And dev",$AD:$AD, "&lt;&gt;IntegratorValidationComment"))</f>
        <v/>
      </c>
      <c r="AB2464" s="7" t="str">
        <f>IF(ISBLANK(patch[[#This Row],[project]]), "",COUNTIFS($A:$A,patch[[#This Row],[number]],$S:$S, "SH And dev",$AD:$AD, "&lt;&gt;IntegratorValidationComment"))</f>
        <v/>
      </c>
      <c r="AC2464" s="7" t="str">
        <f>IF(OR(ISNUMBER(FIND("Review-1", patch[[#This Row],[comments]])), ISNUMBER(FIND("Approver-1", patch[[#This Row],[comments]]))), "Review-1", "")</f>
        <v/>
      </c>
      <c r="AD24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64" s="7">
        <f>IF(ISBLANK(patch[[#This Row],[number]]),AE2463,patch[[#This Row],[ifCommon]])</f>
        <v>0</v>
      </c>
    </row>
    <row r="2465" spans="1:31">
      <c r="A2465" s="151">
        <v>142680</v>
      </c>
      <c r="B2465" s="151"/>
      <c r="C2465" s="151"/>
      <c r="D2465" s="151"/>
      <c r="E2465" s="151"/>
      <c r="F2465" s="151"/>
      <c r="G2465" s="151"/>
      <c r="H2465" s="151"/>
      <c r="I2465" s="151"/>
      <c r="J2465" s="152">
        <v>42615.719988425917</v>
      </c>
      <c r="K2465" s="151"/>
      <c r="L2465" s="151" t="s">
        <v>59</v>
      </c>
      <c r="M2465" s="152">
        <v>42614.458923611113</v>
      </c>
      <c r="N2465" s="151" t="s">
        <v>3818</v>
      </c>
      <c r="O2465" s="151"/>
      <c r="P2465" s="151"/>
      <c r="Q2465" s="7" t="str">
        <f>IF(ISBLANK(patch[[#This Row],[OwnerEmail]]),Q2464,patch[[#This Row],[OwnerEmail]])</f>
        <v>xi.cao@intel.com</v>
      </c>
      <c r="R2465" s="7" t="str">
        <f>_xlfn.IFNA(VLOOKUP(patch[[#This Row],[tmp-owner.email]],OrgTree!$A:$K, 11, 0), "not ICG SWFW")</f>
        <v>BJ And dev</v>
      </c>
      <c r="S2465" s="7" t="str">
        <f>IF(patch[[#This Row],[reviewer]]=patch[[#This Row],[tmp-owner.email]], "author", _xlfn.IFNA(VLOOKUP(patch[[#This Row],[reviewer]],OrgTree!$A:$K, 11, 0), "not ICG SWFW"))</f>
        <v>BJ And dev</v>
      </c>
      <c r="T2465" s="7" t="str">
        <f>IF(ISBLANK(patch[[#This Row],[mergeDate]]), "", MID(YEAR(patch[[#This Row],[mergeDate]]), 3,2)&amp;"'ww"&amp;WEEKNUM(patch[[#This Row],[mergeDate]]))</f>
        <v>16'ww36</v>
      </c>
      <c r="U2465" s="7" t="str">
        <f>IF(ISBLANK(patch[[#This Row],[mergeDate]]), U2464, MID(YEAR(patch[[#This Row],[mergeDate]]), 3,2)&amp;"'m"&amp;MONTH(patch[[#This Row],[mergeDate]]))</f>
        <v>16'm9</v>
      </c>
      <c r="V2465" s="7" t="str">
        <f>IF(ISBLANK(patch[[#This Row],[project]]), "",SUM(patch[[#This Row],[BJ -1 num]:[SH -1 num]]))</f>
        <v/>
      </c>
      <c r="W2465" s="7" t="str">
        <f>IF(ISBLANK(patch[[#This Row],[project]]), "",COUNTIFS($A:$A,patch[[#This Row],[number]],$S:$S, "BJ And dev",$AC:$AC, "Review-1"))</f>
        <v/>
      </c>
      <c r="X2465" s="7" t="str">
        <f>IF(ISBLANK(patch[[#This Row],[project]]), "",COUNTIFS($A:$A,patch[[#This Row],[number]],$S:$S, "FL And dev",$AC:$AC, "Review-1"))</f>
        <v/>
      </c>
      <c r="Y2465" s="7" t="str">
        <f>IF(ISBLANK(patch[[#This Row],[project]]), "",COUNTIFS($A:$A,patch[[#This Row],[number]],$S:$S, "SH And dev",$AC:$AC, "Review-1"))</f>
        <v/>
      </c>
      <c r="Z2465" s="7" t="str">
        <f>IF(ISBLANK(patch[[#This Row],[project]]), "",COUNTIFS($A:$A,patch[[#This Row],[number]],$S:$S, "BJ And dev",$AD:$AD, "&lt;&gt;IntegratorValidationComment"))</f>
        <v/>
      </c>
      <c r="AA2465" s="7" t="str">
        <f>IF(ISBLANK(patch[[#This Row],[project]]), "",COUNTIFS($A:$A,patch[[#This Row],[number]],$S:$S, "FL And dev",$AD:$AD, "&lt;&gt;IntegratorValidationComment"))</f>
        <v/>
      </c>
      <c r="AB2465" s="7" t="str">
        <f>IF(ISBLANK(patch[[#This Row],[project]]), "",COUNTIFS($A:$A,patch[[#This Row],[number]],$S:$S, "SH And dev",$AD:$AD, "&lt;&gt;IntegratorValidationComment"))</f>
        <v/>
      </c>
      <c r="AC2465" s="7" t="str">
        <f>IF(OR(ISNUMBER(FIND("Review-1", patch[[#This Row],[comments]])), ISNUMBER(FIND("Approver-1", patch[[#This Row],[comments]]))), "Review-1", "")</f>
        <v/>
      </c>
      <c r="AD24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65" s="7">
        <f>IF(ISBLANK(patch[[#This Row],[number]]),AE2464,patch[[#This Row],[ifCommon]])</f>
        <v>0</v>
      </c>
    </row>
    <row r="2466" spans="1:31">
      <c r="A2466" s="151">
        <v>142680</v>
      </c>
      <c r="B2466" s="151"/>
      <c r="C2466" s="151"/>
      <c r="D2466" s="151"/>
      <c r="E2466" s="151"/>
      <c r="F2466" s="151"/>
      <c r="G2466" s="151"/>
      <c r="H2466" s="151"/>
      <c r="I2466" s="151"/>
      <c r="J2466" s="152">
        <v>42615.719988425917</v>
      </c>
      <c r="K2466" s="151"/>
      <c r="L2466" s="151" t="s">
        <v>59</v>
      </c>
      <c r="M2466" s="152">
        <v>42614.459629629629</v>
      </c>
      <c r="N2466" s="151" t="s">
        <v>3819</v>
      </c>
      <c r="O2466" s="151"/>
      <c r="P2466" s="151"/>
      <c r="Q2466" s="7" t="str">
        <f>IF(ISBLANK(patch[[#This Row],[OwnerEmail]]),Q2465,patch[[#This Row],[OwnerEmail]])</f>
        <v>xi.cao@intel.com</v>
      </c>
      <c r="R2466" s="7" t="str">
        <f>_xlfn.IFNA(VLOOKUP(patch[[#This Row],[tmp-owner.email]],OrgTree!$A:$K, 11, 0), "not ICG SWFW")</f>
        <v>BJ And dev</v>
      </c>
      <c r="S2466" s="7" t="str">
        <f>IF(patch[[#This Row],[reviewer]]=patch[[#This Row],[tmp-owner.email]], "author", _xlfn.IFNA(VLOOKUP(patch[[#This Row],[reviewer]],OrgTree!$A:$K, 11, 0), "not ICG SWFW"))</f>
        <v>BJ And dev</v>
      </c>
      <c r="T2466" s="7" t="str">
        <f>IF(ISBLANK(patch[[#This Row],[mergeDate]]), "", MID(YEAR(patch[[#This Row],[mergeDate]]), 3,2)&amp;"'ww"&amp;WEEKNUM(patch[[#This Row],[mergeDate]]))</f>
        <v>16'ww36</v>
      </c>
      <c r="U2466" s="7" t="str">
        <f>IF(ISBLANK(patch[[#This Row],[mergeDate]]), U2465, MID(YEAR(patch[[#This Row],[mergeDate]]), 3,2)&amp;"'m"&amp;MONTH(patch[[#This Row],[mergeDate]]))</f>
        <v>16'm9</v>
      </c>
      <c r="V2466" s="7" t="str">
        <f>IF(ISBLANK(patch[[#This Row],[project]]), "",SUM(patch[[#This Row],[BJ -1 num]:[SH -1 num]]))</f>
        <v/>
      </c>
      <c r="W2466" s="7" t="str">
        <f>IF(ISBLANK(patch[[#This Row],[project]]), "",COUNTIFS($A:$A,patch[[#This Row],[number]],$S:$S, "BJ And dev",$AC:$AC, "Review-1"))</f>
        <v/>
      </c>
      <c r="X2466" s="7" t="str">
        <f>IF(ISBLANK(patch[[#This Row],[project]]), "",COUNTIFS($A:$A,patch[[#This Row],[number]],$S:$S, "FL And dev",$AC:$AC, "Review-1"))</f>
        <v/>
      </c>
      <c r="Y2466" s="7" t="str">
        <f>IF(ISBLANK(patch[[#This Row],[project]]), "",COUNTIFS($A:$A,patch[[#This Row],[number]],$S:$S, "SH And dev",$AC:$AC, "Review-1"))</f>
        <v/>
      </c>
      <c r="Z2466" s="7" t="str">
        <f>IF(ISBLANK(patch[[#This Row],[project]]), "",COUNTIFS($A:$A,patch[[#This Row],[number]],$S:$S, "BJ And dev",$AD:$AD, "&lt;&gt;IntegratorValidationComment"))</f>
        <v/>
      </c>
      <c r="AA2466" s="7" t="str">
        <f>IF(ISBLANK(patch[[#This Row],[project]]), "",COUNTIFS($A:$A,patch[[#This Row],[number]],$S:$S, "FL And dev",$AD:$AD, "&lt;&gt;IntegratorValidationComment"))</f>
        <v/>
      </c>
      <c r="AB2466" s="7" t="str">
        <f>IF(ISBLANK(patch[[#This Row],[project]]), "",COUNTIFS($A:$A,patch[[#This Row],[number]],$S:$S, "SH And dev",$AD:$AD, "&lt;&gt;IntegratorValidationComment"))</f>
        <v/>
      </c>
      <c r="AC2466" s="7" t="str">
        <f>IF(OR(ISNUMBER(FIND("Review-1", patch[[#This Row],[comments]])), ISNUMBER(FIND("Approver-1", patch[[#This Row],[comments]]))), "Review-1", "")</f>
        <v/>
      </c>
      <c r="AD24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66" s="7">
        <f>IF(ISBLANK(patch[[#This Row],[number]]),AE2465,patch[[#This Row],[ifCommon]])</f>
        <v>0</v>
      </c>
    </row>
    <row r="2467" spans="1:31">
      <c r="A2467" s="151">
        <v>142680</v>
      </c>
      <c r="B2467" s="151"/>
      <c r="C2467" s="151"/>
      <c r="D2467" s="151"/>
      <c r="E2467" s="151"/>
      <c r="F2467" s="151"/>
      <c r="G2467" s="151"/>
      <c r="H2467" s="151"/>
      <c r="I2467" s="151"/>
      <c r="J2467" s="152">
        <v>42615.719988425917</v>
      </c>
      <c r="K2467" s="151"/>
      <c r="L2467" s="151" t="s">
        <v>1203</v>
      </c>
      <c r="M2467" s="152">
        <v>42614.459837962961</v>
      </c>
      <c r="N2467" s="151" t="s">
        <v>2450</v>
      </c>
      <c r="O2467" s="151"/>
      <c r="P2467" s="151"/>
      <c r="Q2467" s="7" t="str">
        <f>IF(ISBLANK(patch[[#This Row],[OwnerEmail]]),Q2466,patch[[#This Row],[OwnerEmail]])</f>
        <v>xi.cao@intel.com</v>
      </c>
      <c r="R2467" s="7" t="str">
        <f>_xlfn.IFNA(VLOOKUP(patch[[#This Row],[tmp-owner.email]],OrgTree!$A:$K, 11, 0), "not ICG SWFW")</f>
        <v>BJ And dev</v>
      </c>
      <c r="S2467" s="7" t="str">
        <f>IF(patch[[#This Row],[reviewer]]=patch[[#This Row],[tmp-owner.email]], "author", _xlfn.IFNA(VLOOKUP(patch[[#This Row],[reviewer]],OrgTree!$A:$K, 11, 0), "not ICG SWFW"))</f>
        <v>author</v>
      </c>
      <c r="T2467" s="7" t="str">
        <f>IF(ISBLANK(patch[[#This Row],[mergeDate]]), "", MID(YEAR(patch[[#This Row],[mergeDate]]), 3,2)&amp;"'ww"&amp;WEEKNUM(patch[[#This Row],[mergeDate]]))</f>
        <v>16'ww36</v>
      </c>
      <c r="U2467" s="7" t="str">
        <f>IF(ISBLANK(patch[[#This Row],[mergeDate]]), U2466, MID(YEAR(patch[[#This Row],[mergeDate]]), 3,2)&amp;"'m"&amp;MONTH(patch[[#This Row],[mergeDate]]))</f>
        <v>16'm9</v>
      </c>
      <c r="V2467" s="7" t="str">
        <f>IF(ISBLANK(patch[[#This Row],[project]]), "",SUM(patch[[#This Row],[BJ -1 num]:[SH -1 num]]))</f>
        <v/>
      </c>
      <c r="W2467" s="7" t="str">
        <f>IF(ISBLANK(patch[[#This Row],[project]]), "",COUNTIFS($A:$A,patch[[#This Row],[number]],$S:$S, "BJ And dev",$AC:$AC, "Review-1"))</f>
        <v/>
      </c>
      <c r="X2467" s="7" t="str">
        <f>IF(ISBLANK(patch[[#This Row],[project]]), "",COUNTIFS($A:$A,patch[[#This Row],[number]],$S:$S, "FL And dev",$AC:$AC, "Review-1"))</f>
        <v/>
      </c>
      <c r="Y2467" s="7" t="str">
        <f>IF(ISBLANK(patch[[#This Row],[project]]), "",COUNTIFS($A:$A,patch[[#This Row],[number]],$S:$S, "SH And dev",$AC:$AC, "Review-1"))</f>
        <v/>
      </c>
      <c r="Z2467" s="7" t="str">
        <f>IF(ISBLANK(patch[[#This Row],[project]]), "",COUNTIFS($A:$A,patch[[#This Row],[number]],$S:$S, "BJ And dev",$AD:$AD, "&lt;&gt;IntegratorValidationComment"))</f>
        <v/>
      </c>
      <c r="AA2467" s="7" t="str">
        <f>IF(ISBLANK(patch[[#This Row],[project]]), "",COUNTIFS($A:$A,patch[[#This Row],[number]],$S:$S, "FL And dev",$AD:$AD, "&lt;&gt;IntegratorValidationComment"))</f>
        <v/>
      </c>
      <c r="AB2467" s="7" t="str">
        <f>IF(ISBLANK(patch[[#This Row],[project]]), "",COUNTIFS($A:$A,patch[[#This Row],[number]],$S:$S, "SH And dev",$AD:$AD, "&lt;&gt;IntegratorValidationComment"))</f>
        <v/>
      </c>
      <c r="AC2467" s="7" t="str">
        <f>IF(OR(ISNUMBER(FIND("Review-1", patch[[#This Row],[comments]])), ISNUMBER(FIND("Approver-1", patch[[#This Row],[comments]]))), "Review-1", "")</f>
        <v/>
      </c>
      <c r="AD24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67" s="7">
        <f>IF(ISBLANK(patch[[#This Row],[number]]),AE2466,patch[[#This Row],[ifCommon]])</f>
        <v>0</v>
      </c>
    </row>
    <row r="2468" spans="1:31">
      <c r="A2468" s="151">
        <v>142680</v>
      </c>
      <c r="B2468" s="151"/>
      <c r="C2468" s="151"/>
      <c r="D2468" s="151"/>
      <c r="E2468" s="151"/>
      <c r="F2468" s="151"/>
      <c r="G2468" s="151"/>
      <c r="H2468" s="151"/>
      <c r="I2468" s="151"/>
      <c r="J2468" s="152">
        <v>42615.719988425917</v>
      </c>
      <c r="K2468" s="151"/>
      <c r="L2468" s="151" t="s">
        <v>1203</v>
      </c>
      <c r="M2468" s="152">
        <v>42614.459837962961</v>
      </c>
      <c r="N2468" s="151" t="s">
        <v>1829</v>
      </c>
      <c r="O2468" s="151"/>
      <c r="P2468" s="151"/>
      <c r="Q2468" s="7" t="str">
        <f>IF(ISBLANK(patch[[#This Row],[OwnerEmail]]),Q2467,patch[[#This Row],[OwnerEmail]])</f>
        <v>xi.cao@intel.com</v>
      </c>
      <c r="R2468" s="7" t="str">
        <f>_xlfn.IFNA(VLOOKUP(patch[[#This Row],[tmp-owner.email]],OrgTree!$A:$K, 11, 0), "not ICG SWFW")</f>
        <v>BJ And dev</v>
      </c>
      <c r="S2468" s="7" t="str">
        <f>IF(patch[[#This Row],[reviewer]]=patch[[#This Row],[tmp-owner.email]], "author", _xlfn.IFNA(VLOOKUP(patch[[#This Row],[reviewer]],OrgTree!$A:$K, 11, 0), "not ICG SWFW"))</f>
        <v>author</v>
      </c>
      <c r="T2468" s="7" t="str">
        <f>IF(ISBLANK(patch[[#This Row],[mergeDate]]), "", MID(YEAR(patch[[#This Row],[mergeDate]]), 3,2)&amp;"'ww"&amp;WEEKNUM(patch[[#This Row],[mergeDate]]))</f>
        <v>16'ww36</v>
      </c>
      <c r="U2468" s="7" t="str">
        <f>IF(ISBLANK(patch[[#This Row],[mergeDate]]), U2467, MID(YEAR(patch[[#This Row],[mergeDate]]), 3,2)&amp;"'m"&amp;MONTH(patch[[#This Row],[mergeDate]]))</f>
        <v>16'm9</v>
      </c>
      <c r="V2468" s="7" t="str">
        <f>IF(ISBLANK(patch[[#This Row],[project]]), "",SUM(patch[[#This Row],[BJ -1 num]:[SH -1 num]]))</f>
        <v/>
      </c>
      <c r="W2468" s="7" t="str">
        <f>IF(ISBLANK(patch[[#This Row],[project]]), "",COUNTIFS($A:$A,patch[[#This Row],[number]],$S:$S, "BJ And dev",$AC:$AC, "Review-1"))</f>
        <v/>
      </c>
      <c r="X2468" s="7" t="str">
        <f>IF(ISBLANK(patch[[#This Row],[project]]), "",COUNTIFS($A:$A,patch[[#This Row],[number]],$S:$S, "FL And dev",$AC:$AC, "Review-1"))</f>
        <v/>
      </c>
      <c r="Y2468" s="7" t="str">
        <f>IF(ISBLANK(patch[[#This Row],[project]]), "",COUNTIFS($A:$A,patch[[#This Row],[number]],$S:$S, "SH And dev",$AC:$AC, "Review-1"))</f>
        <v/>
      </c>
      <c r="Z2468" s="7" t="str">
        <f>IF(ISBLANK(patch[[#This Row],[project]]), "",COUNTIFS($A:$A,patch[[#This Row],[number]],$S:$S, "BJ And dev",$AD:$AD, "&lt;&gt;IntegratorValidationComment"))</f>
        <v/>
      </c>
      <c r="AA2468" s="7" t="str">
        <f>IF(ISBLANK(patch[[#This Row],[project]]), "",COUNTIFS($A:$A,patch[[#This Row],[number]],$S:$S, "FL And dev",$AD:$AD, "&lt;&gt;IntegratorValidationComment"))</f>
        <v/>
      </c>
      <c r="AB2468" s="7" t="str">
        <f>IF(ISBLANK(patch[[#This Row],[project]]), "",COUNTIFS($A:$A,patch[[#This Row],[number]],$S:$S, "SH And dev",$AD:$AD, "&lt;&gt;IntegratorValidationComment"))</f>
        <v/>
      </c>
      <c r="AC2468" s="7" t="str">
        <f>IF(OR(ISNUMBER(FIND("Review-1", patch[[#This Row],[comments]])), ISNUMBER(FIND("Approver-1", patch[[#This Row],[comments]]))), "Review-1", "")</f>
        <v/>
      </c>
      <c r="AD24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68" s="7">
        <f>IF(ISBLANK(patch[[#This Row],[number]]),AE2467,patch[[#This Row],[ifCommon]])</f>
        <v>0</v>
      </c>
    </row>
    <row r="2469" spans="1:31">
      <c r="A2469" s="151">
        <v>142680</v>
      </c>
      <c r="B2469" s="151"/>
      <c r="C2469" s="151"/>
      <c r="D2469" s="151"/>
      <c r="E2469" s="151"/>
      <c r="F2469" s="151"/>
      <c r="G2469" s="151"/>
      <c r="H2469" s="151"/>
      <c r="I2469" s="151"/>
      <c r="J2469" s="152">
        <v>42615.719988425917</v>
      </c>
      <c r="K2469" s="151"/>
      <c r="L2469" s="151" t="s">
        <v>59</v>
      </c>
      <c r="M2469" s="152">
        <v>42614.460902777777</v>
      </c>
      <c r="N2469" s="151" t="s">
        <v>3820</v>
      </c>
      <c r="O2469" s="151"/>
      <c r="P2469" s="151"/>
      <c r="Q2469" s="7" t="str">
        <f>IF(ISBLANK(patch[[#This Row],[OwnerEmail]]),Q2468,patch[[#This Row],[OwnerEmail]])</f>
        <v>xi.cao@intel.com</v>
      </c>
      <c r="R2469" s="7" t="str">
        <f>_xlfn.IFNA(VLOOKUP(patch[[#This Row],[tmp-owner.email]],OrgTree!$A:$K, 11, 0), "not ICG SWFW")</f>
        <v>BJ And dev</v>
      </c>
      <c r="S2469" s="7" t="str">
        <f>IF(patch[[#This Row],[reviewer]]=patch[[#This Row],[tmp-owner.email]], "author", _xlfn.IFNA(VLOOKUP(patch[[#This Row],[reviewer]],OrgTree!$A:$K, 11, 0), "not ICG SWFW"))</f>
        <v>BJ And dev</v>
      </c>
      <c r="T2469" s="7" t="str">
        <f>IF(ISBLANK(patch[[#This Row],[mergeDate]]), "", MID(YEAR(patch[[#This Row],[mergeDate]]), 3,2)&amp;"'ww"&amp;WEEKNUM(patch[[#This Row],[mergeDate]]))</f>
        <v>16'ww36</v>
      </c>
      <c r="U2469" s="7" t="str">
        <f>IF(ISBLANK(patch[[#This Row],[mergeDate]]), U2468, MID(YEAR(patch[[#This Row],[mergeDate]]), 3,2)&amp;"'m"&amp;MONTH(patch[[#This Row],[mergeDate]]))</f>
        <v>16'm9</v>
      </c>
      <c r="V2469" s="7" t="str">
        <f>IF(ISBLANK(patch[[#This Row],[project]]), "",SUM(patch[[#This Row],[BJ -1 num]:[SH -1 num]]))</f>
        <v/>
      </c>
      <c r="W2469" s="7" t="str">
        <f>IF(ISBLANK(patch[[#This Row],[project]]), "",COUNTIFS($A:$A,patch[[#This Row],[number]],$S:$S, "BJ And dev",$AC:$AC, "Review-1"))</f>
        <v/>
      </c>
      <c r="X2469" s="7" t="str">
        <f>IF(ISBLANK(patch[[#This Row],[project]]), "",COUNTIFS($A:$A,patch[[#This Row],[number]],$S:$S, "FL And dev",$AC:$AC, "Review-1"))</f>
        <v/>
      </c>
      <c r="Y2469" s="7" t="str">
        <f>IF(ISBLANK(patch[[#This Row],[project]]), "",COUNTIFS($A:$A,patch[[#This Row],[number]],$S:$S, "SH And dev",$AC:$AC, "Review-1"))</f>
        <v/>
      </c>
      <c r="Z2469" s="7" t="str">
        <f>IF(ISBLANK(patch[[#This Row],[project]]), "",COUNTIFS($A:$A,patch[[#This Row],[number]],$S:$S, "BJ And dev",$AD:$AD, "&lt;&gt;IntegratorValidationComment"))</f>
        <v/>
      </c>
      <c r="AA2469" s="7" t="str">
        <f>IF(ISBLANK(patch[[#This Row],[project]]), "",COUNTIFS($A:$A,patch[[#This Row],[number]],$S:$S, "FL And dev",$AD:$AD, "&lt;&gt;IntegratorValidationComment"))</f>
        <v/>
      </c>
      <c r="AB2469" s="7" t="str">
        <f>IF(ISBLANK(patch[[#This Row],[project]]), "",COUNTIFS($A:$A,patch[[#This Row],[number]],$S:$S, "SH And dev",$AD:$AD, "&lt;&gt;IntegratorValidationComment"))</f>
        <v/>
      </c>
      <c r="AC2469" s="7" t="str">
        <f>IF(OR(ISNUMBER(FIND("Review-1", patch[[#This Row],[comments]])), ISNUMBER(FIND("Approver-1", patch[[#This Row],[comments]]))), "Review-1", "")</f>
        <v/>
      </c>
      <c r="AD24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69" s="7">
        <f>IF(ISBLANK(patch[[#This Row],[number]]),AE2468,patch[[#This Row],[ifCommon]])</f>
        <v>0</v>
      </c>
    </row>
    <row r="2470" spans="1:31">
      <c r="A2470" s="151">
        <v>142680</v>
      </c>
      <c r="B2470" s="151"/>
      <c r="C2470" s="151"/>
      <c r="D2470" s="151"/>
      <c r="E2470" s="151"/>
      <c r="F2470" s="151"/>
      <c r="G2470" s="151"/>
      <c r="H2470" s="151"/>
      <c r="I2470" s="151"/>
      <c r="J2470" s="152">
        <v>42615.719988425917</v>
      </c>
      <c r="K2470" s="151"/>
      <c r="L2470" s="151" t="s">
        <v>1203</v>
      </c>
      <c r="M2470" s="152">
        <v>42614.463969907411</v>
      </c>
      <c r="N2470" s="151" t="s">
        <v>2451</v>
      </c>
      <c r="O2470" s="151"/>
      <c r="P2470" s="151"/>
      <c r="Q2470" s="7" t="str">
        <f>IF(ISBLANK(patch[[#This Row],[OwnerEmail]]),Q2469,patch[[#This Row],[OwnerEmail]])</f>
        <v>xi.cao@intel.com</v>
      </c>
      <c r="R2470" s="7" t="str">
        <f>_xlfn.IFNA(VLOOKUP(patch[[#This Row],[tmp-owner.email]],OrgTree!$A:$K, 11, 0), "not ICG SWFW")</f>
        <v>BJ And dev</v>
      </c>
      <c r="S2470" s="7" t="str">
        <f>IF(patch[[#This Row],[reviewer]]=patch[[#This Row],[tmp-owner.email]], "author", _xlfn.IFNA(VLOOKUP(patch[[#This Row],[reviewer]],OrgTree!$A:$K, 11, 0), "not ICG SWFW"))</f>
        <v>author</v>
      </c>
      <c r="T2470" s="7" t="str">
        <f>IF(ISBLANK(patch[[#This Row],[mergeDate]]), "", MID(YEAR(patch[[#This Row],[mergeDate]]), 3,2)&amp;"'ww"&amp;WEEKNUM(patch[[#This Row],[mergeDate]]))</f>
        <v>16'ww36</v>
      </c>
      <c r="U2470" s="7" t="str">
        <f>IF(ISBLANK(patch[[#This Row],[mergeDate]]), U2469, MID(YEAR(patch[[#This Row],[mergeDate]]), 3,2)&amp;"'m"&amp;MONTH(patch[[#This Row],[mergeDate]]))</f>
        <v>16'm9</v>
      </c>
      <c r="V2470" s="7" t="str">
        <f>IF(ISBLANK(patch[[#This Row],[project]]), "",SUM(patch[[#This Row],[BJ -1 num]:[SH -1 num]]))</f>
        <v/>
      </c>
      <c r="W2470" s="7" t="str">
        <f>IF(ISBLANK(patch[[#This Row],[project]]), "",COUNTIFS($A:$A,patch[[#This Row],[number]],$S:$S, "BJ And dev",$AC:$AC, "Review-1"))</f>
        <v/>
      </c>
      <c r="X2470" s="7" t="str">
        <f>IF(ISBLANK(patch[[#This Row],[project]]), "",COUNTIFS($A:$A,patch[[#This Row],[number]],$S:$S, "FL And dev",$AC:$AC, "Review-1"))</f>
        <v/>
      </c>
      <c r="Y2470" s="7" t="str">
        <f>IF(ISBLANK(patch[[#This Row],[project]]), "",COUNTIFS($A:$A,patch[[#This Row],[number]],$S:$S, "SH And dev",$AC:$AC, "Review-1"))</f>
        <v/>
      </c>
      <c r="Z2470" s="7" t="str">
        <f>IF(ISBLANK(patch[[#This Row],[project]]), "",COUNTIFS($A:$A,patch[[#This Row],[number]],$S:$S, "BJ And dev",$AD:$AD, "&lt;&gt;IntegratorValidationComment"))</f>
        <v/>
      </c>
      <c r="AA2470" s="7" t="str">
        <f>IF(ISBLANK(patch[[#This Row],[project]]), "",COUNTIFS($A:$A,patch[[#This Row],[number]],$S:$S, "FL And dev",$AD:$AD, "&lt;&gt;IntegratorValidationComment"))</f>
        <v/>
      </c>
      <c r="AB2470" s="7" t="str">
        <f>IF(ISBLANK(patch[[#This Row],[project]]), "",COUNTIFS($A:$A,patch[[#This Row],[number]],$S:$S, "SH And dev",$AD:$AD, "&lt;&gt;IntegratorValidationComment"))</f>
        <v/>
      </c>
      <c r="AC2470" s="7" t="str">
        <f>IF(OR(ISNUMBER(FIND("Review-1", patch[[#This Row],[comments]])), ISNUMBER(FIND("Approver-1", patch[[#This Row],[comments]]))), "Review-1", "")</f>
        <v/>
      </c>
      <c r="AD24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70" s="7">
        <f>IF(ISBLANK(patch[[#This Row],[number]]),AE2469,patch[[#This Row],[ifCommon]])</f>
        <v>0</v>
      </c>
    </row>
    <row r="2471" spans="1:31">
      <c r="A2471" s="151">
        <v>142680</v>
      </c>
      <c r="B2471" s="151"/>
      <c r="C2471" s="151"/>
      <c r="D2471" s="151"/>
      <c r="E2471" s="151"/>
      <c r="F2471" s="151"/>
      <c r="G2471" s="151"/>
      <c r="H2471" s="151"/>
      <c r="I2471" s="151"/>
      <c r="J2471" s="152">
        <v>42615.719988425917</v>
      </c>
      <c r="K2471" s="151"/>
      <c r="L2471" s="151" t="s">
        <v>1203</v>
      </c>
      <c r="M2471" s="152">
        <v>42614.463969907411</v>
      </c>
      <c r="N2471" s="151" t="s">
        <v>49</v>
      </c>
      <c r="O2471" s="151"/>
      <c r="P2471" s="151"/>
      <c r="Q2471" s="7" t="str">
        <f>IF(ISBLANK(patch[[#This Row],[OwnerEmail]]),Q2470,patch[[#This Row],[OwnerEmail]])</f>
        <v>xi.cao@intel.com</v>
      </c>
      <c r="R2471" s="7" t="str">
        <f>_xlfn.IFNA(VLOOKUP(patch[[#This Row],[tmp-owner.email]],OrgTree!$A:$K, 11, 0), "not ICG SWFW")</f>
        <v>BJ And dev</v>
      </c>
      <c r="S2471" s="7" t="str">
        <f>IF(patch[[#This Row],[reviewer]]=patch[[#This Row],[tmp-owner.email]], "author", _xlfn.IFNA(VLOOKUP(patch[[#This Row],[reviewer]],OrgTree!$A:$K, 11, 0), "not ICG SWFW"))</f>
        <v>author</v>
      </c>
      <c r="T2471" s="7" t="str">
        <f>IF(ISBLANK(patch[[#This Row],[mergeDate]]), "", MID(YEAR(patch[[#This Row],[mergeDate]]), 3,2)&amp;"'ww"&amp;WEEKNUM(patch[[#This Row],[mergeDate]]))</f>
        <v>16'ww36</v>
      </c>
      <c r="U2471" s="7" t="str">
        <f>IF(ISBLANK(patch[[#This Row],[mergeDate]]), U2470, MID(YEAR(patch[[#This Row],[mergeDate]]), 3,2)&amp;"'m"&amp;MONTH(patch[[#This Row],[mergeDate]]))</f>
        <v>16'm9</v>
      </c>
      <c r="V2471" s="7" t="str">
        <f>IF(ISBLANK(patch[[#This Row],[project]]), "",SUM(patch[[#This Row],[BJ -1 num]:[SH -1 num]]))</f>
        <v/>
      </c>
      <c r="W2471" s="7" t="str">
        <f>IF(ISBLANK(patch[[#This Row],[project]]), "",COUNTIFS($A:$A,patch[[#This Row],[number]],$S:$S, "BJ And dev",$AC:$AC, "Review-1"))</f>
        <v/>
      </c>
      <c r="X2471" s="7" t="str">
        <f>IF(ISBLANK(patch[[#This Row],[project]]), "",COUNTIFS($A:$A,patch[[#This Row],[number]],$S:$S, "FL And dev",$AC:$AC, "Review-1"))</f>
        <v/>
      </c>
      <c r="Y2471" s="7" t="str">
        <f>IF(ISBLANK(patch[[#This Row],[project]]), "",COUNTIFS($A:$A,patch[[#This Row],[number]],$S:$S, "SH And dev",$AC:$AC, "Review-1"))</f>
        <v/>
      </c>
      <c r="Z2471" s="7" t="str">
        <f>IF(ISBLANK(patch[[#This Row],[project]]), "",COUNTIFS($A:$A,patch[[#This Row],[number]],$S:$S, "BJ And dev",$AD:$AD, "&lt;&gt;IntegratorValidationComment"))</f>
        <v/>
      </c>
      <c r="AA2471" s="7" t="str">
        <f>IF(ISBLANK(patch[[#This Row],[project]]), "",COUNTIFS($A:$A,patch[[#This Row],[number]],$S:$S, "FL And dev",$AD:$AD, "&lt;&gt;IntegratorValidationComment"))</f>
        <v/>
      </c>
      <c r="AB2471" s="7" t="str">
        <f>IF(ISBLANK(patch[[#This Row],[project]]), "",COUNTIFS($A:$A,patch[[#This Row],[number]],$S:$S, "SH And dev",$AD:$AD, "&lt;&gt;IntegratorValidationComment"))</f>
        <v/>
      </c>
      <c r="AC2471" s="7" t="str">
        <f>IF(OR(ISNUMBER(FIND("Review-1", patch[[#This Row],[comments]])), ISNUMBER(FIND("Approver-1", patch[[#This Row],[comments]]))), "Review-1", "")</f>
        <v/>
      </c>
      <c r="AD24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71" s="7">
        <f>IF(ISBLANK(patch[[#This Row],[number]]),AE2470,patch[[#This Row],[ifCommon]])</f>
        <v>0</v>
      </c>
    </row>
    <row r="2472" spans="1:31">
      <c r="A2472" s="151">
        <v>142680</v>
      </c>
      <c r="B2472" s="151"/>
      <c r="C2472" s="151"/>
      <c r="D2472" s="151"/>
      <c r="E2472" s="151"/>
      <c r="F2472" s="151"/>
      <c r="G2472" s="151"/>
      <c r="H2472" s="151"/>
      <c r="I2472" s="151"/>
      <c r="J2472" s="152">
        <v>42615.719988425917</v>
      </c>
      <c r="K2472" s="151"/>
      <c r="L2472" s="151" t="s">
        <v>59</v>
      </c>
      <c r="M2472" s="152">
        <v>42614.464606481481</v>
      </c>
      <c r="N2472" s="151" t="s">
        <v>3821</v>
      </c>
      <c r="O2472" s="151"/>
      <c r="P2472" s="151"/>
      <c r="Q2472" s="7" t="str">
        <f>IF(ISBLANK(patch[[#This Row],[OwnerEmail]]),Q2471,patch[[#This Row],[OwnerEmail]])</f>
        <v>xi.cao@intel.com</v>
      </c>
      <c r="R2472" s="7" t="str">
        <f>_xlfn.IFNA(VLOOKUP(patch[[#This Row],[tmp-owner.email]],OrgTree!$A:$K, 11, 0), "not ICG SWFW")</f>
        <v>BJ And dev</v>
      </c>
      <c r="S2472" s="7" t="str">
        <f>IF(patch[[#This Row],[reviewer]]=patch[[#This Row],[tmp-owner.email]], "author", _xlfn.IFNA(VLOOKUP(patch[[#This Row],[reviewer]],OrgTree!$A:$K, 11, 0), "not ICG SWFW"))</f>
        <v>BJ And dev</v>
      </c>
      <c r="T2472" s="7" t="str">
        <f>IF(ISBLANK(patch[[#This Row],[mergeDate]]), "", MID(YEAR(patch[[#This Row],[mergeDate]]), 3,2)&amp;"'ww"&amp;WEEKNUM(patch[[#This Row],[mergeDate]]))</f>
        <v>16'ww36</v>
      </c>
      <c r="U2472" s="7" t="str">
        <f>IF(ISBLANK(patch[[#This Row],[mergeDate]]), U2471, MID(YEAR(patch[[#This Row],[mergeDate]]), 3,2)&amp;"'m"&amp;MONTH(patch[[#This Row],[mergeDate]]))</f>
        <v>16'm9</v>
      </c>
      <c r="V2472" s="7" t="str">
        <f>IF(ISBLANK(patch[[#This Row],[project]]), "",SUM(patch[[#This Row],[BJ -1 num]:[SH -1 num]]))</f>
        <v/>
      </c>
      <c r="W2472" s="7" t="str">
        <f>IF(ISBLANK(patch[[#This Row],[project]]), "",COUNTIFS($A:$A,patch[[#This Row],[number]],$S:$S, "BJ And dev",$AC:$AC, "Review-1"))</f>
        <v/>
      </c>
      <c r="X2472" s="7" t="str">
        <f>IF(ISBLANK(patch[[#This Row],[project]]), "",COUNTIFS($A:$A,patch[[#This Row],[number]],$S:$S, "FL And dev",$AC:$AC, "Review-1"))</f>
        <v/>
      </c>
      <c r="Y2472" s="7" t="str">
        <f>IF(ISBLANK(patch[[#This Row],[project]]), "",COUNTIFS($A:$A,patch[[#This Row],[number]],$S:$S, "SH And dev",$AC:$AC, "Review-1"))</f>
        <v/>
      </c>
      <c r="Z2472" s="7" t="str">
        <f>IF(ISBLANK(patch[[#This Row],[project]]), "",COUNTIFS($A:$A,patch[[#This Row],[number]],$S:$S, "BJ And dev",$AD:$AD, "&lt;&gt;IntegratorValidationComment"))</f>
        <v/>
      </c>
      <c r="AA2472" s="7" t="str">
        <f>IF(ISBLANK(patch[[#This Row],[project]]), "",COUNTIFS($A:$A,patch[[#This Row],[number]],$S:$S, "FL And dev",$AD:$AD, "&lt;&gt;IntegratorValidationComment"))</f>
        <v/>
      </c>
      <c r="AB2472" s="7" t="str">
        <f>IF(ISBLANK(patch[[#This Row],[project]]), "",COUNTIFS($A:$A,patch[[#This Row],[number]],$S:$S, "SH And dev",$AD:$AD, "&lt;&gt;IntegratorValidationComment"))</f>
        <v/>
      </c>
      <c r="AC2472" s="7" t="str">
        <f>IF(OR(ISNUMBER(FIND("Review-1", patch[[#This Row],[comments]])), ISNUMBER(FIND("Approver-1", patch[[#This Row],[comments]]))), "Review-1", "")</f>
        <v/>
      </c>
      <c r="AD24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72" s="7">
        <f>IF(ISBLANK(patch[[#This Row],[number]]),AE2471,patch[[#This Row],[ifCommon]])</f>
        <v>0</v>
      </c>
    </row>
    <row r="2473" spans="1:31">
      <c r="A2473" s="151">
        <v>142680</v>
      </c>
      <c r="B2473" s="151"/>
      <c r="C2473" s="151"/>
      <c r="D2473" s="151"/>
      <c r="E2473" s="151"/>
      <c r="F2473" s="151"/>
      <c r="G2473" s="151"/>
      <c r="H2473" s="151"/>
      <c r="I2473" s="152"/>
      <c r="J2473" s="152">
        <v>42615.719988425917</v>
      </c>
      <c r="K2473" s="151"/>
      <c r="L2473" s="151" t="s">
        <v>59</v>
      </c>
      <c r="M2473" s="152">
        <v>42614.465775462973</v>
      </c>
      <c r="N2473" s="151" t="s">
        <v>3822</v>
      </c>
      <c r="O2473" s="151"/>
      <c r="P2473" s="151"/>
      <c r="Q2473" s="7" t="str">
        <f>IF(ISBLANK(patch[[#This Row],[OwnerEmail]]),Q2472,patch[[#This Row],[OwnerEmail]])</f>
        <v>xi.cao@intel.com</v>
      </c>
      <c r="R2473" s="7" t="str">
        <f>_xlfn.IFNA(VLOOKUP(patch[[#This Row],[tmp-owner.email]],OrgTree!$A:$K, 11, 0), "not ICG SWFW")</f>
        <v>BJ And dev</v>
      </c>
      <c r="S2473" s="7" t="str">
        <f>IF(patch[[#This Row],[reviewer]]=patch[[#This Row],[tmp-owner.email]], "author", _xlfn.IFNA(VLOOKUP(patch[[#This Row],[reviewer]],OrgTree!$A:$K, 11, 0), "not ICG SWFW"))</f>
        <v>BJ And dev</v>
      </c>
      <c r="T2473" s="7" t="str">
        <f>IF(ISBLANK(patch[[#This Row],[mergeDate]]), "", MID(YEAR(patch[[#This Row],[mergeDate]]), 3,2)&amp;"'ww"&amp;WEEKNUM(patch[[#This Row],[mergeDate]]))</f>
        <v>16'ww36</v>
      </c>
      <c r="U2473" s="7" t="str">
        <f>IF(ISBLANK(patch[[#This Row],[mergeDate]]), U2472, MID(YEAR(patch[[#This Row],[mergeDate]]), 3,2)&amp;"'m"&amp;MONTH(patch[[#This Row],[mergeDate]]))</f>
        <v>16'm9</v>
      </c>
      <c r="V2473" s="7" t="str">
        <f>IF(ISBLANK(patch[[#This Row],[project]]), "",SUM(patch[[#This Row],[BJ -1 num]:[SH -1 num]]))</f>
        <v/>
      </c>
      <c r="W2473" s="7" t="str">
        <f>IF(ISBLANK(patch[[#This Row],[project]]), "",COUNTIFS($A:$A,patch[[#This Row],[number]],$S:$S, "BJ And dev",$AC:$AC, "Review-1"))</f>
        <v/>
      </c>
      <c r="X2473" s="7" t="str">
        <f>IF(ISBLANK(patch[[#This Row],[project]]), "",COUNTIFS($A:$A,patch[[#This Row],[number]],$S:$S, "FL And dev",$AC:$AC, "Review-1"))</f>
        <v/>
      </c>
      <c r="Y2473" s="7" t="str">
        <f>IF(ISBLANK(patch[[#This Row],[project]]), "",COUNTIFS($A:$A,patch[[#This Row],[number]],$S:$S, "SH And dev",$AC:$AC, "Review-1"))</f>
        <v/>
      </c>
      <c r="Z2473" s="7" t="str">
        <f>IF(ISBLANK(patch[[#This Row],[project]]), "",COUNTIFS($A:$A,patch[[#This Row],[number]],$S:$S, "BJ And dev",$AD:$AD, "&lt;&gt;IntegratorValidationComment"))</f>
        <v/>
      </c>
      <c r="AA2473" s="7" t="str">
        <f>IF(ISBLANK(patch[[#This Row],[project]]), "",COUNTIFS($A:$A,patch[[#This Row],[number]],$S:$S, "FL And dev",$AD:$AD, "&lt;&gt;IntegratorValidationComment"))</f>
        <v/>
      </c>
      <c r="AB2473" s="7" t="str">
        <f>IF(ISBLANK(patch[[#This Row],[project]]), "",COUNTIFS($A:$A,patch[[#This Row],[number]],$S:$S, "SH And dev",$AD:$AD, "&lt;&gt;IntegratorValidationComment"))</f>
        <v/>
      </c>
      <c r="AC2473" s="7" t="str">
        <f>IF(OR(ISNUMBER(FIND("Review-1", patch[[#This Row],[comments]])), ISNUMBER(FIND("Approver-1", patch[[#This Row],[comments]]))), "Review-1", "")</f>
        <v/>
      </c>
      <c r="AD24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73" s="7">
        <f>IF(ISBLANK(patch[[#This Row],[number]]),AE2472,patch[[#This Row],[ifCommon]])</f>
        <v>0</v>
      </c>
    </row>
    <row r="2474" spans="1:31">
      <c r="A2474" s="151">
        <v>142680</v>
      </c>
      <c r="B2474" s="151"/>
      <c r="C2474" s="151"/>
      <c r="D2474" s="151"/>
      <c r="E2474" s="151"/>
      <c r="F2474" s="151"/>
      <c r="G2474" s="151"/>
      <c r="H2474" s="151"/>
      <c r="I2474" s="151"/>
      <c r="J2474" s="152">
        <v>42615.719988425917</v>
      </c>
      <c r="K2474" s="151"/>
      <c r="L2474" s="151" t="s">
        <v>59</v>
      </c>
      <c r="M2474" s="152">
        <v>42614.465798611112</v>
      </c>
      <c r="N2474" s="151" t="s">
        <v>3823</v>
      </c>
      <c r="O2474" s="151"/>
      <c r="P2474" s="151"/>
      <c r="Q2474" s="7" t="str">
        <f>IF(ISBLANK(patch[[#This Row],[OwnerEmail]]),Q2473,patch[[#This Row],[OwnerEmail]])</f>
        <v>xi.cao@intel.com</v>
      </c>
      <c r="R2474" s="7" t="str">
        <f>_xlfn.IFNA(VLOOKUP(patch[[#This Row],[tmp-owner.email]],OrgTree!$A:$K, 11, 0), "not ICG SWFW")</f>
        <v>BJ And dev</v>
      </c>
      <c r="S2474" s="7" t="str">
        <f>IF(patch[[#This Row],[reviewer]]=patch[[#This Row],[tmp-owner.email]], "author", _xlfn.IFNA(VLOOKUP(patch[[#This Row],[reviewer]],OrgTree!$A:$K, 11, 0), "not ICG SWFW"))</f>
        <v>BJ And dev</v>
      </c>
      <c r="T2474" s="7" t="str">
        <f>IF(ISBLANK(patch[[#This Row],[mergeDate]]), "", MID(YEAR(patch[[#This Row],[mergeDate]]), 3,2)&amp;"'ww"&amp;WEEKNUM(patch[[#This Row],[mergeDate]]))</f>
        <v>16'ww36</v>
      </c>
      <c r="U2474" s="7" t="str">
        <f>IF(ISBLANK(patch[[#This Row],[mergeDate]]), U2473, MID(YEAR(patch[[#This Row],[mergeDate]]), 3,2)&amp;"'m"&amp;MONTH(patch[[#This Row],[mergeDate]]))</f>
        <v>16'm9</v>
      </c>
      <c r="V2474" s="7" t="str">
        <f>IF(ISBLANK(patch[[#This Row],[project]]), "",SUM(patch[[#This Row],[BJ -1 num]:[SH -1 num]]))</f>
        <v/>
      </c>
      <c r="W2474" s="7" t="str">
        <f>IF(ISBLANK(patch[[#This Row],[project]]), "",COUNTIFS($A:$A,patch[[#This Row],[number]],$S:$S, "BJ And dev",$AC:$AC, "Review-1"))</f>
        <v/>
      </c>
      <c r="X2474" s="7" t="str">
        <f>IF(ISBLANK(patch[[#This Row],[project]]), "",COUNTIFS($A:$A,patch[[#This Row],[number]],$S:$S, "FL And dev",$AC:$AC, "Review-1"))</f>
        <v/>
      </c>
      <c r="Y2474" s="7" t="str">
        <f>IF(ISBLANK(patch[[#This Row],[project]]), "",COUNTIFS($A:$A,patch[[#This Row],[number]],$S:$S, "SH And dev",$AC:$AC, "Review-1"))</f>
        <v/>
      </c>
      <c r="Z2474" s="7" t="str">
        <f>IF(ISBLANK(patch[[#This Row],[project]]), "",COUNTIFS($A:$A,patch[[#This Row],[number]],$S:$S, "BJ And dev",$AD:$AD, "&lt;&gt;IntegratorValidationComment"))</f>
        <v/>
      </c>
      <c r="AA2474" s="7" t="str">
        <f>IF(ISBLANK(patch[[#This Row],[project]]), "",COUNTIFS($A:$A,patch[[#This Row],[number]],$S:$S, "FL And dev",$AD:$AD, "&lt;&gt;IntegratorValidationComment"))</f>
        <v/>
      </c>
      <c r="AB2474" s="7" t="str">
        <f>IF(ISBLANK(patch[[#This Row],[project]]), "",COUNTIFS($A:$A,patch[[#This Row],[number]],$S:$S, "SH And dev",$AD:$AD, "&lt;&gt;IntegratorValidationComment"))</f>
        <v/>
      </c>
      <c r="AC2474" s="7" t="str">
        <f>IF(OR(ISNUMBER(FIND("Review-1", patch[[#This Row],[comments]])), ISNUMBER(FIND("Approver-1", patch[[#This Row],[comments]]))), "Review-1", "")</f>
        <v/>
      </c>
      <c r="AD24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74" s="7">
        <f>IF(ISBLANK(patch[[#This Row],[number]]),AE2473,patch[[#This Row],[ifCommon]])</f>
        <v>0</v>
      </c>
    </row>
    <row r="2475" spans="1:31">
      <c r="A2475" s="151">
        <v>142680</v>
      </c>
      <c r="B2475" s="151"/>
      <c r="C2475" s="151"/>
      <c r="D2475" s="151"/>
      <c r="E2475" s="151"/>
      <c r="F2475" s="151"/>
      <c r="G2475" s="151"/>
      <c r="H2475" s="151"/>
      <c r="I2475" s="151"/>
      <c r="J2475" s="152">
        <v>42615.719988425917</v>
      </c>
      <c r="K2475" s="151"/>
      <c r="L2475" s="151" t="s">
        <v>1203</v>
      </c>
      <c r="M2475" s="152">
        <v>42614.466817129629</v>
      </c>
      <c r="N2475" s="151" t="s">
        <v>1855</v>
      </c>
      <c r="O2475" s="151"/>
      <c r="P2475" s="151"/>
      <c r="Q2475" s="7" t="str">
        <f>IF(ISBLANK(patch[[#This Row],[OwnerEmail]]),Q2474,patch[[#This Row],[OwnerEmail]])</f>
        <v>xi.cao@intel.com</v>
      </c>
      <c r="R2475" s="7" t="str">
        <f>_xlfn.IFNA(VLOOKUP(patch[[#This Row],[tmp-owner.email]],OrgTree!$A:$K, 11, 0), "not ICG SWFW")</f>
        <v>BJ And dev</v>
      </c>
      <c r="S2475" s="7" t="str">
        <f>IF(patch[[#This Row],[reviewer]]=patch[[#This Row],[tmp-owner.email]], "author", _xlfn.IFNA(VLOOKUP(patch[[#This Row],[reviewer]],OrgTree!$A:$K, 11, 0), "not ICG SWFW"))</f>
        <v>author</v>
      </c>
      <c r="T2475" s="7" t="str">
        <f>IF(ISBLANK(patch[[#This Row],[mergeDate]]), "", MID(YEAR(patch[[#This Row],[mergeDate]]), 3,2)&amp;"'ww"&amp;WEEKNUM(patch[[#This Row],[mergeDate]]))</f>
        <v>16'ww36</v>
      </c>
      <c r="U2475" s="7" t="str">
        <f>IF(ISBLANK(patch[[#This Row],[mergeDate]]), U2474, MID(YEAR(patch[[#This Row],[mergeDate]]), 3,2)&amp;"'m"&amp;MONTH(patch[[#This Row],[mergeDate]]))</f>
        <v>16'm9</v>
      </c>
      <c r="V2475" s="7" t="str">
        <f>IF(ISBLANK(patch[[#This Row],[project]]), "",SUM(patch[[#This Row],[BJ -1 num]:[SH -1 num]]))</f>
        <v/>
      </c>
      <c r="W2475" s="7" t="str">
        <f>IF(ISBLANK(patch[[#This Row],[project]]), "",COUNTIFS($A:$A,patch[[#This Row],[number]],$S:$S, "BJ And dev",$AC:$AC, "Review-1"))</f>
        <v/>
      </c>
      <c r="X2475" s="7" t="str">
        <f>IF(ISBLANK(patch[[#This Row],[project]]), "",COUNTIFS($A:$A,patch[[#This Row],[number]],$S:$S, "FL And dev",$AC:$AC, "Review-1"))</f>
        <v/>
      </c>
      <c r="Y2475" s="7" t="str">
        <f>IF(ISBLANK(patch[[#This Row],[project]]), "",COUNTIFS($A:$A,patch[[#This Row],[number]],$S:$S, "SH And dev",$AC:$AC, "Review-1"))</f>
        <v/>
      </c>
      <c r="Z2475" s="7" t="str">
        <f>IF(ISBLANK(patch[[#This Row],[project]]), "",COUNTIFS($A:$A,patch[[#This Row],[number]],$S:$S, "BJ And dev",$AD:$AD, "&lt;&gt;IntegratorValidationComment"))</f>
        <v/>
      </c>
      <c r="AA2475" s="7" t="str">
        <f>IF(ISBLANK(patch[[#This Row],[project]]), "",COUNTIFS($A:$A,patch[[#This Row],[number]],$S:$S, "FL And dev",$AD:$AD, "&lt;&gt;IntegratorValidationComment"))</f>
        <v/>
      </c>
      <c r="AB2475" s="7" t="str">
        <f>IF(ISBLANK(patch[[#This Row],[project]]), "",COUNTIFS($A:$A,patch[[#This Row],[number]],$S:$S, "SH And dev",$AD:$AD, "&lt;&gt;IntegratorValidationComment"))</f>
        <v/>
      </c>
      <c r="AC2475" s="7" t="str">
        <f>IF(OR(ISNUMBER(FIND("Review-1", patch[[#This Row],[comments]])), ISNUMBER(FIND("Approver-1", patch[[#This Row],[comments]]))), "Review-1", "")</f>
        <v/>
      </c>
      <c r="AD24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75" s="7">
        <f>IF(ISBLANK(patch[[#This Row],[number]]),AE2474,patch[[#This Row],[ifCommon]])</f>
        <v>0</v>
      </c>
    </row>
    <row r="2476" spans="1:31">
      <c r="A2476" s="151">
        <v>142680</v>
      </c>
      <c r="B2476" s="151"/>
      <c r="C2476" s="151"/>
      <c r="D2476" s="151"/>
      <c r="E2476" s="151"/>
      <c r="F2476" s="151"/>
      <c r="G2476" s="151"/>
      <c r="H2476" s="151"/>
      <c r="I2476" s="151"/>
      <c r="J2476" s="152">
        <v>42615.719988425917</v>
      </c>
      <c r="K2476" s="151"/>
      <c r="L2476" s="151" t="s">
        <v>1203</v>
      </c>
      <c r="M2476" s="152">
        <v>42614.466817129629</v>
      </c>
      <c r="N2476" s="151" t="s">
        <v>2453</v>
      </c>
      <c r="O2476" s="151"/>
      <c r="P2476" s="151"/>
      <c r="Q2476" s="7" t="str">
        <f>IF(ISBLANK(patch[[#This Row],[OwnerEmail]]),Q2475,patch[[#This Row],[OwnerEmail]])</f>
        <v>xi.cao@intel.com</v>
      </c>
      <c r="R2476" s="7" t="str">
        <f>_xlfn.IFNA(VLOOKUP(patch[[#This Row],[tmp-owner.email]],OrgTree!$A:$K, 11, 0), "not ICG SWFW")</f>
        <v>BJ And dev</v>
      </c>
      <c r="S2476" s="7" t="str">
        <f>IF(patch[[#This Row],[reviewer]]=patch[[#This Row],[tmp-owner.email]], "author", _xlfn.IFNA(VLOOKUP(patch[[#This Row],[reviewer]],OrgTree!$A:$K, 11, 0), "not ICG SWFW"))</f>
        <v>author</v>
      </c>
      <c r="T2476" s="7" t="str">
        <f>IF(ISBLANK(patch[[#This Row],[mergeDate]]), "", MID(YEAR(patch[[#This Row],[mergeDate]]), 3,2)&amp;"'ww"&amp;WEEKNUM(patch[[#This Row],[mergeDate]]))</f>
        <v>16'ww36</v>
      </c>
      <c r="U2476" s="7" t="str">
        <f>IF(ISBLANK(patch[[#This Row],[mergeDate]]), U2475, MID(YEAR(patch[[#This Row],[mergeDate]]), 3,2)&amp;"'m"&amp;MONTH(patch[[#This Row],[mergeDate]]))</f>
        <v>16'm9</v>
      </c>
      <c r="V2476" s="7" t="str">
        <f>IF(ISBLANK(patch[[#This Row],[project]]), "",SUM(patch[[#This Row],[BJ -1 num]:[SH -1 num]]))</f>
        <v/>
      </c>
      <c r="W2476" s="7" t="str">
        <f>IF(ISBLANK(patch[[#This Row],[project]]), "",COUNTIFS($A:$A,patch[[#This Row],[number]],$S:$S, "BJ And dev",$AC:$AC, "Review-1"))</f>
        <v/>
      </c>
      <c r="X2476" s="7" t="str">
        <f>IF(ISBLANK(patch[[#This Row],[project]]), "",COUNTIFS($A:$A,patch[[#This Row],[number]],$S:$S, "FL And dev",$AC:$AC, "Review-1"))</f>
        <v/>
      </c>
      <c r="Y2476" s="7" t="str">
        <f>IF(ISBLANK(patch[[#This Row],[project]]), "",COUNTIFS($A:$A,patch[[#This Row],[number]],$S:$S, "SH And dev",$AC:$AC, "Review-1"))</f>
        <v/>
      </c>
      <c r="Z2476" s="7" t="str">
        <f>IF(ISBLANK(patch[[#This Row],[project]]), "",COUNTIFS($A:$A,patch[[#This Row],[number]],$S:$S, "BJ And dev",$AD:$AD, "&lt;&gt;IntegratorValidationComment"))</f>
        <v/>
      </c>
      <c r="AA2476" s="7" t="str">
        <f>IF(ISBLANK(patch[[#This Row],[project]]), "",COUNTIFS($A:$A,patch[[#This Row],[number]],$S:$S, "FL And dev",$AD:$AD, "&lt;&gt;IntegratorValidationComment"))</f>
        <v/>
      </c>
      <c r="AB2476" s="7" t="str">
        <f>IF(ISBLANK(patch[[#This Row],[project]]), "",COUNTIFS($A:$A,patch[[#This Row],[number]],$S:$S, "SH And dev",$AD:$AD, "&lt;&gt;IntegratorValidationComment"))</f>
        <v/>
      </c>
      <c r="AC2476" s="7" t="str">
        <f>IF(OR(ISNUMBER(FIND("Review-1", patch[[#This Row],[comments]])), ISNUMBER(FIND("Approver-1", patch[[#This Row],[comments]]))), "Review-1", "")</f>
        <v/>
      </c>
      <c r="AD24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76" s="7">
        <f>IF(ISBLANK(patch[[#This Row],[number]]),AE2475,patch[[#This Row],[ifCommon]])</f>
        <v>0</v>
      </c>
    </row>
    <row r="2477" spans="1:31">
      <c r="A2477" s="151">
        <v>142680</v>
      </c>
      <c r="B2477" s="151"/>
      <c r="C2477" s="151"/>
      <c r="D2477" s="151"/>
      <c r="E2477" s="151"/>
      <c r="F2477" s="151"/>
      <c r="G2477" s="151"/>
      <c r="H2477" s="151"/>
      <c r="I2477" s="151"/>
      <c r="J2477" s="152">
        <v>42615.719988425917</v>
      </c>
      <c r="K2477" s="151"/>
      <c r="L2477" s="151" t="s">
        <v>59</v>
      </c>
      <c r="M2477" s="152">
        <v>42614.467777777783</v>
      </c>
      <c r="N2477" s="151" t="s">
        <v>3824</v>
      </c>
      <c r="O2477" s="151"/>
      <c r="P2477" s="151"/>
      <c r="Q2477" s="7" t="str">
        <f>IF(ISBLANK(patch[[#This Row],[OwnerEmail]]),Q2476,patch[[#This Row],[OwnerEmail]])</f>
        <v>xi.cao@intel.com</v>
      </c>
      <c r="R2477" s="7" t="str">
        <f>_xlfn.IFNA(VLOOKUP(patch[[#This Row],[tmp-owner.email]],OrgTree!$A:$K, 11, 0), "not ICG SWFW")</f>
        <v>BJ And dev</v>
      </c>
      <c r="S2477" s="7" t="str">
        <f>IF(patch[[#This Row],[reviewer]]=patch[[#This Row],[tmp-owner.email]], "author", _xlfn.IFNA(VLOOKUP(patch[[#This Row],[reviewer]],OrgTree!$A:$K, 11, 0), "not ICG SWFW"))</f>
        <v>BJ And dev</v>
      </c>
      <c r="T2477" s="7" t="str">
        <f>IF(ISBLANK(patch[[#This Row],[mergeDate]]), "", MID(YEAR(patch[[#This Row],[mergeDate]]), 3,2)&amp;"'ww"&amp;WEEKNUM(patch[[#This Row],[mergeDate]]))</f>
        <v>16'ww36</v>
      </c>
      <c r="U2477" s="7" t="str">
        <f>IF(ISBLANK(patch[[#This Row],[mergeDate]]), U2476, MID(YEAR(patch[[#This Row],[mergeDate]]), 3,2)&amp;"'m"&amp;MONTH(patch[[#This Row],[mergeDate]]))</f>
        <v>16'm9</v>
      </c>
      <c r="V2477" s="7" t="str">
        <f>IF(ISBLANK(patch[[#This Row],[project]]), "",SUM(patch[[#This Row],[BJ -1 num]:[SH -1 num]]))</f>
        <v/>
      </c>
      <c r="W2477" s="7" t="str">
        <f>IF(ISBLANK(patch[[#This Row],[project]]), "",COUNTIFS($A:$A,patch[[#This Row],[number]],$S:$S, "BJ And dev",$AC:$AC, "Review-1"))</f>
        <v/>
      </c>
      <c r="X2477" s="7" t="str">
        <f>IF(ISBLANK(patch[[#This Row],[project]]), "",COUNTIFS($A:$A,patch[[#This Row],[number]],$S:$S, "FL And dev",$AC:$AC, "Review-1"))</f>
        <v/>
      </c>
      <c r="Y2477" s="7" t="str">
        <f>IF(ISBLANK(patch[[#This Row],[project]]), "",COUNTIFS($A:$A,patch[[#This Row],[number]],$S:$S, "SH And dev",$AC:$AC, "Review-1"))</f>
        <v/>
      </c>
      <c r="Z2477" s="7" t="str">
        <f>IF(ISBLANK(patch[[#This Row],[project]]), "",COUNTIFS($A:$A,patch[[#This Row],[number]],$S:$S, "BJ And dev",$AD:$AD, "&lt;&gt;IntegratorValidationComment"))</f>
        <v/>
      </c>
      <c r="AA2477" s="7" t="str">
        <f>IF(ISBLANK(patch[[#This Row],[project]]), "",COUNTIFS($A:$A,patch[[#This Row],[number]],$S:$S, "FL And dev",$AD:$AD, "&lt;&gt;IntegratorValidationComment"))</f>
        <v/>
      </c>
      <c r="AB2477" s="7" t="str">
        <f>IF(ISBLANK(patch[[#This Row],[project]]), "",COUNTIFS($A:$A,patch[[#This Row],[number]],$S:$S, "SH And dev",$AD:$AD, "&lt;&gt;IntegratorValidationComment"))</f>
        <v/>
      </c>
      <c r="AC2477" s="7" t="str">
        <f>IF(OR(ISNUMBER(FIND("Review-1", patch[[#This Row],[comments]])), ISNUMBER(FIND("Approver-1", patch[[#This Row],[comments]]))), "Review-1", "")</f>
        <v/>
      </c>
      <c r="AD24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77" s="7">
        <f>IF(ISBLANK(patch[[#This Row],[number]]),AE2476,patch[[#This Row],[ifCommon]])</f>
        <v>0</v>
      </c>
    </row>
    <row r="2478" spans="1:31">
      <c r="A2478" s="151">
        <v>142680</v>
      </c>
      <c r="B2478" s="151"/>
      <c r="C2478" s="151"/>
      <c r="D2478" s="151"/>
      <c r="E2478" s="151"/>
      <c r="F2478" s="151"/>
      <c r="G2478" s="151"/>
      <c r="H2478" s="151"/>
      <c r="I2478" s="151"/>
      <c r="J2478" s="152">
        <v>42615.719988425917</v>
      </c>
      <c r="K2478" s="151"/>
      <c r="L2478" s="151" t="s">
        <v>59</v>
      </c>
      <c r="M2478" s="152">
        <v>42614.4690625</v>
      </c>
      <c r="N2478" s="151" t="s">
        <v>3825</v>
      </c>
      <c r="O2478" s="151"/>
      <c r="P2478" s="151"/>
      <c r="Q2478" s="7" t="str">
        <f>IF(ISBLANK(patch[[#This Row],[OwnerEmail]]),Q2477,patch[[#This Row],[OwnerEmail]])</f>
        <v>xi.cao@intel.com</v>
      </c>
      <c r="R2478" s="7" t="str">
        <f>_xlfn.IFNA(VLOOKUP(patch[[#This Row],[tmp-owner.email]],OrgTree!$A:$K, 11, 0), "not ICG SWFW")</f>
        <v>BJ And dev</v>
      </c>
      <c r="S2478" s="7" t="str">
        <f>IF(patch[[#This Row],[reviewer]]=patch[[#This Row],[tmp-owner.email]], "author", _xlfn.IFNA(VLOOKUP(patch[[#This Row],[reviewer]],OrgTree!$A:$K, 11, 0), "not ICG SWFW"))</f>
        <v>BJ And dev</v>
      </c>
      <c r="T2478" s="7" t="str">
        <f>IF(ISBLANK(patch[[#This Row],[mergeDate]]), "", MID(YEAR(patch[[#This Row],[mergeDate]]), 3,2)&amp;"'ww"&amp;WEEKNUM(patch[[#This Row],[mergeDate]]))</f>
        <v>16'ww36</v>
      </c>
      <c r="U2478" s="7" t="str">
        <f>IF(ISBLANK(patch[[#This Row],[mergeDate]]), U2477, MID(YEAR(patch[[#This Row],[mergeDate]]), 3,2)&amp;"'m"&amp;MONTH(patch[[#This Row],[mergeDate]]))</f>
        <v>16'm9</v>
      </c>
      <c r="V2478" s="7" t="str">
        <f>IF(ISBLANK(patch[[#This Row],[project]]), "",SUM(patch[[#This Row],[BJ -1 num]:[SH -1 num]]))</f>
        <v/>
      </c>
      <c r="W2478" s="7" t="str">
        <f>IF(ISBLANK(patch[[#This Row],[project]]), "",COUNTIFS($A:$A,patch[[#This Row],[number]],$S:$S, "BJ And dev",$AC:$AC, "Review-1"))</f>
        <v/>
      </c>
      <c r="X2478" s="7" t="str">
        <f>IF(ISBLANK(patch[[#This Row],[project]]), "",COUNTIFS($A:$A,patch[[#This Row],[number]],$S:$S, "FL And dev",$AC:$AC, "Review-1"))</f>
        <v/>
      </c>
      <c r="Y2478" s="7" t="str">
        <f>IF(ISBLANK(patch[[#This Row],[project]]), "",COUNTIFS($A:$A,patch[[#This Row],[number]],$S:$S, "SH And dev",$AC:$AC, "Review-1"))</f>
        <v/>
      </c>
      <c r="Z2478" s="7" t="str">
        <f>IF(ISBLANK(patch[[#This Row],[project]]), "",COUNTIFS($A:$A,patch[[#This Row],[number]],$S:$S, "BJ And dev",$AD:$AD, "&lt;&gt;IntegratorValidationComment"))</f>
        <v/>
      </c>
      <c r="AA2478" s="7" t="str">
        <f>IF(ISBLANK(patch[[#This Row],[project]]), "",COUNTIFS($A:$A,patch[[#This Row],[number]],$S:$S, "FL And dev",$AD:$AD, "&lt;&gt;IntegratorValidationComment"))</f>
        <v/>
      </c>
      <c r="AB2478" s="7" t="str">
        <f>IF(ISBLANK(patch[[#This Row],[project]]), "",COUNTIFS($A:$A,patch[[#This Row],[number]],$S:$S, "SH And dev",$AD:$AD, "&lt;&gt;IntegratorValidationComment"))</f>
        <v/>
      </c>
      <c r="AC2478" s="7" t="str">
        <f>IF(OR(ISNUMBER(FIND("Review-1", patch[[#This Row],[comments]])), ISNUMBER(FIND("Approver-1", patch[[#This Row],[comments]]))), "Review-1", "")</f>
        <v/>
      </c>
      <c r="AD24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78" s="7">
        <f>IF(ISBLANK(patch[[#This Row],[number]]),AE2477,patch[[#This Row],[ifCommon]])</f>
        <v>0</v>
      </c>
    </row>
    <row r="2479" spans="1:31">
      <c r="A2479" s="151">
        <v>142680</v>
      </c>
      <c r="B2479" s="151"/>
      <c r="C2479" s="151"/>
      <c r="D2479" s="151"/>
      <c r="E2479" s="151"/>
      <c r="F2479" s="151"/>
      <c r="G2479" s="151"/>
      <c r="H2479" s="151"/>
      <c r="I2479" s="151"/>
      <c r="J2479" s="152">
        <v>42615.719988425917</v>
      </c>
      <c r="K2479" s="151"/>
      <c r="L2479" s="151" t="s">
        <v>59</v>
      </c>
      <c r="M2479" s="152">
        <v>42614.472719907397</v>
      </c>
      <c r="N2479" s="151" t="s">
        <v>3826</v>
      </c>
      <c r="O2479" s="151"/>
      <c r="P2479" s="151"/>
      <c r="Q2479" s="7" t="str">
        <f>IF(ISBLANK(patch[[#This Row],[OwnerEmail]]),Q2478,patch[[#This Row],[OwnerEmail]])</f>
        <v>xi.cao@intel.com</v>
      </c>
      <c r="R2479" s="7" t="str">
        <f>_xlfn.IFNA(VLOOKUP(patch[[#This Row],[tmp-owner.email]],OrgTree!$A:$K, 11, 0), "not ICG SWFW")</f>
        <v>BJ And dev</v>
      </c>
      <c r="S2479" s="7" t="str">
        <f>IF(patch[[#This Row],[reviewer]]=patch[[#This Row],[tmp-owner.email]], "author", _xlfn.IFNA(VLOOKUP(patch[[#This Row],[reviewer]],OrgTree!$A:$K, 11, 0), "not ICG SWFW"))</f>
        <v>BJ And dev</v>
      </c>
      <c r="T2479" s="7" t="str">
        <f>IF(ISBLANK(patch[[#This Row],[mergeDate]]), "", MID(YEAR(patch[[#This Row],[mergeDate]]), 3,2)&amp;"'ww"&amp;WEEKNUM(patch[[#This Row],[mergeDate]]))</f>
        <v>16'ww36</v>
      </c>
      <c r="U2479" s="7" t="str">
        <f>IF(ISBLANK(patch[[#This Row],[mergeDate]]), U2478, MID(YEAR(patch[[#This Row],[mergeDate]]), 3,2)&amp;"'m"&amp;MONTH(patch[[#This Row],[mergeDate]]))</f>
        <v>16'm9</v>
      </c>
      <c r="V2479" s="7" t="str">
        <f>IF(ISBLANK(patch[[#This Row],[project]]), "",SUM(patch[[#This Row],[BJ -1 num]:[SH -1 num]]))</f>
        <v/>
      </c>
      <c r="W2479" s="7" t="str">
        <f>IF(ISBLANK(patch[[#This Row],[project]]), "",COUNTIFS($A:$A,patch[[#This Row],[number]],$S:$S, "BJ And dev",$AC:$AC, "Review-1"))</f>
        <v/>
      </c>
      <c r="X2479" s="7" t="str">
        <f>IF(ISBLANK(patch[[#This Row],[project]]), "",COUNTIFS($A:$A,patch[[#This Row],[number]],$S:$S, "FL And dev",$AC:$AC, "Review-1"))</f>
        <v/>
      </c>
      <c r="Y2479" s="7" t="str">
        <f>IF(ISBLANK(patch[[#This Row],[project]]), "",COUNTIFS($A:$A,patch[[#This Row],[number]],$S:$S, "SH And dev",$AC:$AC, "Review-1"))</f>
        <v/>
      </c>
      <c r="Z2479" s="7" t="str">
        <f>IF(ISBLANK(patch[[#This Row],[project]]), "",COUNTIFS($A:$A,patch[[#This Row],[number]],$S:$S, "BJ And dev",$AD:$AD, "&lt;&gt;IntegratorValidationComment"))</f>
        <v/>
      </c>
      <c r="AA2479" s="7" t="str">
        <f>IF(ISBLANK(patch[[#This Row],[project]]), "",COUNTIFS($A:$A,patch[[#This Row],[number]],$S:$S, "FL And dev",$AD:$AD, "&lt;&gt;IntegratorValidationComment"))</f>
        <v/>
      </c>
      <c r="AB2479" s="7" t="str">
        <f>IF(ISBLANK(patch[[#This Row],[project]]), "",COUNTIFS($A:$A,patch[[#This Row],[number]],$S:$S, "SH And dev",$AD:$AD, "&lt;&gt;IntegratorValidationComment"))</f>
        <v/>
      </c>
      <c r="AC2479" s="7" t="str">
        <f>IF(OR(ISNUMBER(FIND("Review-1", patch[[#This Row],[comments]])), ISNUMBER(FIND("Approver-1", patch[[#This Row],[comments]]))), "Review-1", "")</f>
        <v/>
      </c>
      <c r="AD24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79" s="7">
        <f>IF(ISBLANK(patch[[#This Row],[number]]),AE2478,patch[[#This Row],[ifCommon]])</f>
        <v>0</v>
      </c>
    </row>
    <row r="2480" spans="1:31">
      <c r="A2480" s="151">
        <v>142680</v>
      </c>
      <c r="B2480" s="151"/>
      <c r="C2480" s="151"/>
      <c r="D2480" s="151"/>
      <c r="E2480" s="151"/>
      <c r="F2480" s="151"/>
      <c r="G2480" s="151"/>
      <c r="H2480" s="151"/>
      <c r="I2480" s="151"/>
      <c r="J2480" s="152">
        <v>42615.719988425917</v>
      </c>
      <c r="K2480" s="151"/>
      <c r="L2480" s="151" t="s">
        <v>1203</v>
      </c>
      <c r="M2480" s="152">
        <v>42614.473692129628</v>
      </c>
      <c r="N2480" s="151" t="s">
        <v>1842</v>
      </c>
      <c r="O2480" s="151"/>
      <c r="P2480" s="151"/>
      <c r="Q2480" s="7" t="str">
        <f>IF(ISBLANK(patch[[#This Row],[OwnerEmail]]),Q2479,patch[[#This Row],[OwnerEmail]])</f>
        <v>xi.cao@intel.com</v>
      </c>
      <c r="R2480" s="7" t="str">
        <f>_xlfn.IFNA(VLOOKUP(patch[[#This Row],[tmp-owner.email]],OrgTree!$A:$K, 11, 0), "not ICG SWFW")</f>
        <v>BJ And dev</v>
      </c>
      <c r="S2480" s="7" t="str">
        <f>IF(patch[[#This Row],[reviewer]]=patch[[#This Row],[tmp-owner.email]], "author", _xlfn.IFNA(VLOOKUP(patch[[#This Row],[reviewer]],OrgTree!$A:$K, 11, 0), "not ICG SWFW"))</f>
        <v>author</v>
      </c>
      <c r="T2480" s="7" t="str">
        <f>IF(ISBLANK(patch[[#This Row],[mergeDate]]), "", MID(YEAR(patch[[#This Row],[mergeDate]]), 3,2)&amp;"'ww"&amp;WEEKNUM(patch[[#This Row],[mergeDate]]))</f>
        <v>16'ww36</v>
      </c>
      <c r="U2480" s="7" t="str">
        <f>IF(ISBLANK(patch[[#This Row],[mergeDate]]), U2479, MID(YEAR(patch[[#This Row],[mergeDate]]), 3,2)&amp;"'m"&amp;MONTH(patch[[#This Row],[mergeDate]]))</f>
        <v>16'm9</v>
      </c>
      <c r="V2480" s="7" t="str">
        <f>IF(ISBLANK(patch[[#This Row],[project]]), "",SUM(patch[[#This Row],[BJ -1 num]:[SH -1 num]]))</f>
        <v/>
      </c>
      <c r="W2480" s="7" t="str">
        <f>IF(ISBLANK(patch[[#This Row],[project]]), "",COUNTIFS($A:$A,patch[[#This Row],[number]],$S:$S, "BJ And dev",$AC:$AC, "Review-1"))</f>
        <v/>
      </c>
      <c r="X2480" s="7" t="str">
        <f>IF(ISBLANK(patch[[#This Row],[project]]), "",COUNTIFS($A:$A,patch[[#This Row],[number]],$S:$S, "FL And dev",$AC:$AC, "Review-1"))</f>
        <v/>
      </c>
      <c r="Y2480" s="7" t="str">
        <f>IF(ISBLANK(patch[[#This Row],[project]]), "",COUNTIFS($A:$A,patch[[#This Row],[number]],$S:$S, "SH And dev",$AC:$AC, "Review-1"))</f>
        <v/>
      </c>
      <c r="Z2480" s="7" t="str">
        <f>IF(ISBLANK(patch[[#This Row],[project]]), "",COUNTIFS($A:$A,patch[[#This Row],[number]],$S:$S, "BJ And dev",$AD:$AD, "&lt;&gt;IntegratorValidationComment"))</f>
        <v/>
      </c>
      <c r="AA2480" s="7" t="str">
        <f>IF(ISBLANK(patch[[#This Row],[project]]), "",COUNTIFS($A:$A,patch[[#This Row],[number]],$S:$S, "FL And dev",$AD:$AD, "&lt;&gt;IntegratorValidationComment"))</f>
        <v/>
      </c>
      <c r="AB2480" s="7" t="str">
        <f>IF(ISBLANK(patch[[#This Row],[project]]), "",COUNTIFS($A:$A,patch[[#This Row],[number]],$S:$S, "SH And dev",$AD:$AD, "&lt;&gt;IntegratorValidationComment"))</f>
        <v/>
      </c>
      <c r="AC2480" s="7" t="str">
        <f>IF(OR(ISNUMBER(FIND("Review-1", patch[[#This Row],[comments]])), ISNUMBER(FIND("Approver-1", patch[[#This Row],[comments]]))), "Review-1", "")</f>
        <v/>
      </c>
      <c r="AD24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80" s="7">
        <f>IF(ISBLANK(patch[[#This Row],[number]]),AE2479,patch[[#This Row],[ifCommon]])</f>
        <v>0</v>
      </c>
    </row>
    <row r="2481" spans="1:31">
      <c r="A2481" s="151">
        <v>142680</v>
      </c>
      <c r="B2481" s="151"/>
      <c r="C2481" s="151"/>
      <c r="D2481" s="151"/>
      <c r="E2481" s="151"/>
      <c r="F2481" s="151"/>
      <c r="G2481" s="151"/>
      <c r="H2481" s="151"/>
      <c r="I2481" s="151"/>
      <c r="J2481" s="152">
        <v>42615.719988425917</v>
      </c>
      <c r="K2481" s="151"/>
      <c r="L2481" s="151" t="s">
        <v>1203</v>
      </c>
      <c r="M2481" s="152">
        <v>42614.473692129628</v>
      </c>
      <c r="N2481" s="151" t="s">
        <v>2465</v>
      </c>
      <c r="O2481" s="151"/>
      <c r="P2481" s="151"/>
      <c r="Q2481" s="7" t="str">
        <f>IF(ISBLANK(patch[[#This Row],[OwnerEmail]]),Q2480,patch[[#This Row],[OwnerEmail]])</f>
        <v>xi.cao@intel.com</v>
      </c>
      <c r="R2481" s="7" t="str">
        <f>_xlfn.IFNA(VLOOKUP(patch[[#This Row],[tmp-owner.email]],OrgTree!$A:$K, 11, 0), "not ICG SWFW")</f>
        <v>BJ And dev</v>
      </c>
      <c r="S2481" s="7" t="str">
        <f>IF(patch[[#This Row],[reviewer]]=patch[[#This Row],[tmp-owner.email]], "author", _xlfn.IFNA(VLOOKUP(patch[[#This Row],[reviewer]],OrgTree!$A:$K, 11, 0), "not ICG SWFW"))</f>
        <v>author</v>
      </c>
      <c r="T2481" s="7" t="str">
        <f>IF(ISBLANK(patch[[#This Row],[mergeDate]]), "", MID(YEAR(patch[[#This Row],[mergeDate]]), 3,2)&amp;"'ww"&amp;WEEKNUM(patch[[#This Row],[mergeDate]]))</f>
        <v>16'ww36</v>
      </c>
      <c r="U2481" s="7" t="str">
        <f>IF(ISBLANK(patch[[#This Row],[mergeDate]]), U2480, MID(YEAR(patch[[#This Row],[mergeDate]]), 3,2)&amp;"'m"&amp;MONTH(patch[[#This Row],[mergeDate]]))</f>
        <v>16'm9</v>
      </c>
      <c r="V2481" s="7" t="str">
        <f>IF(ISBLANK(patch[[#This Row],[project]]), "",SUM(patch[[#This Row],[BJ -1 num]:[SH -1 num]]))</f>
        <v/>
      </c>
      <c r="W2481" s="7" t="str">
        <f>IF(ISBLANK(patch[[#This Row],[project]]), "",COUNTIFS($A:$A,patch[[#This Row],[number]],$S:$S, "BJ And dev",$AC:$AC, "Review-1"))</f>
        <v/>
      </c>
      <c r="X2481" s="7" t="str">
        <f>IF(ISBLANK(patch[[#This Row],[project]]), "",COUNTIFS($A:$A,patch[[#This Row],[number]],$S:$S, "FL And dev",$AC:$AC, "Review-1"))</f>
        <v/>
      </c>
      <c r="Y2481" s="7" t="str">
        <f>IF(ISBLANK(patch[[#This Row],[project]]), "",COUNTIFS($A:$A,patch[[#This Row],[number]],$S:$S, "SH And dev",$AC:$AC, "Review-1"))</f>
        <v/>
      </c>
      <c r="Z2481" s="7" t="str">
        <f>IF(ISBLANK(patch[[#This Row],[project]]), "",COUNTIFS($A:$A,patch[[#This Row],[number]],$S:$S, "BJ And dev",$AD:$AD, "&lt;&gt;IntegratorValidationComment"))</f>
        <v/>
      </c>
      <c r="AA2481" s="7" t="str">
        <f>IF(ISBLANK(patch[[#This Row],[project]]), "",COUNTIFS($A:$A,patch[[#This Row],[number]],$S:$S, "FL And dev",$AD:$AD, "&lt;&gt;IntegratorValidationComment"))</f>
        <v/>
      </c>
      <c r="AB2481" s="7" t="str">
        <f>IF(ISBLANK(patch[[#This Row],[project]]), "",COUNTIFS($A:$A,patch[[#This Row],[number]],$S:$S, "SH And dev",$AD:$AD, "&lt;&gt;IntegratorValidationComment"))</f>
        <v/>
      </c>
      <c r="AC2481" s="7" t="str">
        <f>IF(OR(ISNUMBER(FIND("Review-1", patch[[#This Row],[comments]])), ISNUMBER(FIND("Approver-1", patch[[#This Row],[comments]]))), "Review-1", "")</f>
        <v/>
      </c>
      <c r="AD24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81" s="7">
        <f>IF(ISBLANK(patch[[#This Row],[number]]),AE2480,patch[[#This Row],[ifCommon]])</f>
        <v>0</v>
      </c>
    </row>
    <row r="2482" spans="1:31">
      <c r="A2482" s="151">
        <v>142680</v>
      </c>
      <c r="B2482" s="151"/>
      <c r="C2482" s="151"/>
      <c r="D2482" s="151"/>
      <c r="E2482" s="151"/>
      <c r="F2482" s="151"/>
      <c r="G2482" s="151"/>
      <c r="H2482" s="151"/>
      <c r="I2482" s="151"/>
      <c r="J2482" s="152">
        <v>42615.719988425917</v>
      </c>
      <c r="K2482" s="151"/>
      <c r="L2482" s="151" t="s">
        <v>59</v>
      </c>
      <c r="M2482" s="152">
        <v>42614.474328703713</v>
      </c>
      <c r="N2482" s="151" t="s">
        <v>3827</v>
      </c>
      <c r="O2482" s="151"/>
      <c r="P2482" s="151"/>
      <c r="Q2482" s="7" t="str">
        <f>IF(ISBLANK(patch[[#This Row],[OwnerEmail]]),Q2481,patch[[#This Row],[OwnerEmail]])</f>
        <v>xi.cao@intel.com</v>
      </c>
      <c r="R2482" s="7" t="str">
        <f>_xlfn.IFNA(VLOOKUP(patch[[#This Row],[tmp-owner.email]],OrgTree!$A:$K, 11, 0), "not ICG SWFW")</f>
        <v>BJ And dev</v>
      </c>
      <c r="S2482" s="7" t="str">
        <f>IF(patch[[#This Row],[reviewer]]=patch[[#This Row],[tmp-owner.email]], "author", _xlfn.IFNA(VLOOKUP(patch[[#This Row],[reviewer]],OrgTree!$A:$K, 11, 0), "not ICG SWFW"))</f>
        <v>BJ And dev</v>
      </c>
      <c r="T2482" s="7" t="str">
        <f>IF(ISBLANK(patch[[#This Row],[mergeDate]]), "", MID(YEAR(patch[[#This Row],[mergeDate]]), 3,2)&amp;"'ww"&amp;WEEKNUM(patch[[#This Row],[mergeDate]]))</f>
        <v>16'ww36</v>
      </c>
      <c r="U2482" s="7" t="str">
        <f>IF(ISBLANK(patch[[#This Row],[mergeDate]]), U2481, MID(YEAR(patch[[#This Row],[mergeDate]]), 3,2)&amp;"'m"&amp;MONTH(patch[[#This Row],[mergeDate]]))</f>
        <v>16'm9</v>
      </c>
      <c r="V2482" s="7" t="str">
        <f>IF(ISBLANK(patch[[#This Row],[project]]), "",SUM(patch[[#This Row],[BJ -1 num]:[SH -1 num]]))</f>
        <v/>
      </c>
      <c r="W2482" s="7" t="str">
        <f>IF(ISBLANK(patch[[#This Row],[project]]), "",COUNTIFS($A:$A,patch[[#This Row],[number]],$S:$S, "BJ And dev",$AC:$AC, "Review-1"))</f>
        <v/>
      </c>
      <c r="X2482" s="7" t="str">
        <f>IF(ISBLANK(patch[[#This Row],[project]]), "",COUNTIFS($A:$A,patch[[#This Row],[number]],$S:$S, "FL And dev",$AC:$AC, "Review-1"))</f>
        <v/>
      </c>
      <c r="Y2482" s="7" t="str">
        <f>IF(ISBLANK(patch[[#This Row],[project]]), "",COUNTIFS($A:$A,patch[[#This Row],[number]],$S:$S, "SH And dev",$AC:$AC, "Review-1"))</f>
        <v/>
      </c>
      <c r="Z2482" s="7" t="str">
        <f>IF(ISBLANK(patch[[#This Row],[project]]), "",COUNTIFS($A:$A,patch[[#This Row],[number]],$S:$S, "BJ And dev",$AD:$AD, "&lt;&gt;IntegratorValidationComment"))</f>
        <v/>
      </c>
      <c r="AA2482" s="7" t="str">
        <f>IF(ISBLANK(patch[[#This Row],[project]]), "",COUNTIFS($A:$A,patch[[#This Row],[number]],$S:$S, "FL And dev",$AD:$AD, "&lt;&gt;IntegratorValidationComment"))</f>
        <v/>
      </c>
      <c r="AB2482" s="7" t="str">
        <f>IF(ISBLANK(patch[[#This Row],[project]]), "",COUNTIFS($A:$A,patch[[#This Row],[number]],$S:$S, "SH And dev",$AD:$AD, "&lt;&gt;IntegratorValidationComment"))</f>
        <v/>
      </c>
      <c r="AC2482" s="7" t="str">
        <f>IF(OR(ISNUMBER(FIND("Review-1", patch[[#This Row],[comments]])), ISNUMBER(FIND("Approver-1", patch[[#This Row],[comments]]))), "Review-1", "")</f>
        <v/>
      </c>
      <c r="AD24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82" s="7">
        <f>IF(ISBLANK(patch[[#This Row],[number]]),AE2481,patch[[#This Row],[ifCommon]])</f>
        <v>0</v>
      </c>
    </row>
    <row r="2483" spans="1:31">
      <c r="A2483" s="151">
        <v>142680</v>
      </c>
      <c r="B2483" s="151"/>
      <c r="C2483" s="151"/>
      <c r="D2483" s="151"/>
      <c r="E2483" s="151"/>
      <c r="F2483" s="151"/>
      <c r="G2483" s="151"/>
      <c r="H2483" s="151"/>
      <c r="I2483" s="151"/>
      <c r="J2483" s="152">
        <v>42615.719988425917</v>
      </c>
      <c r="K2483" s="151"/>
      <c r="L2483" s="151" t="s">
        <v>1203</v>
      </c>
      <c r="M2483" s="152">
        <v>42614.475335648152</v>
      </c>
      <c r="N2483" s="151" t="s">
        <v>1862</v>
      </c>
      <c r="O2483" s="151"/>
      <c r="P2483" s="151"/>
      <c r="Q2483" s="7" t="str">
        <f>IF(ISBLANK(patch[[#This Row],[OwnerEmail]]),Q2482,patch[[#This Row],[OwnerEmail]])</f>
        <v>xi.cao@intel.com</v>
      </c>
      <c r="R2483" s="7" t="str">
        <f>_xlfn.IFNA(VLOOKUP(patch[[#This Row],[tmp-owner.email]],OrgTree!$A:$K, 11, 0), "not ICG SWFW")</f>
        <v>BJ And dev</v>
      </c>
      <c r="S2483" s="7" t="str">
        <f>IF(patch[[#This Row],[reviewer]]=patch[[#This Row],[tmp-owner.email]], "author", _xlfn.IFNA(VLOOKUP(patch[[#This Row],[reviewer]],OrgTree!$A:$K, 11, 0), "not ICG SWFW"))</f>
        <v>author</v>
      </c>
      <c r="T2483" s="7" t="str">
        <f>IF(ISBLANK(patch[[#This Row],[mergeDate]]), "", MID(YEAR(patch[[#This Row],[mergeDate]]), 3,2)&amp;"'ww"&amp;WEEKNUM(patch[[#This Row],[mergeDate]]))</f>
        <v>16'ww36</v>
      </c>
      <c r="U2483" s="7" t="str">
        <f>IF(ISBLANK(patch[[#This Row],[mergeDate]]), U2482, MID(YEAR(patch[[#This Row],[mergeDate]]), 3,2)&amp;"'m"&amp;MONTH(patch[[#This Row],[mergeDate]]))</f>
        <v>16'm9</v>
      </c>
      <c r="V2483" s="7" t="str">
        <f>IF(ISBLANK(patch[[#This Row],[project]]), "",SUM(patch[[#This Row],[BJ -1 num]:[SH -1 num]]))</f>
        <v/>
      </c>
      <c r="W2483" s="7" t="str">
        <f>IF(ISBLANK(patch[[#This Row],[project]]), "",COUNTIFS($A:$A,patch[[#This Row],[number]],$S:$S, "BJ And dev",$AC:$AC, "Review-1"))</f>
        <v/>
      </c>
      <c r="X2483" s="7" t="str">
        <f>IF(ISBLANK(patch[[#This Row],[project]]), "",COUNTIFS($A:$A,patch[[#This Row],[number]],$S:$S, "FL And dev",$AC:$AC, "Review-1"))</f>
        <v/>
      </c>
      <c r="Y2483" s="7" t="str">
        <f>IF(ISBLANK(patch[[#This Row],[project]]), "",COUNTIFS($A:$A,patch[[#This Row],[number]],$S:$S, "SH And dev",$AC:$AC, "Review-1"))</f>
        <v/>
      </c>
      <c r="Z2483" s="7" t="str">
        <f>IF(ISBLANK(patch[[#This Row],[project]]), "",COUNTIFS($A:$A,patch[[#This Row],[number]],$S:$S, "BJ And dev",$AD:$AD, "&lt;&gt;IntegratorValidationComment"))</f>
        <v/>
      </c>
      <c r="AA2483" s="7" t="str">
        <f>IF(ISBLANK(patch[[#This Row],[project]]), "",COUNTIFS($A:$A,patch[[#This Row],[number]],$S:$S, "FL And dev",$AD:$AD, "&lt;&gt;IntegratorValidationComment"))</f>
        <v/>
      </c>
      <c r="AB2483" s="7" t="str">
        <f>IF(ISBLANK(patch[[#This Row],[project]]), "",COUNTIFS($A:$A,patch[[#This Row],[number]],$S:$S, "SH And dev",$AD:$AD, "&lt;&gt;IntegratorValidationComment"))</f>
        <v/>
      </c>
      <c r="AC2483" s="7" t="str">
        <f>IF(OR(ISNUMBER(FIND("Review-1", patch[[#This Row],[comments]])), ISNUMBER(FIND("Approver-1", patch[[#This Row],[comments]]))), "Review-1", "")</f>
        <v/>
      </c>
      <c r="AD24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83" s="7">
        <f>IF(ISBLANK(patch[[#This Row],[number]]),AE2482,patch[[#This Row],[ifCommon]])</f>
        <v>0</v>
      </c>
    </row>
    <row r="2484" spans="1:31">
      <c r="A2484" s="151">
        <v>142680</v>
      </c>
      <c r="B2484" s="151"/>
      <c r="C2484" s="151"/>
      <c r="D2484" s="151"/>
      <c r="E2484" s="151"/>
      <c r="F2484" s="151"/>
      <c r="G2484" s="151"/>
      <c r="H2484" s="151"/>
      <c r="I2484" s="151"/>
      <c r="J2484" s="152">
        <v>42615.719988425917</v>
      </c>
      <c r="K2484" s="151"/>
      <c r="L2484" s="151" t="s">
        <v>1203</v>
      </c>
      <c r="M2484" s="152">
        <v>42614.475335648152</v>
      </c>
      <c r="N2484" s="151" t="s">
        <v>2466</v>
      </c>
      <c r="O2484" s="151"/>
      <c r="P2484" s="151"/>
      <c r="Q2484" s="7" t="str">
        <f>IF(ISBLANK(patch[[#This Row],[OwnerEmail]]),Q2483,patch[[#This Row],[OwnerEmail]])</f>
        <v>xi.cao@intel.com</v>
      </c>
      <c r="R2484" s="7" t="str">
        <f>_xlfn.IFNA(VLOOKUP(patch[[#This Row],[tmp-owner.email]],OrgTree!$A:$K, 11, 0), "not ICG SWFW")</f>
        <v>BJ And dev</v>
      </c>
      <c r="S2484" s="7" t="str">
        <f>IF(patch[[#This Row],[reviewer]]=patch[[#This Row],[tmp-owner.email]], "author", _xlfn.IFNA(VLOOKUP(patch[[#This Row],[reviewer]],OrgTree!$A:$K, 11, 0), "not ICG SWFW"))</f>
        <v>author</v>
      </c>
      <c r="T2484" s="7" t="str">
        <f>IF(ISBLANK(patch[[#This Row],[mergeDate]]), "", MID(YEAR(patch[[#This Row],[mergeDate]]), 3,2)&amp;"'ww"&amp;WEEKNUM(patch[[#This Row],[mergeDate]]))</f>
        <v>16'ww36</v>
      </c>
      <c r="U2484" s="7" t="str">
        <f>IF(ISBLANK(patch[[#This Row],[mergeDate]]), U2483, MID(YEAR(patch[[#This Row],[mergeDate]]), 3,2)&amp;"'m"&amp;MONTH(patch[[#This Row],[mergeDate]]))</f>
        <v>16'm9</v>
      </c>
      <c r="V2484" s="7" t="str">
        <f>IF(ISBLANK(patch[[#This Row],[project]]), "",SUM(patch[[#This Row],[BJ -1 num]:[SH -1 num]]))</f>
        <v/>
      </c>
      <c r="W2484" s="7" t="str">
        <f>IF(ISBLANK(patch[[#This Row],[project]]), "",COUNTIFS($A:$A,patch[[#This Row],[number]],$S:$S, "BJ And dev",$AC:$AC, "Review-1"))</f>
        <v/>
      </c>
      <c r="X2484" s="7" t="str">
        <f>IF(ISBLANK(patch[[#This Row],[project]]), "",COUNTIFS($A:$A,patch[[#This Row],[number]],$S:$S, "FL And dev",$AC:$AC, "Review-1"))</f>
        <v/>
      </c>
      <c r="Y2484" s="7" t="str">
        <f>IF(ISBLANK(patch[[#This Row],[project]]), "",COUNTIFS($A:$A,patch[[#This Row],[number]],$S:$S, "SH And dev",$AC:$AC, "Review-1"))</f>
        <v/>
      </c>
      <c r="Z2484" s="7" t="str">
        <f>IF(ISBLANK(patch[[#This Row],[project]]), "",COUNTIFS($A:$A,patch[[#This Row],[number]],$S:$S, "BJ And dev",$AD:$AD, "&lt;&gt;IntegratorValidationComment"))</f>
        <v/>
      </c>
      <c r="AA2484" s="7" t="str">
        <f>IF(ISBLANK(patch[[#This Row],[project]]), "",COUNTIFS($A:$A,patch[[#This Row],[number]],$S:$S, "FL And dev",$AD:$AD, "&lt;&gt;IntegratorValidationComment"))</f>
        <v/>
      </c>
      <c r="AB2484" s="7" t="str">
        <f>IF(ISBLANK(patch[[#This Row],[project]]), "",COUNTIFS($A:$A,patch[[#This Row],[number]],$S:$S, "SH And dev",$AD:$AD, "&lt;&gt;IntegratorValidationComment"))</f>
        <v/>
      </c>
      <c r="AC2484" s="7" t="str">
        <f>IF(OR(ISNUMBER(FIND("Review-1", patch[[#This Row],[comments]])), ISNUMBER(FIND("Approver-1", patch[[#This Row],[comments]]))), "Review-1", "")</f>
        <v/>
      </c>
      <c r="AD24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84" s="7">
        <f>IF(ISBLANK(patch[[#This Row],[number]]),AE2483,patch[[#This Row],[ifCommon]])</f>
        <v>0</v>
      </c>
    </row>
    <row r="2485" spans="1:31">
      <c r="A2485" s="151">
        <v>142680</v>
      </c>
      <c r="B2485" s="151"/>
      <c r="C2485" s="151"/>
      <c r="D2485" s="151"/>
      <c r="E2485" s="151"/>
      <c r="F2485" s="151"/>
      <c r="G2485" s="151"/>
      <c r="H2485" s="151"/>
      <c r="I2485" s="151"/>
      <c r="J2485" s="152">
        <v>42615.719988425917</v>
      </c>
      <c r="K2485" s="151"/>
      <c r="L2485" s="151" t="s">
        <v>59</v>
      </c>
      <c r="M2485" s="152">
        <v>42614.476203703707</v>
      </c>
      <c r="N2485" s="151" t="s">
        <v>3828</v>
      </c>
      <c r="O2485" s="151"/>
      <c r="P2485" s="151"/>
      <c r="Q2485" s="7" t="str">
        <f>IF(ISBLANK(patch[[#This Row],[OwnerEmail]]),Q2484,patch[[#This Row],[OwnerEmail]])</f>
        <v>xi.cao@intel.com</v>
      </c>
      <c r="R2485" s="7" t="str">
        <f>_xlfn.IFNA(VLOOKUP(patch[[#This Row],[tmp-owner.email]],OrgTree!$A:$K, 11, 0), "not ICG SWFW")</f>
        <v>BJ And dev</v>
      </c>
      <c r="S2485" s="7" t="str">
        <f>IF(patch[[#This Row],[reviewer]]=patch[[#This Row],[tmp-owner.email]], "author", _xlfn.IFNA(VLOOKUP(patch[[#This Row],[reviewer]],OrgTree!$A:$K, 11, 0), "not ICG SWFW"))</f>
        <v>BJ And dev</v>
      </c>
      <c r="T2485" s="7" t="str">
        <f>IF(ISBLANK(patch[[#This Row],[mergeDate]]), "", MID(YEAR(patch[[#This Row],[mergeDate]]), 3,2)&amp;"'ww"&amp;WEEKNUM(patch[[#This Row],[mergeDate]]))</f>
        <v>16'ww36</v>
      </c>
      <c r="U2485" s="7" t="str">
        <f>IF(ISBLANK(patch[[#This Row],[mergeDate]]), U2484, MID(YEAR(patch[[#This Row],[mergeDate]]), 3,2)&amp;"'m"&amp;MONTH(patch[[#This Row],[mergeDate]]))</f>
        <v>16'm9</v>
      </c>
      <c r="V2485" s="7" t="str">
        <f>IF(ISBLANK(patch[[#This Row],[project]]), "",SUM(patch[[#This Row],[BJ -1 num]:[SH -1 num]]))</f>
        <v/>
      </c>
      <c r="W2485" s="7" t="str">
        <f>IF(ISBLANK(patch[[#This Row],[project]]), "",COUNTIFS($A:$A,patch[[#This Row],[number]],$S:$S, "BJ And dev",$AC:$AC, "Review-1"))</f>
        <v/>
      </c>
      <c r="X2485" s="7" t="str">
        <f>IF(ISBLANK(patch[[#This Row],[project]]), "",COUNTIFS($A:$A,patch[[#This Row],[number]],$S:$S, "FL And dev",$AC:$AC, "Review-1"))</f>
        <v/>
      </c>
      <c r="Y2485" s="7" t="str">
        <f>IF(ISBLANK(patch[[#This Row],[project]]), "",COUNTIFS($A:$A,patch[[#This Row],[number]],$S:$S, "SH And dev",$AC:$AC, "Review-1"))</f>
        <v/>
      </c>
      <c r="Z2485" s="7" t="str">
        <f>IF(ISBLANK(patch[[#This Row],[project]]), "",COUNTIFS($A:$A,patch[[#This Row],[number]],$S:$S, "BJ And dev",$AD:$AD, "&lt;&gt;IntegratorValidationComment"))</f>
        <v/>
      </c>
      <c r="AA2485" s="7" t="str">
        <f>IF(ISBLANK(patch[[#This Row],[project]]), "",COUNTIFS($A:$A,patch[[#This Row],[number]],$S:$S, "FL And dev",$AD:$AD, "&lt;&gt;IntegratorValidationComment"))</f>
        <v/>
      </c>
      <c r="AB2485" s="7" t="str">
        <f>IF(ISBLANK(patch[[#This Row],[project]]), "",COUNTIFS($A:$A,patch[[#This Row],[number]],$S:$S, "SH And dev",$AD:$AD, "&lt;&gt;IntegratorValidationComment"))</f>
        <v/>
      </c>
      <c r="AC2485" s="7" t="str">
        <f>IF(OR(ISNUMBER(FIND("Review-1", patch[[#This Row],[comments]])), ISNUMBER(FIND("Approver-1", patch[[#This Row],[comments]]))), "Review-1", "")</f>
        <v/>
      </c>
      <c r="AD24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85" s="7">
        <f>IF(ISBLANK(patch[[#This Row],[number]]),AE2484,patch[[#This Row],[ifCommon]])</f>
        <v>0</v>
      </c>
    </row>
    <row r="2486" spans="1:31">
      <c r="A2486" s="151">
        <v>142680</v>
      </c>
      <c r="B2486" s="151"/>
      <c r="C2486" s="151"/>
      <c r="D2486" s="151"/>
      <c r="E2486" s="151"/>
      <c r="F2486" s="151"/>
      <c r="G2486" s="151"/>
      <c r="H2486" s="151"/>
      <c r="I2486" s="151"/>
      <c r="J2486" s="152">
        <v>42615.719988425917</v>
      </c>
      <c r="K2486" s="151"/>
      <c r="L2486" s="151" t="s">
        <v>59</v>
      </c>
      <c r="M2486" s="152">
        <v>42614.476319444453</v>
      </c>
      <c r="N2486" s="151" t="s">
        <v>3829</v>
      </c>
      <c r="O2486" s="151"/>
      <c r="P2486" s="151"/>
      <c r="Q2486" s="7" t="str">
        <f>IF(ISBLANK(patch[[#This Row],[OwnerEmail]]),Q2485,patch[[#This Row],[OwnerEmail]])</f>
        <v>xi.cao@intel.com</v>
      </c>
      <c r="R2486" s="7" t="str">
        <f>_xlfn.IFNA(VLOOKUP(patch[[#This Row],[tmp-owner.email]],OrgTree!$A:$K, 11, 0), "not ICG SWFW")</f>
        <v>BJ And dev</v>
      </c>
      <c r="S2486" s="7" t="str">
        <f>IF(patch[[#This Row],[reviewer]]=patch[[#This Row],[tmp-owner.email]], "author", _xlfn.IFNA(VLOOKUP(patch[[#This Row],[reviewer]],OrgTree!$A:$K, 11, 0), "not ICG SWFW"))</f>
        <v>BJ And dev</v>
      </c>
      <c r="T2486" s="7" t="str">
        <f>IF(ISBLANK(patch[[#This Row],[mergeDate]]), "", MID(YEAR(patch[[#This Row],[mergeDate]]), 3,2)&amp;"'ww"&amp;WEEKNUM(patch[[#This Row],[mergeDate]]))</f>
        <v>16'ww36</v>
      </c>
      <c r="U2486" s="7" t="str">
        <f>IF(ISBLANK(patch[[#This Row],[mergeDate]]), U2485, MID(YEAR(patch[[#This Row],[mergeDate]]), 3,2)&amp;"'m"&amp;MONTH(patch[[#This Row],[mergeDate]]))</f>
        <v>16'm9</v>
      </c>
      <c r="V2486" s="7" t="str">
        <f>IF(ISBLANK(patch[[#This Row],[project]]), "",SUM(patch[[#This Row],[BJ -1 num]:[SH -1 num]]))</f>
        <v/>
      </c>
      <c r="W2486" s="7" t="str">
        <f>IF(ISBLANK(patch[[#This Row],[project]]), "",COUNTIFS($A:$A,patch[[#This Row],[number]],$S:$S, "BJ And dev",$AC:$AC, "Review-1"))</f>
        <v/>
      </c>
      <c r="X2486" s="7" t="str">
        <f>IF(ISBLANK(patch[[#This Row],[project]]), "",COUNTIFS($A:$A,patch[[#This Row],[number]],$S:$S, "FL And dev",$AC:$AC, "Review-1"))</f>
        <v/>
      </c>
      <c r="Y2486" s="7" t="str">
        <f>IF(ISBLANK(patch[[#This Row],[project]]), "",COUNTIFS($A:$A,patch[[#This Row],[number]],$S:$S, "SH And dev",$AC:$AC, "Review-1"))</f>
        <v/>
      </c>
      <c r="Z2486" s="7" t="str">
        <f>IF(ISBLANK(patch[[#This Row],[project]]), "",COUNTIFS($A:$A,patch[[#This Row],[number]],$S:$S, "BJ And dev",$AD:$AD, "&lt;&gt;IntegratorValidationComment"))</f>
        <v/>
      </c>
      <c r="AA2486" s="7" t="str">
        <f>IF(ISBLANK(patch[[#This Row],[project]]), "",COUNTIFS($A:$A,patch[[#This Row],[number]],$S:$S, "FL And dev",$AD:$AD, "&lt;&gt;IntegratorValidationComment"))</f>
        <v/>
      </c>
      <c r="AB2486" s="7" t="str">
        <f>IF(ISBLANK(patch[[#This Row],[project]]), "",COUNTIFS($A:$A,patch[[#This Row],[number]],$S:$S, "SH And dev",$AD:$AD, "&lt;&gt;IntegratorValidationComment"))</f>
        <v/>
      </c>
      <c r="AC2486" s="7" t="str">
        <f>IF(OR(ISNUMBER(FIND("Review-1", patch[[#This Row],[comments]])), ISNUMBER(FIND("Approver-1", patch[[#This Row],[comments]]))), "Review-1", "")</f>
        <v/>
      </c>
      <c r="AD24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86" s="7">
        <f>IF(ISBLANK(patch[[#This Row],[number]]),AE2485,patch[[#This Row],[ifCommon]])</f>
        <v>0</v>
      </c>
    </row>
    <row r="2487" spans="1:31">
      <c r="A2487" s="151">
        <v>142680</v>
      </c>
      <c r="B2487" s="151"/>
      <c r="C2487" s="151"/>
      <c r="D2487" s="151"/>
      <c r="E2487" s="151"/>
      <c r="F2487" s="151"/>
      <c r="G2487" s="151"/>
      <c r="H2487" s="151"/>
      <c r="I2487" s="151"/>
      <c r="J2487" s="152">
        <v>42615.719988425917</v>
      </c>
      <c r="K2487" s="151"/>
      <c r="L2487" s="151" t="s">
        <v>59</v>
      </c>
      <c r="M2487" s="152">
        <v>42614.480231481481</v>
      </c>
      <c r="N2487" s="151" t="s">
        <v>3830</v>
      </c>
      <c r="O2487" s="151"/>
      <c r="P2487" s="151"/>
      <c r="Q2487" s="7" t="str">
        <f>IF(ISBLANK(patch[[#This Row],[OwnerEmail]]),Q2486,patch[[#This Row],[OwnerEmail]])</f>
        <v>xi.cao@intel.com</v>
      </c>
      <c r="R2487" s="7" t="str">
        <f>_xlfn.IFNA(VLOOKUP(patch[[#This Row],[tmp-owner.email]],OrgTree!$A:$K, 11, 0), "not ICG SWFW")</f>
        <v>BJ And dev</v>
      </c>
      <c r="S2487" s="7" t="str">
        <f>IF(patch[[#This Row],[reviewer]]=patch[[#This Row],[tmp-owner.email]], "author", _xlfn.IFNA(VLOOKUP(patch[[#This Row],[reviewer]],OrgTree!$A:$K, 11, 0), "not ICG SWFW"))</f>
        <v>BJ And dev</v>
      </c>
      <c r="T2487" s="7" t="str">
        <f>IF(ISBLANK(patch[[#This Row],[mergeDate]]), "", MID(YEAR(patch[[#This Row],[mergeDate]]), 3,2)&amp;"'ww"&amp;WEEKNUM(patch[[#This Row],[mergeDate]]))</f>
        <v>16'ww36</v>
      </c>
      <c r="U2487" s="7" t="str">
        <f>IF(ISBLANK(patch[[#This Row],[mergeDate]]), U2486, MID(YEAR(patch[[#This Row],[mergeDate]]), 3,2)&amp;"'m"&amp;MONTH(patch[[#This Row],[mergeDate]]))</f>
        <v>16'm9</v>
      </c>
      <c r="V2487" s="7" t="str">
        <f>IF(ISBLANK(patch[[#This Row],[project]]), "",SUM(patch[[#This Row],[BJ -1 num]:[SH -1 num]]))</f>
        <v/>
      </c>
      <c r="W2487" s="7" t="str">
        <f>IF(ISBLANK(patch[[#This Row],[project]]), "",COUNTIFS($A:$A,patch[[#This Row],[number]],$S:$S, "BJ And dev",$AC:$AC, "Review-1"))</f>
        <v/>
      </c>
      <c r="X2487" s="7" t="str">
        <f>IF(ISBLANK(patch[[#This Row],[project]]), "",COUNTIFS($A:$A,patch[[#This Row],[number]],$S:$S, "FL And dev",$AC:$AC, "Review-1"))</f>
        <v/>
      </c>
      <c r="Y2487" s="7" t="str">
        <f>IF(ISBLANK(patch[[#This Row],[project]]), "",COUNTIFS($A:$A,patch[[#This Row],[number]],$S:$S, "SH And dev",$AC:$AC, "Review-1"))</f>
        <v/>
      </c>
      <c r="Z2487" s="7" t="str">
        <f>IF(ISBLANK(patch[[#This Row],[project]]), "",COUNTIFS($A:$A,patch[[#This Row],[number]],$S:$S, "BJ And dev",$AD:$AD, "&lt;&gt;IntegratorValidationComment"))</f>
        <v/>
      </c>
      <c r="AA2487" s="7" t="str">
        <f>IF(ISBLANK(patch[[#This Row],[project]]), "",COUNTIFS($A:$A,patch[[#This Row],[number]],$S:$S, "FL And dev",$AD:$AD, "&lt;&gt;IntegratorValidationComment"))</f>
        <v/>
      </c>
      <c r="AB2487" s="7" t="str">
        <f>IF(ISBLANK(patch[[#This Row],[project]]), "",COUNTIFS($A:$A,patch[[#This Row],[number]],$S:$S, "SH And dev",$AD:$AD, "&lt;&gt;IntegratorValidationComment"))</f>
        <v/>
      </c>
      <c r="AC2487" s="7" t="str">
        <f>IF(OR(ISNUMBER(FIND("Review-1", patch[[#This Row],[comments]])), ISNUMBER(FIND("Approver-1", patch[[#This Row],[comments]]))), "Review-1", "")</f>
        <v/>
      </c>
      <c r="AD24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87" s="7">
        <f>IF(ISBLANK(patch[[#This Row],[number]]),AE2486,patch[[#This Row],[ifCommon]])</f>
        <v>0</v>
      </c>
    </row>
    <row r="2488" spans="1:31">
      <c r="A2488" s="151">
        <v>142680</v>
      </c>
      <c r="B2488" s="151"/>
      <c r="C2488" s="151"/>
      <c r="D2488" s="151"/>
      <c r="E2488" s="151"/>
      <c r="F2488" s="151"/>
      <c r="G2488" s="151"/>
      <c r="H2488" s="151"/>
      <c r="I2488" s="152"/>
      <c r="J2488" s="152">
        <v>42615.719988425917</v>
      </c>
      <c r="K2488" s="151"/>
      <c r="L2488" s="151" t="s">
        <v>59</v>
      </c>
      <c r="M2488" s="152">
        <v>42614.484224537038</v>
      </c>
      <c r="N2488" s="151" t="s">
        <v>3831</v>
      </c>
      <c r="O2488" s="151"/>
      <c r="P2488" s="151"/>
      <c r="Q2488" s="7" t="str">
        <f>IF(ISBLANK(patch[[#This Row],[OwnerEmail]]),Q2487,patch[[#This Row],[OwnerEmail]])</f>
        <v>xi.cao@intel.com</v>
      </c>
      <c r="R2488" s="7" t="str">
        <f>_xlfn.IFNA(VLOOKUP(patch[[#This Row],[tmp-owner.email]],OrgTree!$A:$K, 11, 0), "not ICG SWFW")</f>
        <v>BJ And dev</v>
      </c>
      <c r="S2488" s="7" t="str">
        <f>IF(patch[[#This Row],[reviewer]]=patch[[#This Row],[tmp-owner.email]], "author", _xlfn.IFNA(VLOOKUP(patch[[#This Row],[reviewer]],OrgTree!$A:$K, 11, 0), "not ICG SWFW"))</f>
        <v>BJ And dev</v>
      </c>
      <c r="T2488" s="7" t="str">
        <f>IF(ISBLANK(patch[[#This Row],[mergeDate]]), "", MID(YEAR(patch[[#This Row],[mergeDate]]), 3,2)&amp;"'ww"&amp;WEEKNUM(patch[[#This Row],[mergeDate]]))</f>
        <v>16'ww36</v>
      </c>
      <c r="U2488" s="7" t="str">
        <f>IF(ISBLANK(patch[[#This Row],[mergeDate]]), U2487, MID(YEAR(patch[[#This Row],[mergeDate]]), 3,2)&amp;"'m"&amp;MONTH(patch[[#This Row],[mergeDate]]))</f>
        <v>16'm9</v>
      </c>
      <c r="V2488" s="7" t="str">
        <f>IF(ISBLANK(patch[[#This Row],[project]]), "",SUM(patch[[#This Row],[BJ -1 num]:[SH -1 num]]))</f>
        <v/>
      </c>
      <c r="W2488" s="7" t="str">
        <f>IF(ISBLANK(patch[[#This Row],[project]]), "",COUNTIFS($A:$A,patch[[#This Row],[number]],$S:$S, "BJ And dev",$AC:$AC, "Review-1"))</f>
        <v/>
      </c>
      <c r="X2488" s="7" t="str">
        <f>IF(ISBLANK(patch[[#This Row],[project]]), "",COUNTIFS($A:$A,patch[[#This Row],[number]],$S:$S, "FL And dev",$AC:$AC, "Review-1"))</f>
        <v/>
      </c>
      <c r="Y2488" s="7" t="str">
        <f>IF(ISBLANK(patch[[#This Row],[project]]), "",COUNTIFS($A:$A,patch[[#This Row],[number]],$S:$S, "SH And dev",$AC:$AC, "Review-1"))</f>
        <v/>
      </c>
      <c r="Z2488" s="7" t="str">
        <f>IF(ISBLANK(patch[[#This Row],[project]]), "",COUNTIFS($A:$A,patch[[#This Row],[number]],$S:$S, "BJ And dev",$AD:$AD, "&lt;&gt;IntegratorValidationComment"))</f>
        <v/>
      </c>
      <c r="AA2488" s="7" t="str">
        <f>IF(ISBLANK(patch[[#This Row],[project]]), "",COUNTIFS($A:$A,patch[[#This Row],[number]],$S:$S, "FL And dev",$AD:$AD, "&lt;&gt;IntegratorValidationComment"))</f>
        <v/>
      </c>
      <c r="AB2488" s="7" t="str">
        <f>IF(ISBLANK(patch[[#This Row],[project]]), "",COUNTIFS($A:$A,patch[[#This Row],[number]],$S:$S, "SH And dev",$AD:$AD, "&lt;&gt;IntegratorValidationComment"))</f>
        <v/>
      </c>
      <c r="AC2488" s="7" t="str">
        <f>IF(OR(ISNUMBER(FIND("Review-1", patch[[#This Row],[comments]])), ISNUMBER(FIND("Approver-1", patch[[#This Row],[comments]]))), "Review-1", "")</f>
        <v/>
      </c>
      <c r="AD24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88" s="7">
        <f>IF(ISBLANK(patch[[#This Row],[number]]),AE2487,patch[[#This Row],[ifCommon]])</f>
        <v>0</v>
      </c>
    </row>
    <row r="2489" spans="1:31">
      <c r="A2489" s="151">
        <v>142680</v>
      </c>
      <c r="B2489" s="151"/>
      <c r="C2489" s="151"/>
      <c r="D2489" s="151"/>
      <c r="E2489" s="151"/>
      <c r="F2489" s="151"/>
      <c r="G2489" s="151"/>
      <c r="H2489" s="151"/>
      <c r="I2489" s="151"/>
      <c r="J2489" s="152">
        <v>42615.719988425917</v>
      </c>
      <c r="K2489" s="151"/>
      <c r="L2489" s="151" t="s">
        <v>1203</v>
      </c>
      <c r="M2489" s="152">
        <v>42614.488807870373</v>
      </c>
      <c r="N2489" s="151" t="s">
        <v>37</v>
      </c>
      <c r="O2489" s="151"/>
      <c r="P2489" s="151"/>
      <c r="Q2489" s="7" t="str">
        <f>IF(ISBLANK(patch[[#This Row],[OwnerEmail]]),Q2488,patch[[#This Row],[OwnerEmail]])</f>
        <v>xi.cao@intel.com</v>
      </c>
      <c r="R2489" s="7" t="str">
        <f>_xlfn.IFNA(VLOOKUP(patch[[#This Row],[tmp-owner.email]],OrgTree!$A:$K, 11, 0), "not ICG SWFW")</f>
        <v>BJ And dev</v>
      </c>
      <c r="S2489" s="7" t="str">
        <f>IF(patch[[#This Row],[reviewer]]=patch[[#This Row],[tmp-owner.email]], "author", _xlfn.IFNA(VLOOKUP(patch[[#This Row],[reviewer]],OrgTree!$A:$K, 11, 0), "not ICG SWFW"))</f>
        <v>author</v>
      </c>
      <c r="T2489" s="7" t="str">
        <f>IF(ISBLANK(patch[[#This Row],[mergeDate]]), "", MID(YEAR(patch[[#This Row],[mergeDate]]), 3,2)&amp;"'ww"&amp;WEEKNUM(patch[[#This Row],[mergeDate]]))</f>
        <v>16'ww36</v>
      </c>
      <c r="U2489" s="7" t="str">
        <f>IF(ISBLANK(patch[[#This Row],[mergeDate]]), U2488, MID(YEAR(patch[[#This Row],[mergeDate]]), 3,2)&amp;"'m"&amp;MONTH(patch[[#This Row],[mergeDate]]))</f>
        <v>16'm9</v>
      </c>
      <c r="V2489" s="7" t="str">
        <f>IF(ISBLANK(patch[[#This Row],[project]]), "",SUM(patch[[#This Row],[BJ -1 num]:[SH -1 num]]))</f>
        <v/>
      </c>
      <c r="W2489" s="7" t="str">
        <f>IF(ISBLANK(patch[[#This Row],[project]]), "",COUNTIFS($A:$A,patch[[#This Row],[number]],$S:$S, "BJ And dev",$AC:$AC, "Review-1"))</f>
        <v/>
      </c>
      <c r="X2489" s="7" t="str">
        <f>IF(ISBLANK(patch[[#This Row],[project]]), "",COUNTIFS($A:$A,patch[[#This Row],[number]],$S:$S, "FL And dev",$AC:$AC, "Review-1"))</f>
        <v/>
      </c>
      <c r="Y2489" s="7" t="str">
        <f>IF(ISBLANK(patch[[#This Row],[project]]), "",COUNTIFS($A:$A,patch[[#This Row],[number]],$S:$S, "SH And dev",$AC:$AC, "Review-1"))</f>
        <v/>
      </c>
      <c r="Z2489" s="7" t="str">
        <f>IF(ISBLANK(patch[[#This Row],[project]]), "",COUNTIFS($A:$A,patch[[#This Row],[number]],$S:$S, "BJ And dev",$AD:$AD, "&lt;&gt;IntegratorValidationComment"))</f>
        <v/>
      </c>
      <c r="AA2489" s="7" t="str">
        <f>IF(ISBLANK(patch[[#This Row],[project]]), "",COUNTIFS($A:$A,patch[[#This Row],[number]],$S:$S, "FL And dev",$AD:$AD, "&lt;&gt;IntegratorValidationComment"))</f>
        <v/>
      </c>
      <c r="AB2489" s="7" t="str">
        <f>IF(ISBLANK(patch[[#This Row],[project]]), "",COUNTIFS($A:$A,patch[[#This Row],[number]],$S:$S, "SH And dev",$AD:$AD, "&lt;&gt;IntegratorValidationComment"))</f>
        <v/>
      </c>
      <c r="AC2489" s="7" t="str">
        <f>IF(OR(ISNUMBER(FIND("Review-1", patch[[#This Row],[comments]])), ISNUMBER(FIND("Approver-1", patch[[#This Row],[comments]]))), "Review-1", "")</f>
        <v/>
      </c>
      <c r="AD24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89" s="7">
        <f>IF(ISBLANK(patch[[#This Row],[number]]),AE2488,patch[[#This Row],[ifCommon]])</f>
        <v>0</v>
      </c>
    </row>
    <row r="2490" spans="1:31">
      <c r="A2490" s="151">
        <v>142680</v>
      </c>
      <c r="B2490" s="151"/>
      <c r="C2490" s="151"/>
      <c r="D2490" s="151"/>
      <c r="E2490" s="151"/>
      <c r="F2490" s="151"/>
      <c r="G2490" s="151"/>
      <c r="H2490" s="151"/>
      <c r="I2490" s="151"/>
      <c r="J2490" s="152">
        <v>42615.719988425917</v>
      </c>
      <c r="K2490" s="151"/>
      <c r="L2490" s="151" t="s">
        <v>1203</v>
      </c>
      <c r="M2490" s="152">
        <v>42614.504699074067</v>
      </c>
      <c r="N2490" s="151" t="s">
        <v>3832</v>
      </c>
      <c r="O2490" s="151"/>
      <c r="P2490" s="151"/>
      <c r="Q2490" s="7" t="str">
        <f>IF(ISBLANK(patch[[#This Row],[OwnerEmail]]),Q2489,patch[[#This Row],[OwnerEmail]])</f>
        <v>xi.cao@intel.com</v>
      </c>
      <c r="R2490" s="7" t="str">
        <f>_xlfn.IFNA(VLOOKUP(patch[[#This Row],[tmp-owner.email]],OrgTree!$A:$K, 11, 0), "not ICG SWFW")</f>
        <v>BJ And dev</v>
      </c>
      <c r="S2490" s="7" t="str">
        <f>IF(patch[[#This Row],[reviewer]]=patch[[#This Row],[tmp-owner.email]], "author", _xlfn.IFNA(VLOOKUP(patch[[#This Row],[reviewer]],OrgTree!$A:$K, 11, 0), "not ICG SWFW"))</f>
        <v>author</v>
      </c>
      <c r="T2490" s="7" t="str">
        <f>IF(ISBLANK(patch[[#This Row],[mergeDate]]), "", MID(YEAR(patch[[#This Row],[mergeDate]]), 3,2)&amp;"'ww"&amp;WEEKNUM(patch[[#This Row],[mergeDate]]))</f>
        <v>16'ww36</v>
      </c>
      <c r="U2490" s="7" t="str">
        <f>IF(ISBLANK(patch[[#This Row],[mergeDate]]), U2489, MID(YEAR(patch[[#This Row],[mergeDate]]), 3,2)&amp;"'m"&amp;MONTH(patch[[#This Row],[mergeDate]]))</f>
        <v>16'm9</v>
      </c>
      <c r="V2490" s="7" t="str">
        <f>IF(ISBLANK(patch[[#This Row],[project]]), "",SUM(patch[[#This Row],[BJ -1 num]:[SH -1 num]]))</f>
        <v/>
      </c>
      <c r="W2490" s="7" t="str">
        <f>IF(ISBLANK(patch[[#This Row],[project]]), "",COUNTIFS($A:$A,patch[[#This Row],[number]],$S:$S, "BJ And dev",$AC:$AC, "Review-1"))</f>
        <v/>
      </c>
      <c r="X2490" s="7" t="str">
        <f>IF(ISBLANK(patch[[#This Row],[project]]), "",COUNTIFS($A:$A,patch[[#This Row],[number]],$S:$S, "FL And dev",$AC:$AC, "Review-1"))</f>
        <v/>
      </c>
      <c r="Y2490" s="7" t="str">
        <f>IF(ISBLANK(patch[[#This Row],[project]]), "",COUNTIFS($A:$A,patch[[#This Row],[number]],$S:$S, "SH And dev",$AC:$AC, "Review-1"))</f>
        <v/>
      </c>
      <c r="Z2490" s="7" t="str">
        <f>IF(ISBLANK(patch[[#This Row],[project]]), "",COUNTIFS($A:$A,patch[[#This Row],[number]],$S:$S, "BJ And dev",$AD:$AD, "&lt;&gt;IntegratorValidationComment"))</f>
        <v/>
      </c>
      <c r="AA2490" s="7" t="str">
        <f>IF(ISBLANK(patch[[#This Row],[project]]), "",COUNTIFS($A:$A,patch[[#This Row],[number]],$S:$S, "FL And dev",$AD:$AD, "&lt;&gt;IntegratorValidationComment"))</f>
        <v/>
      </c>
      <c r="AB2490" s="7" t="str">
        <f>IF(ISBLANK(patch[[#This Row],[project]]), "",COUNTIFS($A:$A,patch[[#This Row],[number]],$S:$S, "SH And dev",$AD:$AD, "&lt;&gt;IntegratorValidationComment"))</f>
        <v/>
      </c>
      <c r="AC2490" s="7" t="str">
        <f>IF(OR(ISNUMBER(FIND("Review-1", patch[[#This Row],[comments]])), ISNUMBER(FIND("Approver-1", patch[[#This Row],[comments]]))), "Review-1", "")</f>
        <v/>
      </c>
      <c r="AD24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90" s="7">
        <f>IF(ISBLANK(patch[[#This Row],[number]]),AE2489,patch[[#This Row],[ifCommon]])</f>
        <v>0</v>
      </c>
    </row>
    <row r="2491" spans="1:31">
      <c r="A2491" s="151">
        <v>142680</v>
      </c>
      <c r="B2491" s="151"/>
      <c r="C2491" s="151"/>
      <c r="D2491" s="151"/>
      <c r="E2491" s="151"/>
      <c r="F2491" s="151"/>
      <c r="G2491" s="151"/>
      <c r="H2491" s="151"/>
      <c r="I2491" s="151"/>
      <c r="J2491" s="152">
        <v>42615.719988425917</v>
      </c>
      <c r="K2491" s="151"/>
      <c r="L2491" s="151" t="s">
        <v>59</v>
      </c>
      <c r="M2491" s="152">
        <v>42614.505543981482</v>
      </c>
      <c r="N2491" s="151" t="s">
        <v>3833</v>
      </c>
      <c r="O2491" s="151"/>
      <c r="P2491" s="151"/>
      <c r="Q2491" s="7" t="str">
        <f>IF(ISBLANK(patch[[#This Row],[OwnerEmail]]),Q2490,patch[[#This Row],[OwnerEmail]])</f>
        <v>xi.cao@intel.com</v>
      </c>
      <c r="R2491" s="7" t="str">
        <f>_xlfn.IFNA(VLOOKUP(patch[[#This Row],[tmp-owner.email]],OrgTree!$A:$K, 11, 0), "not ICG SWFW")</f>
        <v>BJ And dev</v>
      </c>
      <c r="S2491" s="7" t="str">
        <f>IF(patch[[#This Row],[reviewer]]=patch[[#This Row],[tmp-owner.email]], "author", _xlfn.IFNA(VLOOKUP(patch[[#This Row],[reviewer]],OrgTree!$A:$K, 11, 0), "not ICG SWFW"))</f>
        <v>BJ And dev</v>
      </c>
      <c r="T2491" s="7" t="str">
        <f>IF(ISBLANK(patch[[#This Row],[mergeDate]]), "", MID(YEAR(patch[[#This Row],[mergeDate]]), 3,2)&amp;"'ww"&amp;WEEKNUM(patch[[#This Row],[mergeDate]]))</f>
        <v>16'ww36</v>
      </c>
      <c r="U2491" s="7" t="str">
        <f>IF(ISBLANK(patch[[#This Row],[mergeDate]]), U2490, MID(YEAR(patch[[#This Row],[mergeDate]]), 3,2)&amp;"'m"&amp;MONTH(patch[[#This Row],[mergeDate]]))</f>
        <v>16'm9</v>
      </c>
      <c r="V2491" s="7" t="str">
        <f>IF(ISBLANK(patch[[#This Row],[project]]), "",SUM(patch[[#This Row],[BJ -1 num]:[SH -1 num]]))</f>
        <v/>
      </c>
      <c r="W2491" s="7" t="str">
        <f>IF(ISBLANK(patch[[#This Row],[project]]), "",COUNTIFS($A:$A,patch[[#This Row],[number]],$S:$S, "BJ And dev",$AC:$AC, "Review-1"))</f>
        <v/>
      </c>
      <c r="X2491" s="7" t="str">
        <f>IF(ISBLANK(patch[[#This Row],[project]]), "",COUNTIFS($A:$A,patch[[#This Row],[number]],$S:$S, "FL And dev",$AC:$AC, "Review-1"))</f>
        <v/>
      </c>
      <c r="Y2491" s="7" t="str">
        <f>IF(ISBLANK(patch[[#This Row],[project]]), "",COUNTIFS($A:$A,patch[[#This Row],[number]],$S:$S, "SH And dev",$AC:$AC, "Review-1"))</f>
        <v/>
      </c>
      <c r="Z2491" s="7" t="str">
        <f>IF(ISBLANK(patch[[#This Row],[project]]), "",COUNTIFS($A:$A,patch[[#This Row],[number]],$S:$S, "BJ And dev",$AD:$AD, "&lt;&gt;IntegratorValidationComment"))</f>
        <v/>
      </c>
      <c r="AA2491" s="7" t="str">
        <f>IF(ISBLANK(patch[[#This Row],[project]]), "",COUNTIFS($A:$A,patch[[#This Row],[number]],$S:$S, "FL And dev",$AD:$AD, "&lt;&gt;IntegratorValidationComment"))</f>
        <v/>
      </c>
      <c r="AB2491" s="7" t="str">
        <f>IF(ISBLANK(patch[[#This Row],[project]]), "",COUNTIFS($A:$A,patch[[#This Row],[number]],$S:$S, "SH And dev",$AD:$AD, "&lt;&gt;IntegratorValidationComment"))</f>
        <v/>
      </c>
      <c r="AC2491" s="7" t="str">
        <f>IF(OR(ISNUMBER(FIND("Review-1", patch[[#This Row],[comments]])), ISNUMBER(FIND("Approver-1", patch[[#This Row],[comments]]))), "Review-1", "")</f>
        <v/>
      </c>
      <c r="AD24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91" s="7">
        <f>IF(ISBLANK(patch[[#This Row],[number]]),AE2490,patch[[#This Row],[ifCommon]])</f>
        <v>0</v>
      </c>
    </row>
    <row r="2492" spans="1:31">
      <c r="A2492" s="151">
        <v>142680</v>
      </c>
      <c r="B2492" s="151"/>
      <c r="C2492" s="151"/>
      <c r="D2492" s="151"/>
      <c r="E2492" s="151"/>
      <c r="F2492" s="151"/>
      <c r="G2492" s="151"/>
      <c r="H2492" s="151"/>
      <c r="I2492" s="151"/>
      <c r="J2492" s="152">
        <v>42615.719988425917</v>
      </c>
      <c r="K2492" s="151"/>
      <c r="L2492" s="151" t="s">
        <v>59</v>
      </c>
      <c r="M2492" s="152">
        <v>42614.507465277777</v>
      </c>
      <c r="N2492" s="151" t="s">
        <v>3834</v>
      </c>
      <c r="O2492" s="151"/>
      <c r="P2492" s="151"/>
      <c r="Q2492" s="7" t="str">
        <f>IF(ISBLANK(patch[[#This Row],[OwnerEmail]]),Q2491,patch[[#This Row],[OwnerEmail]])</f>
        <v>xi.cao@intel.com</v>
      </c>
      <c r="R2492" s="7" t="str">
        <f>_xlfn.IFNA(VLOOKUP(patch[[#This Row],[tmp-owner.email]],OrgTree!$A:$K, 11, 0), "not ICG SWFW")</f>
        <v>BJ And dev</v>
      </c>
      <c r="S2492" s="7" t="str">
        <f>IF(patch[[#This Row],[reviewer]]=patch[[#This Row],[tmp-owner.email]], "author", _xlfn.IFNA(VLOOKUP(patch[[#This Row],[reviewer]],OrgTree!$A:$K, 11, 0), "not ICG SWFW"))</f>
        <v>BJ And dev</v>
      </c>
      <c r="T2492" s="7" t="str">
        <f>IF(ISBLANK(patch[[#This Row],[mergeDate]]), "", MID(YEAR(patch[[#This Row],[mergeDate]]), 3,2)&amp;"'ww"&amp;WEEKNUM(patch[[#This Row],[mergeDate]]))</f>
        <v>16'ww36</v>
      </c>
      <c r="U2492" s="7" t="str">
        <f>IF(ISBLANK(patch[[#This Row],[mergeDate]]), U2491, MID(YEAR(patch[[#This Row],[mergeDate]]), 3,2)&amp;"'m"&amp;MONTH(patch[[#This Row],[mergeDate]]))</f>
        <v>16'm9</v>
      </c>
      <c r="V2492" s="7" t="str">
        <f>IF(ISBLANK(patch[[#This Row],[project]]), "",SUM(patch[[#This Row],[BJ -1 num]:[SH -1 num]]))</f>
        <v/>
      </c>
      <c r="W2492" s="7" t="str">
        <f>IF(ISBLANK(patch[[#This Row],[project]]), "",COUNTIFS($A:$A,patch[[#This Row],[number]],$S:$S, "BJ And dev",$AC:$AC, "Review-1"))</f>
        <v/>
      </c>
      <c r="X2492" s="7" t="str">
        <f>IF(ISBLANK(patch[[#This Row],[project]]), "",COUNTIFS($A:$A,patch[[#This Row],[number]],$S:$S, "FL And dev",$AC:$AC, "Review-1"))</f>
        <v/>
      </c>
      <c r="Y2492" s="7" t="str">
        <f>IF(ISBLANK(patch[[#This Row],[project]]), "",COUNTIFS($A:$A,patch[[#This Row],[number]],$S:$S, "SH And dev",$AC:$AC, "Review-1"))</f>
        <v/>
      </c>
      <c r="Z2492" s="7" t="str">
        <f>IF(ISBLANK(patch[[#This Row],[project]]), "",COUNTIFS($A:$A,patch[[#This Row],[number]],$S:$S, "BJ And dev",$AD:$AD, "&lt;&gt;IntegratorValidationComment"))</f>
        <v/>
      </c>
      <c r="AA2492" s="7" t="str">
        <f>IF(ISBLANK(patch[[#This Row],[project]]), "",COUNTIFS($A:$A,patch[[#This Row],[number]],$S:$S, "FL And dev",$AD:$AD, "&lt;&gt;IntegratorValidationComment"))</f>
        <v/>
      </c>
      <c r="AB2492" s="7" t="str">
        <f>IF(ISBLANK(patch[[#This Row],[project]]), "",COUNTIFS($A:$A,patch[[#This Row],[number]],$S:$S, "SH And dev",$AD:$AD, "&lt;&gt;IntegratorValidationComment"))</f>
        <v/>
      </c>
      <c r="AC2492" s="7" t="str">
        <f>IF(OR(ISNUMBER(FIND("Review-1", patch[[#This Row],[comments]])), ISNUMBER(FIND("Approver-1", patch[[#This Row],[comments]]))), "Review-1", "")</f>
        <v/>
      </c>
      <c r="AD24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92" s="7">
        <f>IF(ISBLANK(patch[[#This Row],[number]]),AE2491,patch[[#This Row],[ifCommon]])</f>
        <v>0</v>
      </c>
    </row>
    <row r="2493" spans="1:31">
      <c r="A2493" s="151">
        <v>142680</v>
      </c>
      <c r="B2493" s="151"/>
      <c r="C2493" s="151"/>
      <c r="D2493" s="151"/>
      <c r="E2493" s="151"/>
      <c r="F2493" s="151"/>
      <c r="G2493" s="151"/>
      <c r="H2493" s="151"/>
      <c r="I2493" s="151"/>
      <c r="J2493" s="152">
        <v>42615.719988425917</v>
      </c>
      <c r="K2493" s="151"/>
      <c r="L2493" s="151" t="s">
        <v>59</v>
      </c>
      <c r="M2493" s="152">
        <v>42614.509560185194</v>
      </c>
      <c r="N2493" s="151" t="s">
        <v>3835</v>
      </c>
      <c r="O2493" s="151"/>
      <c r="P2493" s="151"/>
      <c r="Q2493" s="7" t="str">
        <f>IF(ISBLANK(patch[[#This Row],[OwnerEmail]]),Q2492,patch[[#This Row],[OwnerEmail]])</f>
        <v>xi.cao@intel.com</v>
      </c>
      <c r="R2493" s="7" t="str">
        <f>_xlfn.IFNA(VLOOKUP(patch[[#This Row],[tmp-owner.email]],OrgTree!$A:$K, 11, 0), "not ICG SWFW")</f>
        <v>BJ And dev</v>
      </c>
      <c r="S2493" s="7" t="str">
        <f>IF(patch[[#This Row],[reviewer]]=patch[[#This Row],[tmp-owner.email]], "author", _xlfn.IFNA(VLOOKUP(patch[[#This Row],[reviewer]],OrgTree!$A:$K, 11, 0), "not ICG SWFW"))</f>
        <v>BJ And dev</v>
      </c>
      <c r="T2493" s="7" t="str">
        <f>IF(ISBLANK(patch[[#This Row],[mergeDate]]), "", MID(YEAR(patch[[#This Row],[mergeDate]]), 3,2)&amp;"'ww"&amp;WEEKNUM(patch[[#This Row],[mergeDate]]))</f>
        <v>16'ww36</v>
      </c>
      <c r="U2493" s="7" t="str">
        <f>IF(ISBLANK(patch[[#This Row],[mergeDate]]), U2492, MID(YEAR(patch[[#This Row],[mergeDate]]), 3,2)&amp;"'m"&amp;MONTH(patch[[#This Row],[mergeDate]]))</f>
        <v>16'm9</v>
      </c>
      <c r="V2493" s="7" t="str">
        <f>IF(ISBLANK(patch[[#This Row],[project]]), "",SUM(patch[[#This Row],[BJ -1 num]:[SH -1 num]]))</f>
        <v/>
      </c>
      <c r="W2493" s="7" t="str">
        <f>IF(ISBLANK(patch[[#This Row],[project]]), "",COUNTIFS($A:$A,patch[[#This Row],[number]],$S:$S, "BJ And dev",$AC:$AC, "Review-1"))</f>
        <v/>
      </c>
      <c r="X2493" s="7" t="str">
        <f>IF(ISBLANK(patch[[#This Row],[project]]), "",COUNTIFS($A:$A,patch[[#This Row],[number]],$S:$S, "FL And dev",$AC:$AC, "Review-1"))</f>
        <v/>
      </c>
      <c r="Y2493" s="7" t="str">
        <f>IF(ISBLANK(patch[[#This Row],[project]]), "",COUNTIFS($A:$A,patch[[#This Row],[number]],$S:$S, "SH And dev",$AC:$AC, "Review-1"))</f>
        <v/>
      </c>
      <c r="Z2493" s="7" t="str">
        <f>IF(ISBLANK(patch[[#This Row],[project]]), "",COUNTIFS($A:$A,patch[[#This Row],[number]],$S:$S, "BJ And dev",$AD:$AD, "&lt;&gt;IntegratorValidationComment"))</f>
        <v/>
      </c>
      <c r="AA2493" s="7" t="str">
        <f>IF(ISBLANK(patch[[#This Row],[project]]), "",COUNTIFS($A:$A,patch[[#This Row],[number]],$S:$S, "FL And dev",$AD:$AD, "&lt;&gt;IntegratorValidationComment"))</f>
        <v/>
      </c>
      <c r="AB2493" s="7" t="str">
        <f>IF(ISBLANK(patch[[#This Row],[project]]), "",COUNTIFS($A:$A,patch[[#This Row],[number]],$S:$S, "SH And dev",$AD:$AD, "&lt;&gt;IntegratorValidationComment"))</f>
        <v/>
      </c>
      <c r="AC2493" s="7" t="str">
        <f>IF(OR(ISNUMBER(FIND("Review-1", patch[[#This Row],[comments]])), ISNUMBER(FIND("Approver-1", patch[[#This Row],[comments]]))), "Review-1", "")</f>
        <v/>
      </c>
      <c r="AD24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93" s="7">
        <f>IF(ISBLANK(patch[[#This Row],[number]]),AE2492,patch[[#This Row],[ifCommon]])</f>
        <v>0</v>
      </c>
    </row>
    <row r="2494" spans="1:31">
      <c r="A2494" s="151">
        <v>142680</v>
      </c>
      <c r="B2494" s="151"/>
      <c r="C2494" s="151"/>
      <c r="D2494" s="151"/>
      <c r="E2494" s="151"/>
      <c r="F2494" s="151"/>
      <c r="G2494" s="151"/>
      <c r="H2494" s="151"/>
      <c r="I2494" s="151"/>
      <c r="J2494" s="152">
        <v>42615.719988425917</v>
      </c>
      <c r="K2494" s="151"/>
      <c r="L2494" s="151" t="s">
        <v>59</v>
      </c>
      <c r="M2494" s="152">
        <v>42614.511400462958</v>
      </c>
      <c r="N2494" s="151" t="s">
        <v>3836</v>
      </c>
      <c r="O2494" s="151"/>
      <c r="P2494" s="151"/>
      <c r="Q2494" s="7" t="str">
        <f>IF(ISBLANK(patch[[#This Row],[OwnerEmail]]),Q2493,patch[[#This Row],[OwnerEmail]])</f>
        <v>xi.cao@intel.com</v>
      </c>
      <c r="R2494" s="7" t="str">
        <f>_xlfn.IFNA(VLOOKUP(patch[[#This Row],[tmp-owner.email]],OrgTree!$A:$K, 11, 0), "not ICG SWFW")</f>
        <v>BJ And dev</v>
      </c>
      <c r="S2494" s="7" t="str">
        <f>IF(patch[[#This Row],[reviewer]]=patch[[#This Row],[tmp-owner.email]], "author", _xlfn.IFNA(VLOOKUP(patch[[#This Row],[reviewer]],OrgTree!$A:$K, 11, 0), "not ICG SWFW"))</f>
        <v>BJ And dev</v>
      </c>
      <c r="T2494" s="7" t="str">
        <f>IF(ISBLANK(patch[[#This Row],[mergeDate]]), "", MID(YEAR(patch[[#This Row],[mergeDate]]), 3,2)&amp;"'ww"&amp;WEEKNUM(patch[[#This Row],[mergeDate]]))</f>
        <v>16'ww36</v>
      </c>
      <c r="U2494" s="7" t="str">
        <f>IF(ISBLANK(patch[[#This Row],[mergeDate]]), U2493, MID(YEAR(patch[[#This Row],[mergeDate]]), 3,2)&amp;"'m"&amp;MONTH(patch[[#This Row],[mergeDate]]))</f>
        <v>16'm9</v>
      </c>
      <c r="V2494" s="7" t="str">
        <f>IF(ISBLANK(patch[[#This Row],[project]]), "",SUM(patch[[#This Row],[BJ -1 num]:[SH -1 num]]))</f>
        <v/>
      </c>
      <c r="W2494" s="7" t="str">
        <f>IF(ISBLANK(patch[[#This Row],[project]]), "",COUNTIFS($A:$A,patch[[#This Row],[number]],$S:$S, "BJ And dev",$AC:$AC, "Review-1"))</f>
        <v/>
      </c>
      <c r="X2494" s="7" t="str">
        <f>IF(ISBLANK(patch[[#This Row],[project]]), "",COUNTIFS($A:$A,patch[[#This Row],[number]],$S:$S, "FL And dev",$AC:$AC, "Review-1"))</f>
        <v/>
      </c>
      <c r="Y2494" s="7" t="str">
        <f>IF(ISBLANK(patch[[#This Row],[project]]), "",COUNTIFS($A:$A,patch[[#This Row],[number]],$S:$S, "SH And dev",$AC:$AC, "Review-1"))</f>
        <v/>
      </c>
      <c r="Z2494" s="7" t="str">
        <f>IF(ISBLANK(patch[[#This Row],[project]]), "",COUNTIFS($A:$A,patch[[#This Row],[number]],$S:$S, "BJ And dev",$AD:$AD, "&lt;&gt;IntegratorValidationComment"))</f>
        <v/>
      </c>
      <c r="AA2494" s="7" t="str">
        <f>IF(ISBLANK(patch[[#This Row],[project]]), "",COUNTIFS($A:$A,patch[[#This Row],[number]],$S:$S, "FL And dev",$AD:$AD, "&lt;&gt;IntegratorValidationComment"))</f>
        <v/>
      </c>
      <c r="AB2494" s="7" t="str">
        <f>IF(ISBLANK(patch[[#This Row],[project]]), "",COUNTIFS($A:$A,patch[[#This Row],[number]],$S:$S, "SH And dev",$AD:$AD, "&lt;&gt;IntegratorValidationComment"))</f>
        <v/>
      </c>
      <c r="AC2494" s="7" t="str">
        <f>IF(OR(ISNUMBER(FIND("Review-1", patch[[#This Row],[comments]])), ISNUMBER(FIND("Approver-1", patch[[#This Row],[comments]]))), "Review-1", "")</f>
        <v/>
      </c>
      <c r="AD24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94" s="7">
        <f>IF(ISBLANK(patch[[#This Row],[number]]),AE2493,patch[[#This Row],[ifCommon]])</f>
        <v>0</v>
      </c>
    </row>
    <row r="2495" spans="1:31">
      <c r="A2495" s="151">
        <v>142680</v>
      </c>
      <c r="B2495" s="151"/>
      <c r="C2495" s="151"/>
      <c r="D2495" s="151"/>
      <c r="E2495" s="151"/>
      <c r="F2495" s="151"/>
      <c r="G2495" s="151"/>
      <c r="H2495" s="151"/>
      <c r="I2495" s="151"/>
      <c r="J2495" s="152">
        <v>42615.719988425917</v>
      </c>
      <c r="K2495" s="151"/>
      <c r="L2495" s="151" t="s">
        <v>59</v>
      </c>
      <c r="M2495" s="152">
        <v>42614.539907407408</v>
      </c>
      <c r="N2495" s="151" t="s">
        <v>3837</v>
      </c>
      <c r="O2495" s="151"/>
      <c r="P2495" s="151"/>
      <c r="Q2495" s="7" t="str">
        <f>IF(ISBLANK(patch[[#This Row],[OwnerEmail]]),Q2494,patch[[#This Row],[OwnerEmail]])</f>
        <v>xi.cao@intel.com</v>
      </c>
      <c r="R2495" s="7" t="str">
        <f>_xlfn.IFNA(VLOOKUP(patch[[#This Row],[tmp-owner.email]],OrgTree!$A:$K, 11, 0), "not ICG SWFW")</f>
        <v>BJ And dev</v>
      </c>
      <c r="S2495" s="7" t="str">
        <f>IF(patch[[#This Row],[reviewer]]=patch[[#This Row],[tmp-owner.email]], "author", _xlfn.IFNA(VLOOKUP(patch[[#This Row],[reviewer]],OrgTree!$A:$K, 11, 0), "not ICG SWFW"))</f>
        <v>BJ And dev</v>
      </c>
      <c r="T2495" s="7" t="str">
        <f>IF(ISBLANK(patch[[#This Row],[mergeDate]]), "", MID(YEAR(patch[[#This Row],[mergeDate]]), 3,2)&amp;"'ww"&amp;WEEKNUM(patch[[#This Row],[mergeDate]]))</f>
        <v>16'ww36</v>
      </c>
      <c r="U2495" s="7" t="str">
        <f>IF(ISBLANK(patch[[#This Row],[mergeDate]]), U2494, MID(YEAR(patch[[#This Row],[mergeDate]]), 3,2)&amp;"'m"&amp;MONTH(patch[[#This Row],[mergeDate]]))</f>
        <v>16'm9</v>
      </c>
      <c r="V2495" s="7" t="str">
        <f>IF(ISBLANK(patch[[#This Row],[project]]), "",SUM(patch[[#This Row],[BJ -1 num]:[SH -1 num]]))</f>
        <v/>
      </c>
      <c r="W2495" s="7" t="str">
        <f>IF(ISBLANK(patch[[#This Row],[project]]), "",COUNTIFS($A:$A,patch[[#This Row],[number]],$S:$S, "BJ And dev",$AC:$AC, "Review-1"))</f>
        <v/>
      </c>
      <c r="X2495" s="7" t="str">
        <f>IF(ISBLANK(patch[[#This Row],[project]]), "",COUNTIFS($A:$A,patch[[#This Row],[number]],$S:$S, "FL And dev",$AC:$AC, "Review-1"))</f>
        <v/>
      </c>
      <c r="Y2495" s="7" t="str">
        <f>IF(ISBLANK(patch[[#This Row],[project]]), "",COUNTIFS($A:$A,patch[[#This Row],[number]],$S:$S, "SH And dev",$AC:$AC, "Review-1"))</f>
        <v/>
      </c>
      <c r="Z2495" s="7" t="str">
        <f>IF(ISBLANK(patch[[#This Row],[project]]), "",COUNTIFS($A:$A,patch[[#This Row],[number]],$S:$S, "BJ And dev",$AD:$AD, "&lt;&gt;IntegratorValidationComment"))</f>
        <v/>
      </c>
      <c r="AA2495" s="7" t="str">
        <f>IF(ISBLANK(patch[[#This Row],[project]]), "",COUNTIFS($A:$A,patch[[#This Row],[number]],$S:$S, "FL And dev",$AD:$AD, "&lt;&gt;IntegratorValidationComment"))</f>
        <v/>
      </c>
      <c r="AB2495" s="7" t="str">
        <f>IF(ISBLANK(patch[[#This Row],[project]]), "",COUNTIFS($A:$A,patch[[#This Row],[number]],$S:$S, "SH And dev",$AD:$AD, "&lt;&gt;IntegratorValidationComment"))</f>
        <v/>
      </c>
      <c r="AC2495" s="7" t="str">
        <f>IF(OR(ISNUMBER(FIND("Review-1", patch[[#This Row],[comments]])), ISNUMBER(FIND("Approver-1", patch[[#This Row],[comments]]))), "Review-1", "")</f>
        <v/>
      </c>
      <c r="AD24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95" s="7">
        <f>IF(ISBLANK(patch[[#This Row],[number]]),AE2494,patch[[#This Row],[ifCommon]])</f>
        <v>0</v>
      </c>
    </row>
    <row r="2496" spans="1:31">
      <c r="A2496" s="151">
        <v>142680</v>
      </c>
      <c r="B2496" s="151"/>
      <c r="C2496" s="151"/>
      <c r="D2496" s="151"/>
      <c r="E2496" s="151"/>
      <c r="F2496" s="151"/>
      <c r="G2496" s="151"/>
      <c r="H2496" s="151"/>
      <c r="I2496" s="151"/>
      <c r="J2496" s="152">
        <v>42615.719988425917</v>
      </c>
      <c r="K2496" s="151"/>
      <c r="L2496" s="151" t="s">
        <v>1203</v>
      </c>
      <c r="M2496" s="152">
        <v>42614.565613425933</v>
      </c>
      <c r="N2496" s="151" t="s">
        <v>1866</v>
      </c>
      <c r="O2496" s="151"/>
      <c r="P2496" s="151"/>
      <c r="Q2496" s="7" t="str">
        <f>IF(ISBLANK(patch[[#This Row],[OwnerEmail]]),Q2495,patch[[#This Row],[OwnerEmail]])</f>
        <v>xi.cao@intel.com</v>
      </c>
      <c r="R2496" s="7" t="str">
        <f>_xlfn.IFNA(VLOOKUP(patch[[#This Row],[tmp-owner.email]],OrgTree!$A:$K, 11, 0), "not ICG SWFW")</f>
        <v>BJ And dev</v>
      </c>
      <c r="S2496" s="7" t="str">
        <f>IF(patch[[#This Row],[reviewer]]=patch[[#This Row],[tmp-owner.email]], "author", _xlfn.IFNA(VLOOKUP(patch[[#This Row],[reviewer]],OrgTree!$A:$K, 11, 0), "not ICG SWFW"))</f>
        <v>author</v>
      </c>
      <c r="T2496" s="7" t="str">
        <f>IF(ISBLANK(patch[[#This Row],[mergeDate]]), "", MID(YEAR(patch[[#This Row],[mergeDate]]), 3,2)&amp;"'ww"&amp;WEEKNUM(patch[[#This Row],[mergeDate]]))</f>
        <v>16'ww36</v>
      </c>
      <c r="U2496" s="7" t="str">
        <f>IF(ISBLANK(patch[[#This Row],[mergeDate]]), U2495, MID(YEAR(patch[[#This Row],[mergeDate]]), 3,2)&amp;"'m"&amp;MONTH(patch[[#This Row],[mergeDate]]))</f>
        <v>16'm9</v>
      </c>
      <c r="V2496" s="7" t="str">
        <f>IF(ISBLANK(patch[[#This Row],[project]]), "",SUM(patch[[#This Row],[BJ -1 num]:[SH -1 num]]))</f>
        <v/>
      </c>
      <c r="W2496" s="7" t="str">
        <f>IF(ISBLANK(patch[[#This Row],[project]]), "",COUNTIFS($A:$A,patch[[#This Row],[number]],$S:$S, "BJ And dev",$AC:$AC, "Review-1"))</f>
        <v/>
      </c>
      <c r="X2496" s="7" t="str">
        <f>IF(ISBLANK(patch[[#This Row],[project]]), "",COUNTIFS($A:$A,patch[[#This Row],[number]],$S:$S, "FL And dev",$AC:$AC, "Review-1"))</f>
        <v/>
      </c>
      <c r="Y2496" s="7" t="str">
        <f>IF(ISBLANK(patch[[#This Row],[project]]), "",COUNTIFS($A:$A,patch[[#This Row],[number]],$S:$S, "SH And dev",$AC:$AC, "Review-1"))</f>
        <v/>
      </c>
      <c r="Z2496" s="7" t="str">
        <f>IF(ISBLANK(patch[[#This Row],[project]]), "",COUNTIFS($A:$A,patch[[#This Row],[number]],$S:$S, "BJ And dev",$AD:$AD, "&lt;&gt;IntegratorValidationComment"))</f>
        <v/>
      </c>
      <c r="AA2496" s="7" t="str">
        <f>IF(ISBLANK(patch[[#This Row],[project]]), "",COUNTIFS($A:$A,patch[[#This Row],[number]],$S:$S, "FL And dev",$AD:$AD, "&lt;&gt;IntegratorValidationComment"))</f>
        <v/>
      </c>
      <c r="AB2496" s="7" t="str">
        <f>IF(ISBLANK(patch[[#This Row],[project]]), "",COUNTIFS($A:$A,patch[[#This Row],[number]],$S:$S, "SH And dev",$AD:$AD, "&lt;&gt;IntegratorValidationComment"))</f>
        <v/>
      </c>
      <c r="AC2496" s="7" t="str">
        <f>IF(OR(ISNUMBER(FIND("Review-1", patch[[#This Row],[comments]])), ISNUMBER(FIND("Approver-1", patch[[#This Row],[comments]]))), "Review-1", "")</f>
        <v/>
      </c>
      <c r="AD24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96" s="7">
        <f>IF(ISBLANK(patch[[#This Row],[number]]),AE2495,patch[[#This Row],[ifCommon]])</f>
        <v>0</v>
      </c>
    </row>
    <row r="2497" spans="1:31">
      <c r="A2497" s="151">
        <v>142680</v>
      </c>
      <c r="B2497" s="151"/>
      <c r="C2497" s="151"/>
      <c r="D2497" s="151"/>
      <c r="E2497" s="151"/>
      <c r="F2497" s="151"/>
      <c r="G2497" s="151"/>
      <c r="H2497" s="151"/>
      <c r="I2497" s="151"/>
      <c r="J2497" s="152">
        <v>42615.719988425917</v>
      </c>
      <c r="K2497" s="151"/>
      <c r="L2497" s="151" t="s">
        <v>1203</v>
      </c>
      <c r="M2497" s="152">
        <v>42614.565613425933</v>
      </c>
      <c r="N2497" s="151" t="s">
        <v>2467</v>
      </c>
      <c r="O2497" s="151"/>
      <c r="P2497" s="151"/>
      <c r="Q2497" s="7" t="str">
        <f>IF(ISBLANK(patch[[#This Row],[OwnerEmail]]),Q2496,patch[[#This Row],[OwnerEmail]])</f>
        <v>xi.cao@intel.com</v>
      </c>
      <c r="R2497" s="7" t="str">
        <f>_xlfn.IFNA(VLOOKUP(patch[[#This Row],[tmp-owner.email]],OrgTree!$A:$K, 11, 0), "not ICG SWFW")</f>
        <v>BJ And dev</v>
      </c>
      <c r="S2497" s="7" t="str">
        <f>IF(patch[[#This Row],[reviewer]]=patch[[#This Row],[tmp-owner.email]], "author", _xlfn.IFNA(VLOOKUP(patch[[#This Row],[reviewer]],OrgTree!$A:$K, 11, 0), "not ICG SWFW"))</f>
        <v>author</v>
      </c>
      <c r="T2497" s="7" t="str">
        <f>IF(ISBLANK(patch[[#This Row],[mergeDate]]), "", MID(YEAR(patch[[#This Row],[mergeDate]]), 3,2)&amp;"'ww"&amp;WEEKNUM(patch[[#This Row],[mergeDate]]))</f>
        <v>16'ww36</v>
      </c>
      <c r="U2497" s="7" t="str">
        <f>IF(ISBLANK(patch[[#This Row],[mergeDate]]), U2496, MID(YEAR(patch[[#This Row],[mergeDate]]), 3,2)&amp;"'m"&amp;MONTH(patch[[#This Row],[mergeDate]]))</f>
        <v>16'm9</v>
      </c>
      <c r="V2497" s="7" t="str">
        <f>IF(ISBLANK(patch[[#This Row],[project]]), "",SUM(patch[[#This Row],[BJ -1 num]:[SH -1 num]]))</f>
        <v/>
      </c>
      <c r="W2497" s="7" t="str">
        <f>IF(ISBLANK(patch[[#This Row],[project]]), "",COUNTIFS($A:$A,patch[[#This Row],[number]],$S:$S, "BJ And dev",$AC:$AC, "Review-1"))</f>
        <v/>
      </c>
      <c r="X2497" s="7" t="str">
        <f>IF(ISBLANK(patch[[#This Row],[project]]), "",COUNTIFS($A:$A,patch[[#This Row],[number]],$S:$S, "FL And dev",$AC:$AC, "Review-1"))</f>
        <v/>
      </c>
      <c r="Y2497" s="7" t="str">
        <f>IF(ISBLANK(patch[[#This Row],[project]]), "",COUNTIFS($A:$A,patch[[#This Row],[number]],$S:$S, "SH And dev",$AC:$AC, "Review-1"))</f>
        <v/>
      </c>
      <c r="Z2497" s="7" t="str">
        <f>IF(ISBLANK(patch[[#This Row],[project]]), "",COUNTIFS($A:$A,patch[[#This Row],[number]],$S:$S, "BJ And dev",$AD:$AD, "&lt;&gt;IntegratorValidationComment"))</f>
        <v/>
      </c>
      <c r="AA2497" s="7" t="str">
        <f>IF(ISBLANK(patch[[#This Row],[project]]), "",COUNTIFS($A:$A,patch[[#This Row],[number]],$S:$S, "FL And dev",$AD:$AD, "&lt;&gt;IntegratorValidationComment"))</f>
        <v/>
      </c>
      <c r="AB2497" s="7" t="str">
        <f>IF(ISBLANK(patch[[#This Row],[project]]), "",COUNTIFS($A:$A,patch[[#This Row],[number]],$S:$S, "SH And dev",$AD:$AD, "&lt;&gt;IntegratorValidationComment"))</f>
        <v/>
      </c>
      <c r="AC2497" s="7" t="str">
        <f>IF(OR(ISNUMBER(FIND("Review-1", patch[[#This Row],[comments]])), ISNUMBER(FIND("Approver-1", patch[[#This Row],[comments]]))), "Review-1", "")</f>
        <v/>
      </c>
      <c r="AD24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97" s="7">
        <f>IF(ISBLANK(patch[[#This Row],[number]]),AE2496,patch[[#This Row],[ifCommon]])</f>
        <v>0</v>
      </c>
    </row>
    <row r="2498" spans="1:31">
      <c r="A2498" s="151">
        <v>142680</v>
      </c>
      <c r="B2498" s="151"/>
      <c r="C2498" s="151"/>
      <c r="D2498" s="151"/>
      <c r="E2498" s="151"/>
      <c r="F2498" s="151"/>
      <c r="G2498" s="151"/>
      <c r="H2498" s="151"/>
      <c r="I2498" s="151"/>
      <c r="J2498" s="152">
        <v>42615.719988425917</v>
      </c>
      <c r="K2498" s="151"/>
      <c r="L2498" s="151" t="s">
        <v>59</v>
      </c>
      <c r="M2498" s="152">
        <v>42614.566516203697</v>
      </c>
      <c r="N2498" s="151" t="s">
        <v>3838</v>
      </c>
      <c r="O2498" s="151"/>
      <c r="P2498" s="151"/>
      <c r="Q2498" s="7" t="str">
        <f>IF(ISBLANK(patch[[#This Row],[OwnerEmail]]),Q2497,patch[[#This Row],[OwnerEmail]])</f>
        <v>xi.cao@intel.com</v>
      </c>
      <c r="R2498" s="7" t="str">
        <f>_xlfn.IFNA(VLOOKUP(patch[[#This Row],[tmp-owner.email]],OrgTree!$A:$K, 11, 0), "not ICG SWFW")</f>
        <v>BJ And dev</v>
      </c>
      <c r="S2498" s="7" t="str">
        <f>IF(patch[[#This Row],[reviewer]]=patch[[#This Row],[tmp-owner.email]], "author", _xlfn.IFNA(VLOOKUP(patch[[#This Row],[reviewer]],OrgTree!$A:$K, 11, 0), "not ICG SWFW"))</f>
        <v>BJ And dev</v>
      </c>
      <c r="T2498" s="7" t="str">
        <f>IF(ISBLANK(patch[[#This Row],[mergeDate]]), "", MID(YEAR(patch[[#This Row],[mergeDate]]), 3,2)&amp;"'ww"&amp;WEEKNUM(patch[[#This Row],[mergeDate]]))</f>
        <v>16'ww36</v>
      </c>
      <c r="U2498" s="7" t="str">
        <f>IF(ISBLANK(patch[[#This Row],[mergeDate]]), U2497, MID(YEAR(patch[[#This Row],[mergeDate]]), 3,2)&amp;"'m"&amp;MONTH(patch[[#This Row],[mergeDate]]))</f>
        <v>16'm9</v>
      </c>
      <c r="V2498" s="7" t="str">
        <f>IF(ISBLANK(patch[[#This Row],[project]]), "",SUM(patch[[#This Row],[BJ -1 num]:[SH -1 num]]))</f>
        <v/>
      </c>
      <c r="W2498" s="7" t="str">
        <f>IF(ISBLANK(patch[[#This Row],[project]]), "",COUNTIFS($A:$A,patch[[#This Row],[number]],$S:$S, "BJ And dev",$AC:$AC, "Review-1"))</f>
        <v/>
      </c>
      <c r="X2498" s="7" t="str">
        <f>IF(ISBLANK(patch[[#This Row],[project]]), "",COUNTIFS($A:$A,patch[[#This Row],[number]],$S:$S, "FL And dev",$AC:$AC, "Review-1"))</f>
        <v/>
      </c>
      <c r="Y2498" s="7" t="str">
        <f>IF(ISBLANK(patch[[#This Row],[project]]), "",COUNTIFS($A:$A,patch[[#This Row],[number]],$S:$S, "SH And dev",$AC:$AC, "Review-1"))</f>
        <v/>
      </c>
      <c r="Z2498" s="7" t="str">
        <f>IF(ISBLANK(patch[[#This Row],[project]]), "",COUNTIFS($A:$A,patch[[#This Row],[number]],$S:$S, "BJ And dev",$AD:$AD, "&lt;&gt;IntegratorValidationComment"))</f>
        <v/>
      </c>
      <c r="AA2498" s="7" t="str">
        <f>IF(ISBLANK(patch[[#This Row],[project]]), "",COUNTIFS($A:$A,patch[[#This Row],[number]],$S:$S, "FL And dev",$AD:$AD, "&lt;&gt;IntegratorValidationComment"))</f>
        <v/>
      </c>
      <c r="AB2498" s="7" t="str">
        <f>IF(ISBLANK(patch[[#This Row],[project]]), "",COUNTIFS($A:$A,patch[[#This Row],[number]],$S:$S, "SH And dev",$AD:$AD, "&lt;&gt;IntegratorValidationComment"))</f>
        <v/>
      </c>
      <c r="AC2498" s="7" t="str">
        <f>IF(OR(ISNUMBER(FIND("Review-1", patch[[#This Row],[comments]])), ISNUMBER(FIND("Approver-1", patch[[#This Row],[comments]]))), "Review-1", "")</f>
        <v/>
      </c>
      <c r="AD24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98" s="7">
        <f>IF(ISBLANK(patch[[#This Row],[number]]),AE2497,patch[[#This Row],[ifCommon]])</f>
        <v>0</v>
      </c>
    </row>
    <row r="2499" spans="1:31">
      <c r="A2499" s="151">
        <v>142680</v>
      </c>
      <c r="B2499" s="151"/>
      <c r="C2499" s="151"/>
      <c r="D2499" s="151"/>
      <c r="E2499" s="151"/>
      <c r="F2499" s="151"/>
      <c r="G2499" s="151"/>
      <c r="H2499" s="151"/>
      <c r="I2499" s="151"/>
      <c r="J2499" s="152">
        <v>42615.719988425917</v>
      </c>
      <c r="K2499" s="151"/>
      <c r="L2499" s="151" t="s">
        <v>1203</v>
      </c>
      <c r="M2499" s="152">
        <v>42614.56695601852</v>
      </c>
      <c r="N2499" s="151" t="s">
        <v>1849</v>
      </c>
      <c r="O2499" s="151"/>
      <c r="P2499" s="151"/>
      <c r="Q2499" s="7" t="str">
        <f>IF(ISBLANK(patch[[#This Row],[OwnerEmail]]),Q2498,patch[[#This Row],[OwnerEmail]])</f>
        <v>xi.cao@intel.com</v>
      </c>
      <c r="R2499" s="7" t="str">
        <f>_xlfn.IFNA(VLOOKUP(patch[[#This Row],[tmp-owner.email]],OrgTree!$A:$K, 11, 0), "not ICG SWFW")</f>
        <v>BJ And dev</v>
      </c>
      <c r="S2499" s="7" t="str">
        <f>IF(patch[[#This Row],[reviewer]]=patch[[#This Row],[tmp-owner.email]], "author", _xlfn.IFNA(VLOOKUP(patch[[#This Row],[reviewer]],OrgTree!$A:$K, 11, 0), "not ICG SWFW"))</f>
        <v>author</v>
      </c>
      <c r="T2499" s="7" t="str">
        <f>IF(ISBLANK(patch[[#This Row],[mergeDate]]), "", MID(YEAR(patch[[#This Row],[mergeDate]]), 3,2)&amp;"'ww"&amp;WEEKNUM(patch[[#This Row],[mergeDate]]))</f>
        <v>16'ww36</v>
      </c>
      <c r="U2499" s="7" t="str">
        <f>IF(ISBLANK(patch[[#This Row],[mergeDate]]), U2498, MID(YEAR(patch[[#This Row],[mergeDate]]), 3,2)&amp;"'m"&amp;MONTH(patch[[#This Row],[mergeDate]]))</f>
        <v>16'm9</v>
      </c>
      <c r="V2499" s="7" t="str">
        <f>IF(ISBLANK(patch[[#This Row],[project]]), "",SUM(patch[[#This Row],[BJ -1 num]:[SH -1 num]]))</f>
        <v/>
      </c>
      <c r="W2499" s="7" t="str">
        <f>IF(ISBLANK(patch[[#This Row],[project]]), "",COUNTIFS($A:$A,patch[[#This Row],[number]],$S:$S, "BJ And dev",$AC:$AC, "Review-1"))</f>
        <v/>
      </c>
      <c r="X2499" s="7" t="str">
        <f>IF(ISBLANK(patch[[#This Row],[project]]), "",COUNTIFS($A:$A,patch[[#This Row],[number]],$S:$S, "FL And dev",$AC:$AC, "Review-1"))</f>
        <v/>
      </c>
      <c r="Y2499" s="7" t="str">
        <f>IF(ISBLANK(patch[[#This Row],[project]]), "",COUNTIFS($A:$A,patch[[#This Row],[number]],$S:$S, "SH And dev",$AC:$AC, "Review-1"))</f>
        <v/>
      </c>
      <c r="Z2499" s="7" t="str">
        <f>IF(ISBLANK(patch[[#This Row],[project]]), "",COUNTIFS($A:$A,patch[[#This Row],[number]],$S:$S, "BJ And dev",$AD:$AD, "&lt;&gt;IntegratorValidationComment"))</f>
        <v/>
      </c>
      <c r="AA2499" s="7" t="str">
        <f>IF(ISBLANK(patch[[#This Row],[project]]), "",COUNTIFS($A:$A,patch[[#This Row],[number]],$S:$S, "FL And dev",$AD:$AD, "&lt;&gt;IntegratorValidationComment"))</f>
        <v/>
      </c>
      <c r="AB2499" s="7" t="str">
        <f>IF(ISBLANK(patch[[#This Row],[project]]), "",COUNTIFS($A:$A,patch[[#This Row],[number]],$S:$S, "SH And dev",$AD:$AD, "&lt;&gt;IntegratorValidationComment"))</f>
        <v/>
      </c>
      <c r="AC2499" s="7" t="str">
        <f>IF(OR(ISNUMBER(FIND("Review-1", patch[[#This Row],[comments]])), ISNUMBER(FIND("Approver-1", patch[[#This Row],[comments]]))), "Review-1", "")</f>
        <v/>
      </c>
      <c r="AD24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499" s="7">
        <f>IF(ISBLANK(patch[[#This Row],[number]]),AE2498,patch[[#This Row],[ifCommon]])</f>
        <v>0</v>
      </c>
    </row>
    <row r="2500" spans="1:31">
      <c r="A2500" s="151">
        <v>142680</v>
      </c>
      <c r="B2500" s="151"/>
      <c r="C2500" s="151"/>
      <c r="D2500" s="151"/>
      <c r="E2500" s="151"/>
      <c r="F2500" s="151"/>
      <c r="G2500" s="151"/>
      <c r="H2500" s="151"/>
      <c r="I2500" s="151"/>
      <c r="J2500" s="152">
        <v>42615.719988425917</v>
      </c>
      <c r="K2500" s="151"/>
      <c r="L2500" s="151" t="s">
        <v>59</v>
      </c>
      <c r="M2500" s="152">
        <v>42614.569861111107</v>
      </c>
      <c r="N2500" s="151" t="s">
        <v>1849</v>
      </c>
      <c r="O2500" s="151"/>
      <c r="P2500" s="151"/>
      <c r="Q2500" s="7" t="str">
        <f>IF(ISBLANK(patch[[#This Row],[OwnerEmail]]),Q2499,patch[[#This Row],[OwnerEmail]])</f>
        <v>xi.cao@intel.com</v>
      </c>
      <c r="R2500" s="7" t="str">
        <f>_xlfn.IFNA(VLOOKUP(patch[[#This Row],[tmp-owner.email]],OrgTree!$A:$K, 11, 0), "not ICG SWFW")</f>
        <v>BJ And dev</v>
      </c>
      <c r="S2500" s="7" t="str">
        <f>IF(patch[[#This Row],[reviewer]]=patch[[#This Row],[tmp-owner.email]], "author", _xlfn.IFNA(VLOOKUP(patch[[#This Row],[reviewer]],OrgTree!$A:$K, 11, 0), "not ICG SWFW"))</f>
        <v>BJ And dev</v>
      </c>
      <c r="T2500" s="7" t="str">
        <f>IF(ISBLANK(patch[[#This Row],[mergeDate]]), "", MID(YEAR(patch[[#This Row],[mergeDate]]), 3,2)&amp;"'ww"&amp;WEEKNUM(patch[[#This Row],[mergeDate]]))</f>
        <v>16'ww36</v>
      </c>
      <c r="U2500" s="7" t="str">
        <f>IF(ISBLANK(patch[[#This Row],[mergeDate]]), U2499, MID(YEAR(patch[[#This Row],[mergeDate]]), 3,2)&amp;"'m"&amp;MONTH(patch[[#This Row],[mergeDate]]))</f>
        <v>16'm9</v>
      </c>
      <c r="V2500" s="7" t="str">
        <f>IF(ISBLANK(patch[[#This Row],[project]]), "",SUM(patch[[#This Row],[BJ -1 num]:[SH -1 num]]))</f>
        <v/>
      </c>
      <c r="W2500" s="7" t="str">
        <f>IF(ISBLANK(patch[[#This Row],[project]]), "",COUNTIFS($A:$A,patch[[#This Row],[number]],$S:$S, "BJ And dev",$AC:$AC, "Review-1"))</f>
        <v/>
      </c>
      <c r="X2500" s="7" t="str">
        <f>IF(ISBLANK(patch[[#This Row],[project]]), "",COUNTIFS($A:$A,patch[[#This Row],[number]],$S:$S, "FL And dev",$AC:$AC, "Review-1"))</f>
        <v/>
      </c>
      <c r="Y2500" s="7" t="str">
        <f>IF(ISBLANK(patch[[#This Row],[project]]), "",COUNTIFS($A:$A,patch[[#This Row],[number]],$S:$S, "SH And dev",$AC:$AC, "Review-1"))</f>
        <v/>
      </c>
      <c r="Z2500" s="7" t="str">
        <f>IF(ISBLANK(patch[[#This Row],[project]]), "",COUNTIFS($A:$A,patch[[#This Row],[number]],$S:$S, "BJ And dev",$AD:$AD, "&lt;&gt;IntegratorValidationComment"))</f>
        <v/>
      </c>
      <c r="AA2500" s="7" t="str">
        <f>IF(ISBLANK(patch[[#This Row],[project]]), "",COUNTIFS($A:$A,patch[[#This Row],[number]],$S:$S, "FL And dev",$AD:$AD, "&lt;&gt;IntegratorValidationComment"))</f>
        <v/>
      </c>
      <c r="AB2500" s="7" t="str">
        <f>IF(ISBLANK(patch[[#This Row],[project]]), "",COUNTIFS($A:$A,patch[[#This Row],[number]],$S:$S, "SH And dev",$AD:$AD, "&lt;&gt;IntegratorValidationComment"))</f>
        <v/>
      </c>
      <c r="AC2500" s="7" t="str">
        <f>IF(OR(ISNUMBER(FIND("Review-1", patch[[#This Row],[comments]])), ISNUMBER(FIND("Approver-1", patch[[#This Row],[comments]]))), "Review-1", "")</f>
        <v/>
      </c>
      <c r="AD25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00" s="7">
        <f>IF(ISBLANK(patch[[#This Row],[number]]),AE2499,patch[[#This Row],[ifCommon]])</f>
        <v>0</v>
      </c>
    </row>
    <row r="2501" spans="1:31">
      <c r="A2501" s="151">
        <v>142680</v>
      </c>
      <c r="B2501" s="151"/>
      <c r="C2501" s="151"/>
      <c r="D2501" s="151"/>
      <c r="E2501" s="151"/>
      <c r="F2501" s="151"/>
      <c r="G2501" s="151"/>
      <c r="H2501" s="151"/>
      <c r="I2501" s="152"/>
      <c r="J2501" s="152">
        <v>42615.719988425917</v>
      </c>
      <c r="K2501" s="151"/>
      <c r="L2501" s="151" t="s">
        <v>59</v>
      </c>
      <c r="M2501" s="152">
        <v>42614.569918981477</v>
      </c>
      <c r="N2501" s="151" t="s">
        <v>3839</v>
      </c>
      <c r="O2501" s="151"/>
      <c r="P2501" s="151"/>
      <c r="Q2501" s="7" t="str">
        <f>IF(ISBLANK(patch[[#This Row],[OwnerEmail]]),Q2500,patch[[#This Row],[OwnerEmail]])</f>
        <v>xi.cao@intel.com</v>
      </c>
      <c r="R2501" s="7" t="str">
        <f>_xlfn.IFNA(VLOOKUP(patch[[#This Row],[tmp-owner.email]],OrgTree!$A:$K, 11, 0), "not ICG SWFW")</f>
        <v>BJ And dev</v>
      </c>
      <c r="S2501" s="7" t="str">
        <f>IF(patch[[#This Row],[reviewer]]=patch[[#This Row],[tmp-owner.email]], "author", _xlfn.IFNA(VLOOKUP(patch[[#This Row],[reviewer]],OrgTree!$A:$K, 11, 0), "not ICG SWFW"))</f>
        <v>BJ And dev</v>
      </c>
      <c r="T2501" s="7" t="str">
        <f>IF(ISBLANK(patch[[#This Row],[mergeDate]]), "", MID(YEAR(patch[[#This Row],[mergeDate]]), 3,2)&amp;"'ww"&amp;WEEKNUM(patch[[#This Row],[mergeDate]]))</f>
        <v>16'ww36</v>
      </c>
      <c r="U2501" s="7" t="str">
        <f>IF(ISBLANK(patch[[#This Row],[mergeDate]]), U2500, MID(YEAR(patch[[#This Row],[mergeDate]]), 3,2)&amp;"'m"&amp;MONTH(patch[[#This Row],[mergeDate]]))</f>
        <v>16'm9</v>
      </c>
      <c r="V2501" s="7" t="str">
        <f>IF(ISBLANK(patch[[#This Row],[project]]), "",SUM(patch[[#This Row],[BJ -1 num]:[SH -1 num]]))</f>
        <v/>
      </c>
      <c r="W2501" s="7" t="str">
        <f>IF(ISBLANK(patch[[#This Row],[project]]), "",COUNTIFS($A:$A,patch[[#This Row],[number]],$S:$S, "BJ And dev",$AC:$AC, "Review-1"))</f>
        <v/>
      </c>
      <c r="X2501" s="7" t="str">
        <f>IF(ISBLANK(patch[[#This Row],[project]]), "",COUNTIFS($A:$A,patch[[#This Row],[number]],$S:$S, "FL And dev",$AC:$AC, "Review-1"))</f>
        <v/>
      </c>
      <c r="Y2501" s="7" t="str">
        <f>IF(ISBLANK(patch[[#This Row],[project]]), "",COUNTIFS($A:$A,patch[[#This Row],[number]],$S:$S, "SH And dev",$AC:$AC, "Review-1"))</f>
        <v/>
      </c>
      <c r="Z2501" s="7" t="str">
        <f>IF(ISBLANK(patch[[#This Row],[project]]), "",COUNTIFS($A:$A,patch[[#This Row],[number]],$S:$S, "BJ And dev",$AD:$AD, "&lt;&gt;IntegratorValidationComment"))</f>
        <v/>
      </c>
      <c r="AA2501" s="7" t="str">
        <f>IF(ISBLANK(patch[[#This Row],[project]]), "",COUNTIFS($A:$A,patch[[#This Row],[number]],$S:$S, "FL And dev",$AD:$AD, "&lt;&gt;IntegratorValidationComment"))</f>
        <v/>
      </c>
      <c r="AB2501" s="7" t="str">
        <f>IF(ISBLANK(patch[[#This Row],[project]]), "",COUNTIFS($A:$A,patch[[#This Row],[number]],$S:$S, "SH And dev",$AD:$AD, "&lt;&gt;IntegratorValidationComment"))</f>
        <v/>
      </c>
      <c r="AC2501" s="7" t="str">
        <f>IF(OR(ISNUMBER(FIND("Review-1", patch[[#This Row],[comments]])), ISNUMBER(FIND("Approver-1", patch[[#This Row],[comments]]))), "Review-1", "")</f>
        <v/>
      </c>
      <c r="AD25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01" s="7">
        <f>IF(ISBLANK(patch[[#This Row],[number]]),AE2500,patch[[#This Row],[ifCommon]])</f>
        <v>0</v>
      </c>
    </row>
    <row r="2502" spans="1:31">
      <c r="A2502" s="151">
        <v>142680</v>
      </c>
      <c r="B2502" s="151"/>
      <c r="C2502" s="151"/>
      <c r="D2502" s="151"/>
      <c r="E2502" s="151"/>
      <c r="F2502" s="151"/>
      <c r="G2502" s="151"/>
      <c r="H2502" s="151"/>
      <c r="I2502" s="151"/>
      <c r="J2502" s="152">
        <v>42615.719988425917</v>
      </c>
      <c r="K2502" s="151"/>
      <c r="L2502" s="151" t="s">
        <v>59</v>
      </c>
      <c r="M2502" s="152">
        <v>42614.573425925933</v>
      </c>
      <c r="N2502" s="151" t="s">
        <v>3840</v>
      </c>
      <c r="O2502" s="151"/>
      <c r="P2502" s="151"/>
      <c r="Q2502" s="7" t="str">
        <f>IF(ISBLANK(patch[[#This Row],[OwnerEmail]]),Q2501,patch[[#This Row],[OwnerEmail]])</f>
        <v>xi.cao@intel.com</v>
      </c>
      <c r="R2502" s="7" t="str">
        <f>_xlfn.IFNA(VLOOKUP(patch[[#This Row],[tmp-owner.email]],OrgTree!$A:$K, 11, 0), "not ICG SWFW")</f>
        <v>BJ And dev</v>
      </c>
      <c r="S2502" s="7" t="str">
        <f>IF(patch[[#This Row],[reviewer]]=patch[[#This Row],[tmp-owner.email]], "author", _xlfn.IFNA(VLOOKUP(patch[[#This Row],[reviewer]],OrgTree!$A:$K, 11, 0), "not ICG SWFW"))</f>
        <v>BJ And dev</v>
      </c>
      <c r="T2502" s="7" t="str">
        <f>IF(ISBLANK(patch[[#This Row],[mergeDate]]), "", MID(YEAR(patch[[#This Row],[mergeDate]]), 3,2)&amp;"'ww"&amp;WEEKNUM(patch[[#This Row],[mergeDate]]))</f>
        <v>16'ww36</v>
      </c>
      <c r="U2502" s="7" t="str">
        <f>IF(ISBLANK(patch[[#This Row],[mergeDate]]), U2501, MID(YEAR(patch[[#This Row],[mergeDate]]), 3,2)&amp;"'m"&amp;MONTH(patch[[#This Row],[mergeDate]]))</f>
        <v>16'm9</v>
      </c>
      <c r="V2502" s="7" t="str">
        <f>IF(ISBLANK(patch[[#This Row],[project]]), "",SUM(patch[[#This Row],[BJ -1 num]:[SH -1 num]]))</f>
        <v/>
      </c>
      <c r="W2502" s="7" t="str">
        <f>IF(ISBLANK(patch[[#This Row],[project]]), "",COUNTIFS($A:$A,patch[[#This Row],[number]],$S:$S, "BJ And dev",$AC:$AC, "Review-1"))</f>
        <v/>
      </c>
      <c r="X2502" s="7" t="str">
        <f>IF(ISBLANK(patch[[#This Row],[project]]), "",COUNTIFS($A:$A,patch[[#This Row],[number]],$S:$S, "FL And dev",$AC:$AC, "Review-1"))</f>
        <v/>
      </c>
      <c r="Y2502" s="7" t="str">
        <f>IF(ISBLANK(patch[[#This Row],[project]]), "",COUNTIFS($A:$A,patch[[#This Row],[number]],$S:$S, "SH And dev",$AC:$AC, "Review-1"))</f>
        <v/>
      </c>
      <c r="Z2502" s="7" t="str">
        <f>IF(ISBLANK(patch[[#This Row],[project]]), "",COUNTIFS($A:$A,patch[[#This Row],[number]],$S:$S, "BJ And dev",$AD:$AD, "&lt;&gt;IntegratorValidationComment"))</f>
        <v/>
      </c>
      <c r="AA2502" s="7" t="str">
        <f>IF(ISBLANK(patch[[#This Row],[project]]), "",COUNTIFS($A:$A,patch[[#This Row],[number]],$S:$S, "FL And dev",$AD:$AD, "&lt;&gt;IntegratorValidationComment"))</f>
        <v/>
      </c>
      <c r="AB2502" s="7" t="str">
        <f>IF(ISBLANK(patch[[#This Row],[project]]), "",COUNTIFS($A:$A,patch[[#This Row],[number]],$S:$S, "SH And dev",$AD:$AD, "&lt;&gt;IntegratorValidationComment"))</f>
        <v/>
      </c>
      <c r="AC2502" s="7" t="str">
        <f>IF(OR(ISNUMBER(FIND("Review-1", patch[[#This Row],[comments]])), ISNUMBER(FIND("Approver-1", patch[[#This Row],[comments]]))), "Review-1", "")</f>
        <v/>
      </c>
      <c r="AD25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02" s="7">
        <f>IF(ISBLANK(patch[[#This Row],[number]]),AE2501,patch[[#This Row],[ifCommon]])</f>
        <v>0</v>
      </c>
    </row>
    <row r="2503" spans="1:31">
      <c r="A2503" s="151">
        <v>142680</v>
      </c>
      <c r="B2503" s="151"/>
      <c r="C2503" s="151"/>
      <c r="D2503" s="151"/>
      <c r="E2503" s="151"/>
      <c r="F2503" s="151"/>
      <c r="G2503" s="151"/>
      <c r="H2503" s="151"/>
      <c r="I2503" s="151"/>
      <c r="J2503" s="152">
        <v>42615.719988425917</v>
      </c>
      <c r="K2503" s="151"/>
      <c r="L2503" s="151" t="s">
        <v>32</v>
      </c>
      <c r="M2503" s="152">
        <v>42614.575671296298</v>
      </c>
      <c r="N2503" s="151" t="s">
        <v>2502</v>
      </c>
      <c r="O2503" s="151"/>
      <c r="P2503" s="151"/>
      <c r="Q2503" s="7" t="str">
        <f>IF(ISBLANK(patch[[#This Row],[OwnerEmail]]),Q2502,patch[[#This Row],[OwnerEmail]])</f>
        <v>xi.cao@intel.com</v>
      </c>
      <c r="R2503" s="7" t="str">
        <f>_xlfn.IFNA(VLOOKUP(patch[[#This Row],[tmp-owner.email]],OrgTree!$A:$K, 11, 0), "not ICG SWFW")</f>
        <v>BJ And dev</v>
      </c>
      <c r="S2503" s="7" t="str">
        <f>IF(patch[[#This Row],[reviewer]]=patch[[#This Row],[tmp-owner.email]], "author", _xlfn.IFNA(VLOOKUP(patch[[#This Row],[reviewer]],OrgTree!$A:$K, 11, 0), "not ICG SWFW"))</f>
        <v>BJ And dev</v>
      </c>
      <c r="T2503" s="7" t="str">
        <f>IF(ISBLANK(patch[[#This Row],[mergeDate]]), "", MID(YEAR(patch[[#This Row],[mergeDate]]), 3,2)&amp;"'ww"&amp;WEEKNUM(patch[[#This Row],[mergeDate]]))</f>
        <v>16'ww36</v>
      </c>
      <c r="U2503" s="7" t="str">
        <f>IF(ISBLANK(patch[[#This Row],[mergeDate]]), U2502, MID(YEAR(patch[[#This Row],[mergeDate]]), 3,2)&amp;"'m"&amp;MONTH(patch[[#This Row],[mergeDate]]))</f>
        <v>16'm9</v>
      </c>
      <c r="V2503" s="7" t="str">
        <f>IF(ISBLANK(patch[[#This Row],[project]]), "",SUM(patch[[#This Row],[BJ -1 num]:[SH -1 num]]))</f>
        <v/>
      </c>
      <c r="W2503" s="7" t="str">
        <f>IF(ISBLANK(patch[[#This Row],[project]]), "",COUNTIFS($A:$A,patch[[#This Row],[number]],$S:$S, "BJ And dev",$AC:$AC, "Review-1"))</f>
        <v/>
      </c>
      <c r="X2503" s="7" t="str">
        <f>IF(ISBLANK(patch[[#This Row],[project]]), "",COUNTIFS($A:$A,patch[[#This Row],[number]],$S:$S, "FL And dev",$AC:$AC, "Review-1"))</f>
        <v/>
      </c>
      <c r="Y2503" s="7" t="str">
        <f>IF(ISBLANK(patch[[#This Row],[project]]), "",COUNTIFS($A:$A,patch[[#This Row],[number]],$S:$S, "SH And dev",$AC:$AC, "Review-1"))</f>
        <v/>
      </c>
      <c r="Z2503" s="7" t="str">
        <f>IF(ISBLANK(patch[[#This Row],[project]]), "",COUNTIFS($A:$A,patch[[#This Row],[number]],$S:$S, "BJ And dev",$AD:$AD, "&lt;&gt;IntegratorValidationComment"))</f>
        <v/>
      </c>
      <c r="AA2503" s="7" t="str">
        <f>IF(ISBLANK(patch[[#This Row],[project]]), "",COUNTIFS($A:$A,patch[[#This Row],[number]],$S:$S, "FL And dev",$AD:$AD, "&lt;&gt;IntegratorValidationComment"))</f>
        <v/>
      </c>
      <c r="AB2503" s="7" t="str">
        <f>IF(ISBLANK(patch[[#This Row],[project]]), "",COUNTIFS($A:$A,patch[[#This Row],[number]],$S:$S, "SH And dev",$AD:$AD, "&lt;&gt;IntegratorValidationComment"))</f>
        <v/>
      </c>
      <c r="AC2503" s="7" t="str">
        <f>IF(OR(ISNUMBER(FIND("Review-1", patch[[#This Row],[comments]])), ISNUMBER(FIND("Approver-1", patch[[#This Row],[comments]]))), "Review-1", "")</f>
        <v/>
      </c>
      <c r="AD25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03" s="7">
        <f>IF(ISBLANK(patch[[#This Row],[number]]),AE2502,patch[[#This Row],[ifCommon]])</f>
        <v>0</v>
      </c>
    </row>
    <row r="2504" spans="1:31">
      <c r="A2504" s="151">
        <v>142680</v>
      </c>
      <c r="B2504" s="151"/>
      <c r="C2504" s="151"/>
      <c r="D2504" s="151"/>
      <c r="E2504" s="151"/>
      <c r="F2504" s="151"/>
      <c r="G2504" s="151"/>
      <c r="H2504" s="151"/>
      <c r="I2504" s="152"/>
      <c r="J2504" s="152">
        <v>42615.719988425917</v>
      </c>
      <c r="K2504" s="151"/>
      <c r="L2504" s="151" t="s">
        <v>115</v>
      </c>
      <c r="M2504" s="152">
        <v>42615.424942129634</v>
      </c>
      <c r="N2504" s="151" t="s">
        <v>2503</v>
      </c>
      <c r="O2504" s="151"/>
      <c r="P2504" s="151"/>
      <c r="Q2504" s="7" t="str">
        <f>IF(ISBLANK(patch[[#This Row],[OwnerEmail]]),Q2503,patch[[#This Row],[OwnerEmail]])</f>
        <v>xi.cao@intel.com</v>
      </c>
      <c r="R2504" s="7" t="str">
        <f>_xlfn.IFNA(VLOOKUP(patch[[#This Row],[tmp-owner.email]],OrgTree!$A:$K, 11, 0), "not ICG SWFW")</f>
        <v>BJ And dev</v>
      </c>
      <c r="S2504" s="7" t="str">
        <f>IF(patch[[#This Row],[reviewer]]=patch[[#This Row],[tmp-owner.email]], "author", _xlfn.IFNA(VLOOKUP(patch[[#This Row],[reviewer]],OrgTree!$A:$K, 11, 0), "not ICG SWFW"))</f>
        <v>Val</v>
      </c>
      <c r="T2504" s="7" t="str">
        <f>IF(ISBLANK(patch[[#This Row],[mergeDate]]), "", MID(YEAR(patch[[#This Row],[mergeDate]]), 3,2)&amp;"'ww"&amp;WEEKNUM(patch[[#This Row],[mergeDate]]))</f>
        <v>16'ww36</v>
      </c>
      <c r="U2504" s="7" t="str">
        <f>IF(ISBLANK(patch[[#This Row],[mergeDate]]), U2503, MID(YEAR(patch[[#This Row],[mergeDate]]), 3,2)&amp;"'m"&amp;MONTH(patch[[#This Row],[mergeDate]]))</f>
        <v>16'm9</v>
      </c>
      <c r="V2504" s="7" t="str">
        <f>IF(ISBLANK(patch[[#This Row],[project]]), "",SUM(patch[[#This Row],[BJ -1 num]:[SH -1 num]]))</f>
        <v/>
      </c>
      <c r="W2504" s="7" t="str">
        <f>IF(ISBLANK(patch[[#This Row],[project]]), "",COUNTIFS($A:$A,patch[[#This Row],[number]],$S:$S, "BJ And dev",$AC:$AC, "Review-1"))</f>
        <v/>
      </c>
      <c r="X2504" s="7" t="str">
        <f>IF(ISBLANK(patch[[#This Row],[project]]), "",COUNTIFS($A:$A,patch[[#This Row],[number]],$S:$S, "FL And dev",$AC:$AC, "Review-1"))</f>
        <v/>
      </c>
      <c r="Y2504" s="7" t="str">
        <f>IF(ISBLANK(patch[[#This Row],[project]]), "",COUNTIFS($A:$A,patch[[#This Row],[number]],$S:$S, "SH And dev",$AC:$AC, "Review-1"))</f>
        <v/>
      </c>
      <c r="Z2504" s="7" t="str">
        <f>IF(ISBLANK(patch[[#This Row],[project]]), "",COUNTIFS($A:$A,patch[[#This Row],[number]],$S:$S, "BJ And dev",$AD:$AD, "&lt;&gt;IntegratorValidationComment"))</f>
        <v/>
      </c>
      <c r="AA2504" s="7" t="str">
        <f>IF(ISBLANK(patch[[#This Row],[project]]), "",COUNTIFS($A:$A,patch[[#This Row],[number]],$S:$S, "FL And dev",$AD:$AD, "&lt;&gt;IntegratorValidationComment"))</f>
        <v/>
      </c>
      <c r="AB2504" s="7" t="str">
        <f>IF(ISBLANK(patch[[#This Row],[project]]), "",COUNTIFS($A:$A,patch[[#This Row],[number]],$S:$S, "SH And dev",$AD:$AD, "&lt;&gt;IntegratorValidationComment"))</f>
        <v/>
      </c>
      <c r="AC2504" s="7" t="str">
        <f>IF(OR(ISNUMBER(FIND("Review-1", patch[[#This Row],[comments]])), ISNUMBER(FIND("Approver-1", patch[[#This Row],[comments]]))), "Review-1", "")</f>
        <v/>
      </c>
      <c r="AD25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504" s="7">
        <f>IF(ISBLANK(patch[[#This Row],[number]]),AE2503,patch[[#This Row],[ifCommon]])</f>
        <v>0</v>
      </c>
    </row>
    <row r="2505" spans="1:31">
      <c r="A2505" s="151">
        <v>142507</v>
      </c>
      <c r="B2505" s="151" t="s">
        <v>2493</v>
      </c>
      <c r="C2505" s="151" t="s">
        <v>2491</v>
      </c>
      <c r="D2505" s="151" t="s">
        <v>3841</v>
      </c>
      <c r="E2505" s="151" t="s">
        <v>1203</v>
      </c>
      <c r="F2505" s="151" t="s">
        <v>23</v>
      </c>
      <c r="G2505" s="151" t="s">
        <v>3842</v>
      </c>
      <c r="H2505" s="151" t="s">
        <v>3843</v>
      </c>
      <c r="I2505" s="152">
        <v>42613.583912037036</v>
      </c>
      <c r="J2505" s="152">
        <v>42615.719884259262</v>
      </c>
      <c r="K2505" s="151" t="s">
        <v>2445</v>
      </c>
      <c r="L2505" s="151" t="s">
        <v>1203</v>
      </c>
      <c r="M2505" s="152">
        <v>42613.583912037036</v>
      </c>
      <c r="N2505" s="151" t="s">
        <v>25</v>
      </c>
      <c r="O2505" s="151"/>
      <c r="P2505" s="151" t="s">
        <v>3844</v>
      </c>
      <c r="Q2505" s="7" t="str">
        <f>IF(ISBLANK(patch[[#This Row],[OwnerEmail]]),Q2504,patch[[#This Row],[OwnerEmail]])</f>
        <v>xi.cao@intel.com</v>
      </c>
      <c r="R2505" s="7" t="str">
        <f>_xlfn.IFNA(VLOOKUP(patch[[#This Row],[tmp-owner.email]],OrgTree!$A:$K, 11, 0), "not ICG SWFW")</f>
        <v>BJ And dev</v>
      </c>
      <c r="S2505" s="7" t="str">
        <f>IF(patch[[#This Row],[reviewer]]=patch[[#This Row],[tmp-owner.email]], "author", _xlfn.IFNA(VLOOKUP(patch[[#This Row],[reviewer]],OrgTree!$A:$K, 11, 0), "not ICG SWFW"))</f>
        <v>author</v>
      </c>
      <c r="T2505" s="7" t="str">
        <f>IF(ISBLANK(patch[[#This Row],[mergeDate]]), "", MID(YEAR(patch[[#This Row],[mergeDate]]), 3,2)&amp;"'ww"&amp;WEEKNUM(patch[[#This Row],[mergeDate]]))</f>
        <v>16'ww36</v>
      </c>
      <c r="U2505" s="7" t="str">
        <f>IF(ISBLANK(patch[[#This Row],[mergeDate]]), U2504, MID(YEAR(patch[[#This Row],[mergeDate]]), 3,2)&amp;"'m"&amp;MONTH(patch[[#This Row],[mergeDate]]))</f>
        <v>16'm9</v>
      </c>
      <c r="V2505" s="7">
        <f>IF(ISBLANK(patch[[#This Row],[project]]), "",SUM(patch[[#This Row],[BJ -1 num]:[SH -1 num]]))</f>
        <v>0</v>
      </c>
      <c r="W2505" s="7">
        <f>IF(ISBLANK(patch[[#This Row],[project]]), "",COUNTIFS($A:$A,patch[[#This Row],[number]],$S:$S, "BJ And dev",$AC:$AC, "Review-1"))</f>
        <v>0</v>
      </c>
      <c r="X2505" s="7">
        <f>IF(ISBLANK(patch[[#This Row],[project]]), "",COUNTIFS($A:$A,patch[[#This Row],[number]],$S:$S, "FL And dev",$AC:$AC, "Review-1"))</f>
        <v>0</v>
      </c>
      <c r="Y2505" s="7">
        <f>IF(ISBLANK(patch[[#This Row],[project]]), "",COUNTIFS($A:$A,patch[[#This Row],[number]],$S:$S, "SH And dev",$AC:$AC, "Review-1"))</f>
        <v>0</v>
      </c>
      <c r="Z2505" s="7">
        <f>IF(ISBLANK(patch[[#This Row],[project]]), "",COUNTIFS($A:$A,patch[[#This Row],[number]],$S:$S, "BJ And dev",$AD:$AD, "&lt;&gt;IntegratorValidationComment"))</f>
        <v>9</v>
      </c>
      <c r="AA2505" s="7">
        <f>IF(ISBLANK(patch[[#This Row],[project]]), "",COUNTIFS($A:$A,patch[[#This Row],[number]],$S:$S, "FL And dev",$AD:$AD, "&lt;&gt;IntegratorValidationComment"))</f>
        <v>0</v>
      </c>
      <c r="AB2505" s="7">
        <f>IF(ISBLANK(patch[[#This Row],[project]]), "",COUNTIFS($A:$A,patch[[#This Row],[number]],$S:$S, "SH And dev",$AD:$AD, "&lt;&gt;IntegratorValidationComment"))</f>
        <v>0</v>
      </c>
      <c r="AC2505" s="7" t="str">
        <f>IF(OR(ISNUMBER(FIND("Review-1", patch[[#This Row],[comments]])), ISNUMBER(FIND("Approver-1", patch[[#This Row],[comments]]))), "Review-1", "")</f>
        <v/>
      </c>
      <c r="AD25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05" s="7" t="str">
        <f>IF(ISBLANK(patch[[#This Row],[number]]),AE2504,patch[[#This Row],[ifCommon]])</f>
        <v>not AndrHAL</v>
      </c>
    </row>
    <row r="2506" spans="1:31">
      <c r="A2506" s="151">
        <v>142507</v>
      </c>
      <c r="B2506" s="151"/>
      <c r="C2506" s="151"/>
      <c r="D2506" s="151"/>
      <c r="E2506" s="151"/>
      <c r="F2506" s="151"/>
      <c r="G2506" s="151"/>
      <c r="H2506" s="151"/>
      <c r="I2506" s="151"/>
      <c r="J2506" s="152">
        <v>42615.719884259262</v>
      </c>
      <c r="K2506" s="151"/>
      <c r="L2506" s="151" t="s">
        <v>1203</v>
      </c>
      <c r="M2506" s="152">
        <v>42613.58394675926</v>
      </c>
      <c r="N2506" s="151" t="s">
        <v>2428</v>
      </c>
      <c r="O2506" s="151"/>
      <c r="P2506" s="151"/>
      <c r="Q2506" s="7" t="str">
        <f>IF(ISBLANK(patch[[#This Row],[OwnerEmail]]),Q2505,patch[[#This Row],[OwnerEmail]])</f>
        <v>xi.cao@intel.com</v>
      </c>
      <c r="R2506" s="7" t="str">
        <f>_xlfn.IFNA(VLOOKUP(patch[[#This Row],[tmp-owner.email]],OrgTree!$A:$K, 11, 0), "not ICG SWFW")</f>
        <v>BJ And dev</v>
      </c>
      <c r="S2506" s="7" t="str">
        <f>IF(patch[[#This Row],[reviewer]]=patch[[#This Row],[tmp-owner.email]], "author", _xlfn.IFNA(VLOOKUP(patch[[#This Row],[reviewer]],OrgTree!$A:$K, 11, 0), "not ICG SWFW"))</f>
        <v>author</v>
      </c>
      <c r="T2506" s="7" t="str">
        <f>IF(ISBLANK(patch[[#This Row],[mergeDate]]), "", MID(YEAR(patch[[#This Row],[mergeDate]]), 3,2)&amp;"'ww"&amp;WEEKNUM(patch[[#This Row],[mergeDate]]))</f>
        <v>16'ww36</v>
      </c>
      <c r="U2506" s="7" t="str">
        <f>IF(ISBLANK(patch[[#This Row],[mergeDate]]), U2505, MID(YEAR(patch[[#This Row],[mergeDate]]), 3,2)&amp;"'m"&amp;MONTH(patch[[#This Row],[mergeDate]]))</f>
        <v>16'm9</v>
      </c>
      <c r="V2506" s="7" t="str">
        <f>IF(ISBLANK(patch[[#This Row],[project]]), "",SUM(patch[[#This Row],[BJ -1 num]:[SH -1 num]]))</f>
        <v/>
      </c>
      <c r="W2506" s="7" t="str">
        <f>IF(ISBLANK(patch[[#This Row],[project]]), "",COUNTIFS($A:$A,patch[[#This Row],[number]],$S:$S, "BJ And dev",$AC:$AC, "Review-1"))</f>
        <v/>
      </c>
      <c r="X2506" s="7" t="str">
        <f>IF(ISBLANK(patch[[#This Row],[project]]), "",COUNTIFS($A:$A,patch[[#This Row],[number]],$S:$S, "FL And dev",$AC:$AC, "Review-1"))</f>
        <v/>
      </c>
      <c r="Y2506" s="7" t="str">
        <f>IF(ISBLANK(patch[[#This Row],[project]]), "",COUNTIFS($A:$A,patch[[#This Row],[number]],$S:$S, "SH And dev",$AC:$AC, "Review-1"))</f>
        <v/>
      </c>
      <c r="Z2506" s="7" t="str">
        <f>IF(ISBLANK(patch[[#This Row],[project]]), "",COUNTIFS($A:$A,patch[[#This Row],[number]],$S:$S, "BJ And dev",$AD:$AD, "&lt;&gt;IntegratorValidationComment"))</f>
        <v/>
      </c>
      <c r="AA2506" s="7" t="str">
        <f>IF(ISBLANK(patch[[#This Row],[project]]), "",COUNTIFS($A:$A,patch[[#This Row],[number]],$S:$S, "FL And dev",$AD:$AD, "&lt;&gt;IntegratorValidationComment"))</f>
        <v/>
      </c>
      <c r="AB2506" s="7" t="str">
        <f>IF(ISBLANK(patch[[#This Row],[project]]), "",COUNTIFS($A:$A,patch[[#This Row],[number]],$S:$S, "SH And dev",$AD:$AD, "&lt;&gt;IntegratorValidationComment"))</f>
        <v/>
      </c>
      <c r="AC2506" s="7" t="str">
        <f>IF(OR(ISNUMBER(FIND("Review-1", patch[[#This Row],[comments]])), ISNUMBER(FIND("Approver-1", patch[[#This Row],[comments]]))), "Review-1", "")</f>
        <v/>
      </c>
      <c r="AD25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06" s="7">
        <f>IF(ISBLANK(patch[[#This Row],[number]]),AE2505,patch[[#This Row],[ifCommon]])</f>
        <v>0</v>
      </c>
    </row>
    <row r="2507" spans="1:31">
      <c r="A2507" s="151">
        <v>142507</v>
      </c>
      <c r="B2507" s="151"/>
      <c r="C2507" s="151"/>
      <c r="D2507" s="151"/>
      <c r="E2507" s="151"/>
      <c r="F2507" s="151"/>
      <c r="G2507" s="151"/>
      <c r="H2507" s="151"/>
      <c r="I2507" s="151"/>
      <c r="J2507" s="152">
        <v>42615.719884259262</v>
      </c>
      <c r="K2507" s="151"/>
      <c r="L2507" s="151" t="s">
        <v>55</v>
      </c>
      <c r="M2507" s="152">
        <v>42613.588923611111</v>
      </c>
      <c r="N2507" s="151" t="s">
        <v>40</v>
      </c>
      <c r="O2507" s="151"/>
      <c r="P2507" s="151"/>
      <c r="Q2507" s="7" t="str">
        <f>IF(ISBLANK(patch[[#This Row],[OwnerEmail]]),Q2506,patch[[#This Row],[OwnerEmail]])</f>
        <v>xi.cao@intel.com</v>
      </c>
      <c r="R2507" s="7" t="str">
        <f>_xlfn.IFNA(VLOOKUP(patch[[#This Row],[tmp-owner.email]],OrgTree!$A:$K, 11, 0), "not ICG SWFW")</f>
        <v>BJ And dev</v>
      </c>
      <c r="S2507" s="7" t="str">
        <f>IF(patch[[#This Row],[reviewer]]=patch[[#This Row],[tmp-owner.email]], "author", _xlfn.IFNA(VLOOKUP(patch[[#This Row],[reviewer]],OrgTree!$A:$K, 11, 0), "not ICG SWFW"))</f>
        <v>BJ And dev</v>
      </c>
      <c r="T2507" s="7" t="str">
        <f>IF(ISBLANK(patch[[#This Row],[mergeDate]]), "", MID(YEAR(patch[[#This Row],[mergeDate]]), 3,2)&amp;"'ww"&amp;WEEKNUM(patch[[#This Row],[mergeDate]]))</f>
        <v>16'ww36</v>
      </c>
      <c r="U2507" s="7" t="str">
        <f>IF(ISBLANK(patch[[#This Row],[mergeDate]]), U2506, MID(YEAR(patch[[#This Row],[mergeDate]]), 3,2)&amp;"'m"&amp;MONTH(patch[[#This Row],[mergeDate]]))</f>
        <v>16'm9</v>
      </c>
      <c r="V2507" s="7" t="str">
        <f>IF(ISBLANK(patch[[#This Row],[project]]), "",SUM(patch[[#This Row],[BJ -1 num]:[SH -1 num]]))</f>
        <v/>
      </c>
      <c r="W2507" s="7" t="str">
        <f>IF(ISBLANK(patch[[#This Row],[project]]), "",COUNTIFS($A:$A,patch[[#This Row],[number]],$S:$S, "BJ And dev",$AC:$AC, "Review-1"))</f>
        <v/>
      </c>
      <c r="X2507" s="7" t="str">
        <f>IF(ISBLANK(patch[[#This Row],[project]]), "",COUNTIFS($A:$A,patch[[#This Row],[number]],$S:$S, "FL And dev",$AC:$AC, "Review-1"))</f>
        <v/>
      </c>
      <c r="Y2507" s="7" t="str">
        <f>IF(ISBLANK(patch[[#This Row],[project]]), "",COUNTIFS($A:$A,patch[[#This Row],[number]],$S:$S, "SH And dev",$AC:$AC, "Review-1"))</f>
        <v/>
      </c>
      <c r="Z2507" s="7" t="str">
        <f>IF(ISBLANK(patch[[#This Row],[project]]), "",COUNTIFS($A:$A,patch[[#This Row],[number]],$S:$S, "BJ And dev",$AD:$AD, "&lt;&gt;IntegratorValidationComment"))</f>
        <v/>
      </c>
      <c r="AA2507" s="7" t="str">
        <f>IF(ISBLANK(patch[[#This Row],[project]]), "",COUNTIFS($A:$A,patch[[#This Row],[number]],$S:$S, "FL And dev",$AD:$AD, "&lt;&gt;IntegratorValidationComment"))</f>
        <v/>
      </c>
      <c r="AB2507" s="7" t="str">
        <f>IF(ISBLANK(patch[[#This Row],[project]]), "",COUNTIFS($A:$A,patch[[#This Row],[number]],$S:$S, "SH And dev",$AD:$AD, "&lt;&gt;IntegratorValidationComment"))</f>
        <v/>
      </c>
      <c r="AC2507" s="7" t="str">
        <f>IF(OR(ISNUMBER(FIND("Review-1", patch[[#This Row],[comments]])), ISNUMBER(FIND("Approver-1", patch[[#This Row],[comments]]))), "Review-1", "")</f>
        <v/>
      </c>
      <c r="AD25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07" s="7">
        <f>IF(ISBLANK(patch[[#This Row],[number]]),AE2506,patch[[#This Row],[ifCommon]])</f>
        <v>0</v>
      </c>
    </row>
    <row r="2508" spans="1:31">
      <c r="A2508" s="151">
        <v>142507</v>
      </c>
      <c r="B2508" s="151"/>
      <c r="C2508" s="151"/>
      <c r="D2508" s="151"/>
      <c r="E2508" s="151"/>
      <c r="F2508" s="151"/>
      <c r="G2508" s="151"/>
      <c r="H2508" s="151"/>
      <c r="I2508" s="151"/>
      <c r="J2508" s="152">
        <v>42615.719884259262</v>
      </c>
      <c r="K2508" s="151"/>
      <c r="L2508" s="151" t="s">
        <v>59</v>
      </c>
      <c r="M2508" s="152">
        <v>42613.590752314813</v>
      </c>
      <c r="N2508" s="151" t="s">
        <v>3845</v>
      </c>
      <c r="O2508" s="151"/>
      <c r="P2508" s="151"/>
      <c r="Q2508" s="7" t="str">
        <f>IF(ISBLANK(patch[[#This Row],[OwnerEmail]]),Q2507,patch[[#This Row],[OwnerEmail]])</f>
        <v>xi.cao@intel.com</v>
      </c>
      <c r="R2508" s="7" t="str">
        <f>_xlfn.IFNA(VLOOKUP(patch[[#This Row],[tmp-owner.email]],OrgTree!$A:$K, 11, 0), "not ICG SWFW")</f>
        <v>BJ And dev</v>
      </c>
      <c r="S2508" s="7" t="str">
        <f>IF(patch[[#This Row],[reviewer]]=patch[[#This Row],[tmp-owner.email]], "author", _xlfn.IFNA(VLOOKUP(patch[[#This Row],[reviewer]],OrgTree!$A:$K, 11, 0), "not ICG SWFW"))</f>
        <v>BJ And dev</v>
      </c>
      <c r="T2508" s="7" t="str">
        <f>IF(ISBLANK(patch[[#This Row],[mergeDate]]), "", MID(YEAR(patch[[#This Row],[mergeDate]]), 3,2)&amp;"'ww"&amp;WEEKNUM(patch[[#This Row],[mergeDate]]))</f>
        <v>16'ww36</v>
      </c>
      <c r="U2508" s="7" t="str">
        <f>IF(ISBLANK(patch[[#This Row],[mergeDate]]), U2507, MID(YEAR(patch[[#This Row],[mergeDate]]), 3,2)&amp;"'m"&amp;MONTH(patch[[#This Row],[mergeDate]]))</f>
        <v>16'm9</v>
      </c>
      <c r="V2508" s="7" t="str">
        <f>IF(ISBLANK(patch[[#This Row],[project]]), "",SUM(patch[[#This Row],[BJ -1 num]:[SH -1 num]]))</f>
        <v/>
      </c>
      <c r="W2508" s="7" t="str">
        <f>IF(ISBLANK(patch[[#This Row],[project]]), "",COUNTIFS($A:$A,patch[[#This Row],[number]],$S:$S, "BJ And dev",$AC:$AC, "Review-1"))</f>
        <v/>
      </c>
      <c r="X2508" s="7" t="str">
        <f>IF(ISBLANK(patch[[#This Row],[project]]), "",COUNTIFS($A:$A,patch[[#This Row],[number]],$S:$S, "FL And dev",$AC:$AC, "Review-1"))</f>
        <v/>
      </c>
      <c r="Y2508" s="7" t="str">
        <f>IF(ISBLANK(patch[[#This Row],[project]]), "",COUNTIFS($A:$A,patch[[#This Row],[number]],$S:$S, "SH And dev",$AC:$AC, "Review-1"))</f>
        <v/>
      </c>
      <c r="Z2508" s="7" t="str">
        <f>IF(ISBLANK(patch[[#This Row],[project]]), "",COUNTIFS($A:$A,patch[[#This Row],[number]],$S:$S, "BJ And dev",$AD:$AD, "&lt;&gt;IntegratorValidationComment"))</f>
        <v/>
      </c>
      <c r="AA2508" s="7" t="str">
        <f>IF(ISBLANK(patch[[#This Row],[project]]), "",COUNTIFS($A:$A,patch[[#This Row],[number]],$S:$S, "FL And dev",$AD:$AD, "&lt;&gt;IntegratorValidationComment"))</f>
        <v/>
      </c>
      <c r="AB2508" s="7" t="str">
        <f>IF(ISBLANK(patch[[#This Row],[project]]), "",COUNTIFS($A:$A,patch[[#This Row],[number]],$S:$S, "SH And dev",$AD:$AD, "&lt;&gt;IntegratorValidationComment"))</f>
        <v/>
      </c>
      <c r="AC2508" s="7" t="str">
        <f>IF(OR(ISNUMBER(FIND("Review-1", patch[[#This Row],[comments]])), ISNUMBER(FIND("Approver-1", patch[[#This Row],[comments]]))), "Review-1", "")</f>
        <v/>
      </c>
      <c r="AD25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08" s="7">
        <f>IF(ISBLANK(patch[[#This Row],[number]]),AE2507,patch[[#This Row],[ifCommon]])</f>
        <v>0</v>
      </c>
    </row>
    <row r="2509" spans="1:31">
      <c r="A2509" s="151">
        <v>142507</v>
      </c>
      <c r="B2509" s="151"/>
      <c r="C2509" s="151"/>
      <c r="D2509" s="151"/>
      <c r="E2509" s="151"/>
      <c r="F2509" s="151"/>
      <c r="G2509" s="151"/>
      <c r="H2509" s="151"/>
      <c r="I2509" s="151"/>
      <c r="J2509" s="152">
        <v>42615.719884259262</v>
      </c>
      <c r="K2509" s="151"/>
      <c r="L2509" s="151" t="s">
        <v>59</v>
      </c>
      <c r="M2509" s="152">
        <v>42613.596238425933</v>
      </c>
      <c r="N2509" s="151" t="s">
        <v>3846</v>
      </c>
      <c r="O2509" s="151"/>
      <c r="P2509" s="151"/>
      <c r="Q2509" s="7" t="str">
        <f>IF(ISBLANK(patch[[#This Row],[OwnerEmail]]),Q2508,patch[[#This Row],[OwnerEmail]])</f>
        <v>xi.cao@intel.com</v>
      </c>
      <c r="R2509" s="7" t="str">
        <f>_xlfn.IFNA(VLOOKUP(patch[[#This Row],[tmp-owner.email]],OrgTree!$A:$K, 11, 0), "not ICG SWFW")</f>
        <v>BJ And dev</v>
      </c>
      <c r="S2509" s="7" t="str">
        <f>IF(patch[[#This Row],[reviewer]]=patch[[#This Row],[tmp-owner.email]], "author", _xlfn.IFNA(VLOOKUP(patch[[#This Row],[reviewer]],OrgTree!$A:$K, 11, 0), "not ICG SWFW"))</f>
        <v>BJ And dev</v>
      </c>
      <c r="T2509" s="7" t="str">
        <f>IF(ISBLANK(patch[[#This Row],[mergeDate]]), "", MID(YEAR(patch[[#This Row],[mergeDate]]), 3,2)&amp;"'ww"&amp;WEEKNUM(patch[[#This Row],[mergeDate]]))</f>
        <v>16'ww36</v>
      </c>
      <c r="U2509" s="7" t="str">
        <f>IF(ISBLANK(patch[[#This Row],[mergeDate]]), U2508, MID(YEAR(patch[[#This Row],[mergeDate]]), 3,2)&amp;"'m"&amp;MONTH(patch[[#This Row],[mergeDate]]))</f>
        <v>16'm9</v>
      </c>
      <c r="V2509" s="7" t="str">
        <f>IF(ISBLANK(patch[[#This Row],[project]]), "",SUM(patch[[#This Row],[BJ -1 num]:[SH -1 num]]))</f>
        <v/>
      </c>
      <c r="W2509" s="7" t="str">
        <f>IF(ISBLANK(patch[[#This Row],[project]]), "",COUNTIFS($A:$A,patch[[#This Row],[number]],$S:$S, "BJ And dev",$AC:$AC, "Review-1"))</f>
        <v/>
      </c>
      <c r="X2509" s="7" t="str">
        <f>IF(ISBLANK(patch[[#This Row],[project]]), "",COUNTIFS($A:$A,patch[[#This Row],[number]],$S:$S, "FL And dev",$AC:$AC, "Review-1"))</f>
        <v/>
      </c>
      <c r="Y2509" s="7" t="str">
        <f>IF(ISBLANK(patch[[#This Row],[project]]), "",COUNTIFS($A:$A,patch[[#This Row],[number]],$S:$S, "SH And dev",$AC:$AC, "Review-1"))</f>
        <v/>
      </c>
      <c r="Z2509" s="7" t="str">
        <f>IF(ISBLANK(patch[[#This Row],[project]]), "",COUNTIFS($A:$A,patch[[#This Row],[number]],$S:$S, "BJ And dev",$AD:$AD, "&lt;&gt;IntegratorValidationComment"))</f>
        <v/>
      </c>
      <c r="AA2509" s="7" t="str">
        <f>IF(ISBLANK(patch[[#This Row],[project]]), "",COUNTIFS($A:$A,patch[[#This Row],[number]],$S:$S, "FL And dev",$AD:$AD, "&lt;&gt;IntegratorValidationComment"))</f>
        <v/>
      </c>
      <c r="AB2509" s="7" t="str">
        <f>IF(ISBLANK(patch[[#This Row],[project]]), "",COUNTIFS($A:$A,patch[[#This Row],[number]],$S:$S, "SH And dev",$AD:$AD, "&lt;&gt;IntegratorValidationComment"))</f>
        <v/>
      </c>
      <c r="AC2509" s="7" t="str">
        <f>IF(OR(ISNUMBER(FIND("Review-1", patch[[#This Row],[comments]])), ISNUMBER(FIND("Approver-1", patch[[#This Row],[comments]]))), "Review-1", "")</f>
        <v/>
      </c>
      <c r="AD25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09" s="7">
        <f>IF(ISBLANK(patch[[#This Row],[number]]),AE2508,patch[[#This Row],[ifCommon]])</f>
        <v>0</v>
      </c>
    </row>
    <row r="2510" spans="1:31">
      <c r="A2510" s="151">
        <v>142507</v>
      </c>
      <c r="B2510" s="151"/>
      <c r="C2510" s="151"/>
      <c r="D2510" s="151"/>
      <c r="E2510" s="151"/>
      <c r="F2510" s="151"/>
      <c r="G2510" s="151"/>
      <c r="H2510" s="151"/>
      <c r="I2510" s="151"/>
      <c r="J2510" s="152">
        <v>42615.719884259262</v>
      </c>
      <c r="K2510" s="151"/>
      <c r="L2510" s="151" t="s">
        <v>1203</v>
      </c>
      <c r="M2510" s="152">
        <v>42613.603680555563</v>
      </c>
      <c r="N2510" s="151" t="s">
        <v>2505</v>
      </c>
      <c r="O2510" s="151"/>
      <c r="P2510" s="151"/>
      <c r="Q2510" s="7" t="str">
        <f>IF(ISBLANK(patch[[#This Row],[OwnerEmail]]),Q2509,patch[[#This Row],[OwnerEmail]])</f>
        <v>xi.cao@intel.com</v>
      </c>
      <c r="R2510" s="7" t="str">
        <f>_xlfn.IFNA(VLOOKUP(patch[[#This Row],[tmp-owner.email]],OrgTree!$A:$K, 11, 0), "not ICG SWFW")</f>
        <v>BJ And dev</v>
      </c>
      <c r="S2510" s="7" t="str">
        <f>IF(patch[[#This Row],[reviewer]]=patch[[#This Row],[tmp-owner.email]], "author", _xlfn.IFNA(VLOOKUP(patch[[#This Row],[reviewer]],OrgTree!$A:$K, 11, 0), "not ICG SWFW"))</f>
        <v>author</v>
      </c>
      <c r="T2510" s="7" t="str">
        <f>IF(ISBLANK(patch[[#This Row],[mergeDate]]), "", MID(YEAR(patch[[#This Row],[mergeDate]]), 3,2)&amp;"'ww"&amp;WEEKNUM(patch[[#This Row],[mergeDate]]))</f>
        <v>16'ww36</v>
      </c>
      <c r="U2510" s="7" t="str">
        <f>IF(ISBLANK(patch[[#This Row],[mergeDate]]), U2509, MID(YEAR(patch[[#This Row],[mergeDate]]), 3,2)&amp;"'m"&amp;MONTH(patch[[#This Row],[mergeDate]]))</f>
        <v>16'm9</v>
      </c>
      <c r="V2510" s="7" t="str">
        <f>IF(ISBLANK(patch[[#This Row],[project]]), "",SUM(patch[[#This Row],[BJ -1 num]:[SH -1 num]]))</f>
        <v/>
      </c>
      <c r="W2510" s="7" t="str">
        <f>IF(ISBLANK(patch[[#This Row],[project]]), "",COUNTIFS($A:$A,patch[[#This Row],[number]],$S:$S, "BJ And dev",$AC:$AC, "Review-1"))</f>
        <v/>
      </c>
      <c r="X2510" s="7" t="str">
        <f>IF(ISBLANK(patch[[#This Row],[project]]), "",COUNTIFS($A:$A,patch[[#This Row],[number]],$S:$S, "FL And dev",$AC:$AC, "Review-1"))</f>
        <v/>
      </c>
      <c r="Y2510" s="7" t="str">
        <f>IF(ISBLANK(patch[[#This Row],[project]]), "",COUNTIFS($A:$A,patch[[#This Row],[number]],$S:$S, "SH And dev",$AC:$AC, "Review-1"))</f>
        <v/>
      </c>
      <c r="Z2510" s="7" t="str">
        <f>IF(ISBLANK(patch[[#This Row],[project]]), "",COUNTIFS($A:$A,patch[[#This Row],[number]],$S:$S, "BJ And dev",$AD:$AD, "&lt;&gt;IntegratorValidationComment"))</f>
        <v/>
      </c>
      <c r="AA2510" s="7" t="str">
        <f>IF(ISBLANK(patch[[#This Row],[project]]), "",COUNTIFS($A:$A,patch[[#This Row],[number]],$S:$S, "FL And dev",$AD:$AD, "&lt;&gt;IntegratorValidationComment"))</f>
        <v/>
      </c>
      <c r="AB2510" s="7" t="str">
        <f>IF(ISBLANK(patch[[#This Row],[project]]), "",COUNTIFS($A:$A,patch[[#This Row],[number]],$S:$S, "SH And dev",$AD:$AD, "&lt;&gt;IntegratorValidationComment"))</f>
        <v/>
      </c>
      <c r="AC2510" s="7" t="str">
        <f>IF(OR(ISNUMBER(FIND("Review-1", patch[[#This Row],[comments]])), ISNUMBER(FIND("Approver-1", patch[[#This Row],[comments]]))), "Review-1", "")</f>
        <v/>
      </c>
      <c r="AD25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10" s="7">
        <f>IF(ISBLANK(patch[[#This Row],[number]]),AE2509,patch[[#This Row],[ifCommon]])</f>
        <v>0</v>
      </c>
    </row>
    <row r="2511" spans="1:31">
      <c r="A2511" s="151">
        <v>142507</v>
      </c>
      <c r="B2511" s="151"/>
      <c r="C2511" s="151"/>
      <c r="D2511" s="151"/>
      <c r="E2511" s="151"/>
      <c r="F2511" s="151"/>
      <c r="G2511" s="151"/>
      <c r="H2511" s="151"/>
      <c r="I2511" s="151"/>
      <c r="J2511" s="152">
        <v>42615.719884259262</v>
      </c>
      <c r="K2511" s="151"/>
      <c r="L2511" s="151" t="s">
        <v>1203</v>
      </c>
      <c r="M2511" s="152">
        <v>42613.603692129633</v>
      </c>
      <c r="N2511" s="151" t="s">
        <v>2429</v>
      </c>
      <c r="O2511" s="151"/>
      <c r="P2511" s="151"/>
      <c r="Q2511" s="7" t="str">
        <f>IF(ISBLANK(patch[[#This Row],[OwnerEmail]]),Q2510,patch[[#This Row],[OwnerEmail]])</f>
        <v>xi.cao@intel.com</v>
      </c>
      <c r="R2511" s="7" t="str">
        <f>_xlfn.IFNA(VLOOKUP(patch[[#This Row],[tmp-owner.email]],OrgTree!$A:$K, 11, 0), "not ICG SWFW")</f>
        <v>BJ And dev</v>
      </c>
      <c r="S2511" s="7" t="str">
        <f>IF(patch[[#This Row],[reviewer]]=patch[[#This Row],[tmp-owner.email]], "author", _xlfn.IFNA(VLOOKUP(patch[[#This Row],[reviewer]],OrgTree!$A:$K, 11, 0), "not ICG SWFW"))</f>
        <v>author</v>
      </c>
      <c r="T2511" s="7" t="str">
        <f>IF(ISBLANK(patch[[#This Row],[mergeDate]]), "", MID(YEAR(patch[[#This Row],[mergeDate]]), 3,2)&amp;"'ww"&amp;WEEKNUM(patch[[#This Row],[mergeDate]]))</f>
        <v>16'ww36</v>
      </c>
      <c r="U2511" s="7" t="str">
        <f>IF(ISBLANK(patch[[#This Row],[mergeDate]]), U2510, MID(YEAR(patch[[#This Row],[mergeDate]]), 3,2)&amp;"'m"&amp;MONTH(patch[[#This Row],[mergeDate]]))</f>
        <v>16'm9</v>
      </c>
      <c r="V2511" s="7" t="str">
        <f>IF(ISBLANK(patch[[#This Row],[project]]), "",SUM(patch[[#This Row],[BJ -1 num]:[SH -1 num]]))</f>
        <v/>
      </c>
      <c r="W2511" s="7" t="str">
        <f>IF(ISBLANK(patch[[#This Row],[project]]), "",COUNTIFS($A:$A,patch[[#This Row],[number]],$S:$S, "BJ And dev",$AC:$AC, "Review-1"))</f>
        <v/>
      </c>
      <c r="X2511" s="7" t="str">
        <f>IF(ISBLANK(patch[[#This Row],[project]]), "",COUNTIFS($A:$A,patch[[#This Row],[number]],$S:$S, "FL And dev",$AC:$AC, "Review-1"))</f>
        <v/>
      </c>
      <c r="Y2511" s="7" t="str">
        <f>IF(ISBLANK(patch[[#This Row],[project]]), "",COUNTIFS($A:$A,patch[[#This Row],[number]],$S:$S, "SH And dev",$AC:$AC, "Review-1"))</f>
        <v/>
      </c>
      <c r="Z2511" s="7" t="str">
        <f>IF(ISBLANK(patch[[#This Row],[project]]), "",COUNTIFS($A:$A,patch[[#This Row],[number]],$S:$S, "BJ And dev",$AD:$AD, "&lt;&gt;IntegratorValidationComment"))</f>
        <v/>
      </c>
      <c r="AA2511" s="7" t="str">
        <f>IF(ISBLANK(patch[[#This Row],[project]]), "",COUNTIFS($A:$A,patch[[#This Row],[number]],$S:$S, "FL And dev",$AD:$AD, "&lt;&gt;IntegratorValidationComment"))</f>
        <v/>
      </c>
      <c r="AB2511" s="7" t="str">
        <f>IF(ISBLANK(patch[[#This Row],[project]]), "",COUNTIFS($A:$A,patch[[#This Row],[number]],$S:$S, "SH And dev",$AD:$AD, "&lt;&gt;IntegratorValidationComment"))</f>
        <v/>
      </c>
      <c r="AC2511" s="7" t="str">
        <f>IF(OR(ISNUMBER(FIND("Review-1", patch[[#This Row],[comments]])), ISNUMBER(FIND("Approver-1", patch[[#This Row],[comments]]))), "Review-1", "")</f>
        <v/>
      </c>
      <c r="AD25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11" s="7">
        <f>IF(ISBLANK(patch[[#This Row],[number]]),AE2510,patch[[#This Row],[ifCommon]])</f>
        <v>0</v>
      </c>
    </row>
    <row r="2512" spans="1:31">
      <c r="A2512" s="151">
        <v>142507</v>
      </c>
      <c r="B2512" s="151"/>
      <c r="C2512" s="151"/>
      <c r="D2512" s="151"/>
      <c r="E2512" s="151"/>
      <c r="F2512" s="151"/>
      <c r="G2512" s="151"/>
      <c r="H2512" s="151"/>
      <c r="I2512" s="151"/>
      <c r="J2512" s="152">
        <v>42615.719884259262</v>
      </c>
      <c r="K2512" s="151"/>
      <c r="L2512" s="151" t="s">
        <v>1203</v>
      </c>
      <c r="M2512" s="152">
        <v>42613.603784722232</v>
      </c>
      <c r="N2512" s="151" t="s">
        <v>27</v>
      </c>
      <c r="O2512" s="151"/>
      <c r="P2512" s="151"/>
      <c r="Q2512" s="7" t="str">
        <f>IF(ISBLANK(patch[[#This Row],[OwnerEmail]]),Q2511,patch[[#This Row],[OwnerEmail]])</f>
        <v>xi.cao@intel.com</v>
      </c>
      <c r="R2512" s="7" t="str">
        <f>_xlfn.IFNA(VLOOKUP(patch[[#This Row],[tmp-owner.email]],OrgTree!$A:$K, 11, 0), "not ICG SWFW")</f>
        <v>BJ And dev</v>
      </c>
      <c r="S2512" s="7" t="str">
        <f>IF(patch[[#This Row],[reviewer]]=patch[[#This Row],[tmp-owner.email]], "author", _xlfn.IFNA(VLOOKUP(patch[[#This Row],[reviewer]],OrgTree!$A:$K, 11, 0), "not ICG SWFW"))</f>
        <v>author</v>
      </c>
      <c r="T2512" s="7" t="str">
        <f>IF(ISBLANK(patch[[#This Row],[mergeDate]]), "", MID(YEAR(patch[[#This Row],[mergeDate]]), 3,2)&amp;"'ww"&amp;WEEKNUM(patch[[#This Row],[mergeDate]]))</f>
        <v>16'ww36</v>
      </c>
      <c r="U2512" s="7" t="str">
        <f>IF(ISBLANK(patch[[#This Row],[mergeDate]]), U2511, MID(YEAR(patch[[#This Row],[mergeDate]]), 3,2)&amp;"'m"&amp;MONTH(patch[[#This Row],[mergeDate]]))</f>
        <v>16'm9</v>
      </c>
      <c r="V2512" s="7" t="str">
        <f>IF(ISBLANK(patch[[#This Row],[project]]), "",SUM(patch[[#This Row],[BJ -1 num]:[SH -1 num]]))</f>
        <v/>
      </c>
      <c r="W2512" s="7" t="str">
        <f>IF(ISBLANK(patch[[#This Row],[project]]), "",COUNTIFS($A:$A,patch[[#This Row],[number]],$S:$S, "BJ And dev",$AC:$AC, "Review-1"))</f>
        <v/>
      </c>
      <c r="X2512" s="7" t="str">
        <f>IF(ISBLANK(patch[[#This Row],[project]]), "",COUNTIFS($A:$A,patch[[#This Row],[number]],$S:$S, "FL And dev",$AC:$AC, "Review-1"))</f>
        <v/>
      </c>
      <c r="Y2512" s="7" t="str">
        <f>IF(ISBLANK(patch[[#This Row],[project]]), "",COUNTIFS($A:$A,patch[[#This Row],[number]],$S:$S, "SH And dev",$AC:$AC, "Review-1"))</f>
        <v/>
      </c>
      <c r="Z2512" s="7" t="str">
        <f>IF(ISBLANK(patch[[#This Row],[project]]), "",COUNTIFS($A:$A,patch[[#This Row],[number]],$S:$S, "BJ And dev",$AD:$AD, "&lt;&gt;IntegratorValidationComment"))</f>
        <v/>
      </c>
      <c r="AA2512" s="7" t="str">
        <f>IF(ISBLANK(patch[[#This Row],[project]]), "",COUNTIFS($A:$A,patch[[#This Row],[number]],$S:$S, "FL And dev",$AD:$AD, "&lt;&gt;IntegratorValidationComment"))</f>
        <v/>
      </c>
      <c r="AB2512" s="7" t="str">
        <f>IF(ISBLANK(patch[[#This Row],[project]]), "",COUNTIFS($A:$A,patch[[#This Row],[number]],$S:$S, "SH And dev",$AD:$AD, "&lt;&gt;IntegratorValidationComment"))</f>
        <v/>
      </c>
      <c r="AC2512" s="7" t="str">
        <f>IF(OR(ISNUMBER(FIND("Review-1", patch[[#This Row],[comments]])), ISNUMBER(FIND("Approver-1", patch[[#This Row],[comments]]))), "Review-1", "")</f>
        <v/>
      </c>
      <c r="AD25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12" s="7">
        <f>IF(ISBLANK(patch[[#This Row],[number]]),AE2511,patch[[#This Row],[ifCommon]])</f>
        <v>0</v>
      </c>
    </row>
    <row r="2513" spans="1:31">
      <c r="A2513" s="151">
        <v>142507</v>
      </c>
      <c r="B2513" s="151"/>
      <c r="C2513" s="151"/>
      <c r="D2513" s="151"/>
      <c r="E2513" s="151"/>
      <c r="F2513" s="151"/>
      <c r="G2513" s="151"/>
      <c r="H2513" s="151"/>
      <c r="I2513" s="151"/>
      <c r="J2513" s="152">
        <v>42615.719884259262</v>
      </c>
      <c r="K2513" s="151"/>
      <c r="L2513" s="151" t="s">
        <v>59</v>
      </c>
      <c r="M2513" s="152">
        <v>42613.604641203703</v>
      </c>
      <c r="N2513" s="151" t="s">
        <v>3847</v>
      </c>
      <c r="O2513" s="151"/>
      <c r="P2513" s="151"/>
      <c r="Q2513" s="7" t="str">
        <f>IF(ISBLANK(patch[[#This Row],[OwnerEmail]]),Q2512,patch[[#This Row],[OwnerEmail]])</f>
        <v>xi.cao@intel.com</v>
      </c>
      <c r="R2513" s="7" t="str">
        <f>_xlfn.IFNA(VLOOKUP(patch[[#This Row],[tmp-owner.email]],OrgTree!$A:$K, 11, 0), "not ICG SWFW")</f>
        <v>BJ And dev</v>
      </c>
      <c r="S2513" s="7" t="str">
        <f>IF(patch[[#This Row],[reviewer]]=patch[[#This Row],[tmp-owner.email]], "author", _xlfn.IFNA(VLOOKUP(patch[[#This Row],[reviewer]],OrgTree!$A:$K, 11, 0), "not ICG SWFW"))</f>
        <v>BJ And dev</v>
      </c>
      <c r="T2513" s="7" t="str">
        <f>IF(ISBLANK(patch[[#This Row],[mergeDate]]), "", MID(YEAR(patch[[#This Row],[mergeDate]]), 3,2)&amp;"'ww"&amp;WEEKNUM(patch[[#This Row],[mergeDate]]))</f>
        <v>16'ww36</v>
      </c>
      <c r="U2513" s="7" t="str">
        <f>IF(ISBLANK(patch[[#This Row],[mergeDate]]), U2512, MID(YEAR(patch[[#This Row],[mergeDate]]), 3,2)&amp;"'m"&amp;MONTH(patch[[#This Row],[mergeDate]]))</f>
        <v>16'm9</v>
      </c>
      <c r="V2513" s="7" t="str">
        <f>IF(ISBLANK(patch[[#This Row],[project]]), "",SUM(patch[[#This Row],[BJ -1 num]:[SH -1 num]]))</f>
        <v/>
      </c>
      <c r="W2513" s="7" t="str">
        <f>IF(ISBLANK(patch[[#This Row],[project]]), "",COUNTIFS($A:$A,patch[[#This Row],[number]],$S:$S, "BJ And dev",$AC:$AC, "Review-1"))</f>
        <v/>
      </c>
      <c r="X2513" s="7" t="str">
        <f>IF(ISBLANK(patch[[#This Row],[project]]), "",COUNTIFS($A:$A,patch[[#This Row],[number]],$S:$S, "FL And dev",$AC:$AC, "Review-1"))</f>
        <v/>
      </c>
      <c r="Y2513" s="7" t="str">
        <f>IF(ISBLANK(patch[[#This Row],[project]]), "",COUNTIFS($A:$A,patch[[#This Row],[number]],$S:$S, "SH And dev",$AC:$AC, "Review-1"))</f>
        <v/>
      </c>
      <c r="Z2513" s="7" t="str">
        <f>IF(ISBLANK(patch[[#This Row],[project]]), "",COUNTIFS($A:$A,patch[[#This Row],[number]],$S:$S, "BJ And dev",$AD:$AD, "&lt;&gt;IntegratorValidationComment"))</f>
        <v/>
      </c>
      <c r="AA2513" s="7" t="str">
        <f>IF(ISBLANK(patch[[#This Row],[project]]), "",COUNTIFS($A:$A,patch[[#This Row],[number]],$S:$S, "FL And dev",$AD:$AD, "&lt;&gt;IntegratorValidationComment"))</f>
        <v/>
      </c>
      <c r="AB2513" s="7" t="str">
        <f>IF(ISBLANK(patch[[#This Row],[project]]), "",COUNTIFS($A:$A,patch[[#This Row],[number]],$S:$S, "SH And dev",$AD:$AD, "&lt;&gt;IntegratorValidationComment"))</f>
        <v/>
      </c>
      <c r="AC2513" s="7" t="str">
        <f>IF(OR(ISNUMBER(FIND("Review-1", patch[[#This Row],[comments]])), ISNUMBER(FIND("Approver-1", patch[[#This Row],[comments]]))), "Review-1", "")</f>
        <v/>
      </c>
      <c r="AD25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13" s="7">
        <f>IF(ISBLANK(patch[[#This Row],[number]]),AE2512,patch[[#This Row],[ifCommon]])</f>
        <v>0</v>
      </c>
    </row>
    <row r="2514" spans="1:31">
      <c r="A2514" s="151">
        <v>142507</v>
      </c>
      <c r="B2514" s="151"/>
      <c r="C2514" s="151"/>
      <c r="D2514" s="151"/>
      <c r="E2514" s="151"/>
      <c r="F2514" s="151"/>
      <c r="G2514" s="151"/>
      <c r="H2514" s="151"/>
      <c r="I2514" s="151"/>
      <c r="J2514" s="152">
        <v>42615.719884259262</v>
      </c>
      <c r="K2514" s="151"/>
      <c r="L2514" s="151" t="s">
        <v>32</v>
      </c>
      <c r="M2514" s="152">
        <v>42613.605578703697</v>
      </c>
      <c r="N2514" s="151" t="s">
        <v>1873</v>
      </c>
      <c r="O2514" s="151"/>
      <c r="P2514" s="151"/>
      <c r="Q2514" s="7" t="str">
        <f>IF(ISBLANK(patch[[#This Row],[OwnerEmail]]),Q2513,patch[[#This Row],[OwnerEmail]])</f>
        <v>xi.cao@intel.com</v>
      </c>
      <c r="R2514" s="7" t="str">
        <f>_xlfn.IFNA(VLOOKUP(patch[[#This Row],[tmp-owner.email]],OrgTree!$A:$K, 11, 0), "not ICG SWFW")</f>
        <v>BJ And dev</v>
      </c>
      <c r="S2514" s="7" t="str">
        <f>IF(patch[[#This Row],[reviewer]]=patch[[#This Row],[tmp-owner.email]], "author", _xlfn.IFNA(VLOOKUP(patch[[#This Row],[reviewer]],OrgTree!$A:$K, 11, 0), "not ICG SWFW"))</f>
        <v>BJ And dev</v>
      </c>
      <c r="T2514" s="7" t="str">
        <f>IF(ISBLANK(patch[[#This Row],[mergeDate]]), "", MID(YEAR(patch[[#This Row],[mergeDate]]), 3,2)&amp;"'ww"&amp;WEEKNUM(patch[[#This Row],[mergeDate]]))</f>
        <v>16'ww36</v>
      </c>
      <c r="U2514" s="7" t="str">
        <f>IF(ISBLANK(patch[[#This Row],[mergeDate]]), U2513, MID(YEAR(patch[[#This Row],[mergeDate]]), 3,2)&amp;"'m"&amp;MONTH(patch[[#This Row],[mergeDate]]))</f>
        <v>16'm9</v>
      </c>
      <c r="V2514" s="7" t="str">
        <f>IF(ISBLANK(patch[[#This Row],[project]]), "",SUM(patch[[#This Row],[BJ -1 num]:[SH -1 num]]))</f>
        <v/>
      </c>
      <c r="W2514" s="7" t="str">
        <f>IF(ISBLANK(patch[[#This Row],[project]]), "",COUNTIFS($A:$A,patch[[#This Row],[number]],$S:$S, "BJ And dev",$AC:$AC, "Review-1"))</f>
        <v/>
      </c>
      <c r="X2514" s="7" t="str">
        <f>IF(ISBLANK(patch[[#This Row],[project]]), "",COUNTIFS($A:$A,patch[[#This Row],[number]],$S:$S, "FL And dev",$AC:$AC, "Review-1"))</f>
        <v/>
      </c>
      <c r="Y2514" s="7" t="str">
        <f>IF(ISBLANK(patch[[#This Row],[project]]), "",COUNTIFS($A:$A,patch[[#This Row],[number]],$S:$S, "SH And dev",$AC:$AC, "Review-1"))</f>
        <v/>
      </c>
      <c r="Z2514" s="7" t="str">
        <f>IF(ISBLANK(patch[[#This Row],[project]]), "",COUNTIFS($A:$A,patch[[#This Row],[number]],$S:$S, "BJ And dev",$AD:$AD, "&lt;&gt;IntegratorValidationComment"))</f>
        <v/>
      </c>
      <c r="AA2514" s="7" t="str">
        <f>IF(ISBLANK(patch[[#This Row],[project]]), "",COUNTIFS($A:$A,patch[[#This Row],[number]],$S:$S, "FL And dev",$AD:$AD, "&lt;&gt;IntegratorValidationComment"))</f>
        <v/>
      </c>
      <c r="AB2514" s="7" t="str">
        <f>IF(ISBLANK(patch[[#This Row],[project]]), "",COUNTIFS($A:$A,patch[[#This Row],[number]],$S:$S, "SH And dev",$AD:$AD, "&lt;&gt;IntegratorValidationComment"))</f>
        <v/>
      </c>
      <c r="AC2514" s="7" t="str">
        <f>IF(OR(ISNUMBER(FIND("Review-1", patch[[#This Row],[comments]])), ISNUMBER(FIND("Approver-1", patch[[#This Row],[comments]]))), "Review-1", "")</f>
        <v/>
      </c>
      <c r="AD25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14" s="7">
        <f>IF(ISBLANK(patch[[#This Row],[number]]),AE2513,patch[[#This Row],[ifCommon]])</f>
        <v>0</v>
      </c>
    </row>
    <row r="2515" spans="1:31">
      <c r="A2515" s="151">
        <v>142507</v>
      </c>
      <c r="B2515" s="151"/>
      <c r="C2515" s="151"/>
      <c r="D2515" s="151"/>
      <c r="E2515" s="151"/>
      <c r="F2515" s="151"/>
      <c r="G2515" s="151"/>
      <c r="H2515" s="151"/>
      <c r="I2515" s="151"/>
      <c r="J2515" s="152">
        <v>42615.719884259262</v>
      </c>
      <c r="K2515" s="151"/>
      <c r="L2515" s="151" t="s">
        <v>59</v>
      </c>
      <c r="M2515" s="152">
        <v>42613.607928240737</v>
      </c>
      <c r="N2515" s="151" t="s">
        <v>3848</v>
      </c>
      <c r="O2515" s="151"/>
      <c r="P2515" s="151"/>
      <c r="Q2515" s="7" t="str">
        <f>IF(ISBLANK(patch[[#This Row],[OwnerEmail]]),Q2514,patch[[#This Row],[OwnerEmail]])</f>
        <v>xi.cao@intel.com</v>
      </c>
      <c r="R2515" s="7" t="str">
        <f>_xlfn.IFNA(VLOOKUP(patch[[#This Row],[tmp-owner.email]],OrgTree!$A:$K, 11, 0), "not ICG SWFW")</f>
        <v>BJ And dev</v>
      </c>
      <c r="S2515" s="7" t="str">
        <f>IF(patch[[#This Row],[reviewer]]=patch[[#This Row],[tmp-owner.email]], "author", _xlfn.IFNA(VLOOKUP(patch[[#This Row],[reviewer]],OrgTree!$A:$K, 11, 0), "not ICG SWFW"))</f>
        <v>BJ And dev</v>
      </c>
      <c r="T2515" s="7" t="str">
        <f>IF(ISBLANK(patch[[#This Row],[mergeDate]]), "", MID(YEAR(patch[[#This Row],[mergeDate]]), 3,2)&amp;"'ww"&amp;WEEKNUM(patch[[#This Row],[mergeDate]]))</f>
        <v>16'ww36</v>
      </c>
      <c r="U2515" s="7" t="str">
        <f>IF(ISBLANK(patch[[#This Row],[mergeDate]]), U2514, MID(YEAR(patch[[#This Row],[mergeDate]]), 3,2)&amp;"'m"&amp;MONTH(patch[[#This Row],[mergeDate]]))</f>
        <v>16'm9</v>
      </c>
      <c r="V2515" s="7" t="str">
        <f>IF(ISBLANK(patch[[#This Row],[project]]), "",SUM(patch[[#This Row],[BJ -1 num]:[SH -1 num]]))</f>
        <v/>
      </c>
      <c r="W2515" s="7" t="str">
        <f>IF(ISBLANK(patch[[#This Row],[project]]), "",COUNTIFS($A:$A,patch[[#This Row],[number]],$S:$S, "BJ And dev",$AC:$AC, "Review-1"))</f>
        <v/>
      </c>
      <c r="X2515" s="7" t="str">
        <f>IF(ISBLANK(patch[[#This Row],[project]]), "",COUNTIFS($A:$A,patch[[#This Row],[number]],$S:$S, "FL And dev",$AC:$AC, "Review-1"))</f>
        <v/>
      </c>
      <c r="Y2515" s="7" t="str">
        <f>IF(ISBLANK(patch[[#This Row],[project]]), "",COUNTIFS($A:$A,patch[[#This Row],[number]],$S:$S, "SH And dev",$AC:$AC, "Review-1"))</f>
        <v/>
      </c>
      <c r="Z2515" s="7" t="str">
        <f>IF(ISBLANK(patch[[#This Row],[project]]), "",COUNTIFS($A:$A,patch[[#This Row],[number]],$S:$S, "BJ And dev",$AD:$AD, "&lt;&gt;IntegratorValidationComment"))</f>
        <v/>
      </c>
      <c r="AA2515" s="7" t="str">
        <f>IF(ISBLANK(patch[[#This Row],[project]]), "",COUNTIFS($A:$A,patch[[#This Row],[number]],$S:$S, "FL And dev",$AD:$AD, "&lt;&gt;IntegratorValidationComment"))</f>
        <v/>
      </c>
      <c r="AB2515" s="7" t="str">
        <f>IF(ISBLANK(patch[[#This Row],[project]]), "",COUNTIFS($A:$A,patch[[#This Row],[number]],$S:$S, "SH And dev",$AD:$AD, "&lt;&gt;IntegratorValidationComment"))</f>
        <v/>
      </c>
      <c r="AC2515" s="7" t="str">
        <f>IF(OR(ISNUMBER(FIND("Review-1", patch[[#This Row],[comments]])), ISNUMBER(FIND("Approver-1", patch[[#This Row],[comments]]))), "Review-1", "")</f>
        <v/>
      </c>
      <c r="AD25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15" s="7">
        <f>IF(ISBLANK(patch[[#This Row],[number]]),AE2514,patch[[#This Row],[ifCommon]])</f>
        <v>0</v>
      </c>
    </row>
    <row r="2516" spans="1:31">
      <c r="A2516" s="151">
        <v>142507</v>
      </c>
      <c r="B2516" s="151"/>
      <c r="C2516" s="151"/>
      <c r="D2516" s="151"/>
      <c r="E2516" s="151"/>
      <c r="F2516" s="151"/>
      <c r="G2516" s="151"/>
      <c r="H2516" s="151"/>
      <c r="I2516" s="151"/>
      <c r="J2516" s="152">
        <v>42615.719884259262</v>
      </c>
      <c r="K2516" s="151"/>
      <c r="L2516" s="151" t="s">
        <v>59</v>
      </c>
      <c r="M2516" s="152">
        <v>42613.644282407397</v>
      </c>
      <c r="N2516" s="151" t="s">
        <v>3849</v>
      </c>
      <c r="O2516" s="151"/>
      <c r="P2516" s="151"/>
      <c r="Q2516" s="7" t="str">
        <f>IF(ISBLANK(patch[[#This Row],[OwnerEmail]]),Q2515,patch[[#This Row],[OwnerEmail]])</f>
        <v>xi.cao@intel.com</v>
      </c>
      <c r="R2516" s="7" t="str">
        <f>_xlfn.IFNA(VLOOKUP(patch[[#This Row],[tmp-owner.email]],OrgTree!$A:$K, 11, 0), "not ICG SWFW")</f>
        <v>BJ And dev</v>
      </c>
      <c r="S2516" s="7" t="str">
        <f>IF(patch[[#This Row],[reviewer]]=patch[[#This Row],[tmp-owner.email]], "author", _xlfn.IFNA(VLOOKUP(patch[[#This Row],[reviewer]],OrgTree!$A:$K, 11, 0), "not ICG SWFW"))</f>
        <v>BJ And dev</v>
      </c>
      <c r="T2516" s="7" t="str">
        <f>IF(ISBLANK(patch[[#This Row],[mergeDate]]), "", MID(YEAR(patch[[#This Row],[mergeDate]]), 3,2)&amp;"'ww"&amp;WEEKNUM(patch[[#This Row],[mergeDate]]))</f>
        <v>16'ww36</v>
      </c>
      <c r="U2516" s="7" t="str">
        <f>IF(ISBLANK(patch[[#This Row],[mergeDate]]), U2515, MID(YEAR(patch[[#This Row],[mergeDate]]), 3,2)&amp;"'m"&amp;MONTH(patch[[#This Row],[mergeDate]]))</f>
        <v>16'm9</v>
      </c>
      <c r="V2516" s="7" t="str">
        <f>IF(ISBLANK(patch[[#This Row],[project]]), "",SUM(patch[[#This Row],[BJ -1 num]:[SH -1 num]]))</f>
        <v/>
      </c>
      <c r="W2516" s="7" t="str">
        <f>IF(ISBLANK(patch[[#This Row],[project]]), "",COUNTIFS($A:$A,patch[[#This Row],[number]],$S:$S, "BJ And dev",$AC:$AC, "Review-1"))</f>
        <v/>
      </c>
      <c r="X2516" s="7" t="str">
        <f>IF(ISBLANK(patch[[#This Row],[project]]), "",COUNTIFS($A:$A,patch[[#This Row],[number]],$S:$S, "FL And dev",$AC:$AC, "Review-1"))</f>
        <v/>
      </c>
      <c r="Y2516" s="7" t="str">
        <f>IF(ISBLANK(patch[[#This Row],[project]]), "",COUNTIFS($A:$A,patch[[#This Row],[number]],$S:$S, "SH And dev",$AC:$AC, "Review-1"))</f>
        <v/>
      </c>
      <c r="Z2516" s="7" t="str">
        <f>IF(ISBLANK(patch[[#This Row],[project]]), "",COUNTIFS($A:$A,patch[[#This Row],[number]],$S:$S, "BJ And dev",$AD:$AD, "&lt;&gt;IntegratorValidationComment"))</f>
        <v/>
      </c>
      <c r="AA2516" s="7" t="str">
        <f>IF(ISBLANK(patch[[#This Row],[project]]), "",COUNTIFS($A:$A,patch[[#This Row],[number]],$S:$S, "FL And dev",$AD:$AD, "&lt;&gt;IntegratorValidationComment"))</f>
        <v/>
      </c>
      <c r="AB2516" s="7" t="str">
        <f>IF(ISBLANK(patch[[#This Row],[project]]), "",COUNTIFS($A:$A,patch[[#This Row],[number]],$S:$S, "SH And dev",$AD:$AD, "&lt;&gt;IntegratorValidationComment"))</f>
        <v/>
      </c>
      <c r="AC2516" s="7" t="str">
        <f>IF(OR(ISNUMBER(FIND("Review-1", patch[[#This Row],[comments]])), ISNUMBER(FIND("Approver-1", patch[[#This Row],[comments]]))), "Review-1", "")</f>
        <v/>
      </c>
      <c r="AD25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16" s="7">
        <f>IF(ISBLANK(patch[[#This Row],[number]]),AE2515,patch[[#This Row],[ifCommon]])</f>
        <v>0</v>
      </c>
    </row>
    <row r="2517" spans="1:31">
      <c r="A2517" s="151">
        <v>142507</v>
      </c>
      <c r="B2517" s="151"/>
      <c r="C2517" s="151"/>
      <c r="D2517" s="151"/>
      <c r="E2517" s="151"/>
      <c r="F2517" s="151"/>
      <c r="G2517" s="151"/>
      <c r="H2517" s="151"/>
      <c r="I2517" s="151"/>
      <c r="J2517" s="152">
        <v>42615.719884259262</v>
      </c>
      <c r="K2517" s="151"/>
      <c r="L2517" s="151" t="s">
        <v>1203</v>
      </c>
      <c r="M2517" s="152">
        <v>42613.674756944441</v>
      </c>
      <c r="N2517" s="151" t="s">
        <v>2704</v>
      </c>
      <c r="O2517" s="151"/>
      <c r="P2517" s="151"/>
      <c r="Q2517" s="7" t="str">
        <f>IF(ISBLANK(patch[[#This Row],[OwnerEmail]]),Q2516,patch[[#This Row],[OwnerEmail]])</f>
        <v>xi.cao@intel.com</v>
      </c>
      <c r="R2517" s="7" t="str">
        <f>_xlfn.IFNA(VLOOKUP(patch[[#This Row],[tmp-owner.email]],OrgTree!$A:$K, 11, 0), "not ICG SWFW")</f>
        <v>BJ And dev</v>
      </c>
      <c r="S2517" s="7" t="str">
        <f>IF(patch[[#This Row],[reviewer]]=patch[[#This Row],[tmp-owner.email]], "author", _xlfn.IFNA(VLOOKUP(patch[[#This Row],[reviewer]],OrgTree!$A:$K, 11, 0), "not ICG SWFW"))</f>
        <v>author</v>
      </c>
      <c r="T2517" s="7" t="str">
        <f>IF(ISBLANK(patch[[#This Row],[mergeDate]]), "", MID(YEAR(patch[[#This Row],[mergeDate]]), 3,2)&amp;"'ww"&amp;WEEKNUM(patch[[#This Row],[mergeDate]]))</f>
        <v>16'ww36</v>
      </c>
      <c r="U2517" s="7" t="str">
        <f>IF(ISBLANK(patch[[#This Row],[mergeDate]]), U2516, MID(YEAR(patch[[#This Row],[mergeDate]]), 3,2)&amp;"'m"&amp;MONTH(patch[[#This Row],[mergeDate]]))</f>
        <v>16'm9</v>
      </c>
      <c r="V2517" s="7" t="str">
        <f>IF(ISBLANK(patch[[#This Row],[project]]), "",SUM(patch[[#This Row],[BJ -1 num]:[SH -1 num]]))</f>
        <v/>
      </c>
      <c r="W2517" s="7" t="str">
        <f>IF(ISBLANK(patch[[#This Row],[project]]), "",COUNTIFS($A:$A,patch[[#This Row],[number]],$S:$S, "BJ And dev",$AC:$AC, "Review-1"))</f>
        <v/>
      </c>
      <c r="X2517" s="7" t="str">
        <f>IF(ISBLANK(patch[[#This Row],[project]]), "",COUNTIFS($A:$A,patch[[#This Row],[number]],$S:$S, "FL And dev",$AC:$AC, "Review-1"))</f>
        <v/>
      </c>
      <c r="Y2517" s="7" t="str">
        <f>IF(ISBLANK(patch[[#This Row],[project]]), "",COUNTIFS($A:$A,patch[[#This Row],[number]],$S:$S, "SH And dev",$AC:$AC, "Review-1"))</f>
        <v/>
      </c>
      <c r="Z2517" s="7" t="str">
        <f>IF(ISBLANK(patch[[#This Row],[project]]), "",COUNTIFS($A:$A,patch[[#This Row],[number]],$S:$S, "BJ And dev",$AD:$AD, "&lt;&gt;IntegratorValidationComment"))</f>
        <v/>
      </c>
      <c r="AA2517" s="7" t="str">
        <f>IF(ISBLANK(patch[[#This Row],[project]]), "",COUNTIFS($A:$A,patch[[#This Row],[number]],$S:$S, "FL And dev",$AD:$AD, "&lt;&gt;IntegratorValidationComment"))</f>
        <v/>
      </c>
      <c r="AB2517" s="7" t="str">
        <f>IF(ISBLANK(patch[[#This Row],[project]]), "",COUNTIFS($A:$A,patch[[#This Row],[number]],$S:$S, "SH And dev",$AD:$AD, "&lt;&gt;IntegratorValidationComment"))</f>
        <v/>
      </c>
      <c r="AC2517" s="7" t="str">
        <f>IF(OR(ISNUMBER(FIND("Review-1", patch[[#This Row],[comments]])), ISNUMBER(FIND("Approver-1", patch[[#This Row],[comments]]))), "Review-1", "")</f>
        <v/>
      </c>
      <c r="AD25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17" s="7">
        <f>IF(ISBLANK(patch[[#This Row],[number]]),AE2516,patch[[#This Row],[ifCommon]])</f>
        <v>0</v>
      </c>
    </row>
    <row r="2518" spans="1:31">
      <c r="A2518" s="151">
        <v>142507</v>
      </c>
      <c r="B2518" s="151"/>
      <c r="C2518" s="151"/>
      <c r="D2518" s="151"/>
      <c r="E2518" s="151"/>
      <c r="F2518" s="151"/>
      <c r="G2518" s="151"/>
      <c r="H2518" s="151"/>
      <c r="I2518" s="151"/>
      <c r="J2518" s="152">
        <v>42615.719884259262</v>
      </c>
      <c r="K2518" s="151"/>
      <c r="L2518" s="151" t="s">
        <v>1203</v>
      </c>
      <c r="M2518" s="152">
        <v>42613.674768518518</v>
      </c>
      <c r="N2518" s="151" t="s">
        <v>2450</v>
      </c>
      <c r="O2518" s="151"/>
      <c r="P2518" s="151"/>
      <c r="Q2518" s="7" t="str">
        <f>IF(ISBLANK(patch[[#This Row],[OwnerEmail]]),Q2517,patch[[#This Row],[OwnerEmail]])</f>
        <v>xi.cao@intel.com</v>
      </c>
      <c r="R2518" s="7" t="str">
        <f>_xlfn.IFNA(VLOOKUP(patch[[#This Row],[tmp-owner.email]],OrgTree!$A:$K, 11, 0), "not ICG SWFW")</f>
        <v>BJ And dev</v>
      </c>
      <c r="S2518" s="7" t="str">
        <f>IF(patch[[#This Row],[reviewer]]=patch[[#This Row],[tmp-owner.email]], "author", _xlfn.IFNA(VLOOKUP(patch[[#This Row],[reviewer]],OrgTree!$A:$K, 11, 0), "not ICG SWFW"))</f>
        <v>author</v>
      </c>
      <c r="T2518" s="7" t="str">
        <f>IF(ISBLANK(patch[[#This Row],[mergeDate]]), "", MID(YEAR(patch[[#This Row],[mergeDate]]), 3,2)&amp;"'ww"&amp;WEEKNUM(patch[[#This Row],[mergeDate]]))</f>
        <v>16'ww36</v>
      </c>
      <c r="U2518" s="7" t="str">
        <f>IF(ISBLANK(patch[[#This Row],[mergeDate]]), U2517, MID(YEAR(patch[[#This Row],[mergeDate]]), 3,2)&amp;"'m"&amp;MONTH(patch[[#This Row],[mergeDate]]))</f>
        <v>16'm9</v>
      </c>
      <c r="V2518" s="7" t="str">
        <f>IF(ISBLANK(patch[[#This Row],[project]]), "",SUM(patch[[#This Row],[BJ -1 num]:[SH -1 num]]))</f>
        <v/>
      </c>
      <c r="W2518" s="7" t="str">
        <f>IF(ISBLANK(patch[[#This Row],[project]]), "",COUNTIFS($A:$A,patch[[#This Row],[number]],$S:$S, "BJ And dev",$AC:$AC, "Review-1"))</f>
        <v/>
      </c>
      <c r="X2518" s="7" t="str">
        <f>IF(ISBLANK(patch[[#This Row],[project]]), "",COUNTIFS($A:$A,patch[[#This Row],[number]],$S:$S, "FL And dev",$AC:$AC, "Review-1"))</f>
        <v/>
      </c>
      <c r="Y2518" s="7" t="str">
        <f>IF(ISBLANK(patch[[#This Row],[project]]), "",COUNTIFS($A:$A,patch[[#This Row],[number]],$S:$S, "SH And dev",$AC:$AC, "Review-1"))</f>
        <v/>
      </c>
      <c r="Z2518" s="7" t="str">
        <f>IF(ISBLANK(patch[[#This Row],[project]]), "",COUNTIFS($A:$A,patch[[#This Row],[number]],$S:$S, "BJ And dev",$AD:$AD, "&lt;&gt;IntegratorValidationComment"))</f>
        <v/>
      </c>
      <c r="AA2518" s="7" t="str">
        <f>IF(ISBLANK(patch[[#This Row],[project]]), "",COUNTIFS($A:$A,patch[[#This Row],[number]],$S:$S, "FL And dev",$AD:$AD, "&lt;&gt;IntegratorValidationComment"))</f>
        <v/>
      </c>
      <c r="AB2518" s="7" t="str">
        <f>IF(ISBLANK(patch[[#This Row],[project]]), "",COUNTIFS($A:$A,patch[[#This Row],[number]],$S:$S, "SH And dev",$AD:$AD, "&lt;&gt;IntegratorValidationComment"))</f>
        <v/>
      </c>
      <c r="AC2518" s="7" t="str">
        <f>IF(OR(ISNUMBER(FIND("Review-1", patch[[#This Row],[comments]])), ISNUMBER(FIND("Approver-1", patch[[#This Row],[comments]]))), "Review-1", "")</f>
        <v/>
      </c>
      <c r="AD25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18" s="7">
        <f>IF(ISBLANK(patch[[#This Row],[number]]),AE2517,patch[[#This Row],[ifCommon]])</f>
        <v>0</v>
      </c>
    </row>
    <row r="2519" spans="1:31">
      <c r="A2519" s="151">
        <v>142507</v>
      </c>
      <c r="B2519" s="151"/>
      <c r="C2519" s="151"/>
      <c r="D2519" s="151"/>
      <c r="E2519" s="151"/>
      <c r="F2519" s="151"/>
      <c r="G2519" s="151"/>
      <c r="H2519" s="151"/>
      <c r="I2519" s="151"/>
      <c r="J2519" s="152">
        <v>42615.719884259262</v>
      </c>
      <c r="K2519" s="151"/>
      <c r="L2519" s="151" t="s">
        <v>59</v>
      </c>
      <c r="M2519" s="152">
        <v>42613.681006944447</v>
      </c>
      <c r="N2519" s="151" t="s">
        <v>3850</v>
      </c>
      <c r="O2519" s="151"/>
      <c r="P2519" s="151"/>
      <c r="Q2519" s="7" t="str">
        <f>IF(ISBLANK(patch[[#This Row],[OwnerEmail]]),Q2518,patch[[#This Row],[OwnerEmail]])</f>
        <v>xi.cao@intel.com</v>
      </c>
      <c r="R2519" s="7" t="str">
        <f>_xlfn.IFNA(VLOOKUP(patch[[#This Row],[tmp-owner.email]],OrgTree!$A:$K, 11, 0), "not ICG SWFW")</f>
        <v>BJ And dev</v>
      </c>
      <c r="S2519" s="7" t="str">
        <f>IF(patch[[#This Row],[reviewer]]=patch[[#This Row],[tmp-owner.email]], "author", _xlfn.IFNA(VLOOKUP(patch[[#This Row],[reviewer]],OrgTree!$A:$K, 11, 0), "not ICG SWFW"))</f>
        <v>BJ And dev</v>
      </c>
      <c r="T2519" s="7" t="str">
        <f>IF(ISBLANK(patch[[#This Row],[mergeDate]]), "", MID(YEAR(patch[[#This Row],[mergeDate]]), 3,2)&amp;"'ww"&amp;WEEKNUM(patch[[#This Row],[mergeDate]]))</f>
        <v>16'ww36</v>
      </c>
      <c r="U2519" s="7" t="str">
        <f>IF(ISBLANK(patch[[#This Row],[mergeDate]]), U2518, MID(YEAR(patch[[#This Row],[mergeDate]]), 3,2)&amp;"'m"&amp;MONTH(patch[[#This Row],[mergeDate]]))</f>
        <v>16'm9</v>
      </c>
      <c r="V2519" s="7" t="str">
        <f>IF(ISBLANK(patch[[#This Row],[project]]), "",SUM(patch[[#This Row],[BJ -1 num]:[SH -1 num]]))</f>
        <v/>
      </c>
      <c r="W2519" s="7" t="str">
        <f>IF(ISBLANK(patch[[#This Row],[project]]), "",COUNTIFS($A:$A,patch[[#This Row],[number]],$S:$S, "BJ And dev",$AC:$AC, "Review-1"))</f>
        <v/>
      </c>
      <c r="X2519" s="7" t="str">
        <f>IF(ISBLANK(patch[[#This Row],[project]]), "",COUNTIFS($A:$A,patch[[#This Row],[number]],$S:$S, "FL And dev",$AC:$AC, "Review-1"))</f>
        <v/>
      </c>
      <c r="Y2519" s="7" t="str">
        <f>IF(ISBLANK(patch[[#This Row],[project]]), "",COUNTIFS($A:$A,patch[[#This Row],[number]],$S:$S, "SH And dev",$AC:$AC, "Review-1"))</f>
        <v/>
      </c>
      <c r="Z2519" s="7" t="str">
        <f>IF(ISBLANK(patch[[#This Row],[project]]), "",COUNTIFS($A:$A,patch[[#This Row],[number]],$S:$S, "BJ And dev",$AD:$AD, "&lt;&gt;IntegratorValidationComment"))</f>
        <v/>
      </c>
      <c r="AA2519" s="7" t="str">
        <f>IF(ISBLANK(patch[[#This Row],[project]]), "",COUNTIFS($A:$A,patch[[#This Row],[number]],$S:$S, "FL And dev",$AD:$AD, "&lt;&gt;IntegratorValidationComment"))</f>
        <v/>
      </c>
      <c r="AB2519" s="7" t="str">
        <f>IF(ISBLANK(patch[[#This Row],[project]]), "",COUNTIFS($A:$A,patch[[#This Row],[number]],$S:$S, "SH And dev",$AD:$AD, "&lt;&gt;IntegratorValidationComment"))</f>
        <v/>
      </c>
      <c r="AC2519" s="7" t="str">
        <f>IF(OR(ISNUMBER(FIND("Review-1", patch[[#This Row],[comments]])), ISNUMBER(FIND("Approver-1", patch[[#This Row],[comments]]))), "Review-1", "")</f>
        <v/>
      </c>
      <c r="AD25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19" s="7">
        <f>IF(ISBLANK(patch[[#This Row],[number]]),AE2518,patch[[#This Row],[ifCommon]])</f>
        <v>0</v>
      </c>
    </row>
    <row r="2520" spans="1:31">
      <c r="A2520" s="151">
        <v>142507</v>
      </c>
      <c r="B2520" s="151"/>
      <c r="C2520" s="151"/>
      <c r="D2520" s="151"/>
      <c r="E2520" s="151"/>
      <c r="F2520" s="151"/>
      <c r="G2520" s="151"/>
      <c r="H2520" s="151"/>
      <c r="I2520" s="151"/>
      <c r="J2520" s="152">
        <v>42615.719884259262</v>
      </c>
      <c r="K2520" s="151"/>
      <c r="L2520" s="151" t="s">
        <v>59</v>
      </c>
      <c r="M2520" s="152">
        <v>42613.684212962973</v>
      </c>
      <c r="N2520" s="151" t="s">
        <v>3851</v>
      </c>
      <c r="O2520" s="151"/>
      <c r="P2520" s="151"/>
      <c r="Q2520" s="7" t="str">
        <f>IF(ISBLANK(patch[[#This Row],[OwnerEmail]]),Q2519,patch[[#This Row],[OwnerEmail]])</f>
        <v>xi.cao@intel.com</v>
      </c>
      <c r="R2520" s="7" t="str">
        <f>_xlfn.IFNA(VLOOKUP(patch[[#This Row],[tmp-owner.email]],OrgTree!$A:$K, 11, 0), "not ICG SWFW")</f>
        <v>BJ And dev</v>
      </c>
      <c r="S2520" s="7" t="str">
        <f>IF(patch[[#This Row],[reviewer]]=patch[[#This Row],[tmp-owner.email]], "author", _xlfn.IFNA(VLOOKUP(patch[[#This Row],[reviewer]],OrgTree!$A:$K, 11, 0), "not ICG SWFW"))</f>
        <v>BJ And dev</v>
      </c>
      <c r="T2520" s="7" t="str">
        <f>IF(ISBLANK(patch[[#This Row],[mergeDate]]), "", MID(YEAR(patch[[#This Row],[mergeDate]]), 3,2)&amp;"'ww"&amp;WEEKNUM(patch[[#This Row],[mergeDate]]))</f>
        <v>16'ww36</v>
      </c>
      <c r="U2520" s="7" t="str">
        <f>IF(ISBLANK(patch[[#This Row],[mergeDate]]), U2519, MID(YEAR(patch[[#This Row],[mergeDate]]), 3,2)&amp;"'m"&amp;MONTH(patch[[#This Row],[mergeDate]]))</f>
        <v>16'm9</v>
      </c>
      <c r="V2520" s="7" t="str">
        <f>IF(ISBLANK(patch[[#This Row],[project]]), "",SUM(patch[[#This Row],[BJ -1 num]:[SH -1 num]]))</f>
        <v/>
      </c>
      <c r="W2520" s="7" t="str">
        <f>IF(ISBLANK(patch[[#This Row],[project]]), "",COUNTIFS($A:$A,patch[[#This Row],[number]],$S:$S, "BJ And dev",$AC:$AC, "Review-1"))</f>
        <v/>
      </c>
      <c r="X2520" s="7" t="str">
        <f>IF(ISBLANK(patch[[#This Row],[project]]), "",COUNTIFS($A:$A,patch[[#This Row],[number]],$S:$S, "FL And dev",$AC:$AC, "Review-1"))</f>
        <v/>
      </c>
      <c r="Y2520" s="7" t="str">
        <f>IF(ISBLANK(patch[[#This Row],[project]]), "",COUNTIFS($A:$A,patch[[#This Row],[number]],$S:$S, "SH And dev",$AC:$AC, "Review-1"))</f>
        <v/>
      </c>
      <c r="Z2520" s="7" t="str">
        <f>IF(ISBLANK(patch[[#This Row],[project]]), "",COUNTIFS($A:$A,patch[[#This Row],[number]],$S:$S, "BJ And dev",$AD:$AD, "&lt;&gt;IntegratorValidationComment"))</f>
        <v/>
      </c>
      <c r="AA2520" s="7" t="str">
        <f>IF(ISBLANK(patch[[#This Row],[project]]), "",COUNTIFS($A:$A,patch[[#This Row],[number]],$S:$S, "FL And dev",$AD:$AD, "&lt;&gt;IntegratorValidationComment"))</f>
        <v/>
      </c>
      <c r="AB2520" s="7" t="str">
        <f>IF(ISBLANK(patch[[#This Row],[project]]), "",COUNTIFS($A:$A,patch[[#This Row],[number]],$S:$S, "SH And dev",$AD:$AD, "&lt;&gt;IntegratorValidationComment"))</f>
        <v/>
      </c>
      <c r="AC2520" s="7" t="str">
        <f>IF(OR(ISNUMBER(FIND("Review-1", patch[[#This Row],[comments]])), ISNUMBER(FIND("Approver-1", patch[[#This Row],[comments]]))), "Review-1", "")</f>
        <v/>
      </c>
      <c r="AD25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20" s="7">
        <f>IF(ISBLANK(patch[[#This Row],[number]]),AE2519,patch[[#This Row],[ifCommon]])</f>
        <v>0</v>
      </c>
    </row>
    <row r="2521" spans="1:31">
      <c r="A2521" s="151">
        <v>142507</v>
      </c>
      <c r="B2521" s="151"/>
      <c r="C2521" s="151"/>
      <c r="D2521" s="151"/>
      <c r="E2521" s="151"/>
      <c r="F2521" s="151"/>
      <c r="G2521" s="151"/>
      <c r="H2521" s="151"/>
      <c r="I2521" s="151"/>
      <c r="J2521" s="152">
        <v>42615.719884259262</v>
      </c>
      <c r="K2521" s="151"/>
      <c r="L2521" s="151" t="s">
        <v>115</v>
      </c>
      <c r="M2521" s="152">
        <v>42614.419328703712</v>
      </c>
      <c r="N2521" s="151" t="s">
        <v>2497</v>
      </c>
      <c r="O2521" s="151"/>
      <c r="P2521" s="151"/>
      <c r="Q2521" s="7" t="str">
        <f>IF(ISBLANK(patch[[#This Row],[OwnerEmail]]),Q2520,patch[[#This Row],[OwnerEmail]])</f>
        <v>xi.cao@intel.com</v>
      </c>
      <c r="R2521" s="7" t="str">
        <f>_xlfn.IFNA(VLOOKUP(patch[[#This Row],[tmp-owner.email]],OrgTree!$A:$K, 11, 0), "not ICG SWFW")</f>
        <v>BJ And dev</v>
      </c>
      <c r="S2521" s="7" t="str">
        <f>IF(patch[[#This Row],[reviewer]]=patch[[#This Row],[tmp-owner.email]], "author", _xlfn.IFNA(VLOOKUP(patch[[#This Row],[reviewer]],OrgTree!$A:$K, 11, 0), "not ICG SWFW"))</f>
        <v>Val</v>
      </c>
      <c r="T2521" s="7" t="str">
        <f>IF(ISBLANK(patch[[#This Row],[mergeDate]]), "", MID(YEAR(patch[[#This Row],[mergeDate]]), 3,2)&amp;"'ww"&amp;WEEKNUM(patch[[#This Row],[mergeDate]]))</f>
        <v>16'ww36</v>
      </c>
      <c r="U2521" s="7" t="str">
        <f>IF(ISBLANK(patch[[#This Row],[mergeDate]]), U2520, MID(YEAR(patch[[#This Row],[mergeDate]]), 3,2)&amp;"'m"&amp;MONTH(patch[[#This Row],[mergeDate]]))</f>
        <v>16'm9</v>
      </c>
      <c r="V2521" s="7" t="str">
        <f>IF(ISBLANK(patch[[#This Row],[project]]), "",SUM(patch[[#This Row],[BJ -1 num]:[SH -1 num]]))</f>
        <v/>
      </c>
      <c r="W2521" s="7" t="str">
        <f>IF(ISBLANK(patch[[#This Row],[project]]), "",COUNTIFS($A:$A,patch[[#This Row],[number]],$S:$S, "BJ And dev",$AC:$AC, "Review-1"))</f>
        <v/>
      </c>
      <c r="X2521" s="7" t="str">
        <f>IF(ISBLANK(patch[[#This Row],[project]]), "",COUNTIFS($A:$A,patch[[#This Row],[number]],$S:$S, "FL And dev",$AC:$AC, "Review-1"))</f>
        <v/>
      </c>
      <c r="Y2521" s="7" t="str">
        <f>IF(ISBLANK(patch[[#This Row],[project]]), "",COUNTIFS($A:$A,patch[[#This Row],[number]],$S:$S, "SH And dev",$AC:$AC, "Review-1"))</f>
        <v/>
      </c>
      <c r="Z2521" s="7" t="str">
        <f>IF(ISBLANK(patch[[#This Row],[project]]), "",COUNTIFS($A:$A,patch[[#This Row],[number]],$S:$S, "BJ And dev",$AD:$AD, "&lt;&gt;IntegratorValidationComment"))</f>
        <v/>
      </c>
      <c r="AA2521" s="7" t="str">
        <f>IF(ISBLANK(patch[[#This Row],[project]]), "",COUNTIFS($A:$A,patch[[#This Row],[number]],$S:$S, "FL And dev",$AD:$AD, "&lt;&gt;IntegratorValidationComment"))</f>
        <v/>
      </c>
      <c r="AB2521" s="7" t="str">
        <f>IF(ISBLANK(patch[[#This Row],[project]]), "",COUNTIFS($A:$A,patch[[#This Row],[number]],$S:$S, "SH And dev",$AD:$AD, "&lt;&gt;IntegratorValidationComment"))</f>
        <v/>
      </c>
      <c r="AC2521" s="7" t="str">
        <f>IF(OR(ISNUMBER(FIND("Review-1", patch[[#This Row],[comments]])), ISNUMBER(FIND("Approver-1", patch[[#This Row],[comments]]))), "Review-1", "")</f>
        <v/>
      </c>
      <c r="AD25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521" s="7">
        <f>IF(ISBLANK(patch[[#This Row],[number]]),AE2520,patch[[#This Row],[ifCommon]])</f>
        <v>0</v>
      </c>
    </row>
    <row r="2522" spans="1:31">
      <c r="A2522" s="151">
        <v>142507</v>
      </c>
      <c r="B2522" s="151"/>
      <c r="C2522" s="151"/>
      <c r="D2522" s="151"/>
      <c r="E2522" s="151"/>
      <c r="F2522" s="151"/>
      <c r="G2522" s="151"/>
      <c r="H2522" s="151"/>
      <c r="I2522" s="151"/>
      <c r="J2522" s="152">
        <v>42615.719884259262</v>
      </c>
      <c r="K2522" s="151"/>
      <c r="L2522" s="151" t="s">
        <v>115</v>
      </c>
      <c r="M2522" s="152">
        <v>42614.625949074078</v>
      </c>
      <c r="N2522" s="151" t="s">
        <v>3852</v>
      </c>
      <c r="O2522" s="151"/>
      <c r="P2522" s="151"/>
      <c r="Q2522" s="7" t="str">
        <f>IF(ISBLANK(patch[[#This Row],[OwnerEmail]]),Q2521,patch[[#This Row],[OwnerEmail]])</f>
        <v>xi.cao@intel.com</v>
      </c>
      <c r="R2522" s="7" t="str">
        <f>_xlfn.IFNA(VLOOKUP(patch[[#This Row],[tmp-owner.email]],OrgTree!$A:$K, 11, 0), "not ICG SWFW")</f>
        <v>BJ And dev</v>
      </c>
      <c r="S2522" s="7" t="str">
        <f>IF(patch[[#This Row],[reviewer]]=patch[[#This Row],[tmp-owner.email]], "author", _xlfn.IFNA(VLOOKUP(patch[[#This Row],[reviewer]],OrgTree!$A:$K, 11, 0), "not ICG SWFW"))</f>
        <v>Val</v>
      </c>
      <c r="T2522" s="7" t="str">
        <f>IF(ISBLANK(patch[[#This Row],[mergeDate]]), "", MID(YEAR(patch[[#This Row],[mergeDate]]), 3,2)&amp;"'ww"&amp;WEEKNUM(patch[[#This Row],[mergeDate]]))</f>
        <v>16'ww36</v>
      </c>
      <c r="U2522" s="7" t="str">
        <f>IF(ISBLANK(patch[[#This Row],[mergeDate]]), U2521, MID(YEAR(patch[[#This Row],[mergeDate]]), 3,2)&amp;"'m"&amp;MONTH(patch[[#This Row],[mergeDate]]))</f>
        <v>16'm9</v>
      </c>
      <c r="V2522" s="7" t="str">
        <f>IF(ISBLANK(patch[[#This Row],[project]]), "",SUM(patch[[#This Row],[BJ -1 num]:[SH -1 num]]))</f>
        <v/>
      </c>
      <c r="W2522" s="7" t="str">
        <f>IF(ISBLANK(patch[[#This Row],[project]]), "",COUNTIFS($A:$A,patch[[#This Row],[number]],$S:$S, "BJ And dev",$AC:$AC, "Review-1"))</f>
        <v/>
      </c>
      <c r="X2522" s="7" t="str">
        <f>IF(ISBLANK(patch[[#This Row],[project]]), "",COUNTIFS($A:$A,patch[[#This Row],[number]],$S:$S, "FL And dev",$AC:$AC, "Review-1"))</f>
        <v/>
      </c>
      <c r="Y2522" s="7" t="str">
        <f>IF(ISBLANK(patch[[#This Row],[project]]), "",COUNTIFS($A:$A,patch[[#This Row],[number]],$S:$S, "SH And dev",$AC:$AC, "Review-1"))</f>
        <v/>
      </c>
      <c r="Z2522" s="7" t="str">
        <f>IF(ISBLANK(patch[[#This Row],[project]]), "",COUNTIFS($A:$A,patch[[#This Row],[number]],$S:$S, "BJ And dev",$AD:$AD, "&lt;&gt;IntegratorValidationComment"))</f>
        <v/>
      </c>
      <c r="AA2522" s="7" t="str">
        <f>IF(ISBLANK(patch[[#This Row],[project]]), "",COUNTIFS($A:$A,patch[[#This Row],[number]],$S:$S, "FL And dev",$AD:$AD, "&lt;&gt;IntegratorValidationComment"))</f>
        <v/>
      </c>
      <c r="AB2522" s="7" t="str">
        <f>IF(ISBLANK(patch[[#This Row],[project]]), "",COUNTIFS($A:$A,patch[[#This Row],[number]],$S:$S, "SH And dev",$AD:$AD, "&lt;&gt;IntegratorValidationComment"))</f>
        <v/>
      </c>
      <c r="AC2522" s="7" t="str">
        <f>IF(OR(ISNUMBER(FIND("Review-1", patch[[#This Row],[comments]])), ISNUMBER(FIND("Approver-1", patch[[#This Row],[comments]]))), "Review-1", "")</f>
        <v/>
      </c>
      <c r="AD25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522" s="7">
        <f>IF(ISBLANK(patch[[#This Row],[number]]),AE2521,patch[[#This Row],[ifCommon]])</f>
        <v>0</v>
      </c>
    </row>
    <row r="2523" spans="1:31">
      <c r="A2523" s="151">
        <v>142507</v>
      </c>
      <c r="B2523" s="151"/>
      <c r="C2523" s="151"/>
      <c r="D2523" s="151"/>
      <c r="E2523" s="151"/>
      <c r="F2523" s="151"/>
      <c r="G2523" s="151"/>
      <c r="H2523" s="151"/>
      <c r="I2523" s="151"/>
      <c r="J2523" s="152">
        <v>42615.719884259262</v>
      </c>
      <c r="K2523" s="151"/>
      <c r="L2523" s="151" t="s">
        <v>115</v>
      </c>
      <c r="M2523" s="152">
        <v>42614.646423611113</v>
      </c>
      <c r="N2523" s="151" t="s">
        <v>2497</v>
      </c>
      <c r="O2523" s="151"/>
      <c r="P2523" s="151"/>
      <c r="Q2523" s="7" t="str">
        <f>IF(ISBLANK(patch[[#This Row],[OwnerEmail]]),Q2522,patch[[#This Row],[OwnerEmail]])</f>
        <v>xi.cao@intel.com</v>
      </c>
      <c r="R2523" s="7" t="str">
        <f>_xlfn.IFNA(VLOOKUP(patch[[#This Row],[tmp-owner.email]],OrgTree!$A:$K, 11, 0), "not ICG SWFW")</f>
        <v>BJ And dev</v>
      </c>
      <c r="S2523" s="7" t="str">
        <f>IF(patch[[#This Row],[reviewer]]=patch[[#This Row],[tmp-owner.email]], "author", _xlfn.IFNA(VLOOKUP(patch[[#This Row],[reviewer]],OrgTree!$A:$K, 11, 0), "not ICG SWFW"))</f>
        <v>Val</v>
      </c>
      <c r="T2523" s="7" t="str">
        <f>IF(ISBLANK(patch[[#This Row],[mergeDate]]), "", MID(YEAR(patch[[#This Row],[mergeDate]]), 3,2)&amp;"'ww"&amp;WEEKNUM(patch[[#This Row],[mergeDate]]))</f>
        <v>16'ww36</v>
      </c>
      <c r="U2523" s="7" t="str">
        <f>IF(ISBLANK(patch[[#This Row],[mergeDate]]), U2522, MID(YEAR(patch[[#This Row],[mergeDate]]), 3,2)&amp;"'m"&amp;MONTH(patch[[#This Row],[mergeDate]]))</f>
        <v>16'm9</v>
      </c>
      <c r="V2523" s="7" t="str">
        <f>IF(ISBLANK(patch[[#This Row],[project]]), "",SUM(patch[[#This Row],[BJ -1 num]:[SH -1 num]]))</f>
        <v/>
      </c>
      <c r="W2523" s="7" t="str">
        <f>IF(ISBLANK(patch[[#This Row],[project]]), "",COUNTIFS($A:$A,patch[[#This Row],[number]],$S:$S, "BJ And dev",$AC:$AC, "Review-1"))</f>
        <v/>
      </c>
      <c r="X2523" s="7" t="str">
        <f>IF(ISBLANK(patch[[#This Row],[project]]), "",COUNTIFS($A:$A,patch[[#This Row],[number]],$S:$S, "FL And dev",$AC:$AC, "Review-1"))</f>
        <v/>
      </c>
      <c r="Y2523" s="7" t="str">
        <f>IF(ISBLANK(patch[[#This Row],[project]]), "",COUNTIFS($A:$A,patch[[#This Row],[number]],$S:$S, "SH And dev",$AC:$AC, "Review-1"))</f>
        <v/>
      </c>
      <c r="Z2523" s="7" t="str">
        <f>IF(ISBLANK(patch[[#This Row],[project]]), "",COUNTIFS($A:$A,patch[[#This Row],[number]],$S:$S, "BJ And dev",$AD:$AD, "&lt;&gt;IntegratorValidationComment"))</f>
        <v/>
      </c>
      <c r="AA2523" s="7" t="str">
        <f>IF(ISBLANK(patch[[#This Row],[project]]), "",COUNTIFS($A:$A,patch[[#This Row],[number]],$S:$S, "FL And dev",$AD:$AD, "&lt;&gt;IntegratorValidationComment"))</f>
        <v/>
      </c>
      <c r="AB2523" s="7" t="str">
        <f>IF(ISBLANK(patch[[#This Row],[project]]), "",COUNTIFS($A:$A,patch[[#This Row],[number]],$S:$S, "SH And dev",$AD:$AD, "&lt;&gt;IntegratorValidationComment"))</f>
        <v/>
      </c>
      <c r="AC2523" s="7" t="str">
        <f>IF(OR(ISNUMBER(FIND("Review-1", patch[[#This Row],[comments]])), ISNUMBER(FIND("Approver-1", patch[[#This Row],[comments]]))), "Review-1", "")</f>
        <v/>
      </c>
      <c r="AD25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523" s="7">
        <f>IF(ISBLANK(patch[[#This Row],[number]]),AE2522,patch[[#This Row],[ifCommon]])</f>
        <v>0</v>
      </c>
    </row>
    <row r="2524" spans="1:31">
      <c r="A2524" s="151">
        <v>142507</v>
      </c>
      <c r="B2524" s="151"/>
      <c r="C2524" s="151"/>
      <c r="D2524" s="151"/>
      <c r="E2524" s="151"/>
      <c r="F2524" s="151"/>
      <c r="G2524" s="151"/>
      <c r="H2524" s="151"/>
      <c r="I2524" s="152"/>
      <c r="J2524" s="152">
        <v>42615.719884259262</v>
      </c>
      <c r="K2524" s="151"/>
      <c r="L2524" s="151" t="s">
        <v>115</v>
      </c>
      <c r="M2524" s="152">
        <v>42614.68545138889</v>
      </c>
      <c r="N2524" s="151" t="s">
        <v>2576</v>
      </c>
      <c r="O2524" s="151"/>
      <c r="P2524" s="151"/>
      <c r="Q2524" s="7" t="str">
        <f>IF(ISBLANK(patch[[#This Row],[OwnerEmail]]),Q2523,patch[[#This Row],[OwnerEmail]])</f>
        <v>xi.cao@intel.com</v>
      </c>
      <c r="R2524" s="7" t="str">
        <f>_xlfn.IFNA(VLOOKUP(patch[[#This Row],[tmp-owner.email]],OrgTree!$A:$K, 11, 0), "not ICG SWFW")</f>
        <v>BJ And dev</v>
      </c>
      <c r="S2524" s="7" t="str">
        <f>IF(patch[[#This Row],[reviewer]]=patch[[#This Row],[tmp-owner.email]], "author", _xlfn.IFNA(VLOOKUP(patch[[#This Row],[reviewer]],OrgTree!$A:$K, 11, 0), "not ICG SWFW"))</f>
        <v>Val</v>
      </c>
      <c r="T2524" s="7" t="str">
        <f>IF(ISBLANK(patch[[#This Row],[mergeDate]]), "", MID(YEAR(patch[[#This Row],[mergeDate]]), 3,2)&amp;"'ww"&amp;WEEKNUM(patch[[#This Row],[mergeDate]]))</f>
        <v>16'ww36</v>
      </c>
      <c r="U2524" s="7" t="str">
        <f>IF(ISBLANK(patch[[#This Row],[mergeDate]]), U2523, MID(YEAR(patch[[#This Row],[mergeDate]]), 3,2)&amp;"'m"&amp;MONTH(patch[[#This Row],[mergeDate]]))</f>
        <v>16'm9</v>
      </c>
      <c r="V2524" s="7" t="str">
        <f>IF(ISBLANK(patch[[#This Row],[project]]), "",SUM(patch[[#This Row],[BJ -1 num]:[SH -1 num]]))</f>
        <v/>
      </c>
      <c r="W2524" s="7" t="str">
        <f>IF(ISBLANK(patch[[#This Row],[project]]), "",COUNTIFS($A:$A,patch[[#This Row],[number]],$S:$S, "BJ And dev",$AC:$AC, "Review-1"))</f>
        <v/>
      </c>
      <c r="X2524" s="7" t="str">
        <f>IF(ISBLANK(patch[[#This Row],[project]]), "",COUNTIFS($A:$A,patch[[#This Row],[number]],$S:$S, "FL And dev",$AC:$AC, "Review-1"))</f>
        <v/>
      </c>
      <c r="Y2524" s="7" t="str">
        <f>IF(ISBLANK(patch[[#This Row],[project]]), "",COUNTIFS($A:$A,patch[[#This Row],[number]],$S:$S, "SH And dev",$AC:$AC, "Review-1"))</f>
        <v/>
      </c>
      <c r="Z2524" s="7" t="str">
        <f>IF(ISBLANK(patch[[#This Row],[project]]), "",COUNTIFS($A:$A,patch[[#This Row],[number]],$S:$S, "BJ And dev",$AD:$AD, "&lt;&gt;IntegratorValidationComment"))</f>
        <v/>
      </c>
      <c r="AA2524" s="7" t="str">
        <f>IF(ISBLANK(patch[[#This Row],[project]]), "",COUNTIFS($A:$A,patch[[#This Row],[number]],$S:$S, "FL And dev",$AD:$AD, "&lt;&gt;IntegratorValidationComment"))</f>
        <v/>
      </c>
      <c r="AB2524" s="7" t="str">
        <f>IF(ISBLANK(patch[[#This Row],[project]]), "",COUNTIFS($A:$A,patch[[#This Row],[number]],$S:$S, "SH And dev",$AD:$AD, "&lt;&gt;IntegratorValidationComment"))</f>
        <v/>
      </c>
      <c r="AC2524" s="7" t="str">
        <f>IF(OR(ISNUMBER(FIND("Review-1", patch[[#This Row],[comments]])), ISNUMBER(FIND("Approver-1", patch[[#This Row],[comments]]))), "Review-1", "")</f>
        <v/>
      </c>
      <c r="AD25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524" s="7">
        <f>IF(ISBLANK(patch[[#This Row],[number]]),AE2523,patch[[#This Row],[ifCommon]])</f>
        <v>0</v>
      </c>
    </row>
    <row r="2525" spans="1:31">
      <c r="A2525" s="151">
        <v>142507</v>
      </c>
      <c r="B2525" s="151"/>
      <c r="C2525" s="151"/>
      <c r="D2525" s="151"/>
      <c r="E2525" s="151"/>
      <c r="F2525" s="151"/>
      <c r="G2525" s="151"/>
      <c r="H2525" s="151"/>
      <c r="I2525" s="151"/>
      <c r="J2525" s="152">
        <v>42615.719884259262</v>
      </c>
      <c r="K2525" s="151"/>
      <c r="L2525" s="151" t="s">
        <v>115</v>
      </c>
      <c r="M2525" s="152">
        <v>42615.424872685187</v>
      </c>
      <c r="N2525" s="151" t="s">
        <v>2497</v>
      </c>
      <c r="O2525" s="151"/>
      <c r="P2525" s="151"/>
      <c r="Q2525" s="7" t="str">
        <f>IF(ISBLANK(patch[[#This Row],[OwnerEmail]]),Q2524,patch[[#This Row],[OwnerEmail]])</f>
        <v>xi.cao@intel.com</v>
      </c>
      <c r="R2525" s="7" t="str">
        <f>_xlfn.IFNA(VLOOKUP(patch[[#This Row],[tmp-owner.email]],OrgTree!$A:$K, 11, 0), "not ICG SWFW")</f>
        <v>BJ And dev</v>
      </c>
      <c r="S2525" s="7" t="str">
        <f>IF(patch[[#This Row],[reviewer]]=patch[[#This Row],[tmp-owner.email]], "author", _xlfn.IFNA(VLOOKUP(patch[[#This Row],[reviewer]],OrgTree!$A:$K, 11, 0), "not ICG SWFW"))</f>
        <v>Val</v>
      </c>
      <c r="T2525" s="7" t="str">
        <f>IF(ISBLANK(patch[[#This Row],[mergeDate]]), "", MID(YEAR(patch[[#This Row],[mergeDate]]), 3,2)&amp;"'ww"&amp;WEEKNUM(patch[[#This Row],[mergeDate]]))</f>
        <v>16'ww36</v>
      </c>
      <c r="U2525" s="7" t="str">
        <f>IF(ISBLANK(patch[[#This Row],[mergeDate]]), U2524, MID(YEAR(patch[[#This Row],[mergeDate]]), 3,2)&amp;"'m"&amp;MONTH(patch[[#This Row],[mergeDate]]))</f>
        <v>16'm9</v>
      </c>
      <c r="V2525" s="7" t="str">
        <f>IF(ISBLANK(patch[[#This Row],[project]]), "",SUM(patch[[#This Row],[BJ -1 num]:[SH -1 num]]))</f>
        <v/>
      </c>
      <c r="W2525" s="7" t="str">
        <f>IF(ISBLANK(patch[[#This Row],[project]]), "",COUNTIFS($A:$A,patch[[#This Row],[number]],$S:$S, "BJ And dev",$AC:$AC, "Review-1"))</f>
        <v/>
      </c>
      <c r="X2525" s="7" t="str">
        <f>IF(ISBLANK(patch[[#This Row],[project]]), "",COUNTIFS($A:$A,patch[[#This Row],[number]],$S:$S, "FL And dev",$AC:$AC, "Review-1"))</f>
        <v/>
      </c>
      <c r="Y2525" s="7" t="str">
        <f>IF(ISBLANK(patch[[#This Row],[project]]), "",COUNTIFS($A:$A,patch[[#This Row],[number]],$S:$S, "SH And dev",$AC:$AC, "Review-1"))</f>
        <v/>
      </c>
      <c r="Z2525" s="7" t="str">
        <f>IF(ISBLANK(patch[[#This Row],[project]]), "",COUNTIFS($A:$A,patch[[#This Row],[number]],$S:$S, "BJ And dev",$AD:$AD, "&lt;&gt;IntegratorValidationComment"))</f>
        <v/>
      </c>
      <c r="AA2525" s="7" t="str">
        <f>IF(ISBLANK(patch[[#This Row],[project]]), "",COUNTIFS($A:$A,patch[[#This Row],[number]],$S:$S, "FL And dev",$AD:$AD, "&lt;&gt;IntegratorValidationComment"))</f>
        <v/>
      </c>
      <c r="AB2525" s="7" t="str">
        <f>IF(ISBLANK(patch[[#This Row],[project]]), "",COUNTIFS($A:$A,patch[[#This Row],[number]],$S:$S, "SH And dev",$AD:$AD, "&lt;&gt;IntegratorValidationComment"))</f>
        <v/>
      </c>
      <c r="AC2525" s="7" t="str">
        <f>IF(OR(ISNUMBER(FIND("Review-1", patch[[#This Row],[comments]])), ISNUMBER(FIND("Approver-1", patch[[#This Row],[comments]]))), "Review-1", "")</f>
        <v/>
      </c>
      <c r="AD25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525" s="7">
        <f>IF(ISBLANK(patch[[#This Row],[number]]),AE2524,patch[[#This Row],[ifCommon]])</f>
        <v>0</v>
      </c>
    </row>
    <row r="2526" spans="1:31">
      <c r="A2526" s="151">
        <v>142825</v>
      </c>
      <c r="B2526" s="151" t="s">
        <v>2490</v>
      </c>
      <c r="C2526" s="151" t="s">
        <v>2491</v>
      </c>
      <c r="D2526" s="151" t="s">
        <v>3853</v>
      </c>
      <c r="E2526" s="151" t="s">
        <v>55</v>
      </c>
      <c r="F2526" s="151" t="s">
        <v>23</v>
      </c>
      <c r="G2526" s="151" t="s">
        <v>3854</v>
      </c>
      <c r="H2526" s="151" t="s">
        <v>3855</v>
      </c>
      <c r="I2526" s="152">
        <v>42614.795034722221</v>
      </c>
      <c r="J2526" s="152">
        <v>42615.495034722233</v>
      </c>
      <c r="K2526" s="151" t="s">
        <v>2445</v>
      </c>
      <c r="L2526" s="151" t="s">
        <v>55</v>
      </c>
      <c r="M2526" s="152">
        <v>42614.795034722221</v>
      </c>
      <c r="N2526" s="151" t="s">
        <v>25</v>
      </c>
      <c r="O2526" s="151"/>
      <c r="P2526" s="151" t="s">
        <v>2543</v>
      </c>
      <c r="Q2526" s="7" t="str">
        <f>IF(ISBLANK(patch[[#This Row],[OwnerEmail]]),Q2525,patch[[#This Row],[OwnerEmail]])</f>
        <v>liang.l.yang@intel.com</v>
      </c>
      <c r="R2526" s="7" t="str">
        <f>_xlfn.IFNA(VLOOKUP(patch[[#This Row],[tmp-owner.email]],OrgTree!$A:$K, 11, 0), "not ICG SWFW")</f>
        <v>BJ And dev</v>
      </c>
      <c r="S2526" s="7" t="str">
        <f>IF(patch[[#This Row],[reviewer]]=patch[[#This Row],[tmp-owner.email]], "author", _xlfn.IFNA(VLOOKUP(patch[[#This Row],[reviewer]],OrgTree!$A:$K, 11, 0), "not ICG SWFW"))</f>
        <v>author</v>
      </c>
      <c r="T2526" s="7" t="str">
        <f>IF(ISBLANK(patch[[#This Row],[mergeDate]]), "", MID(YEAR(patch[[#This Row],[mergeDate]]), 3,2)&amp;"'ww"&amp;WEEKNUM(patch[[#This Row],[mergeDate]]))</f>
        <v>16'ww36</v>
      </c>
      <c r="U2526" s="7" t="str">
        <f>IF(ISBLANK(patch[[#This Row],[mergeDate]]), U2525, MID(YEAR(patch[[#This Row],[mergeDate]]), 3,2)&amp;"'m"&amp;MONTH(patch[[#This Row],[mergeDate]]))</f>
        <v>16'm9</v>
      </c>
      <c r="V2526" s="7">
        <f>IF(ISBLANK(patch[[#This Row],[project]]), "",SUM(patch[[#This Row],[BJ -1 num]:[SH -1 num]]))</f>
        <v>0</v>
      </c>
      <c r="W2526" s="7">
        <f>IF(ISBLANK(patch[[#This Row],[project]]), "",COUNTIFS($A:$A,patch[[#This Row],[number]],$S:$S, "BJ And dev",$AC:$AC, "Review-1"))</f>
        <v>0</v>
      </c>
      <c r="X2526" s="7">
        <f>IF(ISBLANK(patch[[#This Row],[project]]), "",COUNTIFS($A:$A,patch[[#This Row],[number]],$S:$S, "FL And dev",$AC:$AC, "Review-1"))</f>
        <v>0</v>
      </c>
      <c r="Y2526" s="7">
        <f>IF(ISBLANK(patch[[#This Row],[project]]), "",COUNTIFS($A:$A,patch[[#This Row],[number]],$S:$S, "SH And dev",$AC:$AC, "Review-1"))</f>
        <v>0</v>
      </c>
      <c r="Z2526" s="7">
        <f>IF(ISBLANK(patch[[#This Row],[project]]), "",COUNTIFS($A:$A,patch[[#This Row],[number]],$S:$S, "BJ And dev",$AD:$AD, "&lt;&gt;IntegratorValidationComment"))</f>
        <v>15</v>
      </c>
      <c r="AA2526" s="7">
        <f>IF(ISBLANK(patch[[#This Row],[project]]), "",COUNTIFS($A:$A,patch[[#This Row],[number]],$S:$S, "FL And dev",$AD:$AD, "&lt;&gt;IntegratorValidationComment"))</f>
        <v>0</v>
      </c>
      <c r="AB2526" s="7">
        <f>IF(ISBLANK(patch[[#This Row],[project]]), "",COUNTIFS($A:$A,patch[[#This Row],[number]],$S:$S, "SH And dev",$AD:$AD, "&lt;&gt;IntegratorValidationComment"))</f>
        <v>0</v>
      </c>
      <c r="AC2526" s="7" t="str">
        <f>IF(OR(ISNUMBER(FIND("Review-1", patch[[#This Row],[comments]])), ISNUMBER(FIND("Approver-1", patch[[#This Row],[comments]]))), "Review-1", "")</f>
        <v/>
      </c>
      <c r="AD25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26" s="7" t="str">
        <f>IF(ISBLANK(patch[[#This Row],[number]]),AE2525,patch[[#This Row],[ifCommon]])</f>
        <v>not AndrHAL</v>
      </c>
    </row>
    <row r="2527" spans="1:31">
      <c r="A2527" s="151">
        <v>142825</v>
      </c>
      <c r="B2527" s="151"/>
      <c r="C2527" s="151"/>
      <c r="D2527" s="151"/>
      <c r="E2527" s="151"/>
      <c r="F2527" s="151"/>
      <c r="G2527" s="151"/>
      <c r="H2527" s="151"/>
      <c r="I2527" s="151"/>
      <c r="J2527" s="152">
        <v>42615.495034722233</v>
      </c>
      <c r="K2527" s="151"/>
      <c r="L2527" s="151" t="s">
        <v>55</v>
      </c>
      <c r="M2527" s="152">
        <v>42614.795034722221</v>
      </c>
      <c r="N2527" s="151" t="s">
        <v>2428</v>
      </c>
      <c r="O2527" s="151"/>
      <c r="P2527" s="151"/>
      <c r="Q2527" s="7" t="str">
        <f>IF(ISBLANK(patch[[#This Row],[OwnerEmail]]),Q2526,patch[[#This Row],[OwnerEmail]])</f>
        <v>liang.l.yang@intel.com</v>
      </c>
      <c r="R2527" s="7" t="str">
        <f>_xlfn.IFNA(VLOOKUP(patch[[#This Row],[tmp-owner.email]],OrgTree!$A:$K, 11, 0), "not ICG SWFW")</f>
        <v>BJ And dev</v>
      </c>
      <c r="S2527" s="7" t="str">
        <f>IF(patch[[#This Row],[reviewer]]=patch[[#This Row],[tmp-owner.email]], "author", _xlfn.IFNA(VLOOKUP(patch[[#This Row],[reviewer]],OrgTree!$A:$K, 11, 0), "not ICG SWFW"))</f>
        <v>author</v>
      </c>
      <c r="T2527" s="7" t="str">
        <f>IF(ISBLANK(patch[[#This Row],[mergeDate]]), "", MID(YEAR(patch[[#This Row],[mergeDate]]), 3,2)&amp;"'ww"&amp;WEEKNUM(patch[[#This Row],[mergeDate]]))</f>
        <v>16'ww36</v>
      </c>
      <c r="U2527" s="7" t="str">
        <f>IF(ISBLANK(patch[[#This Row],[mergeDate]]), U2526, MID(YEAR(patch[[#This Row],[mergeDate]]), 3,2)&amp;"'m"&amp;MONTH(patch[[#This Row],[mergeDate]]))</f>
        <v>16'm9</v>
      </c>
      <c r="V2527" s="7" t="str">
        <f>IF(ISBLANK(patch[[#This Row],[project]]), "",SUM(patch[[#This Row],[BJ -1 num]:[SH -1 num]]))</f>
        <v/>
      </c>
      <c r="W2527" s="7" t="str">
        <f>IF(ISBLANK(patch[[#This Row],[project]]), "",COUNTIFS($A:$A,patch[[#This Row],[number]],$S:$S, "BJ And dev",$AC:$AC, "Review-1"))</f>
        <v/>
      </c>
      <c r="X2527" s="7" t="str">
        <f>IF(ISBLANK(patch[[#This Row],[project]]), "",COUNTIFS($A:$A,patch[[#This Row],[number]],$S:$S, "FL And dev",$AC:$AC, "Review-1"))</f>
        <v/>
      </c>
      <c r="Y2527" s="7" t="str">
        <f>IF(ISBLANK(patch[[#This Row],[project]]), "",COUNTIFS($A:$A,patch[[#This Row],[number]],$S:$S, "SH And dev",$AC:$AC, "Review-1"))</f>
        <v/>
      </c>
      <c r="Z2527" s="7" t="str">
        <f>IF(ISBLANK(patch[[#This Row],[project]]), "",COUNTIFS($A:$A,patch[[#This Row],[number]],$S:$S, "BJ And dev",$AD:$AD, "&lt;&gt;IntegratorValidationComment"))</f>
        <v/>
      </c>
      <c r="AA2527" s="7" t="str">
        <f>IF(ISBLANK(patch[[#This Row],[project]]), "",COUNTIFS($A:$A,patch[[#This Row],[number]],$S:$S, "FL And dev",$AD:$AD, "&lt;&gt;IntegratorValidationComment"))</f>
        <v/>
      </c>
      <c r="AB2527" s="7" t="str">
        <f>IF(ISBLANK(patch[[#This Row],[project]]), "",COUNTIFS($A:$A,patch[[#This Row],[number]],$S:$S, "SH And dev",$AD:$AD, "&lt;&gt;IntegratorValidationComment"))</f>
        <v/>
      </c>
      <c r="AC2527" s="7" t="str">
        <f>IF(OR(ISNUMBER(FIND("Review-1", patch[[#This Row],[comments]])), ISNUMBER(FIND("Approver-1", patch[[#This Row],[comments]]))), "Review-1", "")</f>
        <v/>
      </c>
      <c r="AD25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27" s="7">
        <f>IF(ISBLANK(patch[[#This Row],[number]]),AE2526,patch[[#This Row],[ifCommon]])</f>
        <v>0</v>
      </c>
    </row>
    <row r="2528" spans="1:31">
      <c r="A2528" s="151">
        <v>142825</v>
      </c>
      <c r="B2528" s="151"/>
      <c r="C2528" s="151"/>
      <c r="D2528" s="151"/>
      <c r="E2528" s="151"/>
      <c r="F2528" s="151"/>
      <c r="G2528" s="151"/>
      <c r="H2528" s="151"/>
      <c r="I2528" s="152"/>
      <c r="J2528" s="152">
        <v>42615.495034722233</v>
      </c>
      <c r="K2528" s="151"/>
      <c r="L2528" s="151" t="s">
        <v>59</v>
      </c>
      <c r="M2528" s="152">
        <v>42614.799942129634</v>
      </c>
      <c r="N2528" s="151" t="s">
        <v>3856</v>
      </c>
      <c r="O2528" s="151"/>
      <c r="P2528" s="151"/>
      <c r="Q2528" s="7" t="str">
        <f>IF(ISBLANK(patch[[#This Row],[OwnerEmail]]),Q2527,patch[[#This Row],[OwnerEmail]])</f>
        <v>liang.l.yang@intel.com</v>
      </c>
      <c r="R2528" s="7" t="str">
        <f>_xlfn.IFNA(VLOOKUP(patch[[#This Row],[tmp-owner.email]],OrgTree!$A:$K, 11, 0), "not ICG SWFW")</f>
        <v>BJ And dev</v>
      </c>
      <c r="S2528" s="7" t="str">
        <f>IF(patch[[#This Row],[reviewer]]=patch[[#This Row],[tmp-owner.email]], "author", _xlfn.IFNA(VLOOKUP(patch[[#This Row],[reviewer]],OrgTree!$A:$K, 11, 0), "not ICG SWFW"))</f>
        <v>BJ And dev</v>
      </c>
      <c r="T2528" s="7" t="str">
        <f>IF(ISBLANK(patch[[#This Row],[mergeDate]]), "", MID(YEAR(patch[[#This Row],[mergeDate]]), 3,2)&amp;"'ww"&amp;WEEKNUM(patch[[#This Row],[mergeDate]]))</f>
        <v>16'ww36</v>
      </c>
      <c r="U2528" s="7" t="str">
        <f>IF(ISBLANK(patch[[#This Row],[mergeDate]]), U2527, MID(YEAR(patch[[#This Row],[mergeDate]]), 3,2)&amp;"'m"&amp;MONTH(patch[[#This Row],[mergeDate]]))</f>
        <v>16'm9</v>
      </c>
      <c r="V2528" s="7" t="str">
        <f>IF(ISBLANK(patch[[#This Row],[project]]), "",SUM(patch[[#This Row],[BJ -1 num]:[SH -1 num]]))</f>
        <v/>
      </c>
      <c r="W2528" s="7" t="str">
        <f>IF(ISBLANK(patch[[#This Row],[project]]), "",COUNTIFS($A:$A,patch[[#This Row],[number]],$S:$S, "BJ And dev",$AC:$AC, "Review-1"))</f>
        <v/>
      </c>
      <c r="X2528" s="7" t="str">
        <f>IF(ISBLANK(patch[[#This Row],[project]]), "",COUNTIFS($A:$A,patch[[#This Row],[number]],$S:$S, "FL And dev",$AC:$AC, "Review-1"))</f>
        <v/>
      </c>
      <c r="Y2528" s="7" t="str">
        <f>IF(ISBLANK(patch[[#This Row],[project]]), "",COUNTIFS($A:$A,patch[[#This Row],[number]],$S:$S, "SH And dev",$AC:$AC, "Review-1"))</f>
        <v/>
      </c>
      <c r="Z2528" s="7" t="str">
        <f>IF(ISBLANK(patch[[#This Row],[project]]), "",COUNTIFS($A:$A,patch[[#This Row],[number]],$S:$S, "BJ And dev",$AD:$AD, "&lt;&gt;IntegratorValidationComment"))</f>
        <v/>
      </c>
      <c r="AA2528" s="7" t="str">
        <f>IF(ISBLANK(patch[[#This Row],[project]]), "",COUNTIFS($A:$A,patch[[#This Row],[number]],$S:$S, "FL And dev",$AD:$AD, "&lt;&gt;IntegratorValidationComment"))</f>
        <v/>
      </c>
      <c r="AB2528" s="7" t="str">
        <f>IF(ISBLANK(patch[[#This Row],[project]]), "",COUNTIFS($A:$A,patch[[#This Row],[number]],$S:$S, "SH And dev",$AD:$AD, "&lt;&gt;IntegratorValidationComment"))</f>
        <v/>
      </c>
      <c r="AC2528" s="7" t="str">
        <f>IF(OR(ISNUMBER(FIND("Review-1", patch[[#This Row],[comments]])), ISNUMBER(FIND("Approver-1", patch[[#This Row],[comments]]))), "Review-1", "")</f>
        <v/>
      </c>
      <c r="AD25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28" s="7">
        <f>IF(ISBLANK(patch[[#This Row],[number]]),AE2527,patch[[#This Row],[ifCommon]])</f>
        <v>0</v>
      </c>
    </row>
    <row r="2529" spans="1:31">
      <c r="A2529" s="151">
        <v>142825</v>
      </c>
      <c r="B2529" s="151"/>
      <c r="C2529" s="151"/>
      <c r="D2529" s="151"/>
      <c r="E2529" s="151"/>
      <c r="F2529" s="151"/>
      <c r="G2529" s="151"/>
      <c r="H2529" s="151"/>
      <c r="I2529" s="151"/>
      <c r="J2529" s="152">
        <v>42615.495034722233</v>
      </c>
      <c r="K2529" s="151"/>
      <c r="L2529" s="151" t="s">
        <v>55</v>
      </c>
      <c r="M2529" s="152">
        <v>42614.803761574083</v>
      </c>
      <c r="N2529" s="151" t="s">
        <v>29</v>
      </c>
      <c r="O2529" s="151"/>
      <c r="P2529" s="151"/>
      <c r="Q2529" s="7" t="str">
        <f>IF(ISBLANK(patch[[#This Row],[OwnerEmail]]),Q2528,patch[[#This Row],[OwnerEmail]])</f>
        <v>liang.l.yang@intel.com</v>
      </c>
      <c r="R2529" s="7" t="str">
        <f>_xlfn.IFNA(VLOOKUP(patch[[#This Row],[tmp-owner.email]],OrgTree!$A:$K, 11, 0), "not ICG SWFW")</f>
        <v>BJ And dev</v>
      </c>
      <c r="S2529" s="7" t="str">
        <f>IF(patch[[#This Row],[reviewer]]=patch[[#This Row],[tmp-owner.email]], "author", _xlfn.IFNA(VLOOKUP(patch[[#This Row],[reviewer]],OrgTree!$A:$K, 11, 0), "not ICG SWFW"))</f>
        <v>author</v>
      </c>
      <c r="T2529" s="7" t="str">
        <f>IF(ISBLANK(patch[[#This Row],[mergeDate]]), "", MID(YEAR(patch[[#This Row],[mergeDate]]), 3,2)&amp;"'ww"&amp;WEEKNUM(patch[[#This Row],[mergeDate]]))</f>
        <v>16'ww36</v>
      </c>
      <c r="U2529" s="7" t="str">
        <f>IF(ISBLANK(patch[[#This Row],[mergeDate]]), U2528, MID(YEAR(patch[[#This Row],[mergeDate]]), 3,2)&amp;"'m"&amp;MONTH(patch[[#This Row],[mergeDate]]))</f>
        <v>16'm9</v>
      </c>
      <c r="V2529" s="7" t="str">
        <f>IF(ISBLANK(patch[[#This Row],[project]]), "",SUM(patch[[#This Row],[BJ -1 num]:[SH -1 num]]))</f>
        <v/>
      </c>
      <c r="W2529" s="7" t="str">
        <f>IF(ISBLANK(patch[[#This Row],[project]]), "",COUNTIFS($A:$A,patch[[#This Row],[number]],$S:$S, "BJ And dev",$AC:$AC, "Review-1"))</f>
        <v/>
      </c>
      <c r="X2529" s="7" t="str">
        <f>IF(ISBLANK(patch[[#This Row],[project]]), "",COUNTIFS($A:$A,patch[[#This Row],[number]],$S:$S, "FL And dev",$AC:$AC, "Review-1"))</f>
        <v/>
      </c>
      <c r="Y2529" s="7" t="str">
        <f>IF(ISBLANK(patch[[#This Row],[project]]), "",COUNTIFS($A:$A,patch[[#This Row],[number]],$S:$S, "SH And dev",$AC:$AC, "Review-1"))</f>
        <v/>
      </c>
      <c r="Z2529" s="7" t="str">
        <f>IF(ISBLANK(patch[[#This Row],[project]]), "",COUNTIFS($A:$A,patch[[#This Row],[number]],$S:$S, "BJ And dev",$AD:$AD, "&lt;&gt;IntegratorValidationComment"))</f>
        <v/>
      </c>
      <c r="AA2529" s="7" t="str">
        <f>IF(ISBLANK(patch[[#This Row],[project]]), "",COUNTIFS($A:$A,patch[[#This Row],[number]],$S:$S, "FL And dev",$AD:$AD, "&lt;&gt;IntegratorValidationComment"))</f>
        <v/>
      </c>
      <c r="AB2529" s="7" t="str">
        <f>IF(ISBLANK(patch[[#This Row],[project]]), "",COUNTIFS($A:$A,patch[[#This Row],[number]],$S:$S, "SH And dev",$AD:$AD, "&lt;&gt;IntegratorValidationComment"))</f>
        <v/>
      </c>
      <c r="AC2529" s="7" t="str">
        <f>IF(OR(ISNUMBER(FIND("Review-1", patch[[#This Row],[comments]])), ISNUMBER(FIND("Approver-1", patch[[#This Row],[comments]]))), "Review-1", "")</f>
        <v/>
      </c>
      <c r="AD25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29" s="7">
        <f>IF(ISBLANK(patch[[#This Row],[number]]),AE2528,patch[[#This Row],[ifCommon]])</f>
        <v>0</v>
      </c>
    </row>
    <row r="2530" spans="1:31">
      <c r="A2530" s="151">
        <v>142825</v>
      </c>
      <c r="B2530" s="151"/>
      <c r="C2530" s="151"/>
      <c r="D2530" s="151"/>
      <c r="E2530" s="151"/>
      <c r="F2530" s="151"/>
      <c r="G2530" s="151"/>
      <c r="H2530" s="151"/>
      <c r="I2530" s="151"/>
      <c r="J2530" s="152">
        <v>42615.495034722233</v>
      </c>
      <c r="K2530" s="151"/>
      <c r="L2530" s="151" t="s">
        <v>55</v>
      </c>
      <c r="M2530" s="152">
        <v>42614.803761574083</v>
      </c>
      <c r="N2530" s="151" t="s">
        <v>2429</v>
      </c>
      <c r="O2530" s="151"/>
      <c r="P2530" s="151"/>
      <c r="Q2530" s="7" t="str">
        <f>IF(ISBLANK(patch[[#This Row],[OwnerEmail]]),Q2529,patch[[#This Row],[OwnerEmail]])</f>
        <v>liang.l.yang@intel.com</v>
      </c>
      <c r="R2530" s="7" t="str">
        <f>_xlfn.IFNA(VLOOKUP(patch[[#This Row],[tmp-owner.email]],OrgTree!$A:$K, 11, 0), "not ICG SWFW")</f>
        <v>BJ And dev</v>
      </c>
      <c r="S2530" s="7" t="str">
        <f>IF(patch[[#This Row],[reviewer]]=patch[[#This Row],[tmp-owner.email]], "author", _xlfn.IFNA(VLOOKUP(patch[[#This Row],[reviewer]],OrgTree!$A:$K, 11, 0), "not ICG SWFW"))</f>
        <v>author</v>
      </c>
      <c r="T2530" s="7" t="str">
        <f>IF(ISBLANK(patch[[#This Row],[mergeDate]]), "", MID(YEAR(patch[[#This Row],[mergeDate]]), 3,2)&amp;"'ww"&amp;WEEKNUM(patch[[#This Row],[mergeDate]]))</f>
        <v>16'ww36</v>
      </c>
      <c r="U2530" s="7" t="str">
        <f>IF(ISBLANK(patch[[#This Row],[mergeDate]]), U2529, MID(YEAR(patch[[#This Row],[mergeDate]]), 3,2)&amp;"'m"&amp;MONTH(patch[[#This Row],[mergeDate]]))</f>
        <v>16'm9</v>
      </c>
      <c r="V2530" s="7" t="str">
        <f>IF(ISBLANK(patch[[#This Row],[project]]), "",SUM(patch[[#This Row],[BJ -1 num]:[SH -1 num]]))</f>
        <v/>
      </c>
      <c r="W2530" s="7" t="str">
        <f>IF(ISBLANK(patch[[#This Row],[project]]), "",COUNTIFS($A:$A,patch[[#This Row],[number]],$S:$S, "BJ And dev",$AC:$AC, "Review-1"))</f>
        <v/>
      </c>
      <c r="X2530" s="7" t="str">
        <f>IF(ISBLANK(patch[[#This Row],[project]]), "",COUNTIFS($A:$A,patch[[#This Row],[number]],$S:$S, "FL And dev",$AC:$AC, "Review-1"))</f>
        <v/>
      </c>
      <c r="Y2530" s="7" t="str">
        <f>IF(ISBLANK(patch[[#This Row],[project]]), "",COUNTIFS($A:$A,patch[[#This Row],[number]],$S:$S, "SH And dev",$AC:$AC, "Review-1"))</f>
        <v/>
      </c>
      <c r="Z2530" s="7" t="str">
        <f>IF(ISBLANK(patch[[#This Row],[project]]), "",COUNTIFS($A:$A,patch[[#This Row],[number]],$S:$S, "BJ And dev",$AD:$AD, "&lt;&gt;IntegratorValidationComment"))</f>
        <v/>
      </c>
      <c r="AA2530" s="7" t="str">
        <f>IF(ISBLANK(patch[[#This Row],[project]]), "",COUNTIFS($A:$A,patch[[#This Row],[number]],$S:$S, "FL And dev",$AD:$AD, "&lt;&gt;IntegratorValidationComment"))</f>
        <v/>
      </c>
      <c r="AB2530" s="7" t="str">
        <f>IF(ISBLANK(patch[[#This Row],[project]]), "",COUNTIFS($A:$A,patch[[#This Row],[number]],$S:$S, "SH And dev",$AD:$AD, "&lt;&gt;IntegratorValidationComment"))</f>
        <v/>
      </c>
      <c r="AC2530" s="7" t="str">
        <f>IF(OR(ISNUMBER(FIND("Review-1", patch[[#This Row],[comments]])), ISNUMBER(FIND("Approver-1", patch[[#This Row],[comments]]))), "Review-1", "")</f>
        <v/>
      </c>
      <c r="AD25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30" s="7">
        <f>IF(ISBLANK(patch[[#This Row],[number]]),AE2529,patch[[#This Row],[ifCommon]])</f>
        <v>0</v>
      </c>
    </row>
    <row r="2531" spans="1:31">
      <c r="A2531" s="151">
        <v>142825</v>
      </c>
      <c r="B2531" s="151"/>
      <c r="C2531" s="151"/>
      <c r="D2531" s="151"/>
      <c r="E2531" s="151"/>
      <c r="F2531" s="151"/>
      <c r="G2531" s="151"/>
      <c r="H2531" s="151"/>
      <c r="I2531" s="151"/>
      <c r="J2531" s="152">
        <v>42615.495034722233</v>
      </c>
      <c r="K2531" s="151"/>
      <c r="L2531" s="151" t="s">
        <v>59</v>
      </c>
      <c r="M2531" s="152">
        <v>42614.8046412037</v>
      </c>
      <c r="N2531" s="151" t="s">
        <v>3857</v>
      </c>
      <c r="O2531" s="151"/>
      <c r="P2531" s="151"/>
      <c r="Q2531" s="7" t="str">
        <f>IF(ISBLANK(patch[[#This Row],[OwnerEmail]]),Q2530,patch[[#This Row],[OwnerEmail]])</f>
        <v>liang.l.yang@intel.com</v>
      </c>
      <c r="R2531" s="7" t="str">
        <f>_xlfn.IFNA(VLOOKUP(patch[[#This Row],[tmp-owner.email]],OrgTree!$A:$K, 11, 0), "not ICG SWFW")</f>
        <v>BJ And dev</v>
      </c>
      <c r="S2531" s="7" t="str">
        <f>IF(patch[[#This Row],[reviewer]]=patch[[#This Row],[tmp-owner.email]], "author", _xlfn.IFNA(VLOOKUP(patch[[#This Row],[reviewer]],OrgTree!$A:$K, 11, 0), "not ICG SWFW"))</f>
        <v>BJ And dev</v>
      </c>
      <c r="T2531" s="7" t="str">
        <f>IF(ISBLANK(patch[[#This Row],[mergeDate]]), "", MID(YEAR(patch[[#This Row],[mergeDate]]), 3,2)&amp;"'ww"&amp;WEEKNUM(patch[[#This Row],[mergeDate]]))</f>
        <v>16'ww36</v>
      </c>
      <c r="U2531" s="7" t="str">
        <f>IF(ISBLANK(patch[[#This Row],[mergeDate]]), U2530, MID(YEAR(patch[[#This Row],[mergeDate]]), 3,2)&amp;"'m"&amp;MONTH(patch[[#This Row],[mergeDate]]))</f>
        <v>16'm9</v>
      </c>
      <c r="V2531" s="7" t="str">
        <f>IF(ISBLANK(patch[[#This Row],[project]]), "",SUM(patch[[#This Row],[BJ -1 num]:[SH -1 num]]))</f>
        <v/>
      </c>
      <c r="W2531" s="7" t="str">
        <f>IF(ISBLANK(patch[[#This Row],[project]]), "",COUNTIFS($A:$A,patch[[#This Row],[number]],$S:$S, "BJ And dev",$AC:$AC, "Review-1"))</f>
        <v/>
      </c>
      <c r="X2531" s="7" t="str">
        <f>IF(ISBLANK(patch[[#This Row],[project]]), "",COUNTIFS($A:$A,patch[[#This Row],[number]],$S:$S, "FL And dev",$AC:$AC, "Review-1"))</f>
        <v/>
      </c>
      <c r="Y2531" s="7" t="str">
        <f>IF(ISBLANK(patch[[#This Row],[project]]), "",COUNTIFS($A:$A,patch[[#This Row],[number]],$S:$S, "SH And dev",$AC:$AC, "Review-1"))</f>
        <v/>
      </c>
      <c r="Z2531" s="7" t="str">
        <f>IF(ISBLANK(patch[[#This Row],[project]]), "",COUNTIFS($A:$A,patch[[#This Row],[number]],$S:$S, "BJ And dev",$AD:$AD, "&lt;&gt;IntegratorValidationComment"))</f>
        <v/>
      </c>
      <c r="AA2531" s="7" t="str">
        <f>IF(ISBLANK(patch[[#This Row],[project]]), "",COUNTIFS($A:$A,patch[[#This Row],[number]],$S:$S, "FL And dev",$AD:$AD, "&lt;&gt;IntegratorValidationComment"))</f>
        <v/>
      </c>
      <c r="AB2531" s="7" t="str">
        <f>IF(ISBLANK(patch[[#This Row],[project]]), "",COUNTIFS($A:$A,patch[[#This Row],[number]],$S:$S, "SH And dev",$AD:$AD, "&lt;&gt;IntegratorValidationComment"))</f>
        <v/>
      </c>
      <c r="AC2531" s="7" t="str">
        <f>IF(OR(ISNUMBER(FIND("Review-1", patch[[#This Row],[comments]])), ISNUMBER(FIND("Approver-1", patch[[#This Row],[comments]]))), "Review-1", "")</f>
        <v/>
      </c>
      <c r="AD25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31" s="7">
        <f>IF(ISBLANK(patch[[#This Row],[number]]),AE2530,patch[[#This Row],[ifCommon]])</f>
        <v>0</v>
      </c>
    </row>
    <row r="2532" spans="1:31">
      <c r="A2532" s="151">
        <v>142825</v>
      </c>
      <c r="B2532" s="151"/>
      <c r="C2532" s="151"/>
      <c r="D2532" s="151"/>
      <c r="E2532" s="151"/>
      <c r="F2532" s="151"/>
      <c r="G2532" s="151"/>
      <c r="H2532" s="151"/>
      <c r="I2532" s="151"/>
      <c r="J2532" s="152">
        <v>42615.495034722233</v>
      </c>
      <c r="K2532" s="151"/>
      <c r="L2532" s="151" t="s">
        <v>59</v>
      </c>
      <c r="M2532" s="152">
        <v>42614.806886574072</v>
      </c>
      <c r="N2532" s="151" t="s">
        <v>3858</v>
      </c>
      <c r="O2532" s="151"/>
      <c r="P2532" s="151"/>
      <c r="Q2532" s="7" t="str">
        <f>IF(ISBLANK(patch[[#This Row],[OwnerEmail]]),Q2531,patch[[#This Row],[OwnerEmail]])</f>
        <v>liang.l.yang@intel.com</v>
      </c>
      <c r="R2532" s="7" t="str">
        <f>_xlfn.IFNA(VLOOKUP(patch[[#This Row],[tmp-owner.email]],OrgTree!$A:$K, 11, 0), "not ICG SWFW")</f>
        <v>BJ And dev</v>
      </c>
      <c r="S2532" s="7" t="str">
        <f>IF(patch[[#This Row],[reviewer]]=patch[[#This Row],[tmp-owner.email]], "author", _xlfn.IFNA(VLOOKUP(patch[[#This Row],[reviewer]],OrgTree!$A:$K, 11, 0), "not ICG SWFW"))</f>
        <v>BJ And dev</v>
      </c>
      <c r="T2532" s="7" t="str">
        <f>IF(ISBLANK(patch[[#This Row],[mergeDate]]), "", MID(YEAR(patch[[#This Row],[mergeDate]]), 3,2)&amp;"'ww"&amp;WEEKNUM(patch[[#This Row],[mergeDate]]))</f>
        <v>16'ww36</v>
      </c>
      <c r="U2532" s="7" t="str">
        <f>IF(ISBLANK(patch[[#This Row],[mergeDate]]), U2531, MID(YEAR(patch[[#This Row],[mergeDate]]), 3,2)&amp;"'m"&amp;MONTH(patch[[#This Row],[mergeDate]]))</f>
        <v>16'm9</v>
      </c>
      <c r="V2532" s="7" t="str">
        <f>IF(ISBLANK(patch[[#This Row],[project]]), "",SUM(patch[[#This Row],[BJ -1 num]:[SH -1 num]]))</f>
        <v/>
      </c>
      <c r="W2532" s="7" t="str">
        <f>IF(ISBLANK(patch[[#This Row],[project]]), "",COUNTIFS($A:$A,patch[[#This Row],[number]],$S:$S, "BJ And dev",$AC:$AC, "Review-1"))</f>
        <v/>
      </c>
      <c r="X2532" s="7" t="str">
        <f>IF(ISBLANK(patch[[#This Row],[project]]), "",COUNTIFS($A:$A,patch[[#This Row],[number]],$S:$S, "FL And dev",$AC:$AC, "Review-1"))</f>
        <v/>
      </c>
      <c r="Y2532" s="7" t="str">
        <f>IF(ISBLANK(patch[[#This Row],[project]]), "",COUNTIFS($A:$A,patch[[#This Row],[number]],$S:$S, "SH And dev",$AC:$AC, "Review-1"))</f>
        <v/>
      </c>
      <c r="Z2532" s="7" t="str">
        <f>IF(ISBLANK(patch[[#This Row],[project]]), "",COUNTIFS($A:$A,patch[[#This Row],[number]],$S:$S, "BJ And dev",$AD:$AD, "&lt;&gt;IntegratorValidationComment"))</f>
        <v/>
      </c>
      <c r="AA2532" s="7" t="str">
        <f>IF(ISBLANK(patch[[#This Row],[project]]), "",COUNTIFS($A:$A,patch[[#This Row],[number]],$S:$S, "FL And dev",$AD:$AD, "&lt;&gt;IntegratorValidationComment"))</f>
        <v/>
      </c>
      <c r="AB2532" s="7" t="str">
        <f>IF(ISBLANK(patch[[#This Row],[project]]), "",COUNTIFS($A:$A,patch[[#This Row],[number]],$S:$S, "SH And dev",$AD:$AD, "&lt;&gt;IntegratorValidationComment"))</f>
        <v/>
      </c>
      <c r="AC2532" s="7" t="str">
        <f>IF(OR(ISNUMBER(FIND("Review-1", patch[[#This Row],[comments]])), ISNUMBER(FIND("Approver-1", patch[[#This Row],[comments]]))), "Review-1", "")</f>
        <v/>
      </c>
      <c r="AD25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32" s="7">
        <f>IF(ISBLANK(patch[[#This Row],[number]]),AE2531,patch[[#This Row],[ifCommon]])</f>
        <v>0</v>
      </c>
    </row>
    <row r="2533" spans="1:31">
      <c r="A2533" s="151">
        <v>142825</v>
      </c>
      <c r="B2533" s="151"/>
      <c r="C2533" s="151"/>
      <c r="D2533" s="151"/>
      <c r="E2533" s="151"/>
      <c r="F2533" s="151"/>
      <c r="G2533" s="151"/>
      <c r="H2533" s="151"/>
      <c r="I2533" s="151"/>
      <c r="J2533" s="152">
        <v>42615.495034722233</v>
      </c>
      <c r="K2533" s="151"/>
      <c r="L2533" s="151" t="s">
        <v>59</v>
      </c>
      <c r="M2533" s="152">
        <v>42614.810023148151</v>
      </c>
      <c r="N2533" s="151" t="s">
        <v>3859</v>
      </c>
      <c r="O2533" s="151"/>
      <c r="P2533" s="151"/>
      <c r="Q2533" s="7" t="str">
        <f>IF(ISBLANK(patch[[#This Row],[OwnerEmail]]),Q2532,patch[[#This Row],[OwnerEmail]])</f>
        <v>liang.l.yang@intel.com</v>
      </c>
      <c r="R2533" s="7" t="str">
        <f>_xlfn.IFNA(VLOOKUP(patch[[#This Row],[tmp-owner.email]],OrgTree!$A:$K, 11, 0), "not ICG SWFW")</f>
        <v>BJ And dev</v>
      </c>
      <c r="S2533" s="7" t="str">
        <f>IF(patch[[#This Row],[reviewer]]=patch[[#This Row],[tmp-owner.email]], "author", _xlfn.IFNA(VLOOKUP(patch[[#This Row],[reviewer]],OrgTree!$A:$K, 11, 0), "not ICG SWFW"))</f>
        <v>BJ And dev</v>
      </c>
      <c r="T2533" s="7" t="str">
        <f>IF(ISBLANK(patch[[#This Row],[mergeDate]]), "", MID(YEAR(patch[[#This Row],[mergeDate]]), 3,2)&amp;"'ww"&amp;WEEKNUM(patch[[#This Row],[mergeDate]]))</f>
        <v>16'ww36</v>
      </c>
      <c r="U2533" s="7" t="str">
        <f>IF(ISBLANK(patch[[#This Row],[mergeDate]]), U2532, MID(YEAR(patch[[#This Row],[mergeDate]]), 3,2)&amp;"'m"&amp;MONTH(patch[[#This Row],[mergeDate]]))</f>
        <v>16'm9</v>
      </c>
      <c r="V2533" s="7" t="str">
        <f>IF(ISBLANK(patch[[#This Row],[project]]), "",SUM(patch[[#This Row],[BJ -1 num]:[SH -1 num]]))</f>
        <v/>
      </c>
      <c r="W2533" s="7" t="str">
        <f>IF(ISBLANK(patch[[#This Row],[project]]), "",COUNTIFS($A:$A,patch[[#This Row],[number]],$S:$S, "BJ And dev",$AC:$AC, "Review-1"))</f>
        <v/>
      </c>
      <c r="X2533" s="7" t="str">
        <f>IF(ISBLANK(patch[[#This Row],[project]]), "",COUNTIFS($A:$A,patch[[#This Row],[number]],$S:$S, "FL And dev",$AC:$AC, "Review-1"))</f>
        <v/>
      </c>
      <c r="Y2533" s="7" t="str">
        <f>IF(ISBLANK(patch[[#This Row],[project]]), "",COUNTIFS($A:$A,patch[[#This Row],[number]],$S:$S, "SH And dev",$AC:$AC, "Review-1"))</f>
        <v/>
      </c>
      <c r="Z2533" s="7" t="str">
        <f>IF(ISBLANK(patch[[#This Row],[project]]), "",COUNTIFS($A:$A,patch[[#This Row],[number]],$S:$S, "BJ And dev",$AD:$AD, "&lt;&gt;IntegratorValidationComment"))</f>
        <v/>
      </c>
      <c r="AA2533" s="7" t="str">
        <f>IF(ISBLANK(patch[[#This Row],[project]]), "",COUNTIFS($A:$A,patch[[#This Row],[number]],$S:$S, "FL And dev",$AD:$AD, "&lt;&gt;IntegratorValidationComment"))</f>
        <v/>
      </c>
      <c r="AB2533" s="7" t="str">
        <f>IF(ISBLANK(patch[[#This Row],[project]]), "",COUNTIFS($A:$A,patch[[#This Row],[number]],$S:$S, "SH And dev",$AD:$AD, "&lt;&gt;IntegratorValidationComment"))</f>
        <v/>
      </c>
      <c r="AC2533" s="7" t="str">
        <f>IF(OR(ISNUMBER(FIND("Review-1", patch[[#This Row],[comments]])), ISNUMBER(FIND("Approver-1", patch[[#This Row],[comments]]))), "Review-1", "")</f>
        <v/>
      </c>
      <c r="AD25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33" s="7">
        <f>IF(ISBLANK(patch[[#This Row],[number]]),AE2532,patch[[#This Row],[ifCommon]])</f>
        <v>0</v>
      </c>
    </row>
    <row r="2534" spans="1:31">
      <c r="A2534" s="151">
        <v>142825</v>
      </c>
      <c r="B2534" s="151"/>
      <c r="C2534" s="151"/>
      <c r="D2534" s="151"/>
      <c r="E2534" s="151"/>
      <c r="F2534" s="151"/>
      <c r="G2534" s="151"/>
      <c r="H2534" s="151"/>
      <c r="I2534" s="151"/>
      <c r="J2534" s="152">
        <v>42615.495034722233</v>
      </c>
      <c r="K2534" s="151"/>
      <c r="L2534" s="151" t="s">
        <v>55</v>
      </c>
      <c r="M2534" s="152">
        <v>42615.426469907397</v>
      </c>
      <c r="N2534" s="151" t="s">
        <v>2450</v>
      </c>
      <c r="O2534" s="151"/>
      <c r="P2534" s="151"/>
      <c r="Q2534" s="7" t="str">
        <f>IF(ISBLANK(patch[[#This Row],[OwnerEmail]]),Q2533,patch[[#This Row],[OwnerEmail]])</f>
        <v>liang.l.yang@intel.com</v>
      </c>
      <c r="R2534" s="7" t="str">
        <f>_xlfn.IFNA(VLOOKUP(patch[[#This Row],[tmp-owner.email]],OrgTree!$A:$K, 11, 0), "not ICG SWFW")</f>
        <v>BJ And dev</v>
      </c>
      <c r="S2534" s="7" t="str">
        <f>IF(patch[[#This Row],[reviewer]]=patch[[#This Row],[tmp-owner.email]], "author", _xlfn.IFNA(VLOOKUP(patch[[#This Row],[reviewer]],OrgTree!$A:$K, 11, 0), "not ICG SWFW"))</f>
        <v>author</v>
      </c>
      <c r="T2534" s="7" t="str">
        <f>IF(ISBLANK(patch[[#This Row],[mergeDate]]), "", MID(YEAR(patch[[#This Row],[mergeDate]]), 3,2)&amp;"'ww"&amp;WEEKNUM(patch[[#This Row],[mergeDate]]))</f>
        <v>16'ww36</v>
      </c>
      <c r="U2534" s="7" t="str">
        <f>IF(ISBLANK(patch[[#This Row],[mergeDate]]), U2533, MID(YEAR(patch[[#This Row],[mergeDate]]), 3,2)&amp;"'m"&amp;MONTH(patch[[#This Row],[mergeDate]]))</f>
        <v>16'm9</v>
      </c>
      <c r="V2534" s="7" t="str">
        <f>IF(ISBLANK(patch[[#This Row],[project]]), "",SUM(patch[[#This Row],[BJ -1 num]:[SH -1 num]]))</f>
        <v/>
      </c>
      <c r="W2534" s="7" t="str">
        <f>IF(ISBLANK(patch[[#This Row],[project]]), "",COUNTIFS($A:$A,patch[[#This Row],[number]],$S:$S, "BJ And dev",$AC:$AC, "Review-1"))</f>
        <v/>
      </c>
      <c r="X2534" s="7" t="str">
        <f>IF(ISBLANK(patch[[#This Row],[project]]), "",COUNTIFS($A:$A,patch[[#This Row],[number]],$S:$S, "FL And dev",$AC:$AC, "Review-1"))</f>
        <v/>
      </c>
      <c r="Y2534" s="7" t="str">
        <f>IF(ISBLANK(patch[[#This Row],[project]]), "",COUNTIFS($A:$A,patch[[#This Row],[number]],$S:$S, "SH And dev",$AC:$AC, "Review-1"))</f>
        <v/>
      </c>
      <c r="Z2534" s="7" t="str">
        <f>IF(ISBLANK(patch[[#This Row],[project]]), "",COUNTIFS($A:$A,patch[[#This Row],[number]],$S:$S, "BJ And dev",$AD:$AD, "&lt;&gt;IntegratorValidationComment"))</f>
        <v/>
      </c>
      <c r="AA2534" s="7" t="str">
        <f>IF(ISBLANK(patch[[#This Row],[project]]), "",COUNTIFS($A:$A,patch[[#This Row],[number]],$S:$S, "FL And dev",$AD:$AD, "&lt;&gt;IntegratorValidationComment"))</f>
        <v/>
      </c>
      <c r="AB2534" s="7" t="str">
        <f>IF(ISBLANK(patch[[#This Row],[project]]), "",COUNTIFS($A:$A,patch[[#This Row],[number]],$S:$S, "SH And dev",$AD:$AD, "&lt;&gt;IntegratorValidationComment"))</f>
        <v/>
      </c>
      <c r="AC2534" s="7" t="str">
        <f>IF(OR(ISNUMBER(FIND("Review-1", patch[[#This Row],[comments]])), ISNUMBER(FIND("Approver-1", patch[[#This Row],[comments]]))), "Review-1", "")</f>
        <v/>
      </c>
      <c r="AD25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34" s="7">
        <f>IF(ISBLANK(patch[[#This Row],[number]]),AE2533,patch[[#This Row],[ifCommon]])</f>
        <v>0</v>
      </c>
    </row>
    <row r="2535" spans="1:31">
      <c r="A2535" s="151">
        <v>142825</v>
      </c>
      <c r="B2535" s="151"/>
      <c r="C2535" s="151"/>
      <c r="D2535" s="151"/>
      <c r="E2535" s="151"/>
      <c r="F2535" s="151"/>
      <c r="G2535" s="151"/>
      <c r="H2535" s="151"/>
      <c r="I2535" s="151"/>
      <c r="J2535" s="152">
        <v>42615.495034722233</v>
      </c>
      <c r="K2535" s="151"/>
      <c r="L2535" s="151" t="s">
        <v>55</v>
      </c>
      <c r="M2535" s="152">
        <v>42615.426469907397</v>
      </c>
      <c r="N2535" s="151" t="s">
        <v>1829</v>
      </c>
      <c r="O2535" s="151"/>
      <c r="P2535" s="151"/>
      <c r="Q2535" s="7" t="str">
        <f>IF(ISBLANK(patch[[#This Row],[OwnerEmail]]),Q2534,patch[[#This Row],[OwnerEmail]])</f>
        <v>liang.l.yang@intel.com</v>
      </c>
      <c r="R2535" s="7" t="str">
        <f>_xlfn.IFNA(VLOOKUP(patch[[#This Row],[tmp-owner.email]],OrgTree!$A:$K, 11, 0), "not ICG SWFW")</f>
        <v>BJ And dev</v>
      </c>
      <c r="S2535" s="7" t="str">
        <f>IF(patch[[#This Row],[reviewer]]=patch[[#This Row],[tmp-owner.email]], "author", _xlfn.IFNA(VLOOKUP(patch[[#This Row],[reviewer]],OrgTree!$A:$K, 11, 0), "not ICG SWFW"))</f>
        <v>author</v>
      </c>
      <c r="T2535" s="7" t="str">
        <f>IF(ISBLANK(patch[[#This Row],[mergeDate]]), "", MID(YEAR(patch[[#This Row],[mergeDate]]), 3,2)&amp;"'ww"&amp;WEEKNUM(patch[[#This Row],[mergeDate]]))</f>
        <v>16'ww36</v>
      </c>
      <c r="U2535" s="7" t="str">
        <f>IF(ISBLANK(patch[[#This Row],[mergeDate]]), U2534, MID(YEAR(patch[[#This Row],[mergeDate]]), 3,2)&amp;"'m"&amp;MONTH(patch[[#This Row],[mergeDate]]))</f>
        <v>16'm9</v>
      </c>
      <c r="V2535" s="7" t="str">
        <f>IF(ISBLANK(patch[[#This Row],[project]]), "",SUM(patch[[#This Row],[BJ -1 num]:[SH -1 num]]))</f>
        <v/>
      </c>
      <c r="W2535" s="7" t="str">
        <f>IF(ISBLANK(patch[[#This Row],[project]]), "",COUNTIFS($A:$A,patch[[#This Row],[number]],$S:$S, "BJ And dev",$AC:$AC, "Review-1"))</f>
        <v/>
      </c>
      <c r="X2535" s="7" t="str">
        <f>IF(ISBLANK(patch[[#This Row],[project]]), "",COUNTIFS($A:$A,patch[[#This Row],[number]],$S:$S, "FL And dev",$AC:$AC, "Review-1"))</f>
        <v/>
      </c>
      <c r="Y2535" s="7" t="str">
        <f>IF(ISBLANK(patch[[#This Row],[project]]), "",COUNTIFS($A:$A,patch[[#This Row],[number]],$S:$S, "SH And dev",$AC:$AC, "Review-1"))</f>
        <v/>
      </c>
      <c r="Z2535" s="7" t="str">
        <f>IF(ISBLANK(patch[[#This Row],[project]]), "",COUNTIFS($A:$A,patch[[#This Row],[number]],$S:$S, "BJ And dev",$AD:$AD, "&lt;&gt;IntegratorValidationComment"))</f>
        <v/>
      </c>
      <c r="AA2535" s="7" t="str">
        <f>IF(ISBLANK(patch[[#This Row],[project]]), "",COUNTIFS($A:$A,patch[[#This Row],[number]],$S:$S, "FL And dev",$AD:$AD, "&lt;&gt;IntegratorValidationComment"))</f>
        <v/>
      </c>
      <c r="AB2535" s="7" t="str">
        <f>IF(ISBLANK(patch[[#This Row],[project]]), "",COUNTIFS($A:$A,patch[[#This Row],[number]],$S:$S, "SH And dev",$AD:$AD, "&lt;&gt;IntegratorValidationComment"))</f>
        <v/>
      </c>
      <c r="AC2535" s="7" t="str">
        <f>IF(OR(ISNUMBER(FIND("Review-1", patch[[#This Row],[comments]])), ISNUMBER(FIND("Approver-1", patch[[#This Row],[comments]]))), "Review-1", "")</f>
        <v/>
      </c>
      <c r="AD25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35" s="7">
        <f>IF(ISBLANK(patch[[#This Row],[number]]),AE2534,patch[[#This Row],[ifCommon]])</f>
        <v>0</v>
      </c>
    </row>
    <row r="2536" spans="1:31">
      <c r="A2536" s="151">
        <v>142825</v>
      </c>
      <c r="B2536" s="151"/>
      <c r="C2536" s="151"/>
      <c r="D2536" s="151"/>
      <c r="E2536" s="151"/>
      <c r="F2536" s="151"/>
      <c r="G2536" s="151"/>
      <c r="H2536" s="151"/>
      <c r="I2536" s="151"/>
      <c r="J2536" s="152">
        <v>42615.495034722233</v>
      </c>
      <c r="K2536" s="151"/>
      <c r="L2536" s="151" t="s">
        <v>59</v>
      </c>
      <c r="M2536" s="152">
        <v>42615.430023148147</v>
      </c>
      <c r="N2536" s="151" t="s">
        <v>3860</v>
      </c>
      <c r="O2536" s="151"/>
      <c r="P2536" s="151"/>
      <c r="Q2536" s="7" t="str">
        <f>IF(ISBLANK(patch[[#This Row],[OwnerEmail]]),Q2535,patch[[#This Row],[OwnerEmail]])</f>
        <v>liang.l.yang@intel.com</v>
      </c>
      <c r="R2536" s="7" t="str">
        <f>_xlfn.IFNA(VLOOKUP(patch[[#This Row],[tmp-owner.email]],OrgTree!$A:$K, 11, 0), "not ICG SWFW")</f>
        <v>BJ And dev</v>
      </c>
      <c r="S2536" s="7" t="str">
        <f>IF(patch[[#This Row],[reviewer]]=patch[[#This Row],[tmp-owner.email]], "author", _xlfn.IFNA(VLOOKUP(patch[[#This Row],[reviewer]],OrgTree!$A:$K, 11, 0), "not ICG SWFW"))</f>
        <v>BJ And dev</v>
      </c>
      <c r="T2536" s="7" t="str">
        <f>IF(ISBLANK(patch[[#This Row],[mergeDate]]), "", MID(YEAR(patch[[#This Row],[mergeDate]]), 3,2)&amp;"'ww"&amp;WEEKNUM(patch[[#This Row],[mergeDate]]))</f>
        <v>16'ww36</v>
      </c>
      <c r="U2536" s="7" t="str">
        <f>IF(ISBLANK(patch[[#This Row],[mergeDate]]), U2535, MID(YEAR(patch[[#This Row],[mergeDate]]), 3,2)&amp;"'m"&amp;MONTH(patch[[#This Row],[mergeDate]]))</f>
        <v>16'm9</v>
      </c>
      <c r="V2536" s="7" t="str">
        <f>IF(ISBLANK(patch[[#This Row],[project]]), "",SUM(patch[[#This Row],[BJ -1 num]:[SH -1 num]]))</f>
        <v/>
      </c>
      <c r="W2536" s="7" t="str">
        <f>IF(ISBLANK(patch[[#This Row],[project]]), "",COUNTIFS($A:$A,patch[[#This Row],[number]],$S:$S, "BJ And dev",$AC:$AC, "Review-1"))</f>
        <v/>
      </c>
      <c r="X2536" s="7" t="str">
        <f>IF(ISBLANK(patch[[#This Row],[project]]), "",COUNTIFS($A:$A,patch[[#This Row],[number]],$S:$S, "FL And dev",$AC:$AC, "Review-1"))</f>
        <v/>
      </c>
      <c r="Y2536" s="7" t="str">
        <f>IF(ISBLANK(patch[[#This Row],[project]]), "",COUNTIFS($A:$A,patch[[#This Row],[number]],$S:$S, "SH And dev",$AC:$AC, "Review-1"))</f>
        <v/>
      </c>
      <c r="Z2536" s="7" t="str">
        <f>IF(ISBLANK(patch[[#This Row],[project]]), "",COUNTIFS($A:$A,patch[[#This Row],[number]],$S:$S, "BJ And dev",$AD:$AD, "&lt;&gt;IntegratorValidationComment"))</f>
        <v/>
      </c>
      <c r="AA2536" s="7" t="str">
        <f>IF(ISBLANK(patch[[#This Row],[project]]), "",COUNTIFS($A:$A,patch[[#This Row],[number]],$S:$S, "FL And dev",$AD:$AD, "&lt;&gt;IntegratorValidationComment"))</f>
        <v/>
      </c>
      <c r="AB2536" s="7" t="str">
        <f>IF(ISBLANK(patch[[#This Row],[project]]), "",COUNTIFS($A:$A,patch[[#This Row],[number]],$S:$S, "SH And dev",$AD:$AD, "&lt;&gt;IntegratorValidationComment"))</f>
        <v/>
      </c>
      <c r="AC2536" s="7" t="str">
        <f>IF(OR(ISNUMBER(FIND("Review-1", patch[[#This Row],[comments]])), ISNUMBER(FIND("Approver-1", patch[[#This Row],[comments]]))), "Review-1", "")</f>
        <v/>
      </c>
      <c r="AD25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36" s="7">
        <f>IF(ISBLANK(patch[[#This Row],[number]]),AE2535,patch[[#This Row],[ifCommon]])</f>
        <v>0</v>
      </c>
    </row>
    <row r="2537" spans="1:31">
      <c r="A2537" s="151">
        <v>142825</v>
      </c>
      <c r="B2537" s="151"/>
      <c r="C2537" s="151"/>
      <c r="D2537" s="151"/>
      <c r="E2537" s="151"/>
      <c r="F2537" s="151"/>
      <c r="G2537" s="151"/>
      <c r="H2537" s="151"/>
      <c r="I2537" s="151"/>
      <c r="J2537" s="152">
        <v>42615.495034722233</v>
      </c>
      <c r="K2537" s="151"/>
      <c r="L2537" s="151" t="s">
        <v>55</v>
      </c>
      <c r="M2537" s="152">
        <v>42615.432002314818</v>
      </c>
      <c r="N2537" s="151" t="s">
        <v>2451</v>
      </c>
      <c r="O2537" s="151"/>
      <c r="P2537" s="151"/>
      <c r="Q2537" s="7" t="str">
        <f>IF(ISBLANK(patch[[#This Row],[OwnerEmail]]),Q2536,patch[[#This Row],[OwnerEmail]])</f>
        <v>liang.l.yang@intel.com</v>
      </c>
      <c r="R2537" s="7" t="str">
        <f>_xlfn.IFNA(VLOOKUP(patch[[#This Row],[tmp-owner.email]],OrgTree!$A:$K, 11, 0), "not ICG SWFW")</f>
        <v>BJ And dev</v>
      </c>
      <c r="S2537" s="7" t="str">
        <f>IF(patch[[#This Row],[reviewer]]=patch[[#This Row],[tmp-owner.email]], "author", _xlfn.IFNA(VLOOKUP(patch[[#This Row],[reviewer]],OrgTree!$A:$K, 11, 0), "not ICG SWFW"))</f>
        <v>author</v>
      </c>
      <c r="T2537" s="7" t="str">
        <f>IF(ISBLANK(patch[[#This Row],[mergeDate]]), "", MID(YEAR(patch[[#This Row],[mergeDate]]), 3,2)&amp;"'ww"&amp;WEEKNUM(patch[[#This Row],[mergeDate]]))</f>
        <v>16'ww36</v>
      </c>
      <c r="U2537" s="7" t="str">
        <f>IF(ISBLANK(patch[[#This Row],[mergeDate]]), U2536, MID(YEAR(patch[[#This Row],[mergeDate]]), 3,2)&amp;"'m"&amp;MONTH(patch[[#This Row],[mergeDate]]))</f>
        <v>16'm9</v>
      </c>
      <c r="V2537" s="7" t="str">
        <f>IF(ISBLANK(patch[[#This Row],[project]]), "",SUM(patch[[#This Row],[BJ -1 num]:[SH -1 num]]))</f>
        <v/>
      </c>
      <c r="W2537" s="7" t="str">
        <f>IF(ISBLANK(patch[[#This Row],[project]]), "",COUNTIFS($A:$A,patch[[#This Row],[number]],$S:$S, "BJ And dev",$AC:$AC, "Review-1"))</f>
        <v/>
      </c>
      <c r="X2537" s="7" t="str">
        <f>IF(ISBLANK(patch[[#This Row],[project]]), "",COUNTIFS($A:$A,patch[[#This Row],[number]],$S:$S, "FL And dev",$AC:$AC, "Review-1"))</f>
        <v/>
      </c>
      <c r="Y2537" s="7" t="str">
        <f>IF(ISBLANK(patch[[#This Row],[project]]), "",COUNTIFS($A:$A,patch[[#This Row],[number]],$S:$S, "SH And dev",$AC:$AC, "Review-1"))</f>
        <v/>
      </c>
      <c r="Z2537" s="7" t="str">
        <f>IF(ISBLANK(patch[[#This Row],[project]]), "",COUNTIFS($A:$A,patch[[#This Row],[number]],$S:$S, "BJ And dev",$AD:$AD, "&lt;&gt;IntegratorValidationComment"))</f>
        <v/>
      </c>
      <c r="AA2537" s="7" t="str">
        <f>IF(ISBLANK(patch[[#This Row],[project]]), "",COUNTIFS($A:$A,patch[[#This Row],[number]],$S:$S, "FL And dev",$AD:$AD, "&lt;&gt;IntegratorValidationComment"))</f>
        <v/>
      </c>
      <c r="AB2537" s="7" t="str">
        <f>IF(ISBLANK(patch[[#This Row],[project]]), "",COUNTIFS($A:$A,patch[[#This Row],[number]],$S:$S, "SH And dev",$AD:$AD, "&lt;&gt;IntegratorValidationComment"))</f>
        <v/>
      </c>
      <c r="AC2537" s="7" t="str">
        <f>IF(OR(ISNUMBER(FIND("Review-1", patch[[#This Row],[comments]])), ISNUMBER(FIND("Approver-1", patch[[#This Row],[comments]]))), "Review-1", "")</f>
        <v/>
      </c>
      <c r="AD25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37" s="7">
        <f>IF(ISBLANK(patch[[#This Row],[number]]),AE2536,patch[[#This Row],[ifCommon]])</f>
        <v>0</v>
      </c>
    </row>
    <row r="2538" spans="1:31">
      <c r="A2538" s="151">
        <v>142825</v>
      </c>
      <c r="B2538" s="151"/>
      <c r="C2538" s="151"/>
      <c r="D2538" s="151"/>
      <c r="E2538" s="151"/>
      <c r="F2538" s="151"/>
      <c r="G2538" s="151"/>
      <c r="H2538" s="151"/>
      <c r="I2538" s="152"/>
      <c r="J2538" s="152">
        <v>42615.495034722233</v>
      </c>
      <c r="K2538" s="151"/>
      <c r="L2538" s="151" t="s">
        <v>55</v>
      </c>
      <c r="M2538" s="152">
        <v>42615.432002314818</v>
      </c>
      <c r="N2538" s="151" t="s">
        <v>49</v>
      </c>
      <c r="O2538" s="151"/>
      <c r="P2538" s="151"/>
      <c r="Q2538" s="7" t="str">
        <f>IF(ISBLANK(patch[[#This Row],[OwnerEmail]]),Q2537,patch[[#This Row],[OwnerEmail]])</f>
        <v>liang.l.yang@intel.com</v>
      </c>
      <c r="R2538" s="7" t="str">
        <f>_xlfn.IFNA(VLOOKUP(patch[[#This Row],[tmp-owner.email]],OrgTree!$A:$K, 11, 0), "not ICG SWFW")</f>
        <v>BJ And dev</v>
      </c>
      <c r="S2538" s="7" t="str">
        <f>IF(patch[[#This Row],[reviewer]]=patch[[#This Row],[tmp-owner.email]], "author", _xlfn.IFNA(VLOOKUP(patch[[#This Row],[reviewer]],OrgTree!$A:$K, 11, 0), "not ICG SWFW"))</f>
        <v>author</v>
      </c>
      <c r="T2538" s="7" t="str">
        <f>IF(ISBLANK(patch[[#This Row],[mergeDate]]), "", MID(YEAR(patch[[#This Row],[mergeDate]]), 3,2)&amp;"'ww"&amp;WEEKNUM(patch[[#This Row],[mergeDate]]))</f>
        <v>16'ww36</v>
      </c>
      <c r="U2538" s="7" t="str">
        <f>IF(ISBLANK(patch[[#This Row],[mergeDate]]), U2537, MID(YEAR(patch[[#This Row],[mergeDate]]), 3,2)&amp;"'m"&amp;MONTH(patch[[#This Row],[mergeDate]]))</f>
        <v>16'm9</v>
      </c>
      <c r="V2538" s="7" t="str">
        <f>IF(ISBLANK(patch[[#This Row],[project]]), "",SUM(patch[[#This Row],[BJ -1 num]:[SH -1 num]]))</f>
        <v/>
      </c>
      <c r="W2538" s="7" t="str">
        <f>IF(ISBLANK(patch[[#This Row],[project]]), "",COUNTIFS($A:$A,patch[[#This Row],[number]],$S:$S, "BJ And dev",$AC:$AC, "Review-1"))</f>
        <v/>
      </c>
      <c r="X2538" s="7" t="str">
        <f>IF(ISBLANK(patch[[#This Row],[project]]), "",COUNTIFS($A:$A,patch[[#This Row],[number]],$S:$S, "FL And dev",$AC:$AC, "Review-1"))</f>
        <v/>
      </c>
      <c r="Y2538" s="7" t="str">
        <f>IF(ISBLANK(patch[[#This Row],[project]]), "",COUNTIFS($A:$A,patch[[#This Row],[number]],$S:$S, "SH And dev",$AC:$AC, "Review-1"))</f>
        <v/>
      </c>
      <c r="Z2538" s="7" t="str">
        <f>IF(ISBLANK(patch[[#This Row],[project]]), "",COUNTIFS($A:$A,patch[[#This Row],[number]],$S:$S, "BJ And dev",$AD:$AD, "&lt;&gt;IntegratorValidationComment"))</f>
        <v/>
      </c>
      <c r="AA2538" s="7" t="str">
        <f>IF(ISBLANK(patch[[#This Row],[project]]), "",COUNTIFS($A:$A,patch[[#This Row],[number]],$S:$S, "FL And dev",$AD:$AD, "&lt;&gt;IntegratorValidationComment"))</f>
        <v/>
      </c>
      <c r="AB2538" s="7" t="str">
        <f>IF(ISBLANK(patch[[#This Row],[project]]), "",COUNTIFS($A:$A,patch[[#This Row],[number]],$S:$S, "SH And dev",$AD:$AD, "&lt;&gt;IntegratorValidationComment"))</f>
        <v/>
      </c>
      <c r="AC2538" s="7" t="str">
        <f>IF(OR(ISNUMBER(FIND("Review-1", patch[[#This Row],[comments]])), ISNUMBER(FIND("Approver-1", patch[[#This Row],[comments]]))), "Review-1", "")</f>
        <v/>
      </c>
      <c r="AD25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38" s="7">
        <f>IF(ISBLANK(patch[[#This Row],[number]]),AE2537,patch[[#This Row],[ifCommon]])</f>
        <v>0</v>
      </c>
    </row>
    <row r="2539" spans="1:31">
      <c r="A2539" s="151">
        <v>142825</v>
      </c>
      <c r="B2539" s="151"/>
      <c r="C2539" s="151"/>
      <c r="D2539" s="151"/>
      <c r="E2539" s="151"/>
      <c r="F2539" s="151"/>
      <c r="G2539" s="151"/>
      <c r="H2539" s="151"/>
      <c r="I2539" s="151"/>
      <c r="J2539" s="152">
        <v>42615.495034722233</v>
      </c>
      <c r="K2539" s="151"/>
      <c r="L2539" s="151" t="s">
        <v>59</v>
      </c>
      <c r="M2539" s="152">
        <v>42615.432175925933</v>
      </c>
      <c r="N2539" s="151" t="s">
        <v>3861</v>
      </c>
      <c r="O2539" s="151"/>
      <c r="P2539" s="151"/>
      <c r="Q2539" s="7" t="str">
        <f>IF(ISBLANK(patch[[#This Row],[OwnerEmail]]),Q2538,patch[[#This Row],[OwnerEmail]])</f>
        <v>liang.l.yang@intel.com</v>
      </c>
      <c r="R2539" s="7" t="str">
        <f>_xlfn.IFNA(VLOOKUP(patch[[#This Row],[tmp-owner.email]],OrgTree!$A:$K, 11, 0), "not ICG SWFW")</f>
        <v>BJ And dev</v>
      </c>
      <c r="S2539" s="7" t="str">
        <f>IF(patch[[#This Row],[reviewer]]=patch[[#This Row],[tmp-owner.email]], "author", _xlfn.IFNA(VLOOKUP(patch[[#This Row],[reviewer]],OrgTree!$A:$K, 11, 0), "not ICG SWFW"))</f>
        <v>BJ And dev</v>
      </c>
      <c r="T2539" s="7" t="str">
        <f>IF(ISBLANK(patch[[#This Row],[mergeDate]]), "", MID(YEAR(patch[[#This Row],[mergeDate]]), 3,2)&amp;"'ww"&amp;WEEKNUM(patch[[#This Row],[mergeDate]]))</f>
        <v>16'ww36</v>
      </c>
      <c r="U2539" s="7" t="str">
        <f>IF(ISBLANK(patch[[#This Row],[mergeDate]]), U2538, MID(YEAR(patch[[#This Row],[mergeDate]]), 3,2)&amp;"'m"&amp;MONTH(patch[[#This Row],[mergeDate]]))</f>
        <v>16'm9</v>
      </c>
      <c r="V2539" s="7" t="str">
        <f>IF(ISBLANK(patch[[#This Row],[project]]), "",SUM(patch[[#This Row],[BJ -1 num]:[SH -1 num]]))</f>
        <v/>
      </c>
      <c r="W2539" s="7" t="str">
        <f>IF(ISBLANK(patch[[#This Row],[project]]), "",COUNTIFS($A:$A,patch[[#This Row],[number]],$S:$S, "BJ And dev",$AC:$AC, "Review-1"))</f>
        <v/>
      </c>
      <c r="X2539" s="7" t="str">
        <f>IF(ISBLANK(patch[[#This Row],[project]]), "",COUNTIFS($A:$A,patch[[#This Row],[number]],$S:$S, "FL And dev",$AC:$AC, "Review-1"))</f>
        <v/>
      </c>
      <c r="Y2539" s="7" t="str">
        <f>IF(ISBLANK(patch[[#This Row],[project]]), "",COUNTIFS($A:$A,patch[[#This Row],[number]],$S:$S, "SH And dev",$AC:$AC, "Review-1"))</f>
        <v/>
      </c>
      <c r="Z2539" s="7" t="str">
        <f>IF(ISBLANK(patch[[#This Row],[project]]), "",COUNTIFS($A:$A,patch[[#This Row],[number]],$S:$S, "BJ And dev",$AD:$AD, "&lt;&gt;IntegratorValidationComment"))</f>
        <v/>
      </c>
      <c r="AA2539" s="7" t="str">
        <f>IF(ISBLANK(patch[[#This Row],[project]]), "",COUNTIFS($A:$A,patch[[#This Row],[number]],$S:$S, "FL And dev",$AD:$AD, "&lt;&gt;IntegratorValidationComment"))</f>
        <v/>
      </c>
      <c r="AB2539" s="7" t="str">
        <f>IF(ISBLANK(patch[[#This Row],[project]]), "",COUNTIFS($A:$A,patch[[#This Row],[number]],$S:$S, "SH And dev",$AD:$AD, "&lt;&gt;IntegratorValidationComment"))</f>
        <v/>
      </c>
      <c r="AC2539" s="7" t="str">
        <f>IF(OR(ISNUMBER(FIND("Review-1", patch[[#This Row],[comments]])), ISNUMBER(FIND("Approver-1", patch[[#This Row],[comments]]))), "Review-1", "")</f>
        <v/>
      </c>
      <c r="AD25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39" s="7">
        <f>IF(ISBLANK(patch[[#This Row],[number]]),AE2538,patch[[#This Row],[ifCommon]])</f>
        <v>0</v>
      </c>
    </row>
    <row r="2540" spans="1:31">
      <c r="A2540" s="151">
        <v>142825</v>
      </c>
      <c r="B2540" s="151"/>
      <c r="C2540" s="151"/>
      <c r="D2540" s="151"/>
      <c r="E2540" s="151"/>
      <c r="F2540" s="151"/>
      <c r="G2540" s="151"/>
      <c r="H2540" s="151"/>
      <c r="I2540" s="151"/>
      <c r="J2540" s="152">
        <v>42615.495034722233</v>
      </c>
      <c r="K2540" s="151"/>
      <c r="L2540" s="151" t="s">
        <v>59</v>
      </c>
      <c r="M2540" s="152">
        <v>42615.432916666658</v>
      </c>
      <c r="N2540" s="151" t="s">
        <v>3862</v>
      </c>
      <c r="O2540" s="151"/>
      <c r="P2540" s="151"/>
      <c r="Q2540" s="7" t="str">
        <f>IF(ISBLANK(patch[[#This Row],[OwnerEmail]]),Q2539,patch[[#This Row],[OwnerEmail]])</f>
        <v>liang.l.yang@intel.com</v>
      </c>
      <c r="R2540" s="7" t="str">
        <f>_xlfn.IFNA(VLOOKUP(patch[[#This Row],[tmp-owner.email]],OrgTree!$A:$K, 11, 0), "not ICG SWFW")</f>
        <v>BJ And dev</v>
      </c>
      <c r="S2540" s="7" t="str">
        <f>IF(patch[[#This Row],[reviewer]]=patch[[#This Row],[tmp-owner.email]], "author", _xlfn.IFNA(VLOOKUP(patch[[#This Row],[reviewer]],OrgTree!$A:$K, 11, 0), "not ICG SWFW"))</f>
        <v>BJ And dev</v>
      </c>
      <c r="T2540" s="7" t="str">
        <f>IF(ISBLANK(patch[[#This Row],[mergeDate]]), "", MID(YEAR(patch[[#This Row],[mergeDate]]), 3,2)&amp;"'ww"&amp;WEEKNUM(patch[[#This Row],[mergeDate]]))</f>
        <v>16'ww36</v>
      </c>
      <c r="U2540" s="7" t="str">
        <f>IF(ISBLANK(patch[[#This Row],[mergeDate]]), U2539, MID(YEAR(patch[[#This Row],[mergeDate]]), 3,2)&amp;"'m"&amp;MONTH(patch[[#This Row],[mergeDate]]))</f>
        <v>16'm9</v>
      </c>
      <c r="V2540" s="7" t="str">
        <f>IF(ISBLANK(patch[[#This Row],[project]]), "",SUM(patch[[#This Row],[BJ -1 num]:[SH -1 num]]))</f>
        <v/>
      </c>
      <c r="W2540" s="7" t="str">
        <f>IF(ISBLANK(patch[[#This Row],[project]]), "",COUNTIFS($A:$A,patch[[#This Row],[number]],$S:$S, "BJ And dev",$AC:$AC, "Review-1"))</f>
        <v/>
      </c>
      <c r="X2540" s="7" t="str">
        <f>IF(ISBLANK(patch[[#This Row],[project]]), "",COUNTIFS($A:$A,patch[[#This Row],[number]],$S:$S, "FL And dev",$AC:$AC, "Review-1"))</f>
        <v/>
      </c>
      <c r="Y2540" s="7" t="str">
        <f>IF(ISBLANK(patch[[#This Row],[project]]), "",COUNTIFS($A:$A,patch[[#This Row],[number]],$S:$S, "SH And dev",$AC:$AC, "Review-1"))</f>
        <v/>
      </c>
      <c r="Z2540" s="7" t="str">
        <f>IF(ISBLANK(patch[[#This Row],[project]]), "",COUNTIFS($A:$A,patch[[#This Row],[number]],$S:$S, "BJ And dev",$AD:$AD, "&lt;&gt;IntegratorValidationComment"))</f>
        <v/>
      </c>
      <c r="AA2540" s="7" t="str">
        <f>IF(ISBLANK(patch[[#This Row],[project]]), "",COUNTIFS($A:$A,patch[[#This Row],[number]],$S:$S, "FL And dev",$AD:$AD, "&lt;&gt;IntegratorValidationComment"))</f>
        <v/>
      </c>
      <c r="AB2540" s="7" t="str">
        <f>IF(ISBLANK(patch[[#This Row],[project]]), "",COUNTIFS($A:$A,patch[[#This Row],[number]],$S:$S, "SH And dev",$AD:$AD, "&lt;&gt;IntegratorValidationComment"))</f>
        <v/>
      </c>
      <c r="AC2540" s="7" t="str">
        <f>IF(OR(ISNUMBER(FIND("Review-1", patch[[#This Row],[comments]])), ISNUMBER(FIND("Approver-1", patch[[#This Row],[comments]]))), "Review-1", "")</f>
        <v/>
      </c>
      <c r="AD25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40" s="7">
        <f>IF(ISBLANK(patch[[#This Row],[number]]),AE2539,patch[[#This Row],[ifCommon]])</f>
        <v>0</v>
      </c>
    </row>
    <row r="2541" spans="1:31">
      <c r="A2541" s="151">
        <v>142825</v>
      </c>
      <c r="B2541" s="151"/>
      <c r="C2541" s="151"/>
      <c r="D2541" s="151"/>
      <c r="E2541" s="151"/>
      <c r="F2541" s="151"/>
      <c r="G2541" s="151"/>
      <c r="H2541" s="151"/>
      <c r="I2541" s="151"/>
      <c r="J2541" s="152">
        <v>42615.495034722233</v>
      </c>
      <c r="K2541" s="151"/>
      <c r="L2541" s="151" t="s">
        <v>59</v>
      </c>
      <c r="M2541" s="152">
        <v>42615.435810185183</v>
      </c>
      <c r="N2541" s="151" t="s">
        <v>3863</v>
      </c>
      <c r="O2541" s="151"/>
      <c r="P2541" s="151"/>
      <c r="Q2541" s="7" t="str">
        <f>IF(ISBLANK(patch[[#This Row],[OwnerEmail]]),Q2540,patch[[#This Row],[OwnerEmail]])</f>
        <v>liang.l.yang@intel.com</v>
      </c>
      <c r="R2541" s="7" t="str">
        <f>_xlfn.IFNA(VLOOKUP(patch[[#This Row],[tmp-owner.email]],OrgTree!$A:$K, 11, 0), "not ICG SWFW")</f>
        <v>BJ And dev</v>
      </c>
      <c r="S2541" s="7" t="str">
        <f>IF(patch[[#This Row],[reviewer]]=patch[[#This Row],[tmp-owner.email]], "author", _xlfn.IFNA(VLOOKUP(patch[[#This Row],[reviewer]],OrgTree!$A:$K, 11, 0), "not ICG SWFW"))</f>
        <v>BJ And dev</v>
      </c>
      <c r="T2541" s="7" t="str">
        <f>IF(ISBLANK(patch[[#This Row],[mergeDate]]), "", MID(YEAR(patch[[#This Row],[mergeDate]]), 3,2)&amp;"'ww"&amp;WEEKNUM(patch[[#This Row],[mergeDate]]))</f>
        <v>16'ww36</v>
      </c>
      <c r="U2541" s="7" t="str">
        <f>IF(ISBLANK(patch[[#This Row],[mergeDate]]), U2540, MID(YEAR(patch[[#This Row],[mergeDate]]), 3,2)&amp;"'m"&amp;MONTH(patch[[#This Row],[mergeDate]]))</f>
        <v>16'm9</v>
      </c>
      <c r="V2541" s="7" t="str">
        <f>IF(ISBLANK(patch[[#This Row],[project]]), "",SUM(patch[[#This Row],[BJ -1 num]:[SH -1 num]]))</f>
        <v/>
      </c>
      <c r="W2541" s="7" t="str">
        <f>IF(ISBLANK(patch[[#This Row],[project]]), "",COUNTIFS($A:$A,patch[[#This Row],[number]],$S:$S, "BJ And dev",$AC:$AC, "Review-1"))</f>
        <v/>
      </c>
      <c r="X2541" s="7" t="str">
        <f>IF(ISBLANK(patch[[#This Row],[project]]), "",COUNTIFS($A:$A,patch[[#This Row],[number]],$S:$S, "FL And dev",$AC:$AC, "Review-1"))</f>
        <v/>
      </c>
      <c r="Y2541" s="7" t="str">
        <f>IF(ISBLANK(patch[[#This Row],[project]]), "",COUNTIFS($A:$A,patch[[#This Row],[number]],$S:$S, "SH And dev",$AC:$AC, "Review-1"))</f>
        <v/>
      </c>
      <c r="Z2541" s="7" t="str">
        <f>IF(ISBLANK(patch[[#This Row],[project]]), "",COUNTIFS($A:$A,patch[[#This Row],[number]],$S:$S, "BJ And dev",$AD:$AD, "&lt;&gt;IntegratorValidationComment"))</f>
        <v/>
      </c>
      <c r="AA2541" s="7" t="str">
        <f>IF(ISBLANK(patch[[#This Row],[project]]), "",COUNTIFS($A:$A,patch[[#This Row],[number]],$S:$S, "FL And dev",$AD:$AD, "&lt;&gt;IntegratorValidationComment"))</f>
        <v/>
      </c>
      <c r="AB2541" s="7" t="str">
        <f>IF(ISBLANK(patch[[#This Row],[project]]), "",COUNTIFS($A:$A,patch[[#This Row],[number]],$S:$S, "SH And dev",$AD:$AD, "&lt;&gt;IntegratorValidationComment"))</f>
        <v/>
      </c>
      <c r="AC2541" s="7" t="str">
        <f>IF(OR(ISNUMBER(FIND("Review-1", patch[[#This Row],[comments]])), ISNUMBER(FIND("Approver-1", patch[[#This Row],[comments]]))), "Review-1", "")</f>
        <v/>
      </c>
      <c r="AD25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41" s="7">
        <f>IF(ISBLANK(patch[[#This Row],[number]]),AE2540,patch[[#This Row],[ifCommon]])</f>
        <v>0</v>
      </c>
    </row>
    <row r="2542" spans="1:31">
      <c r="A2542" s="151">
        <v>142825</v>
      </c>
      <c r="B2542" s="151"/>
      <c r="C2542" s="151"/>
      <c r="D2542" s="151"/>
      <c r="E2542" s="151"/>
      <c r="F2542" s="151"/>
      <c r="G2542" s="151"/>
      <c r="H2542" s="151"/>
      <c r="I2542" s="151"/>
      <c r="J2542" s="152">
        <v>42615.495034722233</v>
      </c>
      <c r="K2542" s="151"/>
      <c r="L2542" s="151" t="s">
        <v>59</v>
      </c>
      <c r="M2542" s="152">
        <v>42615.438946759263</v>
      </c>
      <c r="N2542" s="151" t="s">
        <v>3864</v>
      </c>
      <c r="O2542" s="151"/>
      <c r="P2542" s="151"/>
      <c r="Q2542" s="7" t="str">
        <f>IF(ISBLANK(patch[[#This Row],[OwnerEmail]]),Q2541,patch[[#This Row],[OwnerEmail]])</f>
        <v>liang.l.yang@intel.com</v>
      </c>
      <c r="R2542" s="7" t="str">
        <f>_xlfn.IFNA(VLOOKUP(patch[[#This Row],[tmp-owner.email]],OrgTree!$A:$K, 11, 0), "not ICG SWFW")</f>
        <v>BJ And dev</v>
      </c>
      <c r="S2542" s="7" t="str">
        <f>IF(patch[[#This Row],[reviewer]]=patch[[#This Row],[tmp-owner.email]], "author", _xlfn.IFNA(VLOOKUP(patch[[#This Row],[reviewer]],OrgTree!$A:$K, 11, 0), "not ICG SWFW"))</f>
        <v>BJ And dev</v>
      </c>
      <c r="T2542" s="7" t="str">
        <f>IF(ISBLANK(patch[[#This Row],[mergeDate]]), "", MID(YEAR(patch[[#This Row],[mergeDate]]), 3,2)&amp;"'ww"&amp;WEEKNUM(patch[[#This Row],[mergeDate]]))</f>
        <v>16'ww36</v>
      </c>
      <c r="U2542" s="7" t="str">
        <f>IF(ISBLANK(patch[[#This Row],[mergeDate]]), U2541, MID(YEAR(patch[[#This Row],[mergeDate]]), 3,2)&amp;"'m"&amp;MONTH(patch[[#This Row],[mergeDate]]))</f>
        <v>16'm9</v>
      </c>
      <c r="V2542" s="7" t="str">
        <f>IF(ISBLANK(patch[[#This Row],[project]]), "",SUM(patch[[#This Row],[BJ -1 num]:[SH -1 num]]))</f>
        <v/>
      </c>
      <c r="W2542" s="7" t="str">
        <f>IF(ISBLANK(patch[[#This Row],[project]]), "",COUNTIFS($A:$A,patch[[#This Row],[number]],$S:$S, "BJ And dev",$AC:$AC, "Review-1"))</f>
        <v/>
      </c>
      <c r="X2542" s="7" t="str">
        <f>IF(ISBLANK(patch[[#This Row],[project]]), "",COUNTIFS($A:$A,patch[[#This Row],[number]],$S:$S, "FL And dev",$AC:$AC, "Review-1"))</f>
        <v/>
      </c>
      <c r="Y2542" s="7" t="str">
        <f>IF(ISBLANK(patch[[#This Row],[project]]), "",COUNTIFS($A:$A,patch[[#This Row],[number]],$S:$S, "SH And dev",$AC:$AC, "Review-1"))</f>
        <v/>
      </c>
      <c r="Z2542" s="7" t="str">
        <f>IF(ISBLANK(patch[[#This Row],[project]]), "",COUNTIFS($A:$A,patch[[#This Row],[number]],$S:$S, "BJ And dev",$AD:$AD, "&lt;&gt;IntegratorValidationComment"))</f>
        <v/>
      </c>
      <c r="AA2542" s="7" t="str">
        <f>IF(ISBLANK(patch[[#This Row],[project]]), "",COUNTIFS($A:$A,patch[[#This Row],[number]],$S:$S, "FL And dev",$AD:$AD, "&lt;&gt;IntegratorValidationComment"))</f>
        <v/>
      </c>
      <c r="AB2542" s="7" t="str">
        <f>IF(ISBLANK(patch[[#This Row],[project]]), "",COUNTIFS($A:$A,patch[[#This Row],[number]],$S:$S, "SH And dev",$AD:$AD, "&lt;&gt;IntegratorValidationComment"))</f>
        <v/>
      </c>
      <c r="AC2542" s="7" t="str">
        <f>IF(OR(ISNUMBER(FIND("Review-1", patch[[#This Row],[comments]])), ISNUMBER(FIND("Approver-1", patch[[#This Row],[comments]]))), "Review-1", "")</f>
        <v/>
      </c>
      <c r="AD25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42" s="7">
        <f>IF(ISBLANK(patch[[#This Row],[number]]),AE2541,patch[[#This Row],[ifCommon]])</f>
        <v>0</v>
      </c>
    </row>
    <row r="2543" spans="1:31">
      <c r="A2543" s="151">
        <v>142825</v>
      </c>
      <c r="B2543" s="151"/>
      <c r="C2543" s="151"/>
      <c r="D2543" s="151"/>
      <c r="E2543" s="151"/>
      <c r="F2543" s="151"/>
      <c r="G2543" s="151"/>
      <c r="H2543" s="151"/>
      <c r="I2543" s="151"/>
      <c r="J2543" s="152">
        <v>42615.495034722233</v>
      </c>
      <c r="K2543" s="151"/>
      <c r="L2543" s="151" t="s">
        <v>59</v>
      </c>
      <c r="M2543" s="152">
        <v>42615.440659722219</v>
      </c>
      <c r="N2543" s="151" t="s">
        <v>3865</v>
      </c>
      <c r="O2543" s="151"/>
      <c r="P2543" s="151"/>
      <c r="Q2543" s="7" t="str">
        <f>IF(ISBLANK(patch[[#This Row],[OwnerEmail]]),Q2542,patch[[#This Row],[OwnerEmail]])</f>
        <v>liang.l.yang@intel.com</v>
      </c>
      <c r="R2543" s="7" t="str">
        <f>_xlfn.IFNA(VLOOKUP(patch[[#This Row],[tmp-owner.email]],OrgTree!$A:$K, 11, 0), "not ICG SWFW")</f>
        <v>BJ And dev</v>
      </c>
      <c r="S2543" s="7" t="str">
        <f>IF(patch[[#This Row],[reviewer]]=patch[[#This Row],[tmp-owner.email]], "author", _xlfn.IFNA(VLOOKUP(patch[[#This Row],[reviewer]],OrgTree!$A:$K, 11, 0), "not ICG SWFW"))</f>
        <v>BJ And dev</v>
      </c>
      <c r="T2543" s="7" t="str">
        <f>IF(ISBLANK(patch[[#This Row],[mergeDate]]), "", MID(YEAR(patch[[#This Row],[mergeDate]]), 3,2)&amp;"'ww"&amp;WEEKNUM(patch[[#This Row],[mergeDate]]))</f>
        <v>16'ww36</v>
      </c>
      <c r="U2543" s="7" t="str">
        <f>IF(ISBLANK(patch[[#This Row],[mergeDate]]), U2542, MID(YEAR(patch[[#This Row],[mergeDate]]), 3,2)&amp;"'m"&amp;MONTH(patch[[#This Row],[mergeDate]]))</f>
        <v>16'm9</v>
      </c>
      <c r="V2543" s="7" t="str">
        <f>IF(ISBLANK(patch[[#This Row],[project]]), "",SUM(patch[[#This Row],[BJ -1 num]:[SH -1 num]]))</f>
        <v/>
      </c>
      <c r="W2543" s="7" t="str">
        <f>IF(ISBLANK(patch[[#This Row],[project]]), "",COUNTIFS($A:$A,patch[[#This Row],[number]],$S:$S, "BJ And dev",$AC:$AC, "Review-1"))</f>
        <v/>
      </c>
      <c r="X2543" s="7" t="str">
        <f>IF(ISBLANK(patch[[#This Row],[project]]), "",COUNTIFS($A:$A,patch[[#This Row],[number]],$S:$S, "FL And dev",$AC:$AC, "Review-1"))</f>
        <v/>
      </c>
      <c r="Y2543" s="7" t="str">
        <f>IF(ISBLANK(patch[[#This Row],[project]]), "",COUNTIFS($A:$A,patch[[#This Row],[number]],$S:$S, "SH And dev",$AC:$AC, "Review-1"))</f>
        <v/>
      </c>
      <c r="Z2543" s="7" t="str">
        <f>IF(ISBLANK(patch[[#This Row],[project]]), "",COUNTIFS($A:$A,patch[[#This Row],[number]],$S:$S, "BJ And dev",$AD:$AD, "&lt;&gt;IntegratorValidationComment"))</f>
        <v/>
      </c>
      <c r="AA2543" s="7" t="str">
        <f>IF(ISBLANK(patch[[#This Row],[project]]), "",COUNTIFS($A:$A,patch[[#This Row],[number]],$S:$S, "FL And dev",$AD:$AD, "&lt;&gt;IntegratorValidationComment"))</f>
        <v/>
      </c>
      <c r="AB2543" s="7" t="str">
        <f>IF(ISBLANK(patch[[#This Row],[project]]), "",COUNTIFS($A:$A,patch[[#This Row],[number]],$S:$S, "SH And dev",$AD:$AD, "&lt;&gt;IntegratorValidationComment"))</f>
        <v/>
      </c>
      <c r="AC2543" s="7" t="str">
        <f>IF(OR(ISNUMBER(FIND("Review-1", patch[[#This Row],[comments]])), ISNUMBER(FIND("Approver-1", patch[[#This Row],[comments]]))), "Review-1", "")</f>
        <v/>
      </c>
      <c r="AD25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43" s="7">
        <f>IF(ISBLANK(patch[[#This Row],[number]]),AE2542,patch[[#This Row],[ifCommon]])</f>
        <v>0</v>
      </c>
    </row>
    <row r="2544" spans="1:31">
      <c r="A2544" s="151">
        <v>142825</v>
      </c>
      <c r="B2544" s="151"/>
      <c r="C2544" s="151"/>
      <c r="D2544" s="151"/>
      <c r="E2544" s="151"/>
      <c r="F2544" s="151"/>
      <c r="G2544" s="151"/>
      <c r="H2544" s="151"/>
      <c r="I2544" s="151"/>
      <c r="J2544" s="152">
        <v>42615.495034722233</v>
      </c>
      <c r="K2544" s="151"/>
      <c r="L2544" s="151" t="s">
        <v>59</v>
      </c>
      <c r="M2544" s="152">
        <v>42615.443206018521</v>
      </c>
      <c r="N2544" s="151" t="s">
        <v>3866</v>
      </c>
      <c r="O2544" s="151"/>
      <c r="P2544" s="151"/>
      <c r="Q2544" s="7" t="str">
        <f>IF(ISBLANK(patch[[#This Row],[OwnerEmail]]),Q2543,patch[[#This Row],[OwnerEmail]])</f>
        <v>liang.l.yang@intel.com</v>
      </c>
      <c r="R2544" s="7" t="str">
        <f>_xlfn.IFNA(VLOOKUP(patch[[#This Row],[tmp-owner.email]],OrgTree!$A:$K, 11, 0), "not ICG SWFW")</f>
        <v>BJ And dev</v>
      </c>
      <c r="S2544" s="7" t="str">
        <f>IF(patch[[#This Row],[reviewer]]=patch[[#This Row],[tmp-owner.email]], "author", _xlfn.IFNA(VLOOKUP(patch[[#This Row],[reviewer]],OrgTree!$A:$K, 11, 0), "not ICG SWFW"))</f>
        <v>BJ And dev</v>
      </c>
      <c r="T2544" s="7" t="str">
        <f>IF(ISBLANK(patch[[#This Row],[mergeDate]]), "", MID(YEAR(patch[[#This Row],[mergeDate]]), 3,2)&amp;"'ww"&amp;WEEKNUM(patch[[#This Row],[mergeDate]]))</f>
        <v>16'ww36</v>
      </c>
      <c r="U2544" s="7" t="str">
        <f>IF(ISBLANK(patch[[#This Row],[mergeDate]]), U2543, MID(YEAR(patch[[#This Row],[mergeDate]]), 3,2)&amp;"'m"&amp;MONTH(patch[[#This Row],[mergeDate]]))</f>
        <v>16'm9</v>
      </c>
      <c r="V2544" s="7" t="str">
        <f>IF(ISBLANK(patch[[#This Row],[project]]), "",SUM(patch[[#This Row],[BJ -1 num]:[SH -1 num]]))</f>
        <v/>
      </c>
      <c r="W2544" s="7" t="str">
        <f>IF(ISBLANK(patch[[#This Row],[project]]), "",COUNTIFS($A:$A,patch[[#This Row],[number]],$S:$S, "BJ And dev",$AC:$AC, "Review-1"))</f>
        <v/>
      </c>
      <c r="X2544" s="7" t="str">
        <f>IF(ISBLANK(patch[[#This Row],[project]]), "",COUNTIFS($A:$A,patch[[#This Row],[number]],$S:$S, "FL And dev",$AC:$AC, "Review-1"))</f>
        <v/>
      </c>
      <c r="Y2544" s="7" t="str">
        <f>IF(ISBLANK(patch[[#This Row],[project]]), "",COUNTIFS($A:$A,patch[[#This Row],[number]],$S:$S, "SH And dev",$AC:$AC, "Review-1"))</f>
        <v/>
      </c>
      <c r="Z2544" s="7" t="str">
        <f>IF(ISBLANK(patch[[#This Row],[project]]), "",COUNTIFS($A:$A,patch[[#This Row],[number]],$S:$S, "BJ And dev",$AD:$AD, "&lt;&gt;IntegratorValidationComment"))</f>
        <v/>
      </c>
      <c r="AA2544" s="7" t="str">
        <f>IF(ISBLANK(patch[[#This Row],[project]]), "",COUNTIFS($A:$A,patch[[#This Row],[number]],$S:$S, "FL And dev",$AD:$AD, "&lt;&gt;IntegratorValidationComment"))</f>
        <v/>
      </c>
      <c r="AB2544" s="7" t="str">
        <f>IF(ISBLANK(patch[[#This Row],[project]]), "",COUNTIFS($A:$A,patch[[#This Row],[number]],$S:$S, "SH And dev",$AD:$AD, "&lt;&gt;IntegratorValidationComment"))</f>
        <v/>
      </c>
      <c r="AC2544" s="7" t="str">
        <f>IF(OR(ISNUMBER(FIND("Review-1", patch[[#This Row],[comments]])), ISNUMBER(FIND("Approver-1", patch[[#This Row],[comments]]))), "Review-1", "")</f>
        <v/>
      </c>
      <c r="AD25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44" s="7">
        <f>IF(ISBLANK(patch[[#This Row],[number]]),AE2543,patch[[#This Row],[ifCommon]])</f>
        <v>0</v>
      </c>
    </row>
    <row r="2545" spans="1:31">
      <c r="A2545" s="151">
        <v>142825</v>
      </c>
      <c r="B2545" s="151"/>
      <c r="C2545" s="151"/>
      <c r="D2545" s="151"/>
      <c r="E2545" s="151"/>
      <c r="F2545" s="151"/>
      <c r="G2545" s="151"/>
      <c r="H2545" s="151"/>
      <c r="I2545" s="152"/>
      <c r="J2545" s="152">
        <v>42615.495034722233</v>
      </c>
      <c r="K2545" s="151"/>
      <c r="L2545" s="151" t="s">
        <v>59</v>
      </c>
      <c r="M2545" s="152">
        <v>42615.445960648147</v>
      </c>
      <c r="N2545" s="151" t="s">
        <v>3867</v>
      </c>
      <c r="O2545" s="151"/>
      <c r="P2545" s="151"/>
      <c r="Q2545" s="7" t="str">
        <f>IF(ISBLANK(patch[[#This Row],[OwnerEmail]]),Q2544,patch[[#This Row],[OwnerEmail]])</f>
        <v>liang.l.yang@intel.com</v>
      </c>
      <c r="R2545" s="7" t="str">
        <f>_xlfn.IFNA(VLOOKUP(patch[[#This Row],[tmp-owner.email]],OrgTree!$A:$K, 11, 0), "not ICG SWFW")</f>
        <v>BJ And dev</v>
      </c>
      <c r="S2545" s="7" t="str">
        <f>IF(patch[[#This Row],[reviewer]]=patch[[#This Row],[tmp-owner.email]], "author", _xlfn.IFNA(VLOOKUP(patch[[#This Row],[reviewer]],OrgTree!$A:$K, 11, 0), "not ICG SWFW"))</f>
        <v>BJ And dev</v>
      </c>
      <c r="T2545" s="7" t="str">
        <f>IF(ISBLANK(patch[[#This Row],[mergeDate]]), "", MID(YEAR(patch[[#This Row],[mergeDate]]), 3,2)&amp;"'ww"&amp;WEEKNUM(patch[[#This Row],[mergeDate]]))</f>
        <v>16'ww36</v>
      </c>
      <c r="U2545" s="7" t="str">
        <f>IF(ISBLANK(patch[[#This Row],[mergeDate]]), U2544, MID(YEAR(patch[[#This Row],[mergeDate]]), 3,2)&amp;"'m"&amp;MONTH(patch[[#This Row],[mergeDate]]))</f>
        <v>16'm9</v>
      </c>
      <c r="V2545" s="7" t="str">
        <f>IF(ISBLANK(patch[[#This Row],[project]]), "",SUM(patch[[#This Row],[BJ -1 num]:[SH -1 num]]))</f>
        <v/>
      </c>
      <c r="W2545" s="7" t="str">
        <f>IF(ISBLANK(patch[[#This Row],[project]]), "",COUNTIFS($A:$A,patch[[#This Row],[number]],$S:$S, "BJ And dev",$AC:$AC, "Review-1"))</f>
        <v/>
      </c>
      <c r="X2545" s="7" t="str">
        <f>IF(ISBLANK(patch[[#This Row],[project]]), "",COUNTIFS($A:$A,patch[[#This Row],[number]],$S:$S, "FL And dev",$AC:$AC, "Review-1"))</f>
        <v/>
      </c>
      <c r="Y2545" s="7" t="str">
        <f>IF(ISBLANK(patch[[#This Row],[project]]), "",COUNTIFS($A:$A,patch[[#This Row],[number]],$S:$S, "SH And dev",$AC:$AC, "Review-1"))</f>
        <v/>
      </c>
      <c r="Z2545" s="7" t="str">
        <f>IF(ISBLANK(patch[[#This Row],[project]]), "",COUNTIFS($A:$A,patch[[#This Row],[number]],$S:$S, "BJ And dev",$AD:$AD, "&lt;&gt;IntegratorValidationComment"))</f>
        <v/>
      </c>
      <c r="AA2545" s="7" t="str">
        <f>IF(ISBLANK(patch[[#This Row],[project]]), "",COUNTIFS($A:$A,patch[[#This Row],[number]],$S:$S, "FL And dev",$AD:$AD, "&lt;&gt;IntegratorValidationComment"))</f>
        <v/>
      </c>
      <c r="AB2545" s="7" t="str">
        <f>IF(ISBLANK(patch[[#This Row],[project]]), "",COUNTIFS($A:$A,patch[[#This Row],[number]],$S:$S, "SH And dev",$AD:$AD, "&lt;&gt;IntegratorValidationComment"))</f>
        <v/>
      </c>
      <c r="AC2545" s="7" t="str">
        <f>IF(OR(ISNUMBER(FIND("Review-1", patch[[#This Row],[comments]])), ISNUMBER(FIND("Approver-1", patch[[#This Row],[comments]]))), "Review-1", "")</f>
        <v/>
      </c>
      <c r="AD25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45" s="7">
        <f>IF(ISBLANK(patch[[#This Row],[number]]),AE2544,patch[[#This Row],[ifCommon]])</f>
        <v>0</v>
      </c>
    </row>
    <row r="2546" spans="1:31">
      <c r="A2546" s="151">
        <v>142825</v>
      </c>
      <c r="B2546" s="151"/>
      <c r="C2546" s="151"/>
      <c r="D2546" s="151"/>
      <c r="E2546" s="151"/>
      <c r="F2546" s="151"/>
      <c r="G2546" s="151"/>
      <c r="H2546" s="151"/>
      <c r="I2546" s="151"/>
      <c r="J2546" s="152">
        <v>42615.495034722233</v>
      </c>
      <c r="K2546" s="151"/>
      <c r="L2546" s="151" t="s">
        <v>59</v>
      </c>
      <c r="M2546" s="152">
        <v>42615.44672453704</v>
      </c>
      <c r="N2546" s="151" t="s">
        <v>3868</v>
      </c>
      <c r="O2546" s="151"/>
      <c r="P2546" s="151"/>
      <c r="Q2546" s="7" t="str">
        <f>IF(ISBLANK(patch[[#This Row],[OwnerEmail]]),Q2545,patch[[#This Row],[OwnerEmail]])</f>
        <v>liang.l.yang@intel.com</v>
      </c>
      <c r="R2546" s="7" t="str">
        <f>_xlfn.IFNA(VLOOKUP(patch[[#This Row],[tmp-owner.email]],OrgTree!$A:$K, 11, 0), "not ICG SWFW")</f>
        <v>BJ And dev</v>
      </c>
      <c r="S2546" s="7" t="str">
        <f>IF(patch[[#This Row],[reviewer]]=patch[[#This Row],[tmp-owner.email]], "author", _xlfn.IFNA(VLOOKUP(patch[[#This Row],[reviewer]],OrgTree!$A:$K, 11, 0), "not ICG SWFW"))</f>
        <v>BJ And dev</v>
      </c>
      <c r="T2546" s="7" t="str">
        <f>IF(ISBLANK(patch[[#This Row],[mergeDate]]), "", MID(YEAR(patch[[#This Row],[mergeDate]]), 3,2)&amp;"'ww"&amp;WEEKNUM(patch[[#This Row],[mergeDate]]))</f>
        <v>16'ww36</v>
      </c>
      <c r="U2546" s="7" t="str">
        <f>IF(ISBLANK(patch[[#This Row],[mergeDate]]), U2545, MID(YEAR(patch[[#This Row],[mergeDate]]), 3,2)&amp;"'m"&amp;MONTH(patch[[#This Row],[mergeDate]]))</f>
        <v>16'm9</v>
      </c>
      <c r="V2546" s="7" t="str">
        <f>IF(ISBLANK(patch[[#This Row],[project]]), "",SUM(patch[[#This Row],[BJ -1 num]:[SH -1 num]]))</f>
        <v/>
      </c>
      <c r="W2546" s="7" t="str">
        <f>IF(ISBLANK(patch[[#This Row],[project]]), "",COUNTIFS($A:$A,patch[[#This Row],[number]],$S:$S, "BJ And dev",$AC:$AC, "Review-1"))</f>
        <v/>
      </c>
      <c r="X2546" s="7" t="str">
        <f>IF(ISBLANK(patch[[#This Row],[project]]), "",COUNTIFS($A:$A,patch[[#This Row],[number]],$S:$S, "FL And dev",$AC:$AC, "Review-1"))</f>
        <v/>
      </c>
      <c r="Y2546" s="7" t="str">
        <f>IF(ISBLANK(patch[[#This Row],[project]]), "",COUNTIFS($A:$A,patch[[#This Row],[number]],$S:$S, "SH And dev",$AC:$AC, "Review-1"))</f>
        <v/>
      </c>
      <c r="Z2546" s="7" t="str">
        <f>IF(ISBLANK(patch[[#This Row],[project]]), "",COUNTIFS($A:$A,patch[[#This Row],[number]],$S:$S, "BJ And dev",$AD:$AD, "&lt;&gt;IntegratorValidationComment"))</f>
        <v/>
      </c>
      <c r="AA2546" s="7" t="str">
        <f>IF(ISBLANK(patch[[#This Row],[project]]), "",COUNTIFS($A:$A,patch[[#This Row],[number]],$S:$S, "FL And dev",$AD:$AD, "&lt;&gt;IntegratorValidationComment"))</f>
        <v/>
      </c>
      <c r="AB2546" s="7" t="str">
        <f>IF(ISBLANK(patch[[#This Row],[project]]), "",COUNTIFS($A:$A,patch[[#This Row],[number]],$S:$S, "SH And dev",$AD:$AD, "&lt;&gt;IntegratorValidationComment"))</f>
        <v/>
      </c>
      <c r="AC2546" s="7" t="str">
        <f>IF(OR(ISNUMBER(FIND("Review-1", patch[[#This Row],[comments]])), ISNUMBER(FIND("Approver-1", patch[[#This Row],[comments]]))), "Review-1", "")</f>
        <v/>
      </c>
      <c r="AD25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46" s="7">
        <f>IF(ISBLANK(patch[[#This Row],[number]]),AE2545,patch[[#This Row],[ifCommon]])</f>
        <v>0</v>
      </c>
    </row>
    <row r="2547" spans="1:31">
      <c r="A2547" s="151">
        <v>142825</v>
      </c>
      <c r="B2547" s="151"/>
      <c r="C2547" s="151"/>
      <c r="D2547" s="151"/>
      <c r="E2547" s="151"/>
      <c r="F2547" s="151"/>
      <c r="G2547" s="151"/>
      <c r="H2547" s="151"/>
      <c r="I2547" s="151"/>
      <c r="J2547" s="152">
        <v>42615.495034722233</v>
      </c>
      <c r="K2547" s="151"/>
      <c r="L2547" s="151" t="s">
        <v>55</v>
      </c>
      <c r="M2547" s="152">
        <v>42615.461597222216</v>
      </c>
      <c r="N2547" s="151" t="s">
        <v>31</v>
      </c>
      <c r="O2547" s="151"/>
      <c r="P2547" s="151"/>
      <c r="Q2547" s="7" t="str">
        <f>IF(ISBLANK(patch[[#This Row],[OwnerEmail]]),Q2546,patch[[#This Row],[OwnerEmail]])</f>
        <v>liang.l.yang@intel.com</v>
      </c>
      <c r="R2547" s="7" t="str">
        <f>_xlfn.IFNA(VLOOKUP(patch[[#This Row],[tmp-owner.email]],OrgTree!$A:$K, 11, 0), "not ICG SWFW")</f>
        <v>BJ And dev</v>
      </c>
      <c r="S2547" s="7" t="str">
        <f>IF(patch[[#This Row],[reviewer]]=patch[[#This Row],[tmp-owner.email]], "author", _xlfn.IFNA(VLOOKUP(patch[[#This Row],[reviewer]],OrgTree!$A:$K, 11, 0), "not ICG SWFW"))</f>
        <v>author</v>
      </c>
      <c r="T2547" s="7" t="str">
        <f>IF(ISBLANK(patch[[#This Row],[mergeDate]]), "", MID(YEAR(patch[[#This Row],[mergeDate]]), 3,2)&amp;"'ww"&amp;WEEKNUM(patch[[#This Row],[mergeDate]]))</f>
        <v>16'ww36</v>
      </c>
      <c r="U2547" s="7" t="str">
        <f>IF(ISBLANK(patch[[#This Row],[mergeDate]]), U2546, MID(YEAR(patch[[#This Row],[mergeDate]]), 3,2)&amp;"'m"&amp;MONTH(patch[[#This Row],[mergeDate]]))</f>
        <v>16'm9</v>
      </c>
      <c r="V2547" s="7" t="str">
        <f>IF(ISBLANK(patch[[#This Row],[project]]), "",SUM(patch[[#This Row],[BJ -1 num]:[SH -1 num]]))</f>
        <v/>
      </c>
      <c r="W2547" s="7" t="str">
        <f>IF(ISBLANK(patch[[#This Row],[project]]), "",COUNTIFS($A:$A,patch[[#This Row],[number]],$S:$S, "BJ And dev",$AC:$AC, "Review-1"))</f>
        <v/>
      </c>
      <c r="X2547" s="7" t="str">
        <f>IF(ISBLANK(patch[[#This Row],[project]]), "",COUNTIFS($A:$A,patch[[#This Row],[number]],$S:$S, "FL And dev",$AC:$AC, "Review-1"))</f>
        <v/>
      </c>
      <c r="Y2547" s="7" t="str">
        <f>IF(ISBLANK(patch[[#This Row],[project]]), "",COUNTIFS($A:$A,patch[[#This Row],[number]],$S:$S, "SH And dev",$AC:$AC, "Review-1"))</f>
        <v/>
      </c>
      <c r="Z2547" s="7" t="str">
        <f>IF(ISBLANK(patch[[#This Row],[project]]), "",COUNTIFS($A:$A,patch[[#This Row],[number]],$S:$S, "BJ And dev",$AD:$AD, "&lt;&gt;IntegratorValidationComment"))</f>
        <v/>
      </c>
      <c r="AA2547" s="7" t="str">
        <f>IF(ISBLANK(patch[[#This Row],[project]]), "",COUNTIFS($A:$A,patch[[#This Row],[number]],$S:$S, "FL And dev",$AD:$AD, "&lt;&gt;IntegratorValidationComment"))</f>
        <v/>
      </c>
      <c r="AB2547" s="7" t="str">
        <f>IF(ISBLANK(patch[[#This Row],[project]]), "",COUNTIFS($A:$A,patch[[#This Row],[number]],$S:$S, "SH And dev",$AD:$AD, "&lt;&gt;IntegratorValidationComment"))</f>
        <v/>
      </c>
      <c r="AC2547" s="7" t="str">
        <f>IF(OR(ISNUMBER(FIND("Review-1", patch[[#This Row],[comments]])), ISNUMBER(FIND("Approver-1", patch[[#This Row],[comments]]))), "Review-1", "")</f>
        <v/>
      </c>
      <c r="AD25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47" s="7">
        <f>IF(ISBLANK(patch[[#This Row],[number]]),AE2546,patch[[#This Row],[ifCommon]])</f>
        <v>0</v>
      </c>
    </row>
    <row r="2548" spans="1:31">
      <c r="A2548" s="151">
        <v>142825</v>
      </c>
      <c r="B2548" s="151"/>
      <c r="C2548" s="151"/>
      <c r="D2548" s="151"/>
      <c r="E2548" s="151"/>
      <c r="F2548" s="151"/>
      <c r="G2548" s="151"/>
      <c r="H2548" s="151"/>
      <c r="I2548" s="151"/>
      <c r="J2548" s="152">
        <v>42615.495034722233</v>
      </c>
      <c r="K2548" s="151"/>
      <c r="L2548" s="151" t="s">
        <v>59</v>
      </c>
      <c r="M2548" s="152">
        <v>42615.462314814817</v>
      </c>
      <c r="N2548" s="151" t="s">
        <v>31</v>
      </c>
      <c r="O2548" s="151"/>
      <c r="P2548" s="151"/>
      <c r="Q2548" s="7" t="str">
        <f>IF(ISBLANK(patch[[#This Row],[OwnerEmail]]),Q2547,patch[[#This Row],[OwnerEmail]])</f>
        <v>liang.l.yang@intel.com</v>
      </c>
      <c r="R2548" s="7" t="str">
        <f>_xlfn.IFNA(VLOOKUP(patch[[#This Row],[tmp-owner.email]],OrgTree!$A:$K, 11, 0), "not ICG SWFW")</f>
        <v>BJ And dev</v>
      </c>
      <c r="S2548" s="7" t="str">
        <f>IF(patch[[#This Row],[reviewer]]=patch[[#This Row],[tmp-owner.email]], "author", _xlfn.IFNA(VLOOKUP(patch[[#This Row],[reviewer]],OrgTree!$A:$K, 11, 0), "not ICG SWFW"))</f>
        <v>BJ And dev</v>
      </c>
      <c r="T2548" s="7" t="str">
        <f>IF(ISBLANK(patch[[#This Row],[mergeDate]]), "", MID(YEAR(patch[[#This Row],[mergeDate]]), 3,2)&amp;"'ww"&amp;WEEKNUM(patch[[#This Row],[mergeDate]]))</f>
        <v>16'ww36</v>
      </c>
      <c r="U2548" s="7" t="str">
        <f>IF(ISBLANK(patch[[#This Row],[mergeDate]]), U2547, MID(YEAR(patch[[#This Row],[mergeDate]]), 3,2)&amp;"'m"&amp;MONTH(patch[[#This Row],[mergeDate]]))</f>
        <v>16'm9</v>
      </c>
      <c r="V2548" s="7" t="str">
        <f>IF(ISBLANK(patch[[#This Row],[project]]), "",SUM(patch[[#This Row],[BJ -1 num]:[SH -1 num]]))</f>
        <v/>
      </c>
      <c r="W2548" s="7" t="str">
        <f>IF(ISBLANK(patch[[#This Row],[project]]), "",COUNTIFS($A:$A,patch[[#This Row],[number]],$S:$S, "BJ And dev",$AC:$AC, "Review-1"))</f>
        <v/>
      </c>
      <c r="X2548" s="7" t="str">
        <f>IF(ISBLANK(patch[[#This Row],[project]]), "",COUNTIFS($A:$A,patch[[#This Row],[number]],$S:$S, "FL And dev",$AC:$AC, "Review-1"))</f>
        <v/>
      </c>
      <c r="Y2548" s="7" t="str">
        <f>IF(ISBLANK(patch[[#This Row],[project]]), "",COUNTIFS($A:$A,patch[[#This Row],[number]],$S:$S, "SH And dev",$AC:$AC, "Review-1"))</f>
        <v/>
      </c>
      <c r="Z2548" s="7" t="str">
        <f>IF(ISBLANK(patch[[#This Row],[project]]), "",COUNTIFS($A:$A,patch[[#This Row],[number]],$S:$S, "BJ And dev",$AD:$AD, "&lt;&gt;IntegratorValidationComment"))</f>
        <v/>
      </c>
      <c r="AA2548" s="7" t="str">
        <f>IF(ISBLANK(patch[[#This Row],[project]]), "",COUNTIFS($A:$A,patch[[#This Row],[number]],$S:$S, "FL And dev",$AD:$AD, "&lt;&gt;IntegratorValidationComment"))</f>
        <v/>
      </c>
      <c r="AB2548" s="7" t="str">
        <f>IF(ISBLANK(patch[[#This Row],[project]]), "",COUNTIFS($A:$A,patch[[#This Row],[number]],$S:$S, "SH And dev",$AD:$AD, "&lt;&gt;IntegratorValidationComment"))</f>
        <v/>
      </c>
      <c r="AC2548" s="7" t="str">
        <f>IF(OR(ISNUMBER(FIND("Review-1", patch[[#This Row],[comments]])), ISNUMBER(FIND("Approver-1", patch[[#This Row],[comments]]))), "Review-1", "")</f>
        <v/>
      </c>
      <c r="AD25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48" s="7">
        <f>IF(ISBLANK(patch[[#This Row],[number]]),AE2547,patch[[#This Row],[ifCommon]])</f>
        <v>0</v>
      </c>
    </row>
    <row r="2549" spans="1:31">
      <c r="A2549" s="151">
        <v>142825</v>
      </c>
      <c r="B2549" s="151"/>
      <c r="C2549" s="151"/>
      <c r="D2549" s="151"/>
      <c r="E2549" s="151"/>
      <c r="F2549" s="151"/>
      <c r="G2549" s="151"/>
      <c r="H2549" s="151"/>
      <c r="I2549" s="151"/>
      <c r="J2549" s="152">
        <v>42615.495034722233</v>
      </c>
      <c r="K2549" s="151"/>
      <c r="L2549" s="151" t="s">
        <v>24</v>
      </c>
      <c r="M2549" s="152">
        <v>42615.474618055552</v>
      </c>
      <c r="N2549" s="151" t="s">
        <v>1890</v>
      </c>
      <c r="O2549" s="151"/>
      <c r="P2549" s="151"/>
      <c r="Q2549" s="7" t="str">
        <f>IF(ISBLANK(patch[[#This Row],[OwnerEmail]]),Q2548,patch[[#This Row],[OwnerEmail]])</f>
        <v>liang.l.yang@intel.com</v>
      </c>
      <c r="R2549" s="7" t="str">
        <f>_xlfn.IFNA(VLOOKUP(patch[[#This Row],[tmp-owner.email]],OrgTree!$A:$K, 11, 0), "not ICG SWFW")</f>
        <v>BJ And dev</v>
      </c>
      <c r="S2549" s="7" t="str">
        <f>IF(patch[[#This Row],[reviewer]]=patch[[#This Row],[tmp-owner.email]], "author", _xlfn.IFNA(VLOOKUP(patch[[#This Row],[reviewer]],OrgTree!$A:$K, 11, 0), "not ICG SWFW"))</f>
        <v>BJ And dev</v>
      </c>
      <c r="T2549" s="7" t="str">
        <f>IF(ISBLANK(patch[[#This Row],[mergeDate]]), "", MID(YEAR(patch[[#This Row],[mergeDate]]), 3,2)&amp;"'ww"&amp;WEEKNUM(patch[[#This Row],[mergeDate]]))</f>
        <v>16'ww36</v>
      </c>
      <c r="U2549" s="7" t="str">
        <f>IF(ISBLANK(patch[[#This Row],[mergeDate]]), U2548, MID(YEAR(patch[[#This Row],[mergeDate]]), 3,2)&amp;"'m"&amp;MONTH(patch[[#This Row],[mergeDate]]))</f>
        <v>16'm9</v>
      </c>
      <c r="V2549" s="7" t="str">
        <f>IF(ISBLANK(patch[[#This Row],[project]]), "",SUM(patch[[#This Row],[BJ -1 num]:[SH -1 num]]))</f>
        <v/>
      </c>
      <c r="W2549" s="7" t="str">
        <f>IF(ISBLANK(patch[[#This Row],[project]]), "",COUNTIFS($A:$A,patch[[#This Row],[number]],$S:$S, "BJ And dev",$AC:$AC, "Review-1"))</f>
        <v/>
      </c>
      <c r="X2549" s="7" t="str">
        <f>IF(ISBLANK(patch[[#This Row],[project]]), "",COUNTIFS($A:$A,patch[[#This Row],[number]],$S:$S, "FL And dev",$AC:$AC, "Review-1"))</f>
        <v/>
      </c>
      <c r="Y2549" s="7" t="str">
        <f>IF(ISBLANK(patch[[#This Row],[project]]), "",COUNTIFS($A:$A,patch[[#This Row],[number]],$S:$S, "SH And dev",$AC:$AC, "Review-1"))</f>
        <v/>
      </c>
      <c r="Z2549" s="7" t="str">
        <f>IF(ISBLANK(patch[[#This Row],[project]]), "",COUNTIFS($A:$A,patch[[#This Row],[number]],$S:$S, "BJ And dev",$AD:$AD, "&lt;&gt;IntegratorValidationComment"))</f>
        <v/>
      </c>
      <c r="AA2549" s="7" t="str">
        <f>IF(ISBLANK(patch[[#This Row],[project]]), "",COUNTIFS($A:$A,patch[[#This Row],[number]],$S:$S, "FL And dev",$AD:$AD, "&lt;&gt;IntegratorValidationComment"))</f>
        <v/>
      </c>
      <c r="AB2549" s="7" t="str">
        <f>IF(ISBLANK(patch[[#This Row],[project]]), "",COUNTIFS($A:$A,patch[[#This Row],[number]],$S:$S, "SH And dev",$AD:$AD, "&lt;&gt;IntegratorValidationComment"))</f>
        <v/>
      </c>
      <c r="AC2549" s="7" t="str">
        <f>IF(OR(ISNUMBER(FIND("Review-1", patch[[#This Row],[comments]])), ISNUMBER(FIND("Approver-1", patch[[#This Row],[comments]]))), "Review-1", "")</f>
        <v/>
      </c>
      <c r="AD25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49" s="7">
        <f>IF(ISBLANK(patch[[#This Row],[number]]),AE2548,patch[[#This Row],[ifCommon]])</f>
        <v>0</v>
      </c>
    </row>
    <row r="2550" spans="1:31">
      <c r="A2550" s="151">
        <v>142825</v>
      </c>
      <c r="B2550" s="151"/>
      <c r="C2550" s="151"/>
      <c r="D2550" s="151"/>
      <c r="E2550" s="151"/>
      <c r="F2550" s="151"/>
      <c r="G2550" s="151"/>
      <c r="H2550" s="151"/>
      <c r="I2550" s="151"/>
      <c r="J2550" s="152">
        <v>42615.495034722233</v>
      </c>
      <c r="K2550" s="151"/>
      <c r="L2550" s="151" t="s">
        <v>115</v>
      </c>
      <c r="M2550" s="152">
        <v>42615.47729166667</v>
      </c>
      <c r="N2550" s="151" t="s">
        <v>2496</v>
      </c>
      <c r="O2550" s="151"/>
      <c r="P2550" s="151"/>
      <c r="Q2550" s="7" t="str">
        <f>IF(ISBLANK(patch[[#This Row],[OwnerEmail]]),Q2549,patch[[#This Row],[OwnerEmail]])</f>
        <v>liang.l.yang@intel.com</v>
      </c>
      <c r="R2550" s="7" t="str">
        <f>_xlfn.IFNA(VLOOKUP(patch[[#This Row],[tmp-owner.email]],OrgTree!$A:$K, 11, 0), "not ICG SWFW")</f>
        <v>BJ And dev</v>
      </c>
      <c r="S2550" s="7" t="str">
        <f>IF(patch[[#This Row],[reviewer]]=patch[[#This Row],[tmp-owner.email]], "author", _xlfn.IFNA(VLOOKUP(patch[[#This Row],[reviewer]],OrgTree!$A:$K, 11, 0), "not ICG SWFW"))</f>
        <v>Val</v>
      </c>
      <c r="T2550" s="7" t="str">
        <f>IF(ISBLANK(patch[[#This Row],[mergeDate]]), "", MID(YEAR(patch[[#This Row],[mergeDate]]), 3,2)&amp;"'ww"&amp;WEEKNUM(patch[[#This Row],[mergeDate]]))</f>
        <v>16'ww36</v>
      </c>
      <c r="U2550" s="7" t="str">
        <f>IF(ISBLANK(patch[[#This Row],[mergeDate]]), U2549, MID(YEAR(patch[[#This Row],[mergeDate]]), 3,2)&amp;"'m"&amp;MONTH(patch[[#This Row],[mergeDate]]))</f>
        <v>16'm9</v>
      </c>
      <c r="V2550" s="7" t="str">
        <f>IF(ISBLANK(patch[[#This Row],[project]]), "",SUM(patch[[#This Row],[BJ -1 num]:[SH -1 num]]))</f>
        <v/>
      </c>
      <c r="W2550" s="7" t="str">
        <f>IF(ISBLANK(patch[[#This Row],[project]]), "",COUNTIFS($A:$A,patch[[#This Row],[number]],$S:$S, "BJ And dev",$AC:$AC, "Review-1"))</f>
        <v/>
      </c>
      <c r="X2550" s="7" t="str">
        <f>IF(ISBLANK(patch[[#This Row],[project]]), "",COUNTIFS($A:$A,patch[[#This Row],[number]],$S:$S, "FL And dev",$AC:$AC, "Review-1"))</f>
        <v/>
      </c>
      <c r="Y2550" s="7" t="str">
        <f>IF(ISBLANK(patch[[#This Row],[project]]), "",COUNTIFS($A:$A,patch[[#This Row],[number]],$S:$S, "SH And dev",$AC:$AC, "Review-1"))</f>
        <v/>
      </c>
      <c r="Z2550" s="7" t="str">
        <f>IF(ISBLANK(patch[[#This Row],[project]]), "",COUNTIFS($A:$A,patch[[#This Row],[number]],$S:$S, "BJ And dev",$AD:$AD, "&lt;&gt;IntegratorValidationComment"))</f>
        <v/>
      </c>
      <c r="AA2550" s="7" t="str">
        <f>IF(ISBLANK(patch[[#This Row],[project]]), "",COUNTIFS($A:$A,patch[[#This Row],[number]],$S:$S, "FL And dev",$AD:$AD, "&lt;&gt;IntegratorValidationComment"))</f>
        <v/>
      </c>
      <c r="AB2550" s="7" t="str">
        <f>IF(ISBLANK(patch[[#This Row],[project]]), "",COUNTIFS($A:$A,patch[[#This Row],[number]],$S:$S, "SH And dev",$AD:$AD, "&lt;&gt;IntegratorValidationComment"))</f>
        <v/>
      </c>
      <c r="AC2550" s="7" t="str">
        <f>IF(OR(ISNUMBER(FIND("Review-1", patch[[#This Row],[comments]])), ISNUMBER(FIND("Approver-1", patch[[#This Row],[comments]]))), "Review-1", "")</f>
        <v/>
      </c>
      <c r="AD25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550" s="7">
        <f>IF(ISBLANK(patch[[#This Row],[number]]),AE2549,patch[[#This Row],[ifCommon]])</f>
        <v>0</v>
      </c>
    </row>
    <row r="2551" spans="1:31">
      <c r="A2551" s="151">
        <v>142825</v>
      </c>
      <c r="B2551" s="151"/>
      <c r="C2551" s="151"/>
      <c r="D2551" s="151"/>
      <c r="E2551" s="151"/>
      <c r="F2551" s="151"/>
      <c r="G2551" s="151"/>
      <c r="H2551" s="151"/>
      <c r="I2551" s="151"/>
      <c r="J2551" s="152">
        <v>42615.495034722233</v>
      </c>
      <c r="K2551" s="151"/>
      <c r="L2551" s="151" t="s">
        <v>115</v>
      </c>
      <c r="M2551" s="152">
        <v>42615.495000000003</v>
      </c>
      <c r="N2551" s="151" t="s">
        <v>3869</v>
      </c>
      <c r="O2551" s="151"/>
      <c r="P2551" s="151"/>
      <c r="Q2551" s="7" t="str">
        <f>IF(ISBLANK(patch[[#This Row],[OwnerEmail]]),Q2550,patch[[#This Row],[OwnerEmail]])</f>
        <v>liang.l.yang@intel.com</v>
      </c>
      <c r="R2551" s="7" t="str">
        <f>_xlfn.IFNA(VLOOKUP(patch[[#This Row],[tmp-owner.email]],OrgTree!$A:$K, 11, 0), "not ICG SWFW")</f>
        <v>BJ And dev</v>
      </c>
      <c r="S2551" s="7" t="str">
        <f>IF(patch[[#This Row],[reviewer]]=patch[[#This Row],[tmp-owner.email]], "author", _xlfn.IFNA(VLOOKUP(patch[[#This Row],[reviewer]],OrgTree!$A:$K, 11, 0), "not ICG SWFW"))</f>
        <v>Val</v>
      </c>
      <c r="T2551" s="7" t="str">
        <f>IF(ISBLANK(patch[[#This Row],[mergeDate]]), "", MID(YEAR(patch[[#This Row],[mergeDate]]), 3,2)&amp;"'ww"&amp;WEEKNUM(patch[[#This Row],[mergeDate]]))</f>
        <v>16'ww36</v>
      </c>
      <c r="U2551" s="7" t="str">
        <f>IF(ISBLANK(patch[[#This Row],[mergeDate]]), U2550, MID(YEAR(patch[[#This Row],[mergeDate]]), 3,2)&amp;"'m"&amp;MONTH(patch[[#This Row],[mergeDate]]))</f>
        <v>16'm9</v>
      </c>
      <c r="V2551" s="7" t="str">
        <f>IF(ISBLANK(patch[[#This Row],[project]]), "",SUM(patch[[#This Row],[BJ -1 num]:[SH -1 num]]))</f>
        <v/>
      </c>
      <c r="W2551" s="7" t="str">
        <f>IF(ISBLANK(patch[[#This Row],[project]]), "",COUNTIFS($A:$A,patch[[#This Row],[number]],$S:$S, "BJ And dev",$AC:$AC, "Review-1"))</f>
        <v/>
      </c>
      <c r="X2551" s="7" t="str">
        <f>IF(ISBLANK(patch[[#This Row],[project]]), "",COUNTIFS($A:$A,patch[[#This Row],[number]],$S:$S, "FL And dev",$AC:$AC, "Review-1"))</f>
        <v/>
      </c>
      <c r="Y2551" s="7" t="str">
        <f>IF(ISBLANK(patch[[#This Row],[project]]), "",COUNTIFS($A:$A,patch[[#This Row],[number]],$S:$S, "SH And dev",$AC:$AC, "Review-1"))</f>
        <v/>
      </c>
      <c r="Z2551" s="7" t="str">
        <f>IF(ISBLANK(patch[[#This Row],[project]]), "",COUNTIFS($A:$A,patch[[#This Row],[number]],$S:$S, "BJ And dev",$AD:$AD, "&lt;&gt;IntegratorValidationComment"))</f>
        <v/>
      </c>
      <c r="AA2551" s="7" t="str">
        <f>IF(ISBLANK(patch[[#This Row],[project]]), "",COUNTIFS($A:$A,patch[[#This Row],[number]],$S:$S, "FL And dev",$AD:$AD, "&lt;&gt;IntegratorValidationComment"))</f>
        <v/>
      </c>
      <c r="AB2551" s="7" t="str">
        <f>IF(ISBLANK(patch[[#This Row],[project]]), "",COUNTIFS($A:$A,patch[[#This Row],[number]],$S:$S, "SH And dev",$AD:$AD, "&lt;&gt;IntegratorValidationComment"))</f>
        <v/>
      </c>
      <c r="AC2551" s="7" t="str">
        <f>IF(OR(ISNUMBER(FIND("Review-1", patch[[#This Row],[comments]])), ISNUMBER(FIND("Approver-1", patch[[#This Row],[comments]]))), "Review-1", "")</f>
        <v/>
      </c>
      <c r="AD25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51" s="7">
        <f>IF(ISBLANK(patch[[#This Row],[number]]),AE2550,patch[[#This Row],[ifCommon]])</f>
        <v>0</v>
      </c>
    </row>
    <row r="2552" spans="1:31">
      <c r="A2552" s="151">
        <v>142313</v>
      </c>
      <c r="B2552" s="151" t="s">
        <v>2490</v>
      </c>
      <c r="C2552" s="151" t="s">
        <v>2491</v>
      </c>
      <c r="D2552" s="151" t="s">
        <v>3870</v>
      </c>
      <c r="E2552" s="151" t="s">
        <v>55</v>
      </c>
      <c r="F2552" s="151" t="s">
        <v>23</v>
      </c>
      <c r="G2552" s="151" t="s">
        <v>3871</v>
      </c>
      <c r="H2552" s="151" t="s">
        <v>3872</v>
      </c>
      <c r="I2552" s="152">
        <v>42612.79619212963</v>
      </c>
      <c r="J2552" s="152">
        <v>42614.755023148151</v>
      </c>
      <c r="K2552" s="151" t="s">
        <v>2445</v>
      </c>
      <c r="L2552" s="151" t="s">
        <v>55</v>
      </c>
      <c r="M2552" s="152">
        <v>42612.79619212963</v>
      </c>
      <c r="N2552" s="151" t="s">
        <v>25</v>
      </c>
      <c r="O2552" s="151"/>
      <c r="P2552" s="151" t="s">
        <v>2611</v>
      </c>
      <c r="Q2552" s="7" t="str">
        <f>IF(ISBLANK(patch[[#This Row],[OwnerEmail]]),Q2551,patch[[#This Row],[OwnerEmail]])</f>
        <v>liang.l.yang@intel.com</v>
      </c>
      <c r="R2552" s="7" t="str">
        <f>_xlfn.IFNA(VLOOKUP(patch[[#This Row],[tmp-owner.email]],OrgTree!$A:$K, 11, 0), "not ICG SWFW")</f>
        <v>BJ And dev</v>
      </c>
      <c r="S2552" s="7" t="str">
        <f>IF(patch[[#This Row],[reviewer]]=patch[[#This Row],[tmp-owner.email]], "author", _xlfn.IFNA(VLOOKUP(patch[[#This Row],[reviewer]],OrgTree!$A:$K, 11, 0), "not ICG SWFW"))</f>
        <v>author</v>
      </c>
      <c r="T2552" s="7" t="str">
        <f>IF(ISBLANK(patch[[#This Row],[mergeDate]]), "", MID(YEAR(patch[[#This Row],[mergeDate]]), 3,2)&amp;"'ww"&amp;WEEKNUM(patch[[#This Row],[mergeDate]]))</f>
        <v>16'ww36</v>
      </c>
      <c r="U2552" s="7" t="str">
        <f>IF(ISBLANK(patch[[#This Row],[mergeDate]]), U2551, MID(YEAR(patch[[#This Row],[mergeDate]]), 3,2)&amp;"'m"&amp;MONTH(patch[[#This Row],[mergeDate]]))</f>
        <v>16'm9</v>
      </c>
      <c r="V2552" s="7">
        <f>IF(ISBLANK(patch[[#This Row],[project]]), "",SUM(patch[[#This Row],[BJ -1 num]:[SH -1 num]]))</f>
        <v>0</v>
      </c>
      <c r="W2552" s="7">
        <f>IF(ISBLANK(patch[[#This Row],[project]]), "",COUNTIFS($A:$A,patch[[#This Row],[number]],$S:$S, "BJ And dev",$AC:$AC, "Review-1"))</f>
        <v>0</v>
      </c>
      <c r="X2552" s="7">
        <f>IF(ISBLANK(patch[[#This Row],[project]]), "",COUNTIFS($A:$A,patch[[#This Row],[number]],$S:$S, "FL And dev",$AC:$AC, "Review-1"))</f>
        <v>0</v>
      </c>
      <c r="Y2552" s="7">
        <f>IF(ISBLANK(patch[[#This Row],[project]]), "",COUNTIFS($A:$A,patch[[#This Row],[number]],$S:$S, "SH And dev",$AC:$AC, "Review-1"))</f>
        <v>0</v>
      </c>
      <c r="Z2552" s="7">
        <f>IF(ISBLANK(patch[[#This Row],[project]]), "",COUNTIFS($A:$A,patch[[#This Row],[number]],$S:$S, "BJ And dev",$AD:$AD, "&lt;&gt;IntegratorValidationComment"))</f>
        <v>9</v>
      </c>
      <c r="AA2552" s="7">
        <f>IF(ISBLANK(patch[[#This Row],[project]]), "",COUNTIFS($A:$A,patch[[#This Row],[number]],$S:$S, "FL And dev",$AD:$AD, "&lt;&gt;IntegratorValidationComment"))</f>
        <v>0</v>
      </c>
      <c r="AB2552" s="7">
        <f>IF(ISBLANK(patch[[#This Row],[project]]), "",COUNTIFS($A:$A,patch[[#This Row],[number]],$S:$S, "SH And dev",$AD:$AD, "&lt;&gt;IntegratorValidationComment"))</f>
        <v>0</v>
      </c>
      <c r="AC2552" s="7" t="str">
        <f>IF(OR(ISNUMBER(FIND("Review-1", patch[[#This Row],[comments]])), ISNUMBER(FIND("Approver-1", patch[[#This Row],[comments]]))), "Review-1", "")</f>
        <v/>
      </c>
      <c r="AD25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52" s="7" t="str">
        <f>IF(ISBLANK(patch[[#This Row],[number]]),AE2551,patch[[#This Row],[ifCommon]])</f>
        <v>not AndrHAL</v>
      </c>
    </row>
    <row r="2553" spans="1:31">
      <c r="A2553" s="151">
        <v>142313</v>
      </c>
      <c r="B2553" s="151"/>
      <c r="C2553" s="151"/>
      <c r="D2553" s="151"/>
      <c r="E2553" s="151"/>
      <c r="F2553" s="151"/>
      <c r="G2553" s="151"/>
      <c r="H2553" s="151"/>
      <c r="I2553" s="151"/>
      <c r="J2553" s="152">
        <v>42614.755023148151</v>
      </c>
      <c r="K2553" s="151"/>
      <c r="L2553" s="151" t="s">
        <v>55</v>
      </c>
      <c r="M2553" s="152">
        <v>42612.79619212963</v>
      </c>
      <c r="N2553" s="151" t="s">
        <v>2428</v>
      </c>
      <c r="O2553" s="151"/>
      <c r="P2553" s="151"/>
      <c r="Q2553" s="7" t="str">
        <f>IF(ISBLANK(patch[[#This Row],[OwnerEmail]]),Q2552,patch[[#This Row],[OwnerEmail]])</f>
        <v>liang.l.yang@intel.com</v>
      </c>
      <c r="R2553" s="7" t="str">
        <f>_xlfn.IFNA(VLOOKUP(patch[[#This Row],[tmp-owner.email]],OrgTree!$A:$K, 11, 0), "not ICG SWFW")</f>
        <v>BJ And dev</v>
      </c>
      <c r="S2553" s="7" t="str">
        <f>IF(patch[[#This Row],[reviewer]]=patch[[#This Row],[tmp-owner.email]], "author", _xlfn.IFNA(VLOOKUP(patch[[#This Row],[reviewer]],OrgTree!$A:$K, 11, 0), "not ICG SWFW"))</f>
        <v>author</v>
      </c>
      <c r="T2553" s="7" t="str">
        <f>IF(ISBLANK(patch[[#This Row],[mergeDate]]), "", MID(YEAR(patch[[#This Row],[mergeDate]]), 3,2)&amp;"'ww"&amp;WEEKNUM(patch[[#This Row],[mergeDate]]))</f>
        <v>16'ww36</v>
      </c>
      <c r="U2553" s="7" t="str">
        <f>IF(ISBLANK(patch[[#This Row],[mergeDate]]), U2552, MID(YEAR(patch[[#This Row],[mergeDate]]), 3,2)&amp;"'m"&amp;MONTH(patch[[#This Row],[mergeDate]]))</f>
        <v>16'm9</v>
      </c>
      <c r="V2553" s="7" t="str">
        <f>IF(ISBLANK(patch[[#This Row],[project]]), "",SUM(patch[[#This Row],[BJ -1 num]:[SH -1 num]]))</f>
        <v/>
      </c>
      <c r="W2553" s="7" t="str">
        <f>IF(ISBLANK(patch[[#This Row],[project]]), "",COUNTIFS($A:$A,patch[[#This Row],[number]],$S:$S, "BJ And dev",$AC:$AC, "Review-1"))</f>
        <v/>
      </c>
      <c r="X2553" s="7" t="str">
        <f>IF(ISBLANK(patch[[#This Row],[project]]), "",COUNTIFS($A:$A,patch[[#This Row],[number]],$S:$S, "FL And dev",$AC:$AC, "Review-1"))</f>
        <v/>
      </c>
      <c r="Y2553" s="7" t="str">
        <f>IF(ISBLANK(patch[[#This Row],[project]]), "",COUNTIFS($A:$A,patch[[#This Row],[number]],$S:$S, "SH And dev",$AC:$AC, "Review-1"))</f>
        <v/>
      </c>
      <c r="Z2553" s="7" t="str">
        <f>IF(ISBLANK(patch[[#This Row],[project]]), "",COUNTIFS($A:$A,patch[[#This Row],[number]],$S:$S, "BJ And dev",$AD:$AD, "&lt;&gt;IntegratorValidationComment"))</f>
        <v/>
      </c>
      <c r="AA2553" s="7" t="str">
        <f>IF(ISBLANK(patch[[#This Row],[project]]), "",COUNTIFS($A:$A,patch[[#This Row],[number]],$S:$S, "FL And dev",$AD:$AD, "&lt;&gt;IntegratorValidationComment"))</f>
        <v/>
      </c>
      <c r="AB2553" s="7" t="str">
        <f>IF(ISBLANK(patch[[#This Row],[project]]), "",COUNTIFS($A:$A,patch[[#This Row],[number]],$S:$S, "SH And dev",$AD:$AD, "&lt;&gt;IntegratorValidationComment"))</f>
        <v/>
      </c>
      <c r="AC2553" s="7" t="str">
        <f>IF(OR(ISNUMBER(FIND("Review-1", patch[[#This Row],[comments]])), ISNUMBER(FIND("Approver-1", patch[[#This Row],[comments]]))), "Review-1", "")</f>
        <v/>
      </c>
      <c r="AD25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53" s="7">
        <f>IF(ISBLANK(patch[[#This Row],[number]]),AE2552,patch[[#This Row],[ifCommon]])</f>
        <v>0</v>
      </c>
    </row>
    <row r="2554" spans="1:31">
      <c r="A2554" s="151">
        <v>142313</v>
      </c>
      <c r="B2554" s="151"/>
      <c r="C2554" s="151"/>
      <c r="D2554" s="151"/>
      <c r="E2554" s="151"/>
      <c r="F2554" s="151"/>
      <c r="G2554" s="151"/>
      <c r="H2554" s="151"/>
      <c r="I2554" s="151"/>
      <c r="J2554" s="152">
        <v>42614.755023148151</v>
      </c>
      <c r="K2554" s="151"/>
      <c r="L2554" s="151" t="s">
        <v>59</v>
      </c>
      <c r="M2554" s="152">
        <v>42612.799942129634</v>
      </c>
      <c r="N2554" s="151" t="s">
        <v>3873</v>
      </c>
      <c r="O2554" s="151"/>
      <c r="P2554" s="151"/>
      <c r="Q2554" s="7" t="str">
        <f>IF(ISBLANK(patch[[#This Row],[OwnerEmail]]),Q2553,patch[[#This Row],[OwnerEmail]])</f>
        <v>liang.l.yang@intel.com</v>
      </c>
      <c r="R2554" s="7" t="str">
        <f>_xlfn.IFNA(VLOOKUP(patch[[#This Row],[tmp-owner.email]],OrgTree!$A:$K, 11, 0), "not ICG SWFW")</f>
        <v>BJ And dev</v>
      </c>
      <c r="S2554" s="7" t="str">
        <f>IF(patch[[#This Row],[reviewer]]=patch[[#This Row],[tmp-owner.email]], "author", _xlfn.IFNA(VLOOKUP(patch[[#This Row],[reviewer]],OrgTree!$A:$K, 11, 0), "not ICG SWFW"))</f>
        <v>BJ And dev</v>
      </c>
      <c r="T2554" s="7" t="str">
        <f>IF(ISBLANK(patch[[#This Row],[mergeDate]]), "", MID(YEAR(patch[[#This Row],[mergeDate]]), 3,2)&amp;"'ww"&amp;WEEKNUM(patch[[#This Row],[mergeDate]]))</f>
        <v>16'ww36</v>
      </c>
      <c r="U2554" s="7" t="str">
        <f>IF(ISBLANK(patch[[#This Row],[mergeDate]]), U2553, MID(YEAR(patch[[#This Row],[mergeDate]]), 3,2)&amp;"'m"&amp;MONTH(patch[[#This Row],[mergeDate]]))</f>
        <v>16'm9</v>
      </c>
      <c r="V2554" s="7" t="str">
        <f>IF(ISBLANK(patch[[#This Row],[project]]), "",SUM(patch[[#This Row],[BJ -1 num]:[SH -1 num]]))</f>
        <v/>
      </c>
      <c r="W2554" s="7" t="str">
        <f>IF(ISBLANK(patch[[#This Row],[project]]), "",COUNTIFS($A:$A,patch[[#This Row],[number]],$S:$S, "BJ And dev",$AC:$AC, "Review-1"))</f>
        <v/>
      </c>
      <c r="X2554" s="7" t="str">
        <f>IF(ISBLANK(patch[[#This Row],[project]]), "",COUNTIFS($A:$A,patch[[#This Row],[number]],$S:$S, "FL And dev",$AC:$AC, "Review-1"))</f>
        <v/>
      </c>
      <c r="Y2554" s="7" t="str">
        <f>IF(ISBLANK(patch[[#This Row],[project]]), "",COUNTIFS($A:$A,patch[[#This Row],[number]],$S:$S, "SH And dev",$AC:$AC, "Review-1"))</f>
        <v/>
      </c>
      <c r="Z2554" s="7" t="str">
        <f>IF(ISBLANK(patch[[#This Row],[project]]), "",COUNTIFS($A:$A,patch[[#This Row],[number]],$S:$S, "BJ And dev",$AD:$AD, "&lt;&gt;IntegratorValidationComment"))</f>
        <v/>
      </c>
      <c r="AA2554" s="7" t="str">
        <f>IF(ISBLANK(patch[[#This Row],[project]]), "",COUNTIFS($A:$A,patch[[#This Row],[number]],$S:$S, "FL And dev",$AD:$AD, "&lt;&gt;IntegratorValidationComment"))</f>
        <v/>
      </c>
      <c r="AB2554" s="7" t="str">
        <f>IF(ISBLANK(patch[[#This Row],[project]]), "",COUNTIFS($A:$A,patch[[#This Row],[number]],$S:$S, "SH And dev",$AD:$AD, "&lt;&gt;IntegratorValidationComment"))</f>
        <v/>
      </c>
      <c r="AC2554" s="7" t="str">
        <f>IF(OR(ISNUMBER(FIND("Review-1", patch[[#This Row],[comments]])), ISNUMBER(FIND("Approver-1", patch[[#This Row],[comments]]))), "Review-1", "")</f>
        <v/>
      </c>
      <c r="AD25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54" s="7">
        <f>IF(ISBLANK(patch[[#This Row],[number]]),AE2553,patch[[#This Row],[ifCommon]])</f>
        <v>0</v>
      </c>
    </row>
    <row r="2555" spans="1:31">
      <c r="A2555" s="151">
        <v>142313</v>
      </c>
      <c r="B2555" s="151"/>
      <c r="C2555" s="151"/>
      <c r="D2555" s="151"/>
      <c r="E2555" s="151"/>
      <c r="F2555" s="151"/>
      <c r="G2555" s="151"/>
      <c r="H2555" s="151"/>
      <c r="I2555" s="151"/>
      <c r="J2555" s="152">
        <v>42614.755023148151</v>
      </c>
      <c r="K2555" s="151"/>
      <c r="L2555" s="151" t="s">
        <v>59</v>
      </c>
      <c r="M2555" s="152">
        <v>42612.801076388889</v>
      </c>
      <c r="N2555" s="151" t="s">
        <v>3874</v>
      </c>
      <c r="O2555" s="151"/>
      <c r="P2555" s="151"/>
      <c r="Q2555" s="7" t="str">
        <f>IF(ISBLANK(patch[[#This Row],[OwnerEmail]]),Q2554,patch[[#This Row],[OwnerEmail]])</f>
        <v>liang.l.yang@intel.com</v>
      </c>
      <c r="R2555" s="7" t="str">
        <f>_xlfn.IFNA(VLOOKUP(patch[[#This Row],[tmp-owner.email]],OrgTree!$A:$K, 11, 0), "not ICG SWFW")</f>
        <v>BJ And dev</v>
      </c>
      <c r="S2555" s="7" t="str">
        <f>IF(patch[[#This Row],[reviewer]]=patch[[#This Row],[tmp-owner.email]], "author", _xlfn.IFNA(VLOOKUP(patch[[#This Row],[reviewer]],OrgTree!$A:$K, 11, 0), "not ICG SWFW"))</f>
        <v>BJ And dev</v>
      </c>
      <c r="T2555" s="7" t="str">
        <f>IF(ISBLANK(patch[[#This Row],[mergeDate]]), "", MID(YEAR(patch[[#This Row],[mergeDate]]), 3,2)&amp;"'ww"&amp;WEEKNUM(patch[[#This Row],[mergeDate]]))</f>
        <v>16'ww36</v>
      </c>
      <c r="U2555" s="7" t="str">
        <f>IF(ISBLANK(patch[[#This Row],[mergeDate]]), U2554, MID(YEAR(patch[[#This Row],[mergeDate]]), 3,2)&amp;"'m"&amp;MONTH(patch[[#This Row],[mergeDate]]))</f>
        <v>16'm9</v>
      </c>
      <c r="V2555" s="7" t="str">
        <f>IF(ISBLANK(patch[[#This Row],[project]]), "",SUM(patch[[#This Row],[BJ -1 num]:[SH -1 num]]))</f>
        <v/>
      </c>
      <c r="W2555" s="7" t="str">
        <f>IF(ISBLANK(patch[[#This Row],[project]]), "",COUNTIFS($A:$A,patch[[#This Row],[number]],$S:$S, "BJ And dev",$AC:$AC, "Review-1"))</f>
        <v/>
      </c>
      <c r="X2555" s="7" t="str">
        <f>IF(ISBLANK(patch[[#This Row],[project]]), "",COUNTIFS($A:$A,patch[[#This Row],[number]],$S:$S, "FL And dev",$AC:$AC, "Review-1"))</f>
        <v/>
      </c>
      <c r="Y2555" s="7" t="str">
        <f>IF(ISBLANK(patch[[#This Row],[project]]), "",COUNTIFS($A:$A,patch[[#This Row],[number]],$S:$S, "SH And dev",$AC:$AC, "Review-1"))</f>
        <v/>
      </c>
      <c r="Z2555" s="7" t="str">
        <f>IF(ISBLANK(patch[[#This Row],[project]]), "",COUNTIFS($A:$A,patch[[#This Row],[number]],$S:$S, "BJ And dev",$AD:$AD, "&lt;&gt;IntegratorValidationComment"))</f>
        <v/>
      </c>
      <c r="AA2555" s="7" t="str">
        <f>IF(ISBLANK(patch[[#This Row],[project]]), "",COUNTIFS($A:$A,patch[[#This Row],[number]],$S:$S, "FL And dev",$AD:$AD, "&lt;&gt;IntegratorValidationComment"))</f>
        <v/>
      </c>
      <c r="AB2555" s="7" t="str">
        <f>IF(ISBLANK(patch[[#This Row],[project]]), "",COUNTIFS($A:$A,patch[[#This Row],[number]],$S:$S, "SH And dev",$AD:$AD, "&lt;&gt;IntegratorValidationComment"))</f>
        <v/>
      </c>
      <c r="AC2555" s="7" t="str">
        <f>IF(OR(ISNUMBER(FIND("Review-1", patch[[#This Row],[comments]])), ISNUMBER(FIND("Approver-1", patch[[#This Row],[comments]]))), "Review-1", "")</f>
        <v/>
      </c>
      <c r="AD25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55" s="7">
        <f>IF(ISBLANK(patch[[#This Row],[number]]),AE2554,patch[[#This Row],[ifCommon]])</f>
        <v>0</v>
      </c>
    </row>
    <row r="2556" spans="1:31">
      <c r="A2556" s="151">
        <v>142313</v>
      </c>
      <c r="B2556" s="151"/>
      <c r="C2556" s="151"/>
      <c r="D2556" s="151"/>
      <c r="E2556" s="151"/>
      <c r="F2556" s="151"/>
      <c r="G2556" s="151"/>
      <c r="H2556" s="151"/>
      <c r="I2556" s="151"/>
      <c r="J2556" s="152">
        <v>42614.755023148151</v>
      </c>
      <c r="K2556" s="151"/>
      <c r="L2556" s="151" t="s">
        <v>55</v>
      </c>
      <c r="M2556" s="152">
        <v>42613.495046296302</v>
      </c>
      <c r="N2556" s="151" t="s">
        <v>2429</v>
      </c>
      <c r="O2556" s="151"/>
      <c r="P2556" s="151"/>
      <c r="Q2556" s="7" t="str">
        <f>IF(ISBLANK(patch[[#This Row],[OwnerEmail]]),Q2555,patch[[#This Row],[OwnerEmail]])</f>
        <v>liang.l.yang@intel.com</v>
      </c>
      <c r="R2556" s="7" t="str">
        <f>_xlfn.IFNA(VLOOKUP(patch[[#This Row],[tmp-owner.email]],OrgTree!$A:$K, 11, 0), "not ICG SWFW")</f>
        <v>BJ And dev</v>
      </c>
      <c r="S2556" s="7" t="str">
        <f>IF(patch[[#This Row],[reviewer]]=patch[[#This Row],[tmp-owner.email]], "author", _xlfn.IFNA(VLOOKUP(patch[[#This Row],[reviewer]],OrgTree!$A:$K, 11, 0), "not ICG SWFW"))</f>
        <v>author</v>
      </c>
      <c r="T2556" s="7" t="str">
        <f>IF(ISBLANK(patch[[#This Row],[mergeDate]]), "", MID(YEAR(patch[[#This Row],[mergeDate]]), 3,2)&amp;"'ww"&amp;WEEKNUM(patch[[#This Row],[mergeDate]]))</f>
        <v>16'ww36</v>
      </c>
      <c r="U2556" s="7" t="str">
        <f>IF(ISBLANK(patch[[#This Row],[mergeDate]]), U2555, MID(YEAR(patch[[#This Row],[mergeDate]]), 3,2)&amp;"'m"&amp;MONTH(patch[[#This Row],[mergeDate]]))</f>
        <v>16'm9</v>
      </c>
      <c r="V2556" s="7" t="str">
        <f>IF(ISBLANK(patch[[#This Row],[project]]), "",SUM(patch[[#This Row],[BJ -1 num]:[SH -1 num]]))</f>
        <v/>
      </c>
      <c r="W2556" s="7" t="str">
        <f>IF(ISBLANK(patch[[#This Row],[project]]), "",COUNTIFS($A:$A,patch[[#This Row],[number]],$S:$S, "BJ And dev",$AC:$AC, "Review-1"))</f>
        <v/>
      </c>
      <c r="X2556" s="7" t="str">
        <f>IF(ISBLANK(patch[[#This Row],[project]]), "",COUNTIFS($A:$A,patch[[#This Row],[number]],$S:$S, "FL And dev",$AC:$AC, "Review-1"))</f>
        <v/>
      </c>
      <c r="Y2556" s="7" t="str">
        <f>IF(ISBLANK(patch[[#This Row],[project]]), "",COUNTIFS($A:$A,patch[[#This Row],[number]],$S:$S, "SH And dev",$AC:$AC, "Review-1"))</f>
        <v/>
      </c>
      <c r="Z2556" s="7" t="str">
        <f>IF(ISBLANK(patch[[#This Row],[project]]), "",COUNTIFS($A:$A,patch[[#This Row],[number]],$S:$S, "BJ And dev",$AD:$AD, "&lt;&gt;IntegratorValidationComment"))</f>
        <v/>
      </c>
      <c r="AA2556" s="7" t="str">
        <f>IF(ISBLANK(patch[[#This Row],[project]]), "",COUNTIFS($A:$A,patch[[#This Row],[number]],$S:$S, "FL And dev",$AD:$AD, "&lt;&gt;IntegratorValidationComment"))</f>
        <v/>
      </c>
      <c r="AB2556" s="7" t="str">
        <f>IF(ISBLANK(patch[[#This Row],[project]]), "",COUNTIFS($A:$A,patch[[#This Row],[number]],$S:$S, "SH And dev",$AD:$AD, "&lt;&gt;IntegratorValidationComment"))</f>
        <v/>
      </c>
      <c r="AC2556" s="7" t="str">
        <f>IF(OR(ISNUMBER(FIND("Review-1", patch[[#This Row],[comments]])), ISNUMBER(FIND("Approver-1", patch[[#This Row],[comments]]))), "Review-1", "")</f>
        <v/>
      </c>
      <c r="AD25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56" s="7">
        <f>IF(ISBLANK(patch[[#This Row],[number]]),AE2555,patch[[#This Row],[ifCommon]])</f>
        <v>0</v>
      </c>
    </row>
    <row r="2557" spans="1:31">
      <c r="A2557" s="151">
        <v>142313</v>
      </c>
      <c r="B2557" s="151"/>
      <c r="C2557" s="151"/>
      <c r="D2557" s="151"/>
      <c r="E2557" s="151"/>
      <c r="F2557" s="151"/>
      <c r="G2557" s="151"/>
      <c r="H2557" s="151"/>
      <c r="I2557" s="151"/>
      <c r="J2557" s="152">
        <v>42614.755023148151</v>
      </c>
      <c r="K2557" s="151"/>
      <c r="L2557" s="151" t="s">
        <v>55</v>
      </c>
      <c r="M2557" s="152">
        <v>42613.495046296302</v>
      </c>
      <c r="N2557" s="151" t="s">
        <v>2505</v>
      </c>
      <c r="O2557" s="151"/>
      <c r="P2557" s="151"/>
      <c r="Q2557" s="7" t="str">
        <f>IF(ISBLANK(patch[[#This Row],[OwnerEmail]]),Q2556,patch[[#This Row],[OwnerEmail]])</f>
        <v>liang.l.yang@intel.com</v>
      </c>
      <c r="R2557" s="7" t="str">
        <f>_xlfn.IFNA(VLOOKUP(patch[[#This Row],[tmp-owner.email]],OrgTree!$A:$K, 11, 0), "not ICG SWFW")</f>
        <v>BJ And dev</v>
      </c>
      <c r="S2557" s="7" t="str">
        <f>IF(patch[[#This Row],[reviewer]]=patch[[#This Row],[tmp-owner.email]], "author", _xlfn.IFNA(VLOOKUP(patch[[#This Row],[reviewer]],OrgTree!$A:$K, 11, 0), "not ICG SWFW"))</f>
        <v>author</v>
      </c>
      <c r="T2557" s="7" t="str">
        <f>IF(ISBLANK(patch[[#This Row],[mergeDate]]), "", MID(YEAR(patch[[#This Row],[mergeDate]]), 3,2)&amp;"'ww"&amp;WEEKNUM(patch[[#This Row],[mergeDate]]))</f>
        <v>16'ww36</v>
      </c>
      <c r="U2557" s="7" t="str">
        <f>IF(ISBLANK(patch[[#This Row],[mergeDate]]), U2556, MID(YEAR(patch[[#This Row],[mergeDate]]), 3,2)&amp;"'m"&amp;MONTH(patch[[#This Row],[mergeDate]]))</f>
        <v>16'm9</v>
      </c>
      <c r="V2557" s="7" t="str">
        <f>IF(ISBLANK(patch[[#This Row],[project]]), "",SUM(patch[[#This Row],[BJ -1 num]:[SH -1 num]]))</f>
        <v/>
      </c>
      <c r="W2557" s="7" t="str">
        <f>IF(ISBLANK(patch[[#This Row],[project]]), "",COUNTIFS($A:$A,patch[[#This Row],[number]],$S:$S, "BJ And dev",$AC:$AC, "Review-1"))</f>
        <v/>
      </c>
      <c r="X2557" s="7" t="str">
        <f>IF(ISBLANK(patch[[#This Row],[project]]), "",COUNTIFS($A:$A,patch[[#This Row],[number]],$S:$S, "FL And dev",$AC:$AC, "Review-1"))</f>
        <v/>
      </c>
      <c r="Y2557" s="7" t="str">
        <f>IF(ISBLANK(patch[[#This Row],[project]]), "",COUNTIFS($A:$A,patch[[#This Row],[number]],$S:$S, "SH And dev",$AC:$AC, "Review-1"))</f>
        <v/>
      </c>
      <c r="Z2557" s="7" t="str">
        <f>IF(ISBLANK(patch[[#This Row],[project]]), "",COUNTIFS($A:$A,patch[[#This Row],[number]],$S:$S, "BJ And dev",$AD:$AD, "&lt;&gt;IntegratorValidationComment"))</f>
        <v/>
      </c>
      <c r="AA2557" s="7" t="str">
        <f>IF(ISBLANK(patch[[#This Row],[project]]), "",COUNTIFS($A:$A,patch[[#This Row],[number]],$S:$S, "FL And dev",$AD:$AD, "&lt;&gt;IntegratorValidationComment"))</f>
        <v/>
      </c>
      <c r="AB2557" s="7" t="str">
        <f>IF(ISBLANK(patch[[#This Row],[project]]), "",COUNTIFS($A:$A,patch[[#This Row],[number]],$S:$S, "SH And dev",$AD:$AD, "&lt;&gt;IntegratorValidationComment"))</f>
        <v/>
      </c>
      <c r="AC2557" s="7" t="str">
        <f>IF(OR(ISNUMBER(FIND("Review-1", patch[[#This Row],[comments]])), ISNUMBER(FIND("Approver-1", patch[[#This Row],[comments]]))), "Review-1", "")</f>
        <v/>
      </c>
      <c r="AD25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57" s="7">
        <f>IF(ISBLANK(patch[[#This Row],[number]]),AE2556,patch[[#This Row],[ifCommon]])</f>
        <v>0</v>
      </c>
    </row>
    <row r="2558" spans="1:31">
      <c r="A2558" s="151">
        <v>142313</v>
      </c>
      <c r="B2558" s="151"/>
      <c r="C2558" s="151"/>
      <c r="D2558" s="151"/>
      <c r="E2558" s="151"/>
      <c r="F2558" s="151"/>
      <c r="G2558" s="151"/>
      <c r="H2558" s="151"/>
      <c r="I2558" s="151"/>
      <c r="J2558" s="152">
        <v>42614.755023148151</v>
      </c>
      <c r="K2558" s="151"/>
      <c r="L2558" s="151" t="s">
        <v>63</v>
      </c>
      <c r="M2558" s="152">
        <v>42613.496631944443</v>
      </c>
      <c r="N2558" s="151" t="s">
        <v>27</v>
      </c>
      <c r="O2558" s="151"/>
      <c r="P2558" s="151"/>
      <c r="Q2558" s="7" t="str">
        <f>IF(ISBLANK(patch[[#This Row],[OwnerEmail]]),Q2557,patch[[#This Row],[OwnerEmail]])</f>
        <v>liang.l.yang@intel.com</v>
      </c>
      <c r="R2558" s="7" t="str">
        <f>_xlfn.IFNA(VLOOKUP(patch[[#This Row],[tmp-owner.email]],OrgTree!$A:$K, 11, 0), "not ICG SWFW")</f>
        <v>BJ And dev</v>
      </c>
      <c r="S2558" s="7" t="str">
        <f>IF(patch[[#This Row],[reviewer]]=patch[[#This Row],[tmp-owner.email]], "author", _xlfn.IFNA(VLOOKUP(patch[[#This Row],[reviewer]],OrgTree!$A:$K, 11, 0), "not ICG SWFW"))</f>
        <v>BJ And dev</v>
      </c>
      <c r="T2558" s="7" t="str">
        <f>IF(ISBLANK(patch[[#This Row],[mergeDate]]), "", MID(YEAR(patch[[#This Row],[mergeDate]]), 3,2)&amp;"'ww"&amp;WEEKNUM(patch[[#This Row],[mergeDate]]))</f>
        <v>16'ww36</v>
      </c>
      <c r="U2558" s="7" t="str">
        <f>IF(ISBLANK(patch[[#This Row],[mergeDate]]), U2557, MID(YEAR(patch[[#This Row],[mergeDate]]), 3,2)&amp;"'m"&amp;MONTH(patch[[#This Row],[mergeDate]]))</f>
        <v>16'm9</v>
      </c>
      <c r="V2558" s="7" t="str">
        <f>IF(ISBLANK(patch[[#This Row],[project]]), "",SUM(patch[[#This Row],[BJ -1 num]:[SH -1 num]]))</f>
        <v/>
      </c>
      <c r="W2558" s="7" t="str">
        <f>IF(ISBLANK(patch[[#This Row],[project]]), "",COUNTIFS($A:$A,patch[[#This Row],[number]],$S:$S, "BJ And dev",$AC:$AC, "Review-1"))</f>
        <v/>
      </c>
      <c r="X2558" s="7" t="str">
        <f>IF(ISBLANK(patch[[#This Row],[project]]), "",COUNTIFS($A:$A,patch[[#This Row],[number]],$S:$S, "FL And dev",$AC:$AC, "Review-1"))</f>
        <v/>
      </c>
      <c r="Y2558" s="7" t="str">
        <f>IF(ISBLANK(patch[[#This Row],[project]]), "",COUNTIFS($A:$A,patch[[#This Row],[number]],$S:$S, "SH And dev",$AC:$AC, "Review-1"))</f>
        <v/>
      </c>
      <c r="Z2558" s="7" t="str">
        <f>IF(ISBLANK(patch[[#This Row],[project]]), "",COUNTIFS($A:$A,patch[[#This Row],[number]],$S:$S, "BJ And dev",$AD:$AD, "&lt;&gt;IntegratorValidationComment"))</f>
        <v/>
      </c>
      <c r="AA2558" s="7" t="str">
        <f>IF(ISBLANK(patch[[#This Row],[project]]), "",COUNTIFS($A:$A,patch[[#This Row],[number]],$S:$S, "FL And dev",$AD:$AD, "&lt;&gt;IntegratorValidationComment"))</f>
        <v/>
      </c>
      <c r="AB2558" s="7" t="str">
        <f>IF(ISBLANK(patch[[#This Row],[project]]), "",COUNTIFS($A:$A,patch[[#This Row],[number]],$S:$S, "SH And dev",$AD:$AD, "&lt;&gt;IntegratorValidationComment"))</f>
        <v/>
      </c>
      <c r="AC2558" s="7" t="str">
        <f>IF(OR(ISNUMBER(FIND("Review-1", patch[[#This Row],[comments]])), ISNUMBER(FIND("Approver-1", patch[[#This Row],[comments]]))), "Review-1", "")</f>
        <v/>
      </c>
      <c r="AD25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58" s="7">
        <f>IF(ISBLANK(patch[[#This Row],[number]]),AE2557,patch[[#This Row],[ifCommon]])</f>
        <v>0</v>
      </c>
    </row>
    <row r="2559" spans="1:31">
      <c r="A2559" s="151">
        <v>142313</v>
      </c>
      <c r="B2559" s="151"/>
      <c r="C2559" s="151"/>
      <c r="D2559" s="151"/>
      <c r="E2559" s="151"/>
      <c r="F2559" s="151"/>
      <c r="G2559" s="151"/>
      <c r="H2559" s="151"/>
      <c r="I2559" s="151"/>
      <c r="J2559" s="152">
        <v>42614.755023148151</v>
      </c>
      <c r="K2559" s="151"/>
      <c r="L2559" s="151" t="s">
        <v>55</v>
      </c>
      <c r="M2559" s="152">
        <v>42613.496828703697</v>
      </c>
      <c r="N2559" s="151" t="s">
        <v>27</v>
      </c>
      <c r="O2559" s="151"/>
      <c r="P2559" s="151"/>
      <c r="Q2559" s="7" t="str">
        <f>IF(ISBLANK(patch[[#This Row],[OwnerEmail]]),Q2558,patch[[#This Row],[OwnerEmail]])</f>
        <v>liang.l.yang@intel.com</v>
      </c>
      <c r="R2559" s="7" t="str">
        <f>_xlfn.IFNA(VLOOKUP(patch[[#This Row],[tmp-owner.email]],OrgTree!$A:$K, 11, 0), "not ICG SWFW")</f>
        <v>BJ And dev</v>
      </c>
      <c r="S2559" s="7" t="str">
        <f>IF(patch[[#This Row],[reviewer]]=patch[[#This Row],[tmp-owner.email]], "author", _xlfn.IFNA(VLOOKUP(patch[[#This Row],[reviewer]],OrgTree!$A:$K, 11, 0), "not ICG SWFW"))</f>
        <v>author</v>
      </c>
      <c r="T2559" s="7" t="str">
        <f>IF(ISBLANK(patch[[#This Row],[mergeDate]]), "", MID(YEAR(patch[[#This Row],[mergeDate]]), 3,2)&amp;"'ww"&amp;WEEKNUM(patch[[#This Row],[mergeDate]]))</f>
        <v>16'ww36</v>
      </c>
      <c r="U2559" s="7" t="str">
        <f>IF(ISBLANK(patch[[#This Row],[mergeDate]]), U2558, MID(YEAR(patch[[#This Row],[mergeDate]]), 3,2)&amp;"'m"&amp;MONTH(patch[[#This Row],[mergeDate]]))</f>
        <v>16'm9</v>
      </c>
      <c r="V2559" s="7" t="str">
        <f>IF(ISBLANK(patch[[#This Row],[project]]), "",SUM(patch[[#This Row],[BJ -1 num]:[SH -1 num]]))</f>
        <v/>
      </c>
      <c r="W2559" s="7" t="str">
        <f>IF(ISBLANK(patch[[#This Row],[project]]), "",COUNTIFS($A:$A,patch[[#This Row],[number]],$S:$S, "BJ And dev",$AC:$AC, "Review-1"))</f>
        <v/>
      </c>
      <c r="X2559" s="7" t="str">
        <f>IF(ISBLANK(patch[[#This Row],[project]]), "",COUNTIFS($A:$A,patch[[#This Row],[number]],$S:$S, "FL And dev",$AC:$AC, "Review-1"))</f>
        <v/>
      </c>
      <c r="Y2559" s="7" t="str">
        <f>IF(ISBLANK(patch[[#This Row],[project]]), "",COUNTIFS($A:$A,patch[[#This Row],[number]],$S:$S, "SH And dev",$AC:$AC, "Review-1"))</f>
        <v/>
      </c>
      <c r="Z2559" s="7" t="str">
        <f>IF(ISBLANK(patch[[#This Row],[project]]), "",COUNTIFS($A:$A,patch[[#This Row],[number]],$S:$S, "BJ And dev",$AD:$AD, "&lt;&gt;IntegratorValidationComment"))</f>
        <v/>
      </c>
      <c r="AA2559" s="7" t="str">
        <f>IF(ISBLANK(patch[[#This Row],[project]]), "",COUNTIFS($A:$A,patch[[#This Row],[number]],$S:$S, "FL And dev",$AD:$AD, "&lt;&gt;IntegratorValidationComment"))</f>
        <v/>
      </c>
      <c r="AB2559" s="7" t="str">
        <f>IF(ISBLANK(patch[[#This Row],[project]]), "",COUNTIFS($A:$A,patch[[#This Row],[number]],$S:$S, "SH And dev",$AD:$AD, "&lt;&gt;IntegratorValidationComment"))</f>
        <v/>
      </c>
      <c r="AC2559" s="7" t="str">
        <f>IF(OR(ISNUMBER(FIND("Review-1", patch[[#This Row],[comments]])), ISNUMBER(FIND("Approver-1", patch[[#This Row],[comments]]))), "Review-1", "")</f>
        <v/>
      </c>
      <c r="AD25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59" s="7">
        <f>IF(ISBLANK(patch[[#This Row],[number]]),AE2558,patch[[#This Row],[ifCommon]])</f>
        <v>0</v>
      </c>
    </row>
    <row r="2560" spans="1:31">
      <c r="A2560" s="151">
        <v>142313</v>
      </c>
      <c r="B2560" s="151"/>
      <c r="C2560" s="151"/>
      <c r="D2560" s="151"/>
      <c r="E2560" s="151"/>
      <c r="F2560" s="151"/>
      <c r="G2560" s="151"/>
      <c r="H2560" s="151"/>
      <c r="I2560" s="151"/>
      <c r="J2560" s="152">
        <v>42614.755023148151</v>
      </c>
      <c r="K2560" s="151"/>
      <c r="L2560" s="151" t="s">
        <v>32</v>
      </c>
      <c r="M2560" s="152">
        <v>42613.498263888891</v>
      </c>
      <c r="N2560" s="151" t="s">
        <v>1873</v>
      </c>
      <c r="O2560" s="151"/>
      <c r="P2560" s="151"/>
      <c r="Q2560" s="7" t="str">
        <f>IF(ISBLANK(patch[[#This Row],[OwnerEmail]]),Q2559,patch[[#This Row],[OwnerEmail]])</f>
        <v>liang.l.yang@intel.com</v>
      </c>
      <c r="R2560" s="7" t="str">
        <f>_xlfn.IFNA(VLOOKUP(patch[[#This Row],[tmp-owner.email]],OrgTree!$A:$K, 11, 0), "not ICG SWFW")</f>
        <v>BJ And dev</v>
      </c>
      <c r="S2560" s="7" t="str">
        <f>IF(patch[[#This Row],[reviewer]]=patch[[#This Row],[tmp-owner.email]], "author", _xlfn.IFNA(VLOOKUP(patch[[#This Row],[reviewer]],OrgTree!$A:$K, 11, 0), "not ICG SWFW"))</f>
        <v>BJ And dev</v>
      </c>
      <c r="T2560" s="7" t="str">
        <f>IF(ISBLANK(patch[[#This Row],[mergeDate]]), "", MID(YEAR(patch[[#This Row],[mergeDate]]), 3,2)&amp;"'ww"&amp;WEEKNUM(patch[[#This Row],[mergeDate]]))</f>
        <v>16'ww36</v>
      </c>
      <c r="U2560" s="7" t="str">
        <f>IF(ISBLANK(patch[[#This Row],[mergeDate]]), U2559, MID(YEAR(patch[[#This Row],[mergeDate]]), 3,2)&amp;"'m"&amp;MONTH(patch[[#This Row],[mergeDate]]))</f>
        <v>16'm9</v>
      </c>
      <c r="V2560" s="7" t="str">
        <f>IF(ISBLANK(patch[[#This Row],[project]]), "",SUM(patch[[#This Row],[BJ -1 num]:[SH -1 num]]))</f>
        <v/>
      </c>
      <c r="W2560" s="7" t="str">
        <f>IF(ISBLANK(patch[[#This Row],[project]]), "",COUNTIFS($A:$A,patch[[#This Row],[number]],$S:$S, "BJ And dev",$AC:$AC, "Review-1"))</f>
        <v/>
      </c>
      <c r="X2560" s="7" t="str">
        <f>IF(ISBLANK(patch[[#This Row],[project]]), "",COUNTIFS($A:$A,patch[[#This Row],[number]],$S:$S, "FL And dev",$AC:$AC, "Review-1"))</f>
        <v/>
      </c>
      <c r="Y2560" s="7" t="str">
        <f>IF(ISBLANK(patch[[#This Row],[project]]), "",COUNTIFS($A:$A,patch[[#This Row],[number]],$S:$S, "SH And dev",$AC:$AC, "Review-1"))</f>
        <v/>
      </c>
      <c r="Z2560" s="7" t="str">
        <f>IF(ISBLANK(patch[[#This Row],[project]]), "",COUNTIFS($A:$A,patch[[#This Row],[number]],$S:$S, "BJ And dev",$AD:$AD, "&lt;&gt;IntegratorValidationComment"))</f>
        <v/>
      </c>
      <c r="AA2560" s="7" t="str">
        <f>IF(ISBLANK(patch[[#This Row],[project]]), "",COUNTIFS($A:$A,patch[[#This Row],[number]],$S:$S, "FL And dev",$AD:$AD, "&lt;&gt;IntegratorValidationComment"))</f>
        <v/>
      </c>
      <c r="AB2560" s="7" t="str">
        <f>IF(ISBLANK(patch[[#This Row],[project]]), "",COUNTIFS($A:$A,patch[[#This Row],[number]],$S:$S, "SH And dev",$AD:$AD, "&lt;&gt;IntegratorValidationComment"))</f>
        <v/>
      </c>
      <c r="AC2560" s="7" t="str">
        <f>IF(OR(ISNUMBER(FIND("Review-1", patch[[#This Row],[comments]])), ISNUMBER(FIND("Approver-1", patch[[#This Row],[comments]]))), "Review-1", "")</f>
        <v/>
      </c>
      <c r="AD25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60" s="7">
        <f>IF(ISBLANK(patch[[#This Row],[number]]),AE2559,patch[[#This Row],[ifCommon]])</f>
        <v>0</v>
      </c>
    </row>
    <row r="2561" spans="1:31">
      <c r="A2561" s="151">
        <v>142313</v>
      </c>
      <c r="B2561" s="151"/>
      <c r="C2561" s="151"/>
      <c r="D2561" s="151"/>
      <c r="E2561" s="151"/>
      <c r="F2561" s="151"/>
      <c r="G2561" s="151"/>
      <c r="H2561" s="151"/>
      <c r="I2561" s="151"/>
      <c r="J2561" s="152">
        <v>42614.755023148151</v>
      </c>
      <c r="K2561" s="151"/>
      <c r="L2561" s="151" t="s">
        <v>59</v>
      </c>
      <c r="M2561" s="152">
        <v>42613.501377314817</v>
      </c>
      <c r="N2561" s="151" t="s">
        <v>3875</v>
      </c>
      <c r="O2561" s="151"/>
      <c r="P2561" s="151"/>
      <c r="Q2561" s="7" t="str">
        <f>IF(ISBLANK(patch[[#This Row],[OwnerEmail]]),Q2560,patch[[#This Row],[OwnerEmail]])</f>
        <v>liang.l.yang@intel.com</v>
      </c>
      <c r="R2561" s="7" t="str">
        <f>_xlfn.IFNA(VLOOKUP(patch[[#This Row],[tmp-owner.email]],OrgTree!$A:$K, 11, 0), "not ICG SWFW")</f>
        <v>BJ And dev</v>
      </c>
      <c r="S2561" s="7" t="str">
        <f>IF(patch[[#This Row],[reviewer]]=patch[[#This Row],[tmp-owner.email]], "author", _xlfn.IFNA(VLOOKUP(patch[[#This Row],[reviewer]],OrgTree!$A:$K, 11, 0), "not ICG SWFW"))</f>
        <v>BJ And dev</v>
      </c>
      <c r="T2561" s="7" t="str">
        <f>IF(ISBLANK(patch[[#This Row],[mergeDate]]), "", MID(YEAR(patch[[#This Row],[mergeDate]]), 3,2)&amp;"'ww"&amp;WEEKNUM(patch[[#This Row],[mergeDate]]))</f>
        <v>16'ww36</v>
      </c>
      <c r="U2561" s="7" t="str">
        <f>IF(ISBLANK(patch[[#This Row],[mergeDate]]), U2560, MID(YEAR(patch[[#This Row],[mergeDate]]), 3,2)&amp;"'m"&amp;MONTH(patch[[#This Row],[mergeDate]]))</f>
        <v>16'm9</v>
      </c>
      <c r="V2561" s="7" t="str">
        <f>IF(ISBLANK(patch[[#This Row],[project]]), "",SUM(patch[[#This Row],[BJ -1 num]:[SH -1 num]]))</f>
        <v/>
      </c>
      <c r="W2561" s="7" t="str">
        <f>IF(ISBLANK(patch[[#This Row],[project]]), "",COUNTIFS($A:$A,patch[[#This Row],[number]],$S:$S, "BJ And dev",$AC:$AC, "Review-1"))</f>
        <v/>
      </c>
      <c r="X2561" s="7" t="str">
        <f>IF(ISBLANK(patch[[#This Row],[project]]), "",COUNTIFS($A:$A,patch[[#This Row],[number]],$S:$S, "FL And dev",$AC:$AC, "Review-1"))</f>
        <v/>
      </c>
      <c r="Y2561" s="7" t="str">
        <f>IF(ISBLANK(patch[[#This Row],[project]]), "",COUNTIFS($A:$A,patch[[#This Row],[number]],$S:$S, "SH And dev",$AC:$AC, "Review-1"))</f>
        <v/>
      </c>
      <c r="Z2561" s="7" t="str">
        <f>IF(ISBLANK(patch[[#This Row],[project]]), "",COUNTIFS($A:$A,patch[[#This Row],[number]],$S:$S, "BJ And dev",$AD:$AD, "&lt;&gt;IntegratorValidationComment"))</f>
        <v/>
      </c>
      <c r="AA2561" s="7" t="str">
        <f>IF(ISBLANK(patch[[#This Row],[project]]), "",COUNTIFS($A:$A,patch[[#This Row],[number]],$S:$S, "FL And dev",$AD:$AD, "&lt;&gt;IntegratorValidationComment"))</f>
        <v/>
      </c>
      <c r="AB2561" s="7" t="str">
        <f>IF(ISBLANK(patch[[#This Row],[project]]), "",COUNTIFS($A:$A,patch[[#This Row],[number]],$S:$S, "SH And dev",$AD:$AD, "&lt;&gt;IntegratorValidationComment"))</f>
        <v/>
      </c>
      <c r="AC2561" s="7" t="str">
        <f>IF(OR(ISNUMBER(FIND("Review-1", patch[[#This Row],[comments]])), ISNUMBER(FIND("Approver-1", patch[[#This Row],[comments]]))), "Review-1", "")</f>
        <v/>
      </c>
      <c r="AD25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61" s="7">
        <f>IF(ISBLANK(patch[[#This Row],[number]]),AE2560,patch[[#This Row],[ifCommon]])</f>
        <v>0</v>
      </c>
    </row>
    <row r="2562" spans="1:31">
      <c r="A2562" s="151">
        <v>142313</v>
      </c>
      <c r="B2562" s="151"/>
      <c r="C2562" s="151"/>
      <c r="D2562" s="151"/>
      <c r="E2562" s="151"/>
      <c r="F2562" s="151"/>
      <c r="G2562" s="151"/>
      <c r="H2562" s="151"/>
      <c r="I2562" s="151"/>
      <c r="J2562" s="152">
        <v>42614.755023148151</v>
      </c>
      <c r="K2562" s="151"/>
      <c r="L2562" s="151" t="s">
        <v>59</v>
      </c>
      <c r="M2562" s="152">
        <v>42613.50408564815</v>
      </c>
      <c r="N2562" s="151" t="s">
        <v>3876</v>
      </c>
      <c r="O2562" s="151"/>
      <c r="P2562" s="151"/>
      <c r="Q2562" s="7" t="str">
        <f>IF(ISBLANK(patch[[#This Row],[OwnerEmail]]),Q2561,patch[[#This Row],[OwnerEmail]])</f>
        <v>liang.l.yang@intel.com</v>
      </c>
      <c r="R2562" s="7" t="str">
        <f>_xlfn.IFNA(VLOOKUP(patch[[#This Row],[tmp-owner.email]],OrgTree!$A:$K, 11, 0), "not ICG SWFW")</f>
        <v>BJ And dev</v>
      </c>
      <c r="S2562" s="7" t="str">
        <f>IF(patch[[#This Row],[reviewer]]=patch[[#This Row],[tmp-owner.email]], "author", _xlfn.IFNA(VLOOKUP(patch[[#This Row],[reviewer]],OrgTree!$A:$K, 11, 0), "not ICG SWFW"))</f>
        <v>BJ And dev</v>
      </c>
      <c r="T2562" s="7" t="str">
        <f>IF(ISBLANK(patch[[#This Row],[mergeDate]]), "", MID(YEAR(patch[[#This Row],[mergeDate]]), 3,2)&amp;"'ww"&amp;WEEKNUM(patch[[#This Row],[mergeDate]]))</f>
        <v>16'ww36</v>
      </c>
      <c r="U2562" s="7" t="str">
        <f>IF(ISBLANK(patch[[#This Row],[mergeDate]]), U2561, MID(YEAR(patch[[#This Row],[mergeDate]]), 3,2)&amp;"'m"&amp;MONTH(patch[[#This Row],[mergeDate]]))</f>
        <v>16'm9</v>
      </c>
      <c r="V2562" s="7" t="str">
        <f>IF(ISBLANK(patch[[#This Row],[project]]), "",SUM(patch[[#This Row],[BJ -1 num]:[SH -1 num]]))</f>
        <v/>
      </c>
      <c r="W2562" s="7" t="str">
        <f>IF(ISBLANK(patch[[#This Row],[project]]), "",COUNTIFS($A:$A,patch[[#This Row],[number]],$S:$S, "BJ And dev",$AC:$AC, "Review-1"))</f>
        <v/>
      </c>
      <c r="X2562" s="7" t="str">
        <f>IF(ISBLANK(patch[[#This Row],[project]]), "",COUNTIFS($A:$A,patch[[#This Row],[number]],$S:$S, "FL And dev",$AC:$AC, "Review-1"))</f>
        <v/>
      </c>
      <c r="Y2562" s="7" t="str">
        <f>IF(ISBLANK(patch[[#This Row],[project]]), "",COUNTIFS($A:$A,patch[[#This Row],[number]],$S:$S, "SH And dev",$AC:$AC, "Review-1"))</f>
        <v/>
      </c>
      <c r="Z2562" s="7" t="str">
        <f>IF(ISBLANK(patch[[#This Row],[project]]), "",COUNTIFS($A:$A,patch[[#This Row],[number]],$S:$S, "BJ And dev",$AD:$AD, "&lt;&gt;IntegratorValidationComment"))</f>
        <v/>
      </c>
      <c r="AA2562" s="7" t="str">
        <f>IF(ISBLANK(patch[[#This Row],[project]]), "",COUNTIFS($A:$A,patch[[#This Row],[number]],$S:$S, "FL And dev",$AD:$AD, "&lt;&gt;IntegratorValidationComment"))</f>
        <v/>
      </c>
      <c r="AB2562" s="7" t="str">
        <f>IF(ISBLANK(patch[[#This Row],[project]]), "",COUNTIFS($A:$A,patch[[#This Row],[number]],$S:$S, "SH And dev",$AD:$AD, "&lt;&gt;IntegratorValidationComment"))</f>
        <v/>
      </c>
      <c r="AC2562" s="7" t="str">
        <f>IF(OR(ISNUMBER(FIND("Review-1", patch[[#This Row],[comments]])), ISNUMBER(FIND("Approver-1", patch[[#This Row],[comments]]))), "Review-1", "")</f>
        <v/>
      </c>
      <c r="AD25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62" s="7">
        <f>IF(ISBLANK(patch[[#This Row],[number]]),AE2561,patch[[#This Row],[ifCommon]])</f>
        <v>0</v>
      </c>
    </row>
    <row r="2563" spans="1:31">
      <c r="A2563" s="151">
        <v>142313</v>
      </c>
      <c r="B2563" s="151"/>
      <c r="C2563" s="151"/>
      <c r="D2563" s="151"/>
      <c r="E2563" s="151"/>
      <c r="F2563" s="151"/>
      <c r="G2563" s="151"/>
      <c r="H2563" s="151"/>
      <c r="I2563" s="151"/>
      <c r="J2563" s="152">
        <v>42614.755023148151</v>
      </c>
      <c r="K2563" s="151"/>
      <c r="L2563" s="151" t="s">
        <v>59</v>
      </c>
      <c r="M2563" s="152">
        <v>42613.756018518521</v>
      </c>
      <c r="N2563" s="151" t="s">
        <v>3877</v>
      </c>
      <c r="O2563" s="151"/>
      <c r="P2563" s="151"/>
      <c r="Q2563" s="7" t="str">
        <f>IF(ISBLANK(patch[[#This Row],[OwnerEmail]]),Q2562,patch[[#This Row],[OwnerEmail]])</f>
        <v>liang.l.yang@intel.com</v>
      </c>
      <c r="R2563" s="7" t="str">
        <f>_xlfn.IFNA(VLOOKUP(patch[[#This Row],[tmp-owner.email]],OrgTree!$A:$K, 11, 0), "not ICG SWFW")</f>
        <v>BJ And dev</v>
      </c>
      <c r="S2563" s="7" t="str">
        <f>IF(patch[[#This Row],[reviewer]]=patch[[#This Row],[tmp-owner.email]], "author", _xlfn.IFNA(VLOOKUP(patch[[#This Row],[reviewer]],OrgTree!$A:$K, 11, 0), "not ICG SWFW"))</f>
        <v>BJ And dev</v>
      </c>
      <c r="T2563" s="7" t="str">
        <f>IF(ISBLANK(patch[[#This Row],[mergeDate]]), "", MID(YEAR(patch[[#This Row],[mergeDate]]), 3,2)&amp;"'ww"&amp;WEEKNUM(patch[[#This Row],[mergeDate]]))</f>
        <v>16'ww36</v>
      </c>
      <c r="U2563" s="7" t="str">
        <f>IF(ISBLANK(patch[[#This Row],[mergeDate]]), U2562, MID(YEAR(patch[[#This Row],[mergeDate]]), 3,2)&amp;"'m"&amp;MONTH(patch[[#This Row],[mergeDate]]))</f>
        <v>16'm9</v>
      </c>
      <c r="V2563" s="7" t="str">
        <f>IF(ISBLANK(patch[[#This Row],[project]]), "",SUM(patch[[#This Row],[BJ -1 num]:[SH -1 num]]))</f>
        <v/>
      </c>
      <c r="W2563" s="7" t="str">
        <f>IF(ISBLANK(patch[[#This Row],[project]]), "",COUNTIFS($A:$A,patch[[#This Row],[number]],$S:$S, "BJ And dev",$AC:$AC, "Review-1"))</f>
        <v/>
      </c>
      <c r="X2563" s="7" t="str">
        <f>IF(ISBLANK(patch[[#This Row],[project]]), "",COUNTIFS($A:$A,patch[[#This Row],[number]],$S:$S, "FL And dev",$AC:$AC, "Review-1"))</f>
        <v/>
      </c>
      <c r="Y2563" s="7" t="str">
        <f>IF(ISBLANK(patch[[#This Row],[project]]), "",COUNTIFS($A:$A,patch[[#This Row],[number]],$S:$S, "SH And dev",$AC:$AC, "Review-1"))</f>
        <v/>
      </c>
      <c r="Z2563" s="7" t="str">
        <f>IF(ISBLANK(patch[[#This Row],[project]]), "",COUNTIFS($A:$A,patch[[#This Row],[number]],$S:$S, "BJ And dev",$AD:$AD, "&lt;&gt;IntegratorValidationComment"))</f>
        <v/>
      </c>
      <c r="AA2563" s="7" t="str">
        <f>IF(ISBLANK(patch[[#This Row],[project]]), "",COUNTIFS($A:$A,patch[[#This Row],[number]],$S:$S, "FL And dev",$AD:$AD, "&lt;&gt;IntegratorValidationComment"))</f>
        <v/>
      </c>
      <c r="AB2563" s="7" t="str">
        <f>IF(ISBLANK(patch[[#This Row],[project]]), "",COUNTIFS($A:$A,patch[[#This Row],[number]],$S:$S, "SH And dev",$AD:$AD, "&lt;&gt;IntegratorValidationComment"))</f>
        <v/>
      </c>
      <c r="AC2563" s="7" t="str">
        <f>IF(OR(ISNUMBER(FIND("Review-1", patch[[#This Row],[comments]])), ISNUMBER(FIND("Approver-1", patch[[#This Row],[comments]]))), "Review-1", "")</f>
        <v/>
      </c>
      <c r="AD25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63" s="7">
        <f>IF(ISBLANK(patch[[#This Row],[number]]),AE2562,patch[[#This Row],[ifCommon]])</f>
        <v>0</v>
      </c>
    </row>
    <row r="2564" spans="1:31">
      <c r="A2564" s="151">
        <v>142313</v>
      </c>
      <c r="B2564" s="151"/>
      <c r="C2564" s="151"/>
      <c r="D2564" s="151"/>
      <c r="E2564" s="151"/>
      <c r="F2564" s="151"/>
      <c r="G2564" s="151"/>
      <c r="H2564" s="151"/>
      <c r="I2564" s="152"/>
      <c r="J2564" s="152">
        <v>42614.755023148151</v>
      </c>
      <c r="K2564" s="151"/>
      <c r="L2564" s="151" t="s">
        <v>115</v>
      </c>
      <c r="M2564" s="152">
        <v>42614.41883101852</v>
      </c>
      <c r="N2564" s="151" t="s">
        <v>2495</v>
      </c>
      <c r="O2564" s="151"/>
      <c r="P2564" s="151"/>
      <c r="Q2564" s="7" t="str">
        <f>IF(ISBLANK(patch[[#This Row],[OwnerEmail]]),Q2563,patch[[#This Row],[OwnerEmail]])</f>
        <v>liang.l.yang@intel.com</v>
      </c>
      <c r="R2564" s="7" t="str">
        <f>_xlfn.IFNA(VLOOKUP(patch[[#This Row],[tmp-owner.email]],OrgTree!$A:$K, 11, 0), "not ICG SWFW")</f>
        <v>BJ And dev</v>
      </c>
      <c r="S2564" s="7" t="str">
        <f>IF(patch[[#This Row],[reviewer]]=patch[[#This Row],[tmp-owner.email]], "author", _xlfn.IFNA(VLOOKUP(patch[[#This Row],[reviewer]],OrgTree!$A:$K, 11, 0), "not ICG SWFW"))</f>
        <v>Val</v>
      </c>
      <c r="T2564" s="7" t="str">
        <f>IF(ISBLANK(patch[[#This Row],[mergeDate]]), "", MID(YEAR(patch[[#This Row],[mergeDate]]), 3,2)&amp;"'ww"&amp;WEEKNUM(patch[[#This Row],[mergeDate]]))</f>
        <v>16'ww36</v>
      </c>
      <c r="U2564" s="7" t="str">
        <f>IF(ISBLANK(patch[[#This Row],[mergeDate]]), U2563, MID(YEAR(patch[[#This Row],[mergeDate]]), 3,2)&amp;"'m"&amp;MONTH(patch[[#This Row],[mergeDate]]))</f>
        <v>16'm9</v>
      </c>
      <c r="V2564" s="7" t="str">
        <f>IF(ISBLANK(patch[[#This Row],[project]]), "",SUM(patch[[#This Row],[BJ -1 num]:[SH -1 num]]))</f>
        <v/>
      </c>
      <c r="W2564" s="7" t="str">
        <f>IF(ISBLANK(patch[[#This Row],[project]]), "",COUNTIFS($A:$A,patch[[#This Row],[number]],$S:$S, "BJ And dev",$AC:$AC, "Review-1"))</f>
        <v/>
      </c>
      <c r="X2564" s="7" t="str">
        <f>IF(ISBLANK(patch[[#This Row],[project]]), "",COUNTIFS($A:$A,patch[[#This Row],[number]],$S:$S, "FL And dev",$AC:$AC, "Review-1"))</f>
        <v/>
      </c>
      <c r="Y2564" s="7" t="str">
        <f>IF(ISBLANK(patch[[#This Row],[project]]), "",COUNTIFS($A:$A,patch[[#This Row],[number]],$S:$S, "SH And dev",$AC:$AC, "Review-1"))</f>
        <v/>
      </c>
      <c r="Z2564" s="7" t="str">
        <f>IF(ISBLANK(patch[[#This Row],[project]]), "",COUNTIFS($A:$A,patch[[#This Row],[number]],$S:$S, "BJ And dev",$AD:$AD, "&lt;&gt;IntegratorValidationComment"))</f>
        <v/>
      </c>
      <c r="AA2564" s="7" t="str">
        <f>IF(ISBLANK(patch[[#This Row],[project]]), "",COUNTIFS($A:$A,patch[[#This Row],[number]],$S:$S, "FL And dev",$AD:$AD, "&lt;&gt;IntegratorValidationComment"))</f>
        <v/>
      </c>
      <c r="AB2564" s="7" t="str">
        <f>IF(ISBLANK(patch[[#This Row],[project]]), "",COUNTIFS($A:$A,patch[[#This Row],[number]],$S:$S, "SH And dev",$AD:$AD, "&lt;&gt;IntegratorValidationComment"))</f>
        <v/>
      </c>
      <c r="AC2564" s="7" t="str">
        <f>IF(OR(ISNUMBER(FIND("Review-1", patch[[#This Row],[comments]])), ISNUMBER(FIND("Approver-1", patch[[#This Row],[comments]]))), "Review-1", "")</f>
        <v/>
      </c>
      <c r="AD25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564" s="7">
        <f>IF(ISBLANK(patch[[#This Row],[number]]),AE2563,patch[[#This Row],[ifCommon]])</f>
        <v>0</v>
      </c>
    </row>
    <row r="2565" spans="1:31">
      <c r="A2565" s="151">
        <v>142313</v>
      </c>
      <c r="B2565" s="151"/>
      <c r="C2565" s="151"/>
      <c r="D2565" s="151"/>
      <c r="E2565" s="151"/>
      <c r="F2565" s="151"/>
      <c r="G2565" s="151"/>
      <c r="H2565" s="151"/>
      <c r="I2565" s="151"/>
      <c r="J2565" s="152">
        <v>42614.755023148151</v>
      </c>
      <c r="K2565" s="151"/>
      <c r="L2565" s="151" t="s">
        <v>115</v>
      </c>
      <c r="M2565" s="152">
        <v>42614.440312500003</v>
      </c>
      <c r="N2565" s="151" t="s">
        <v>2987</v>
      </c>
      <c r="O2565" s="151"/>
      <c r="P2565" s="151"/>
      <c r="Q2565" s="7" t="str">
        <f>IF(ISBLANK(patch[[#This Row],[OwnerEmail]]),Q2564,patch[[#This Row],[OwnerEmail]])</f>
        <v>liang.l.yang@intel.com</v>
      </c>
      <c r="R2565" s="7" t="str">
        <f>_xlfn.IFNA(VLOOKUP(patch[[#This Row],[tmp-owner.email]],OrgTree!$A:$K, 11, 0), "not ICG SWFW")</f>
        <v>BJ And dev</v>
      </c>
      <c r="S2565" s="7" t="str">
        <f>IF(patch[[#This Row],[reviewer]]=patch[[#This Row],[tmp-owner.email]], "author", _xlfn.IFNA(VLOOKUP(patch[[#This Row],[reviewer]],OrgTree!$A:$K, 11, 0), "not ICG SWFW"))</f>
        <v>Val</v>
      </c>
      <c r="T2565" s="7" t="str">
        <f>IF(ISBLANK(patch[[#This Row],[mergeDate]]), "", MID(YEAR(patch[[#This Row],[mergeDate]]), 3,2)&amp;"'ww"&amp;WEEKNUM(patch[[#This Row],[mergeDate]]))</f>
        <v>16'ww36</v>
      </c>
      <c r="U2565" s="7" t="str">
        <f>IF(ISBLANK(patch[[#This Row],[mergeDate]]), U2564, MID(YEAR(patch[[#This Row],[mergeDate]]), 3,2)&amp;"'m"&amp;MONTH(patch[[#This Row],[mergeDate]]))</f>
        <v>16'm9</v>
      </c>
      <c r="V2565" s="7" t="str">
        <f>IF(ISBLANK(patch[[#This Row],[project]]), "",SUM(patch[[#This Row],[BJ -1 num]:[SH -1 num]]))</f>
        <v/>
      </c>
      <c r="W2565" s="7" t="str">
        <f>IF(ISBLANK(patch[[#This Row],[project]]), "",COUNTIFS($A:$A,patch[[#This Row],[number]],$S:$S, "BJ And dev",$AC:$AC, "Review-1"))</f>
        <v/>
      </c>
      <c r="X2565" s="7" t="str">
        <f>IF(ISBLANK(patch[[#This Row],[project]]), "",COUNTIFS($A:$A,patch[[#This Row],[number]],$S:$S, "FL And dev",$AC:$AC, "Review-1"))</f>
        <v/>
      </c>
      <c r="Y2565" s="7" t="str">
        <f>IF(ISBLANK(patch[[#This Row],[project]]), "",COUNTIFS($A:$A,patch[[#This Row],[number]],$S:$S, "SH And dev",$AC:$AC, "Review-1"))</f>
        <v/>
      </c>
      <c r="Z2565" s="7" t="str">
        <f>IF(ISBLANK(patch[[#This Row],[project]]), "",COUNTIFS($A:$A,patch[[#This Row],[number]],$S:$S, "BJ And dev",$AD:$AD, "&lt;&gt;IntegratorValidationComment"))</f>
        <v/>
      </c>
      <c r="AA2565" s="7" t="str">
        <f>IF(ISBLANK(patch[[#This Row],[project]]), "",COUNTIFS($A:$A,patch[[#This Row],[number]],$S:$S, "FL And dev",$AD:$AD, "&lt;&gt;IntegratorValidationComment"))</f>
        <v/>
      </c>
      <c r="AB2565" s="7" t="str">
        <f>IF(ISBLANK(patch[[#This Row],[project]]), "",COUNTIFS($A:$A,patch[[#This Row],[number]],$S:$S, "SH And dev",$AD:$AD, "&lt;&gt;IntegratorValidationComment"))</f>
        <v/>
      </c>
      <c r="AC2565" s="7" t="str">
        <f>IF(OR(ISNUMBER(FIND("Review-1", patch[[#This Row],[comments]])), ISNUMBER(FIND("Approver-1", patch[[#This Row],[comments]]))), "Review-1", "")</f>
        <v/>
      </c>
      <c r="AD25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565" s="7">
        <f>IF(ISBLANK(patch[[#This Row],[number]]),AE2564,patch[[#This Row],[ifCommon]])</f>
        <v>0</v>
      </c>
    </row>
    <row r="2566" spans="1:31">
      <c r="A2566" s="151">
        <v>142313</v>
      </c>
      <c r="B2566" s="151"/>
      <c r="C2566" s="151"/>
      <c r="D2566" s="151"/>
      <c r="E2566" s="151"/>
      <c r="F2566" s="151"/>
      <c r="G2566" s="151"/>
      <c r="H2566" s="151"/>
      <c r="I2566" s="152"/>
      <c r="J2566" s="152">
        <v>42614.755023148151</v>
      </c>
      <c r="K2566" s="151"/>
      <c r="L2566" s="151" t="s">
        <v>55</v>
      </c>
      <c r="M2566" s="152">
        <v>42614.441122685188</v>
      </c>
      <c r="N2566" s="151" t="s">
        <v>2450</v>
      </c>
      <c r="O2566" s="151"/>
      <c r="P2566" s="151"/>
      <c r="Q2566" s="7" t="str">
        <f>IF(ISBLANK(patch[[#This Row],[OwnerEmail]]),Q2565,patch[[#This Row],[OwnerEmail]])</f>
        <v>liang.l.yang@intel.com</v>
      </c>
      <c r="R2566" s="7" t="str">
        <f>_xlfn.IFNA(VLOOKUP(patch[[#This Row],[tmp-owner.email]],OrgTree!$A:$K, 11, 0), "not ICG SWFW")</f>
        <v>BJ And dev</v>
      </c>
      <c r="S2566" s="7" t="str">
        <f>IF(patch[[#This Row],[reviewer]]=patch[[#This Row],[tmp-owner.email]], "author", _xlfn.IFNA(VLOOKUP(patch[[#This Row],[reviewer]],OrgTree!$A:$K, 11, 0), "not ICG SWFW"))</f>
        <v>author</v>
      </c>
      <c r="T2566" s="7" t="str">
        <f>IF(ISBLANK(patch[[#This Row],[mergeDate]]), "", MID(YEAR(patch[[#This Row],[mergeDate]]), 3,2)&amp;"'ww"&amp;WEEKNUM(patch[[#This Row],[mergeDate]]))</f>
        <v>16'ww36</v>
      </c>
      <c r="U2566" s="7" t="str">
        <f>IF(ISBLANK(patch[[#This Row],[mergeDate]]), U2565, MID(YEAR(patch[[#This Row],[mergeDate]]), 3,2)&amp;"'m"&amp;MONTH(patch[[#This Row],[mergeDate]]))</f>
        <v>16'm9</v>
      </c>
      <c r="V2566" s="7" t="str">
        <f>IF(ISBLANK(patch[[#This Row],[project]]), "",SUM(patch[[#This Row],[BJ -1 num]:[SH -1 num]]))</f>
        <v/>
      </c>
      <c r="W2566" s="7" t="str">
        <f>IF(ISBLANK(patch[[#This Row],[project]]), "",COUNTIFS($A:$A,patch[[#This Row],[number]],$S:$S, "BJ And dev",$AC:$AC, "Review-1"))</f>
        <v/>
      </c>
      <c r="X2566" s="7" t="str">
        <f>IF(ISBLANK(patch[[#This Row],[project]]), "",COUNTIFS($A:$A,patch[[#This Row],[number]],$S:$S, "FL And dev",$AC:$AC, "Review-1"))</f>
        <v/>
      </c>
      <c r="Y2566" s="7" t="str">
        <f>IF(ISBLANK(patch[[#This Row],[project]]), "",COUNTIFS($A:$A,patch[[#This Row],[number]],$S:$S, "SH And dev",$AC:$AC, "Review-1"))</f>
        <v/>
      </c>
      <c r="Z2566" s="7" t="str">
        <f>IF(ISBLANK(patch[[#This Row],[project]]), "",COUNTIFS($A:$A,patch[[#This Row],[number]],$S:$S, "BJ And dev",$AD:$AD, "&lt;&gt;IntegratorValidationComment"))</f>
        <v/>
      </c>
      <c r="AA2566" s="7" t="str">
        <f>IF(ISBLANK(patch[[#This Row],[project]]), "",COUNTIFS($A:$A,patch[[#This Row],[number]],$S:$S, "FL And dev",$AD:$AD, "&lt;&gt;IntegratorValidationComment"))</f>
        <v/>
      </c>
      <c r="AB2566" s="7" t="str">
        <f>IF(ISBLANK(patch[[#This Row],[project]]), "",COUNTIFS($A:$A,patch[[#This Row],[number]],$S:$S, "SH And dev",$AD:$AD, "&lt;&gt;IntegratorValidationComment"))</f>
        <v/>
      </c>
      <c r="AC2566" s="7" t="str">
        <f>IF(OR(ISNUMBER(FIND("Review-1", patch[[#This Row],[comments]])), ISNUMBER(FIND("Approver-1", patch[[#This Row],[comments]]))), "Review-1", "")</f>
        <v/>
      </c>
      <c r="AD25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66" s="7">
        <f>IF(ISBLANK(patch[[#This Row],[number]]),AE2565,patch[[#This Row],[ifCommon]])</f>
        <v>0</v>
      </c>
    </row>
    <row r="2567" spans="1:31">
      <c r="A2567" s="151">
        <v>142313</v>
      </c>
      <c r="B2567" s="151"/>
      <c r="C2567" s="151"/>
      <c r="D2567" s="151"/>
      <c r="E2567" s="151"/>
      <c r="F2567" s="151"/>
      <c r="G2567" s="151"/>
      <c r="H2567" s="151"/>
      <c r="I2567" s="151"/>
      <c r="J2567" s="152">
        <v>42614.755023148151</v>
      </c>
      <c r="K2567" s="151"/>
      <c r="L2567" s="151" t="s">
        <v>55</v>
      </c>
      <c r="M2567" s="152">
        <v>42614.441122685188</v>
      </c>
      <c r="N2567" s="151" t="s">
        <v>2704</v>
      </c>
      <c r="O2567" s="151"/>
      <c r="P2567" s="151"/>
      <c r="Q2567" s="7" t="str">
        <f>IF(ISBLANK(patch[[#This Row],[OwnerEmail]]),Q2566,patch[[#This Row],[OwnerEmail]])</f>
        <v>liang.l.yang@intel.com</v>
      </c>
      <c r="R2567" s="7" t="str">
        <f>_xlfn.IFNA(VLOOKUP(patch[[#This Row],[tmp-owner.email]],OrgTree!$A:$K, 11, 0), "not ICG SWFW")</f>
        <v>BJ And dev</v>
      </c>
      <c r="S2567" s="7" t="str">
        <f>IF(patch[[#This Row],[reviewer]]=patch[[#This Row],[tmp-owner.email]], "author", _xlfn.IFNA(VLOOKUP(patch[[#This Row],[reviewer]],OrgTree!$A:$K, 11, 0), "not ICG SWFW"))</f>
        <v>author</v>
      </c>
      <c r="T2567" s="7" t="str">
        <f>IF(ISBLANK(patch[[#This Row],[mergeDate]]), "", MID(YEAR(patch[[#This Row],[mergeDate]]), 3,2)&amp;"'ww"&amp;WEEKNUM(patch[[#This Row],[mergeDate]]))</f>
        <v>16'ww36</v>
      </c>
      <c r="U2567" s="7" t="str">
        <f>IF(ISBLANK(patch[[#This Row],[mergeDate]]), U2566, MID(YEAR(patch[[#This Row],[mergeDate]]), 3,2)&amp;"'m"&amp;MONTH(patch[[#This Row],[mergeDate]]))</f>
        <v>16'm9</v>
      </c>
      <c r="V2567" s="7" t="str">
        <f>IF(ISBLANK(patch[[#This Row],[project]]), "",SUM(patch[[#This Row],[BJ -1 num]:[SH -1 num]]))</f>
        <v/>
      </c>
      <c r="W2567" s="7" t="str">
        <f>IF(ISBLANK(patch[[#This Row],[project]]), "",COUNTIFS($A:$A,patch[[#This Row],[number]],$S:$S, "BJ And dev",$AC:$AC, "Review-1"))</f>
        <v/>
      </c>
      <c r="X2567" s="7" t="str">
        <f>IF(ISBLANK(patch[[#This Row],[project]]), "",COUNTIFS($A:$A,patch[[#This Row],[number]],$S:$S, "FL And dev",$AC:$AC, "Review-1"))</f>
        <v/>
      </c>
      <c r="Y2567" s="7" t="str">
        <f>IF(ISBLANK(patch[[#This Row],[project]]), "",COUNTIFS($A:$A,patch[[#This Row],[number]],$S:$S, "SH And dev",$AC:$AC, "Review-1"))</f>
        <v/>
      </c>
      <c r="Z2567" s="7" t="str">
        <f>IF(ISBLANK(patch[[#This Row],[project]]), "",COUNTIFS($A:$A,patch[[#This Row],[number]],$S:$S, "BJ And dev",$AD:$AD, "&lt;&gt;IntegratorValidationComment"))</f>
        <v/>
      </c>
      <c r="AA2567" s="7" t="str">
        <f>IF(ISBLANK(patch[[#This Row],[project]]), "",COUNTIFS($A:$A,patch[[#This Row],[number]],$S:$S, "FL And dev",$AD:$AD, "&lt;&gt;IntegratorValidationComment"))</f>
        <v/>
      </c>
      <c r="AB2567" s="7" t="str">
        <f>IF(ISBLANK(patch[[#This Row],[project]]), "",COUNTIFS($A:$A,patch[[#This Row],[number]],$S:$S, "SH And dev",$AD:$AD, "&lt;&gt;IntegratorValidationComment"))</f>
        <v/>
      </c>
      <c r="AC2567" s="7" t="str">
        <f>IF(OR(ISNUMBER(FIND("Review-1", patch[[#This Row],[comments]])), ISNUMBER(FIND("Approver-1", patch[[#This Row],[comments]]))), "Review-1", "")</f>
        <v/>
      </c>
      <c r="AD25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67" s="7">
        <f>IF(ISBLANK(patch[[#This Row],[number]]),AE2566,patch[[#This Row],[ifCommon]])</f>
        <v>0</v>
      </c>
    </row>
    <row r="2568" spans="1:31">
      <c r="A2568" s="151">
        <v>142313</v>
      </c>
      <c r="B2568" s="151"/>
      <c r="C2568" s="151"/>
      <c r="D2568" s="151"/>
      <c r="E2568" s="151"/>
      <c r="F2568" s="151"/>
      <c r="G2568" s="151"/>
      <c r="H2568" s="151"/>
      <c r="I2568" s="151"/>
      <c r="J2568" s="152">
        <v>42614.755023148151</v>
      </c>
      <c r="K2568" s="151"/>
      <c r="L2568" s="151" t="s">
        <v>115</v>
      </c>
      <c r="M2568" s="152">
        <v>42614.444386574083</v>
      </c>
      <c r="N2568" s="151" t="s">
        <v>2497</v>
      </c>
      <c r="O2568" s="151"/>
      <c r="P2568" s="151"/>
      <c r="Q2568" s="7" t="str">
        <f>IF(ISBLANK(patch[[#This Row],[OwnerEmail]]),Q2567,patch[[#This Row],[OwnerEmail]])</f>
        <v>liang.l.yang@intel.com</v>
      </c>
      <c r="R2568" s="7" t="str">
        <f>_xlfn.IFNA(VLOOKUP(patch[[#This Row],[tmp-owner.email]],OrgTree!$A:$K, 11, 0), "not ICG SWFW")</f>
        <v>BJ And dev</v>
      </c>
      <c r="S2568" s="7" t="str">
        <f>IF(patch[[#This Row],[reviewer]]=patch[[#This Row],[tmp-owner.email]], "author", _xlfn.IFNA(VLOOKUP(patch[[#This Row],[reviewer]],OrgTree!$A:$K, 11, 0), "not ICG SWFW"))</f>
        <v>Val</v>
      </c>
      <c r="T2568" s="7" t="str">
        <f>IF(ISBLANK(patch[[#This Row],[mergeDate]]), "", MID(YEAR(patch[[#This Row],[mergeDate]]), 3,2)&amp;"'ww"&amp;WEEKNUM(patch[[#This Row],[mergeDate]]))</f>
        <v>16'ww36</v>
      </c>
      <c r="U2568" s="7" t="str">
        <f>IF(ISBLANK(patch[[#This Row],[mergeDate]]), U2567, MID(YEAR(patch[[#This Row],[mergeDate]]), 3,2)&amp;"'m"&amp;MONTH(patch[[#This Row],[mergeDate]]))</f>
        <v>16'm9</v>
      </c>
      <c r="V2568" s="7" t="str">
        <f>IF(ISBLANK(patch[[#This Row],[project]]), "",SUM(patch[[#This Row],[BJ -1 num]:[SH -1 num]]))</f>
        <v/>
      </c>
      <c r="W2568" s="7" t="str">
        <f>IF(ISBLANK(patch[[#This Row],[project]]), "",COUNTIFS($A:$A,patch[[#This Row],[number]],$S:$S, "BJ And dev",$AC:$AC, "Review-1"))</f>
        <v/>
      </c>
      <c r="X2568" s="7" t="str">
        <f>IF(ISBLANK(patch[[#This Row],[project]]), "",COUNTIFS($A:$A,patch[[#This Row],[number]],$S:$S, "FL And dev",$AC:$AC, "Review-1"))</f>
        <v/>
      </c>
      <c r="Y2568" s="7" t="str">
        <f>IF(ISBLANK(patch[[#This Row],[project]]), "",COUNTIFS($A:$A,patch[[#This Row],[number]],$S:$S, "SH And dev",$AC:$AC, "Review-1"))</f>
        <v/>
      </c>
      <c r="Z2568" s="7" t="str">
        <f>IF(ISBLANK(patch[[#This Row],[project]]), "",COUNTIFS($A:$A,patch[[#This Row],[number]],$S:$S, "BJ And dev",$AD:$AD, "&lt;&gt;IntegratorValidationComment"))</f>
        <v/>
      </c>
      <c r="AA2568" s="7" t="str">
        <f>IF(ISBLANK(patch[[#This Row],[project]]), "",COUNTIFS($A:$A,patch[[#This Row],[number]],$S:$S, "FL And dev",$AD:$AD, "&lt;&gt;IntegratorValidationComment"))</f>
        <v/>
      </c>
      <c r="AB2568" s="7" t="str">
        <f>IF(ISBLANK(patch[[#This Row],[project]]), "",COUNTIFS($A:$A,patch[[#This Row],[number]],$S:$S, "SH And dev",$AD:$AD, "&lt;&gt;IntegratorValidationComment"))</f>
        <v/>
      </c>
      <c r="AC2568" s="7" t="str">
        <f>IF(OR(ISNUMBER(FIND("Review-1", patch[[#This Row],[comments]])), ISNUMBER(FIND("Approver-1", patch[[#This Row],[comments]]))), "Review-1", "")</f>
        <v/>
      </c>
      <c r="AD25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568" s="7">
        <f>IF(ISBLANK(patch[[#This Row],[number]]),AE2567,patch[[#This Row],[ifCommon]])</f>
        <v>0</v>
      </c>
    </row>
    <row r="2569" spans="1:31">
      <c r="A2569" s="151">
        <v>142313</v>
      </c>
      <c r="B2569" s="151"/>
      <c r="C2569" s="151"/>
      <c r="D2569" s="151"/>
      <c r="E2569" s="151"/>
      <c r="F2569" s="151"/>
      <c r="G2569" s="151"/>
      <c r="H2569" s="151"/>
      <c r="I2569" s="151"/>
      <c r="J2569" s="152">
        <v>42614.755023148151</v>
      </c>
      <c r="K2569" s="151"/>
      <c r="L2569" s="151" t="s">
        <v>59</v>
      </c>
      <c r="M2569" s="152">
        <v>42614.447060185194</v>
      </c>
      <c r="N2569" s="151" t="s">
        <v>3878</v>
      </c>
      <c r="O2569" s="151"/>
      <c r="P2569" s="151"/>
      <c r="Q2569" s="7" t="str">
        <f>IF(ISBLANK(patch[[#This Row],[OwnerEmail]]),Q2568,patch[[#This Row],[OwnerEmail]])</f>
        <v>liang.l.yang@intel.com</v>
      </c>
      <c r="R2569" s="7" t="str">
        <f>_xlfn.IFNA(VLOOKUP(patch[[#This Row],[tmp-owner.email]],OrgTree!$A:$K, 11, 0), "not ICG SWFW")</f>
        <v>BJ And dev</v>
      </c>
      <c r="S2569" s="7" t="str">
        <f>IF(patch[[#This Row],[reviewer]]=patch[[#This Row],[tmp-owner.email]], "author", _xlfn.IFNA(VLOOKUP(patch[[#This Row],[reviewer]],OrgTree!$A:$K, 11, 0), "not ICG SWFW"))</f>
        <v>BJ And dev</v>
      </c>
      <c r="T2569" s="7" t="str">
        <f>IF(ISBLANK(patch[[#This Row],[mergeDate]]), "", MID(YEAR(patch[[#This Row],[mergeDate]]), 3,2)&amp;"'ww"&amp;WEEKNUM(patch[[#This Row],[mergeDate]]))</f>
        <v>16'ww36</v>
      </c>
      <c r="U2569" s="7" t="str">
        <f>IF(ISBLANK(patch[[#This Row],[mergeDate]]), U2568, MID(YEAR(patch[[#This Row],[mergeDate]]), 3,2)&amp;"'m"&amp;MONTH(patch[[#This Row],[mergeDate]]))</f>
        <v>16'm9</v>
      </c>
      <c r="V2569" s="7" t="str">
        <f>IF(ISBLANK(patch[[#This Row],[project]]), "",SUM(patch[[#This Row],[BJ -1 num]:[SH -1 num]]))</f>
        <v/>
      </c>
      <c r="W2569" s="7" t="str">
        <f>IF(ISBLANK(patch[[#This Row],[project]]), "",COUNTIFS($A:$A,patch[[#This Row],[number]],$S:$S, "BJ And dev",$AC:$AC, "Review-1"))</f>
        <v/>
      </c>
      <c r="X2569" s="7" t="str">
        <f>IF(ISBLANK(patch[[#This Row],[project]]), "",COUNTIFS($A:$A,patch[[#This Row],[number]],$S:$S, "FL And dev",$AC:$AC, "Review-1"))</f>
        <v/>
      </c>
      <c r="Y2569" s="7" t="str">
        <f>IF(ISBLANK(patch[[#This Row],[project]]), "",COUNTIFS($A:$A,patch[[#This Row],[number]],$S:$S, "SH And dev",$AC:$AC, "Review-1"))</f>
        <v/>
      </c>
      <c r="Z2569" s="7" t="str">
        <f>IF(ISBLANK(patch[[#This Row],[project]]), "",COUNTIFS($A:$A,patch[[#This Row],[number]],$S:$S, "BJ And dev",$AD:$AD, "&lt;&gt;IntegratorValidationComment"))</f>
        <v/>
      </c>
      <c r="AA2569" s="7" t="str">
        <f>IF(ISBLANK(patch[[#This Row],[project]]), "",COUNTIFS($A:$A,patch[[#This Row],[number]],$S:$S, "FL And dev",$AD:$AD, "&lt;&gt;IntegratorValidationComment"))</f>
        <v/>
      </c>
      <c r="AB2569" s="7" t="str">
        <f>IF(ISBLANK(patch[[#This Row],[project]]), "",COUNTIFS($A:$A,patch[[#This Row],[number]],$S:$S, "SH And dev",$AD:$AD, "&lt;&gt;IntegratorValidationComment"))</f>
        <v/>
      </c>
      <c r="AC2569" s="7" t="str">
        <f>IF(OR(ISNUMBER(FIND("Review-1", patch[[#This Row],[comments]])), ISNUMBER(FIND("Approver-1", patch[[#This Row],[comments]]))), "Review-1", "")</f>
        <v/>
      </c>
      <c r="AD25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69" s="7">
        <f>IF(ISBLANK(patch[[#This Row],[number]]),AE2568,patch[[#This Row],[ifCommon]])</f>
        <v>0</v>
      </c>
    </row>
    <row r="2570" spans="1:31">
      <c r="A2570" s="151">
        <v>142313</v>
      </c>
      <c r="B2570" s="151"/>
      <c r="C2570" s="151"/>
      <c r="D2570" s="151"/>
      <c r="E2570" s="151"/>
      <c r="F2570" s="151"/>
      <c r="G2570" s="151"/>
      <c r="H2570" s="151"/>
      <c r="I2570" s="151"/>
      <c r="J2570" s="152">
        <v>42614.755023148151</v>
      </c>
      <c r="K2570" s="151"/>
      <c r="L2570" s="151" t="s">
        <v>59</v>
      </c>
      <c r="M2570" s="152">
        <v>42614.457187499997</v>
      </c>
      <c r="N2570" s="151" t="s">
        <v>3879</v>
      </c>
      <c r="O2570" s="151"/>
      <c r="P2570" s="151"/>
      <c r="Q2570" s="7" t="str">
        <f>IF(ISBLANK(patch[[#This Row],[OwnerEmail]]),Q2569,patch[[#This Row],[OwnerEmail]])</f>
        <v>liang.l.yang@intel.com</v>
      </c>
      <c r="R2570" s="7" t="str">
        <f>_xlfn.IFNA(VLOOKUP(patch[[#This Row],[tmp-owner.email]],OrgTree!$A:$K, 11, 0), "not ICG SWFW")</f>
        <v>BJ And dev</v>
      </c>
      <c r="S2570" s="7" t="str">
        <f>IF(patch[[#This Row],[reviewer]]=patch[[#This Row],[tmp-owner.email]], "author", _xlfn.IFNA(VLOOKUP(patch[[#This Row],[reviewer]],OrgTree!$A:$K, 11, 0), "not ICG SWFW"))</f>
        <v>BJ And dev</v>
      </c>
      <c r="T2570" s="7" t="str">
        <f>IF(ISBLANK(patch[[#This Row],[mergeDate]]), "", MID(YEAR(patch[[#This Row],[mergeDate]]), 3,2)&amp;"'ww"&amp;WEEKNUM(patch[[#This Row],[mergeDate]]))</f>
        <v>16'ww36</v>
      </c>
      <c r="U2570" s="7" t="str">
        <f>IF(ISBLANK(patch[[#This Row],[mergeDate]]), U2569, MID(YEAR(patch[[#This Row],[mergeDate]]), 3,2)&amp;"'m"&amp;MONTH(patch[[#This Row],[mergeDate]]))</f>
        <v>16'm9</v>
      </c>
      <c r="V2570" s="7" t="str">
        <f>IF(ISBLANK(patch[[#This Row],[project]]), "",SUM(patch[[#This Row],[BJ -1 num]:[SH -1 num]]))</f>
        <v/>
      </c>
      <c r="W2570" s="7" t="str">
        <f>IF(ISBLANK(patch[[#This Row],[project]]), "",COUNTIFS($A:$A,patch[[#This Row],[number]],$S:$S, "BJ And dev",$AC:$AC, "Review-1"))</f>
        <v/>
      </c>
      <c r="X2570" s="7" t="str">
        <f>IF(ISBLANK(patch[[#This Row],[project]]), "",COUNTIFS($A:$A,patch[[#This Row],[number]],$S:$S, "FL And dev",$AC:$AC, "Review-1"))</f>
        <v/>
      </c>
      <c r="Y2570" s="7" t="str">
        <f>IF(ISBLANK(patch[[#This Row],[project]]), "",COUNTIFS($A:$A,patch[[#This Row],[number]],$S:$S, "SH And dev",$AC:$AC, "Review-1"))</f>
        <v/>
      </c>
      <c r="Z2570" s="7" t="str">
        <f>IF(ISBLANK(patch[[#This Row],[project]]), "",COUNTIFS($A:$A,patch[[#This Row],[number]],$S:$S, "BJ And dev",$AD:$AD, "&lt;&gt;IntegratorValidationComment"))</f>
        <v/>
      </c>
      <c r="AA2570" s="7" t="str">
        <f>IF(ISBLANK(patch[[#This Row],[project]]), "",COUNTIFS($A:$A,patch[[#This Row],[number]],$S:$S, "FL And dev",$AD:$AD, "&lt;&gt;IntegratorValidationComment"))</f>
        <v/>
      </c>
      <c r="AB2570" s="7" t="str">
        <f>IF(ISBLANK(patch[[#This Row],[project]]), "",COUNTIFS($A:$A,patch[[#This Row],[number]],$S:$S, "SH And dev",$AD:$AD, "&lt;&gt;IntegratorValidationComment"))</f>
        <v/>
      </c>
      <c r="AC2570" s="7" t="str">
        <f>IF(OR(ISNUMBER(FIND("Review-1", patch[[#This Row],[comments]])), ISNUMBER(FIND("Approver-1", patch[[#This Row],[comments]]))), "Review-1", "")</f>
        <v/>
      </c>
      <c r="AD25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70" s="7">
        <f>IF(ISBLANK(patch[[#This Row],[number]]),AE2569,patch[[#This Row],[ifCommon]])</f>
        <v>0</v>
      </c>
    </row>
    <row r="2571" spans="1:31">
      <c r="A2571" s="151">
        <v>142236</v>
      </c>
      <c r="B2571" s="151" t="s">
        <v>2490</v>
      </c>
      <c r="C2571" s="151" t="s">
        <v>2491</v>
      </c>
      <c r="D2571" s="151" t="s">
        <v>3880</v>
      </c>
      <c r="E2571" s="151" t="s">
        <v>55</v>
      </c>
      <c r="F2571" s="151" t="s">
        <v>23</v>
      </c>
      <c r="G2571" s="151" t="s">
        <v>3881</v>
      </c>
      <c r="H2571" s="151" t="s">
        <v>3882</v>
      </c>
      <c r="I2571" s="152">
        <v>42612.482870370368</v>
      </c>
      <c r="J2571" s="152">
        <v>42614.754988425928</v>
      </c>
      <c r="K2571" s="151" t="s">
        <v>2445</v>
      </c>
      <c r="L2571" s="151" t="s">
        <v>55</v>
      </c>
      <c r="M2571" s="152">
        <v>42612.482870370368</v>
      </c>
      <c r="N2571" s="151" t="s">
        <v>25</v>
      </c>
      <c r="O2571" s="151"/>
      <c r="P2571" s="151" t="s">
        <v>2611</v>
      </c>
      <c r="Q2571" s="7" t="str">
        <f>IF(ISBLANK(patch[[#This Row],[OwnerEmail]]),Q2570,patch[[#This Row],[OwnerEmail]])</f>
        <v>liang.l.yang@intel.com</v>
      </c>
      <c r="R2571" s="7" t="str">
        <f>_xlfn.IFNA(VLOOKUP(patch[[#This Row],[tmp-owner.email]],OrgTree!$A:$K, 11, 0), "not ICG SWFW")</f>
        <v>BJ And dev</v>
      </c>
      <c r="S2571" s="7" t="str">
        <f>IF(patch[[#This Row],[reviewer]]=patch[[#This Row],[tmp-owner.email]], "author", _xlfn.IFNA(VLOOKUP(patch[[#This Row],[reviewer]],OrgTree!$A:$K, 11, 0), "not ICG SWFW"))</f>
        <v>author</v>
      </c>
      <c r="T2571" s="7" t="str">
        <f>IF(ISBLANK(patch[[#This Row],[mergeDate]]), "", MID(YEAR(patch[[#This Row],[mergeDate]]), 3,2)&amp;"'ww"&amp;WEEKNUM(patch[[#This Row],[mergeDate]]))</f>
        <v>16'ww36</v>
      </c>
      <c r="U2571" s="7" t="str">
        <f>IF(ISBLANK(patch[[#This Row],[mergeDate]]), U2570, MID(YEAR(patch[[#This Row],[mergeDate]]), 3,2)&amp;"'m"&amp;MONTH(patch[[#This Row],[mergeDate]]))</f>
        <v>16'm9</v>
      </c>
      <c r="V2571" s="7">
        <f>IF(ISBLANK(patch[[#This Row],[project]]), "",SUM(patch[[#This Row],[BJ -1 num]:[SH -1 num]]))</f>
        <v>0</v>
      </c>
      <c r="W2571" s="7">
        <f>IF(ISBLANK(patch[[#This Row],[project]]), "",COUNTIFS($A:$A,patch[[#This Row],[number]],$S:$S, "BJ And dev",$AC:$AC, "Review-1"))</f>
        <v>0</v>
      </c>
      <c r="X2571" s="7">
        <f>IF(ISBLANK(patch[[#This Row],[project]]), "",COUNTIFS($A:$A,patch[[#This Row],[number]],$S:$S, "FL And dev",$AC:$AC, "Review-1"))</f>
        <v>0</v>
      </c>
      <c r="Y2571" s="7">
        <f>IF(ISBLANK(patch[[#This Row],[project]]), "",COUNTIFS($A:$A,patch[[#This Row],[number]],$S:$S, "SH And dev",$AC:$AC, "Review-1"))</f>
        <v>0</v>
      </c>
      <c r="Z2571" s="7">
        <f>IF(ISBLANK(patch[[#This Row],[project]]), "",COUNTIFS($A:$A,patch[[#This Row],[number]],$S:$S, "BJ And dev",$AD:$AD, "&lt;&gt;IntegratorValidationComment"))</f>
        <v>24</v>
      </c>
      <c r="AA2571" s="7">
        <f>IF(ISBLANK(patch[[#This Row],[project]]), "",COUNTIFS($A:$A,patch[[#This Row],[number]],$S:$S, "FL And dev",$AD:$AD, "&lt;&gt;IntegratorValidationComment"))</f>
        <v>0</v>
      </c>
      <c r="AB2571" s="7">
        <f>IF(ISBLANK(patch[[#This Row],[project]]), "",COUNTIFS($A:$A,patch[[#This Row],[number]],$S:$S, "SH And dev",$AD:$AD, "&lt;&gt;IntegratorValidationComment"))</f>
        <v>0</v>
      </c>
      <c r="AC2571" s="7" t="str">
        <f>IF(OR(ISNUMBER(FIND("Review-1", patch[[#This Row],[comments]])), ISNUMBER(FIND("Approver-1", patch[[#This Row],[comments]]))), "Review-1", "")</f>
        <v/>
      </c>
      <c r="AD25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71" s="7" t="str">
        <f>IF(ISBLANK(patch[[#This Row],[number]]),AE2570,patch[[#This Row],[ifCommon]])</f>
        <v>not AndrHAL</v>
      </c>
    </row>
    <row r="2572" spans="1:31">
      <c r="A2572" s="151">
        <v>142236</v>
      </c>
      <c r="B2572" s="151"/>
      <c r="C2572" s="151"/>
      <c r="D2572" s="151"/>
      <c r="E2572" s="151"/>
      <c r="F2572" s="151"/>
      <c r="G2572" s="151"/>
      <c r="H2572" s="151"/>
      <c r="I2572" s="151"/>
      <c r="J2572" s="152">
        <v>42614.754988425928</v>
      </c>
      <c r="K2572" s="151"/>
      <c r="L2572" s="151" t="s">
        <v>55</v>
      </c>
      <c r="M2572" s="152">
        <v>42612.482905092591</v>
      </c>
      <c r="N2572" s="151" t="s">
        <v>2428</v>
      </c>
      <c r="O2572" s="151"/>
      <c r="P2572" s="151"/>
      <c r="Q2572" s="7" t="str">
        <f>IF(ISBLANK(patch[[#This Row],[OwnerEmail]]),Q2571,patch[[#This Row],[OwnerEmail]])</f>
        <v>liang.l.yang@intel.com</v>
      </c>
      <c r="R2572" s="7" t="str">
        <f>_xlfn.IFNA(VLOOKUP(patch[[#This Row],[tmp-owner.email]],OrgTree!$A:$K, 11, 0), "not ICG SWFW")</f>
        <v>BJ And dev</v>
      </c>
      <c r="S2572" s="7" t="str">
        <f>IF(patch[[#This Row],[reviewer]]=patch[[#This Row],[tmp-owner.email]], "author", _xlfn.IFNA(VLOOKUP(patch[[#This Row],[reviewer]],OrgTree!$A:$K, 11, 0), "not ICG SWFW"))</f>
        <v>author</v>
      </c>
      <c r="T2572" s="7" t="str">
        <f>IF(ISBLANK(patch[[#This Row],[mergeDate]]), "", MID(YEAR(patch[[#This Row],[mergeDate]]), 3,2)&amp;"'ww"&amp;WEEKNUM(patch[[#This Row],[mergeDate]]))</f>
        <v>16'ww36</v>
      </c>
      <c r="U2572" s="7" t="str">
        <f>IF(ISBLANK(patch[[#This Row],[mergeDate]]), U2571, MID(YEAR(patch[[#This Row],[mergeDate]]), 3,2)&amp;"'m"&amp;MONTH(patch[[#This Row],[mergeDate]]))</f>
        <v>16'm9</v>
      </c>
      <c r="V2572" s="7" t="str">
        <f>IF(ISBLANK(patch[[#This Row],[project]]), "",SUM(patch[[#This Row],[BJ -1 num]:[SH -1 num]]))</f>
        <v/>
      </c>
      <c r="W2572" s="7" t="str">
        <f>IF(ISBLANK(patch[[#This Row],[project]]), "",COUNTIFS($A:$A,patch[[#This Row],[number]],$S:$S, "BJ And dev",$AC:$AC, "Review-1"))</f>
        <v/>
      </c>
      <c r="X2572" s="7" t="str">
        <f>IF(ISBLANK(patch[[#This Row],[project]]), "",COUNTIFS($A:$A,patch[[#This Row],[number]],$S:$S, "FL And dev",$AC:$AC, "Review-1"))</f>
        <v/>
      </c>
      <c r="Y2572" s="7" t="str">
        <f>IF(ISBLANK(patch[[#This Row],[project]]), "",COUNTIFS($A:$A,patch[[#This Row],[number]],$S:$S, "SH And dev",$AC:$AC, "Review-1"))</f>
        <v/>
      </c>
      <c r="Z2572" s="7" t="str">
        <f>IF(ISBLANK(patch[[#This Row],[project]]), "",COUNTIFS($A:$A,patch[[#This Row],[number]],$S:$S, "BJ And dev",$AD:$AD, "&lt;&gt;IntegratorValidationComment"))</f>
        <v/>
      </c>
      <c r="AA2572" s="7" t="str">
        <f>IF(ISBLANK(patch[[#This Row],[project]]), "",COUNTIFS($A:$A,patch[[#This Row],[number]],$S:$S, "FL And dev",$AD:$AD, "&lt;&gt;IntegratorValidationComment"))</f>
        <v/>
      </c>
      <c r="AB2572" s="7" t="str">
        <f>IF(ISBLANK(patch[[#This Row],[project]]), "",COUNTIFS($A:$A,patch[[#This Row],[number]],$S:$S, "SH And dev",$AD:$AD, "&lt;&gt;IntegratorValidationComment"))</f>
        <v/>
      </c>
      <c r="AC2572" s="7" t="str">
        <f>IF(OR(ISNUMBER(FIND("Review-1", patch[[#This Row],[comments]])), ISNUMBER(FIND("Approver-1", patch[[#This Row],[comments]]))), "Review-1", "")</f>
        <v/>
      </c>
      <c r="AD25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72" s="7">
        <f>IF(ISBLANK(patch[[#This Row],[number]]),AE2571,patch[[#This Row],[ifCommon]])</f>
        <v>0</v>
      </c>
    </row>
    <row r="2573" spans="1:31">
      <c r="A2573" s="151">
        <v>142236</v>
      </c>
      <c r="B2573" s="151"/>
      <c r="C2573" s="151"/>
      <c r="D2573" s="151"/>
      <c r="E2573" s="151"/>
      <c r="F2573" s="151"/>
      <c r="G2573" s="151"/>
      <c r="H2573" s="151"/>
      <c r="I2573" s="151"/>
      <c r="J2573" s="152">
        <v>42614.754988425928</v>
      </c>
      <c r="K2573" s="151"/>
      <c r="L2573" s="151" t="s">
        <v>59</v>
      </c>
      <c r="M2573" s="152">
        <v>42612.487615740742</v>
      </c>
      <c r="N2573" s="151" t="s">
        <v>3883</v>
      </c>
      <c r="O2573" s="151"/>
      <c r="P2573" s="151"/>
      <c r="Q2573" s="7" t="str">
        <f>IF(ISBLANK(patch[[#This Row],[OwnerEmail]]),Q2572,patch[[#This Row],[OwnerEmail]])</f>
        <v>liang.l.yang@intel.com</v>
      </c>
      <c r="R2573" s="7" t="str">
        <f>_xlfn.IFNA(VLOOKUP(patch[[#This Row],[tmp-owner.email]],OrgTree!$A:$K, 11, 0), "not ICG SWFW")</f>
        <v>BJ And dev</v>
      </c>
      <c r="S2573" s="7" t="str">
        <f>IF(patch[[#This Row],[reviewer]]=patch[[#This Row],[tmp-owner.email]], "author", _xlfn.IFNA(VLOOKUP(patch[[#This Row],[reviewer]],OrgTree!$A:$K, 11, 0), "not ICG SWFW"))</f>
        <v>BJ And dev</v>
      </c>
      <c r="T2573" s="7" t="str">
        <f>IF(ISBLANK(patch[[#This Row],[mergeDate]]), "", MID(YEAR(patch[[#This Row],[mergeDate]]), 3,2)&amp;"'ww"&amp;WEEKNUM(patch[[#This Row],[mergeDate]]))</f>
        <v>16'ww36</v>
      </c>
      <c r="U2573" s="7" t="str">
        <f>IF(ISBLANK(patch[[#This Row],[mergeDate]]), U2572, MID(YEAR(patch[[#This Row],[mergeDate]]), 3,2)&amp;"'m"&amp;MONTH(patch[[#This Row],[mergeDate]]))</f>
        <v>16'm9</v>
      </c>
      <c r="V2573" s="7" t="str">
        <f>IF(ISBLANK(patch[[#This Row],[project]]), "",SUM(patch[[#This Row],[BJ -1 num]:[SH -1 num]]))</f>
        <v/>
      </c>
      <c r="W2573" s="7" t="str">
        <f>IF(ISBLANK(patch[[#This Row],[project]]), "",COUNTIFS($A:$A,patch[[#This Row],[number]],$S:$S, "BJ And dev",$AC:$AC, "Review-1"))</f>
        <v/>
      </c>
      <c r="X2573" s="7" t="str">
        <f>IF(ISBLANK(patch[[#This Row],[project]]), "",COUNTIFS($A:$A,patch[[#This Row],[number]],$S:$S, "FL And dev",$AC:$AC, "Review-1"))</f>
        <v/>
      </c>
      <c r="Y2573" s="7" t="str">
        <f>IF(ISBLANK(patch[[#This Row],[project]]), "",COUNTIFS($A:$A,patch[[#This Row],[number]],$S:$S, "SH And dev",$AC:$AC, "Review-1"))</f>
        <v/>
      </c>
      <c r="Z2573" s="7" t="str">
        <f>IF(ISBLANK(patch[[#This Row],[project]]), "",COUNTIFS($A:$A,patch[[#This Row],[number]],$S:$S, "BJ And dev",$AD:$AD, "&lt;&gt;IntegratorValidationComment"))</f>
        <v/>
      </c>
      <c r="AA2573" s="7" t="str">
        <f>IF(ISBLANK(patch[[#This Row],[project]]), "",COUNTIFS($A:$A,patch[[#This Row],[number]],$S:$S, "FL And dev",$AD:$AD, "&lt;&gt;IntegratorValidationComment"))</f>
        <v/>
      </c>
      <c r="AB2573" s="7" t="str">
        <f>IF(ISBLANK(patch[[#This Row],[project]]), "",COUNTIFS($A:$A,patch[[#This Row],[number]],$S:$S, "SH And dev",$AD:$AD, "&lt;&gt;IntegratorValidationComment"))</f>
        <v/>
      </c>
      <c r="AC2573" s="7" t="str">
        <f>IF(OR(ISNUMBER(FIND("Review-1", patch[[#This Row],[comments]])), ISNUMBER(FIND("Approver-1", patch[[#This Row],[comments]]))), "Review-1", "")</f>
        <v/>
      </c>
      <c r="AD25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73" s="7">
        <f>IF(ISBLANK(patch[[#This Row],[number]]),AE2572,patch[[#This Row],[ifCommon]])</f>
        <v>0</v>
      </c>
    </row>
    <row r="2574" spans="1:31">
      <c r="A2574" s="151">
        <v>142236</v>
      </c>
      <c r="B2574" s="151"/>
      <c r="C2574" s="151"/>
      <c r="D2574" s="151"/>
      <c r="E2574" s="151"/>
      <c r="F2574" s="151"/>
      <c r="G2574" s="151"/>
      <c r="H2574" s="151"/>
      <c r="I2574" s="151"/>
      <c r="J2574" s="152">
        <v>42614.754988425928</v>
      </c>
      <c r="K2574" s="151"/>
      <c r="L2574" s="151" t="s">
        <v>59</v>
      </c>
      <c r="M2574" s="152">
        <v>42612.490995370368</v>
      </c>
      <c r="N2574" s="151" t="s">
        <v>3884</v>
      </c>
      <c r="O2574" s="151"/>
      <c r="P2574" s="151"/>
      <c r="Q2574" s="7" t="str">
        <f>IF(ISBLANK(patch[[#This Row],[OwnerEmail]]),Q2573,patch[[#This Row],[OwnerEmail]])</f>
        <v>liang.l.yang@intel.com</v>
      </c>
      <c r="R2574" s="7" t="str">
        <f>_xlfn.IFNA(VLOOKUP(patch[[#This Row],[tmp-owner.email]],OrgTree!$A:$K, 11, 0), "not ICG SWFW")</f>
        <v>BJ And dev</v>
      </c>
      <c r="S2574" s="7" t="str">
        <f>IF(patch[[#This Row],[reviewer]]=patch[[#This Row],[tmp-owner.email]], "author", _xlfn.IFNA(VLOOKUP(patch[[#This Row],[reviewer]],OrgTree!$A:$K, 11, 0), "not ICG SWFW"))</f>
        <v>BJ And dev</v>
      </c>
      <c r="T2574" s="7" t="str">
        <f>IF(ISBLANK(patch[[#This Row],[mergeDate]]), "", MID(YEAR(patch[[#This Row],[mergeDate]]), 3,2)&amp;"'ww"&amp;WEEKNUM(patch[[#This Row],[mergeDate]]))</f>
        <v>16'ww36</v>
      </c>
      <c r="U2574" s="7" t="str">
        <f>IF(ISBLANK(patch[[#This Row],[mergeDate]]), U2573, MID(YEAR(patch[[#This Row],[mergeDate]]), 3,2)&amp;"'m"&amp;MONTH(patch[[#This Row],[mergeDate]]))</f>
        <v>16'm9</v>
      </c>
      <c r="V2574" s="7" t="str">
        <f>IF(ISBLANK(patch[[#This Row],[project]]), "",SUM(patch[[#This Row],[BJ -1 num]:[SH -1 num]]))</f>
        <v/>
      </c>
      <c r="W2574" s="7" t="str">
        <f>IF(ISBLANK(patch[[#This Row],[project]]), "",COUNTIFS($A:$A,patch[[#This Row],[number]],$S:$S, "BJ And dev",$AC:$AC, "Review-1"))</f>
        <v/>
      </c>
      <c r="X2574" s="7" t="str">
        <f>IF(ISBLANK(patch[[#This Row],[project]]), "",COUNTIFS($A:$A,patch[[#This Row],[number]],$S:$S, "FL And dev",$AC:$AC, "Review-1"))</f>
        <v/>
      </c>
      <c r="Y2574" s="7" t="str">
        <f>IF(ISBLANK(patch[[#This Row],[project]]), "",COUNTIFS($A:$A,patch[[#This Row],[number]],$S:$S, "SH And dev",$AC:$AC, "Review-1"))</f>
        <v/>
      </c>
      <c r="Z2574" s="7" t="str">
        <f>IF(ISBLANK(patch[[#This Row],[project]]), "",COUNTIFS($A:$A,patch[[#This Row],[number]],$S:$S, "BJ And dev",$AD:$AD, "&lt;&gt;IntegratorValidationComment"))</f>
        <v/>
      </c>
      <c r="AA2574" s="7" t="str">
        <f>IF(ISBLANK(patch[[#This Row],[project]]), "",COUNTIFS($A:$A,patch[[#This Row],[number]],$S:$S, "FL And dev",$AD:$AD, "&lt;&gt;IntegratorValidationComment"))</f>
        <v/>
      </c>
      <c r="AB2574" s="7" t="str">
        <f>IF(ISBLANK(patch[[#This Row],[project]]), "",COUNTIFS($A:$A,patch[[#This Row],[number]],$S:$S, "SH And dev",$AD:$AD, "&lt;&gt;IntegratorValidationComment"))</f>
        <v/>
      </c>
      <c r="AC2574" s="7" t="str">
        <f>IF(OR(ISNUMBER(FIND("Review-1", patch[[#This Row],[comments]])), ISNUMBER(FIND("Approver-1", patch[[#This Row],[comments]]))), "Review-1", "")</f>
        <v/>
      </c>
      <c r="AD25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74" s="7">
        <f>IF(ISBLANK(patch[[#This Row],[number]]),AE2573,patch[[#This Row],[ifCommon]])</f>
        <v>0</v>
      </c>
    </row>
    <row r="2575" spans="1:31">
      <c r="A2575" s="151">
        <v>142236</v>
      </c>
      <c r="B2575" s="151"/>
      <c r="C2575" s="151"/>
      <c r="D2575" s="151"/>
      <c r="E2575" s="151"/>
      <c r="F2575" s="151"/>
      <c r="G2575" s="151"/>
      <c r="H2575" s="151"/>
      <c r="I2575" s="151"/>
      <c r="J2575" s="152">
        <v>42614.754988425928</v>
      </c>
      <c r="K2575" s="151"/>
      <c r="L2575" s="151" t="s">
        <v>55</v>
      </c>
      <c r="M2575" s="152">
        <v>42612.493171296293</v>
      </c>
      <c r="N2575" s="151" t="s">
        <v>2505</v>
      </c>
      <c r="O2575" s="151"/>
      <c r="P2575" s="151"/>
      <c r="Q2575" s="7" t="str">
        <f>IF(ISBLANK(patch[[#This Row],[OwnerEmail]]),Q2574,patch[[#This Row],[OwnerEmail]])</f>
        <v>liang.l.yang@intel.com</v>
      </c>
      <c r="R2575" s="7" t="str">
        <f>_xlfn.IFNA(VLOOKUP(patch[[#This Row],[tmp-owner.email]],OrgTree!$A:$K, 11, 0), "not ICG SWFW")</f>
        <v>BJ And dev</v>
      </c>
      <c r="S2575" s="7" t="str">
        <f>IF(patch[[#This Row],[reviewer]]=patch[[#This Row],[tmp-owner.email]], "author", _xlfn.IFNA(VLOOKUP(patch[[#This Row],[reviewer]],OrgTree!$A:$K, 11, 0), "not ICG SWFW"))</f>
        <v>author</v>
      </c>
      <c r="T2575" s="7" t="str">
        <f>IF(ISBLANK(patch[[#This Row],[mergeDate]]), "", MID(YEAR(patch[[#This Row],[mergeDate]]), 3,2)&amp;"'ww"&amp;WEEKNUM(patch[[#This Row],[mergeDate]]))</f>
        <v>16'ww36</v>
      </c>
      <c r="U2575" s="7" t="str">
        <f>IF(ISBLANK(patch[[#This Row],[mergeDate]]), U2574, MID(YEAR(patch[[#This Row],[mergeDate]]), 3,2)&amp;"'m"&amp;MONTH(patch[[#This Row],[mergeDate]]))</f>
        <v>16'm9</v>
      </c>
      <c r="V2575" s="7" t="str">
        <f>IF(ISBLANK(patch[[#This Row],[project]]), "",SUM(patch[[#This Row],[BJ -1 num]:[SH -1 num]]))</f>
        <v/>
      </c>
      <c r="W2575" s="7" t="str">
        <f>IF(ISBLANK(patch[[#This Row],[project]]), "",COUNTIFS($A:$A,patch[[#This Row],[number]],$S:$S, "BJ And dev",$AC:$AC, "Review-1"))</f>
        <v/>
      </c>
      <c r="X2575" s="7" t="str">
        <f>IF(ISBLANK(patch[[#This Row],[project]]), "",COUNTIFS($A:$A,patch[[#This Row],[number]],$S:$S, "FL And dev",$AC:$AC, "Review-1"))</f>
        <v/>
      </c>
      <c r="Y2575" s="7" t="str">
        <f>IF(ISBLANK(patch[[#This Row],[project]]), "",COUNTIFS($A:$A,patch[[#This Row],[number]],$S:$S, "SH And dev",$AC:$AC, "Review-1"))</f>
        <v/>
      </c>
      <c r="Z2575" s="7" t="str">
        <f>IF(ISBLANK(patch[[#This Row],[project]]), "",COUNTIFS($A:$A,patch[[#This Row],[number]],$S:$S, "BJ And dev",$AD:$AD, "&lt;&gt;IntegratorValidationComment"))</f>
        <v/>
      </c>
      <c r="AA2575" s="7" t="str">
        <f>IF(ISBLANK(patch[[#This Row],[project]]), "",COUNTIFS($A:$A,patch[[#This Row],[number]],$S:$S, "FL And dev",$AD:$AD, "&lt;&gt;IntegratorValidationComment"))</f>
        <v/>
      </c>
      <c r="AB2575" s="7" t="str">
        <f>IF(ISBLANK(patch[[#This Row],[project]]), "",COUNTIFS($A:$A,patch[[#This Row],[number]],$S:$S, "SH And dev",$AD:$AD, "&lt;&gt;IntegratorValidationComment"))</f>
        <v/>
      </c>
      <c r="AC2575" s="7" t="str">
        <f>IF(OR(ISNUMBER(FIND("Review-1", patch[[#This Row],[comments]])), ISNUMBER(FIND("Approver-1", patch[[#This Row],[comments]]))), "Review-1", "")</f>
        <v/>
      </c>
      <c r="AD25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75" s="7">
        <f>IF(ISBLANK(patch[[#This Row],[number]]),AE2574,patch[[#This Row],[ifCommon]])</f>
        <v>0</v>
      </c>
    </row>
    <row r="2576" spans="1:31">
      <c r="A2576" s="151">
        <v>142236</v>
      </c>
      <c r="B2576" s="151"/>
      <c r="C2576" s="151"/>
      <c r="D2576" s="151"/>
      <c r="E2576" s="151"/>
      <c r="F2576" s="151"/>
      <c r="G2576" s="151"/>
      <c r="H2576" s="151"/>
      <c r="I2576" s="151"/>
      <c r="J2576" s="152">
        <v>42614.754988425928</v>
      </c>
      <c r="K2576" s="151"/>
      <c r="L2576" s="151" t="s">
        <v>55</v>
      </c>
      <c r="M2576" s="152">
        <v>42612.493171296293</v>
      </c>
      <c r="N2576" s="151" t="s">
        <v>2429</v>
      </c>
      <c r="O2576" s="151"/>
      <c r="P2576" s="151"/>
      <c r="Q2576" s="7" t="str">
        <f>IF(ISBLANK(patch[[#This Row],[OwnerEmail]]),Q2575,patch[[#This Row],[OwnerEmail]])</f>
        <v>liang.l.yang@intel.com</v>
      </c>
      <c r="R2576" s="7" t="str">
        <f>_xlfn.IFNA(VLOOKUP(patch[[#This Row],[tmp-owner.email]],OrgTree!$A:$K, 11, 0), "not ICG SWFW")</f>
        <v>BJ And dev</v>
      </c>
      <c r="S2576" s="7" t="str">
        <f>IF(patch[[#This Row],[reviewer]]=patch[[#This Row],[tmp-owner.email]], "author", _xlfn.IFNA(VLOOKUP(patch[[#This Row],[reviewer]],OrgTree!$A:$K, 11, 0), "not ICG SWFW"))</f>
        <v>author</v>
      </c>
      <c r="T2576" s="7" t="str">
        <f>IF(ISBLANK(patch[[#This Row],[mergeDate]]), "", MID(YEAR(patch[[#This Row],[mergeDate]]), 3,2)&amp;"'ww"&amp;WEEKNUM(patch[[#This Row],[mergeDate]]))</f>
        <v>16'ww36</v>
      </c>
      <c r="U2576" s="7" t="str">
        <f>IF(ISBLANK(patch[[#This Row],[mergeDate]]), U2575, MID(YEAR(patch[[#This Row],[mergeDate]]), 3,2)&amp;"'m"&amp;MONTH(patch[[#This Row],[mergeDate]]))</f>
        <v>16'm9</v>
      </c>
      <c r="V2576" s="7" t="str">
        <f>IF(ISBLANK(patch[[#This Row],[project]]), "",SUM(patch[[#This Row],[BJ -1 num]:[SH -1 num]]))</f>
        <v/>
      </c>
      <c r="W2576" s="7" t="str">
        <f>IF(ISBLANK(patch[[#This Row],[project]]), "",COUNTIFS($A:$A,patch[[#This Row],[number]],$S:$S, "BJ And dev",$AC:$AC, "Review-1"))</f>
        <v/>
      </c>
      <c r="X2576" s="7" t="str">
        <f>IF(ISBLANK(patch[[#This Row],[project]]), "",COUNTIFS($A:$A,patch[[#This Row],[number]],$S:$S, "FL And dev",$AC:$AC, "Review-1"))</f>
        <v/>
      </c>
      <c r="Y2576" s="7" t="str">
        <f>IF(ISBLANK(patch[[#This Row],[project]]), "",COUNTIFS($A:$A,patch[[#This Row],[number]],$S:$S, "SH And dev",$AC:$AC, "Review-1"))</f>
        <v/>
      </c>
      <c r="Z2576" s="7" t="str">
        <f>IF(ISBLANK(patch[[#This Row],[project]]), "",COUNTIFS($A:$A,patch[[#This Row],[number]],$S:$S, "BJ And dev",$AD:$AD, "&lt;&gt;IntegratorValidationComment"))</f>
        <v/>
      </c>
      <c r="AA2576" s="7" t="str">
        <f>IF(ISBLANK(patch[[#This Row],[project]]), "",COUNTIFS($A:$A,patch[[#This Row],[number]],$S:$S, "FL And dev",$AD:$AD, "&lt;&gt;IntegratorValidationComment"))</f>
        <v/>
      </c>
      <c r="AB2576" s="7" t="str">
        <f>IF(ISBLANK(patch[[#This Row],[project]]), "",COUNTIFS($A:$A,patch[[#This Row],[number]],$S:$S, "SH And dev",$AD:$AD, "&lt;&gt;IntegratorValidationComment"))</f>
        <v/>
      </c>
      <c r="AC2576" s="7" t="str">
        <f>IF(OR(ISNUMBER(FIND("Review-1", patch[[#This Row],[comments]])), ISNUMBER(FIND("Approver-1", patch[[#This Row],[comments]]))), "Review-1", "")</f>
        <v/>
      </c>
      <c r="AD25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76" s="7">
        <f>IF(ISBLANK(patch[[#This Row],[number]]),AE2575,patch[[#This Row],[ifCommon]])</f>
        <v>0</v>
      </c>
    </row>
    <row r="2577" spans="1:31">
      <c r="A2577" s="151">
        <v>142236</v>
      </c>
      <c r="B2577" s="151"/>
      <c r="C2577" s="151"/>
      <c r="D2577" s="151"/>
      <c r="E2577" s="151"/>
      <c r="F2577" s="151"/>
      <c r="G2577" s="151"/>
      <c r="H2577" s="151"/>
      <c r="I2577" s="151"/>
      <c r="J2577" s="152">
        <v>42614.754988425928</v>
      </c>
      <c r="K2577" s="151"/>
      <c r="L2577" s="151" t="s">
        <v>55</v>
      </c>
      <c r="M2577" s="152">
        <v>42612.495196759257</v>
      </c>
      <c r="N2577" s="151" t="s">
        <v>1829</v>
      </c>
      <c r="O2577" s="151"/>
      <c r="P2577" s="151"/>
      <c r="Q2577" s="7" t="str">
        <f>IF(ISBLANK(patch[[#This Row],[OwnerEmail]]),Q2576,patch[[#This Row],[OwnerEmail]])</f>
        <v>liang.l.yang@intel.com</v>
      </c>
      <c r="R2577" s="7" t="str">
        <f>_xlfn.IFNA(VLOOKUP(patch[[#This Row],[tmp-owner.email]],OrgTree!$A:$K, 11, 0), "not ICG SWFW")</f>
        <v>BJ And dev</v>
      </c>
      <c r="S2577" s="7" t="str">
        <f>IF(patch[[#This Row],[reviewer]]=patch[[#This Row],[tmp-owner.email]], "author", _xlfn.IFNA(VLOOKUP(patch[[#This Row],[reviewer]],OrgTree!$A:$K, 11, 0), "not ICG SWFW"))</f>
        <v>author</v>
      </c>
      <c r="T2577" s="7" t="str">
        <f>IF(ISBLANK(patch[[#This Row],[mergeDate]]), "", MID(YEAR(patch[[#This Row],[mergeDate]]), 3,2)&amp;"'ww"&amp;WEEKNUM(patch[[#This Row],[mergeDate]]))</f>
        <v>16'ww36</v>
      </c>
      <c r="U2577" s="7" t="str">
        <f>IF(ISBLANK(patch[[#This Row],[mergeDate]]), U2576, MID(YEAR(patch[[#This Row],[mergeDate]]), 3,2)&amp;"'m"&amp;MONTH(patch[[#This Row],[mergeDate]]))</f>
        <v>16'm9</v>
      </c>
      <c r="V2577" s="7" t="str">
        <f>IF(ISBLANK(patch[[#This Row],[project]]), "",SUM(patch[[#This Row],[BJ -1 num]:[SH -1 num]]))</f>
        <v/>
      </c>
      <c r="W2577" s="7" t="str">
        <f>IF(ISBLANK(patch[[#This Row],[project]]), "",COUNTIFS($A:$A,patch[[#This Row],[number]],$S:$S, "BJ And dev",$AC:$AC, "Review-1"))</f>
        <v/>
      </c>
      <c r="X2577" s="7" t="str">
        <f>IF(ISBLANK(patch[[#This Row],[project]]), "",COUNTIFS($A:$A,patch[[#This Row],[number]],$S:$S, "FL And dev",$AC:$AC, "Review-1"))</f>
        <v/>
      </c>
      <c r="Y2577" s="7" t="str">
        <f>IF(ISBLANK(patch[[#This Row],[project]]), "",COUNTIFS($A:$A,patch[[#This Row],[number]],$S:$S, "SH And dev",$AC:$AC, "Review-1"))</f>
        <v/>
      </c>
      <c r="Z2577" s="7" t="str">
        <f>IF(ISBLANK(patch[[#This Row],[project]]), "",COUNTIFS($A:$A,patch[[#This Row],[number]],$S:$S, "BJ And dev",$AD:$AD, "&lt;&gt;IntegratorValidationComment"))</f>
        <v/>
      </c>
      <c r="AA2577" s="7" t="str">
        <f>IF(ISBLANK(patch[[#This Row],[project]]), "",COUNTIFS($A:$A,patch[[#This Row],[number]],$S:$S, "FL And dev",$AD:$AD, "&lt;&gt;IntegratorValidationComment"))</f>
        <v/>
      </c>
      <c r="AB2577" s="7" t="str">
        <f>IF(ISBLANK(patch[[#This Row],[project]]), "",COUNTIFS($A:$A,patch[[#This Row],[number]],$S:$S, "SH And dev",$AD:$AD, "&lt;&gt;IntegratorValidationComment"))</f>
        <v/>
      </c>
      <c r="AC2577" s="7" t="str">
        <f>IF(OR(ISNUMBER(FIND("Review-1", patch[[#This Row],[comments]])), ISNUMBER(FIND("Approver-1", patch[[#This Row],[comments]]))), "Review-1", "")</f>
        <v/>
      </c>
      <c r="AD25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77" s="7">
        <f>IF(ISBLANK(patch[[#This Row],[number]]),AE2576,patch[[#This Row],[ifCommon]])</f>
        <v>0</v>
      </c>
    </row>
    <row r="2578" spans="1:31">
      <c r="A2578" s="151">
        <v>142236</v>
      </c>
      <c r="B2578" s="151"/>
      <c r="C2578" s="151"/>
      <c r="D2578" s="151"/>
      <c r="E2578" s="151"/>
      <c r="F2578" s="151"/>
      <c r="G2578" s="151"/>
      <c r="H2578" s="151"/>
      <c r="I2578" s="151"/>
      <c r="J2578" s="152">
        <v>42614.754988425928</v>
      </c>
      <c r="K2578" s="151"/>
      <c r="L2578" s="151" t="s">
        <v>55</v>
      </c>
      <c r="M2578" s="152">
        <v>42612.495254629634</v>
      </c>
      <c r="N2578" s="151" t="s">
        <v>2450</v>
      </c>
      <c r="O2578" s="151"/>
      <c r="P2578" s="151"/>
      <c r="Q2578" s="7" t="str">
        <f>IF(ISBLANK(patch[[#This Row],[OwnerEmail]]),Q2577,patch[[#This Row],[OwnerEmail]])</f>
        <v>liang.l.yang@intel.com</v>
      </c>
      <c r="R2578" s="7" t="str">
        <f>_xlfn.IFNA(VLOOKUP(patch[[#This Row],[tmp-owner.email]],OrgTree!$A:$K, 11, 0), "not ICG SWFW")</f>
        <v>BJ And dev</v>
      </c>
      <c r="S2578" s="7" t="str">
        <f>IF(patch[[#This Row],[reviewer]]=patch[[#This Row],[tmp-owner.email]], "author", _xlfn.IFNA(VLOOKUP(patch[[#This Row],[reviewer]],OrgTree!$A:$K, 11, 0), "not ICG SWFW"))</f>
        <v>author</v>
      </c>
      <c r="T2578" s="7" t="str">
        <f>IF(ISBLANK(patch[[#This Row],[mergeDate]]), "", MID(YEAR(patch[[#This Row],[mergeDate]]), 3,2)&amp;"'ww"&amp;WEEKNUM(patch[[#This Row],[mergeDate]]))</f>
        <v>16'ww36</v>
      </c>
      <c r="U2578" s="7" t="str">
        <f>IF(ISBLANK(patch[[#This Row],[mergeDate]]), U2577, MID(YEAR(patch[[#This Row],[mergeDate]]), 3,2)&amp;"'m"&amp;MONTH(patch[[#This Row],[mergeDate]]))</f>
        <v>16'm9</v>
      </c>
      <c r="V2578" s="7" t="str">
        <f>IF(ISBLANK(patch[[#This Row],[project]]), "",SUM(patch[[#This Row],[BJ -1 num]:[SH -1 num]]))</f>
        <v/>
      </c>
      <c r="W2578" s="7" t="str">
        <f>IF(ISBLANK(patch[[#This Row],[project]]), "",COUNTIFS($A:$A,patch[[#This Row],[number]],$S:$S, "BJ And dev",$AC:$AC, "Review-1"))</f>
        <v/>
      </c>
      <c r="X2578" s="7" t="str">
        <f>IF(ISBLANK(patch[[#This Row],[project]]), "",COUNTIFS($A:$A,patch[[#This Row],[number]],$S:$S, "FL And dev",$AC:$AC, "Review-1"))</f>
        <v/>
      </c>
      <c r="Y2578" s="7" t="str">
        <f>IF(ISBLANK(patch[[#This Row],[project]]), "",COUNTIFS($A:$A,patch[[#This Row],[number]],$S:$S, "SH And dev",$AC:$AC, "Review-1"))</f>
        <v/>
      </c>
      <c r="Z2578" s="7" t="str">
        <f>IF(ISBLANK(patch[[#This Row],[project]]), "",COUNTIFS($A:$A,patch[[#This Row],[number]],$S:$S, "BJ And dev",$AD:$AD, "&lt;&gt;IntegratorValidationComment"))</f>
        <v/>
      </c>
      <c r="AA2578" s="7" t="str">
        <f>IF(ISBLANK(patch[[#This Row],[project]]), "",COUNTIFS($A:$A,patch[[#This Row],[number]],$S:$S, "FL And dev",$AD:$AD, "&lt;&gt;IntegratorValidationComment"))</f>
        <v/>
      </c>
      <c r="AB2578" s="7" t="str">
        <f>IF(ISBLANK(patch[[#This Row],[project]]), "",COUNTIFS($A:$A,patch[[#This Row],[number]],$S:$S, "SH And dev",$AD:$AD, "&lt;&gt;IntegratorValidationComment"))</f>
        <v/>
      </c>
      <c r="AC2578" s="7" t="str">
        <f>IF(OR(ISNUMBER(FIND("Review-1", patch[[#This Row],[comments]])), ISNUMBER(FIND("Approver-1", patch[[#This Row],[comments]]))), "Review-1", "")</f>
        <v/>
      </c>
      <c r="AD25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78" s="7">
        <f>IF(ISBLANK(patch[[#This Row],[number]]),AE2577,patch[[#This Row],[ifCommon]])</f>
        <v>0</v>
      </c>
    </row>
    <row r="2579" spans="1:31">
      <c r="A2579" s="151">
        <v>142236</v>
      </c>
      <c r="B2579" s="151"/>
      <c r="C2579" s="151"/>
      <c r="D2579" s="151"/>
      <c r="E2579" s="151"/>
      <c r="F2579" s="151"/>
      <c r="G2579" s="151"/>
      <c r="H2579" s="151"/>
      <c r="I2579" s="151"/>
      <c r="J2579" s="152">
        <v>42614.754988425928</v>
      </c>
      <c r="K2579" s="151"/>
      <c r="L2579" s="151" t="s">
        <v>55</v>
      </c>
      <c r="M2579" s="152">
        <v>42612.495949074073</v>
      </c>
      <c r="N2579" s="151" t="s">
        <v>48</v>
      </c>
      <c r="O2579" s="151"/>
      <c r="P2579" s="151"/>
      <c r="Q2579" s="7" t="str">
        <f>IF(ISBLANK(patch[[#This Row],[OwnerEmail]]),Q2578,patch[[#This Row],[OwnerEmail]])</f>
        <v>liang.l.yang@intel.com</v>
      </c>
      <c r="R2579" s="7" t="str">
        <f>_xlfn.IFNA(VLOOKUP(patch[[#This Row],[tmp-owner.email]],OrgTree!$A:$K, 11, 0), "not ICG SWFW")</f>
        <v>BJ And dev</v>
      </c>
      <c r="S2579" s="7" t="str">
        <f>IF(patch[[#This Row],[reviewer]]=patch[[#This Row],[tmp-owner.email]], "author", _xlfn.IFNA(VLOOKUP(patch[[#This Row],[reviewer]],OrgTree!$A:$K, 11, 0), "not ICG SWFW"))</f>
        <v>author</v>
      </c>
      <c r="T2579" s="7" t="str">
        <f>IF(ISBLANK(patch[[#This Row],[mergeDate]]), "", MID(YEAR(patch[[#This Row],[mergeDate]]), 3,2)&amp;"'ww"&amp;WEEKNUM(patch[[#This Row],[mergeDate]]))</f>
        <v>16'ww36</v>
      </c>
      <c r="U2579" s="7" t="str">
        <f>IF(ISBLANK(patch[[#This Row],[mergeDate]]), U2578, MID(YEAR(patch[[#This Row],[mergeDate]]), 3,2)&amp;"'m"&amp;MONTH(patch[[#This Row],[mergeDate]]))</f>
        <v>16'm9</v>
      </c>
      <c r="V2579" s="7" t="str">
        <f>IF(ISBLANK(patch[[#This Row],[project]]), "",SUM(patch[[#This Row],[BJ -1 num]:[SH -1 num]]))</f>
        <v/>
      </c>
      <c r="W2579" s="7" t="str">
        <f>IF(ISBLANK(patch[[#This Row],[project]]), "",COUNTIFS($A:$A,patch[[#This Row],[number]],$S:$S, "BJ And dev",$AC:$AC, "Review-1"))</f>
        <v/>
      </c>
      <c r="X2579" s="7" t="str">
        <f>IF(ISBLANK(patch[[#This Row],[project]]), "",COUNTIFS($A:$A,patch[[#This Row],[number]],$S:$S, "FL And dev",$AC:$AC, "Review-1"))</f>
        <v/>
      </c>
      <c r="Y2579" s="7" t="str">
        <f>IF(ISBLANK(patch[[#This Row],[project]]), "",COUNTIFS($A:$A,patch[[#This Row],[number]],$S:$S, "SH And dev",$AC:$AC, "Review-1"))</f>
        <v/>
      </c>
      <c r="Z2579" s="7" t="str">
        <f>IF(ISBLANK(patch[[#This Row],[project]]), "",COUNTIFS($A:$A,patch[[#This Row],[number]],$S:$S, "BJ And dev",$AD:$AD, "&lt;&gt;IntegratorValidationComment"))</f>
        <v/>
      </c>
      <c r="AA2579" s="7" t="str">
        <f>IF(ISBLANK(patch[[#This Row],[project]]), "",COUNTIFS($A:$A,patch[[#This Row],[number]],$S:$S, "FL And dev",$AD:$AD, "&lt;&gt;IntegratorValidationComment"))</f>
        <v/>
      </c>
      <c r="AB2579" s="7" t="str">
        <f>IF(ISBLANK(patch[[#This Row],[project]]), "",COUNTIFS($A:$A,patch[[#This Row],[number]],$S:$S, "SH And dev",$AD:$AD, "&lt;&gt;IntegratorValidationComment"))</f>
        <v/>
      </c>
      <c r="AC2579" s="7" t="str">
        <f>IF(OR(ISNUMBER(FIND("Review-1", patch[[#This Row],[comments]])), ISNUMBER(FIND("Approver-1", patch[[#This Row],[comments]]))), "Review-1", "")</f>
        <v/>
      </c>
      <c r="AD25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79" s="7">
        <f>IF(ISBLANK(patch[[#This Row],[number]]),AE2578,patch[[#This Row],[ifCommon]])</f>
        <v>0</v>
      </c>
    </row>
    <row r="2580" spans="1:31">
      <c r="A2580" s="151">
        <v>142236</v>
      </c>
      <c r="B2580" s="151"/>
      <c r="C2580" s="151"/>
      <c r="D2580" s="151"/>
      <c r="E2580" s="151"/>
      <c r="F2580" s="151"/>
      <c r="G2580" s="151"/>
      <c r="H2580" s="151"/>
      <c r="I2580" s="152"/>
      <c r="J2580" s="152">
        <v>42614.754988425928</v>
      </c>
      <c r="K2580" s="151"/>
      <c r="L2580" s="151" t="s">
        <v>59</v>
      </c>
      <c r="M2580" s="152">
        <v>42612.501608796287</v>
      </c>
      <c r="N2580" s="151" t="s">
        <v>3885</v>
      </c>
      <c r="O2580" s="151"/>
      <c r="P2580" s="151"/>
      <c r="Q2580" s="7" t="str">
        <f>IF(ISBLANK(patch[[#This Row],[OwnerEmail]]),Q2579,patch[[#This Row],[OwnerEmail]])</f>
        <v>liang.l.yang@intel.com</v>
      </c>
      <c r="R2580" s="7" t="str">
        <f>_xlfn.IFNA(VLOOKUP(patch[[#This Row],[tmp-owner.email]],OrgTree!$A:$K, 11, 0), "not ICG SWFW")</f>
        <v>BJ And dev</v>
      </c>
      <c r="S2580" s="7" t="str">
        <f>IF(patch[[#This Row],[reviewer]]=patch[[#This Row],[tmp-owner.email]], "author", _xlfn.IFNA(VLOOKUP(patch[[#This Row],[reviewer]],OrgTree!$A:$K, 11, 0), "not ICG SWFW"))</f>
        <v>BJ And dev</v>
      </c>
      <c r="T2580" s="7" t="str">
        <f>IF(ISBLANK(patch[[#This Row],[mergeDate]]), "", MID(YEAR(patch[[#This Row],[mergeDate]]), 3,2)&amp;"'ww"&amp;WEEKNUM(patch[[#This Row],[mergeDate]]))</f>
        <v>16'ww36</v>
      </c>
      <c r="U2580" s="7" t="str">
        <f>IF(ISBLANK(patch[[#This Row],[mergeDate]]), U2579, MID(YEAR(patch[[#This Row],[mergeDate]]), 3,2)&amp;"'m"&amp;MONTH(patch[[#This Row],[mergeDate]]))</f>
        <v>16'm9</v>
      </c>
      <c r="V2580" s="7" t="str">
        <f>IF(ISBLANK(patch[[#This Row],[project]]), "",SUM(patch[[#This Row],[BJ -1 num]:[SH -1 num]]))</f>
        <v/>
      </c>
      <c r="W2580" s="7" t="str">
        <f>IF(ISBLANK(patch[[#This Row],[project]]), "",COUNTIFS($A:$A,patch[[#This Row],[number]],$S:$S, "BJ And dev",$AC:$AC, "Review-1"))</f>
        <v/>
      </c>
      <c r="X2580" s="7" t="str">
        <f>IF(ISBLANK(patch[[#This Row],[project]]), "",COUNTIFS($A:$A,patch[[#This Row],[number]],$S:$S, "FL And dev",$AC:$AC, "Review-1"))</f>
        <v/>
      </c>
      <c r="Y2580" s="7" t="str">
        <f>IF(ISBLANK(patch[[#This Row],[project]]), "",COUNTIFS($A:$A,patch[[#This Row],[number]],$S:$S, "SH And dev",$AC:$AC, "Review-1"))</f>
        <v/>
      </c>
      <c r="Z2580" s="7" t="str">
        <f>IF(ISBLANK(patch[[#This Row],[project]]), "",COUNTIFS($A:$A,patch[[#This Row],[number]],$S:$S, "BJ And dev",$AD:$AD, "&lt;&gt;IntegratorValidationComment"))</f>
        <v/>
      </c>
      <c r="AA2580" s="7" t="str">
        <f>IF(ISBLANK(patch[[#This Row],[project]]), "",COUNTIFS($A:$A,patch[[#This Row],[number]],$S:$S, "FL And dev",$AD:$AD, "&lt;&gt;IntegratorValidationComment"))</f>
        <v/>
      </c>
      <c r="AB2580" s="7" t="str">
        <f>IF(ISBLANK(patch[[#This Row],[project]]), "",COUNTIFS($A:$A,patch[[#This Row],[number]],$S:$S, "SH And dev",$AD:$AD, "&lt;&gt;IntegratorValidationComment"))</f>
        <v/>
      </c>
      <c r="AC2580" s="7" t="str">
        <f>IF(OR(ISNUMBER(FIND("Review-1", patch[[#This Row],[comments]])), ISNUMBER(FIND("Approver-1", patch[[#This Row],[comments]]))), "Review-1", "")</f>
        <v/>
      </c>
      <c r="AD25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80" s="7">
        <f>IF(ISBLANK(patch[[#This Row],[number]]),AE2579,patch[[#This Row],[ifCommon]])</f>
        <v>0</v>
      </c>
    </row>
    <row r="2581" spans="1:31">
      <c r="A2581" s="151">
        <v>142236</v>
      </c>
      <c r="B2581" s="151"/>
      <c r="C2581" s="151"/>
      <c r="D2581" s="151"/>
      <c r="E2581" s="151"/>
      <c r="F2581" s="151"/>
      <c r="G2581" s="151"/>
      <c r="H2581" s="151"/>
      <c r="I2581" s="151"/>
      <c r="J2581" s="152">
        <v>42614.754988425928</v>
      </c>
      <c r="K2581" s="151"/>
      <c r="L2581" s="151" t="s">
        <v>59</v>
      </c>
      <c r="M2581" s="152">
        <v>42612.504884259259</v>
      </c>
      <c r="N2581" s="151" t="s">
        <v>3886</v>
      </c>
      <c r="O2581" s="151"/>
      <c r="P2581" s="151"/>
      <c r="Q2581" s="7" t="str">
        <f>IF(ISBLANK(patch[[#This Row],[OwnerEmail]]),Q2580,patch[[#This Row],[OwnerEmail]])</f>
        <v>liang.l.yang@intel.com</v>
      </c>
      <c r="R2581" s="7" t="str">
        <f>_xlfn.IFNA(VLOOKUP(patch[[#This Row],[tmp-owner.email]],OrgTree!$A:$K, 11, 0), "not ICG SWFW")</f>
        <v>BJ And dev</v>
      </c>
      <c r="S2581" s="7" t="str">
        <f>IF(patch[[#This Row],[reviewer]]=patch[[#This Row],[tmp-owner.email]], "author", _xlfn.IFNA(VLOOKUP(patch[[#This Row],[reviewer]],OrgTree!$A:$K, 11, 0), "not ICG SWFW"))</f>
        <v>BJ And dev</v>
      </c>
      <c r="T2581" s="7" t="str">
        <f>IF(ISBLANK(patch[[#This Row],[mergeDate]]), "", MID(YEAR(patch[[#This Row],[mergeDate]]), 3,2)&amp;"'ww"&amp;WEEKNUM(patch[[#This Row],[mergeDate]]))</f>
        <v>16'ww36</v>
      </c>
      <c r="U2581" s="7" t="str">
        <f>IF(ISBLANK(patch[[#This Row],[mergeDate]]), U2580, MID(YEAR(patch[[#This Row],[mergeDate]]), 3,2)&amp;"'m"&amp;MONTH(patch[[#This Row],[mergeDate]]))</f>
        <v>16'm9</v>
      </c>
      <c r="V2581" s="7" t="str">
        <f>IF(ISBLANK(patch[[#This Row],[project]]), "",SUM(patch[[#This Row],[BJ -1 num]:[SH -1 num]]))</f>
        <v/>
      </c>
      <c r="W2581" s="7" t="str">
        <f>IF(ISBLANK(patch[[#This Row],[project]]), "",COUNTIFS($A:$A,patch[[#This Row],[number]],$S:$S, "BJ And dev",$AC:$AC, "Review-1"))</f>
        <v/>
      </c>
      <c r="X2581" s="7" t="str">
        <f>IF(ISBLANK(patch[[#This Row],[project]]), "",COUNTIFS($A:$A,patch[[#This Row],[number]],$S:$S, "FL And dev",$AC:$AC, "Review-1"))</f>
        <v/>
      </c>
      <c r="Y2581" s="7" t="str">
        <f>IF(ISBLANK(patch[[#This Row],[project]]), "",COUNTIFS($A:$A,patch[[#This Row],[number]],$S:$S, "SH And dev",$AC:$AC, "Review-1"))</f>
        <v/>
      </c>
      <c r="Z2581" s="7" t="str">
        <f>IF(ISBLANK(patch[[#This Row],[project]]), "",COUNTIFS($A:$A,patch[[#This Row],[number]],$S:$S, "BJ And dev",$AD:$AD, "&lt;&gt;IntegratorValidationComment"))</f>
        <v/>
      </c>
      <c r="AA2581" s="7" t="str">
        <f>IF(ISBLANK(patch[[#This Row],[project]]), "",COUNTIFS($A:$A,patch[[#This Row],[number]],$S:$S, "FL And dev",$AD:$AD, "&lt;&gt;IntegratorValidationComment"))</f>
        <v/>
      </c>
      <c r="AB2581" s="7" t="str">
        <f>IF(ISBLANK(patch[[#This Row],[project]]), "",COUNTIFS($A:$A,patch[[#This Row],[number]],$S:$S, "SH And dev",$AD:$AD, "&lt;&gt;IntegratorValidationComment"))</f>
        <v/>
      </c>
      <c r="AC2581" s="7" t="str">
        <f>IF(OR(ISNUMBER(FIND("Review-1", patch[[#This Row],[comments]])), ISNUMBER(FIND("Approver-1", patch[[#This Row],[comments]]))), "Review-1", "")</f>
        <v/>
      </c>
      <c r="AD25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81" s="7">
        <f>IF(ISBLANK(patch[[#This Row],[number]]),AE2580,patch[[#This Row],[ifCommon]])</f>
        <v>0</v>
      </c>
    </row>
    <row r="2582" spans="1:31">
      <c r="A2582" s="151">
        <v>142236</v>
      </c>
      <c r="B2582" s="151"/>
      <c r="C2582" s="151"/>
      <c r="D2582" s="151"/>
      <c r="E2582" s="151"/>
      <c r="F2582" s="151"/>
      <c r="G2582" s="151"/>
      <c r="H2582" s="151"/>
      <c r="I2582" s="151"/>
      <c r="J2582" s="152">
        <v>42614.754988425928</v>
      </c>
      <c r="K2582" s="151"/>
      <c r="L2582" s="151" t="s">
        <v>63</v>
      </c>
      <c r="M2582" s="152">
        <v>42612.585104166668</v>
      </c>
      <c r="N2582" s="151" t="s">
        <v>48</v>
      </c>
      <c r="O2582" s="151"/>
      <c r="P2582" s="151"/>
      <c r="Q2582" s="7" t="str">
        <f>IF(ISBLANK(patch[[#This Row],[OwnerEmail]]),Q2581,patch[[#This Row],[OwnerEmail]])</f>
        <v>liang.l.yang@intel.com</v>
      </c>
      <c r="R2582" s="7" t="str">
        <f>_xlfn.IFNA(VLOOKUP(patch[[#This Row],[tmp-owner.email]],OrgTree!$A:$K, 11, 0), "not ICG SWFW")</f>
        <v>BJ And dev</v>
      </c>
      <c r="S2582" s="7" t="str">
        <f>IF(patch[[#This Row],[reviewer]]=patch[[#This Row],[tmp-owner.email]], "author", _xlfn.IFNA(VLOOKUP(patch[[#This Row],[reviewer]],OrgTree!$A:$K, 11, 0), "not ICG SWFW"))</f>
        <v>BJ And dev</v>
      </c>
      <c r="T2582" s="7" t="str">
        <f>IF(ISBLANK(patch[[#This Row],[mergeDate]]), "", MID(YEAR(patch[[#This Row],[mergeDate]]), 3,2)&amp;"'ww"&amp;WEEKNUM(patch[[#This Row],[mergeDate]]))</f>
        <v>16'ww36</v>
      </c>
      <c r="U2582" s="7" t="str">
        <f>IF(ISBLANK(patch[[#This Row],[mergeDate]]), U2581, MID(YEAR(patch[[#This Row],[mergeDate]]), 3,2)&amp;"'m"&amp;MONTH(patch[[#This Row],[mergeDate]]))</f>
        <v>16'm9</v>
      </c>
      <c r="V2582" s="7" t="str">
        <f>IF(ISBLANK(patch[[#This Row],[project]]), "",SUM(patch[[#This Row],[BJ -1 num]:[SH -1 num]]))</f>
        <v/>
      </c>
      <c r="W2582" s="7" t="str">
        <f>IF(ISBLANK(patch[[#This Row],[project]]), "",COUNTIFS($A:$A,patch[[#This Row],[number]],$S:$S, "BJ And dev",$AC:$AC, "Review-1"))</f>
        <v/>
      </c>
      <c r="X2582" s="7" t="str">
        <f>IF(ISBLANK(patch[[#This Row],[project]]), "",COUNTIFS($A:$A,patch[[#This Row],[number]],$S:$S, "FL And dev",$AC:$AC, "Review-1"))</f>
        <v/>
      </c>
      <c r="Y2582" s="7" t="str">
        <f>IF(ISBLANK(patch[[#This Row],[project]]), "",COUNTIFS($A:$A,patch[[#This Row],[number]],$S:$S, "SH And dev",$AC:$AC, "Review-1"))</f>
        <v/>
      </c>
      <c r="Z2582" s="7" t="str">
        <f>IF(ISBLANK(patch[[#This Row],[project]]), "",COUNTIFS($A:$A,patch[[#This Row],[number]],$S:$S, "BJ And dev",$AD:$AD, "&lt;&gt;IntegratorValidationComment"))</f>
        <v/>
      </c>
      <c r="AA2582" s="7" t="str">
        <f>IF(ISBLANK(patch[[#This Row],[project]]), "",COUNTIFS($A:$A,patch[[#This Row],[number]],$S:$S, "FL And dev",$AD:$AD, "&lt;&gt;IntegratorValidationComment"))</f>
        <v/>
      </c>
      <c r="AB2582" s="7" t="str">
        <f>IF(ISBLANK(patch[[#This Row],[project]]), "",COUNTIFS($A:$A,patch[[#This Row],[number]],$S:$S, "SH And dev",$AD:$AD, "&lt;&gt;IntegratorValidationComment"))</f>
        <v/>
      </c>
      <c r="AC2582" s="7" t="str">
        <f>IF(OR(ISNUMBER(FIND("Review-1", patch[[#This Row],[comments]])), ISNUMBER(FIND("Approver-1", patch[[#This Row],[comments]]))), "Review-1", "")</f>
        <v/>
      </c>
      <c r="AD25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82" s="7">
        <f>IF(ISBLANK(patch[[#This Row],[number]]),AE2581,patch[[#This Row],[ifCommon]])</f>
        <v>0</v>
      </c>
    </row>
    <row r="2583" spans="1:31">
      <c r="A2583" s="151">
        <v>142236</v>
      </c>
      <c r="B2583" s="151"/>
      <c r="C2583" s="151"/>
      <c r="D2583" s="151"/>
      <c r="E2583" s="151"/>
      <c r="F2583" s="151"/>
      <c r="G2583" s="151"/>
      <c r="H2583" s="151"/>
      <c r="I2583" s="151"/>
      <c r="J2583" s="152">
        <v>42614.754988425928</v>
      </c>
      <c r="K2583" s="151"/>
      <c r="L2583" s="151" t="s">
        <v>55</v>
      </c>
      <c r="M2583" s="152">
        <v>42612.637476851851</v>
      </c>
      <c r="N2583" s="151" t="s">
        <v>49</v>
      </c>
      <c r="O2583" s="151"/>
      <c r="P2583" s="151"/>
      <c r="Q2583" s="7" t="str">
        <f>IF(ISBLANK(patch[[#This Row],[OwnerEmail]]),Q2582,patch[[#This Row],[OwnerEmail]])</f>
        <v>liang.l.yang@intel.com</v>
      </c>
      <c r="R2583" s="7" t="str">
        <f>_xlfn.IFNA(VLOOKUP(patch[[#This Row],[tmp-owner.email]],OrgTree!$A:$K, 11, 0), "not ICG SWFW")</f>
        <v>BJ And dev</v>
      </c>
      <c r="S2583" s="7" t="str">
        <f>IF(patch[[#This Row],[reviewer]]=patch[[#This Row],[tmp-owner.email]], "author", _xlfn.IFNA(VLOOKUP(patch[[#This Row],[reviewer]],OrgTree!$A:$K, 11, 0), "not ICG SWFW"))</f>
        <v>author</v>
      </c>
      <c r="T2583" s="7" t="str">
        <f>IF(ISBLANK(patch[[#This Row],[mergeDate]]), "", MID(YEAR(patch[[#This Row],[mergeDate]]), 3,2)&amp;"'ww"&amp;WEEKNUM(patch[[#This Row],[mergeDate]]))</f>
        <v>16'ww36</v>
      </c>
      <c r="U2583" s="7" t="str">
        <f>IF(ISBLANK(patch[[#This Row],[mergeDate]]), U2582, MID(YEAR(patch[[#This Row],[mergeDate]]), 3,2)&amp;"'m"&amp;MONTH(patch[[#This Row],[mergeDate]]))</f>
        <v>16'm9</v>
      </c>
      <c r="V2583" s="7" t="str">
        <f>IF(ISBLANK(patch[[#This Row],[project]]), "",SUM(patch[[#This Row],[BJ -1 num]:[SH -1 num]]))</f>
        <v/>
      </c>
      <c r="W2583" s="7" t="str">
        <f>IF(ISBLANK(patch[[#This Row],[project]]), "",COUNTIFS($A:$A,patch[[#This Row],[number]],$S:$S, "BJ And dev",$AC:$AC, "Review-1"))</f>
        <v/>
      </c>
      <c r="X2583" s="7" t="str">
        <f>IF(ISBLANK(patch[[#This Row],[project]]), "",COUNTIFS($A:$A,patch[[#This Row],[number]],$S:$S, "FL And dev",$AC:$AC, "Review-1"))</f>
        <v/>
      </c>
      <c r="Y2583" s="7" t="str">
        <f>IF(ISBLANK(patch[[#This Row],[project]]), "",COUNTIFS($A:$A,patch[[#This Row],[number]],$S:$S, "SH And dev",$AC:$AC, "Review-1"))</f>
        <v/>
      </c>
      <c r="Z2583" s="7" t="str">
        <f>IF(ISBLANK(patch[[#This Row],[project]]), "",COUNTIFS($A:$A,patch[[#This Row],[number]],$S:$S, "BJ And dev",$AD:$AD, "&lt;&gt;IntegratorValidationComment"))</f>
        <v/>
      </c>
      <c r="AA2583" s="7" t="str">
        <f>IF(ISBLANK(patch[[#This Row],[project]]), "",COUNTIFS($A:$A,patch[[#This Row],[number]],$S:$S, "FL And dev",$AD:$AD, "&lt;&gt;IntegratorValidationComment"))</f>
        <v/>
      </c>
      <c r="AB2583" s="7" t="str">
        <f>IF(ISBLANK(patch[[#This Row],[project]]), "",COUNTIFS($A:$A,patch[[#This Row],[number]],$S:$S, "SH And dev",$AD:$AD, "&lt;&gt;IntegratorValidationComment"))</f>
        <v/>
      </c>
      <c r="AC2583" s="7" t="str">
        <f>IF(OR(ISNUMBER(FIND("Review-1", patch[[#This Row],[comments]])), ISNUMBER(FIND("Approver-1", patch[[#This Row],[comments]]))), "Review-1", "")</f>
        <v/>
      </c>
      <c r="AD25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83" s="7">
        <f>IF(ISBLANK(patch[[#This Row],[number]]),AE2582,patch[[#This Row],[ifCommon]])</f>
        <v>0</v>
      </c>
    </row>
    <row r="2584" spans="1:31">
      <c r="A2584" s="151">
        <v>142236</v>
      </c>
      <c r="B2584" s="151"/>
      <c r="C2584" s="151"/>
      <c r="D2584" s="151"/>
      <c r="E2584" s="151"/>
      <c r="F2584" s="151"/>
      <c r="G2584" s="151"/>
      <c r="H2584" s="151"/>
      <c r="I2584" s="151"/>
      <c r="J2584" s="152">
        <v>42614.754988425928</v>
      </c>
      <c r="K2584" s="151"/>
      <c r="L2584" s="151" t="s">
        <v>55</v>
      </c>
      <c r="M2584" s="152">
        <v>42612.637476851851</v>
      </c>
      <c r="N2584" s="151" t="s">
        <v>2451</v>
      </c>
      <c r="O2584" s="151"/>
      <c r="P2584" s="151"/>
      <c r="Q2584" s="7" t="str">
        <f>IF(ISBLANK(patch[[#This Row],[OwnerEmail]]),Q2583,patch[[#This Row],[OwnerEmail]])</f>
        <v>liang.l.yang@intel.com</v>
      </c>
      <c r="R2584" s="7" t="str">
        <f>_xlfn.IFNA(VLOOKUP(patch[[#This Row],[tmp-owner.email]],OrgTree!$A:$K, 11, 0), "not ICG SWFW")</f>
        <v>BJ And dev</v>
      </c>
      <c r="S2584" s="7" t="str">
        <f>IF(patch[[#This Row],[reviewer]]=patch[[#This Row],[tmp-owner.email]], "author", _xlfn.IFNA(VLOOKUP(patch[[#This Row],[reviewer]],OrgTree!$A:$K, 11, 0), "not ICG SWFW"))</f>
        <v>author</v>
      </c>
      <c r="T2584" s="7" t="str">
        <f>IF(ISBLANK(patch[[#This Row],[mergeDate]]), "", MID(YEAR(patch[[#This Row],[mergeDate]]), 3,2)&amp;"'ww"&amp;WEEKNUM(patch[[#This Row],[mergeDate]]))</f>
        <v>16'ww36</v>
      </c>
      <c r="U2584" s="7" t="str">
        <f>IF(ISBLANK(patch[[#This Row],[mergeDate]]), U2583, MID(YEAR(patch[[#This Row],[mergeDate]]), 3,2)&amp;"'m"&amp;MONTH(patch[[#This Row],[mergeDate]]))</f>
        <v>16'm9</v>
      </c>
      <c r="V2584" s="7" t="str">
        <f>IF(ISBLANK(patch[[#This Row],[project]]), "",SUM(patch[[#This Row],[BJ -1 num]:[SH -1 num]]))</f>
        <v/>
      </c>
      <c r="W2584" s="7" t="str">
        <f>IF(ISBLANK(patch[[#This Row],[project]]), "",COUNTIFS($A:$A,patch[[#This Row],[number]],$S:$S, "BJ And dev",$AC:$AC, "Review-1"))</f>
        <v/>
      </c>
      <c r="X2584" s="7" t="str">
        <f>IF(ISBLANK(patch[[#This Row],[project]]), "",COUNTIFS($A:$A,patch[[#This Row],[number]],$S:$S, "FL And dev",$AC:$AC, "Review-1"))</f>
        <v/>
      </c>
      <c r="Y2584" s="7" t="str">
        <f>IF(ISBLANK(patch[[#This Row],[project]]), "",COUNTIFS($A:$A,patch[[#This Row],[number]],$S:$S, "SH And dev",$AC:$AC, "Review-1"))</f>
        <v/>
      </c>
      <c r="Z2584" s="7" t="str">
        <f>IF(ISBLANK(patch[[#This Row],[project]]), "",COUNTIFS($A:$A,patch[[#This Row],[number]],$S:$S, "BJ And dev",$AD:$AD, "&lt;&gt;IntegratorValidationComment"))</f>
        <v/>
      </c>
      <c r="AA2584" s="7" t="str">
        <f>IF(ISBLANK(patch[[#This Row],[project]]), "",COUNTIFS($A:$A,patch[[#This Row],[number]],$S:$S, "FL And dev",$AD:$AD, "&lt;&gt;IntegratorValidationComment"))</f>
        <v/>
      </c>
      <c r="AB2584" s="7" t="str">
        <f>IF(ISBLANK(patch[[#This Row],[project]]), "",COUNTIFS($A:$A,patch[[#This Row],[number]],$S:$S, "SH And dev",$AD:$AD, "&lt;&gt;IntegratorValidationComment"))</f>
        <v/>
      </c>
      <c r="AC2584" s="7" t="str">
        <f>IF(OR(ISNUMBER(FIND("Review-1", patch[[#This Row],[comments]])), ISNUMBER(FIND("Approver-1", patch[[#This Row],[comments]]))), "Review-1", "")</f>
        <v/>
      </c>
      <c r="AD25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84" s="7">
        <f>IF(ISBLANK(patch[[#This Row],[number]]),AE2583,patch[[#This Row],[ifCommon]])</f>
        <v>0</v>
      </c>
    </row>
    <row r="2585" spans="1:31">
      <c r="A2585" s="151">
        <v>142236</v>
      </c>
      <c r="B2585" s="151"/>
      <c r="C2585" s="151"/>
      <c r="D2585" s="151"/>
      <c r="E2585" s="151"/>
      <c r="F2585" s="151"/>
      <c r="G2585" s="151"/>
      <c r="H2585" s="151"/>
      <c r="I2585" s="151"/>
      <c r="J2585" s="152">
        <v>42614.754988425928</v>
      </c>
      <c r="K2585" s="151"/>
      <c r="L2585" s="151" t="s">
        <v>59</v>
      </c>
      <c r="M2585" s="152">
        <v>42612.640659722223</v>
      </c>
      <c r="N2585" s="151" t="s">
        <v>3887</v>
      </c>
      <c r="O2585" s="151"/>
      <c r="P2585" s="151"/>
      <c r="Q2585" s="7" t="str">
        <f>IF(ISBLANK(patch[[#This Row],[OwnerEmail]]),Q2584,patch[[#This Row],[OwnerEmail]])</f>
        <v>liang.l.yang@intel.com</v>
      </c>
      <c r="R2585" s="7" t="str">
        <f>_xlfn.IFNA(VLOOKUP(patch[[#This Row],[tmp-owner.email]],OrgTree!$A:$K, 11, 0), "not ICG SWFW")</f>
        <v>BJ And dev</v>
      </c>
      <c r="S2585" s="7" t="str">
        <f>IF(patch[[#This Row],[reviewer]]=patch[[#This Row],[tmp-owner.email]], "author", _xlfn.IFNA(VLOOKUP(patch[[#This Row],[reviewer]],OrgTree!$A:$K, 11, 0), "not ICG SWFW"))</f>
        <v>BJ And dev</v>
      </c>
      <c r="T2585" s="7" t="str">
        <f>IF(ISBLANK(patch[[#This Row],[mergeDate]]), "", MID(YEAR(patch[[#This Row],[mergeDate]]), 3,2)&amp;"'ww"&amp;WEEKNUM(patch[[#This Row],[mergeDate]]))</f>
        <v>16'ww36</v>
      </c>
      <c r="U2585" s="7" t="str">
        <f>IF(ISBLANK(patch[[#This Row],[mergeDate]]), U2584, MID(YEAR(patch[[#This Row],[mergeDate]]), 3,2)&amp;"'m"&amp;MONTH(patch[[#This Row],[mergeDate]]))</f>
        <v>16'm9</v>
      </c>
      <c r="V2585" s="7" t="str">
        <f>IF(ISBLANK(patch[[#This Row],[project]]), "",SUM(patch[[#This Row],[BJ -1 num]:[SH -1 num]]))</f>
        <v/>
      </c>
      <c r="W2585" s="7" t="str">
        <f>IF(ISBLANK(patch[[#This Row],[project]]), "",COUNTIFS($A:$A,patch[[#This Row],[number]],$S:$S, "BJ And dev",$AC:$AC, "Review-1"))</f>
        <v/>
      </c>
      <c r="X2585" s="7" t="str">
        <f>IF(ISBLANK(patch[[#This Row],[project]]), "",COUNTIFS($A:$A,patch[[#This Row],[number]],$S:$S, "FL And dev",$AC:$AC, "Review-1"))</f>
        <v/>
      </c>
      <c r="Y2585" s="7" t="str">
        <f>IF(ISBLANK(patch[[#This Row],[project]]), "",COUNTIFS($A:$A,patch[[#This Row],[number]],$S:$S, "SH And dev",$AC:$AC, "Review-1"))</f>
        <v/>
      </c>
      <c r="Z2585" s="7" t="str">
        <f>IF(ISBLANK(patch[[#This Row],[project]]), "",COUNTIFS($A:$A,patch[[#This Row],[number]],$S:$S, "BJ And dev",$AD:$AD, "&lt;&gt;IntegratorValidationComment"))</f>
        <v/>
      </c>
      <c r="AA2585" s="7" t="str">
        <f>IF(ISBLANK(patch[[#This Row],[project]]), "",COUNTIFS($A:$A,patch[[#This Row],[number]],$S:$S, "FL And dev",$AD:$AD, "&lt;&gt;IntegratorValidationComment"))</f>
        <v/>
      </c>
      <c r="AB2585" s="7" t="str">
        <f>IF(ISBLANK(patch[[#This Row],[project]]), "",COUNTIFS($A:$A,patch[[#This Row],[number]],$S:$S, "SH And dev",$AD:$AD, "&lt;&gt;IntegratorValidationComment"))</f>
        <v/>
      </c>
      <c r="AC2585" s="7" t="str">
        <f>IF(OR(ISNUMBER(FIND("Review-1", patch[[#This Row],[comments]])), ISNUMBER(FIND("Approver-1", patch[[#This Row],[comments]]))), "Review-1", "")</f>
        <v/>
      </c>
      <c r="AD25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85" s="7">
        <f>IF(ISBLANK(patch[[#This Row],[number]]),AE2584,patch[[#This Row],[ifCommon]])</f>
        <v>0</v>
      </c>
    </row>
    <row r="2586" spans="1:31">
      <c r="A2586" s="151">
        <v>142236</v>
      </c>
      <c r="B2586" s="151"/>
      <c r="C2586" s="151"/>
      <c r="D2586" s="151"/>
      <c r="E2586" s="151"/>
      <c r="F2586" s="151"/>
      <c r="G2586" s="151"/>
      <c r="H2586" s="151"/>
      <c r="I2586" s="151"/>
      <c r="J2586" s="152">
        <v>42614.754988425928</v>
      </c>
      <c r="K2586" s="151"/>
      <c r="L2586" s="151" t="s">
        <v>55</v>
      </c>
      <c r="M2586" s="152">
        <v>42612.642500000002</v>
      </c>
      <c r="N2586" s="151" t="s">
        <v>2453</v>
      </c>
      <c r="O2586" s="151"/>
      <c r="P2586" s="151"/>
      <c r="Q2586" s="7" t="str">
        <f>IF(ISBLANK(patch[[#This Row],[OwnerEmail]]),Q2585,patch[[#This Row],[OwnerEmail]])</f>
        <v>liang.l.yang@intel.com</v>
      </c>
      <c r="R2586" s="7" t="str">
        <f>_xlfn.IFNA(VLOOKUP(patch[[#This Row],[tmp-owner.email]],OrgTree!$A:$K, 11, 0), "not ICG SWFW")</f>
        <v>BJ And dev</v>
      </c>
      <c r="S2586" s="7" t="str">
        <f>IF(patch[[#This Row],[reviewer]]=patch[[#This Row],[tmp-owner.email]], "author", _xlfn.IFNA(VLOOKUP(patch[[#This Row],[reviewer]],OrgTree!$A:$K, 11, 0), "not ICG SWFW"))</f>
        <v>author</v>
      </c>
      <c r="T2586" s="7" t="str">
        <f>IF(ISBLANK(patch[[#This Row],[mergeDate]]), "", MID(YEAR(patch[[#This Row],[mergeDate]]), 3,2)&amp;"'ww"&amp;WEEKNUM(patch[[#This Row],[mergeDate]]))</f>
        <v>16'ww36</v>
      </c>
      <c r="U2586" s="7" t="str">
        <f>IF(ISBLANK(patch[[#This Row],[mergeDate]]), U2585, MID(YEAR(patch[[#This Row],[mergeDate]]), 3,2)&amp;"'m"&amp;MONTH(patch[[#This Row],[mergeDate]]))</f>
        <v>16'm9</v>
      </c>
      <c r="V2586" s="7" t="str">
        <f>IF(ISBLANK(patch[[#This Row],[project]]), "",SUM(patch[[#This Row],[BJ -1 num]:[SH -1 num]]))</f>
        <v/>
      </c>
      <c r="W2586" s="7" t="str">
        <f>IF(ISBLANK(patch[[#This Row],[project]]), "",COUNTIFS($A:$A,patch[[#This Row],[number]],$S:$S, "BJ And dev",$AC:$AC, "Review-1"))</f>
        <v/>
      </c>
      <c r="X2586" s="7" t="str">
        <f>IF(ISBLANK(patch[[#This Row],[project]]), "",COUNTIFS($A:$A,patch[[#This Row],[number]],$S:$S, "FL And dev",$AC:$AC, "Review-1"))</f>
        <v/>
      </c>
      <c r="Y2586" s="7" t="str">
        <f>IF(ISBLANK(patch[[#This Row],[project]]), "",COUNTIFS($A:$A,patch[[#This Row],[number]],$S:$S, "SH And dev",$AC:$AC, "Review-1"))</f>
        <v/>
      </c>
      <c r="Z2586" s="7" t="str">
        <f>IF(ISBLANK(patch[[#This Row],[project]]), "",COUNTIFS($A:$A,patch[[#This Row],[number]],$S:$S, "BJ And dev",$AD:$AD, "&lt;&gt;IntegratorValidationComment"))</f>
        <v/>
      </c>
      <c r="AA2586" s="7" t="str">
        <f>IF(ISBLANK(patch[[#This Row],[project]]), "",COUNTIFS($A:$A,patch[[#This Row],[number]],$S:$S, "FL And dev",$AD:$AD, "&lt;&gt;IntegratorValidationComment"))</f>
        <v/>
      </c>
      <c r="AB2586" s="7" t="str">
        <f>IF(ISBLANK(patch[[#This Row],[project]]), "",COUNTIFS($A:$A,patch[[#This Row],[number]],$S:$S, "SH And dev",$AD:$AD, "&lt;&gt;IntegratorValidationComment"))</f>
        <v/>
      </c>
      <c r="AC2586" s="7" t="str">
        <f>IF(OR(ISNUMBER(FIND("Review-1", patch[[#This Row],[comments]])), ISNUMBER(FIND("Approver-1", patch[[#This Row],[comments]]))), "Review-1", "")</f>
        <v/>
      </c>
      <c r="AD25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86" s="7">
        <f>IF(ISBLANK(patch[[#This Row],[number]]),AE2585,patch[[#This Row],[ifCommon]])</f>
        <v>0</v>
      </c>
    </row>
    <row r="2587" spans="1:31">
      <c r="A2587" s="151">
        <v>142236</v>
      </c>
      <c r="B2587" s="151"/>
      <c r="C2587" s="151"/>
      <c r="D2587" s="151"/>
      <c r="E2587" s="151"/>
      <c r="F2587" s="151"/>
      <c r="G2587" s="151"/>
      <c r="H2587" s="151"/>
      <c r="I2587" s="151"/>
      <c r="J2587" s="152">
        <v>42614.754988425928</v>
      </c>
      <c r="K2587" s="151"/>
      <c r="L2587" s="151" t="s">
        <v>55</v>
      </c>
      <c r="M2587" s="152">
        <v>42612.642500000002</v>
      </c>
      <c r="N2587" s="151" t="s">
        <v>1855</v>
      </c>
      <c r="O2587" s="151"/>
      <c r="P2587" s="151"/>
      <c r="Q2587" s="7" t="str">
        <f>IF(ISBLANK(patch[[#This Row],[OwnerEmail]]),Q2586,patch[[#This Row],[OwnerEmail]])</f>
        <v>liang.l.yang@intel.com</v>
      </c>
      <c r="R2587" s="7" t="str">
        <f>_xlfn.IFNA(VLOOKUP(patch[[#This Row],[tmp-owner.email]],OrgTree!$A:$K, 11, 0), "not ICG SWFW")</f>
        <v>BJ And dev</v>
      </c>
      <c r="S2587" s="7" t="str">
        <f>IF(patch[[#This Row],[reviewer]]=patch[[#This Row],[tmp-owner.email]], "author", _xlfn.IFNA(VLOOKUP(patch[[#This Row],[reviewer]],OrgTree!$A:$K, 11, 0), "not ICG SWFW"))</f>
        <v>author</v>
      </c>
      <c r="T2587" s="7" t="str">
        <f>IF(ISBLANK(patch[[#This Row],[mergeDate]]), "", MID(YEAR(patch[[#This Row],[mergeDate]]), 3,2)&amp;"'ww"&amp;WEEKNUM(patch[[#This Row],[mergeDate]]))</f>
        <v>16'ww36</v>
      </c>
      <c r="U2587" s="7" t="str">
        <f>IF(ISBLANK(patch[[#This Row],[mergeDate]]), U2586, MID(YEAR(patch[[#This Row],[mergeDate]]), 3,2)&amp;"'m"&amp;MONTH(patch[[#This Row],[mergeDate]]))</f>
        <v>16'm9</v>
      </c>
      <c r="V2587" s="7" t="str">
        <f>IF(ISBLANK(patch[[#This Row],[project]]), "",SUM(patch[[#This Row],[BJ -1 num]:[SH -1 num]]))</f>
        <v/>
      </c>
      <c r="W2587" s="7" t="str">
        <f>IF(ISBLANK(patch[[#This Row],[project]]), "",COUNTIFS($A:$A,patch[[#This Row],[number]],$S:$S, "BJ And dev",$AC:$AC, "Review-1"))</f>
        <v/>
      </c>
      <c r="X2587" s="7" t="str">
        <f>IF(ISBLANK(patch[[#This Row],[project]]), "",COUNTIFS($A:$A,patch[[#This Row],[number]],$S:$S, "FL And dev",$AC:$AC, "Review-1"))</f>
        <v/>
      </c>
      <c r="Y2587" s="7" t="str">
        <f>IF(ISBLANK(patch[[#This Row],[project]]), "",COUNTIFS($A:$A,patch[[#This Row],[number]],$S:$S, "SH And dev",$AC:$AC, "Review-1"))</f>
        <v/>
      </c>
      <c r="Z2587" s="7" t="str">
        <f>IF(ISBLANK(patch[[#This Row],[project]]), "",COUNTIFS($A:$A,patch[[#This Row],[number]],$S:$S, "BJ And dev",$AD:$AD, "&lt;&gt;IntegratorValidationComment"))</f>
        <v/>
      </c>
      <c r="AA2587" s="7" t="str">
        <f>IF(ISBLANK(patch[[#This Row],[project]]), "",COUNTIFS($A:$A,patch[[#This Row],[number]],$S:$S, "FL And dev",$AD:$AD, "&lt;&gt;IntegratorValidationComment"))</f>
        <v/>
      </c>
      <c r="AB2587" s="7" t="str">
        <f>IF(ISBLANK(patch[[#This Row],[project]]), "",COUNTIFS($A:$A,patch[[#This Row],[number]],$S:$S, "SH And dev",$AD:$AD, "&lt;&gt;IntegratorValidationComment"))</f>
        <v/>
      </c>
      <c r="AC2587" s="7" t="str">
        <f>IF(OR(ISNUMBER(FIND("Review-1", patch[[#This Row],[comments]])), ISNUMBER(FIND("Approver-1", patch[[#This Row],[comments]]))), "Review-1", "")</f>
        <v/>
      </c>
      <c r="AD25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87" s="7">
        <f>IF(ISBLANK(patch[[#This Row],[number]]),AE2586,patch[[#This Row],[ifCommon]])</f>
        <v>0</v>
      </c>
    </row>
    <row r="2588" spans="1:31">
      <c r="A2588" s="151">
        <v>142236</v>
      </c>
      <c r="B2588" s="151"/>
      <c r="C2588" s="151"/>
      <c r="D2588" s="151"/>
      <c r="E2588" s="151"/>
      <c r="F2588" s="151"/>
      <c r="G2588" s="151"/>
      <c r="H2588" s="151"/>
      <c r="I2588" s="151"/>
      <c r="J2588" s="152">
        <v>42614.754988425928</v>
      </c>
      <c r="K2588" s="151"/>
      <c r="L2588" s="151" t="s">
        <v>59</v>
      </c>
      <c r="M2588" s="152">
        <v>42612.647523148153</v>
      </c>
      <c r="N2588" s="151" t="s">
        <v>3888</v>
      </c>
      <c r="O2588" s="151"/>
      <c r="P2588" s="151"/>
      <c r="Q2588" s="7" t="str">
        <f>IF(ISBLANK(patch[[#This Row],[OwnerEmail]]),Q2587,patch[[#This Row],[OwnerEmail]])</f>
        <v>liang.l.yang@intel.com</v>
      </c>
      <c r="R2588" s="7" t="str">
        <f>_xlfn.IFNA(VLOOKUP(patch[[#This Row],[tmp-owner.email]],OrgTree!$A:$K, 11, 0), "not ICG SWFW")</f>
        <v>BJ And dev</v>
      </c>
      <c r="S2588" s="7" t="str">
        <f>IF(patch[[#This Row],[reviewer]]=patch[[#This Row],[tmp-owner.email]], "author", _xlfn.IFNA(VLOOKUP(patch[[#This Row],[reviewer]],OrgTree!$A:$K, 11, 0), "not ICG SWFW"))</f>
        <v>BJ And dev</v>
      </c>
      <c r="T2588" s="7" t="str">
        <f>IF(ISBLANK(patch[[#This Row],[mergeDate]]), "", MID(YEAR(patch[[#This Row],[mergeDate]]), 3,2)&amp;"'ww"&amp;WEEKNUM(patch[[#This Row],[mergeDate]]))</f>
        <v>16'ww36</v>
      </c>
      <c r="U2588" s="7" t="str">
        <f>IF(ISBLANK(patch[[#This Row],[mergeDate]]), U2587, MID(YEAR(patch[[#This Row],[mergeDate]]), 3,2)&amp;"'m"&amp;MONTH(patch[[#This Row],[mergeDate]]))</f>
        <v>16'm9</v>
      </c>
      <c r="V2588" s="7" t="str">
        <f>IF(ISBLANK(patch[[#This Row],[project]]), "",SUM(patch[[#This Row],[BJ -1 num]:[SH -1 num]]))</f>
        <v/>
      </c>
      <c r="W2588" s="7" t="str">
        <f>IF(ISBLANK(patch[[#This Row],[project]]), "",COUNTIFS($A:$A,patch[[#This Row],[number]],$S:$S, "BJ And dev",$AC:$AC, "Review-1"))</f>
        <v/>
      </c>
      <c r="X2588" s="7" t="str">
        <f>IF(ISBLANK(patch[[#This Row],[project]]), "",COUNTIFS($A:$A,patch[[#This Row],[number]],$S:$S, "FL And dev",$AC:$AC, "Review-1"))</f>
        <v/>
      </c>
      <c r="Y2588" s="7" t="str">
        <f>IF(ISBLANK(patch[[#This Row],[project]]), "",COUNTIFS($A:$A,patch[[#This Row],[number]],$S:$S, "SH And dev",$AC:$AC, "Review-1"))</f>
        <v/>
      </c>
      <c r="Z2588" s="7" t="str">
        <f>IF(ISBLANK(patch[[#This Row],[project]]), "",COUNTIFS($A:$A,patch[[#This Row],[number]],$S:$S, "BJ And dev",$AD:$AD, "&lt;&gt;IntegratorValidationComment"))</f>
        <v/>
      </c>
      <c r="AA2588" s="7" t="str">
        <f>IF(ISBLANK(patch[[#This Row],[project]]), "",COUNTIFS($A:$A,patch[[#This Row],[number]],$S:$S, "FL And dev",$AD:$AD, "&lt;&gt;IntegratorValidationComment"))</f>
        <v/>
      </c>
      <c r="AB2588" s="7" t="str">
        <f>IF(ISBLANK(patch[[#This Row],[project]]), "",COUNTIFS($A:$A,patch[[#This Row],[number]],$S:$S, "SH And dev",$AD:$AD, "&lt;&gt;IntegratorValidationComment"))</f>
        <v/>
      </c>
      <c r="AC2588" s="7" t="str">
        <f>IF(OR(ISNUMBER(FIND("Review-1", patch[[#This Row],[comments]])), ISNUMBER(FIND("Approver-1", patch[[#This Row],[comments]]))), "Review-1", "")</f>
        <v/>
      </c>
      <c r="AD25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88" s="7">
        <f>IF(ISBLANK(patch[[#This Row],[number]]),AE2587,patch[[#This Row],[ifCommon]])</f>
        <v>0</v>
      </c>
    </row>
    <row r="2589" spans="1:31">
      <c r="A2589" s="151">
        <v>142236</v>
      </c>
      <c r="B2589" s="151"/>
      <c r="C2589" s="151"/>
      <c r="D2589" s="151"/>
      <c r="E2589" s="151"/>
      <c r="F2589" s="151"/>
      <c r="G2589" s="151"/>
      <c r="H2589" s="151"/>
      <c r="I2589" s="151"/>
      <c r="J2589" s="152">
        <v>42614.754988425928</v>
      </c>
      <c r="K2589" s="151"/>
      <c r="L2589" s="151" t="s">
        <v>55</v>
      </c>
      <c r="M2589" s="152">
        <v>42612.68310185185</v>
      </c>
      <c r="N2589" s="151" t="s">
        <v>2465</v>
      </c>
      <c r="O2589" s="151"/>
      <c r="P2589" s="151"/>
      <c r="Q2589" s="7" t="str">
        <f>IF(ISBLANK(patch[[#This Row],[OwnerEmail]]),Q2588,patch[[#This Row],[OwnerEmail]])</f>
        <v>liang.l.yang@intel.com</v>
      </c>
      <c r="R2589" s="7" t="str">
        <f>_xlfn.IFNA(VLOOKUP(patch[[#This Row],[tmp-owner.email]],OrgTree!$A:$K, 11, 0), "not ICG SWFW")</f>
        <v>BJ And dev</v>
      </c>
      <c r="S2589" s="7" t="str">
        <f>IF(patch[[#This Row],[reviewer]]=patch[[#This Row],[tmp-owner.email]], "author", _xlfn.IFNA(VLOOKUP(patch[[#This Row],[reviewer]],OrgTree!$A:$K, 11, 0), "not ICG SWFW"))</f>
        <v>author</v>
      </c>
      <c r="T2589" s="7" t="str">
        <f>IF(ISBLANK(patch[[#This Row],[mergeDate]]), "", MID(YEAR(patch[[#This Row],[mergeDate]]), 3,2)&amp;"'ww"&amp;WEEKNUM(patch[[#This Row],[mergeDate]]))</f>
        <v>16'ww36</v>
      </c>
      <c r="U2589" s="7" t="str">
        <f>IF(ISBLANK(patch[[#This Row],[mergeDate]]), U2588, MID(YEAR(patch[[#This Row],[mergeDate]]), 3,2)&amp;"'m"&amp;MONTH(patch[[#This Row],[mergeDate]]))</f>
        <v>16'm9</v>
      </c>
      <c r="V2589" s="7" t="str">
        <f>IF(ISBLANK(patch[[#This Row],[project]]), "",SUM(patch[[#This Row],[BJ -1 num]:[SH -1 num]]))</f>
        <v/>
      </c>
      <c r="W2589" s="7" t="str">
        <f>IF(ISBLANK(patch[[#This Row],[project]]), "",COUNTIFS($A:$A,patch[[#This Row],[number]],$S:$S, "BJ And dev",$AC:$AC, "Review-1"))</f>
        <v/>
      </c>
      <c r="X2589" s="7" t="str">
        <f>IF(ISBLANK(patch[[#This Row],[project]]), "",COUNTIFS($A:$A,patch[[#This Row],[number]],$S:$S, "FL And dev",$AC:$AC, "Review-1"))</f>
        <v/>
      </c>
      <c r="Y2589" s="7" t="str">
        <f>IF(ISBLANK(patch[[#This Row],[project]]), "",COUNTIFS($A:$A,patch[[#This Row],[number]],$S:$S, "SH And dev",$AC:$AC, "Review-1"))</f>
        <v/>
      </c>
      <c r="Z2589" s="7" t="str">
        <f>IF(ISBLANK(patch[[#This Row],[project]]), "",COUNTIFS($A:$A,patch[[#This Row],[number]],$S:$S, "BJ And dev",$AD:$AD, "&lt;&gt;IntegratorValidationComment"))</f>
        <v/>
      </c>
      <c r="AA2589" s="7" t="str">
        <f>IF(ISBLANK(patch[[#This Row],[project]]), "",COUNTIFS($A:$A,patch[[#This Row],[number]],$S:$S, "FL And dev",$AD:$AD, "&lt;&gt;IntegratorValidationComment"))</f>
        <v/>
      </c>
      <c r="AB2589" s="7" t="str">
        <f>IF(ISBLANK(patch[[#This Row],[project]]), "",COUNTIFS($A:$A,patch[[#This Row],[number]],$S:$S, "SH And dev",$AD:$AD, "&lt;&gt;IntegratorValidationComment"))</f>
        <v/>
      </c>
      <c r="AC2589" s="7" t="str">
        <f>IF(OR(ISNUMBER(FIND("Review-1", patch[[#This Row],[comments]])), ISNUMBER(FIND("Approver-1", patch[[#This Row],[comments]]))), "Review-1", "")</f>
        <v/>
      </c>
      <c r="AD25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89" s="7">
        <f>IF(ISBLANK(patch[[#This Row],[number]]),AE2588,patch[[#This Row],[ifCommon]])</f>
        <v>0</v>
      </c>
    </row>
    <row r="2590" spans="1:31">
      <c r="A2590" s="151">
        <v>142236</v>
      </c>
      <c r="B2590" s="151"/>
      <c r="C2590" s="151"/>
      <c r="D2590" s="151"/>
      <c r="E2590" s="151"/>
      <c r="F2590" s="151"/>
      <c r="G2590" s="151"/>
      <c r="H2590" s="151"/>
      <c r="I2590" s="151"/>
      <c r="J2590" s="152">
        <v>42614.754988425928</v>
      </c>
      <c r="K2590" s="151"/>
      <c r="L2590" s="151" t="s">
        <v>55</v>
      </c>
      <c r="M2590" s="152">
        <v>42612.68310185185</v>
      </c>
      <c r="N2590" s="151" t="s">
        <v>1842</v>
      </c>
      <c r="O2590" s="151"/>
      <c r="P2590" s="151"/>
      <c r="Q2590" s="7" t="str">
        <f>IF(ISBLANK(patch[[#This Row],[OwnerEmail]]),Q2589,patch[[#This Row],[OwnerEmail]])</f>
        <v>liang.l.yang@intel.com</v>
      </c>
      <c r="R2590" s="7" t="str">
        <f>_xlfn.IFNA(VLOOKUP(patch[[#This Row],[tmp-owner.email]],OrgTree!$A:$K, 11, 0), "not ICG SWFW")</f>
        <v>BJ And dev</v>
      </c>
      <c r="S2590" s="7" t="str">
        <f>IF(patch[[#This Row],[reviewer]]=patch[[#This Row],[tmp-owner.email]], "author", _xlfn.IFNA(VLOOKUP(patch[[#This Row],[reviewer]],OrgTree!$A:$K, 11, 0), "not ICG SWFW"))</f>
        <v>author</v>
      </c>
      <c r="T2590" s="7" t="str">
        <f>IF(ISBLANK(patch[[#This Row],[mergeDate]]), "", MID(YEAR(patch[[#This Row],[mergeDate]]), 3,2)&amp;"'ww"&amp;WEEKNUM(patch[[#This Row],[mergeDate]]))</f>
        <v>16'ww36</v>
      </c>
      <c r="U2590" s="7" t="str">
        <f>IF(ISBLANK(patch[[#This Row],[mergeDate]]), U2589, MID(YEAR(patch[[#This Row],[mergeDate]]), 3,2)&amp;"'m"&amp;MONTH(patch[[#This Row],[mergeDate]]))</f>
        <v>16'm9</v>
      </c>
      <c r="V2590" s="7" t="str">
        <f>IF(ISBLANK(patch[[#This Row],[project]]), "",SUM(patch[[#This Row],[BJ -1 num]:[SH -1 num]]))</f>
        <v/>
      </c>
      <c r="W2590" s="7" t="str">
        <f>IF(ISBLANK(patch[[#This Row],[project]]), "",COUNTIFS($A:$A,patch[[#This Row],[number]],$S:$S, "BJ And dev",$AC:$AC, "Review-1"))</f>
        <v/>
      </c>
      <c r="X2590" s="7" t="str">
        <f>IF(ISBLANK(patch[[#This Row],[project]]), "",COUNTIFS($A:$A,patch[[#This Row],[number]],$S:$S, "FL And dev",$AC:$AC, "Review-1"))</f>
        <v/>
      </c>
      <c r="Y2590" s="7" t="str">
        <f>IF(ISBLANK(patch[[#This Row],[project]]), "",COUNTIFS($A:$A,patch[[#This Row],[number]],$S:$S, "SH And dev",$AC:$AC, "Review-1"))</f>
        <v/>
      </c>
      <c r="Z2590" s="7" t="str">
        <f>IF(ISBLANK(patch[[#This Row],[project]]), "",COUNTIFS($A:$A,patch[[#This Row],[number]],$S:$S, "BJ And dev",$AD:$AD, "&lt;&gt;IntegratorValidationComment"))</f>
        <v/>
      </c>
      <c r="AA2590" s="7" t="str">
        <f>IF(ISBLANK(patch[[#This Row],[project]]), "",COUNTIFS($A:$A,patch[[#This Row],[number]],$S:$S, "FL And dev",$AD:$AD, "&lt;&gt;IntegratorValidationComment"))</f>
        <v/>
      </c>
      <c r="AB2590" s="7" t="str">
        <f>IF(ISBLANK(patch[[#This Row],[project]]), "",COUNTIFS($A:$A,patch[[#This Row],[number]],$S:$S, "SH And dev",$AD:$AD, "&lt;&gt;IntegratorValidationComment"))</f>
        <v/>
      </c>
      <c r="AC2590" s="7" t="str">
        <f>IF(OR(ISNUMBER(FIND("Review-1", patch[[#This Row],[comments]])), ISNUMBER(FIND("Approver-1", patch[[#This Row],[comments]]))), "Review-1", "")</f>
        <v/>
      </c>
      <c r="AD25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90" s="7">
        <f>IF(ISBLANK(patch[[#This Row],[number]]),AE2589,patch[[#This Row],[ifCommon]])</f>
        <v>0</v>
      </c>
    </row>
    <row r="2591" spans="1:31">
      <c r="A2591" s="151">
        <v>142236</v>
      </c>
      <c r="B2591" s="151"/>
      <c r="C2591" s="151"/>
      <c r="D2591" s="151"/>
      <c r="E2591" s="151"/>
      <c r="F2591" s="151"/>
      <c r="G2591" s="151"/>
      <c r="H2591" s="151"/>
      <c r="I2591" s="151"/>
      <c r="J2591" s="152">
        <v>42614.754988425928</v>
      </c>
      <c r="K2591" s="151"/>
      <c r="L2591" s="151" t="s">
        <v>59</v>
      </c>
      <c r="M2591" s="152">
        <v>42612.688831018517</v>
      </c>
      <c r="N2591" s="151" t="s">
        <v>3889</v>
      </c>
      <c r="O2591" s="151"/>
      <c r="P2591" s="151"/>
      <c r="Q2591" s="7" t="str">
        <f>IF(ISBLANK(patch[[#This Row],[OwnerEmail]]),Q2590,patch[[#This Row],[OwnerEmail]])</f>
        <v>liang.l.yang@intel.com</v>
      </c>
      <c r="R2591" s="7" t="str">
        <f>_xlfn.IFNA(VLOOKUP(patch[[#This Row],[tmp-owner.email]],OrgTree!$A:$K, 11, 0), "not ICG SWFW")</f>
        <v>BJ And dev</v>
      </c>
      <c r="S2591" s="7" t="str">
        <f>IF(patch[[#This Row],[reviewer]]=patch[[#This Row],[tmp-owner.email]], "author", _xlfn.IFNA(VLOOKUP(patch[[#This Row],[reviewer]],OrgTree!$A:$K, 11, 0), "not ICG SWFW"))</f>
        <v>BJ And dev</v>
      </c>
      <c r="T2591" s="7" t="str">
        <f>IF(ISBLANK(patch[[#This Row],[mergeDate]]), "", MID(YEAR(patch[[#This Row],[mergeDate]]), 3,2)&amp;"'ww"&amp;WEEKNUM(patch[[#This Row],[mergeDate]]))</f>
        <v>16'ww36</v>
      </c>
      <c r="U2591" s="7" t="str">
        <f>IF(ISBLANK(patch[[#This Row],[mergeDate]]), U2590, MID(YEAR(patch[[#This Row],[mergeDate]]), 3,2)&amp;"'m"&amp;MONTH(patch[[#This Row],[mergeDate]]))</f>
        <v>16'm9</v>
      </c>
      <c r="V2591" s="7" t="str">
        <f>IF(ISBLANK(patch[[#This Row],[project]]), "",SUM(patch[[#This Row],[BJ -1 num]:[SH -1 num]]))</f>
        <v/>
      </c>
      <c r="W2591" s="7" t="str">
        <f>IF(ISBLANK(patch[[#This Row],[project]]), "",COUNTIFS($A:$A,patch[[#This Row],[number]],$S:$S, "BJ And dev",$AC:$AC, "Review-1"))</f>
        <v/>
      </c>
      <c r="X2591" s="7" t="str">
        <f>IF(ISBLANK(patch[[#This Row],[project]]), "",COUNTIFS($A:$A,patch[[#This Row],[number]],$S:$S, "FL And dev",$AC:$AC, "Review-1"))</f>
        <v/>
      </c>
      <c r="Y2591" s="7" t="str">
        <f>IF(ISBLANK(patch[[#This Row],[project]]), "",COUNTIFS($A:$A,patch[[#This Row],[number]],$S:$S, "SH And dev",$AC:$AC, "Review-1"))</f>
        <v/>
      </c>
      <c r="Z2591" s="7" t="str">
        <f>IF(ISBLANK(patch[[#This Row],[project]]), "",COUNTIFS($A:$A,patch[[#This Row],[number]],$S:$S, "BJ And dev",$AD:$AD, "&lt;&gt;IntegratorValidationComment"))</f>
        <v/>
      </c>
      <c r="AA2591" s="7" t="str">
        <f>IF(ISBLANK(patch[[#This Row],[project]]), "",COUNTIFS($A:$A,patch[[#This Row],[number]],$S:$S, "FL And dev",$AD:$AD, "&lt;&gt;IntegratorValidationComment"))</f>
        <v/>
      </c>
      <c r="AB2591" s="7" t="str">
        <f>IF(ISBLANK(patch[[#This Row],[project]]), "",COUNTIFS($A:$A,patch[[#This Row],[number]],$S:$S, "SH And dev",$AD:$AD, "&lt;&gt;IntegratorValidationComment"))</f>
        <v/>
      </c>
      <c r="AC2591" s="7" t="str">
        <f>IF(OR(ISNUMBER(FIND("Review-1", patch[[#This Row],[comments]])), ISNUMBER(FIND("Approver-1", patch[[#This Row],[comments]]))), "Review-1", "")</f>
        <v/>
      </c>
      <c r="AD25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91" s="7">
        <f>IF(ISBLANK(patch[[#This Row],[number]]),AE2590,patch[[#This Row],[ifCommon]])</f>
        <v>0</v>
      </c>
    </row>
    <row r="2592" spans="1:31">
      <c r="A2592" s="151">
        <v>142236</v>
      </c>
      <c r="B2592" s="151"/>
      <c r="C2592" s="151"/>
      <c r="D2592" s="151"/>
      <c r="E2592" s="151"/>
      <c r="F2592" s="151"/>
      <c r="G2592" s="151"/>
      <c r="H2592" s="151"/>
      <c r="I2592" s="151"/>
      <c r="J2592" s="152">
        <v>42614.754988425928</v>
      </c>
      <c r="K2592" s="151"/>
      <c r="L2592" s="151" t="s">
        <v>55</v>
      </c>
      <c r="M2592" s="152">
        <v>42612.692986111113</v>
      </c>
      <c r="N2592" s="151" t="s">
        <v>1862</v>
      </c>
      <c r="O2592" s="151"/>
      <c r="P2592" s="151"/>
      <c r="Q2592" s="7" t="str">
        <f>IF(ISBLANK(patch[[#This Row],[OwnerEmail]]),Q2591,patch[[#This Row],[OwnerEmail]])</f>
        <v>liang.l.yang@intel.com</v>
      </c>
      <c r="R2592" s="7" t="str">
        <f>_xlfn.IFNA(VLOOKUP(patch[[#This Row],[tmp-owner.email]],OrgTree!$A:$K, 11, 0), "not ICG SWFW")</f>
        <v>BJ And dev</v>
      </c>
      <c r="S2592" s="7" t="str">
        <f>IF(patch[[#This Row],[reviewer]]=patch[[#This Row],[tmp-owner.email]], "author", _xlfn.IFNA(VLOOKUP(patch[[#This Row],[reviewer]],OrgTree!$A:$K, 11, 0), "not ICG SWFW"))</f>
        <v>author</v>
      </c>
      <c r="T2592" s="7" t="str">
        <f>IF(ISBLANK(patch[[#This Row],[mergeDate]]), "", MID(YEAR(patch[[#This Row],[mergeDate]]), 3,2)&amp;"'ww"&amp;WEEKNUM(patch[[#This Row],[mergeDate]]))</f>
        <v>16'ww36</v>
      </c>
      <c r="U2592" s="7" t="str">
        <f>IF(ISBLANK(patch[[#This Row],[mergeDate]]), U2591, MID(YEAR(patch[[#This Row],[mergeDate]]), 3,2)&amp;"'m"&amp;MONTH(patch[[#This Row],[mergeDate]]))</f>
        <v>16'm9</v>
      </c>
      <c r="V2592" s="7" t="str">
        <f>IF(ISBLANK(patch[[#This Row],[project]]), "",SUM(patch[[#This Row],[BJ -1 num]:[SH -1 num]]))</f>
        <v/>
      </c>
      <c r="W2592" s="7" t="str">
        <f>IF(ISBLANK(patch[[#This Row],[project]]), "",COUNTIFS($A:$A,patch[[#This Row],[number]],$S:$S, "BJ And dev",$AC:$AC, "Review-1"))</f>
        <v/>
      </c>
      <c r="X2592" s="7" t="str">
        <f>IF(ISBLANK(patch[[#This Row],[project]]), "",COUNTIFS($A:$A,patch[[#This Row],[number]],$S:$S, "FL And dev",$AC:$AC, "Review-1"))</f>
        <v/>
      </c>
      <c r="Y2592" s="7" t="str">
        <f>IF(ISBLANK(patch[[#This Row],[project]]), "",COUNTIFS($A:$A,patch[[#This Row],[number]],$S:$S, "SH And dev",$AC:$AC, "Review-1"))</f>
        <v/>
      </c>
      <c r="Z2592" s="7" t="str">
        <f>IF(ISBLANK(patch[[#This Row],[project]]), "",COUNTIFS($A:$A,patch[[#This Row],[number]],$S:$S, "BJ And dev",$AD:$AD, "&lt;&gt;IntegratorValidationComment"))</f>
        <v/>
      </c>
      <c r="AA2592" s="7" t="str">
        <f>IF(ISBLANK(patch[[#This Row],[project]]), "",COUNTIFS($A:$A,patch[[#This Row],[number]],$S:$S, "FL And dev",$AD:$AD, "&lt;&gt;IntegratorValidationComment"))</f>
        <v/>
      </c>
      <c r="AB2592" s="7" t="str">
        <f>IF(ISBLANK(patch[[#This Row],[project]]), "",COUNTIFS($A:$A,patch[[#This Row],[number]],$S:$S, "SH And dev",$AD:$AD, "&lt;&gt;IntegratorValidationComment"))</f>
        <v/>
      </c>
      <c r="AC2592" s="7" t="str">
        <f>IF(OR(ISNUMBER(FIND("Review-1", patch[[#This Row],[comments]])), ISNUMBER(FIND("Approver-1", patch[[#This Row],[comments]]))), "Review-1", "")</f>
        <v/>
      </c>
      <c r="AD25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92" s="7">
        <f>IF(ISBLANK(patch[[#This Row],[number]]),AE2591,patch[[#This Row],[ifCommon]])</f>
        <v>0</v>
      </c>
    </row>
    <row r="2593" spans="1:31">
      <c r="A2593" s="151">
        <v>142236</v>
      </c>
      <c r="B2593" s="151"/>
      <c r="C2593" s="151"/>
      <c r="D2593" s="151"/>
      <c r="E2593" s="151"/>
      <c r="F2593" s="151"/>
      <c r="G2593" s="151"/>
      <c r="H2593" s="151"/>
      <c r="I2593" s="151"/>
      <c r="J2593" s="152">
        <v>42614.754988425928</v>
      </c>
      <c r="K2593" s="151"/>
      <c r="L2593" s="151" t="s">
        <v>55</v>
      </c>
      <c r="M2593" s="152">
        <v>42612.692986111113</v>
      </c>
      <c r="N2593" s="151" t="s">
        <v>2466</v>
      </c>
      <c r="O2593" s="151"/>
      <c r="P2593" s="151"/>
      <c r="Q2593" s="7" t="str">
        <f>IF(ISBLANK(patch[[#This Row],[OwnerEmail]]),Q2592,patch[[#This Row],[OwnerEmail]])</f>
        <v>liang.l.yang@intel.com</v>
      </c>
      <c r="R2593" s="7" t="str">
        <f>_xlfn.IFNA(VLOOKUP(patch[[#This Row],[tmp-owner.email]],OrgTree!$A:$K, 11, 0), "not ICG SWFW")</f>
        <v>BJ And dev</v>
      </c>
      <c r="S2593" s="7" t="str">
        <f>IF(patch[[#This Row],[reviewer]]=patch[[#This Row],[tmp-owner.email]], "author", _xlfn.IFNA(VLOOKUP(patch[[#This Row],[reviewer]],OrgTree!$A:$K, 11, 0), "not ICG SWFW"))</f>
        <v>author</v>
      </c>
      <c r="T2593" s="7" t="str">
        <f>IF(ISBLANK(patch[[#This Row],[mergeDate]]), "", MID(YEAR(patch[[#This Row],[mergeDate]]), 3,2)&amp;"'ww"&amp;WEEKNUM(patch[[#This Row],[mergeDate]]))</f>
        <v>16'ww36</v>
      </c>
      <c r="U2593" s="7" t="str">
        <f>IF(ISBLANK(patch[[#This Row],[mergeDate]]), U2592, MID(YEAR(patch[[#This Row],[mergeDate]]), 3,2)&amp;"'m"&amp;MONTH(patch[[#This Row],[mergeDate]]))</f>
        <v>16'm9</v>
      </c>
      <c r="V2593" s="7" t="str">
        <f>IF(ISBLANK(patch[[#This Row],[project]]), "",SUM(patch[[#This Row],[BJ -1 num]:[SH -1 num]]))</f>
        <v/>
      </c>
      <c r="W2593" s="7" t="str">
        <f>IF(ISBLANK(patch[[#This Row],[project]]), "",COUNTIFS($A:$A,patch[[#This Row],[number]],$S:$S, "BJ And dev",$AC:$AC, "Review-1"))</f>
        <v/>
      </c>
      <c r="X2593" s="7" t="str">
        <f>IF(ISBLANK(patch[[#This Row],[project]]), "",COUNTIFS($A:$A,patch[[#This Row],[number]],$S:$S, "FL And dev",$AC:$AC, "Review-1"))</f>
        <v/>
      </c>
      <c r="Y2593" s="7" t="str">
        <f>IF(ISBLANK(patch[[#This Row],[project]]), "",COUNTIFS($A:$A,patch[[#This Row],[number]],$S:$S, "SH And dev",$AC:$AC, "Review-1"))</f>
        <v/>
      </c>
      <c r="Z2593" s="7" t="str">
        <f>IF(ISBLANK(patch[[#This Row],[project]]), "",COUNTIFS($A:$A,patch[[#This Row],[number]],$S:$S, "BJ And dev",$AD:$AD, "&lt;&gt;IntegratorValidationComment"))</f>
        <v/>
      </c>
      <c r="AA2593" s="7" t="str">
        <f>IF(ISBLANK(patch[[#This Row],[project]]), "",COUNTIFS($A:$A,patch[[#This Row],[number]],$S:$S, "FL And dev",$AD:$AD, "&lt;&gt;IntegratorValidationComment"))</f>
        <v/>
      </c>
      <c r="AB2593" s="7" t="str">
        <f>IF(ISBLANK(patch[[#This Row],[project]]), "",COUNTIFS($A:$A,patch[[#This Row],[number]],$S:$S, "SH And dev",$AD:$AD, "&lt;&gt;IntegratorValidationComment"))</f>
        <v/>
      </c>
      <c r="AC2593" s="7" t="str">
        <f>IF(OR(ISNUMBER(FIND("Review-1", patch[[#This Row],[comments]])), ISNUMBER(FIND("Approver-1", patch[[#This Row],[comments]]))), "Review-1", "")</f>
        <v/>
      </c>
      <c r="AD25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93" s="7">
        <f>IF(ISBLANK(patch[[#This Row],[number]]),AE2592,patch[[#This Row],[ifCommon]])</f>
        <v>0</v>
      </c>
    </row>
    <row r="2594" spans="1:31">
      <c r="A2594" s="151">
        <v>142236</v>
      </c>
      <c r="B2594" s="151"/>
      <c r="C2594" s="151"/>
      <c r="D2594" s="151"/>
      <c r="E2594" s="151"/>
      <c r="F2594" s="151"/>
      <c r="G2594" s="151"/>
      <c r="H2594" s="151"/>
      <c r="I2594" s="151"/>
      <c r="J2594" s="152">
        <v>42614.754988425928</v>
      </c>
      <c r="K2594" s="151"/>
      <c r="L2594" s="151" t="s">
        <v>59</v>
      </c>
      <c r="M2594" s="152">
        <v>42612.695937500001</v>
      </c>
      <c r="N2594" s="151" t="s">
        <v>3890</v>
      </c>
      <c r="O2594" s="151"/>
      <c r="P2594" s="151"/>
      <c r="Q2594" s="7" t="str">
        <f>IF(ISBLANK(patch[[#This Row],[OwnerEmail]]),Q2593,patch[[#This Row],[OwnerEmail]])</f>
        <v>liang.l.yang@intel.com</v>
      </c>
      <c r="R2594" s="7" t="str">
        <f>_xlfn.IFNA(VLOOKUP(patch[[#This Row],[tmp-owner.email]],OrgTree!$A:$K, 11, 0), "not ICG SWFW")</f>
        <v>BJ And dev</v>
      </c>
      <c r="S2594" s="7" t="str">
        <f>IF(patch[[#This Row],[reviewer]]=patch[[#This Row],[tmp-owner.email]], "author", _xlfn.IFNA(VLOOKUP(patch[[#This Row],[reviewer]],OrgTree!$A:$K, 11, 0), "not ICG SWFW"))</f>
        <v>BJ And dev</v>
      </c>
      <c r="T2594" s="7" t="str">
        <f>IF(ISBLANK(patch[[#This Row],[mergeDate]]), "", MID(YEAR(patch[[#This Row],[mergeDate]]), 3,2)&amp;"'ww"&amp;WEEKNUM(patch[[#This Row],[mergeDate]]))</f>
        <v>16'ww36</v>
      </c>
      <c r="U2594" s="7" t="str">
        <f>IF(ISBLANK(patch[[#This Row],[mergeDate]]), U2593, MID(YEAR(patch[[#This Row],[mergeDate]]), 3,2)&amp;"'m"&amp;MONTH(patch[[#This Row],[mergeDate]]))</f>
        <v>16'm9</v>
      </c>
      <c r="V2594" s="7" t="str">
        <f>IF(ISBLANK(patch[[#This Row],[project]]), "",SUM(patch[[#This Row],[BJ -1 num]:[SH -1 num]]))</f>
        <v/>
      </c>
      <c r="W2594" s="7" t="str">
        <f>IF(ISBLANK(patch[[#This Row],[project]]), "",COUNTIFS($A:$A,patch[[#This Row],[number]],$S:$S, "BJ And dev",$AC:$AC, "Review-1"))</f>
        <v/>
      </c>
      <c r="X2594" s="7" t="str">
        <f>IF(ISBLANK(patch[[#This Row],[project]]), "",COUNTIFS($A:$A,patch[[#This Row],[number]],$S:$S, "FL And dev",$AC:$AC, "Review-1"))</f>
        <v/>
      </c>
      <c r="Y2594" s="7" t="str">
        <f>IF(ISBLANK(patch[[#This Row],[project]]), "",COUNTIFS($A:$A,patch[[#This Row],[number]],$S:$S, "SH And dev",$AC:$AC, "Review-1"))</f>
        <v/>
      </c>
      <c r="Z2594" s="7" t="str">
        <f>IF(ISBLANK(patch[[#This Row],[project]]), "",COUNTIFS($A:$A,patch[[#This Row],[number]],$S:$S, "BJ And dev",$AD:$AD, "&lt;&gt;IntegratorValidationComment"))</f>
        <v/>
      </c>
      <c r="AA2594" s="7" t="str">
        <f>IF(ISBLANK(patch[[#This Row],[project]]), "",COUNTIFS($A:$A,patch[[#This Row],[number]],$S:$S, "FL And dev",$AD:$AD, "&lt;&gt;IntegratorValidationComment"))</f>
        <v/>
      </c>
      <c r="AB2594" s="7" t="str">
        <f>IF(ISBLANK(patch[[#This Row],[project]]), "",COUNTIFS($A:$A,patch[[#This Row],[number]],$S:$S, "SH And dev",$AD:$AD, "&lt;&gt;IntegratorValidationComment"))</f>
        <v/>
      </c>
      <c r="AC2594" s="7" t="str">
        <f>IF(OR(ISNUMBER(FIND("Review-1", patch[[#This Row],[comments]])), ISNUMBER(FIND("Approver-1", patch[[#This Row],[comments]]))), "Review-1", "")</f>
        <v/>
      </c>
      <c r="AD25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94" s="7">
        <f>IF(ISBLANK(patch[[#This Row],[number]]),AE2593,patch[[#This Row],[ifCommon]])</f>
        <v>0</v>
      </c>
    </row>
    <row r="2595" spans="1:31">
      <c r="A2595" s="151">
        <v>142236</v>
      </c>
      <c r="B2595" s="151"/>
      <c r="C2595" s="151"/>
      <c r="D2595" s="151"/>
      <c r="E2595" s="151"/>
      <c r="F2595" s="151"/>
      <c r="G2595" s="151"/>
      <c r="H2595" s="151"/>
      <c r="I2595" s="151"/>
      <c r="J2595" s="152">
        <v>42614.754988425928</v>
      </c>
      <c r="K2595" s="151"/>
      <c r="L2595" s="151" t="s">
        <v>32</v>
      </c>
      <c r="M2595" s="152">
        <v>42612.705127314817</v>
      </c>
      <c r="N2595" s="151" t="s">
        <v>1854</v>
      </c>
      <c r="O2595" s="151"/>
      <c r="P2595" s="151"/>
      <c r="Q2595" s="7" t="str">
        <f>IF(ISBLANK(patch[[#This Row],[OwnerEmail]]),Q2594,patch[[#This Row],[OwnerEmail]])</f>
        <v>liang.l.yang@intel.com</v>
      </c>
      <c r="R2595" s="7" t="str">
        <f>_xlfn.IFNA(VLOOKUP(patch[[#This Row],[tmp-owner.email]],OrgTree!$A:$K, 11, 0), "not ICG SWFW")</f>
        <v>BJ And dev</v>
      </c>
      <c r="S2595" s="7" t="str">
        <f>IF(patch[[#This Row],[reviewer]]=patch[[#This Row],[tmp-owner.email]], "author", _xlfn.IFNA(VLOOKUP(patch[[#This Row],[reviewer]],OrgTree!$A:$K, 11, 0), "not ICG SWFW"))</f>
        <v>BJ And dev</v>
      </c>
      <c r="T2595" s="7" t="str">
        <f>IF(ISBLANK(patch[[#This Row],[mergeDate]]), "", MID(YEAR(patch[[#This Row],[mergeDate]]), 3,2)&amp;"'ww"&amp;WEEKNUM(patch[[#This Row],[mergeDate]]))</f>
        <v>16'ww36</v>
      </c>
      <c r="U2595" s="7" t="str">
        <f>IF(ISBLANK(patch[[#This Row],[mergeDate]]), U2594, MID(YEAR(patch[[#This Row],[mergeDate]]), 3,2)&amp;"'m"&amp;MONTH(patch[[#This Row],[mergeDate]]))</f>
        <v>16'm9</v>
      </c>
      <c r="V2595" s="7" t="str">
        <f>IF(ISBLANK(patch[[#This Row],[project]]), "",SUM(patch[[#This Row],[BJ -1 num]:[SH -1 num]]))</f>
        <v/>
      </c>
      <c r="W2595" s="7" t="str">
        <f>IF(ISBLANK(patch[[#This Row],[project]]), "",COUNTIFS($A:$A,patch[[#This Row],[number]],$S:$S, "BJ And dev",$AC:$AC, "Review-1"))</f>
        <v/>
      </c>
      <c r="X2595" s="7" t="str">
        <f>IF(ISBLANK(patch[[#This Row],[project]]), "",COUNTIFS($A:$A,patch[[#This Row],[number]],$S:$S, "FL And dev",$AC:$AC, "Review-1"))</f>
        <v/>
      </c>
      <c r="Y2595" s="7" t="str">
        <f>IF(ISBLANK(patch[[#This Row],[project]]), "",COUNTIFS($A:$A,patch[[#This Row],[number]],$S:$S, "SH And dev",$AC:$AC, "Review-1"))</f>
        <v/>
      </c>
      <c r="Z2595" s="7" t="str">
        <f>IF(ISBLANK(patch[[#This Row],[project]]), "",COUNTIFS($A:$A,patch[[#This Row],[number]],$S:$S, "BJ And dev",$AD:$AD, "&lt;&gt;IntegratorValidationComment"))</f>
        <v/>
      </c>
      <c r="AA2595" s="7" t="str">
        <f>IF(ISBLANK(patch[[#This Row],[project]]), "",COUNTIFS($A:$A,patch[[#This Row],[number]],$S:$S, "FL And dev",$AD:$AD, "&lt;&gt;IntegratorValidationComment"))</f>
        <v/>
      </c>
      <c r="AB2595" s="7" t="str">
        <f>IF(ISBLANK(patch[[#This Row],[project]]), "",COUNTIFS($A:$A,patch[[#This Row],[number]],$S:$S, "SH And dev",$AD:$AD, "&lt;&gt;IntegratorValidationComment"))</f>
        <v/>
      </c>
      <c r="AC2595" s="7" t="str">
        <f>IF(OR(ISNUMBER(FIND("Review-1", patch[[#This Row],[comments]])), ISNUMBER(FIND("Approver-1", patch[[#This Row],[comments]]))), "Review-1", "")</f>
        <v/>
      </c>
      <c r="AD25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95" s="7">
        <f>IF(ISBLANK(patch[[#This Row],[number]]),AE2594,patch[[#This Row],[ifCommon]])</f>
        <v>0</v>
      </c>
    </row>
    <row r="2596" spans="1:31">
      <c r="A2596" s="151">
        <v>142236</v>
      </c>
      <c r="B2596" s="151"/>
      <c r="C2596" s="151"/>
      <c r="D2596" s="151"/>
      <c r="E2596" s="151"/>
      <c r="F2596" s="151"/>
      <c r="G2596" s="151"/>
      <c r="H2596" s="151"/>
      <c r="I2596" s="151"/>
      <c r="J2596" s="152">
        <v>42614.754988425928</v>
      </c>
      <c r="K2596" s="151"/>
      <c r="L2596" s="151" t="s">
        <v>59</v>
      </c>
      <c r="M2596" s="152">
        <v>42613.448506944442</v>
      </c>
      <c r="N2596" s="151" t="s">
        <v>3891</v>
      </c>
      <c r="O2596" s="151"/>
      <c r="P2596" s="151"/>
      <c r="Q2596" s="7" t="str">
        <f>IF(ISBLANK(patch[[#This Row],[OwnerEmail]]),Q2595,patch[[#This Row],[OwnerEmail]])</f>
        <v>liang.l.yang@intel.com</v>
      </c>
      <c r="R2596" s="7" t="str">
        <f>_xlfn.IFNA(VLOOKUP(patch[[#This Row],[tmp-owner.email]],OrgTree!$A:$K, 11, 0), "not ICG SWFW")</f>
        <v>BJ And dev</v>
      </c>
      <c r="S2596" s="7" t="str">
        <f>IF(patch[[#This Row],[reviewer]]=patch[[#This Row],[tmp-owner.email]], "author", _xlfn.IFNA(VLOOKUP(patch[[#This Row],[reviewer]],OrgTree!$A:$K, 11, 0), "not ICG SWFW"))</f>
        <v>BJ And dev</v>
      </c>
      <c r="T2596" s="7" t="str">
        <f>IF(ISBLANK(patch[[#This Row],[mergeDate]]), "", MID(YEAR(patch[[#This Row],[mergeDate]]), 3,2)&amp;"'ww"&amp;WEEKNUM(patch[[#This Row],[mergeDate]]))</f>
        <v>16'ww36</v>
      </c>
      <c r="U2596" s="7" t="str">
        <f>IF(ISBLANK(patch[[#This Row],[mergeDate]]), U2595, MID(YEAR(patch[[#This Row],[mergeDate]]), 3,2)&amp;"'m"&amp;MONTH(patch[[#This Row],[mergeDate]]))</f>
        <v>16'm9</v>
      </c>
      <c r="V2596" s="7" t="str">
        <f>IF(ISBLANK(patch[[#This Row],[project]]), "",SUM(patch[[#This Row],[BJ -1 num]:[SH -1 num]]))</f>
        <v/>
      </c>
      <c r="W2596" s="7" t="str">
        <f>IF(ISBLANK(patch[[#This Row],[project]]), "",COUNTIFS($A:$A,patch[[#This Row],[number]],$S:$S, "BJ And dev",$AC:$AC, "Review-1"))</f>
        <v/>
      </c>
      <c r="X2596" s="7" t="str">
        <f>IF(ISBLANK(patch[[#This Row],[project]]), "",COUNTIFS($A:$A,patch[[#This Row],[number]],$S:$S, "FL And dev",$AC:$AC, "Review-1"))</f>
        <v/>
      </c>
      <c r="Y2596" s="7" t="str">
        <f>IF(ISBLANK(patch[[#This Row],[project]]), "",COUNTIFS($A:$A,patch[[#This Row],[number]],$S:$S, "SH And dev",$AC:$AC, "Review-1"))</f>
        <v/>
      </c>
      <c r="Z2596" s="7" t="str">
        <f>IF(ISBLANK(patch[[#This Row],[project]]), "",COUNTIFS($A:$A,patch[[#This Row],[number]],$S:$S, "BJ And dev",$AD:$AD, "&lt;&gt;IntegratorValidationComment"))</f>
        <v/>
      </c>
      <c r="AA2596" s="7" t="str">
        <f>IF(ISBLANK(patch[[#This Row],[project]]), "",COUNTIFS($A:$A,patch[[#This Row],[number]],$S:$S, "FL And dev",$AD:$AD, "&lt;&gt;IntegratorValidationComment"))</f>
        <v/>
      </c>
      <c r="AB2596" s="7" t="str">
        <f>IF(ISBLANK(patch[[#This Row],[project]]), "",COUNTIFS($A:$A,patch[[#This Row],[number]],$S:$S, "SH And dev",$AD:$AD, "&lt;&gt;IntegratorValidationComment"))</f>
        <v/>
      </c>
      <c r="AC2596" s="7" t="str">
        <f>IF(OR(ISNUMBER(FIND("Review-1", patch[[#This Row],[comments]])), ISNUMBER(FIND("Approver-1", patch[[#This Row],[comments]]))), "Review-1", "")</f>
        <v/>
      </c>
      <c r="AD25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96" s="7">
        <f>IF(ISBLANK(patch[[#This Row],[number]]),AE2595,patch[[#This Row],[ifCommon]])</f>
        <v>0</v>
      </c>
    </row>
    <row r="2597" spans="1:31">
      <c r="A2597" s="151">
        <v>142236</v>
      </c>
      <c r="B2597" s="151"/>
      <c r="C2597" s="151"/>
      <c r="D2597" s="151"/>
      <c r="E2597" s="151"/>
      <c r="F2597" s="151"/>
      <c r="G2597" s="151"/>
      <c r="H2597" s="151"/>
      <c r="I2597" s="151"/>
      <c r="J2597" s="152">
        <v>42614.754988425928</v>
      </c>
      <c r="K2597" s="151"/>
      <c r="L2597" s="151" t="s">
        <v>55</v>
      </c>
      <c r="M2597" s="152">
        <v>42613.472986111112</v>
      </c>
      <c r="N2597" s="151" t="s">
        <v>2467</v>
      </c>
      <c r="O2597" s="151"/>
      <c r="P2597" s="151"/>
      <c r="Q2597" s="7" t="str">
        <f>IF(ISBLANK(patch[[#This Row],[OwnerEmail]]),Q2596,patch[[#This Row],[OwnerEmail]])</f>
        <v>liang.l.yang@intel.com</v>
      </c>
      <c r="R2597" s="7" t="str">
        <f>_xlfn.IFNA(VLOOKUP(patch[[#This Row],[tmp-owner.email]],OrgTree!$A:$K, 11, 0), "not ICG SWFW")</f>
        <v>BJ And dev</v>
      </c>
      <c r="S2597" s="7" t="str">
        <f>IF(patch[[#This Row],[reviewer]]=patch[[#This Row],[tmp-owner.email]], "author", _xlfn.IFNA(VLOOKUP(patch[[#This Row],[reviewer]],OrgTree!$A:$K, 11, 0), "not ICG SWFW"))</f>
        <v>author</v>
      </c>
      <c r="T2597" s="7" t="str">
        <f>IF(ISBLANK(patch[[#This Row],[mergeDate]]), "", MID(YEAR(patch[[#This Row],[mergeDate]]), 3,2)&amp;"'ww"&amp;WEEKNUM(patch[[#This Row],[mergeDate]]))</f>
        <v>16'ww36</v>
      </c>
      <c r="U2597" s="7" t="str">
        <f>IF(ISBLANK(patch[[#This Row],[mergeDate]]), U2596, MID(YEAR(patch[[#This Row],[mergeDate]]), 3,2)&amp;"'m"&amp;MONTH(patch[[#This Row],[mergeDate]]))</f>
        <v>16'm9</v>
      </c>
      <c r="V2597" s="7" t="str">
        <f>IF(ISBLANK(patch[[#This Row],[project]]), "",SUM(patch[[#This Row],[BJ -1 num]:[SH -1 num]]))</f>
        <v/>
      </c>
      <c r="W2597" s="7" t="str">
        <f>IF(ISBLANK(patch[[#This Row],[project]]), "",COUNTIFS($A:$A,patch[[#This Row],[number]],$S:$S, "BJ And dev",$AC:$AC, "Review-1"))</f>
        <v/>
      </c>
      <c r="X2597" s="7" t="str">
        <f>IF(ISBLANK(patch[[#This Row],[project]]), "",COUNTIFS($A:$A,patch[[#This Row],[number]],$S:$S, "FL And dev",$AC:$AC, "Review-1"))</f>
        <v/>
      </c>
      <c r="Y2597" s="7" t="str">
        <f>IF(ISBLANK(patch[[#This Row],[project]]), "",COUNTIFS($A:$A,patch[[#This Row],[number]],$S:$S, "SH And dev",$AC:$AC, "Review-1"))</f>
        <v/>
      </c>
      <c r="Z2597" s="7" t="str">
        <f>IF(ISBLANK(patch[[#This Row],[project]]), "",COUNTIFS($A:$A,patch[[#This Row],[number]],$S:$S, "BJ And dev",$AD:$AD, "&lt;&gt;IntegratorValidationComment"))</f>
        <v/>
      </c>
      <c r="AA2597" s="7" t="str">
        <f>IF(ISBLANK(patch[[#This Row],[project]]), "",COUNTIFS($A:$A,patch[[#This Row],[number]],$S:$S, "FL And dev",$AD:$AD, "&lt;&gt;IntegratorValidationComment"))</f>
        <v/>
      </c>
      <c r="AB2597" s="7" t="str">
        <f>IF(ISBLANK(patch[[#This Row],[project]]), "",COUNTIFS($A:$A,patch[[#This Row],[number]],$S:$S, "SH And dev",$AD:$AD, "&lt;&gt;IntegratorValidationComment"))</f>
        <v/>
      </c>
      <c r="AC2597" s="7" t="str">
        <f>IF(OR(ISNUMBER(FIND("Review-1", patch[[#This Row],[comments]])), ISNUMBER(FIND("Approver-1", patch[[#This Row],[comments]]))), "Review-1", "")</f>
        <v/>
      </c>
      <c r="AD25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97" s="7">
        <f>IF(ISBLANK(patch[[#This Row],[number]]),AE2596,patch[[#This Row],[ifCommon]])</f>
        <v>0</v>
      </c>
    </row>
    <row r="2598" spans="1:31">
      <c r="A2598" s="151">
        <v>142236</v>
      </c>
      <c r="B2598" s="151"/>
      <c r="C2598" s="151"/>
      <c r="D2598" s="151"/>
      <c r="E2598" s="151"/>
      <c r="F2598" s="151"/>
      <c r="G2598" s="151"/>
      <c r="H2598" s="151"/>
      <c r="I2598" s="152"/>
      <c r="J2598" s="152">
        <v>42614.754988425928</v>
      </c>
      <c r="K2598" s="151"/>
      <c r="L2598" s="151" t="s">
        <v>55</v>
      </c>
      <c r="M2598" s="152">
        <v>42613.472986111112</v>
      </c>
      <c r="N2598" s="151" t="s">
        <v>1866</v>
      </c>
      <c r="O2598" s="151"/>
      <c r="P2598" s="151"/>
      <c r="Q2598" s="7" t="str">
        <f>IF(ISBLANK(patch[[#This Row],[OwnerEmail]]),Q2597,patch[[#This Row],[OwnerEmail]])</f>
        <v>liang.l.yang@intel.com</v>
      </c>
      <c r="R2598" s="7" t="str">
        <f>_xlfn.IFNA(VLOOKUP(patch[[#This Row],[tmp-owner.email]],OrgTree!$A:$K, 11, 0), "not ICG SWFW")</f>
        <v>BJ And dev</v>
      </c>
      <c r="S2598" s="7" t="str">
        <f>IF(patch[[#This Row],[reviewer]]=patch[[#This Row],[tmp-owner.email]], "author", _xlfn.IFNA(VLOOKUP(patch[[#This Row],[reviewer]],OrgTree!$A:$K, 11, 0), "not ICG SWFW"))</f>
        <v>author</v>
      </c>
      <c r="T2598" s="7" t="str">
        <f>IF(ISBLANK(patch[[#This Row],[mergeDate]]), "", MID(YEAR(patch[[#This Row],[mergeDate]]), 3,2)&amp;"'ww"&amp;WEEKNUM(patch[[#This Row],[mergeDate]]))</f>
        <v>16'ww36</v>
      </c>
      <c r="U2598" s="7" t="str">
        <f>IF(ISBLANK(patch[[#This Row],[mergeDate]]), U2597, MID(YEAR(patch[[#This Row],[mergeDate]]), 3,2)&amp;"'m"&amp;MONTH(patch[[#This Row],[mergeDate]]))</f>
        <v>16'm9</v>
      </c>
      <c r="V2598" s="7" t="str">
        <f>IF(ISBLANK(patch[[#This Row],[project]]), "",SUM(patch[[#This Row],[BJ -1 num]:[SH -1 num]]))</f>
        <v/>
      </c>
      <c r="W2598" s="7" t="str">
        <f>IF(ISBLANK(patch[[#This Row],[project]]), "",COUNTIFS($A:$A,patch[[#This Row],[number]],$S:$S, "BJ And dev",$AC:$AC, "Review-1"))</f>
        <v/>
      </c>
      <c r="X2598" s="7" t="str">
        <f>IF(ISBLANK(patch[[#This Row],[project]]), "",COUNTIFS($A:$A,patch[[#This Row],[number]],$S:$S, "FL And dev",$AC:$AC, "Review-1"))</f>
        <v/>
      </c>
      <c r="Y2598" s="7" t="str">
        <f>IF(ISBLANK(patch[[#This Row],[project]]), "",COUNTIFS($A:$A,patch[[#This Row],[number]],$S:$S, "SH And dev",$AC:$AC, "Review-1"))</f>
        <v/>
      </c>
      <c r="Z2598" s="7" t="str">
        <f>IF(ISBLANK(patch[[#This Row],[project]]), "",COUNTIFS($A:$A,patch[[#This Row],[number]],$S:$S, "BJ And dev",$AD:$AD, "&lt;&gt;IntegratorValidationComment"))</f>
        <v/>
      </c>
      <c r="AA2598" s="7" t="str">
        <f>IF(ISBLANK(patch[[#This Row],[project]]), "",COUNTIFS($A:$A,patch[[#This Row],[number]],$S:$S, "FL And dev",$AD:$AD, "&lt;&gt;IntegratorValidationComment"))</f>
        <v/>
      </c>
      <c r="AB2598" s="7" t="str">
        <f>IF(ISBLANK(patch[[#This Row],[project]]), "",COUNTIFS($A:$A,patch[[#This Row],[number]],$S:$S, "SH And dev",$AD:$AD, "&lt;&gt;IntegratorValidationComment"))</f>
        <v/>
      </c>
      <c r="AC2598" s="7" t="str">
        <f>IF(OR(ISNUMBER(FIND("Review-1", patch[[#This Row],[comments]])), ISNUMBER(FIND("Approver-1", patch[[#This Row],[comments]]))), "Review-1", "")</f>
        <v/>
      </c>
      <c r="AD25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98" s="7">
        <f>IF(ISBLANK(patch[[#This Row],[number]]),AE2597,patch[[#This Row],[ifCommon]])</f>
        <v>0</v>
      </c>
    </row>
    <row r="2599" spans="1:31">
      <c r="A2599" s="151">
        <v>142236</v>
      </c>
      <c r="B2599" s="151"/>
      <c r="C2599" s="151"/>
      <c r="D2599" s="151"/>
      <c r="E2599" s="151"/>
      <c r="F2599" s="151"/>
      <c r="G2599" s="151"/>
      <c r="H2599" s="151"/>
      <c r="I2599" s="151"/>
      <c r="J2599" s="152">
        <v>42614.754988425928</v>
      </c>
      <c r="K2599" s="151"/>
      <c r="L2599" s="151" t="s">
        <v>59</v>
      </c>
      <c r="M2599" s="152">
        <v>42613.475243055553</v>
      </c>
      <c r="N2599" s="151" t="s">
        <v>3892</v>
      </c>
      <c r="O2599" s="151"/>
      <c r="P2599" s="151"/>
      <c r="Q2599" s="7" t="str">
        <f>IF(ISBLANK(patch[[#This Row],[OwnerEmail]]),Q2598,patch[[#This Row],[OwnerEmail]])</f>
        <v>liang.l.yang@intel.com</v>
      </c>
      <c r="R2599" s="7" t="str">
        <f>_xlfn.IFNA(VLOOKUP(patch[[#This Row],[tmp-owner.email]],OrgTree!$A:$K, 11, 0), "not ICG SWFW")</f>
        <v>BJ And dev</v>
      </c>
      <c r="S2599" s="7" t="str">
        <f>IF(patch[[#This Row],[reviewer]]=patch[[#This Row],[tmp-owner.email]], "author", _xlfn.IFNA(VLOOKUP(patch[[#This Row],[reviewer]],OrgTree!$A:$K, 11, 0), "not ICG SWFW"))</f>
        <v>BJ And dev</v>
      </c>
      <c r="T2599" s="7" t="str">
        <f>IF(ISBLANK(patch[[#This Row],[mergeDate]]), "", MID(YEAR(patch[[#This Row],[mergeDate]]), 3,2)&amp;"'ww"&amp;WEEKNUM(patch[[#This Row],[mergeDate]]))</f>
        <v>16'ww36</v>
      </c>
      <c r="U2599" s="7" t="str">
        <f>IF(ISBLANK(patch[[#This Row],[mergeDate]]), U2598, MID(YEAR(patch[[#This Row],[mergeDate]]), 3,2)&amp;"'m"&amp;MONTH(patch[[#This Row],[mergeDate]]))</f>
        <v>16'm9</v>
      </c>
      <c r="V2599" s="7" t="str">
        <f>IF(ISBLANK(patch[[#This Row],[project]]), "",SUM(patch[[#This Row],[BJ -1 num]:[SH -1 num]]))</f>
        <v/>
      </c>
      <c r="W2599" s="7" t="str">
        <f>IF(ISBLANK(patch[[#This Row],[project]]), "",COUNTIFS($A:$A,patch[[#This Row],[number]],$S:$S, "BJ And dev",$AC:$AC, "Review-1"))</f>
        <v/>
      </c>
      <c r="X2599" s="7" t="str">
        <f>IF(ISBLANK(patch[[#This Row],[project]]), "",COUNTIFS($A:$A,patch[[#This Row],[number]],$S:$S, "FL And dev",$AC:$AC, "Review-1"))</f>
        <v/>
      </c>
      <c r="Y2599" s="7" t="str">
        <f>IF(ISBLANK(patch[[#This Row],[project]]), "",COUNTIFS($A:$A,patch[[#This Row],[number]],$S:$S, "SH And dev",$AC:$AC, "Review-1"))</f>
        <v/>
      </c>
      <c r="Z2599" s="7" t="str">
        <f>IF(ISBLANK(patch[[#This Row],[project]]), "",COUNTIFS($A:$A,patch[[#This Row],[number]],$S:$S, "BJ And dev",$AD:$AD, "&lt;&gt;IntegratorValidationComment"))</f>
        <v/>
      </c>
      <c r="AA2599" s="7" t="str">
        <f>IF(ISBLANK(patch[[#This Row],[project]]), "",COUNTIFS($A:$A,patch[[#This Row],[number]],$S:$S, "FL And dev",$AD:$AD, "&lt;&gt;IntegratorValidationComment"))</f>
        <v/>
      </c>
      <c r="AB2599" s="7" t="str">
        <f>IF(ISBLANK(patch[[#This Row],[project]]), "",COUNTIFS($A:$A,patch[[#This Row],[number]],$S:$S, "SH And dev",$AD:$AD, "&lt;&gt;IntegratorValidationComment"))</f>
        <v/>
      </c>
      <c r="AC2599" s="7" t="str">
        <f>IF(OR(ISNUMBER(FIND("Review-1", patch[[#This Row],[comments]])), ISNUMBER(FIND("Approver-1", patch[[#This Row],[comments]]))), "Review-1", "")</f>
        <v/>
      </c>
      <c r="AD25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599" s="7">
        <f>IF(ISBLANK(patch[[#This Row],[number]]),AE2598,patch[[#This Row],[ifCommon]])</f>
        <v>0</v>
      </c>
    </row>
    <row r="2600" spans="1:31">
      <c r="A2600" s="151">
        <v>142236</v>
      </c>
      <c r="B2600" s="151"/>
      <c r="C2600" s="151"/>
      <c r="D2600" s="151"/>
      <c r="E2600" s="151"/>
      <c r="F2600" s="151"/>
      <c r="G2600" s="151"/>
      <c r="H2600" s="151"/>
      <c r="I2600" s="151"/>
      <c r="J2600" s="152">
        <v>42614.754988425928</v>
      </c>
      <c r="K2600" s="151"/>
      <c r="L2600" s="151" t="s">
        <v>55</v>
      </c>
      <c r="M2600" s="152">
        <v>42613.479328703703</v>
      </c>
      <c r="N2600" s="151" t="s">
        <v>2468</v>
      </c>
      <c r="O2600" s="151"/>
      <c r="P2600" s="151"/>
      <c r="Q2600" s="7" t="str">
        <f>IF(ISBLANK(patch[[#This Row],[OwnerEmail]]),Q2599,patch[[#This Row],[OwnerEmail]])</f>
        <v>liang.l.yang@intel.com</v>
      </c>
      <c r="R2600" s="7" t="str">
        <f>_xlfn.IFNA(VLOOKUP(patch[[#This Row],[tmp-owner.email]],OrgTree!$A:$K, 11, 0), "not ICG SWFW")</f>
        <v>BJ And dev</v>
      </c>
      <c r="S2600" s="7" t="str">
        <f>IF(patch[[#This Row],[reviewer]]=patch[[#This Row],[tmp-owner.email]], "author", _xlfn.IFNA(VLOOKUP(patch[[#This Row],[reviewer]],OrgTree!$A:$K, 11, 0), "not ICG SWFW"))</f>
        <v>author</v>
      </c>
      <c r="T2600" s="7" t="str">
        <f>IF(ISBLANK(patch[[#This Row],[mergeDate]]), "", MID(YEAR(patch[[#This Row],[mergeDate]]), 3,2)&amp;"'ww"&amp;WEEKNUM(patch[[#This Row],[mergeDate]]))</f>
        <v>16'ww36</v>
      </c>
      <c r="U2600" s="7" t="str">
        <f>IF(ISBLANK(patch[[#This Row],[mergeDate]]), U2599, MID(YEAR(patch[[#This Row],[mergeDate]]), 3,2)&amp;"'m"&amp;MONTH(patch[[#This Row],[mergeDate]]))</f>
        <v>16'm9</v>
      </c>
      <c r="V2600" s="7" t="str">
        <f>IF(ISBLANK(patch[[#This Row],[project]]), "",SUM(patch[[#This Row],[BJ -1 num]:[SH -1 num]]))</f>
        <v/>
      </c>
      <c r="W2600" s="7" t="str">
        <f>IF(ISBLANK(patch[[#This Row],[project]]), "",COUNTIFS($A:$A,patch[[#This Row],[number]],$S:$S, "BJ And dev",$AC:$AC, "Review-1"))</f>
        <v/>
      </c>
      <c r="X2600" s="7" t="str">
        <f>IF(ISBLANK(patch[[#This Row],[project]]), "",COUNTIFS($A:$A,patch[[#This Row],[number]],$S:$S, "FL And dev",$AC:$AC, "Review-1"))</f>
        <v/>
      </c>
      <c r="Y2600" s="7" t="str">
        <f>IF(ISBLANK(patch[[#This Row],[project]]), "",COUNTIFS($A:$A,patch[[#This Row],[number]],$S:$S, "SH And dev",$AC:$AC, "Review-1"))</f>
        <v/>
      </c>
      <c r="Z2600" s="7" t="str">
        <f>IF(ISBLANK(patch[[#This Row],[project]]), "",COUNTIFS($A:$A,patch[[#This Row],[number]],$S:$S, "BJ And dev",$AD:$AD, "&lt;&gt;IntegratorValidationComment"))</f>
        <v/>
      </c>
      <c r="AA2600" s="7" t="str">
        <f>IF(ISBLANK(patch[[#This Row],[project]]), "",COUNTIFS($A:$A,patch[[#This Row],[number]],$S:$S, "FL And dev",$AD:$AD, "&lt;&gt;IntegratorValidationComment"))</f>
        <v/>
      </c>
      <c r="AB2600" s="7" t="str">
        <f>IF(ISBLANK(patch[[#This Row],[project]]), "",COUNTIFS($A:$A,patch[[#This Row],[number]],$S:$S, "SH And dev",$AD:$AD, "&lt;&gt;IntegratorValidationComment"))</f>
        <v/>
      </c>
      <c r="AC2600" s="7" t="str">
        <f>IF(OR(ISNUMBER(FIND("Review-1", patch[[#This Row],[comments]])), ISNUMBER(FIND("Approver-1", patch[[#This Row],[comments]]))), "Review-1", "")</f>
        <v/>
      </c>
      <c r="AD26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00" s="7">
        <f>IF(ISBLANK(patch[[#This Row],[number]]),AE2599,patch[[#This Row],[ifCommon]])</f>
        <v>0</v>
      </c>
    </row>
    <row r="2601" spans="1:31">
      <c r="A2601" s="151">
        <v>142236</v>
      </c>
      <c r="B2601" s="151"/>
      <c r="C2601" s="151"/>
      <c r="D2601" s="151"/>
      <c r="E2601" s="151"/>
      <c r="F2601" s="151"/>
      <c r="G2601" s="151"/>
      <c r="H2601" s="151"/>
      <c r="I2601" s="151"/>
      <c r="J2601" s="152">
        <v>42614.754988425928</v>
      </c>
      <c r="K2601" s="151"/>
      <c r="L2601" s="151" t="s">
        <v>55</v>
      </c>
      <c r="M2601" s="152">
        <v>42613.479328703703</v>
      </c>
      <c r="N2601" s="151" t="s">
        <v>1896</v>
      </c>
      <c r="O2601" s="151"/>
      <c r="P2601" s="151"/>
      <c r="Q2601" s="7" t="str">
        <f>IF(ISBLANK(patch[[#This Row],[OwnerEmail]]),Q2600,patch[[#This Row],[OwnerEmail]])</f>
        <v>liang.l.yang@intel.com</v>
      </c>
      <c r="R2601" s="7" t="str">
        <f>_xlfn.IFNA(VLOOKUP(patch[[#This Row],[tmp-owner.email]],OrgTree!$A:$K, 11, 0), "not ICG SWFW")</f>
        <v>BJ And dev</v>
      </c>
      <c r="S2601" s="7" t="str">
        <f>IF(patch[[#This Row],[reviewer]]=patch[[#This Row],[tmp-owner.email]], "author", _xlfn.IFNA(VLOOKUP(patch[[#This Row],[reviewer]],OrgTree!$A:$K, 11, 0), "not ICG SWFW"))</f>
        <v>author</v>
      </c>
      <c r="T2601" s="7" t="str">
        <f>IF(ISBLANK(patch[[#This Row],[mergeDate]]), "", MID(YEAR(patch[[#This Row],[mergeDate]]), 3,2)&amp;"'ww"&amp;WEEKNUM(patch[[#This Row],[mergeDate]]))</f>
        <v>16'ww36</v>
      </c>
      <c r="U2601" s="7" t="str">
        <f>IF(ISBLANK(patch[[#This Row],[mergeDate]]), U2600, MID(YEAR(patch[[#This Row],[mergeDate]]), 3,2)&amp;"'m"&amp;MONTH(patch[[#This Row],[mergeDate]]))</f>
        <v>16'm9</v>
      </c>
      <c r="V2601" s="7" t="str">
        <f>IF(ISBLANK(patch[[#This Row],[project]]), "",SUM(patch[[#This Row],[BJ -1 num]:[SH -1 num]]))</f>
        <v/>
      </c>
      <c r="W2601" s="7" t="str">
        <f>IF(ISBLANK(patch[[#This Row],[project]]), "",COUNTIFS($A:$A,patch[[#This Row],[number]],$S:$S, "BJ And dev",$AC:$AC, "Review-1"))</f>
        <v/>
      </c>
      <c r="X2601" s="7" t="str">
        <f>IF(ISBLANK(patch[[#This Row],[project]]), "",COUNTIFS($A:$A,patch[[#This Row],[number]],$S:$S, "FL And dev",$AC:$AC, "Review-1"))</f>
        <v/>
      </c>
      <c r="Y2601" s="7" t="str">
        <f>IF(ISBLANK(patch[[#This Row],[project]]), "",COUNTIFS($A:$A,patch[[#This Row],[number]],$S:$S, "SH And dev",$AC:$AC, "Review-1"))</f>
        <v/>
      </c>
      <c r="Z2601" s="7" t="str">
        <f>IF(ISBLANK(patch[[#This Row],[project]]), "",COUNTIFS($A:$A,patch[[#This Row],[number]],$S:$S, "BJ And dev",$AD:$AD, "&lt;&gt;IntegratorValidationComment"))</f>
        <v/>
      </c>
      <c r="AA2601" s="7" t="str">
        <f>IF(ISBLANK(patch[[#This Row],[project]]), "",COUNTIFS($A:$A,patch[[#This Row],[number]],$S:$S, "FL And dev",$AD:$AD, "&lt;&gt;IntegratorValidationComment"))</f>
        <v/>
      </c>
      <c r="AB2601" s="7" t="str">
        <f>IF(ISBLANK(patch[[#This Row],[project]]), "",COUNTIFS($A:$A,patch[[#This Row],[number]],$S:$S, "SH And dev",$AD:$AD, "&lt;&gt;IntegratorValidationComment"))</f>
        <v/>
      </c>
      <c r="AC2601" s="7" t="str">
        <f>IF(OR(ISNUMBER(FIND("Review-1", patch[[#This Row],[comments]])), ISNUMBER(FIND("Approver-1", patch[[#This Row],[comments]]))), "Review-1", "")</f>
        <v/>
      </c>
      <c r="AD26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01" s="7">
        <f>IF(ISBLANK(patch[[#This Row],[number]]),AE2600,patch[[#This Row],[ifCommon]])</f>
        <v>0</v>
      </c>
    </row>
    <row r="2602" spans="1:31">
      <c r="A2602" s="151">
        <v>142236</v>
      </c>
      <c r="B2602" s="151"/>
      <c r="C2602" s="151"/>
      <c r="D2602" s="151"/>
      <c r="E2602" s="151"/>
      <c r="F2602" s="151"/>
      <c r="G2602" s="151"/>
      <c r="H2602" s="151"/>
      <c r="I2602" s="151"/>
      <c r="J2602" s="152">
        <v>42614.754988425928</v>
      </c>
      <c r="K2602" s="151"/>
      <c r="L2602" s="151" t="s">
        <v>59</v>
      </c>
      <c r="M2602" s="152">
        <v>42613.480555555558</v>
      </c>
      <c r="N2602" s="151" t="s">
        <v>3893</v>
      </c>
      <c r="O2602" s="151"/>
      <c r="P2602" s="151"/>
      <c r="Q2602" s="7" t="str">
        <f>IF(ISBLANK(patch[[#This Row],[OwnerEmail]]),Q2601,patch[[#This Row],[OwnerEmail]])</f>
        <v>liang.l.yang@intel.com</v>
      </c>
      <c r="R2602" s="7" t="str">
        <f>_xlfn.IFNA(VLOOKUP(patch[[#This Row],[tmp-owner.email]],OrgTree!$A:$K, 11, 0), "not ICG SWFW")</f>
        <v>BJ And dev</v>
      </c>
      <c r="S2602" s="7" t="str">
        <f>IF(patch[[#This Row],[reviewer]]=patch[[#This Row],[tmp-owner.email]], "author", _xlfn.IFNA(VLOOKUP(patch[[#This Row],[reviewer]],OrgTree!$A:$K, 11, 0), "not ICG SWFW"))</f>
        <v>BJ And dev</v>
      </c>
      <c r="T2602" s="7" t="str">
        <f>IF(ISBLANK(patch[[#This Row],[mergeDate]]), "", MID(YEAR(patch[[#This Row],[mergeDate]]), 3,2)&amp;"'ww"&amp;WEEKNUM(patch[[#This Row],[mergeDate]]))</f>
        <v>16'ww36</v>
      </c>
      <c r="U2602" s="7" t="str">
        <f>IF(ISBLANK(patch[[#This Row],[mergeDate]]), U2601, MID(YEAR(patch[[#This Row],[mergeDate]]), 3,2)&amp;"'m"&amp;MONTH(patch[[#This Row],[mergeDate]]))</f>
        <v>16'm9</v>
      </c>
      <c r="V2602" s="7" t="str">
        <f>IF(ISBLANK(patch[[#This Row],[project]]), "",SUM(patch[[#This Row],[BJ -1 num]:[SH -1 num]]))</f>
        <v/>
      </c>
      <c r="W2602" s="7" t="str">
        <f>IF(ISBLANK(patch[[#This Row],[project]]), "",COUNTIFS($A:$A,patch[[#This Row],[number]],$S:$S, "BJ And dev",$AC:$AC, "Review-1"))</f>
        <v/>
      </c>
      <c r="X2602" s="7" t="str">
        <f>IF(ISBLANK(patch[[#This Row],[project]]), "",COUNTIFS($A:$A,patch[[#This Row],[number]],$S:$S, "FL And dev",$AC:$AC, "Review-1"))</f>
        <v/>
      </c>
      <c r="Y2602" s="7" t="str">
        <f>IF(ISBLANK(patch[[#This Row],[project]]), "",COUNTIFS($A:$A,patch[[#This Row],[number]],$S:$S, "SH And dev",$AC:$AC, "Review-1"))</f>
        <v/>
      </c>
      <c r="Z2602" s="7" t="str">
        <f>IF(ISBLANK(patch[[#This Row],[project]]), "",COUNTIFS($A:$A,patch[[#This Row],[number]],$S:$S, "BJ And dev",$AD:$AD, "&lt;&gt;IntegratorValidationComment"))</f>
        <v/>
      </c>
      <c r="AA2602" s="7" t="str">
        <f>IF(ISBLANK(patch[[#This Row],[project]]), "",COUNTIFS($A:$A,patch[[#This Row],[number]],$S:$S, "FL And dev",$AD:$AD, "&lt;&gt;IntegratorValidationComment"))</f>
        <v/>
      </c>
      <c r="AB2602" s="7" t="str">
        <f>IF(ISBLANK(patch[[#This Row],[project]]), "",COUNTIFS($A:$A,patch[[#This Row],[number]],$S:$S, "SH And dev",$AD:$AD, "&lt;&gt;IntegratorValidationComment"))</f>
        <v/>
      </c>
      <c r="AC2602" s="7" t="str">
        <f>IF(OR(ISNUMBER(FIND("Review-1", patch[[#This Row],[comments]])), ISNUMBER(FIND("Approver-1", patch[[#This Row],[comments]]))), "Review-1", "")</f>
        <v/>
      </c>
      <c r="AD26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02" s="7">
        <f>IF(ISBLANK(patch[[#This Row],[number]]),AE2601,patch[[#This Row],[ifCommon]])</f>
        <v>0</v>
      </c>
    </row>
    <row r="2603" spans="1:31">
      <c r="A2603" s="151">
        <v>142236</v>
      </c>
      <c r="B2603" s="151"/>
      <c r="C2603" s="151"/>
      <c r="D2603" s="151"/>
      <c r="E2603" s="151"/>
      <c r="F2603" s="151"/>
      <c r="G2603" s="151"/>
      <c r="H2603" s="151"/>
      <c r="I2603" s="151"/>
      <c r="J2603" s="152">
        <v>42614.754988425928</v>
      </c>
      <c r="K2603" s="151"/>
      <c r="L2603" s="151" t="s">
        <v>59</v>
      </c>
      <c r="M2603" s="152">
        <v>42613.483194444438</v>
      </c>
      <c r="N2603" s="151" t="s">
        <v>3894</v>
      </c>
      <c r="O2603" s="151"/>
      <c r="P2603" s="151"/>
      <c r="Q2603" s="7" t="str">
        <f>IF(ISBLANK(patch[[#This Row],[OwnerEmail]]),Q2602,patch[[#This Row],[OwnerEmail]])</f>
        <v>liang.l.yang@intel.com</v>
      </c>
      <c r="R2603" s="7" t="str">
        <f>_xlfn.IFNA(VLOOKUP(patch[[#This Row],[tmp-owner.email]],OrgTree!$A:$K, 11, 0), "not ICG SWFW")</f>
        <v>BJ And dev</v>
      </c>
      <c r="S2603" s="7" t="str">
        <f>IF(patch[[#This Row],[reviewer]]=patch[[#This Row],[tmp-owner.email]], "author", _xlfn.IFNA(VLOOKUP(patch[[#This Row],[reviewer]],OrgTree!$A:$K, 11, 0), "not ICG SWFW"))</f>
        <v>BJ And dev</v>
      </c>
      <c r="T2603" s="7" t="str">
        <f>IF(ISBLANK(patch[[#This Row],[mergeDate]]), "", MID(YEAR(patch[[#This Row],[mergeDate]]), 3,2)&amp;"'ww"&amp;WEEKNUM(patch[[#This Row],[mergeDate]]))</f>
        <v>16'ww36</v>
      </c>
      <c r="U2603" s="7" t="str">
        <f>IF(ISBLANK(patch[[#This Row],[mergeDate]]), U2602, MID(YEAR(patch[[#This Row],[mergeDate]]), 3,2)&amp;"'m"&amp;MONTH(patch[[#This Row],[mergeDate]]))</f>
        <v>16'm9</v>
      </c>
      <c r="V2603" s="7" t="str">
        <f>IF(ISBLANK(patch[[#This Row],[project]]), "",SUM(patch[[#This Row],[BJ -1 num]:[SH -1 num]]))</f>
        <v/>
      </c>
      <c r="W2603" s="7" t="str">
        <f>IF(ISBLANK(patch[[#This Row],[project]]), "",COUNTIFS($A:$A,patch[[#This Row],[number]],$S:$S, "BJ And dev",$AC:$AC, "Review-1"))</f>
        <v/>
      </c>
      <c r="X2603" s="7" t="str">
        <f>IF(ISBLANK(patch[[#This Row],[project]]), "",COUNTIFS($A:$A,patch[[#This Row],[number]],$S:$S, "FL And dev",$AC:$AC, "Review-1"))</f>
        <v/>
      </c>
      <c r="Y2603" s="7" t="str">
        <f>IF(ISBLANK(patch[[#This Row],[project]]), "",COUNTIFS($A:$A,patch[[#This Row],[number]],$S:$S, "SH And dev",$AC:$AC, "Review-1"))</f>
        <v/>
      </c>
      <c r="Z2603" s="7" t="str">
        <f>IF(ISBLANK(patch[[#This Row],[project]]), "",COUNTIFS($A:$A,patch[[#This Row],[number]],$S:$S, "BJ And dev",$AD:$AD, "&lt;&gt;IntegratorValidationComment"))</f>
        <v/>
      </c>
      <c r="AA2603" s="7" t="str">
        <f>IF(ISBLANK(patch[[#This Row],[project]]), "",COUNTIFS($A:$A,patch[[#This Row],[number]],$S:$S, "FL And dev",$AD:$AD, "&lt;&gt;IntegratorValidationComment"))</f>
        <v/>
      </c>
      <c r="AB2603" s="7" t="str">
        <f>IF(ISBLANK(patch[[#This Row],[project]]), "",COUNTIFS($A:$A,patch[[#This Row],[number]],$S:$S, "SH And dev",$AD:$AD, "&lt;&gt;IntegratorValidationComment"))</f>
        <v/>
      </c>
      <c r="AC2603" s="7" t="str">
        <f>IF(OR(ISNUMBER(FIND("Review-1", patch[[#This Row],[comments]])), ISNUMBER(FIND("Approver-1", patch[[#This Row],[comments]]))), "Review-1", "")</f>
        <v/>
      </c>
      <c r="AD26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03" s="7">
        <f>IF(ISBLANK(patch[[#This Row],[number]]),AE2602,patch[[#This Row],[ifCommon]])</f>
        <v>0</v>
      </c>
    </row>
    <row r="2604" spans="1:31">
      <c r="A2604" s="151">
        <v>142236</v>
      </c>
      <c r="B2604" s="151"/>
      <c r="C2604" s="151"/>
      <c r="D2604" s="151"/>
      <c r="E2604" s="151"/>
      <c r="F2604" s="151"/>
      <c r="G2604" s="151"/>
      <c r="H2604" s="151"/>
      <c r="I2604" s="151"/>
      <c r="J2604" s="152">
        <v>42614.754988425928</v>
      </c>
      <c r="K2604" s="151"/>
      <c r="L2604" s="151" t="s">
        <v>59</v>
      </c>
      <c r="M2604" s="152">
        <v>42613.488333333327</v>
      </c>
      <c r="N2604" s="151" t="s">
        <v>3895</v>
      </c>
      <c r="O2604" s="151"/>
      <c r="P2604" s="151"/>
      <c r="Q2604" s="7" t="str">
        <f>IF(ISBLANK(patch[[#This Row],[OwnerEmail]]),Q2603,patch[[#This Row],[OwnerEmail]])</f>
        <v>liang.l.yang@intel.com</v>
      </c>
      <c r="R2604" s="7" t="str">
        <f>_xlfn.IFNA(VLOOKUP(patch[[#This Row],[tmp-owner.email]],OrgTree!$A:$K, 11, 0), "not ICG SWFW")</f>
        <v>BJ And dev</v>
      </c>
      <c r="S2604" s="7" t="str">
        <f>IF(patch[[#This Row],[reviewer]]=patch[[#This Row],[tmp-owner.email]], "author", _xlfn.IFNA(VLOOKUP(patch[[#This Row],[reviewer]],OrgTree!$A:$K, 11, 0), "not ICG SWFW"))</f>
        <v>BJ And dev</v>
      </c>
      <c r="T2604" s="7" t="str">
        <f>IF(ISBLANK(patch[[#This Row],[mergeDate]]), "", MID(YEAR(patch[[#This Row],[mergeDate]]), 3,2)&amp;"'ww"&amp;WEEKNUM(patch[[#This Row],[mergeDate]]))</f>
        <v>16'ww36</v>
      </c>
      <c r="U2604" s="7" t="str">
        <f>IF(ISBLANK(patch[[#This Row],[mergeDate]]), U2603, MID(YEAR(patch[[#This Row],[mergeDate]]), 3,2)&amp;"'m"&amp;MONTH(patch[[#This Row],[mergeDate]]))</f>
        <v>16'm9</v>
      </c>
      <c r="V2604" s="7" t="str">
        <f>IF(ISBLANK(patch[[#This Row],[project]]), "",SUM(patch[[#This Row],[BJ -1 num]:[SH -1 num]]))</f>
        <v/>
      </c>
      <c r="W2604" s="7" t="str">
        <f>IF(ISBLANK(patch[[#This Row],[project]]), "",COUNTIFS($A:$A,patch[[#This Row],[number]],$S:$S, "BJ And dev",$AC:$AC, "Review-1"))</f>
        <v/>
      </c>
      <c r="X2604" s="7" t="str">
        <f>IF(ISBLANK(patch[[#This Row],[project]]), "",COUNTIFS($A:$A,patch[[#This Row],[number]],$S:$S, "FL And dev",$AC:$AC, "Review-1"))</f>
        <v/>
      </c>
      <c r="Y2604" s="7" t="str">
        <f>IF(ISBLANK(patch[[#This Row],[project]]), "",COUNTIFS($A:$A,patch[[#This Row],[number]],$S:$S, "SH And dev",$AC:$AC, "Review-1"))</f>
        <v/>
      </c>
      <c r="Z2604" s="7" t="str">
        <f>IF(ISBLANK(patch[[#This Row],[project]]), "",COUNTIFS($A:$A,patch[[#This Row],[number]],$S:$S, "BJ And dev",$AD:$AD, "&lt;&gt;IntegratorValidationComment"))</f>
        <v/>
      </c>
      <c r="AA2604" s="7" t="str">
        <f>IF(ISBLANK(patch[[#This Row],[project]]), "",COUNTIFS($A:$A,patch[[#This Row],[number]],$S:$S, "FL And dev",$AD:$AD, "&lt;&gt;IntegratorValidationComment"))</f>
        <v/>
      </c>
      <c r="AB2604" s="7" t="str">
        <f>IF(ISBLANK(patch[[#This Row],[project]]), "",COUNTIFS($A:$A,patch[[#This Row],[number]],$S:$S, "SH And dev",$AD:$AD, "&lt;&gt;IntegratorValidationComment"))</f>
        <v/>
      </c>
      <c r="AC2604" s="7" t="str">
        <f>IF(OR(ISNUMBER(FIND("Review-1", patch[[#This Row],[comments]])), ISNUMBER(FIND("Approver-1", patch[[#This Row],[comments]]))), "Review-1", "")</f>
        <v/>
      </c>
      <c r="AD26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04" s="7">
        <f>IF(ISBLANK(patch[[#This Row],[number]]),AE2603,patch[[#This Row],[ifCommon]])</f>
        <v>0</v>
      </c>
    </row>
    <row r="2605" spans="1:31">
      <c r="A2605" s="151">
        <v>142236</v>
      </c>
      <c r="B2605" s="151"/>
      <c r="C2605" s="151"/>
      <c r="D2605" s="151"/>
      <c r="E2605" s="151"/>
      <c r="F2605" s="151"/>
      <c r="G2605" s="151"/>
      <c r="H2605" s="151"/>
      <c r="I2605" s="151"/>
      <c r="J2605" s="152">
        <v>42614.754988425928</v>
      </c>
      <c r="K2605" s="151"/>
      <c r="L2605" s="151" t="s">
        <v>55</v>
      </c>
      <c r="M2605" s="152">
        <v>42613.48951388889</v>
      </c>
      <c r="N2605" s="151" t="s">
        <v>2469</v>
      </c>
      <c r="O2605" s="151"/>
      <c r="P2605" s="151"/>
      <c r="Q2605" s="7" t="str">
        <f>IF(ISBLANK(patch[[#This Row],[OwnerEmail]]),Q2604,patch[[#This Row],[OwnerEmail]])</f>
        <v>liang.l.yang@intel.com</v>
      </c>
      <c r="R2605" s="7" t="str">
        <f>_xlfn.IFNA(VLOOKUP(patch[[#This Row],[tmp-owner.email]],OrgTree!$A:$K, 11, 0), "not ICG SWFW")</f>
        <v>BJ And dev</v>
      </c>
      <c r="S2605" s="7" t="str">
        <f>IF(patch[[#This Row],[reviewer]]=patch[[#This Row],[tmp-owner.email]], "author", _xlfn.IFNA(VLOOKUP(patch[[#This Row],[reviewer]],OrgTree!$A:$K, 11, 0), "not ICG SWFW"))</f>
        <v>author</v>
      </c>
      <c r="T2605" s="7" t="str">
        <f>IF(ISBLANK(patch[[#This Row],[mergeDate]]), "", MID(YEAR(patch[[#This Row],[mergeDate]]), 3,2)&amp;"'ww"&amp;WEEKNUM(patch[[#This Row],[mergeDate]]))</f>
        <v>16'ww36</v>
      </c>
      <c r="U2605" s="7" t="str">
        <f>IF(ISBLANK(patch[[#This Row],[mergeDate]]), U2604, MID(YEAR(patch[[#This Row],[mergeDate]]), 3,2)&amp;"'m"&amp;MONTH(patch[[#This Row],[mergeDate]]))</f>
        <v>16'm9</v>
      </c>
      <c r="V2605" s="7" t="str">
        <f>IF(ISBLANK(patch[[#This Row],[project]]), "",SUM(patch[[#This Row],[BJ -1 num]:[SH -1 num]]))</f>
        <v/>
      </c>
      <c r="W2605" s="7" t="str">
        <f>IF(ISBLANK(patch[[#This Row],[project]]), "",COUNTIFS($A:$A,patch[[#This Row],[number]],$S:$S, "BJ And dev",$AC:$AC, "Review-1"))</f>
        <v/>
      </c>
      <c r="X2605" s="7" t="str">
        <f>IF(ISBLANK(patch[[#This Row],[project]]), "",COUNTIFS($A:$A,patch[[#This Row],[number]],$S:$S, "FL And dev",$AC:$AC, "Review-1"))</f>
        <v/>
      </c>
      <c r="Y2605" s="7" t="str">
        <f>IF(ISBLANK(patch[[#This Row],[project]]), "",COUNTIFS($A:$A,patch[[#This Row],[number]],$S:$S, "SH And dev",$AC:$AC, "Review-1"))</f>
        <v/>
      </c>
      <c r="Z2605" s="7" t="str">
        <f>IF(ISBLANK(patch[[#This Row],[project]]), "",COUNTIFS($A:$A,patch[[#This Row],[number]],$S:$S, "BJ And dev",$AD:$AD, "&lt;&gt;IntegratorValidationComment"))</f>
        <v/>
      </c>
      <c r="AA2605" s="7" t="str">
        <f>IF(ISBLANK(patch[[#This Row],[project]]), "",COUNTIFS($A:$A,patch[[#This Row],[number]],$S:$S, "FL And dev",$AD:$AD, "&lt;&gt;IntegratorValidationComment"))</f>
        <v/>
      </c>
      <c r="AB2605" s="7" t="str">
        <f>IF(ISBLANK(patch[[#This Row],[project]]), "",COUNTIFS($A:$A,patch[[#This Row],[number]],$S:$S, "SH And dev",$AD:$AD, "&lt;&gt;IntegratorValidationComment"))</f>
        <v/>
      </c>
      <c r="AC2605" s="7" t="str">
        <f>IF(OR(ISNUMBER(FIND("Review-1", patch[[#This Row],[comments]])), ISNUMBER(FIND("Approver-1", patch[[#This Row],[comments]]))), "Review-1", "")</f>
        <v/>
      </c>
      <c r="AD26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05" s="7">
        <f>IF(ISBLANK(patch[[#This Row],[number]]),AE2604,patch[[#This Row],[ifCommon]])</f>
        <v>0</v>
      </c>
    </row>
    <row r="2606" spans="1:31">
      <c r="A2606" s="151">
        <v>142236</v>
      </c>
      <c r="B2606" s="151"/>
      <c r="C2606" s="151"/>
      <c r="D2606" s="151"/>
      <c r="E2606" s="151"/>
      <c r="F2606" s="151"/>
      <c r="G2606" s="151"/>
      <c r="H2606" s="151"/>
      <c r="I2606" s="151"/>
      <c r="J2606" s="152">
        <v>42614.754988425928</v>
      </c>
      <c r="K2606" s="151"/>
      <c r="L2606" s="151" t="s">
        <v>55</v>
      </c>
      <c r="M2606" s="152">
        <v>42613.48951388889</v>
      </c>
      <c r="N2606" s="151" t="s">
        <v>1912</v>
      </c>
      <c r="O2606" s="151"/>
      <c r="P2606" s="151"/>
      <c r="Q2606" s="7" t="str">
        <f>IF(ISBLANK(patch[[#This Row],[OwnerEmail]]),Q2605,patch[[#This Row],[OwnerEmail]])</f>
        <v>liang.l.yang@intel.com</v>
      </c>
      <c r="R2606" s="7" t="str">
        <f>_xlfn.IFNA(VLOOKUP(patch[[#This Row],[tmp-owner.email]],OrgTree!$A:$K, 11, 0), "not ICG SWFW")</f>
        <v>BJ And dev</v>
      </c>
      <c r="S2606" s="7" t="str">
        <f>IF(patch[[#This Row],[reviewer]]=patch[[#This Row],[tmp-owner.email]], "author", _xlfn.IFNA(VLOOKUP(patch[[#This Row],[reviewer]],OrgTree!$A:$K, 11, 0), "not ICG SWFW"))</f>
        <v>author</v>
      </c>
      <c r="T2606" s="7" t="str">
        <f>IF(ISBLANK(patch[[#This Row],[mergeDate]]), "", MID(YEAR(patch[[#This Row],[mergeDate]]), 3,2)&amp;"'ww"&amp;WEEKNUM(patch[[#This Row],[mergeDate]]))</f>
        <v>16'ww36</v>
      </c>
      <c r="U2606" s="7" t="str">
        <f>IF(ISBLANK(patch[[#This Row],[mergeDate]]), U2605, MID(YEAR(patch[[#This Row],[mergeDate]]), 3,2)&amp;"'m"&amp;MONTH(patch[[#This Row],[mergeDate]]))</f>
        <v>16'm9</v>
      </c>
      <c r="V2606" s="7" t="str">
        <f>IF(ISBLANK(patch[[#This Row],[project]]), "",SUM(patch[[#This Row],[BJ -1 num]:[SH -1 num]]))</f>
        <v/>
      </c>
      <c r="W2606" s="7" t="str">
        <f>IF(ISBLANK(patch[[#This Row],[project]]), "",COUNTIFS($A:$A,patch[[#This Row],[number]],$S:$S, "BJ And dev",$AC:$AC, "Review-1"))</f>
        <v/>
      </c>
      <c r="X2606" s="7" t="str">
        <f>IF(ISBLANK(patch[[#This Row],[project]]), "",COUNTIFS($A:$A,patch[[#This Row],[number]],$S:$S, "FL And dev",$AC:$AC, "Review-1"))</f>
        <v/>
      </c>
      <c r="Y2606" s="7" t="str">
        <f>IF(ISBLANK(patch[[#This Row],[project]]), "",COUNTIFS($A:$A,patch[[#This Row],[number]],$S:$S, "SH And dev",$AC:$AC, "Review-1"))</f>
        <v/>
      </c>
      <c r="Z2606" s="7" t="str">
        <f>IF(ISBLANK(patch[[#This Row],[project]]), "",COUNTIFS($A:$A,patch[[#This Row],[number]],$S:$S, "BJ And dev",$AD:$AD, "&lt;&gt;IntegratorValidationComment"))</f>
        <v/>
      </c>
      <c r="AA2606" s="7" t="str">
        <f>IF(ISBLANK(patch[[#This Row],[project]]), "",COUNTIFS($A:$A,patch[[#This Row],[number]],$S:$S, "FL And dev",$AD:$AD, "&lt;&gt;IntegratorValidationComment"))</f>
        <v/>
      </c>
      <c r="AB2606" s="7" t="str">
        <f>IF(ISBLANK(patch[[#This Row],[project]]), "",COUNTIFS($A:$A,patch[[#This Row],[number]],$S:$S, "SH And dev",$AD:$AD, "&lt;&gt;IntegratorValidationComment"))</f>
        <v/>
      </c>
      <c r="AC2606" s="7" t="str">
        <f>IF(OR(ISNUMBER(FIND("Review-1", patch[[#This Row],[comments]])), ISNUMBER(FIND("Approver-1", patch[[#This Row],[comments]]))), "Review-1", "")</f>
        <v/>
      </c>
      <c r="AD26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06" s="7">
        <f>IF(ISBLANK(patch[[#This Row],[number]]),AE2605,patch[[#This Row],[ifCommon]])</f>
        <v>0</v>
      </c>
    </row>
    <row r="2607" spans="1:31">
      <c r="A2607" s="151">
        <v>142236</v>
      </c>
      <c r="B2607" s="151"/>
      <c r="C2607" s="151"/>
      <c r="D2607" s="151"/>
      <c r="E2607" s="151"/>
      <c r="F2607" s="151"/>
      <c r="G2607" s="151"/>
      <c r="H2607" s="151"/>
      <c r="I2607" s="151"/>
      <c r="J2607" s="152">
        <v>42614.754988425928</v>
      </c>
      <c r="K2607" s="151"/>
      <c r="L2607" s="151" t="s">
        <v>59</v>
      </c>
      <c r="M2607" s="152">
        <v>42613.491481481477</v>
      </c>
      <c r="N2607" s="151" t="s">
        <v>3896</v>
      </c>
      <c r="O2607" s="151"/>
      <c r="P2607" s="151"/>
      <c r="Q2607" s="7" t="str">
        <f>IF(ISBLANK(patch[[#This Row],[OwnerEmail]]),Q2606,patch[[#This Row],[OwnerEmail]])</f>
        <v>liang.l.yang@intel.com</v>
      </c>
      <c r="R2607" s="7" t="str">
        <f>_xlfn.IFNA(VLOOKUP(patch[[#This Row],[tmp-owner.email]],OrgTree!$A:$K, 11, 0), "not ICG SWFW")</f>
        <v>BJ And dev</v>
      </c>
      <c r="S2607" s="7" t="str">
        <f>IF(patch[[#This Row],[reviewer]]=patch[[#This Row],[tmp-owner.email]], "author", _xlfn.IFNA(VLOOKUP(patch[[#This Row],[reviewer]],OrgTree!$A:$K, 11, 0), "not ICG SWFW"))</f>
        <v>BJ And dev</v>
      </c>
      <c r="T2607" s="7" t="str">
        <f>IF(ISBLANK(patch[[#This Row],[mergeDate]]), "", MID(YEAR(patch[[#This Row],[mergeDate]]), 3,2)&amp;"'ww"&amp;WEEKNUM(patch[[#This Row],[mergeDate]]))</f>
        <v>16'ww36</v>
      </c>
      <c r="U2607" s="7" t="str">
        <f>IF(ISBLANK(patch[[#This Row],[mergeDate]]), U2606, MID(YEAR(patch[[#This Row],[mergeDate]]), 3,2)&amp;"'m"&amp;MONTH(patch[[#This Row],[mergeDate]]))</f>
        <v>16'm9</v>
      </c>
      <c r="V2607" s="7" t="str">
        <f>IF(ISBLANK(patch[[#This Row],[project]]), "",SUM(patch[[#This Row],[BJ -1 num]:[SH -1 num]]))</f>
        <v/>
      </c>
      <c r="W2607" s="7" t="str">
        <f>IF(ISBLANK(patch[[#This Row],[project]]), "",COUNTIFS($A:$A,patch[[#This Row],[number]],$S:$S, "BJ And dev",$AC:$AC, "Review-1"))</f>
        <v/>
      </c>
      <c r="X2607" s="7" t="str">
        <f>IF(ISBLANK(patch[[#This Row],[project]]), "",COUNTIFS($A:$A,patch[[#This Row],[number]],$S:$S, "FL And dev",$AC:$AC, "Review-1"))</f>
        <v/>
      </c>
      <c r="Y2607" s="7" t="str">
        <f>IF(ISBLANK(patch[[#This Row],[project]]), "",COUNTIFS($A:$A,patch[[#This Row],[number]],$S:$S, "SH And dev",$AC:$AC, "Review-1"))</f>
        <v/>
      </c>
      <c r="Z2607" s="7" t="str">
        <f>IF(ISBLANK(patch[[#This Row],[project]]), "",COUNTIFS($A:$A,patch[[#This Row],[number]],$S:$S, "BJ And dev",$AD:$AD, "&lt;&gt;IntegratorValidationComment"))</f>
        <v/>
      </c>
      <c r="AA2607" s="7" t="str">
        <f>IF(ISBLANK(patch[[#This Row],[project]]), "",COUNTIFS($A:$A,patch[[#This Row],[number]],$S:$S, "FL And dev",$AD:$AD, "&lt;&gt;IntegratorValidationComment"))</f>
        <v/>
      </c>
      <c r="AB2607" s="7" t="str">
        <f>IF(ISBLANK(patch[[#This Row],[project]]), "",COUNTIFS($A:$A,patch[[#This Row],[number]],$S:$S, "SH And dev",$AD:$AD, "&lt;&gt;IntegratorValidationComment"))</f>
        <v/>
      </c>
      <c r="AC2607" s="7" t="str">
        <f>IF(OR(ISNUMBER(FIND("Review-1", patch[[#This Row],[comments]])), ISNUMBER(FIND("Approver-1", patch[[#This Row],[comments]]))), "Review-1", "")</f>
        <v/>
      </c>
      <c r="AD26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07" s="7">
        <f>IF(ISBLANK(patch[[#This Row],[number]]),AE2606,patch[[#This Row],[ifCommon]])</f>
        <v>0</v>
      </c>
    </row>
    <row r="2608" spans="1:31">
      <c r="A2608" s="151">
        <v>142236</v>
      </c>
      <c r="B2608" s="151"/>
      <c r="C2608" s="151"/>
      <c r="D2608" s="151"/>
      <c r="E2608" s="151"/>
      <c r="F2608" s="151"/>
      <c r="G2608" s="151"/>
      <c r="H2608" s="151"/>
      <c r="I2608" s="151"/>
      <c r="J2608" s="152">
        <v>42614.754988425928</v>
      </c>
      <c r="K2608" s="151"/>
      <c r="L2608" s="151" t="s">
        <v>59</v>
      </c>
      <c r="M2608" s="152">
        <v>42613.492280092592</v>
      </c>
      <c r="N2608" s="151" t="s">
        <v>3897</v>
      </c>
      <c r="O2608" s="151"/>
      <c r="P2608" s="151"/>
      <c r="Q2608" s="7" t="str">
        <f>IF(ISBLANK(patch[[#This Row],[OwnerEmail]]),Q2607,patch[[#This Row],[OwnerEmail]])</f>
        <v>liang.l.yang@intel.com</v>
      </c>
      <c r="R2608" s="7" t="str">
        <f>_xlfn.IFNA(VLOOKUP(patch[[#This Row],[tmp-owner.email]],OrgTree!$A:$K, 11, 0), "not ICG SWFW")</f>
        <v>BJ And dev</v>
      </c>
      <c r="S2608" s="7" t="str">
        <f>IF(patch[[#This Row],[reviewer]]=patch[[#This Row],[tmp-owner.email]], "author", _xlfn.IFNA(VLOOKUP(patch[[#This Row],[reviewer]],OrgTree!$A:$K, 11, 0), "not ICG SWFW"))</f>
        <v>BJ And dev</v>
      </c>
      <c r="T2608" s="7" t="str">
        <f>IF(ISBLANK(patch[[#This Row],[mergeDate]]), "", MID(YEAR(patch[[#This Row],[mergeDate]]), 3,2)&amp;"'ww"&amp;WEEKNUM(patch[[#This Row],[mergeDate]]))</f>
        <v>16'ww36</v>
      </c>
      <c r="U2608" s="7" t="str">
        <f>IF(ISBLANK(patch[[#This Row],[mergeDate]]), U2607, MID(YEAR(patch[[#This Row],[mergeDate]]), 3,2)&amp;"'m"&amp;MONTH(patch[[#This Row],[mergeDate]]))</f>
        <v>16'm9</v>
      </c>
      <c r="V2608" s="7" t="str">
        <f>IF(ISBLANK(patch[[#This Row],[project]]), "",SUM(patch[[#This Row],[BJ -1 num]:[SH -1 num]]))</f>
        <v/>
      </c>
      <c r="W2608" s="7" t="str">
        <f>IF(ISBLANK(patch[[#This Row],[project]]), "",COUNTIFS($A:$A,patch[[#This Row],[number]],$S:$S, "BJ And dev",$AC:$AC, "Review-1"))</f>
        <v/>
      </c>
      <c r="X2608" s="7" t="str">
        <f>IF(ISBLANK(patch[[#This Row],[project]]), "",COUNTIFS($A:$A,patch[[#This Row],[number]],$S:$S, "FL And dev",$AC:$AC, "Review-1"))</f>
        <v/>
      </c>
      <c r="Y2608" s="7" t="str">
        <f>IF(ISBLANK(patch[[#This Row],[project]]), "",COUNTIFS($A:$A,patch[[#This Row],[number]],$S:$S, "SH And dev",$AC:$AC, "Review-1"))</f>
        <v/>
      </c>
      <c r="Z2608" s="7" t="str">
        <f>IF(ISBLANK(patch[[#This Row],[project]]), "",COUNTIFS($A:$A,patch[[#This Row],[number]],$S:$S, "BJ And dev",$AD:$AD, "&lt;&gt;IntegratorValidationComment"))</f>
        <v/>
      </c>
      <c r="AA2608" s="7" t="str">
        <f>IF(ISBLANK(patch[[#This Row],[project]]), "",COUNTIFS($A:$A,patch[[#This Row],[number]],$S:$S, "FL And dev",$AD:$AD, "&lt;&gt;IntegratorValidationComment"))</f>
        <v/>
      </c>
      <c r="AB2608" s="7" t="str">
        <f>IF(ISBLANK(patch[[#This Row],[project]]), "",COUNTIFS($A:$A,patch[[#This Row],[number]],$S:$S, "SH And dev",$AD:$AD, "&lt;&gt;IntegratorValidationComment"))</f>
        <v/>
      </c>
      <c r="AC2608" s="7" t="str">
        <f>IF(OR(ISNUMBER(FIND("Review-1", patch[[#This Row],[comments]])), ISNUMBER(FIND("Approver-1", patch[[#This Row],[comments]]))), "Review-1", "")</f>
        <v/>
      </c>
      <c r="AD26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08" s="7">
        <f>IF(ISBLANK(patch[[#This Row],[number]]),AE2607,patch[[#This Row],[ifCommon]])</f>
        <v>0</v>
      </c>
    </row>
    <row r="2609" spans="1:31">
      <c r="A2609" s="151">
        <v>142236</v>
      </c>
      <c r="B2609" s="151"/>
      <c r="C2609" s="151"/>
      <c r="D2609" s="151"/>
      <c r="E2609" s="151"/>
      <c r="F2609" s="151"/>
      <c r="G2609" s="151"/>
      <c r="H2609" s="151"/>
      <c r="I2609" s="151"/>
      <c r="J2609" s="152">
        <v>42614.754988425928</v>
      </c>
      <c r="K2609" s="151"/>
      <c r="L2609" s="151" t="s">
        <v>55</v>
      </c>
      <c r="M2609" s="152">
        <v>42613.494537037041</v>
      </c>
      <c r="N2609" s="151" t="s">
        <v>1859</v>
      </c>
      <c r="O2609" s="151"/>
      <c r="P2609" s="151"/>
      <c r="Q2609" s="7" t="str">
        <f>IF(ISBLANK(patch[[#This Row],[OwnerEmail]]),Q2608,patch[[#This Row],[OwnerEmail]])</f>
        <v>liang.l.yang@intel.com</v>
      </c>
      <c r="R2609" s="7" t="str">
        <f>_xlfn.IFNA(VLOOKUP(patch[[#This Row],[tmp-owner.email]],OrgTree!$A:$K, 11, 0), "not ICG SWFW")</f>
        <v>BJ And dev</v>
      </c>
      <c r="S2609" s="7" t="str">
        <f>IF(patch[[#This Row],[reviewer]]=patch[[#This Row],[tmp-owner.email]], "author", _xlfn.IFNA(VLOOKUP(patch[[#This Row],[reviewer]],OrgTree!$A:$K, 11, 0), "not ICG SWFW"))</f>
        <v>author</v>
      </c>
      <c r="T2609" s="7" t="str">
        <f>IF(ISBLANK(patch[[#This Row],[mergeDate]]), "", MID(YEAR(patch[[#This Row],[mergeDate]]), 3,2)&amp;"'ww"&amp;WEEKNUM(patch[[#This Row],[mergeDate]]))</f>
        <v>16'ww36</v>
      </c>
      <c r="U2609" s="7" t="str">
        <f>IF(ISBLANK(patch[[#This Row],[mergeDate]]), U2608, MID(YEAR(patch[[#This Row],[mergeDate]]), 3,2)&amp;"'m"&amp;MONTH(patch[[#This Row],[mergeDate]]))</f>
        <v>16'm9</v>
      </c>
      <c r="V2609" s="7" t="str">
        <f>IF(ISBLANK(patch[[#This Row],[project]]), "",SUM(patch[[#This Row],[BJ -1 num]:[SH -1 num]]))</f>
        <v/>
      </c>
      <c r="W2609" s="7" t="str">
        <f>IF(ISBLANK(patch[[#This Row],[project]]), "",COUNTIFS($A:$A,patch[[#This Row],[number]],$S:$S, "BJ And dev",$AC:$AC, "Review-1"))</f>
        <v/>
      </c>
      <c r="X2609" s="7" t="str">
        <f>IF(ISBLANK(patch[[#This Row],[project]]), "",COUNTIFS($A:$A,patch[[#This Row],[number]],$S:$S, "FL And dev",$AC:$AC, "Review-1"))</f>
        <v/>
      </c>
      <c r="Y2609" s="7" t="str">
        <f>IF(ISBLANK(patch[[#This Row],[project]]), "",COUNTIFS($A:$A,patch[[#This Row],[number]],$S:$S, "SH And dev",$AC:$AC, "Review-1"))</f>
        <v/>
      </c>
      <c r="Z2609" s="7" t="str">
        <f>IF(ISBLANK(patch[[#This Row],[project]]), "",COUNTIFS($A:$A,patch[[#This Row],[number]],$S:$S, "BJ And dev",$AD:$AD, "&lt;&gt;IntegratorValidationComment"))</f>
        <v/>
      </c>
      <c r="AA2609" s="7" t="str">
        <f>IF(ISBLANK(patch[[#This Row],[project]]), "",COUNTIFS($A:$A,patch[[#This Row],[number]],$S:$S, "FL And dev",$AD:$AD, "&lt;&gt;IntegratorValidationComment"))</f>
        <v/>
      </c>
      <c r="AB2609" s="7" t="str">
        <f>IF(ISBLANK(patch[[#This Row],[project]]), "",COUNTIFS($A:$A,patch[[#This Row],[number]],$S:$S, "SH And dev",$AD:$AD, "&lt;&gt;IntegratorValidationComment"))</f>
        <v/>
      </c>
      <c r="AC2609" s="7" t="str">
        <f>IF(OR(ISNUMBER(FIND("Review-1", patch[[#This Row],[comments]])), ISNUMBER(FIND("Approver-1", patch[[#This Row],[comments]]))), "Review-1", "")</f>
        <v/>
      </c>
      <c r="AD26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09" s="7">
        <f>IF(ISBLANK(patch[[#This Row],[number]]),AE2608,patch[[#This Row],[ifCommon]])</f>
        <v>0</v>
      </c>
    </row>
    <row r="2610" spans="1:31">
      <c r="A2610" s="151">
        <v>142236</v>
      </c>
      <c r="B2610" s="151"/>
      <c r="C2610" s="151"/>
      <c r="D2610" s="151"/>
      <c r="E2610" s="151"/>
      <c r="F2610" s="151"/>
      <c r="G2610" s="151"/>
      <c r="H2610" s="151"/>
      <c r="I2610" s="151"/>
      <c r="J2610" s="152">
        <v>42614.754988425928</v>
      </c>
      <c r="K2610" s="151"/>
      <c r="L2610" s="151" t="s">
        <v>59</v>
      </c>
      <c r="M2610" s="152">
        <v>42613.494537037041</v>
      </c>
      <c r="N2610" s="151" t="s">
        <v>3898</v>
      </c>
      <c r="O2610" s="151"/>
      <c r="P2610" s="151"/>
      <c r="Q2610" s="7" t="str">
        <f>IF(ISBLANK(patch[[#This Row],[OwnerEmail]]),Q2609,patch[[#This Row],[OwnerEmail]])</f>
        <v>liang.l.yang@intel.com</v>
      </c>
      <c r="R2610" s="7" t="str">
        <f>_xlfn.IFNA(VLOOKUP(patch[[#This Row],[tmp-owner.email]],OrgTree!$A:$K, 11, 0), "not ICG SWFW")</f>
        <v>BJ And dev</v>
      </c>
      <c r="S2610" s="7" t="str">
        <f>IF(patch[[#This Row],[reviewer]]=patch[[#This Row],[tmp-owner.email]], "author", _xlfn.IFNA(VLOOKUP(patch[[#This Row],[reviewer]],OrgTree!$A:$K, 11, 0), "not ICG SWFW"))</f>
        <v>BJ And dev</v>
      </c>
      <c r="T2610" s="7" t="str">
        <f>IF(ISBLANK(patch[[#This Row],[mergeDate]]), "", MID(YEAR(patch[[#This Row],[mergeDate]]), 3,2)&amp;"'ww"&amp;WEEKNUM(patch[[#This Row],[mergeDate]]))</f>
        <v>16'ww36</v>
      </c>
      <c r="U2610" s="7" t="str">
        <f>IF(ISBLANK(patch[[#This Row],[mergeDate]]), U2609, MID(YEAR(patch[[#This Row],[mergeDate]]), 3,2)&amp;"'m"&amp;MONTH(patch[[#This Row],[mergeDate]]))</f>
        <v>16'm9</v>
      </c>
      <c r="V2610" s="7" t="str">
        <f>IF(ISBLANK(patch[[#This Row],[project]]), "",SUM(patch[[#This Row],[BJ -1 num]:[SH -1 num]]))</f>
        <v/>
      </c>
      <c r="W2610" s="7" t="str">
        <f>IF(ISBLANK(patch[[#This Row],[project]]), "",COUNTIFS($A:$A,patch[[#This Row],[number]],$S:$S, "BJ And dev",$AC:$AC, "Review-1"))</f>
        <v/>
      </c>
      <c r="X2610" s="7" t="str">
        <f>IF(ISBLANK(patch[[#This Row],[project]]), "",COUNTIFS($A:$A,patch[[#This Row],[number]],$S:$S, "FL And dev",$AC:$AC, "Review-1"))</f>
        <v/>
      </c>
      <c r="Y2610" s="7" t="str">
        <f>IF(ISBLANK(patch[[#This Row],[project]]), "",COUNTIFS($A:$A,patch[[#This Row],[number]],$S:$S, "SH And dev",$AC:$AC, "Review-1"))</f>
        <v/>
      </c>
      <c r="Z2610" s="7" t="str">
        <f>IF(ISBLANK(patch[[#This Row],[project]]), "",COUNTIFS($A:$A,patch[[#This Row],[number]],$S:$S, "BJ And dev",$AD:$AD, "&lt;&gt;IntegratorValidationComment"))</f>
        <v/>
      </c>
      <c r="AA2610" s="7" t="str">
        <f>IF(ISBLANK(patch[[#This Row],[project]]), "",COUNTIFS($A:$A,patch[[#This Row],[number]],$S:$S, "FL And dev",$AD:$AD, "&lt;&gt;IntegratorValidationComment"))</f>
        <v/>
      </c>
      <c r="AB2610" s="7" t="str">
        <f>IF(ISBLANK(patch[[#This Row],[project]]), "",COUNTIFS($A:$A,patch[[#This Row],[number]],$S:$S, "SH And dev",$AD:$AD, "&lt;&gt;IntegratorValidationComment"))</f>
        <v/>
      </c>
      <c r="AC2610" s="7" t="str">
        <f>IF(OR(ISNUMBER(FIND("Review-1", patch[[#This Row],[comments]])), ISNUMBER(FIND("Approver-1", patch[[#This Row],[comments]]))), "Review-1", "")</f>
        <v/>
      </c>
      <c r="AD26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10" s="7">
        <f>IF(ISBLANK(patch[[#This Row],[number]]),AE2609,patch[[#This Row],[ifCommon]])</f>
        <v>0</v>
      </c>
    </row>
    <row r="2611" spans="1:31">
      <c r="A2611" s="151">
        <v>142236</v>
      </c>
      <c r="B2611" s="151"/>
      <c r="C2611" s="151"/>
      <c r="D2611" s="151"/>
      <c r="E2611" s="151"/>
      <c r="F2611" s="151"/>
      <c r="G2611" s="151"/>
      <c r="H2611" s="151"/>
      <c r="I2611" s="151"/>
      <c r="J2611" s="152">
        <v>42614.754988425928</v>
      </c>
      <c r="K2611" s="151"/>
      <c r="L2611" s="151" t="s">
        <v>63</v>
      </c>
      <c r="M2611" s="152">
        <v>42613.496041666673</v>
      </c>
      <c r="N2611" s="151" t="s">
        <v>1859</v>
      </c>
      <c r="O2611" s="151"/>
      <c r="P2611" s="151"/>
      <c r="Q2611" s="7" t="str">
        <f>IF(ISBLANK(patch[[#This Row],[OwnerEmail]]),Q2610,patch[[#This Row],[OwnerEmail]])</f>
        <v>liang.l.yang@intel.com</v>
      </c>
      <c r="R2611" s="7" t="str">
        <f>_xlfn.IFNA(VLOOKUP(patch[[#This Row],[tmp-owner.email]],OrgTree!$A:$K, 11, 0), "not ICG SWFW")</f>
        <v>BJ And dev</v>
      </c>
      <c r="S2611" s="7" t="str">
        <f>IF(patch[[#This Row],[reviewer]]=patch[[#This Row],[tmp-owner.email]], "author", _xlfn.IFNA(VLOOKUP(patch[[#This Row],[reviewer]],OrgTree!$A:$K, 11, 0), "not ICG SWFW"))</f>
        <v>BJ And dev</v>
      </c>
      <c r="T2611" s="7" t="str">
        <f>IF(ISBLANK(patch[[#This Row],[mergeDate]]), "", MID(YEAR(patch[[#This Row],[mergeDate]]), 3,2)&amp;"'ww"&amp;WEEKNUM(patch[[#This Row],[mergeDate]]))</f>
        <v>16'ww36</v>
      </c>
      <c r="U2611" s="7" t="str">
        <f>IF(ISBLANK(patch[[#This Row],[mergeDate]]), U2610, MID(YEAR(patch[[#This Row],[mergeDate]]), 3,2)&amp;"'m"&amp;MONTH(patch[[#This Row],[mergeDate]]))</f>
        <v>16'm9</v>
      </c>
      <c r="V2611" s="7" t="str">
        <f>IF(ISBLANK(patch[[#This Row],[project]]), "",SUM(patch[[#This Row],[BJ -1 num]:[SH -1 num]]))</f>
        <v/>
      </c>
      <c r="W2611" s="7" t="str">
        <f>IF(ISBLANK(patch[[#This Row],[project]]), "",COUNTIFS($A:$A,patch[[#This Row],[number]],$S:$S, "BJ And dev",$AC:$AC, "Review-1"))</f>
        <v/>
      </c>
      <c r="X2611" s="7" t="str">
        <f>IF(ISBLANK(patch[[#This Row],[project]]), "",COUNTIFS($A:$A,patch[[#This Row],[number]],$S:$S, "FL And dev",$AC:$AC, "Review-1"))</f>
        <v/>
      </c>
      <c r="Y2611" s="7" t="str">
        <f>IF(ISBLANK(patch[[#This Row],[project]]), "",COUNTIFS($A:$A,patch[[#This Row],[number]],$S:$S, "SH And dev",$AC:$AC, "Review-1"))</f>
        <v/>
      </c>
      <c r="Z2611" s="7" t="str">
        <f>IF(ISBLANK(patch[[#This Row],[project]]), "",COUNTIFS($A:$A,patch[[#This Row],[number]],$S:$S, "BJ And dev",$AD:$AD, "&lt;&gt;IntegratorValidationComment"))</f>
        <v/>
      </c>
      <c r="AA2611" s="7" t="str">
        <f>IF(ISBLANK(patch[[#This Row],[project]]), "",COUNTIFS($A:$A,patch[[#This Row],[number]],$S:$S, "FL And dev",$AD:$AD, "&lt;&gt;IntegratorValidationComment"))</f>
        <v/>
      </c>
      <c r="AB2611" s="7" t="str">
        <f>IF(ISBLANK(patch[[#This Row],[project]]), "",COUNTIFS($A:$A,patch[[#This Row],[number]],$S:$S, "SH And dev",$AD:$AD, "&lt;&gt;IntegratorValidationComment"))</f>
        <v/>
      </c>
      <c r="AC2611" s="7" t="str">
        <f>IF(OR(ISNUMBER(FIND("Review-1", patch[[#This Row],[comments]])), ISNUMBER(FIND("Approver-1", patch[[#This Row],[comments]]))), "Review-1", "")</f>
        <v/>
      </c>
      <c r="AD26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11" s="7">
        <f>IF(ISBLANK(patch[[#This Row],[number]]),AE2610,patch[[#This Row],[ifCommon]])</f>
        <v>0</v>
      </c>
    </row>
    <row r="2612" spans="1:31">
      <c r="A2612" s="151">
        <v>142236</v>
      </c>
      <c r="B2612" s="151"/>
      <c r="C2612" s="151"/>
      <c r="D2612" s="151"/>
      <c r="E2612" s="151"/>
      <c r="F2612" s="151"/>
      <c r="G2612" s="151"/>
      <c r="H2612" s="151"/>
      <c r="I2612" s="152"/>
      <c r="J2612" s="152">
        <v>42614.754988425928</v>
      </c>
      <c r="K2612" s="151"/>
      <c r="L2612" s="151" t="s">
        <v>32</v>
      </c>
      <c r="M2612" s="152">
        <v>42613.496666666673</v>
      </c>
      <c r="N2612" s="151" t="s">
        <v>1914</v>
      </c>
      <c r="O2612" s="151"/>
      <c r="P2612" s="151"/>
      <c r="Q2612" s="7" t="str">
        <f>IF(ISBLANK(patch[[#This Row],[OwnerEmail]]),Q2611,patch[[#This Row],[OwnerEmail]])</f>
        <v>liang.l.yang@intel.com</v>
      </c>
      <c r="R2612" s="7" t="str">
        <f>_xlfn.IFNA(VLOOKUP(patch[[#This Row],[tmp-owner.email]],OrgTree!$A:$K, 11, 0), "not ICG SWFW")</f>
        <v>BJ And dev</v>
      </c>
      <c r="S2612" s="7" t="str">
        <f>IF(patch[[#This Row],[reviewer]]=patch[[#This Row],[tmp-owner.email]], "author", _xlfn.IFNA(VLOOKUP(patch[[#This Row],[reviewer]],OrgTree!$A:$K, 11, 0), "not ICG SWFW"))</f>
        <v>BJ And dev</v>
      </c>
      <c r="T2612" s="7" t="str">
        <f>IF(ISBLANK(patch[[#This Row],[mergeDate]]), "", MID(YEAR(patch[[#This Row],[mergeDate]]), 3,2)&amp;"'ww"&amp;WEEKNUM(patch[[#This Row],[mergeDate]]))</f>
        <v>16'ww36</v>
      </c>
      <c r="U2612" s="7" t="str">
        <f>IF(ISBLANK(patch[[#This Row],[mergeDate]]), U2611, MID(YEAR(patch[[#This Row],[mergeDate]]), 3,2)&amp;"'m"&amp;MONTH(patch[[#This Row],[mergeDate]]))</f>
        <v>16'm9</v>
      </c>
      <c r="V2612" s="7" t="str">
        <f>IF(ISBLANK(patch[[#This Row],[project]]), "",SUM(patch[[#This Row],[BJ -1 num]:[SH -1 num]]))</f>
        <v/>
      </c>
      <c r="W2612" s="7" t="str">
        <f>IF(ISBLANK(patch[[#This Row],[project]]), "",COUNTIFS($A:$A,patch[[#This Row],[number]],$S:$S, "BJ And dev",$AC:$AC, "Review-1"))</f>
        <v/>
      </c>
      <c r="X2612" s="7" t="str">
        <f>IF(ISBLANK(patch[[#This Row],[project]]), "",COUNTIFS($A:$A,patch[[#This Row],[number]],$S:$S, "FL And dev",$AC:$AC, "Review-1"))</f>
        <v/>
      </c>
      <c r="Y2612" s="7" t="str">
        <f>IF(ISBLANK(patch[[#This Row],[project]]), "",COUNTIFS($A:$A,patch[[#This Row],[number]],$S:$S, "SH And dev",$AC:$AC, "Review-1"))</f>
        <v/>
      </c>
      <c r="Z2612" s="7" t="str">
        <f>IF(ISBLANK(patch[[#This Row],[project]]), "",COUNTIFS($A:$A,patch[[#This Row],[number]],$S:$S, "BJ And dev",$AD:$AD, "&lt;&gt;IntegratorValidationComment"))</f>
        <v/>
      </c>
      <c r="AA2612" s="7" t="str">
        <f>IF(ISBLANK(patch[[#This Row],[project]]), "",COUNTIFS($A:$A,patch[[#This Row],[number]],$S:$S, "FL And dev",$AD:$AD, "&lt;&gt;IntegratorValidationComment"))</f>
        <v/>
      </c>
      <c r="AB2612" s="7" t="str">
        <f>IF(ISBLANK(patch[[#This Row],[project]]), "",COUNTIFS($A:$A,patch[[#This Row],[number]],$S:$S, "SH And dev",$AD:$AD, "&lt;&gt;IntegratorValidationComment"))</f>
        <v/>
      </c>
      <c r="AC2612" s="7" t="str">
        <f>IF(OR(ISNUMBER(FIND("Review-1", patch[[#This Row],[comments]])), ISNUMBER(FIND("Approver-1", patch[[#This Row],[comments]]))), "Review-1", "")</f>
        <v/>
      </c>
      <c r="AD26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12" s="7">
        <f>IF(ISBLANK(patch[[#This Row],[number]]),AE2611,patch[[#This Row],[ifCommon]])</f>
        <v>0</v>
      </c>
    </row>
    <row r="2613" spans="1:31">
      <c r="A2613" s="151">
        <v>142236</v>
      </c>
      <c r="B2613" s="151"/>
      <c r="C2613" s="151"/>
      <c r="D2613" s="151"/>
      <c r="E2613" s="151"/>
      <c r="F2613" s="151"/>
      <c r="G2613" s="151"/>
      <c r="H2613" s="151"/>
      <c r="I2613" s="151"/>
      <c r="J2613" s="152">
        <v>42614.754988425928</v>
      </c>
      <c r="K2613" s="151"/>
      <c r="L2613" s="151" t="s">
        <v>59</v>
      </c>
      <c r="M2613" s="152">
        <v>42613.497488425928</v>
      </c>
      <c r="N2613" s="151" t="s">
        <v>3899</v>
      </c>
      <c r="O2613" s="151"/>
      <c r="P2613" s="151"/>
      <c r="Q2613" s="7" t="str">
        <f>IF(ISBLANK(patch[[#This Row],[OwnerEmail]]),Q2612,patch[[#This Row],[OwnerEmail]])</f>
        <v>liang.l.yang@intel.com</v>
      </c>
      <c r="R2613" s="7" t="str">
        <f>_xlfn.IFNA(VLOOKUP(patch[[#This Row],[tmp-owner.email]],OrgTree!$A:$K, 11, 0), "not ICG SWFW")</f>
        <v>BJ And dev</v>
      </c>
      <c r="S2613" s="7" t="str">
        <f>IF(patch[[#This Row],[reviewer]]=patch[[#This Row],[tmp-owner.email]], "author", _xlfn.IFNA(VLOOKUP(patch[[#This Row],[reviewer]],OrgTree!$A:$K, 11, 0), "not ICG SWFW"))</f>
        <v>BJ And dev</v>
      </c>
      <c r="T2613" s="7" t="str">
        <f>IF(ISBLANK(patch[[#This Row],[mergeDate]]), "", MID(YEAR(patch[[#This Row],[mergeDate]]), 3,2)&amp;"'ww"&amp;WEEKNUM(patch[[#This Row],[mergeDate]]))</f>
        <v>16'ww36</v>
      </c>
      <c r="U2613" s="7" t="str">
        <f>IF(ISBLANK(patch[[#This Row],[mergeDate]]), U2612, MID(YEAR(patch[[#This Row],[mergeDate]]), 3,2)&amp;"'m"&amp;MONTH(patch[[#This Row],[mergeDate]]))</f>
        <v>16'm9</v>
      </c>
      <c r="V2613" s="7" t="str">
        <f>IF(ISBLANK(patch[[#This Row],[project]]), "",SUM(patch[[#This Row],[BJ -1 num]:[SH -1 num]]))</f>
        <v/>
      </c>
      <c r="W2613" s="7" t="str">
        <f>IF(ISBLANK(patch[[#This Row],[project]]), "",COUNTIFS($A:$A,patch[[#This Row],[number]],$S:$S, "BJ And dev",$AC:$AC, "Review-1"))</f>
        <v/>
      </c>
      <c r="X2613" s="7" t="str">
        <f>IF(ISBLANK(patch[[#This Row],[project]]), "",COUNTIFS($A:$A,patch[[#This Row],[number]],$S:$S, "FL And dev",$AC:$AC, "Review-1"))</f>
        <v/>
      </c>
      <c r="Y2613" s="7" t="str">
        <f>IF(ISBLANK(patch[[#This Row],[project]]), "",COUNTIFS($A:$A,patch[[#This Row],[number]],$S:$S, "SH And dev",$AC:$AC, "Review-1"))</f>
        <v/>
      </c>
      <c r="Z2613" s="7" t="str">
        <f>IF(ISBLANK(patch[[#This Row],[project]]), "",COUNTIFS($A:$A,patch[[#This Row],[number]],$S:$S, "BJ And dev",$AD:$AD, "&lt;&gt;IntegratorValidationComment"))</f>
        <v/>
      </c>
      <c r="AA2613" s="7" t="str">
        <f>IF(ISBLANK(patch[[#This Row],[project]]), "",COUNTIFS($A:$A,patch[[#This Row],[number]],$S:$S, "FL And dev",$AD:$AD, "&lt;&gt;IntegratorValidationComment"))</f>
        <v/>
      </c>
      <c r="AB2613" s="7" t="str">
        <f>IF(ISBLANK(patch[[#This Row],[project]]), "",COUNTIFS($A:$A,patch[[#This Row],[number]],$S:$S, "SH And dev",$AD:$AD, "&lt;&gt;IntegratorValidationComment"))</f>
        <v/>
      </c>
      <c r="AC2613" s="7" t="str">
        <f>IF(OR(ISNUMBER(FIND("Review-1", patch[[#This Row],[comments]])), ISNUMBER(FIND("Approver-1", patch[[#This Row],[comments]]))), "Review-1", "")</f>
        <v/>
      </c>
      <c r="AD26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13" s="7">
        <f>IF(ISBLANK(patch[[#This Row],[number]]),AE2612,patch[[#This Row],[ifCommon]])</f>
        <v>0</v>
      </c>
    </row>
    <row r="2614" spans="1:31">
      <c r="A2614" s="151">
        <v>142236</v>
      </c>
      <c r="B2614" s="151"/>
      <c r="C2614" s="151"/>
      <c r="D2614" s="151"/>
      <c r="E2614" s="151"/>
      <c r="F2614" s="151"/>
      <c r="G2614" s="151"/>
      <c r="H2614" s="151"/>
      <c r="I2614" s="151"/>
      <c r="J2614" s="152">
        <v>42614.754988425928</v>
      </c>
      <c r="K2614" s="151"/>
      <c r="L2614" s="151" t="s">
        <v>59</v>
      </c>
      <c r="M2614" s="152">
        <v>42613.756018518521</v>
      </c>
      <c r="N2614" s="151" t="s">
        <v>3900</v>
      </c>
      <c r="O2614" s="151"/>
      <c r="P2614" s="151"/>
      <c r="Q2614" s="7" t="str">
        <f>IF(ISBLANK(patch[[#This Row],[OwnerEmail]]),Q2613,patch[[#This Row],[OwnerEmail]])</f>
        <v>liang.l.yang@intel.com</v>
      </c>
      <c r="R2614" s="7" t="str">
        <f>_xlfn.IFNA(VLOOKUP(patch[[#This Row],[tmp-owner.email]],OrgTree!$A:$K, 11, 0), "not ICG SWFW")</f>
        <v>BJ And dev</v>
      </c>
      <c r="S2614" s="7" t="str">
        <f>IF(patch[[#This Row],[reviewer]]=patch[[#This Row],[tmp-owner.email]], "author", _xlfn.IFNA(VLOOKUP(patch[[#This Row],[reviewer]],OrgTree!$A:$K, 11, 0), "not ICG SWFW"))</f>
        <v>BJ And dev</v>
      </c>
      <c r="T2614" s="7" t="str">
        <f>IF(ISBLANK(patch[[#This Row],[mergeDate]]), "", MID(YEAR(patch[[#This Row],[mergeDate]]), 3,2)&amp;"'ww"&amp;WEEKNUM(patch[[#This Row],[mergeDate]]))</f>
        <v>16'ww36</v>
      </c>
      <c r="U2614" s="7" t="str">
        <f>IF(ISBLANK(patch[[#This Row],[mergeDate]]), U2613, MID(YEAR(patch[[#This Row],[mergeDate]]), 3,2)&amp;"'m"&amp;MONTH(patch[[#This Row],[mergeDate]]))</f>
        <v>16'm9</v>
      </c>
      <c r="V2614" s="7" t="str">
        <f>IF(ISBLANK(patch[[#This Row],[project]]), "",SUM(patch[[#This Row],[BJ -1 num]:[SH -1 num]]))</f>
        <v/>
      </c>
      <c r="W2614" s="7" t="str">
        <f>IF(ISBLANK(patch[[#This Row],[project]]), "",COUNTIFS($A:$A,patch[[#This Row],[number]],$S:$S, "BJ And dev",$AC:$AC, "Review-1"))</f>
        <v/>
      </c>
      <c r="X2614" s="7" t="str">
        <f>IF(ISBLANK(patch[[#This Row],[project]]), "",COUNTIFS($A:$A,patch[[#This Row],[number]],$S:$S, "FL And dev",$AC:$AC, "Review-1"))</f>
        <v/>
      </c>
      <c r="Y2614" s="7" t="str">
        <f>IF(ISBLANK(patch[[#This Row],[project]]), "",COUNTIFS($A:$A,patch[[#This Row],[number]],$S:$S, "SH And dev",$AC:$AC, "Review-1"))</f>
        <v/>
      </c>
      <c r="Z2614" s="7" t="str">
        <f>IF(ISBLANK(patch[[#This Row],[project]]), "",COUNTIFS($A:$A,patch[[#This Row],[number]],$S:$S, "BJ And dev",$AD:$AD, "&lt;&gt;IntegratorValidationComment"))</f>
        <v/>
      </c>
      <c r="AA2614" s="7" t="str">
        <f>IF(ISBLANK(patch[[#This Row],[project]]), "",COUNTIFS($A:$A,patch[[#This Row],[number]],$S:$S, "FL And dev",$AD:$AD, "&lt;&gt;IntegratorValidationComment"))</f>
        <v/>
      </c>
      <c r="AB2614" s="7" t="str">
        <f>IF(ISBLANK(patch[[#This Row],[project]]), "",COUNTIFS($A:$A,patch[[#This Row],[number]],$S:$S, "SH And dev",$AD:$AD, "&lt;&gt;IntegratorValidationComment"))</f>
        <v/>
      </c>
      <c r="AC2614" s="7" t="str">
        <f>IF(OR(ISNUMBER(FIND("Review-1", patch[[#This Row],[comments]])), ISNUMBER(FIND("Approver-1", patch[[#This Row],[comments]]))), "Review-1", "")</f>
        <v/>
      </c>
      <c r="AD26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14" s="7">
        <f>IF(ISBLANK(patch[[#This Row],[number]]),AE2613,patch[[#This Row],[ifCommon]])</f>
        <v>0</v>
      </c>
    </row>
    <row r="2615" spans="1:31">
      <c r="A2615" s="151">
        <v>142236</v>
      </c>
      <c r="B2615" s="151"/>
      <c r="C2615" s="151"/>
      <c r="D2615" s="151"/>
      <c r="E2615" s="151"/>
      <c r="F2615" s="151"/>
      <c r="G2615" s="151"/>
      <c r="H2615" s="151"/>
      <c r="I2615" s="152"/>
      <c r="J2615" s="152">
        <v>42614.754988425928</v>
      </c>
      <c r="K2615" s="151"/>
      <c r="L2615" s="151" t="s">
        <v>115</v>
      </c>
      <c r="M2615" s="152">
        <v>42614.418969907398</v>
      </c>
      <c r="N2615" s="151" t="s">
        <v>2531</v>
      </c>
      <c r="O2615" s="151"/>
      <c r="P2615" s="151"/>
      <c r="Q2615" s="7" t="str">
        <f>IF(ISBLANK(patch[[#This Row],[OwnerEmail]]),Q2614,patch[[#This Row],[OwnerEmail]])</f>
        <v>liang.l.yang@intel.com</v>
      </c>
      <c r="R2615" s="7" t="str">
        <f>_xlfn.IFNA(VLOOKUP(patch[[#This Row],[tmp-owner.email]],OrgTree!$A:$K, 11, 0), "not ICG SWFW")</f>
        <v>BJ And dev</v>
      </c>
      <c r="S2615" s="7" t="str">
        <f>IF(patch[[#This Row],[reviewer]]=patch[[#This Row],[tmp-owner.email]], "author", _xlfn.IFNA(VLOOKUP(patch[[#This Row],[reviewer]],OrgTree!$A:$K, 11, 0), "not ICG SWFW"))</f>
        <v>Val</v>
      </c>
      <c r="T2615" s="7" t="str">
        <f>IF(ISBLANK(patch[[#This Row],[mergeDate]]), "", MID(YEAR(patch[[#This Row],[mergeDate]]), 3,2)&amp;"'ww"&amp;WEEKNUM(patch[[#This Row],[mergeDate]]))</f>
        <v>16'ww36</v>
      </c>
      <c r="U2615" s="7" t="str">
        <f>IF(ISBLANK(patch[[#This Row],[mergeDate]]), U2614, MID(YEAR(patch[[#This Row],[mergeDate]]), 3,2)&amp;"'m"&amp;MONTH(patch[[#This Row],[mergeDate]]))</f>
        <v>16'm9</v>
      </c>
      <c r="V2615" s="7" t="str">
        <f>IF(ISBLANK(patch[[#This Row],[project]]), "",SUM(patch[[#This Row],[BJ -1 num]:[SH -1 num]]))</f>
        <v/>
      </c>
      <c r="W2615" s="7" t="str">
        <f>IF(ISBLANK(patch[[#This Row],[project]]), "",COUNTIFS($A:$A,patch[[#This Row],[number]],$S:$S, "BJ And dev",$AC:$AC, "Review-1"))</f>
        <v/>
      </c>
      <c r="X2615" s="7" t="str">
        <f>IF(ISBLANK(patch[[#This Row],[project]]), "",COUNTIFS($A:$A,patch[[#This Row],[number]],$S:$S, "FL And dev",$AC:$AC, "Review-1"))</f>
        <v/>
      </c>
      <c r="Y2615" s="7" t="str">
        <f>IF(ISBLANK(patch[[#This Row],[project]]), "",COUNTIFS($A:$A,patch[[#This Row],[number]],$S:$S, "SH And dev",$AC:$AC, "Review-1"))</f>
        <v/>
      </c>
      <c r="Z2615" s="7" t="str">
        <f>IF(ISBLANK(patch[[#This Row],[project]]), "",COUNTIFS($A:$A,patch[[#This Row],[number]],$S:$S, "BJ And dev",$AD:$AD, "&lt;&gt;IntegratorValidationComment"))</f>
        <v/>
      </c>
      <c r="AA2615" s="7" t="str">
        <f>IF(ISBLANK(patch[[#This Row],[project]]), "",COUNTIFS($A:$A,patch[[#This Row],[number]],$S:$S, "FL And dev",$AD:$AD, "&lt;&gt;IntegratorValidationComment"))</f>
        <v/>
      </c>
      <c r="AB2615" s="7" t="str">
        <f>IF(ISBLANK(patch[[#This Row],[project]]), "",COUNTIFS($A:$A,patch[[#This Row],[number]],$S:$S, "SH And dev",$AD:$AD, "&lt;&gt;IntegratorValidationComment"))</f>
        <v/>
      </c>
      <c r="AC2615" s="7" t="str">
        <f>IF(OR(ISNUMBER(FIND("Review-1", patch[[#This Row],[comments]])), ISNUMBER(FIND("Approver-1", patch[[#This Row],[comments]]))), "Review-1", "")</f>
        <v/>
      </c>
      <c r="AD26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615" s="7">
        <f>IF(ISBLANK(patch[[#This Row],[number]]),AE2614,patch[[#This Row],[ifCommon]])</f>
        <v>0</v>
      </c>
    </row>
    <row r="2616" spans="1:31">
      <c r="A2616" s="151">
        <v>142236</v>
      </c>
      <c r="B2616" s="151"/>
      <c r="C2616" s="151"/>
      <c r="D2616" s="151"/>
      <c r="E2616" s="151"/>
      <c r="F2616" s="151"/>
      <c r="G2616" s="151"/>
      <c r="H2616" s="151"/>
      <c r="I2616" s="151"/>
      <c r="J2616" s="152">
        <v>42614.754988425928</v>
      </c>
      <c r="K2616" s="151"/>
      <c r="L2616" s="151" t="s">
        <v>115</v>
      </c>
      <c r="M2616" s="152">
        <v>42614.440462962957</v>
      </c>
      <c r="N2616" s="151" t="s">
        <v>3901</v>
      </c>
      <c r="O2616" s="151"/>
      <c r="P2616" s="151"/>
      <c r="Q2616" s="7" t="str">
        <f>IF(ISBLANK(patch[[#This Row],[OwnerEmail]]),Q2615,patch[[#This Row],[OwnerEmail]])</f>
        <v>liang.l.yang@intel.com</v>
      </c>
      <c r="R2616" s="7" t="str">
        <f>_xlfn.IFNA(VLOOKUP(patch[[#This Row],[tmp-owner.email]],OrgTree!$A:$K, 11, 0), "not ICG SWFW")</f>
        <v>BJ And dev</v>
      </c>
      <c r="S2616" s="7" t="str">
        <f>IF(patch[[#This Row],[reviewer]]=patch[[#This Row],[tmp-owner.email]], "author", _xlfn.IFNA(VLOOKUP(patch[[#This Row],[reviewer]],OrgTree!$A:$K, 11, 0), "not ICG SWFW"))</f>
        <v>Val</v>
      </c>
      <c r="T2616" s="7" t="str">
        <f>IF(ISBLANK(patch[[#This Row],[mergeDate]]), "", MID(YEAR(patch[[#This Row],[mergeDate]]), 3,2)&amp;"'ww"&amp;WEEKNUM(patch[[#This Row],[mergeDate]]))</f>
        <v>16'ww36</v>
      </c>
      <c r="U2616" s="7" t="str">
        <f>IF(ISBLANK(patch[[#This Row],[mergeDate]]), U2615, MID(YEAR(patch[[#This Row],[mergeDate]]), 3,2)&amp;"'m"&amp;MONTH(patch[[#This Row],[mergeDate]]))</f>
        <v>16'm9</v>
      </c>
      <c r="V2616" s="7" t="str">
        <f>IF(ISBLANK(patch[[#This Row],[project]]), "",SUM(patch[[#This Row],[BJ -1 num]:[SH -1 num]]))</f>
        <v/>
      </c>
      <c r="W2616" s="7" t="str">
        <f>IF(ISBLANK(patch[[#This Row],[project]]), "",COUNTIFS($A:$A,patch[[#This Row],[number]],$S:$S, "BJ And dev",$AC:$AC, "Review-1"))</f>
        <v/>
      </c>
      <c r="X2616" s="7" t="str">
        <f>IF(ISBLANK(patch[[#This Row],[project]]), "",COUNTIFS($A:$A,patch[[#This Row],[number]],$S:$S, "FL And dev",$AC:$AC, "Review-1"))</f>
        <v/>
      </c>
      <c r="Y2616" s="7" t="str">
        <f>IF(ISBLANK(patch[[#This Row],[project]]), "",COUNTIFS($A:$A,patch[[#This Row],[number]],$S:$S, "SH And dev",$AC:$AC, "Review-1"))</f>
        <v/>
      </c>
      <c r="Z2616" s="7" t="str">
        <f>IF(ISBLANK(patch[[#This Row],[project]]), "",COUNTIFS($A:$A,patch[[#This Row],[number]],$S:$S, "BJ And dev",$AD:$AD, "&lt;&gt;IntegratorValidationComment"))</f>
        <v/>
      </c>
      <c r="AA2616" s="7" t="str">
        <f>IF(ISBLANK(patch[[#This Row],[project]]), "",COUNTIFS($A:$A,patch[[#This Row],[number]],$S:$S, "FL And dev",$AD:$AD, "&lt;&gt;IntegratorValidationComment"))</f>
        <v/>
      </c>
      <c r="AB2616" s="7" t="str">
        <f>IF(ISBLANK(patch[[#This Row],[project]]), "",COUNTIFS($A:$A,patch[[#This Row],[number]],$S:$S, "SH And dev",$AD:$AD, "&lt;&gt;IntegratorValidationComment"))</f>
        <v/>
      </c>
      <c r="AC2616" s="7" t="str">
        <f>IF(OR(ISNUMBER(FIND("Review-1", patch[[#This Row],[comments]])), ISNUMBER(FIND("Approver-1", patch[[#This Row],[comments]]))), "Review-1", "")</f>
        <v/>
      </c>
      <c r="AD26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616" s="7">
        <f>IF(ISBLANK(patch[[#This Row],[number]]),AE2615,patch[[#This Row],[ifCommon]])</f>
        <v>0</v>
      </c>
    </row>
    <row r="2617" spans="1:31">
      <c r="A2617" s="151">
        <v>142236</v>
      </c>
      <c r="B2617" s="151"/>
      <c r="C2617" s="151"/>
      <c r="D2617" s="151"/>
      <c r="E2617" s="151"/>
      <c r="F2617" s="151"/>
      <c r="G2617" s="151"/>
      <c r="H2617" s="151"/>
      <c r="I2617" s="151"/>
      <c r="J2617" s="152">
        <v>42614.754988425928</v>
      </c>
      <c r="K2617" s="151"/>
      <c r="L2617" s="151" t="s">
        <v>55</v>
      </c>
      <c r="M2617" s="152">
        <v>42614.44091435185</v>
      </c>
      <c r="N2617" s="151" t="s">
        <v>2472</v>
      </c>
      <c r="O2617" s="151"/>
      <c r="P2617" s="151"/>
      <c r="Q2617" s="7" t="str">
        <f>IF(ISBLANK(patch[[#This Row],[OwnerEmail]]),Q2616,patch[[#This Row],[OwnerEmail]])</f>
        <v>liang.l.yang@intel.com</v>
      </c>
      <c r="R2617" s="7" t="str">
        <f>_xlfn.IFNA(VLOOKUP(patch[[#This Row],[tmp-owner.email]],OrgTree!$A:$K, 11, 0), "not ICG SWFW")</f>
        <v>BJ And dev</v>
      </c>
      <c r="S2617" s="7" t="str">
        <f>IF(patch[[#This Row],[reviewer]]=patch[[#This Row],[tmp-owner.email]], "author", _xlfn.IFNA(VLOOKUP(patch[[#This Row],[reviewer]],OrgTree!$A:$K, 11, 0), "not ICG SWFW"))</f>
        <v>author</v>
      </c>
      <c r="T2617" s="7" t="str">
        <f>IF(ISBLANK(patch[[#This Row],[mergeDate]]), "", MID(YEAR(patch[[#This Row],[mergeDate]]), 3,2)&amp;"'ww"&amp;WEEKNUM(patch[[#This Row],[mergeDate]]))</f>
        <v>16'ww36</v>
      </c>
      <c r="U2617" s="7" t="str">
        <f>IF(ISBLANK(patch[[#This Row],[mergeDate]]), U2616, MID(YEAR(patch[[#This Row],[mergeDate]]), 3,2)&amp;"'m"&amp;MONTH(patch[[#This Row],[mergeDate]]))</f>
        <v>16'm9</v>
      </c>
      <c r="V2617" s="7" t="str">
        <f>IF(ISBLANK(patch[[#This Row],[project]]), "",SUM(patch[[#This Row],[BJ -1 num]:[SH -1 num]]))</f>
        <v/>
      </c>
      <c r="W2617" s="7" t="str">
        <f>IF(ISBLANK(patch[[#This Row],[project]]), "",COUNTIFS($A:$A,patch[[#This Row],[number]],$S:$S, "BJ And dev",$AC:$AC, "Review-1"))</f>
        <v/>
      </c>
      <c r="X2617" s="7" t="str">
        <f>IF(ISBLANK(patch[[#This Row],[project]]), "",COUNTIFS($A:$A,patch[[#This Row],[number]],$S:$S, "FL And dev",$AC:$AC, "Review-1"))</f>
        <v/>
      </c>
      <c r="Y2617" s="7" t="str">
        <f>IF(ISBLANK(patch[[#This Row],[project]]), "",COUNTIFS($A:$A,patch[[#This Row],[number]],$S:$S, "SH And dev",$AC:$AC, "Review-1"))</f>
        <v/>
      </c>
      <c r="Z2617" s="7" t="str">
        <f>IF(ISBLANK(patch[[#This Row],[project]]), "",COUNTIFS($A:$A,patch[[#This Row],[number]],$S:$S, "BJ And dev",$AD:$AD, "&lt;&gt;IntegratorValidationComment"))</f>
        <v/>
      </c>
      <c r="AA2617" s="7" t="str">
        <f>IF(ISBLANK(patch[[#This Row],[project]]), "",COUNTIFS($A:$A,patch[[#This Row],[number]],$S:$S, "FL And dev",$AD:$AD, "&lt;&gt;IntegratorValidationComment"))</f>
        <v/>
      </c>
      <c r="AB2617" s="7" t="str">
        <f>IF(ISBLANK(patch[[#This Row],[project]]), "",COUNTIFS($A:$A,patch[[#This Row],[number]],$S:$S, "SH And dev",$AD:$AD, "&lt;&gt;IntegratorValidationComment"))</f>
        <v/>
      </c>
      <c r="AC2617" s="7" t="str">
        <f>IF(OR(ISNUMBER(FIND("Review-1", patch[[#This Row],[comments]])), ISNUMBER(FIND("Approver-1", patch[[#This Row],[comments]]))), "Review-1", "")</f>
        <v/>
      </c>
      <c r="AD26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17" s="7">
        <f>IF(ISBLANK(patch[[#This Row],[number]]),AE2616,patch[[#This Row],[ifCommon]])</f>
        <v>0</v>
      </c>
    </row>
    <row r="2618" spans="1:31">
      <c r="A2618" s="151">
        <v>142236</v>
      </c>
      <c r="B2618" s="151"/>
      <c r="C2618" s="151"/>
      <c r="D2618" s="151"/>
      <c r="E2618" s="151"/>
      <c r="F2618" s="151"/>
      <c r="G2618" s="151"/>
      <c r="H2618" s="151"/>
      <c r="I2618" s="151"/>
      <c r="J2618" s="152">
        <v>42614.754988425928</v>
      </c>
      <c r="K2618" s="151"/>
      <c r="L2618" s="151" t="s">
        <v>55</v>
      </c>
      <c r="M2618" s="152">
        <v>42614.44091435185</v>
      </c>
      <c r="N2618" s="151" t="s">
        <v>2568</v>
      </c>
      <c r="O2618" s="151"/>
      <c r="P2618" s="151"/>
      <c r="Q2618" s="7" t="str">
        <f>IF(ISBLANK(patch[[#This Row],[OwnerEmail]]),Q2617,patch[[#This Row],[OwnerEmail]])</f>
        <v>liang.l.yang@intel.com</v>
      </c>
      <c r="R2618" s="7" t="str">
        <f>_xlfn.IFNA(VLOOKUP(patch[[#This Row],[tmp-owner.email]],OrgTree!$A:$K, 11, 0), "not ICG SWFW")</f>
        <v>BJ And dev</v>
      </c>
      <c r="S2618" s="7" t="str">
        <f>IF(patch[[#This Row],[reviewer]]=patch[[#This Row],[tmp-owner.email]], "author", _xlfn.IFNA(VLOOKUP(patch[[#This Row],[reviewer]],OrgTree!$A:$K, 11, 0), "not ICG SWFW"))</f>
        <v>author</v>
      </c>
      <c r="T2618" s="7" t="str">
        <f>IF(ISBLANK(patch[[#This Row],[mergeDate]]), "", MID(YEAR(patch[[#This Row],[mergeDate]]), 3,2)&amp;"'ww"&amp;WEEKNUM(patch[[#This Row],[mergeDate]]))</f>
        <v>16'ww36</v>
      </c>
      <c r="U2618" s="7" t="str">
        <f>IF(ISBLANK(patch[[#This Row],[mergeDate]]), U2617, MID(YEAR(patch[[#This Row],[mergeDate]]), 3,2)&amp;"'m"&amp;MONTH(patch[[#This Row],[mergeDate]]))</f>
        <v>16'm9</v>
      </c>
      <c r="V2618" s="7" t="str">
        <f>IF(ISBLANK(patch[[#This Row],[project]]), "",SUM(patch[[#This Row],[BJ -1 num]:[SH -1 num]]))</f>
        <v/>
      </c>
      <c r="W2618" s="7" t="str">
        <f>IF(ISBLANK(patch[[#This Row],[project]]), "",COUNTIFS($A:$A,patch[[#This Row],[number]],$S:$S, "BJ And dev",$AC:$AC, "Review-1"))</f>
        <v/>
      </c>
      <c r="X2618" s="7" t="str">
        <f>IF(ISBLANK(patch[[#This Row],[project]]), "",COUNTIFS($A:$A,patch[[#This Row],[number]],$S:$S, "FL And dev",$AC:$AC, "Review-1"))</f>
        <v/>
      </c>
      <c r="Y2618" s="7" t="str">
        <f>IF(ISBLANK(patch[[#This Row],[project]]), "",COUNTIFS($A:$A,patch[[#This Row],[number]],$S:$S, "SH And dev",$AC:$AC, "Review-1"))</f>
        <v/>
      </c>
      <c r="Z2618" s="7" t="str">
        <f>IF(ISBLANK(patch[[#This Row],[project]]), "",COUNTIFS($A:$A,patch[[#This Row],[number]],$S:$S, "BJ And dev",$AD:$AD, "&lt;&gt;IntegratorValidationComment"))</f>
        <v/>
      </c>
      <c r="AA2618" s="7" t="str">
        <f>IF(ISBLANK(patch[[#This Row],[project]]), "",COUNTIFS($A:$A,patch[[#This Row],[number]],$S:$S, "FL And dev",$AD:$AD, "&lt;&gt;IntegratorValidationComment"))</f>
        <v/>
      </c>
      <c r="AB2618" s="7" t="str">
        <f>IF(ISBLANK(patch[[#This Row],[project]]), "",COUNTIFS($A:$A,patch[[#This Row],[number]],$S:$S, "SH And dev",$AD:$AD, "&lt;&gt;IntegratorValidationComment"))</f>
        <v/>
      </c>
      <c r="AC2618" s="7" t="str">
        <f>IF(OR(ISNUMBER(FIND("Review-1", patch[[#This Row],[comments]])), ISNUMBER(FIND("Approver-1", patch[[#This Row],[comments]]))), "Review-1", "")</f>
        <v/>
      </c>
      <c r="AD26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18" s="7">
        <f>IF(ISBLANK(patch[[#This Row],[number]]),AE2617,patch[[#This Row],[ifCommon]])</f>
        <v>0</v>
      </c>
    </row>
    <row r="2619" spans="1:31">
      <c r="A2619" s="151">
        <v>142236</v>
      </c>
      <c r="B2619" s="151"/>
      <c r="C2619" s="151"/>
      <c r="D2619" s="151"/>
      <c r="E2619" s="151"/>
      <c r="F2619" s="151"/>
      <c r="G2619" s="151"/>
      <c r="H2619" s="151"/>
      <c r="I2619" s="151"/>
      <c r="J2619" s="152">
        <v>42614.754988425928</v>
      </c>
      <c r="K2619" s="151"/>
      <c r="L2619" s="151" t="s">
        <v>59</v>
      </c>
      <c r="M2619" s="152">
        <v>42614.445370370369</v>
      </c>
      <c r="N2619" s="151" t="s">
        <v>3902</v>
      </c>
      <c r="O2619" s="151"/>
      <c r="P2619" s="151"/>
      <c r="Q2619" s="7" t="str">
        <f>IF(ISBLANK(patch[[#This Row],[OwnerEmail]]),Q2618,patch[[#This Row],[OwnerEmail]])</f>
        <v>liang.l.yang@intel.com</v>
      </c>
      <c r="R2619" s="7" t="str">
        <f>_xlfn.IFNA(VLOOKUP(patch[[#This Row],[tmp-owner.email]],OrgTree!$A:$K, 11, 0), "not ICG SWFW")</f>
        <v>BJ And dev</v>
      </c>
      <c r="S2619" s="7" t="str">
        <f>IF(patch[[#This Row],[reviewer]]=patch[[#This Row],[tmp-owner.email]], "author", _xlfn.IFNA(VLOOKUP(patch[[#This Row],[reviewer]],OrgTree!$A:$K, 11, 0), "not ICG SWFW"))</f>
        <v>BJ And dev</v>
      </c>
      <c r="T2619" s="7" t="str">
        <f>IF(ISBLANK(patch[[#This Row],[mergeDate]]), "", MID(YEAR(patch[[#This Row],[mergeDate]]), 3,2)&amp;"'ww"&amp;WEEKNUM(patch[[#This Row],[mergeDate]]))</f>
        <v>16'ww36</v>
      </c>
      <c r="U2619" s="7" t="str">
        <f>IF(ISBLANK(patch[[#This Row],[mergeDate]]), U2618, MID(YEAR(patch[[#This Row],[mergeDate]]), 3,2)&amp;"'m"&amp;MONTH(patch[[#This Row],[mergeDate]]))</f>
        <v>16'm9</v>
      </c>
      <c r="V2619" s="7" t="str">
        <f>IF(ISBLANK(patch[[#This Row],[project]]), "",SUM(patch[[#This Row],[BJ -1 num]:[SH -1 num]]))</f>
        <v/>
      </c>
      <c r="W2619" s="7" t="str">
        <f>IF(ISBLANK(patch[[#This Row],[project]]), "",COUNTIFS($A:$A,patch[[#This Row],[number]],$S:$S, "BJ And dev",$AC:$AC, "Review-1"))</f>
        <v/>
      </c>
      <c r="X2619" s="7" t="str">
        <f>IF(ISBLANK(patch[[#This Row],[project]]), "",COUNTIFS($A:$A,patch[[#This Row],[number]],$S:$S, "FL And dev",$AC:$AC, "Review-1"))</f>
        <v/>
      </c>
      <c r="Y2619" s="7" t="str">
        <f>IF(ISBLANK(patch[[#This Row],[project]]), "",COUNTIFS($A:$A,patch[[#This Row],[number]],$S:$S, "SH And dev",$AC:$AC, "Review-1"))</f>
        <v/>
      </c>
      <c r="Z2619" s="7" t="str">
        <f>IF(ISBLANK(patch[[#This Row],[project]]), "",COUNTIFS($A:$A,patch[[#This Row],[number]],$S:$S, "BJ And dev",$AD:$AD, "&lt;&gt;IntegratorValidationComment"))</f>
        <v/>
      </c>
      <c r="AA2619" s="7" t="str">
        <f>IF(ISBLANK(patch[[#This Row],[project]]), "",COUNTIFS($A:$A,patch[[#This Row],[number]],$S:$S, "FL And dev",$AD:$AD, "&lt;&gt;IntegratorValidationComment"))</f>
        <v/>
      </c>
      <c r="AB2619" s="7" t="str">
        <f>IF(ISBLANK(patch[[#This Row],[project]]), "",COUNTIFS($A:$A,patch[[#This Row],[number]],$S:$S, "SH And dev",$AD:$AD, "&lt;&gt;IntegratorValidationComment"))</f>
        <v/>
      </c>
      <c r="AC2619" s="7" t="str">
        <f>IF(OR(ISNUMBER(FIND("Review-1", patch[[#This Row],[comments]])), ISNUMBER(FIND("Approver-1", patch[[#This Row],[comments]]))), "Review-1", "")</f>
        <v/>
      </c>
      <c r="AD26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19" s="7">
        <f>IF(ISBLANK(patch[[#This Row],[number]]),AE2618,patch[[#This Row],[ifCommon]])</f>
        <v>0</v>
      </c>
    </row>
    <row r="2620" spans="1:31">
      <c r="A2620" s="151">
        <v>142236</v>
      </c>
      <c r="B2620" s="151"/>
      <c r="C2620" s="151"/>
      <c r="D2620" s="151"/>
      <c r="E2620" s="151"/>
      <c r="F2620" s="151"/>
      <c r="G2620" s="151"/>
      <c r="H2620" s="151"/>
      <c r="I2620" s="151"/>
      <c r="J2620" s="152">
        <v>42614.754988425928</v>
      </c>
      <c r="K2620" s="151"/>
      <c r="L2620" s="151" t="s">
        <v>115</v>
      </c>
      <c r="M2620" s="152">
        <v>42614.44935185185</v>
      </c>
      <c r="N2620" s="151" t="s">
        <v>2529</v>
      </c>
      <c r="O2620" s="151"/>
      <c r="P2620" s="151"/>
      <c r="Q2620" s="7" t="str">
        <f>IF(ISBLANK(patch[[#This Row],[OwnerEmail]]),Q2619,patch[[#This Row],[OwnerEmail]])</f>
        <v>liang.l.yang@intel.com</v>
      </c>
      <c r="R2620" s="7" t="str">
        <f>_xlfn.IFNA(VLOOKUP(patch[[#This Row],[tmp-owner.email]],OrgTree!$A:$K, 11, 0), "not ICG SWFW")</f>
        <v>BJ And dev</v>
      </c>
      <c r="S2620" s="7" t="str">
        <f>IF(patch[[#This Row],[reviewer]]=patch[[#This Row],[tmp-owner.email]], "author", _xlfn.IFNA(VLOOKUP(patch[[#This Row],[reviewer]],OrgTree!$A:$K, 11, 0), "not ICG SWFW"))</f>
        <v>Val</v>
      </c>
      <c r="T2620" s="7" t="str">
        <f>IF(ISBLANK(patch[[#This Row],[mergeDate]]), "", MID(YEAR(patch[[#This Row],[mergeDate]]), 3,2)&amp;"'ww"&amp;WEEKNUM(patch[[#This Row],[mergeDate]]))</f>
        <v>16'ww36</v>
      </c>
      <c r="U2620" s="7" t="str">
        <f>IF(ISBLANK(patch[[#This Row],[mergeDate]]), U2619, MID(YEAR(patch[[#This Row],[mergeDate]]), 3,2)&amp;"'m"&amp;MONTH(patch[[#This Row],[mergeDate]]))</f>
        <v>16'm9</v>
      </c>
      <c r="V2620" s="7" t="str">
        <f>IF(ISBLANK(patch[[#This Row],[project]]), "",SUM(patch[[#This Row],[BJ -1 num]:[SH -1 num]]))</f>
        <v/>
      </c>
      <c r="W2620" s="7" t="str">
        <f>IF(ISBLANK(patch[[#This Row],[project]]), "",COUNTIFS($A:$A,patch[[#This Row],[number]],$S:$S, "BJ And dev",$AC:$AC, "Review-1"))</f>
        <v/>
      </c>
      <c r="X2620" s="7" t="str">
        <f>IF(ISBLANK(patch[[#This Row],[project]]), "",COUNTIFS($A:$A,patch[[#This Row],[number]],$S:$S, "FL And dev",$AC:$AC, "Review-1"))</f>
        <v/>
      </c>
      <c r="Y2620" s="7" t="str">
        <f>IF(ISBLANK(patch[[#This Row],[project]]), "",COUNTIFS($A:$A,patch[[#This Row],[number]],$S:$S, "SH And dev",$AC:$AC, "Review-1"))</f>
        <v/>
      </c>
      <c r="Z2620" s="7" t="str">
        <f>IF(ISBLANK(patch[[#This Row],[project]]), "",COUNTIFS($A:$A,patch[[#This Row],[number]],$S:$S, "BJ And dev",$AD:$AD, "&lt;&gt;IntegratorValidationComment"))</f>
        <v/>
      </c>
      <c r="AA2620" s="7" t="str">
        <f>IF(ISBLANK(patch[[#This Row],[project]]), "",COUNTIFS($A:$A,patch[[#This Row],[number]],$S:$S, "FL And dev",$AD:$AD, "&lt;&gt;IntegratorValidationComment"))</f>
        <v/>
      </c>
      <c r="AB2620" s="7" t="str">
        <f>IF(ISBLANK(patch[[#This Row],[project]]), "",COUNTIFS($A:$A,patch[[#This Row],[number]],$S:$S, "SH And dev",$AD:$AD, "&lt;&gt;IntegratorValidationComment"))</f>
        <v/>
      </c>
      <c r="AC2620" s="7" t="str">
        <f>IF(OR(ISNUMBER(FIND("Review-1", patch[[#This Row],[comments]])), ISNUMBER(FIND("Approver-1", patch[[#This Row],[comments]]))), "Review-1", "")</f>
        <v/>
      </c>
      <c r="AD26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620" s="7">
        <f>IF(ISBLANK(patch[[#This Row],[number]]),AE2619,patch[[#This Row],[ifCommon]])</f>
        <v>0</v>
      </c>
    </row>
    <row r="2621" spans="1:31">
      <c r="A2621" s="151">
        <v>142236</v>
      </c>
      <c r="B2621" s="151"/>
      <c r="C2621" s="151"/>
      <c r="D2621" s="151"/>
      <c r="E2621" s="151"/>
      <c r="F2621" s="151"/>
      <c r="G2621" s="151"/>
      <c r="H2621" s="151"/>
      <c r="I2621" s="151"/>
      <c r="J2621" s="152">
        <v>42614.754988425928</v>
      </c>
      <c r="K2621" s="151"/>
      <c r="L2621" s="151" t="s">
        <v>59</v>
      </c>
      <c r="M2621" s="152">
        <v>42614.449664351851</v>
      </c>
      <c r="N2621" s="151" t="s">
        <v>3903</v>
      </c>
      <c r="O2621" s="151"/>
      <c r="P2621" s="151"/>
      <c r="Q2621" s="7" t="str">
        <f>IF(ISBLANK(patch[[#This Row],[OwnerEmail]]),Q2620,patch[[#This Row],[OwnerEmail]])</f>
        <v>liang.l.yang@intel.com</v>
      </c>
      <c r="R2621" s="7" t="str">
        <f>_xlfn.IFNA(VLOOKUP(patch[[#This Row],[tmp-owner.email]],OrgTree!$A:$K, 11, 0), "not ICG SWFW")</f>
        <v>BJ And dev</v>
      </c>
      <c r="S2621" s="7" t="str">
        <f>IF(patch[[#This Row],[reviewer]]=patch[[#This Row],[tmp-owner.email]], "author", _xlfn.IFNA(VLOOKUP(patch[[#This Row],[reviewer]],OrgTree!$A:$K, 11, 0), "not ICG SWFW"))</f>
        <v>BJ And dev</v>
      </c>
      <c r="T2621" s="7" t="str">
        <f>IF(ISBLANK(patch[[#This Row],[mergeDate]]), "", MID(YEAR(patch[[#This Row],[mergeDate]]), 3,2)&amp;"'ww"&amp;WEEKNUM(patch[[#This Row],[mergeDate]]))</f>
        <v>16'ww36</v>
      </c>
      <c r="U2621" s="7" t="str">
        <f>IF(ISBLANK(patch[[#This Row],[mergeDate]]), U2620, MID(YEAR(patch[[#This Row],[mergeDate]]), 3,2)&amp;"'m"&amp;MONTH(patch[[#This Row],[mergeDate]]))</f>
        <v>16'm9</v>
      </c>
      <c r="V2621" s="7" t="str">
        <f>IF(ISBLANK(patch[[#This Row],[project]]), "",SUM(patch[[#This Row],[BJ -1 num]:[SH -1 num]]))</f>
        <v/>
      </c>
      <c r="W2621" s="7" t="str">
        <f>IF(ISBLANK(patch[[#This Row],[project]]), "",COUNTIFS($A:$A,patch[[#This Row],[number]],$S:$S, "BJ And dev",$AC:$AC, "Review-1"))</f>
        <v/>
      </c>
      <c r="X2621" s="7" t="str">
        <f>IF(ISBLANK(patch[[#This Row],[project]]), "",COUNTIFS($A:$A,patch[[#This Row],[number]],$S:$S, "FL And dev",$AC:$AC, "Review-1"))</f>
        <v/>
      </c>
      <c r="Y2621" s="7" t="str">
        <f>IF(ISBLANK(patch[[#This Row],[project]]), "",COUNTIFS($A:$A,patch[[#This Row],[number]],$S:$S, "SH And dev",$AC:$AC, "Review-1"))</f>
        <v/>
      </c>
      <c r="Z2621" s="7" t="str">
        <f>IF(ISBLANK(patch[[#This Row],[project]]), "",COUNTIFS($A:$A,patch[[#This Row],[number]],$S:$S, "BJ And dev",$AD:$AD, "&lt;&gt;IntegratorValidationComment"))</f>
        <v/>
      </c>
      <c r="AA2621" s="7" t="str">
        <f>IF(ISBLANK(patch[[#This Row],[project]]), "",COUNTIFS($A:$A,patch[[#This Row],[number]],$S:$S, "FL And dev",$AD:$AD, "&lt;&gt;IntegratorValidationComment"))</f>
        <v/>
      </c>
      <c r="AB2621" s="7" t="str">
        <f>IF(ISBLANK(patch[[#This Row],[project]]), "",COUNTIFS($A:$A,patch[[#This Row],[number]],$S:$S, "SH And dev",$AD:$AD, "&lt;&gt;IntegratorValidationComment"))</f>
        <v/>
      </c>
      <c r="AC2621" s="7" t="str">
        <f>IF(OR(ISNUMBER(FIND("Review-1", patch[[#This Row],[comments]])), ISNUMBER(FIND("Approver-1", patch[[#This Row],[comments]]))), "Review-1", "")</f>
        <v/>
      </c>
      <c r="AD26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21" s="7">
        <f>IF(ISBLANK(patch[[#This Row],[number]]),AE2620,patch[[#This Row],[ifCommon]])</f>
        <v>0</v>
      </c>
    </row>
    <row r="2622" spans="1:31">
      <c r="A2622" s="151">
        <v>141664</v>
      </c>
      <c r="B2622" s="151" t="s">
        <v>2490</v>
      </c>
      <c r="C2622" s="151" t="s">
        <v>2491</v>
      </c>
      <c r="D2622" s="151" t="s">
        <v>3904</v>
      </c>
      <c r="E2622" s="151" t="s">
        <v>63</v>
      </c>
      <c r="F2622" s="151" t="s">
        <v>23</v>
      </c>
      <c r="G2622" s="151" t="s">
        <v>3905</v>
      </c>
      <c r="H2622" s="151" t="s">
        <v>3906</v>
      </c>
      <c r="I2622" s="152">
        <v>42608.512465277781</v>
      </c>
      <c r="J2622" s="152">
        <v>42614.754907407398</v>
      </c>
      <c r="K2622" s="151" t="s">
        <v>2445</v>
      </c>
      <c r="L2622" s="151" t="s">
        <v>63</v>
      </c>
      <c r="M2622" s="152">
        <v>42608.512465277781</v>
      </c>
      <c r="N2622" s="151" t="s">
        <v>25</v>
      </c>
      <c r="O2622" s="151"/>
      <c r="P2622" s="151" t="s">
        <v>2542</v>
      </c>
      <c r="Q2622" s="7" t="str">
        <f>IF(ISBLANK(patch[[#This Row],[OwnerEmail]]),Q2621,patch[[#This Row],[OwnerEmail]])</f>
        <v>zongx.li@intel.com</v>
      </c>
      <c r="R2622" s="7" t="str">
        <f>_xlfn.IFNA(VLOOKUP(patch[[#This Row],[tmp-owner.email]],OrgTree!$A:$K, 11, 0), "not ICG SWFW")</f>
        <v>BJ And dev</v>
      </c>
      <c r="S2622" s="7" t="str">
        <f>IF(patch[[#This Row],[reviewer]]=patch[[#This Row],[tmp-owner.email]], "author", _xlfn.IFNA(VLOOKUP(patch[[#This Row],[reviewer]],OrgTree!$A:$K, 11, 0), "not ICG SWFW"))</f>
        <v>author</v>
      </c>
      <c r="T2622" s="7" t="str">
        <f>IF(ISBLANK(patch[[#This Row],[mergeDate]]), "", MID(YEAR(patch[[#This Row],[mergeDate]]), 3,2)&amp;"'ww"&amp;WEEKNUM(patch[[#This Row],[mergeDate]]))</f>
        <v>16'ww36</v>
      </c>
      <c r="U2622" s="7" t="str">
        <f>IF(ISBLANK(patch[[#This Row],[mergeDate]]), U2621, MID(YEAR(patch[[#This Row],[mergeDate]]), 3,2)&amp;"'m"&amp;MONTH(patch[[#This Row],[mergeDate]]))</f>
        <v>16'm9</v>
      </c>
      <c r="V2622" s="7">
        <f>IF(ISBLANK(patch[[#This Row],[project]]), "",SUM(patch[[#This Row],[BJ -1 num]:[SH -1 num]]))</f>
        <v>2</v>
      </c>
      <c r="W2622" s="7">
        <f>IF(ISBLANK(patch[[#This Row],[project]]), "",COUNTIFS($A:$A,patch[[#This Row],[number]],$S:$S, "BJ And dev",$AC:$AC, "Review-1"))</f>
        <v>2</v>
      </c>
      <c r="X2622" s="7">
        <f>IF(ISBLANK(patch[[#This Row],[project]]), "",COUNTIFS($A:$A,patch[[#This Row],[number]],$S:$S, "FL And dev",$AC:$AC, "Review-1"))</f>
        <v>0</v>
      </c>
      <c r="Y2622" s="7">
        <f>IF(ISBLANK(patch[[#This Row],[project]]), "",COUNTIFS($A:$A,patch[[#This Row],[number]],$S:$S, "SH And dev",$AC:$AC, "Review-1"))</f>
        <v>0</v>
      </c>
      <c r="Z2622" s="7">
        <f>IF(ISBLANK(patch[[#This Row],[project]]), "",COUNTIFS($A:$A,patch[[#This Row],[number]],$S:$S, "BJ And dev",$AD:$AD, "&lt;&gt;IntegratorValidationComment"))</f>
        <v>33</v>
      </c>
      <c r="AA2622" s="7">
        <f>IF(ISBLANK(patch[[#This Row],[project]]), "",COUNTIFS($A:$A,patch[[#This Row],[number]],$S:$S, "FL And dev",$AD:$AD, "&lt;&gt;IntegratorValidationComment"))</f>
        <v>0</v>
      </c>
      <c r="AB2622" s="7">
        <f>IF(ISBLANK(patch[[#This Row],[project]]), "",COUNTIFS($A:$A,patch[[#This Row],[number]],$S:$S, "SH And dev",$AD:$AD, "&lt;&gt;IntegratorValidationComment"))</f>
        <v>0</v>
      </c>
      <c r="AC2622" s="7" t="str">
        <f>IF(OR(ISNUMBER(FIND("Review-1", patch[[#This Row],[comments]])), ISNUMBER(FIND("Approver-1", patch[[#This Row],[comments]]))), "Review-1", "")</f>
        <v/>
      </c>
      <c r="AD26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22" s="7" t="str">
        <f>IF(ISBLANK(patch[[#This Row],[number]]),AE2621,patch[[#This Row],[ifCommon]])</f>
        <v>not AndrHAL</v>
      </c>
    </row>
    <row r="2623" spans="1:31">
      <c r="A2623" s="151">
        <v>141664</v>
      </c>
      <c r="B2623" s="151"/>
      <c r="C2623" s="151"/>
      <c r="D2623" s="151"/>
      <c r="E2623" s="151"/>
      <c r="F2623" s="151"/>
      <c r="G2623" s="151"/>
      <c r="H2623" s="151"/>
      <c r="I2623" s="151"/>
      <c r="J2623" s="152">
        <v>42614.754907407398</v>
      </c>
      <c r="K2623" s="151"/>
      <c r="L2623" s="151" t="s">
        <v>63</v>
      </c>
      <c r="M2623" s="152">
        <v>42608.512488425928</v>
      </c>
      <c r="N2623" s="151" t="s">
        <v>2428</v>
      </c>
      <c r="O2623" s="151"/>
      <c r="P2623" s="151"/>
      <c r="Q2623" s="7" t="str">
        <f>IF(ISBLANK(patch[[#This Row],[OwnerEmail]]),Q2622,patch[[#This Row],[OwnerEmail]])</f>
        <v>zongx.li@intel.com</v>
      </c>
      <c r="R2623" s="7" t="str">
        <f>_xlfn.IFNA(VLOOKUP(patch[[#This Row],[tmp-owner.email]],OrgTree!$A:$K, 11, 0), "not ICG SWFW")</f>
        <v>BJ And dev</v>
      </c>
      <c r="S2623" s="7" t="str">
        <f>IF(patch[[#This Row],[reviewer]]=patch[[#This Row],[tmp-owner.email]], "author", _xlfn.IFNA(VLOOKUP(patch[[#This Row],[reviewer]],OrgTree!$A:$K, 11, 0), "not ICG SWFW"))</f>
        <v>author</v>
      </c>
      <c r="T2623" s="7" t="str">
        <f>IF(ISBLANK(patch[[#This Row],[mergeDate]]), "", MID(YEAR(patch[[#This Row],[mergeDate]]), 3,2)&amp;"'ww"&amp;WEEKNUM(patch[[#This Row],[mergeDate]]))</f>
        <v>16'ww36</v>
      </c>
      <c r="U2623" s="7" t="str">
        <f>IF(ISBLANK(patch[[#This Row],[mergeDate]]), U2622, MID(YEAR(patch[[#This Row],[mergeDate]]), 3,2)&amp;"'m"&amp;MONTH(patch[[#This Row],[mergeDate]]))</f>
        <v>16'm9</v>
      </c>
      <c r="V2623" s="7" t="str">
        <f>IF(ISBLANK(patch[[#This Row],[project]]), "",SUM(patch[[#This Row],[BJ -1 num]:[SH -1 num]]))</f>
        <v/>
      </c>
      <c r="W2623" s="7" t="str">
        <f>IF(ISBLANK(patch[[#This Row],[project]]), "",COUNTIFS($A:$A,patch[[#This Row],[number]],$S:$S, "BJ And dev",$AC:$AC, "Review-1"))</f>
        <v/>
      </c>
      <c r="X2623" s="7" t="str">
        <f>IF(ISBLANK(patch[[#This Row],[project]]), "",COUNTIFS($A:$A,patch[[#This Row],[number]],$S:$S, "FL And dev",$AC:$AC, "Review-1"))</f>
        <v/>
      </c>
      <c r="Y2623" s="7" t="str">
        <f>IF(ISBLANK(patch[[#This Row],[project]]), "",COUNTIFS($A:$A,patch[[#This Row],[number]],$S:$S, "SH And dev",$AC:$AC, "Review-1"))</f>
        <v/>
      </c>
      <c r="Z2623" s="7" t="str">
        <f>IF(ISBLANK(patch[[#This Row],[project]]), "",COUNTIFS($A:$A,patch[[#This Row],[number]],$S:$S, "BJ And dev",$AD:$AD, "&lt;&gt;IntegratorValidationComment"))</f>
        <v/>
      </c>
      <c r="AA2623" s="7" t="str">
        <f>IF(ISBLANK(patch[[#This Row],[project]]), "",COUNTIFS($A:$A,patch[[#This Row],[number]],$S:$S, "FL And dev",$AD:$AD, "&lt;&gt;IntegratorValidationComment"))</f>
        <v/>
      </c>
      <c r="AB2623" s="7" t="str">
        <f>IF(ISBLANK(patch[[#This Row],[project]]), "",COUNTIFS($A:$A,patch[[#This Row],[number]],$S:$S, "SH And dev",$AD:$AD, "&lt;&gt;IntegratorValidationComment"))</f>
        <v/>
      </c>
      <c r="AC2623" s="7" t="str">
        <f>IF(OR(ISNUMBER(FIND("Review-1", patch[[#This Row],[comments]])), ISNUMBER(FIND("Approver-1", patch[[#This Row],[comments]]))), "Review-1", "")</f>
        <v/>
      </c>
      <c r="AD26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23" s="7">
        <f>IF(ISBLANK(patch[[#This Row],[number]]),AE2622,patch[[#This Row],[ifCommon]])</f>
        <v>0</v>
      </c>
    </row>
    <row r="2624" spans="1:31">
      <c r="A2624" s="151">
        <v>141664</v>
      </c>
      <c r="B2624" s="151"/>
      <c r="C2624" s="151"/>
      <c r="D2624" s="151"/>
      <c r="E2624" s="151"/>
      <c r="F2624" s="151"/>
      <c r="G2624" s="151"/>
      <c r="H2624" s="151"/>
      <c r="I2624" s="151"/>
      <c r="J2624" s="152">
        <v>42614.754907407398</v>
      </c>
      <c r="K2624" s="151"/>
      <c r="L2624" s="151" t="s">
        <v>59</v>
      </c>
      <c r="M2624" s="152">
        <v>42608.515833333331</v>
      </c>
      <c r="N2624" s="151" t="s">
        <v>3907</v>
      </c>
      <c r="O2624" s="151"/>
      <c r="P2624" s="151"/>
      <c r="Q2624" s="7" t="str">
        <f>IF(ISBLANK(patch[[#This Row],[OwnerEmail]]),Q2623,patch[[#This Row],[OwnerEmail]])</f>
        <v>zongx.li@intel.com</v>
      </c>
      <c r="R2624" s="7" t="str">
        <f>_xlfn.IFNA(VLOOKUP(patch[[#This Row],[tmp-owner.email]],OrgTree!$A:$K, 11, 0), "not ICG SWFW")</f>
        <v>BJ And dev</v>
      </c>
      <c r="S2624" s="7" t="str">
        <f>IF(patch[[#This Row],[reviewer]]=patch[[#This Row],[tmp-owner.email]], "author", _xlfn.IFNA(VLOOKUP(patch[[#This Row],[reviewer]],OrgTree!$A:$K, 11, 0), "not ICG SWFW"))</f>
        <v>BJ And dev</v>
      </c>
      <c r="T2624" s="7" t="str">
        <f>IF(ISBLANK(patch[[#This Row],[mergeDate]]), "", MID(YEAR(patch[[#This Row],[mergeDate]]), 3,2)&amp;"'ww"&amp;WEEKNUM(patch[[#This Row],[mergeDate]]))</f>
        <v>16'ww36</v>
      </c>
      <c r="U2624" s="7" t="str">
        <f>IF(ISBLANK(patch[[#This Row],[mergeDate]]), U2623, MID(YEAR(patch[[#This Row],[mergeDate]]), 3,2)&amp;"'m"&amp;MONTH(patch[[#This Row],[mergeDate]]))</f>
        <v>16'm9</v>
      </c>
      <c r="V2624" s="7" t="str">
        <f>IF(ISBLANK(patch[[#This Row],[project]]), "",SUM(patch[[#This Row],[BJ -1 num]:[SH -1 num]]))</f>
        <v/>
      </c>
      <c r="W2624" s="7" t="str">
        <f>IF(ISBLANK(patch[[#This Row],[project]]), "",COUNTIFS($A:$A,patch[[#This Row],[number]],$S:$S, "BJ And dev",$AC:$AC, "Review-1"))</f>
        <v/>
      </c>
      <c r="X2624" s="7" t="str">
        <f>IF(ISBLANK(patch[[#This Row],[project]]), "",COUNTIFS($A:$A,patch[[#This Row],[number]],$S:$S, "FL And dev",$AC:$AC, "Review-1"))</f>
        <v/>
      </c>
      <c r="Y2624" s="7" t="str">
        <f>IF(ISBLANK(patch[[#This Row],[project]]), "",COUNTIFS($A:$A,patch[[#This Row],[number]],$S:$S, "SH And dev",$AC:$AC, "Review-1"))</f>
        <v/>
      </c>
      <c r="Z2624" s="7" t="str">
        <f>IF(ISBLANK(patch[[#This Row],[project]]), "",COUNTIFS($A:$A,patch[[#This Row],[number]],$S:$S, "BJ And dev",$AD:$AD, "&lt;&gt;IntegratorValidationComment"))</f>
        <v/>
      </c>
      <c r="AA2624" s="7" t="str">
        <f>IF(ISBLANK(patch[[#This Row],[project]]), "",COUNTIFS($A:$A,patch[[#This Row],[number]],$S:$S, "FL And dev",$AD:$AD, "&lt;&gt;IntegratorValidationComment"))</f>
        <v/>
      </c>
      <c r="AB2624" s="7" t="str">
        <f>IF(ISBLANK(patch[[#This Row],[project]]), "",COUNTIFS($A:$A,patch[[#This Row],[number]],$S:$S, "SH And dev",$AD:$AD, "&lt;&gt;IntegratorValidationComment"))</f>
        <v/>
      </c>
      <c r="AC2624" s="7" t="str">
        <f>IF(OR(ISNUMBER(FIND("Review-1", patch[[#This Row],[comments]])), ISNUMBER(FIND("Approver-1", patch[[#This Row],[comments]]))), "Review-1", "")</f>
        <v/>
      </c>
      <c r="AD26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24" s="7">
        <f>IF(ISBLANK(patch[[#This Row],[number]]),AE2623,patch[[#This Row],[ifCommon]])</f>
        <v>0</v>
      </c>
    </row>
    <row r="2625" spans="1:31">
      <c r="A2625" s="151">
        <v>141664</v>
      </c>
      <c r="B2625" s="151"/>
      <c r="C2625" s="151"/>
      <c r="D2625" s="151"/>
      <c r="E2625" s="151"/>
      <c r="F2625" s="151"/>
      <c r="G2625" s="151"/>
      <c r="H2625" s="151"/>
      <c r="I2625" s="151"/>
      <c r="J2625" s="152">
        <v>42614.754907407398</v>
      </c>
      <c r="K2625" s="151"/>
      <c r="L2625" s="151" t="s">
        <v>59</v>
      </c>
      <c r="M2625" s="152">
        <v>42608.523506944453</v>
      </c>
      <c r="N2625" s="151" t="s">
        <v>3908</v>
      </c>
      <c r="O2625" s="151"/>
      <c r="P2625" s="151"/>
      <c r="Q2625" s="7" t="str">
        <f>IF(ISBLANK(patch[[#This Row],[OwnerEmail]]),Q2624,patch[[#This Row],[OwnerEmail]])</f>
        <v>zongx.li@intel.com</v>
      </c>
      <c r="R2625" s="7" t="str">
        <f>_xlfn.IFNA(VLOOKUP(patch[[#This Row],[tmp-owner.email]],OrgTree!$A:$K, 11, 0), "not ICG SWFW")</f>
        <v>BJ And dev</v>
      </c>
      <c r="S2625" s="7" t="str">
        <f>IF(patch[[#This Row],[reviewer]]=patch[[#This Row],[tmp-owner.email]], "author", _xlfn.IFNA(VLOOKUP(patch[[#This Row],[reviewer]],OrgTree!$A:$K, 11, 0), "not ICG SWFW"))</f>
        <v>BJ And dev</v>
      </c>
      <c r="T2625" s="7" t="str">
        <f>IF(ISBLANK(patch[[#This Row],[mergeDate]]), "", MID(YEAR(patch[[#This Row],[mergeDate]]), 3,2)&amp;"'ww"&amp;WEEKNUM(patch[[#This Row],[mergeDate]]))</f>
        <v>16'ww36</v>
      </c>
      <c r="U2625" s="7" t="str">
        <f>IF(ISBLANK(patch[[#This Row],[mergeDate]]), U2624, MID(YEAR(patch[[#This Row],[mergeDate]]), 3,2)&amp;"'m"&amp;MONTH(patch[[#This Row],[mergeDate]]))</f>
        <v>16'm9</v>
      </c>
      <c r="V2625" s="7" t="str">
        <f>IF(ISBLANK(patch[[#This Row],[project]]), "",SUM(patch[[#This Row],[BJ -1 num]:[SH -1 num]]))</f>
        <v/>
      </c>
      <c r="W2625" s="7" t="str">
        <f>IF(ISBLANK(patch[[#This Row],[project]]), "",COUNTIFS($A:$A,patch[[#This Row],[number]],$S:$S, "BJ And dev",$AC:$AC, "Review-1"))</f>
        <v/>
      </c>
      <c r="X2625" s="7" t="str">
        <f>IF(ISBLANK(patch[[#This Row],[project]]), "",COUNTIFS($A:$A,patch[[#This Row],[number]],$S:$S, "FL And dev",$AC:$AC, "Review-1"))</f>
        <v/>
      </c>
      <c r="Y2625" s="7" t="str">
        <f>IF(ISBLANK(patch[[#This Row],[project]]), "",COUNTIFS($A:$A,patch[[#This Row],[number]],$S:$S, "SH And dev",$AC:$AC, "Review-1"))</f>
        <v/>
      </c>
      <c r="Z2625" s="7" t="str">
        <f>IF(ISBLANK(patch[[#This Row],[project]]), "",COUNTIFS($A:$A,patch[[#This Row],[number]],$S:$S, "BJ And dev",$AD:$AD, "&lt;&gt;IntegratorValidationComment"))</f>
        <v/>
      </c>
      <c r="AA2625" s="7" t="str">
        <f>IF(ISBLANK(patch[[#This Row],[project]]), "",COUNTIFS($A:$A,patch[[#This Row],[number]],$S:$S, "FL And dev",$AD:$AD, "&lt;&gt;IntegratorValidationComment"))</f>
        <v/>
      </c>
      <c r="AB2625" s="7" t="str">
        <f>IF(ISBLANK(patch[[#This Row],[project]]), "",COUNTIFS($A:$A,patch[[#This Row],[number]],$S:$S, "SH And dev",$AD:$AD, "&lt;&gt;IntegratorValidationComment"))</f>
        <v/>
      </c>
      <c r="AC2625" s="7" t="str">
        <f>IF(OR(ISNUMBER(FIND("Review-1", patch[[#This Row],[comments]])), ISNUMBER(FIND("Approver-1", patch[[#This Row],[comments]]))), "Review-1", "")</f>
        <v/>
      </c>
      <c r="AD26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25" s="7">
        <f>IF(ISBLANK(patch[[#This Row],[number]]),AE2624,patch[[#This Row],[ifCommon]])</f>
        <v>0</v>
      </c>
    </row>
    <row r="2626" spans="1:31">
      <c r="A2626" s="151">
        <v>141664</v>
      </c>
      <c r="B2626" s="151"/>
      <c r="C2626" s="151"/>
      <c r="D2626" s="151"/>
      <c r="E2626" s="151"/>
      <c r="F2626" s="151"/>
      <c r="G2626" s="151"/>
      <c r="H2626" s="151"/>
      <c r="I2626" s="151"/>
      <c r="J2626" s="152">
        <v>42614.754907407398</v>
      </c>
      <c r="K2626" s="151"/>
      <c r="L2626" s="151" t="s">
        <v>63</v>
      </c>
      <c r="M2626" s="152">
        <v>42608.636111111111</v>
      </c>
      <c r="N2626" s="151" t="s">
        <v>29</v>
      </c>
      <c r="O2626" s="151"/>
      <c r="P2626" s="151"/>
      <c r="Q2626" s="7" t="str">
        <f>IF(ISBLANK(patch[[#This Row],[OwnerEmail]]),Q2625,patch[[#This Row],[OwnerEmail]])</f>
        <v>zongx.li@intel.com</v>
      </c>
      <c r="R2626" s="7" t="str">
        <f>_xlfn.IFNA(VLOOKUP(patch[[#This Row],[tmp-owner.email]],OrgTree!$A:$K, 11, 0), "not ICG SWFW")</f>
        <v>BJ And dev</v>
      </c>
      <c r="S2626" s="7" t="str">
        <f>IF(patch[[#This Row],[reviewer]]=patch[[#This Row],[tmp-owner.email]], "author", _xlfn.IFNA(VLOOKUP(patch[[#This Row],[reviewer]],OrgTree!$A:$K, 11, 0), "not ICG SWFW"))</f>
        <v>author</v>
      </c>
      <c r="T2626" s="7" t="str">
        <f>IF(ISBLANK(patch[[#This Row],[mergeDate]]), "", MID(YEAR(patch[[#This Row],[mergeDate]]), 3,2)&amp;"'ww"&amp;WEEKNUM(patch[[#This Row],[mergeDate]]))</f>
        <v>16'ww36</v>
      </c>
      <c r="U2626" s="7" t="str">
        <f>IF(ISBLANK(patch[[#This Row],[mergeDate]]), U2625, MID(YEAR(patch[[#This Row],[mergeDate]]), 3,2)&amp;"'m"&amp;MONTH(patch[[#This Row],[mergeDate]]))</f>
        <v>16'm9</v>
      </c>
      <c r="V2626" s="7" t="str">
        <f>IF(ISBLANK(patch[[#This Row],[project]]), "",SUM(patch[[#This Row],[BJ -1 num]:[SH -1 num]]))</f>
        <v/>
      </c>
      <c r="W2626" s="7" t="str">
        <f>IF(ISBLANK(patch[[#This Row],[project]]), "",COUNTIFS($A:$A,patch[[#This Row],[number]],$S:$S, "BJ And dev",$AC:$AC, "Review-1"))</f>
        <v/>
      </c>
      <c r="X2626" s="7" t="str">
        <f>IF(ISBLANK(patch[[#This Row],[project]]), "",COUNTIFS($A:$A,patch[[#This Row],[number]],$S:$S, "FL And dev",$AC:$AC, "Review-1"))</f>
        <v/>
      </c>
      <c r="Y2626" s="7" t="str">
        <f>IF(ISBLANK(patch[[#This Row],[project]]), "",COUNTIFS($A:$A,patch[[#This Row],[number]],$S:$S, "SH And dev",$AC:$AC, "Review-1"))</f>
        <v/>
      </c>
      <c r="Z2626" s="7" t="str">
        <f>IF(ISBLANK(patch[[#This Row],[project]]), "",COUNTIFS($A:$A,patch[[#This Row],[number]],$S:$S, "BJ And dev",$AD:$AD, "&lt;&gt;IntegratorValidationComment"))</f>
        <v/>
      </c>
      <c r="AA2626" s="7" t="str">
        <f>IF(ISBLANK(patch[[#This Row],[project]]), "",COUNTIFS($A:$A,patch[[#This Row],[number]],$S:$S, "FL And dev",$AD:$AD, "&lt;&gt;IntegratorValidationComment"))</f>
        <v/>
      </c>
      <c r="AB2626" s="7" t="str">
        <f>IF(ISBLANK(patch[[#This Row],[project]]), "",COUNTIFS($A:$A,patch[[#This Row],[number]],$S:$S, "SH And dev",$AD:$AD, "&lt;&gt;IntegratorValidationComment"))</f>
        <v/>
      </c>
      <c r="AC2626" s="7" t="str">
        <f>IF(OR(ISNUMBER(FIND("Review-1", patch[[#This Row],[comments]])), ISNUMBER(FIND("Approver-1", patch[[#This Row],[comments]]))), "Review-1", "")</f>
        <v/>
      </c>
      <c r="AD26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26" s="7">
        <f>IF(ISBLANK(patch[[#This Row],[number]]),AE2625,patch[[#This Row],[ifCommon]])</f>
        <v>0</v>
      </c>
    </row>
    <row r="2627" spans="1:31">
      <c r="A2627" s="151">
        <v>141664</v>
      </c>
      <c r="B2627" s="151"/>
      <c r="C2627" s="151"/>
      <c r="D2627" s="151"/>
      <c r="E2627" s="151"/>
      <c r="F2627" s="151"/>
      <c r="G2627" s="151"/>
      <c r="H2627" s="151"/>
      <c r="I2627" s="152"/>
      <c r="J2627" s="152">
        <v>42614.754907407398</v>
      </c>
      <c r="K2627" s="151"/>
      <c r="L2627" s="151" t="s">
        <v>63</v>
      </c>
      <c r="M2627" s="152">
        <v>42608.636122685188</v>
      </c>
      <c r="N2627" s="151" t="s">
        <v>2429</v>
      </c>
      <c r="O2627" s="151"/>
      <c r="P2627" s="151"/>
      <c r="Q2627" s="7" t="str">
        <f>IF(ISBLANK(patch[[#This Row],[OwnerEmail]]),Q2626,patch[[#This Row],[OwnerEmail]])</f>
        <v>zongx.li@intel.com</v>
      </c>
      <c r="R2627" s="7" t="str">
        <f>_xlfn.IFNA(VLOOKUP(patch[[#This Row],[tmp-owner.email]],OrgTree!$A:$K, 11, 0), "not ICG SWFW")</f>
        <v>BJ And dev</v>
      </c>
      <c r="S2627" s="7" t="str">
        <f>IF(patch[[#This Row],[reviewer]]=patch[[#This Row],[tmp-owner.email]], "author", _xlfn.IFNA(VLOOKUP(patch[[#This Row],[reviewer]],OrgTree!$A:$K, 11, 0), "not ICG SWFW"))</f>
        <v>author</v>
      </c>
      <c r="T2627" s="7" t="str">
        <f>IF(ISBLANK(patch[[#This Row],[mergeDate]]), "", MID(YEAR(patch[[#This Row],[mergeDate]]), 3,2)&amp;"'ww"&amp;WEEKNUM(patch[[#This Row],[mergeDate]]))</f>
        <v>16'ww36</v>
      </c>
      <c r="U2627" s="7" t="str">
        <f>IF(ISBLANK(patch[[#This Row],[mergeDate]]), U2626, MID(YEAR(patch[[#This Row],[mergeDate]]), 3,2)&amp;"'m"&amp;MONTH(patch[[#This Row],[mergeDate]]))</f>
        <v>16'm9</v>
      </c>
      <c r="V2627" s="7" t="str">
        <f>IF(ISBLANK(patch[[#This Row],[project]]), "",SUM(patch[[#This Row],[BJ -1 num]:[SH -1 num]]))</f>
        <v/>
      </c>
      <c r="W2627" s="7" t="str">
        <f>IF(ISBLANK(patch[[#This Row],[project]]), "",COUNTIFS($A:$A,patch[[#This Row],[number]],$S:$S, "BJ And dev",$AC:$AC, "Review-1"))</f>
        <v/>
      </c>
      <c r="X2627" s="7" t="str">
        <f>IF(ISBLANK(patch[[#This Row],[project]]), "",COUNTIFS($A:$A,patch[[#This Row],[number]],$S:$S, "FL And dev",$AC:$AC, "Review-1"))</f>
        <v/>
      </c>
      <c r="Y2627" s="7" t="str">
        <f>IF(ISBLANK(patch[[#This Row],[project]]), "",COUNTIFS($A:$A,patch[[#This Row],[number]],$S:$S, "SH And dev",$AC:$AC, "Review-1"))</f>
        <v/>
      </c>
      <c r="Z2627" s="7" t="str">
        <f>IF(ISBLANK(patch[[#This Row],[project]]), "",COUNTIFS($A:$A,patch[[#This Row],[number]],$S:$S, "BJ And dev",$AD:$AD, "&lt;&gt;IntegratorValidationComment"))</f>
        <v/>
      </c>
      <c r="AA2627" s="7" t="str">
        <f>IF(ISBLANK(patch[[#This Row],[project]]), "",COUNTIFS($A:$A,patch[[#This Row],[number]],$S:$S, "FL And dev",$AD:$AD, "&lt;&gt;IntegratorValidationComment"))</f>
        <v/>
      </c>
      <c r="AB2627" s="7" t="str">
        <f>IF(ISBLANK(patch[[#This Row],[project]]), "",COUNTIFS($A:$A,patch[[#This Row],[number]],$S:$S, "SH And dev",$AD:$AD, "&lt;&gt;IntegratorValidationComment"))</f>
        <v/>
      </c>
      <c r="AC2627" s="7" t="str">
        <f>IF(OR(ISNUMBER(FIND("Review-1", patch[[#This Row],[comments]])), ISNUMBER(FIND("Approver-1", patch[[#This Row],[comments]]))), "Review-1", "")</f>
        <v/>
      </c>
      <c r="AD26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27" s="7">
        <f>IF(ISBLANK(patch[[#This Row],[number]]),AE2626,patch[[#This Row],[ifCommon]])</f>
        <v>0</v>
      </c>
    </row>
    <row r="2628" spans="1:31">
      <c r="A2628" s="151">
        <v>141664</v>
      </c>
      <c r="B2628" s="151"/>
      <c r="C2628" s="151"/>
      <c r="D2628" s="151"/>
      <c r="E2628" s="151"/>
      <c r="F2628" s="151"/>
      <c r="G2628" s="151"/>
      <c r="H2628" s="151"/>
      <c r="I2628" s="151"/>
      <c r="J2628" s="152">
        <v>42614.754907407398</v>
      </c>
      <c r="K2628" s="151"/>
      <c r="L2628" s="151" t="s">
        <v>59</v>
      </c>
      <c r="M2628" s="152">
        <v>42608.6403125</v>
      </c>
      <c r="N2628" s="151" t="s">
        <v>3909</v>
      </c>
      <c r="O2628" s="151"/>
      <c r="P2628" s="151"/>
      <c r="Q2628" s="7" t="str">
        <f>IF(ISBLANK(patch[[#This Row],[OwnerEmail]]),Q2627,patch[[#This Row],[OwnerEmail]])</f>
        <v>zongx.li@intel.com</v>
      </c>
      <c r="R2628" s="7" t="str">
        <f>_xlfn.IFNA(VLOOKUP(patch[[#This Row],[tmp-owner.email]],OrgTree!$A:$K, 11, 0), "not ICG SWFW")</f>
        <v>BJ And dev</v>
      </c>
      <c r="S2628" s="7" t="str">
        <f>IF(patch[[#This Row],[reviewer]]=patch[[#This Row],[tmp-owner.email]], "author", _xlfn.IFNA(VLOOKUP(patch[[#This Row],[reviewer]],OrgTree!$A:$K, 11, 0), "not ICG SWFW"))</f>
        <v>BJ And dev</v>
      </c>
      <c r="T2628" s="7" t="str">
        <f>IF(ISBLANK(patch[[#This Row],[mergeDate]]), "", MID(YEAR(patch[[#This Row],[mergeDate]]), 3,2)&amp;"'ww"&amp;WEEKNUM(patch[[#This Row],[mergeDate]]))</f>
        <v>16'ww36</v>
      </c>
      <c r="U2628" s="7" t="str">
        <f>IF(ISBLANK(patch[[#This Row],[mergeDate]]), U2627, MID(YEAR(patch[[#This Row],[mergeDate]]), 3,2)&amp;"'m"&amp;MONTH(patch[[#This Row],[mergeDate]]))</f>
        <v>16'm9</v>
      </c>
      <c r="V2628" s="7" t="str">
        <f>IF(ISBLANK(patch[[#This Row],[project]]), "",SUM(patch[[#This Row],[BJ -1 num]:[SH -1 num]]))</f>
        <v/>
      </c>
      <c r="W2628" s="7" t="str">
        <f>IF(ISBLANK(patch[[#This Row],[project]]), "",COUNTIFS($A:$A,patch[[#This Row],[number]],$S:$S, "BJ And dev",$AC:$AC, "Review-1"))</f>
        <v/>
      </c>
      <c r="X2628" s="7" t="str">
        <f>IF(ISBLANK(patch[[#This Row],[project]]), "",COUNTIFS($A:$A,patch[[#This Row],[number]],$S:$S, "FL And dev",$AC:$AC, "Review-1"))</f>
        <v/>
      </c>
      <c r="Y2628" s="7" t="str">
        <f>IF(ISBLANK(patch[[#This Row],[project]]), "",COUNTIFS($A:$A,patch[[#This Row],[number]],$S:$S, "SH And dev",$AC:$AC, "Review-1"))</f>
        <v/>
      </c>
      <c r="Z2628" s="7" t="str">
        <f>IF(ISBLANK(patch[[#This Row],[project]]), "",COUNTIFS($A:$A,patch[[#This Row],[number]],$S:$S, "BJ And dev",$AD:$AD, "&lt;&gt;IntegratorValidationComment"))</f>
        <v/>
      </c>
      <c r="AA2628" s="7" t="str">
        <f>IF(ISBLANK(patch[[#This Row],[project]]), "",COUNTIFS($A:$A,patch[[#This Row],[number]],$S:$S, "FL And dev",$AD:$AD, "&lt;&gt;IntegratorValidationComment"))</f>
        <v/>
      </c>
      <c r="AB2628" s="7" t="str">
        <f>IF(ISBLANK(patch[[#This Row],[project]]), "",COUNTIFS($A:$A,patch[[#This Row],[number]],$S:$S, "SH And dev",$AD:$AD, "&lt;&gt;IntegratorValidationComment"))</f>
        <v/>
      </c>
      <c r="AC2628" s="7" t="str">
        <f>IF(OR(ISNUMBER(FIND("Review-1", patch[[#This Row],[comments]])), ISNUMBER(FIND("Approver-1", patch[[#This Row],[comments]]))), "Review-1", "")</f>
        <v/>
      </c>
      <c r="AD26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28" s="7">
        <f>IF(ISBLANK(patch[[#This Row],[number]]),AE2627,patch[[#This Row],[ifCommon]])</f>
        <v>0</v>
      </c>
    </row>
    <row r="2629" spans="1:31">
      <c r="A2629" s="151">
        <v>141664</v>
      </c>
      <c r="B2629" s="151"/>
      <c r="C2629" s="151"/>
      <c r="D2629" s="151"/>
      <c r="E2629" s="151"/>
      <c r="F2629" s="151"/>
      <c r="G2629" s="151"/>
      <c r="H2629" s="151"/>
      <c r="I2629" s="151"/>
      <c r="J2629" s="152">
        <v>42614.754907407398</v>
      </c>
      <c r="K2629" s="151"/>
      <c r="L2629" s="151" t="s">
        <v>59</v>
      </c>
      <c r="M2629" s="152">
        <v>42608.643240740741</v>
      </c>
      <c r="N2629" s="151" t="s">
        <v>3910</v>
      </c>
      <c r="O2629" s="151"/>
      <c r="P2629" s="151"/>
      <c r="Q2629" s="7" t="str">
        <f>IF(ISBLANK(patch[[#This Row],[OwnerEmail]]),Q2628,patch[[#This Row],[OwnerEmail]])</f>
        <v>zongx.li@intel.com</v>
      </c>
      <c r="R2629" s="7" t="str">
        <f>_xlfn.IFNA(VLOOKUP(patch[[#This Row],[tmp-owner.email]],OrgTree!$A:$K, 11, 0), "not ICG SWFW")</f>
        <v>BJ And dev</v>
      </c>
      <c r="S2629" s="7" t="str">
        <f>IF(patch[[#This Row],[reviewer]]=patch[[#This Row],[tmp-owner.email]], "author", _xlfn.IFNA(VLOOKUP(patch[[#This Row],[reviewer]],OrgTree!$A:$K, 11, 0), "not ICG SWFW"))</f>
        <v>BJ And dev</v>
      </c>
      <c r="T2629" s="7" t="str">
        <f>IF(ISBLANK(patch[[#This Row],[mergeDate]]), "", MID(YEAR(patch[[#This Row],[mergeDate]]), 3,2)&amp;"'ww"&amp;WEEKNUM(patch[[#This Row],[mergeDate]]))</f>
        <v>16'ww36</v>
      </c>
      <c r="U2629" s="7" t="str">
        <f>IF(ISBLANK(patch[[#This Row],[mergeDate]]), U2628, MID(YEAR(patch[[#This Row],[mergeDate]]), 3,2)&amp;"'m"&amp;MONTH(patch[[#This Row],[mergeDate]]))</f>
        <v>16'm9</v>
      </c>
      <c r="V2629" s="7" t="str">
        <f>IF(ISBLANK(patch[[#This Row],[project]]), "",SUM(patch[[#This Row],[BJ -1 num]:[SH -1 num]]))</f>
        <v/>
      </c>
      <c r="W2629" s="7" t="str">
        <f>IF(ISBLANK(patch[[#This Row],[project]]), "",COUNTIFS($A:$A,patch[[#This Row],[number]],$S:$S, "BJ And dev",$AC:$AC, "Review-1"))</f>
        <v/>
      </c>
      <c r="X2629" s="7" t="str">
        <f>IF(ISBLANK(patch[[#This Row],[project]]), "",COUNTIFS($A:$A,patch[[#This Row],[number]],$S:$S, "FL And dev",$AC:$AC, "Review-1"))</f>
        <v/>
      </c>
      <c r="Y2629" s="7" t="str">
        <f>IF(ISBLANK(patch[[#This Row],[project]]), "",COUNTIFS($A:$A,patch[[#This Row],[number]],$S:$S, "SH And dev",$AC:$AC, "Review-1"))</f>
        <v/>
      </c>
      <c r="Z2629" s="7" t="str">
        <f>IF(ISBLANK(patch[[#This Row],[project]]), "",COUNTIFS($A:$A,patch[[#This Row],[number]],$S:$S, "BJ And dev",$AD:$AD, "&lt;&gt;IntegratorValidationComment"))</f>
        <v/>
      </c>
      <c r="AA2629" s="7" t="str">
        <f>IF(ISBLANK(patch[[#This Row],[project]]), "",COUNTIFS($A:$A,patch[[#This Row],[number]],$S:$S, "FL And dev",$AD:$AD, "&lt;&gt;IntegratorValidationComment"))</f>
        <v/>
      </c>
      <c r="AB2629" s="7" t="str">
        <f>IF(ISBLANK(patch[[#This Row],[project]]), "",COUNTIFS($A:$A,patch[[#This Row],[number]],$S:$S, "SH And dev",$AD:$AD, "&lt;&gt;IntegratorValidationComment"))</f>
        <v/>
      </c>
      <c r="AC2629" s="7" t="str">
        <f>IF(OR(ISNUMBER(FIND("Review-1", patch[[#This Row],[comments]])), ISNUMBER(FIND("Approver-1", patch[[#This Row],[comments]]))), "Review-1", "")</f>
        <v/>
      </c>
      <c r="AD26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29" s="7">
        <f>IF(ISBLANK(patch[[#This Row],[number]]),AE2628,patch[[#This Row],[ifCommon]])</f>
        <v>0</v>
      </c>
    </row>
    <row r="2630" spans="1:31">
      <c r="A2630" s="151">
        <v>141664</v>
      </c>
      <c r="B2630" s="151"/>
      <c r="C2630" s="151"/>
      <c r="D2630" s="151"/>
      <c r="E2630" s="151"/>
      <c r="F2630" s="151"/>
      <c r="G2630" s="151"/>
      <c r="H2630" s="151"/>
      <c r="I2630" s="151"/>
      <c r="J2630" s="152">
        <v>42614.754907407398</v>
      </c>
      <c r="K2630" s="151"/>
      <c r="L2630" s="151" t="s">
        <v>63</v>
      </c>
      <c r="M2630" s="152">
        <v>42611.748101851852</v>
      </c>
      <c r="N2630" s="151" t="s">
        <v>2450</v>
      </c>
      <c r="O2630" s="151"/>
      <c r="P2630" s="151"/>
      <c r="Q2630" s="7" t="str">
        <f>IF(ISBLANK(patch[[#This Row],[OwnerEmail]]),Q2629,patch[[#This Row],[OwnerEmail]])</f>
        <v>zongx.li@intel.com</v>
      </c>
      <c r="R2630" s="7" t="str">
        <f>_xlfn.IFNA(VLOOKUP(patch[[#This Row],[tmp-owner.email]],OrgTree!$A:$K, 11, 0), "not ICG SWFW")</f>
        <v>BJ And dev</v>
      </c>
      <c r="S2630" s="7" t="str">
        <f>IF(patch[[#This Row],[reviewer]]=patch[[#This Row],[tmp-owner.email]], "author", _xlfn.IFNA(VLOOKUP(patch[[#This Row],[reviewer]],OrgTree!$A:$K, 11, 0), "not ICG SWFW"))</f>
        <v>author</v>
      </c>
      <c r="T2630" s="7" t="str">
        <f>IF(ISBLANK(patch[[#This Row],[mergeDate]]), "", MID(YEAR(patch[[#This Row],[mergeDate]]), 3,2)&amp;"'ww"&amp;WEEKNUM(patch[[#This Row],[mergeDate]]))</f>
        <v>16'ww36</v>
      </c>
      <c r="U2630" s="7" t="str">
        <f>IF(ISBLANK(patch[[#This Row],[mergeDate]]), U2629, MID(YEAR(patch[[#This Row],[mergeDate]]), 3,2)&amp;"'m"&amp;MONTH(patch[[#This Row],[mergeDate]]))</f>
        <v>16'm9</v>
      </c>
      <c r="V2630" s="7" t="str">
        <f>IF(ISBLANK(patch[[#This Row],[project]]), "",SUM(patch[[#This Row],[BJ -1 num]:[SH -1 num]]))</f>
        <v/>
      </c>
      <c r="W2630" s="7" t="str">
        <f>IF(ISBLANK(patch[[#This Row],[project]]), "",COUNTIFS($A:$A,patch[[#This Row],[number]],$S:$S, "BJ And dev",$AC:$AC, "Review-1"))</f>
        <v/>
      </c>
      <c r="X2630" s="7" t="str">
        <f>IF(ISBLANK(patch[[#This Row],[project]]), "",COUNTIFS($A:$A,patch[[#This Row],[number]],$S:$S, "FL And dev",$AC:$AC, "Review-1"))</f>
        <v/>
      </c>
      <c r="Y2630" s="7" t="str">
        <f>IF(ISBLANK(patch[[#This Row],[project]]), "",COUNTIFS($A:$A,patch[[#This Row],[number]],$S:$S, "SH And dev",$AC:$AC, "Review-1"))</f>
        <v/>
      </c>
      <c r="Z2630" s="7" t="str">
        <f>IF(ISBLANK(patch[[#This Row],[project]]), "",COUNTIFS($A:$A,patch[[#This Row],[number]],$S:$S, "BJ And dev",$AD:$AD, "&lt;&gt;IntegratorValidationComment"))</f>
        <v/>
      </c>
      <c r="AA2630" s="7" t="str">
        <f>IF(ISBLANK(patch[[#This Row],[project]]), "",COUNTIFS($A:$A,patch[[#This Row],[number]],$S:$S, "FL And dev",$AD:$AD, "&lt;&gt;IntegratorValidationComment"))</f>
        <v/>
      </c>
      <c r="AB2630" s="7" t="str">
        <f>IF(ISBLANK(patch[[#This Row],[project]]), "",COUNTIFS($A:$A,patch[[#This Row],[number]],$S:$S, "SH And dev",$AD:$AD, "&lt;&gt;IntegratorValidationComment"))</f>
        <v/>
      </c>
      <c r="AC2630" s="7" t="str">
        <f>IF(OR(ISNUMBER(FIND("Review-1", patch[[#This Row],[comments]])), ISNUMBER(FIND("Approver-1", patch[[#This Row],[comments]]))), "Review-1", "")</f>
        <v/>
      </c>
      <c r="AD26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30" s="7">
        <f>IF(ISBLANK(patch[[#This Row],[number]]),AE2629,patch[[#This Row],[ifCommon]])</f>
        <v>0</v>
      </c>
    </row>
    <row r="2631" spans="1:31">
      <c r="A2631" s="151">
        <v>141664</v>
      </c>
      <c r="B2631" s="151"/>
      <c r="C2631" s="151"/>
      <c r="D2631" s="151"/>
      <c r="E2631" s="151"/>
      <c r="F2631" s="151"/>
      <c r="G2631" s="151"/>
      <c r="H2631" s="151"/>
      <c r="I2631" s="151"/>
      <c r="J2631" s="152">
        <v>42614.754907407398</v>
      </c>
      <c r="K2631" s="151"/>
      <c r="L2631" s="151" t="s">
        <v>63</v>
      </c>
      <c r="M2631" s="152">
        <v>42611.748101851852</v>
      </c>
      <c r="N2631" s="151" t="s">
        <v>1829</v>
      </c>
      <c r="O2631" s="151"/>
      <c r="P2631" s="151"/>
      <c r="Q2631" s="7" t="str">
        <f>IF(ISBLANK(patch[[#This Row],[OwnerEmail]]),Q2630,patch[[#This Row],[OwnerEmail]])</f>
        <v>zongx.li@intel.com</v>
      </c>
      <c r="R2631" s="7" t="str">
        <f>_xlfn.IFNA(VLOOKUP(patch[[#This Row],[tmp-owner.email]],OrgTree!$A:$K, 11, 0), "not ICG SWFW")</f>
        <v>BJ And dev</v>
      </c>
      <c r="S2631" s="7" t="str">
        <f>IF(patch[[#This Row],[reviewer]]=patch[[#This Row],[tmp-owner.email]], "author", _xlfn.IFNA(VLOOKUP(patch[[#This Row],[reviewer]],OrgTree!$A:$K, 11, 0), "not ICG SWFW"))</f>
        <v>author</v>
      </c>
      <c r="T2631" s="7" t="str">
        <f>IF(ISBLANK(patch[[#This Row],[mergeDate]]), "", MID(YEAR(patch[[#This Row],[mergeDate]]), 3,2)&amp;"'ww"&amp;WEEKNUM(patch[[#This Row],[mergeDate]]))</f>
        <v>16'ww36</v>
      </c>
      <c r="U2631" s="7" t="str">
        <f>IF(ISBLANK(patch[[#This Row],[mergeDate]]), U2630, MID(YEAR(patch[[#This Row],[mergeDate]]), 3,2)&amp;"'m"&amp;MONTH(patch[[#This Row],[mergeDate]]))</f>
        <v>16'm9</v>
      </c>
      <c r="V2631" s="7" t="str">
        <f>IF(ISBLANK(patch[[#This Row],[project]]), "",SUM(patch[[#This Row],[BJ -1 num]:[SH -1 num]]))</f>
        <v/>
      </c>
      <c r="W2631" s="7" t="str">
        <f>IF(ISBLANK(patch[[#This Row],[project]]), "",COUNTIFS($A:$A,patch[[#This Row],[number]],$S:$S, "BJ And dev",$AC:$AC, "Review-1"))</f>
        <v/>
      </c>
      <c r="X2631" s="7" t="str">
        <f>IF(ISBLANK(patch[[#This Row],[project]]), "",COUNTIFS($A:$A,patch[[#This Row],[number]],$S:$S, "FL And dev",$AC:$AC, "Review-1"))</f>
        <v/>
      </c>
      <c r="Y2631" s="7" t="str">
        <f>IF(ISBLANK(patch[[#This Row],[project]]), "",COUNTIFS($A:$A,patch[[#This Row],[number]],$S:$S, "SH And dev",$AC:$AC, "Review-1"))</f>
        <v/>
      </c>
      <c r="Z2631" s="7" t="str">
        <f>IF(ISBLANK(patch[[#This Row],[project]]), "",COUNTIFS($A:$A,patch[[#This Row],[number]],$S:$S, "BJ And dev",$AD:$AD, "&lt;&gt;IntegratorValidationComment"))</f>
        <v/>
      </c>
      <c r="AA2631" s="7" t="str">
        <f>IF(ISBLANK(patch[[#This Row],[project]]), "",COUNTIFS($A:$A,patch[[#This Row],[number]],$S:$S, "FL And dev",$AD:$AD, "&lt;&gt;IntegratorValidationComment"))</f>
        <v/>
      </c>
      <c r="AB2631" s="7" t="str">
        <f>IF(ISBLANK(patch[[#This Row],[project]]), "",COUNTIFS($A:$A,patch[[#This Row],[number]],$S:$S, "SH And dev",$AD:$AD, "&lt;&gt;IntegratorValidationComment"))</f>
        <v/>
      </c>
      <c r="AC2631" s="7" t="str">
        <f>IF(OR(ISNUMBER(FIND("Review-1", patch[[#This Row],[comments]])), ISNUMBER(FIND("Approver-1", patch[[#This Row],[comments]]))), "Review-1", "")</f>
        <v/>
      </c>
      <c r="AD26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31" s="7">
        <f>IF(ISBLANK(patch[[#This Row],[number]]),AE2630,patch[[#This Row],[ifCommon]])</f>
        <v>0</v>
      </c>
    </row>
    <row r="2632" spans="1:31">
      <c r="A2632" s="151">
        <v>141664</v>
      </c>
      <c r="B2632" s="151"/>
      <c r="C2632" s="151"/>
      <c r="D2632" s="151"/>
      <c r="E2632" s="151"/>
      <c r="F2632" s="151"/>
      <c r="G2632" s="151"/>
      <c r="H2632" s="151"/>
      <c r="I2632" s="151"/>
      <c r="J2632" s="152">
        <v>42614.754907407398</v>
      </c>
      <c r="K2632" s="151"/>
      <c r="L2632" s="151" t="s">
        <v>59</v>
      </c>
      <c r="M2632" s="152">
        <v>42611.751250000001</v>
      </c>
      <c r="N2632" s="151" t="s">
        <v>3911</v>
      </c>
      <c r="O2632" s="151"/>
      <c r="P2632" s="151"/>
      <c r="Q2632" s="7" t="str">
        <f>IF(ISBLANK(patch[[#This Row],[OwnerEmail]]),Q2631,patch[[#This Row],[OwnerEmail]])</f>
        <v>zongx.li@intel.com</v>
      </c>
      <c r="R2632" s="7" t="str">
        <f>_xlfn.IFNA(VLOOKUP(patch[[#This Row],[tmp-owner.email]],OrgTree!$A:$K, 11, 0), "not ICG SWFW")</f>
        <v>BJ And dev</v>
      </c>
      <c r="S2632" s="7" t="str">
        <f>IF(patch[[#This Row],[reviewer]]=patch[[#This Row],[tmp-owner.email]], "author", _xlfn.IFNA(VLOOKUP(patch[[#This Row],[reviewer]],OrgTree!$A:$K, 11, 0), "not ICG SWFW"))</f>
        <v>BJ And dev</v>
      </c>
      <c r="T2632" s="7" t="str">
        <f>IF(ISBLANK(patch[[#This Row],[mergeDate]]), "", MID(YEAR(patch[[#This Row],[mergeDate]]), 3,2)&amp;"'ww"&amp;WEEKNUM(patch[[#This Row],[mergeDate]]))</f>
        <v>16'ww36</v>
      </c>
      <c r="U2632" s="7" t="str">
        <f>IF(ISBLANK(patch[[#This Row],[mergeDate]]), U2631, MID(YEAR(patch[[#This Row],[mergeDate]]), 3,2)&amp;"'m"&amp;MONTH(patch[[#This Row],[mergeDate]]))</f>
        <v>16'm9</v>
      </c>
      <c r="V2632" s="7" t="str">
        <f>IF(ISBLANK(patch[[#This Row],[project]]), "",SUM(patch[[#This Row],[BJ -1 num]:[SH -1 num]]))</f>
        <v/>
      </c>
      <c r="W2632" s="7" t="str">
        <f>IF(ISBLANK(patch[[#This Row],[project]]), "",COUNTIFS($A:$A,patch[[#This Row],[number]],$S:$S, "BJ And dev",$AC:$AC, "Review-1"))</f>
        <v/>
      </c>
      <c r="X2632" s="7" t="str">
        <f>IF(ISBLANK(patch[[#This Row],[project]]), "",COUNTIFS($A:$A,patch[[#This Row],[number]],$S:$S, "FL And dev",$AC:$AC, "Review-1"))</f>
        <v/>
      </c>
      <c r="Y2632" s="7" t="str">
        <f>IF(ISBLANK(patch[[#This Row],[project]]), "",COUNTIFS($A:$A,patch[[#This Row],[number]],$S:$S, "SH And dev",$AC:$AC, "Review-1"))</f>
        <v/>
      </c>
      <c r="Z2632" s="7" t="str">
        <f>IF(ISBLANK(patch[[#This Row],[project]]), "",COUNTIFS($A:$A,patch[[#This Row],[number]],$S:$S, "BJ And dev",$AD:$AD, "&lt;&gt;IntegratorValidationComment"))</f>
        <v/>
      </c>
      <c r="AA2632" s="7" t="str">
        <f>IF(ISBLANK(patch[[#This Row],[project]]), "",COUNTIFS($A:$A,patch[[#This Row],[number]],$S:$S, "FL And dev",$AD:$AD, "&lt;&gt;IntegratorValidationComment"))</f>
        <v/>
      </c>
      <c r="AB2632" s="7" t="str">
        <f>IF(ISBLANK(patch[[#This Row],[project]]), "",COUNTIFS($A:$A,patch[[#This Row],[number]],$S:$S, "SH And dev",$AD:$AD, "&lt;&gt;IntegratorValidationComment"))</f>
        <v/>
      </c>
      <c r="AC2632" s="7" t="str">
        <f>IF(OR(ISNUMBER(FIND("Review-1", patch[[#This Row],[comments]])), ISNUMBER(FIND("Approver-1", patch[[#This Row],[comments]]))), "Review-1", "")</f>
        <v/>
      </c>
      <c r="AD26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32" s="7">
        <f>IF(ISBLANK(patch[[#This Row],[number]]),AE2631,patch[[#This Row],[ifCommon]])</f>
        <v>0</v>
      </c>
    </row>
    <row r="2633" spans="1:31">
      <c r="A2633" s="151">
        <v>141664</v>
      </c>
      <c r="B2633" s="151"/>
      <c r="C2633" s="151"/>
      <c r="D2633" s="151"/>
      <c r="E2633" s="151"/>
      <c r="F2633" s="151"/>
      <c r="G2633" s="151"/>
      <c r="H2633" s="151"/>
      <c r="I2633" s="151"/>
      <c r="J2633" s="152">
        <v>42614.754907407398</v>
      </c>
      <c r="K2633" s="151"/>
      <c r="L2633" s="151" t="s">
        <v>59</v>
      </c>
      <c r="M2633" s="152">
        <v>42611.752164351848</v>
      </c>
      <c r="N2633" s="151" t="s">
        <v>3912</v>
      </c>
      <c r="O2633" s="151"/>
      <c r="P2633" s="151"/>
      <c r="Q2633" s="7" t="str">
        <f>IF(ISBLANK(patch[[#This Row],[OwnerEmail]]),Q2632,patch[[#This Row],[OwnerEmail]])</f>
        <v>zongx.li@intel.com</v>
      </c>
      <c r="R2633" s="7" t="str">
        <f>_xlfn.IFNA(VLOOKUP(patch[[#This Row],[tmp-owner.email]],OrgTree!$A:$K, 11, 0), "not ICG SWFW")</f>
        <v>BJ And dev</v>
      </c>
      <c r="S2633" s="7" t="str">
        <f>IF(patch[[#This Row],[reviewer]]=patch[[#This Row],[tmp-owner.email]], "author", _xlfn.IFNA(VLOOKUP(patch[[#This Row],[reviewer]],OrgTree!$A:$K, 11, 0), "not ICG SWFW"))</f>
        <v>BJ And dev</v>
      </c>
      <c r="T2633" s="7" t="str">
        <f>IF(ISBLANK(patch[[#This Row],[mergeDate]]), "", MID(YEAR(patch[[#This Row],[mergeDate]]), 3,2)&amp;"'ww"&amp;WEEKNUM(patch[[#This Row],[mergeDate]]))</f>
        <v>16'ww36</v>
      </c>
      <c r="U2633" s="7" t="str">
        <f>IF(ISBLANK(patch[[#This Row],[mergeDate]]), U2632, MID(YEAR(patch[[#This Row],[mergeDate]]), 3,2)&amp;"'m"&amp;MONTH(patch[[#This Row],[mergeDate]]))</f>
        <v>16'm9</v>
      </c>
      <c r="V2633" s="7" t="str">
        <f>IF(ISBLANK(patch[[#This Row],[project]]), "",SUM(patch[[#This Row],[BJ -1 num]:[SH -1 num]]))</f>
        <v/>
      </c>
      <c r="W2633" s="7" t="str">
        <f>IF(ISBLANK(patch[[#This Row],[project]]), "",COUNTIFS($A:$A,patch[[#This Row],[number]],$S:$S, "BJ And dev",$AC:$AC, "Review-1"))</f>
        <v/>
      </c>
      <c r="X2633" s="7" t="str">
        <f>IF(ISBLANK(patch[[#This Row],[project]]), "",COUNTIFS($A:$A,patch[[#This Row],[number]],$S:$S, "FL And dev",$AC:$AC, "Review-1"))</f>
        <v/>
      </c>
      <c r="Y2633" s="7" t="str">
        <f>IF(ISBLANK(patch[[#This Row],[project]]), "",COUNTIFS($A:$A,patch[[#This Row],[number]],$S:$S, "SH And dev",$AC:$AC, "Review-1"))</f>
        <v/>
      </c>
      <c r="Z2633" s="7" t="str">
        <f>IF(ISBLANK(patch[[#This Row],[project]]), "",COUNTIFS($A:$A,patch[[#This Row],[number]],$S:$S, "BJ And dev",$AD:$AD, "&lt;&gt;IntegratorValidationComment"))</f>
        <v/>
      </c>
      <c r="AA2633" s="7" t="str">
        <f>IF(ISBLANK(patch[[#This Row],[project]]), "",COUNTIFS($A:$A,patch[[#This Row],[number]],$S:$S, "FL And dev",$AD:$AD, "&lt;&gt;IntegratorValidationComment"))</f>
        <v/>
      </c>
      <c r="AB2633" s="7" t="str">
        <f>IF(ISBLANK(patch[[#This Row],[project]]), "",COUNTIFS($A:$A,patch[[#This Row],[number]],$S:$S, "SH And dev",$AD:$AD, "&lt;&gt;IntegratorValidationComment"))</f>
        <v/>
      </c>
      <c r="AC2633" s="7" t="str">
        <f>IF(OR(ISNUMBER(FIND("Review-1", patch[[#This Row],[comments]])), ISNUMBER(FIND("Approver-1", patch[[#This Row],[comments]]))), "Review-1", "")</f>
        <v/>
      </c>
      <c r="AD26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33" s="7">
        <f>IF(ISBLANK(patch[[#This Row],[number]]),AE2632,patch[[#This Row],[ifCommon]])</f>
        <v>0</v>
      </c>
    </row>
    <row r="2634" spans="1:31">
      <c r="A2634" s="151">
        <v>141664</v>
      </c>
      <c r="B2634" s="151"/>
      <c r="C2634" s="151"/>
      <c r="D2634" s="151"/>
      <c r="E2634" s="151"/>
      <c r="F2634" s="151"/>
      <c r="G2634" s="151"/>
      <c r="H2634" s="151"/>
      <c r="I2634" s="151"/>
      <c r="J2634" s="152">
        <v>42614.754907407398</v>
      </c>
      <c r="K2634" s="151"/>
      <c r="L2634" s="151" t="s">
        <v>59</v>
      </c>
      <c r="M2634" s="152">
        <v>42611.754293981481</v>
      </c>
      <c r="N2634" s="151" t="s">
        <v>3913</v>
      </c>
      <c r="O2634" s="151"/>
      <c r="P2634" s="151"/>
      <c r="Q2634" s="7" t="str">
        <f>IF(ISBLANK(patch[[#This Row],[OwnerEmail]]),Q2633,patch[[#This Row],[OwnerEmail]])</f>
        <v>zongx.li@intel.com</v>
      </c>
      <c r="R2634" s="7" t="str">
        <f>_xlfn.IFNA(VLOOKUP(patch[[#This Row],[tmp-owner.email]],OrgTree!$A:$K, 11, 0), "not ICG SWFW")</f>
        <v>BJ And dev</v>
      </c>
      <c r="S2634" s="7" t="str">
        <f>IF(patch[[#This Row],[reviewer]]=patch[[#This Row],[tmp-owner.email]], "author", _xlfn.IFNA(VLOOKUP(patch[[#This Row],[reviewer]],OrgTree!$A:$K, 11, 0), "not ICG SWFW"))</f>
        <v>BJ And dev</v>
      </c>
      <c r="T2634" s="7" t="str">
        <f>IF(ISBLANK(patch[[#This Row],[mergeDate]]), "", MID(YEAR(patch[[#This Row],[mergeDate]]), 3,2)&amp;"'ww"&amp;WEEKNUM(patch[[#This Row],[mergeDate]]))</f>
        <v>16'ww36</v>
      </c>
      <c r="U2634" s="7" t="str">
        <f>IF(ISBLANK(patch[[#This Row],[mergeDate]]), U2633, MID(YEAR(patch[[#This Row],[mergeDate]]), 3,2)&amp;"'m"&amp;MONTH(patch[[#This Row],[mergeDate]]))</f>
        <v>16'm9</v>
      </c>
      <c r="V2634" s="7" t="str">
        <f>IF(ISBLANK(patch[[#This Row],[project]]), "",SUM(patch[[#This Row],[BJ -1 num]:[SH -1 num]]))</f>
        <v/>
      </c>
      <c r="W2634" s="7" t="str">
        <f>IF(ISBLANK(patch[[#This Row],[project]]), "",COUNTIFS($A:$A,patch[[#This Row],[number]],$S:$S, "BJ And dev",$AC:$AC, "Review-1"))</f>
        <v/>
      </c>
      <c r="X2634" s="7" t="str">
        <f>IF(ISBLANK(patch[[#This Row],[project]]), "",COUNTIFS($A:$A,patch[[#This Row],[number]],$S:$S, "FL And dev",$AC:$AC, "Review-1"))</f>
        <v/>
      </c>
      <c r="Y2634" s="7" t="str">
        <f>IF(ISBLANK(patch[[#This Row],[project]]), "",COUNTIFS($A:$A,patch[[#This Row],[number]],$S:$S, "SH And dev",$AC:$AC, "Review-1"))</f>
        <v/>
      </c>
      <c r="Z2634" s="7" t="str">
        <f>IF(ISBLANK(patch[[#This Row],[project]]), "",COUNTIFS($A:$A,patch[[#This Row],[number]],$S:$S, "BJ And dev",$AD:$AD, "&lt;&gt;IntegratorValidationComment"))</f>
        <v/>
      </c>
      <c r="AA2634" s="7" t="str">
        <f>IF(ISBLANK(patch[[#This Row],[project]]), "",COUNTIFS($A:$A,patch[[#This Row],[number]],$S:$S, "FL And dev",$AD:$AD, "&lt;&gt;IntegratorValidationComment"))</f>
        <v/>
      </c>
      <c r="AB2634" s="7" t="str">
        <f>IF(ISBLANK(patch[[#This Row],[project]]), "",COUNTIFS($A:$A,patch[[#This Row],[number]],$S:$S, "SH And dev",$AD:$AD, "&lt;&gt;IntegratorValidationComment"))</f>
        <v/>
      </c>
      <c r="AC2634" s="7" t="str">
        <f>IF(OR(ISNUMBER(FIND("Review-1", patch[[#This Row],[comments]])), ISNUMBER(FIND("Approver-1", patch[[#This Row],[comments]]))), "Review-1", "")</f>
        <v/>
      </c>
      <c r="AD26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34" s="7">
        <f>IF(ISBLANK(patch[[#This Row],[number]]),AE2633,patch[[#This Row],[ifCommon]])</f>
        <v>0</v>
      </c>
    </row>
    <row r="2635" spans="1:31">
      <c r="A2635" s="151">
        <v>141664</v>
      </c>
      <c r="B2635" s="151"/>
      <c r="C2635" s="151"/>
      <c r="D2635" s="151"/>
      <c r="E2635" s="151"/>
      <c r="F2635" s="151"/>
      <c r="G2635" s="151"/>
      <c r="H2635" s="151"/>
      <c r="I2635" s="151"/>
      <c r="J2635" s="152">
        <v>42614.754907407398</v>
      </c>
      <c r="K2635" s="151"/>
      <c r="L2635" s="151" t="s">
        <v>63</v>
      </c>
      <c r="M2635" s="152">
        <v>42611.757569444453</v>
      </c>
      <c r="N2635" s="151" t="s">
        <v>49</v>
      </c>
      <c r="O2635" s="151"/>
      <c r="P2635" s="151"/>
      <c r="Q2635" s="7" t="str">
        <f>IF(ISBLANK(patch[[#This Row],[OwnerEmail]]),Q2634,patch[[#This Row],[OwnerEmail]])</f>
        <v>zongx.li@intel.com</v>
      </c>
      <c r="R2635" s="7" t="str">
        <f>_xlfn.IFNA(VLOOKUP(patch[[#This Row],[tmp-owner.email]],OrgTree!$A:$K, 11, 0), "not ICG SWFW")</f>
        <v>BJ And dev</v>
      </c>
      <c r="S2635" s="7" t="str">
        <f>IF(patch[[#This Row],[reviewer]]=patch[[#This Row],[tmp-owner.email]], "author", _xlfn.IFNA(VLOOKUP(patch[[#This Row],[reviewer]],OrgTree!$A:$K, 11, 0), "not ICG SWFW"))</f>
        <v>author</v>
      </c>
      <c r="T2635" s="7" t="str">
        <f>IF(ISBLANK(patch[[#This Row],[mergeDate]]), "", MID(YEAR(patch[[#This Row],[mergeDate]]), 3,2)&amp;"'ww"&amp;WEEKNUM(patch[[#This Row],[mergeDate]]))</f>
        <v>16'ww36</v>
      </c>
      <c r="U2635" s="7" t="str">
        <f>IF(ISBLANK(patch[[#This Row],[mergeDate]]), U2634, MID(YEAR(patch[[#This Row],[mergeDate]]), 3,2)&amp;"'m"&amp;MONTH(patch[[#This Row],[mergeDate]]))</f>
        <v>16'm9</v>
      </c>
      <c r="V2635" s="7" t="str">
        <f>IF(ISBLANK(patch[[#This Row],[project]]), "",SUM(patch[[#This Row],[BJ -1 num]:[SH -1 num]]))</f>
        <v/>
      </c>
      <c r="W2635" s="7" t="str">
        <f>IF(ISBLANK(patch[[#This Row],[project]]), "",COUNTIFS($A:$A,patch[[#This Row],[number]],$S:$S, "BJ And dev",$AC:$AC, "Review-1"))</f>
        <v/>
      </c>
      <c r="X2635" s="7" t="str">
        <f>IF(ISBLANK(patch[[#This Row],[project]]), "",COUNTIFS($A:$A,patch[[#This Row],[number]],$S:$S, "FL And dev",$AC:$AC, "Review-1"))</f>
        <v/>
      </c>
      <c r="Y2635" s="7" t="str">
        <f>IF(ISBLANK(patch[[#This Row],[project]]), "",COUNTIFS($A:$A,patch[[#This Row],[number]],$S:$S, "SH And dev",$AC:$AC, "Review-1"))</f>
        <v/>
      </c>
      <c r="Z2635" s="7" t="str">
        <f>IF(ISBLANK(patch[[#This Row],[project]]), "",COUNTIFS($A:$A,patch[[#This Row],[number]],$S:$S, "BJ And dev",$AD:$AD, "&lt;&gt;IntegratorValidationComment"))</f>
        <v/>
      </c>
      <c r="AA2635" s="7" t="str">
        <f>IF(ISBLANK(patch[[#This Row],[project]]), "",COUNTIFS($A:$A,patch[[#This Row],[number]],$S:$S, "FL And dev",$AD:$AD, "&lt;&gt;IntegratorValidationComment"))</f>
        <v/>
      </c>
      <c r="AB2635" s="7" t="str">
        <f>IF(ISBLANK(patch[[#This Row],[project]]), "",COUNTIFS($A:$A,patch[[#This Row],[number]],$S:$S, "SH And dev",$AD:$AD, "&lt;&gt;IntegratorValidationComment"))</f>
        <v/>
      </c>
      <c r="AC2635" s="7" t="str">
        <f>IF(OR(ISNUMBER(FIND("Review-1", patch[[#This Row],[comments]])), ISNUMBER(FIND("Approver-1", patch[[#This Row],[comments]]))), "Review-1", "")</f>
        <v/>
      </c>
      <c r="AD26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35" s="7">
        <f>IF(ISBLANK(patch[[#This Row],[number]]),AE2634,patch[[#This Row],[ifCommon]])</f>
        <v>0</v>
      </c>
    </row>
    <row r="2636" spans="1:31">
      <c r="A2636" s="151">
        <v>141664</v>
      </c>
      <c r="B2636" s="151"/>
      <c r="C2636" s="151"/>
      <c r="D2636" s="151"/>
      <c r="E2636" s="151"/>
      <c r="F2636" s="151"/>
      <c r="G2636" s="151"/>
      <c r="H2636" s="151"/>
      <c r="I2636" s="151"/>
      <c r="J2636" s="152">
        <v>42614.754907407398</v>
      </c>
      <c r="K2636" s="151"/>
      <c r="L2636" s="151" t="s">
        <v>63</v>
      </c>
      <c r="M2636" s="152">
        <v>42611.757569444453</v>
      </c>
      <c r="N2636" s="151" t="s">
        <v>2451</v>
      </c>
      <c r="O2636" s="151"/>
      <c r="P2636" s="151"/>
      <c r="Q2636" s="7" t="str">
        <f>IF(ISBLANK(patch[[#This Row],[OwnerEmail]]),Q2635,patch[[#This Row],[OwnerEmail]])</f>
        <v>zongx.li@intel.com</v>
      </c>
      <c r="R2636" s="7" t="str">
        <f>_xlfn.IFNA(VLOOKUP(patch[[#This Row],[tmp-owner.email]],OrgTree!$A:$K, 11, 0), "not ICG SWFW")</f>
        <v>BJ And dev</v>
      </c>
      <c r="S2636" s="7" t="str">
        <f>IF(patch[[#This Row],[reviewer]]=patch[[#This Row],[tmp-owner.email]], "author", _xlfn.IFNA(VLOOKUP(patch[[#This Row],[reviewer]],OrgTree!$A:$K, 11, 0), "not ICG SWFW"))</f>
        <v>author</v>
      </c>
      <c r="T2636" s="7" t="str">
        <f>IF(ISBLANK(patch[[#This Row],[mergeDate]]), "", MID(YEAR(patch[[#This Row],[mergeDate]]), 3,2)&amp;"'ww"&amp;WEEKNUM(patch[[#This Row],[mergeDate]]))</f>
        <v>16'ww36</v>
      </c>
      <c r="U2636" s="7" t="str">
        <f>IF(ISBLANK(patch[[#This Row],[mergeDate]]), U2635, MID(YEAR(patch[[#This Row],[mergeDate]]), 3,2)&amp;"'m"&amp;MONTH(patch[[#This Row],[mergeDate]]))</f>
        <v>16'm9</v>
      </c>
      <c r="V2636" s="7" t="str">
        <f>IF(ISBLANK(patch[[#This Row],[project]]), "",SUM(patch[[#This Row],[BJ -1 num]:[SH -1 num]]))</f>
        <v/>
      </c>
      <c r="W2636" s="7" t="str">
        <f>IF(ISBLANK(patch[[#This Row],[project]]), "",COUNTIFS($A:$A,patch[[#This Row],[number]],$S:$S, "BJ And dev",$AC:$AC, "Review-1"))</f>
        <v/>
      </c>
      <c r="X2636" s="7" t="str">
        <f>IF(ISBLANK(patch[[#This Row],[project]]), "",COUNTIFS($A:$A,patch[[#This Row],[number]],$S:$S, "FL And dev",$AC:$AC, "Review-1"))</f>
        <v/>
      </c>
      <c r="Y2636" s="7" t="str">
        <f>IF(ISBLANK(patch[[#This Row],[project]]), "",COUNTIFS($A:$A,patch[[#This Row],[number]],$S:$S, "SH And dev",$AC:$AC, "Review-1"))</f>
        <v/>
      </c>
      <c r="Z2636" s="7" t="str">
        <f>IF(ISBLANK(patch[[#This Row],[project]]), "",COUNTIFS($A:$A,patch[[#This Row],[number]],$S:$S, "BJ And dev",$AD:$AD, "&lt;&gt;IntegratorValidationComment"))</f>
        <v/>
      </c>
      <c r="AA2636" s="7" t="str">
        <f>IF(ISBLANK(patch[[#This Row],[project]]), "",COUNTIFS($A:$A,patch[[#This Row],[number]],$S:$S, "FL And dev",$AD:$AD, "&lt;&gt;IntegratorValidationComment"))</f>
        <v/>
      </c>
      <c r="AB2636" s="7" t="str">
        <f>IF(ISBLANK(patch[[#This Row],[project]]), "",COUNTIFS($A:$A,patch[[#This Row],[number]],$S:$S, "SH And dev",$AD:$AD, "&lt;&gt;IntegratorValidationComment"))</f>
        <v/>
      </c>
      <c r="AC2636" s="7" t="str">
        <f>IF(OR(ISNUMBER(FIND("Review-1", patch[[#This Row],[comments]])), ISNUMBER(FIND("Approver-1", patch[[#This Row],[comments]]))), "Review-1", "")</f>
        <v/>
      </c>
      <c r="AD26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36" s="7">
        <f>IF(ISBLANK(patch[[#This Row],[number]]),AE2635,patch[[#This Row],[ifCommon]])</f>
        <v>0</v>
      </c>
    </row>
    <row r="2637" spans="1:31">
      <c r="A2637" s="151">
        <v>141664</v>
      </c>
      <c r="B2637" s="151"/>
      <c r="C2637" s="151"/>
      <c r="D2637" s="151"/>
      <c r="E2637" s="151"/>
      <c r="F2637" s="151"/>
      <c r="G2637" s="151"/>
      <c r="H2637" s="151"/>
      <c r="I2637" s="151"/>
      <c r="J2637" s="152">
        <v>42614.754907407398</v>
      </c>
      <c r="K2637" s="151"/>
      <c r="L2637" s="151" t="s">
        <v>63</v>
      </c>
      <c r="M2637" s="152">
        <v>42611.759456018517</v>
      </c>
      <c r="N2637" s="151" t="s">
        <v>31</v>
      </c>
      <c r="O2637" s="151"/>
      <c r="P2637" s="151"/>
      <c r="Q2637" s="7" t="str">
        <f>IF(ISBLANK(patch[[#This Row],[OwnerEmail]]),Q2636,patch[[#This Row],[OwnerEmail]])</f>
        <v>zongx.li@intel.com</v>
      </c>
      <c r="R2637" s="7" t="str">
        <f>_xlfn.IFNA(VLOOKUP(patch[[#This Row],[tmp-owner.email]],OrgTree!$A:$K, 11, 0), "not ICG SWFW")</f>
        <v>BJ And dev</v>
      </c>
      <c r="S2637" s="7" t="str">
        <f>IF(patch[[#This Row],[reviewer]]=patch[[#This Row],[tmp-owner.email]], "author", _xlfn.IFNA(VLOOKUP(patch[[#This Row],[reviewer]],OrgTree!$A:$K, 11, 0), "not ICG SWFW"))</f>
        <v>author</v>
      </c>
      <c r="T2637" s="7" t="str">
        <f>IF(ISBLANK(patch[[#This Row],[mergeDate]]), "", MID(YEAR(patch[[#This Row],[mergeDate]]), 3,2)&amp;"'ww"&amp;WEEKNUM(patch[[#This Row],[mergeDate]]))</f>
        <v>16'ww36</v>
      </c>
      <c r="U2637" s="7" t="str">
        <f>IF(ISBLANK(patch[[#This Row],[mergeDate]]), U2636, MID(YEAR(patch[[#This Row],[mergeDate]]), 3,2)&amp;"'m"&amp;MONTH(patch[[#This Row],[mergeDate]]))</f>
        <v>16'm9</v>
      </c>
      <c r="V2637" s="7" t="str">
        <f>IF(ISBLANK(patch[[#This Row],[project]]), "",SUM(patch[[#This Row],[BJ -1 num]:[SH -1 num]]))</f>
        <v/>
      </c>
      <c r="W2637" s="7" t="str">
        <f>IF(ISBLANK(patch[[#This Row],[project]]), "",COUNTIFS($A:$A,patch[[#This Row],[number]],$S:$S, "BJ And dev",$AC:$AC, "Review-1"))</f>
        <v/>
      </c>
      <c r="X2637" s="7" t="str">
        <f>IF(ISBLANK(patch[[#This Row],[project]]), "",COUNTIFS($A:$A,patch[[#This Row],[number]],$S:$S, "FL And dev",$AC:$AC, "Review-1"))</f>
        <v/>
      </c>
      <c r="Y2637" s="7" t="str">
        <f>IF(ISBLANK(patch[[#This Row],[project]]), "",COUNTIFS($A:$A,patch[[#This Row],[number]],$S:$S, "SH And dev",$AC:$AC, "Review-1"))</f>
        <v/>
      </c>
      <c r="Z2637" s="7" t="str">
        <f>IF(ISBLANK(patch[[#This Row],[project]]), "",COUNTIFS($A:$A,patch[[#This Row],[number]],$S:$S, "BJ And dev",$AD:$AD, "&lt;&gt;IntegratorValidationComment"))</f>
        <v/>
      </c>
      <c r="AA2637" s="7" t="str">
        <f>IF(ISBLANK(patch[[#This Row],[project]]), "",COUNTIFS($A:$A,patch[[#This Row],[number]],$S:$S, "FL And dev",$AD:$AD, "&lt;&gt;IntegratorValidationComment"))</f>
        <v/>
      </c>
      <c r="AB2637" s="7" t="str">
        <f>IF(ISBLANK(patch[[#This Row],[project]]), "",COUNTIFS($A:$A,patch[[#This Row],[number]],$S:$S, "SH And dev",$AD:$AD, "&lt;&gt;IntegratorValidationComment"))</f>
        <v/>
      </c>
      <c r="AC2637" s="7" t="str">
        <f>IF(OR(ISNUMBER(FIND("Review-1", patch[[#This Row],[comments]])), ISNUMBER(FIND("Approver-1", patch[[#This Row],[comments]]))), "Review-1", "")</f>
        <v/>
      </c>
      <c r="AD26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37" s="7">
        <f>IF(ISBLANK(patch[[#This Row],[number]]),AE2636,patch[[#This Row],[ifCommon]])</f>
        <v>0</v>
      </c>
    </row>
    <row r="2638" spans="1:31">
      <c r="A2638" s="151">
        <v>141664</v>
      </c>
      <c r="B2638" s="151"/>
      <c r="C2638" s="151"/>
      <c r="D2638" s="151"/>
      <c r="E2638" s="151"/>
      <c r="F2638" s="151"/>
      <c r="G2638" s="151"/>
      <c r="H2638" s="151"/>
      <c r="I2638" s="151"/>
      <c r="J2638" s="152">
        <v>42614.754907407398</v>
      </c>
      <c r="K2638" s="151"/>
      <c r="L2638" s="151" t="s">
        <v>59</v>
      </c>
      <c r="M2638" s="152">
        <v>42611.765150462961</v>
      </c>
      <c r="N2638" s="151" t="s">
        <v>3914</v>
      </c>
      <c r="O2638" s="151"/>
      <c r="P2638" s="151"/>
      <c r="Q2638" s="7" t="str">
        <f>IF(ISBLANK(patch[[#This Row],[OwnerEmail]]),Q2637,patch[[#This Row],[OwnerEmail]])</f>
        <v>zongx.li@intel.com</v>
      </c>
      <c r="R2638" s="7" t="str">
        <f>_xlfn.IFNA(VLOOKUP(patch[[#This Row],[tmp-owner.email]],OrgTree!$A:$K, 11, 0), "not ICG SWFW")</f>
        <v>BJ And dev</v>
      </c>
      <c r="S2638" s="7" t="str">
        <f>IF(patch[[#This Row],[reviewer]]=patch[[#This Row],[tmp-owner.email]], "author", _xlfn.IFNA(VLOOKUP(patch[[#This Row],[reviewer]],OrgTree!$A:$K, 11, 0), "not ICG SWFW"))</f>
        <v>BJ And dev</v>
      </c>
      <c r="T2638" s="7" t="str">
        <f>IF(ISBLANK(patch[[#This Row],[mergeDate]]), "", MID(YEAR(patch[[#This Row],[mergeDate]]), 3,2)&amp;"'ww"&amp;WEEKNUM(patch[[#This Row],[mergeDate]]))</f>
        <v>16'ww36</v>
      </c>
      <c r="U2638" s="7" t="str">
        <f>IF(ISBLANK(patch[[#This Row],[mergeDate]]), U2637, MID(YEAR(patch[[#This Row],[mergeDate]]), 3,2)&amp;"'m"&amp;MONTH(patch[[#This Row],[mergeDate]]))</f>
        <v>16'm9</v>
      </c>
      <c r="V2638" s="7" t="str">
        <f>IF(ISBLANK(patch[[#This Row],[project]]), "",SUM(patch[[#This Row],[BJ -1 num]:[SH -1 num]]))</f>
        <v/>
      </c>
      <c r="W2638" s="7" t="str">
        <f>IF(ISBLANK(patch[[#This Row],[project]]), "",COUNTIFS($A:$A,patch[[#This Row],[number]],$S:$S, "BJ And dev",$AC:$AC, "Review-1"))</f>
        <v/>
      </c>
      <c r="X2638" s="7" t="str">
        <f>IF(ISBLANK(patch[[#This Row],[project]]), "",COUNTIFS($A:$A,patch[[#This Row],[number]],$S:$S, "FL And dev",$AC:$AC, "Review-1"))</f>
        <v/>
      </c>
      <c r="Y2638" s="7" t="str">
        <f>IF(ISBLANK(patch[[#This Row],[project]]), "",COUNTIFS($A:$A,patch[[#This Row],[number]],$S:$S, "SH And dev",$AC:$AC, "Review-1"))</f>
        <v/>
      </c>
      <c r="Z2638" s="7" t="str">
        <f>IF(ISBLANK(patch[[#This Row],[project]]), "",COUNTIFS($A:$A,patch[[#This Row],[number]],$S:$S, "BJ And dev",$AD:$AD, "&lt;&gt;IntegratorValidationComment"))</f>
        <v/>
      </c>
      <c r="AA2638" s="7" t="str">
        <f>IF(ISBLANK(patch[[#This Row],[project]]), "",COUNTIFS($A:$A,patch[[#This Row],[number]],$S:$S, "FL And dev",$AD:$AD, "&lt;&gt;IntegratorValidationComment"))</f>
        <v/>
      </c>
      <c r="AB2638" s="7" t="str">
        <f>IF(ISBLANK(patch[[#This Row],[project]]), "",COUNTIFS($A:$A,patch[[#This Row],[number]],$S:$S, "SH And dev",$AD:$AD, "&lt;&gt;IntegratorValidationComment"))</f>
        <v/>
      </c>
      <c r="AC2638" s="7" t="str">
        <f>IF(OR(ISNUMBER(FIND("Review-1", patch[[#This Row],[comments]])), ISNUMBER(FIND("Approver-1", patch[[#This Row],[comments]]))), "Review-1", "")</f>
        <v/>
      </c>
      <c r="AD26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38" s="7">
        <f>IF(ISBLANK(patch[[#This Row],[number]]),AE2637,patch[[#This Row],[ifCommon]])</f>
        <v>0</v>
      </c>
    </row>
    <row r="2639" spans="1:31">
      <c r="A2639" s="151">
        <v>141664</v>
      </c>
      <c r="B2639" s="151"/>
      <c r="C2639" s="151"/>
      <c r="D2639" s="151"/>
      <c r="E2639" s="151"/>
      <c r="F2639" s="151"/>
      <c r="G2639" s="151"/>
      <c r="H2639" s="151"/>
      <c r="I2639" s="151"/>
      <c r="J2639" s="152">
        <v>42614.754907407398</v>
      </c>
      <c r="K2639" s="151"/>
      <c r="L2639" s="151" t="s">
        <v>59</v>
      </c>
      <c r="M2639" s="152">
        <v>42611.766076388893</v>
      </c>
      <c r="N2639" s="151" t="s">
        <v>3915</v>
      </c>
      <c r="O2639" s="151"/>
      <c r="P2639" s="151"/>
      <c r="Q2639" s="7" t="str">
        <f>IF(ISBLANK(patch[[#This Row],[OwnerEmail]]),Q2638,patch[[#This Row],[OwnerEmail]])</f>
        <v>zongx.li@intel.com</v>
      </c>
      <c r="R2639" s="7" t="str">
        <f>_xlfn.IFNA(VLOOKUP(patch[[#This Row],[tmp-owner.email]],OrgTree!$A:$K, 11, 0), "not ICG SWFW")</f>
        <v>BJ And dev</v>
      </c>
      <c r="S2639" s="7" t="str">
        <f>IF(patch[[#This Row],[reviewer]]=patch[[#This Row],[tmp-owner.email]], "author", _xlfn.IFNA(VLOOKUP(patch[[#This Row],[reviewer]],OrgTree!$A:$K, 11, 0), "not ICG SWFW"))</f>
        <v>BJ And dev</v>
      </c>
      <c r="T2639" s="7" t="str">
        <f>IF(ISBLANK(patch[[#This Row],[mergeDate]]), "", MID(YEAR(patch[[#This Row],[mergeDate]]), 3,2)&amp;"'ww"&amp;WEEKNUM(patch[[#This Row],[mergeDate]]))</f>
        <v>16'ww36</v>
      </c>
      <c r="U2639" s="7" t="str">
        <f>IF(ISBLANK(patch[[#This Row],[mergeDate]]), U2638, MID(YEAR(patch[[#This Row],[mergeDate]]), 3,2)&amp;"'m"&amp;MONTH(patch[[#This Row],[mergeDate]]))</f>
        <v>16'm9</v>
      </c>
      <c r="V2639" s="7" t="str">
        <f>IF(ISBLANK(patch[[#This Row],[project]]), "",SUM(patch[[#This Row],[BJ -1 num]:[SH -1 num]]))</f>
        <v/>
      </c>
      <c r="W2639" s="7" t="str">
        <f>IF(ISBLANK(patch[[#This Row],[project]]), "",COUNTIFS($A:$A,patch[[#This Row],[number]],$S:$S, "BJ And dev",$AC:$AC, "Review-1"))</f>
        <v/>
      </c>
      <c r="X2639" s="7" t="str">
        <f>IF(ISBLANK(patch[[#This Row],[project]]), "",COUNTIFS($A:$A,patch[[#This Row],[number]],$S:$S, "FL And dev",$AC:$AC, "Review-1"))</f>
        <v/>
      </c>
      <c r="Y2639" s="7" t="str">
        <f>IF(ISBLANK(patch[[#This Row],[project]]), "",COUNTIFS($A:$A,patch[[#This Row],[number]],$S:$S, "SH And dev",$AC:$AC, "Review-1"))</f>
        <v/>
      </c>
      <c r="Z2639" s="7" t="str">
        <f>IF(ISBLANK(patch[[#This Row],[project]]), "",COUNTIFS($A:$A,patch[[#This Row],[number]],$S:$S, "BJ And dev",$AD:$AD, "&lt;&gt;IntegratorValidationComment"))</f>
        <v/>
      </c>
      <c r="AA2639" s="7" t="str">
        <f>IF(ISBLANK(patch[[#This Row],[project]]), "",COUNTIFS($A:$A,patch[[#This Row],[number]],$S:$S, "FL And dev",$AD:$AD, "&lt;&gt;IntegratorValidationComment"))</f>
        <v/>
      </c>
      <c r="AB2639" s="7" t="str">
        <f>IF(ISBLANK(patch[[#This Row],[project]]), "",COUNTIFS($A:$A,patch[[#This Row],[number]],$S:$S, "SH And dev",$AD:$AD, "&lt;&gt;IntegratorValidationComment"))</f>
        <v/>
      </c>
      <c r="AC2639" s="7" t="str">
        <f>IF(OR(ISNUMBER(FIND("Review-1", patch[[#This Row],[comments]])), ISNUMBER(FIND("Approver-1", patch[[#This Row],[comments]]))), "Review-1", "")</f>
        <v/>
      </c>
      <c r="AD26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39" s="7">
        <f>IF(ISBLANK(patch[[#This Row],[number]]),AE2638,patch[[#This Row],[ifCommon]])</f>
        <v>0</v>
      </c>
    </row>
    <row r="2640" spans="1:31">
      <c r="A2640" s="151">
        <v>141664</v>
      </c>
      <c r="B2640" s="151"/>
      <c r="C2640" s="151"/>
      <c r="D2640" s="151"/>
      <c r="E2640" s="151"/>
      <c r="F2640" s="151"/>
      <c r="G2640" s="151"/>
      <c r="H2640" s="151"/>
      <c r="I2640" s="152"/>
      <c r="J2640" s="152">
        <v>42614.754907407398</v>
      </c>
      <c r="K2640" s="151"/>
      <c r="L2640" s="151" t="s">
        <v>32</v>
      </c>
      <c r="M2640" s="152">
        <v>42611.767777777779</v>
      </c>
      <c r="N2640" s="151" t="s">
        <v>2510</v>
      </c>
      <c r="O2640" s="151" t="s">
        <v>3916</v>
      </c>
      <c r="P2640" s="151"/>
      <c r="Q2640" s="7" t="str">
        <f>IF(ISBLANK(patch[[#This Row],[OwnerEmail]]),Q2639,patch[[#This Row],[OwnerEmail]])</f>
        <v>zongx.li@intel.com</v>
      </c>
      <c r="R2640" s="7" t="str">
        <f>_xlfn.IFNA(VLOOKUP(patch[[#This Row],[tmp-owner.email]],OrgTree!$A:$K, 11, 0), "not ICG SWFW")</f>
        <v>BJ And dev</v>
      </c>
      <c r="S2640" s="7" t="str">
        <f>IF(patch[[#This Row],[reviewer]]=patch[[#This Row],[tmp-owner.email]], "author", _xlfn.IFNA(VLOOKUP(patch[[#This Row],[reviewer]],OrgTree!$A:$K, 11, 0), "not ICG SWFW"))</f>
        <v>BJ And dev</v>
      </c>
      <c r="T2640" s="7" t="str">
        <f>IF(ISBLANK(patch[[#This Row],[mergeDate]]), "", MID(YEAR(patch[[#This Row],[mergeDate]]), 3,2)&amp;"'ww"&amp;WEEKNUM(patch[[#This Row],[mergeDate]]))</f>
        <v>16'ww36</v>
      </c>
      <c r="U2640" s="7" t="str">
        <f>IF(ISBLANK(patch[[#This Row],[mergeDate]]), U2639, MID(YEAR(patch[[#This Row],[mergeDate]]), 3,2)&amp;"'m"&amp;MONTH(patch[[#This Row],[mergeDate]]))</f>
        <v>16'm9</v>
      </c>
      <c r="V2640" s="7" t="str">
        <f>IF(ISBLANK(patch[[#This Row],[project]]), "",SUM(patch[[#This Row],[BJ -1 num]:[SH -1 num]]))</f>
        <v/>
      </c>
      <c r="W2640" s="7" t="str">
        <f>IF(ISBLANK(patch[[#This Row],[project]]), "",COUNTIFS($A:$A,patch[[#This Row],[number]],$S:$S, "BJ And dev",$AC:$AC, "Review-1"))</f>
        <v/>
      </c>
      <c r="X2640" s="7" t="str">
        <f>IF(ISBLANK(patch[[#This Row],[project]]), "",COUNTIFS($A:$A,patch[[#This Row],[number]],$S:$S, "FL And dev",$AC:$AC, "Review-1"))</f>
        <v/>
      </c>
      <c r="Y2640" s="7" t="str">
        <f>IF(ISBLANK(patch[[#This Row],[project]]), "",COUNTIFS($A:$A,patch[[#This Row],[number]],$S:$S, "SH And dev",$AC:$AC, "Review-1"))</f>
        <v/>
      </c>
      <c r="Z2640" s="7" t="str">
        <f>IF(ISBLANK(patch[[#This Row],[project]]), "",COUNTIFS($A:$A,patch[[#This Row],[number]],$S:$S, "BJ And dev",$AD:$AD, "&lt;&gt;IntegratorValidationComment"))</f>
        <v/>
      </c>
      <c r="AA2640" s="7" t="str">
        <f>IF(ISBLANK(patch[[#This Row],[project]]), "",COUNTIFS($A:$A,patch[[#This Row],[number]],$S:$S, "FL And dev",$AD:$AD, "&lt;&gt;IntegratorValidationComment"))</f>
        <v/>
      </c>
      <c r="AB2640" s="7" t="str">
        <f>IF(ISBLANK(patch[[#This Row],[project]]), "",COUNTIFS($A:$A,patch[[#This Row],[number]],$S:$S, "SH And dev",$AD:$AD, "&lt;&gt;IntegratorValidationComment"))</f>
        <v/>
      </c>
      <c r="AC2640" s="7" t="str">
        <f>IF(OR(ISNUMBER(FIND("Review-1", patch[[#This Row],[comments]])), ISNUMBER(FIND("Approver-1", patch[[#This Row],[comments]]))), "Review-1", "")</f>
        <v>Review-1</v>
      </c>
      <c r="AD26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40" s="7">
        <f>IF(ISBLANK(patch[[#This Row],[number]]),AE2639,patch[[#This Row],[ifCommon]])</f>
        <v>0</v>
      </c>
    </row>
    <row r="2641" spans="1:31">
      <c r="A2641" s="151">
        <v>141664</v>
      </c>
      <c r="B2641" s="151"/>
      <c r="C2641" s="151"/>
      <c r="D2641" s="151"/>
      <c r="E2641" s="151"/>
      <c r="F2641" s="151"/>
      <c r="G2641" s="151"/>
      <c r="H2641" s="151"/>
      <c r="I2641" s="151"/>
      <c r="J2641" s="152">
        <v>42614.754907407398</v>
      </c>
      <c r="K2641" s="151"/>
      <c r="L2641" s="151" t="s">
        <v>59</v>
      </c>
      <c r="M2641" s="152">
        <v>42611.768194444441</v>
      </c>
      <c r="N2641" s="151" t="s">
        <v>3917</v>
      </c>
      <c r="O2641" s="151"/>
      <c r="P2641" s="151"/>
      <c r="Q2641" s="7" t="str">
        <f>IF(ISBLANK(patch[[#This Row],[OwnerEmail]]),Q2640,patch[[#This Row],[OwnerEmail]])</f>
        <v>zongx.li@intel.com</v>
      </c>
      <c r="R2641" s="7" t="str">
        <f>_xlfn.IFNA(VLOOKUP(patch[[#This Row],[tmp-owner.email]],OrgTree!$A:$K, 11, 0), "not ICG SWFW")</f>
        <v>BJ And dev</v>
      </c>
      <c r="S2641" s="7" t="str">
        <f>IF(patch[[#This Row],[reviewer]]=patch[[#This Row],[tmp-owner.email]], "author", _xlfn.IFNA(VLOOKUP(patch[[#This Row],[reviewer]],OrgTree!$A:$K, 11, 0), "not ICG SWFW"))</f>
        <v>BJ And dev</v>
      </c>
      <c r="T2641" s="7" t="str">
        <f>IF(ISBLANK(patch[[#This Row],[mergeDate]]), "", MID(YEAR(patch[[#This Row],[mergeDate]]), 3,2)&amp;"'ww"&amp;WEEKNUM(patch[[#This Row],[mergeDate]]))</f>
        <v>16'ww36</v>
      </c>
      <c r="U2641" s="7" t="str">
        <f>IF(ISBLANK(patch[[#This Row],[mergeDate]]), U2640, MID(YEAR(patch[[#This Row],[mergeDate]]), 3,2)&amp;"'m"&amp;MONTH(patch[[#This Row],[mergeDate]]))</f>
        <v>16'm9</v>
      </c>
      <c r="V2641" s="7" t="str">
        <f>IF(ISBLANK(patch[[#This Row],[project]]), "",SUM(patch[[#This Row],[BJ -1 num]:[SH -1 num]]))</f>
        <v/>
      </c>
      <c r="W2641" s="7" t="str">
        <f>IF(ISBLANK(patch[[#This Row],[project]]), "",COUNTIFS($A:$A,patch[[#This Row],[number]],$S:$S, "BJ And dev",$AC:$AC, "Review-1"))</f>
        <v/>
      </c>
      <c r="X2641" s="7" t="str">
        <f>IF(ISBLANK(patch[[#This Row],[project]]), "",COUNTIFS($A:$A,patch[[#This Row],[number]],$S:$S, "FL And dev",$AC:$AC, "Review-1"))</f>
        <v/>
      </c>
      <c r="Y2641" s="7" t="str">
        <f>IF(ISBLANK(patch[[#This Row],[project]]), "",COUNTIFS($A:$A,patch[[#This Row],[number]],$S:$S, "SH And dev",$AC:$AC, "Review-1"))</f>
        <v/>
      </c>
      <c r="Z2641" s="7" t="str">
        <f>IF(ISBLANK(patch[[#This Row],[project]]), "",COUNTIFS($A:$A,patch[[#This Row],[number]],$S:$S, "BJ And dev",$AD:$AD, "&lt;&gt;IntegratorValidationComment"))</f>
        <v/>
      </c>
      <c r="AA2641" s="7" t="str">
        <f>IF(ISBLANK(patch[[#This Row],[project]]), "",COUNTIFS($A:$A,patch[[#This Row],[number]],$S:$S, "FL And dev",$AD:$AD, "&lt;&gt;IntegratorValidationComment"))</f>
        <v/>
      </c>
      <c r="AB2641" s="7" t="str">
        <f>IF(ISBLANK(patch[[#This Row],[project]]), "",COUNTIFS($A:$A,patch[[#This Row],[number]],$S:$S, "SH And dev",$AD:$AD, "&lt;&gt;IntegratorValidationComment"))</f>
        <v/>
      </c>
      <c r="AC2641" s="7" t="str">
        <f>IF(OR(ISNUMBER(FIND("Review-1", patch[[#This Row],[comments]])), ISNUMBER(FIND("Approver-1", patch[[#This Row],[comments]]))), "Review-1", "")</f>
        <v/>
      </c>
      <c r="AD26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41" s="7">
        <f>IF(ISBLANK(patch[[#This Row],[number]]),AE2640,patch[[#This Row],[ifCommon]])</f>
        <v>0</v>
      </c>
    </row>
    <row r="2642" spans="1:31">
      <c r="A2642" s="151">
        <v>141664</v>
      </c>
      <c r="B2642" s="151"/>
      <c r="C2642" s="151"/>
      <c r="D2642" s="151"/>
      <c r="E2642" s="151"/>
      <c r="F2642" s="151"/>
      <c r="G2642" s="151"/>
      <c r="H2642" s="151"/>
      <c r="I2642" s="151"/>
      <c r="J2642" s="152">
        <v>42614.754907407398</v>
      </c>
      <c r="K2642" s="151"/>
      <c r="L2642" s="151" t="s">
        <v>63</v>
      </c>
      <c r="M2642" s="152">
        <v>42611.774791666663</v>
      </c>
      <c r="N2642" s="151" t="s">
        <v>2453</v>
      </c>
      <c r="O2642" s="151"/>
      <c r="P2642" s="151"/>
      <c r="Q2642" s="7" t="str">
        <f>IF(ISBLANK(patch[[#This Row],[OwnerEmail]]),Q2641,patch[[#This Row],[OwnerEmail]])</f>
        <v>zongx.li@intel.com</v>
      </c>
      <c r="R2642" s="7" t="str">
        <f>_xlfn.IFNA(VLOOKUP(patch[[#This Row],[tmp-owner.email]],OrgTree!$A:$K, 11, 0), "not ICG SWFW")</f>
        <v>BJ And dev</v>
      </c>
      <c r="S2642" s="7" t="str">
        <f>IF(patch[[#This Row],[reviewer]]=patch[[#This Row],[tmp-owner.email]], "author", _xlfn.IFNA(VLOOKUP(patch[[#This Row],[reviewer]],OrgTree!$A:$K, 11, 0), "not ICG SWFW"))</f>
        <v>author</v>
      </c>
      <c r="T2642" s="7" t="str">
        <f>IF(ISBLANK(patch[[#This Row],[mergeDate]]), "", MID(YEAR(patch[[#This Row],[mergeDate]]), 3,2)&amp;"'ww"&amp;WEEKNUM(patch[[#This Row],[mergeDate]]))</f>
        <v>16'ww36</v>
      </c>
      <c r="U2642" s="7" t="str">
        <f>IF(ISBLANK(patch[[#This Row],[mergeDate]]), U2641, MID(YEAR(patch[[#This Row],[mergeDate]]), 3,2)&amp;"'m"&amp;MONTH(patch[[#This Row],[mergeDate]]))</f>
        <v>16'm9</v>
      </c>
      <c r="V2642" s="7" t="str">
        <f>IF(ISBLANK(patch[[#This Row],[project]]), "",SUM(patch[[#This Row],[BJ -1 num]:[SH -1 num]]))</f>
        <v/>
      </c>
      <c r="W2642" s="7" t="str">
        <f>IF(ISBLANK(patch[[#This Row],[project]]), "",COUNTIFS($A:$A,patch[[#This Row],[number]],$S:$S, "BJ And dev",$AC:$AC, "Review-1"))</f>
        <v/>
      </c>
      <c r="X2642" s="7" t="str">
        <f>IF(ISBLANK(patch[[#This Row],[project]]), "",COUNTIFS($A:$A,patch[[#This Row],[number]],$S:$S, "FL And dev",$AC:$AC, "Review-1"))</f>
        <v/>
      </c>
      <c r="Y2642" s="7" t="str">
        <f>IF(ISBLANK(patch[[#This Row],[project]]), "",COUNTIFS($A:$A,patch[[#This Row],[number]],$S:$S, "SH And dev",$AC:$AC, "Review-1"))</f>
        <v/>
      </c>
      <c r="Z2642" s="7" t="str">
        <f>IF(ISBLANK(patch[[#This Row],[project]]), "",COUNTIFS($A:$A,patch[[#This Row],[number]],$S:$S, "BJ And dev",$AD:$AD, "&lt;&gt;IntegratorValidationComment"))</f>
        <v/>
      </c>
      <c r="AA2642" s="7" t="str">
        <f>IF(ISBLANK(patch[[#This Row],[project]]), "",COUNTIFS($A:$A,patch[[#This Row],[number]],$S:$S, "FL And dev",$AD:$AD, "&lt;&gt;IntegratorValidationComment"))</f>
        <v/>
      </c>
      <c r="AB2642" s="7" t="str">
        <f>IF(ISBLANK(patch[[#This Row],[project]]), "",COUNTIFS($A:$A,patch[[#This Row],[number]],$S:$S, "SH And dev",$AD:$AD, "&lt;&gt;IntegratorValidationComment"))</f>
        <v/>
      </c>
      <c r="AC2642" s="7" t="str">
        <f>IF(OR(ISNUMBER(FIND("Review-1", patch[[#This Row],[comments]])), ISNUMBER(FIND("Approver-1", patch[[#This Row],[comments]]))), "Review-1", "")</f>
        <v/>
      </c>
      <c r="AD26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42" s="7">
        <f>IF(ISBLANK(patch[[#This Row],[number]]),AE2641,patch[[#This Row],[ifCommon]])</f>
        <v>0</v>
      </c>
    </row>
    <row r="2643" spans="1:31">
      <c r="A2643" s="151">
        <v>141664</v>
      </c>
      <c r="B2643" s="151"/>
      <c r="C2643" s="151"/>
      <c r="D2643" s="151"/>
      <c r="E2643" s="151"/>
      <c r="F2643" s="151"/>
      <c r="G2643" s="151"/>
      <c r="H2643" s="151"/>
      <c r="I2643" s="151"/>
      <c r="J2643" s="152">
        <v>42614.754907407398</v>
      </c>
      <c r="K2643" s="151"/>
      <c r="L2643" s="151" t="s">
        <v>63</v>
      </c>
      <c r="M2643" s="152">
        <v>42611.774791666663</v>
      </c>
      <c r="N2643" s="151" t="s">
        <v>1855</v>
      </c>
      <c r="O2643" s="151"/>
      <c r="P2643" s="151"/>
      <c r="Q2643" s="7" t="str">
        <f>IF(ISBLANK(patch[[#This Row],[OwnerEmail]]),Q2642,patch[[#This Row],[OwnerEmail]])</f>
        <v>zongx.li@intel.com</v>
      </c>
      <c r="R2643" s="7" t="str">
        <f>_xlfn.IFNA(VLOOKUP(patch[[#This Row],[tmp-owner.email]],OrgTree!$A:$K, 11, 0), "not ICG SWFW")</f>
        <v>BJ And dev</v>
      </c>
      <c r="S2643" s="7" t="str">
        <f>IF(patch[[#This Row],[reviewer]]=patch[[#This Row],[tmp-owner.email]], "author", _xlfn.IFNA(VLOOKUP(patch[[#This Row],[reviewer]],OrgTree!$A:$K, 11, 0), "not ICG SWFW"))</f>
        <v>author</v>
      </c>
      <c r="T2643" s="7" t="str">
        <f>IF(ISBLANK(patch[[#This Row],[mergeDate]]), "", MID(YEAR(patch[[#This Row],[mergeDate]]), 3,2)&amp;"'ww"&amp;WEEKNUM(patch[[#This Row],[mergeDate]]))</f>
        <v>16'ww36</v>
      </c>
      <c r="U2643" s="7" t="str">
        <f>IF(ISBLANK(patch[[#This Row],[mergeDate]]), U2642, MID(YEAR(patch[[#This Row],[mergeDate]]), 3,2)&amp;"'m"&amp;MONTH(patch[[#This Row],[mergeDate]]))</f>
        <v>16'm9</v>
      </c>
      <c r="V2643" s="7" t="str">
        <f>IF(ISBLANK(patch[[#This Row],[project]]), "",SUM(patch[[#This Row],[BJ -1 num]:[SH -1 num]]))</f>
        <v/>
      </c>
      <c r="W2643" s="7" t="str">
        <f>IF(ISBLANK(patch[[#This Row],[project]]), "",COUNTIFS($A:$A,patch[[#This Row],[number]],$S:$S, "BJ And dev",$AC:$AC, "Review-1"))</f>
        <v/>
      </c>
      <c r="X2643" s="7" t="str">
        <f>IF(ISBLANK(patch[[#This Row],[project]]), "",COUNTIFS($A:$A,patch[[#This Row],[number]],$S:$S, "FL And dev",$AC:$AC, "Review-1"))</f>
        <v/>
      </c>
      <c r="Y2643" s="7" t="str">
        <f>IF(ISBLANK(patch[[#This Row],[project]]), "",COUNTIFS($A:$A,patch[[#This Row],[number]],$S:$S, "SH And dev",$AC:$AC, "Review-1"))</f>
        <v/>
      </c>
      <c r="Z2643" s="7" t="str">
        <f>IF(ISBLANK(patch[[#This Row],[project]]), "",COUNTIFS($A:$A,patch[[#This Row],[number]],$S:$S, "BJ And dev",$AD:$AD, "&lt;&gt;IntegratorValidationComment"))</f>
        <v/>
      </c>
      <c r="AA2643" s="7" t="str">
        <f>IF(ISBLANK(patch[[#This Row],[project]]), "",COUNTIFS($A:$A,patch[[#This Row],[number]],$S:$S, "FL And dev",$AD:$AD, "&lt;&gt;IntegratorValidationComment"))</f>
        <v/>
      </c>
      <c r="AB2643" s="7" t="str">
        <f>IF(ISBLANK(patch[[#This Row],[project]]), "",COUNTIFS($A:$A,patch[[#This Row],[number]],$S:$S, "SH And dev",$AD:$AD, "&lt;&gt;IntegratorValidationComment"))</f>
        <v/>
      </c>
      <c r="AC2643" s="7" t="str">
        <f>IF(OR(ISNUMBER(FIND("Review-1", patch[[#This Row],[comments]])), ISNUMBER(FIND("Approver-1", patch[[#This Row],[comments]]))), "Review-1", "")</f>
        <v/>
      </c>
      <c r="AD26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43" s="7">
        <f>IF(ISBLANK(patch[[#This Row],[number]]),AE2642,patch[[#This Row],[ifCommon]])</f>
        <v>0</v>
      </c>
    </row>
    <row r="2644" spans="1:31">
      <c r="A2644" s="151">
        <v>141664</v>
      </c>
      <c r="B2644" s="151"/>
      <c r="C2644" s="151"/>
      <c r="D2644" s="151"/>
      <c r="E2644" s="151"/>
      <c r="F2644" s="151"/>
      <c r="G2644" s="151"/>
      <c r="H2644" s="151"/>
      <c r="I2644" s="151"/>
      <c r="J2644" s="152">
        <v>42614.754907407398</v>
      </c>
      <c r="K2644" s="151"/>
      <c r="L2644" s="151" t="s">
        <v>63</v>
      </c>
      <c r="M2644" s="152">
        <v>42611.775023148148</v>
      </c>
      <c r="N2644" s="151" t="s">
        <v>1853</v>
      </c>
      <c r="O2644" s="151"/>
      <c r="P2644" s="151"/>
      <c r="Q2644" s="7" t="str">
        <f>IF(ISBLANK(patch[[#This Row],[OwnerEmail]]),Q2643,patch[[#This Row],[OwnerEmail]])</f>
        <v>zongx.li@intel.com</v>
      </c>
      <c r="R2644" s="7" t="str">
        <f>_xlfn.IFNA(VLOOKUP(patch[[#This Row],[tmp-owner.email]],OrgTree!$A:$K, 11, 0), "not ICG SWFW")</f>
        <v>BJ And dev</v>
      </c>
      <c r="S2644" s="7" t="str">
        <f>IF(patch[[#This Row],[reviewer]]=patch[[#This Row],[tmp-owner.email]], "author", _xlfn.IFNA(VLOOKUP(patch[[#This Row],[reviewer]],OrgTree!$A:$K, 11, 0), "not ICG SWFW"))</f>
        <v>author</v>
      </c>
      <c r="T2644" s="7" t="str">
        <f>IF(ISBLANK(patch[[#This Row],[mergeDate]]), "", MID(YEAR(patch[[#This Row],[mergeDate]]), 3,2)&amp;"'ww"&amp;WEEKNUM(patch[[#This Row],[mergeDate]]))</f>
        <v>16'ww36</v>
      </c>
      <c r="U2644" s="7" t="str">
        <f>IF(ISBLANK(patch[[#This Row],[mergeDate]]), U2643, MID(YEAR(patch[[#This Row],[mergeDate]]), 3,2)&amp;"'m"&amp;MONTH(patch[[#This Row],[mergeDate]]))</f>
        <v>16'm9</v>
      </c>
      <c r="V2644" s="7" t="str">
        <f>IF(ISBLANK(patch[[#This Row],[project]]), "",SUM(patch[[#This Row],[BJ -1 num]:[SH -1 num]]))</f>
        <v/>
      </c>
      <c r="W2644" s="7" t="str">
        <f>IF(ISBLANK(patch[[#This Row],[project]]), "",COUNTIFS($A:$A,patch[[#This Row],[number]],$S:$S, "BJ And dev",$AC:$AC, "Review-1"))</f>
        <v/>
      </c>
      <c r="X2644" s="7" t="str">
        <f>IF(ISBLANK(patch[[#This Row],[project]]), "",COUNTIFS($A:$A,patch[[#This Row],[number]],$S:$S, "FL And dev",$AC:$AC, "Review-1"))</f>
        <v/>
      </c>
      <c r="Y2644" s="7" t="str">
        <f>IF(ISBLANK(patch[[#This Row],[project]]), "",COUNTIFS($A:$A,patch[[#This Row],[number]],$S:$S, "SH And dev",$AC:$AC, "Review-1"))</f>
        <v/>
      </c>
      <c r="Z2644" s="7" t="str">
        <f>IF(ISBLANK(patch[[#This Row],[project]]), "",COUNTIFS($A:$A,patch[[#This Row],[number]],$S:$S, "BJ And dev",$AD:$AD, "&lt;&gt;IntegratorValidationComment"))</f>
        <v/>
      </c>
      <c r="AA2644" s="7" t="str">
        <f>IF(ISBLANK(patch[[#This Row],[project]]), "",COUNTIFS($A:$A,patch[[#This Row],[number]],$S:$S, "FL And dev",$AD:$AD, "&lt;&gt;IntegratorValidationComment"))</f>
        <v/>
      </c>
      <c r="AB2644" s="7" t="str">
        <f>IF(ISBLANK(patch[[#This Row],[project]]), "",COUNTIFS($A:$A,patch[[#This Row],[number]],$S:$S, "SH And dev",$AD:$AD, "&lt;&gt;IntegratorValidationComment"))</f>
        <v/>
      </c>
      <c r="AC2644" s="7" t="str">
        <f>IF(OR(ISNUMBER(FIND("Review-1", patch[[#This Row],[comments]])), ISNUMBER(FIND("Approver-1", patch[[#This Row],[comments]]))), "Review-1", "")</f>
        <v/>
      </c>
      <c r="AD26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44" s="7">
        <f>IF(ISBLANK(patch[[#This Row],[number]]),AE2643,patch[[#This Row],[ifCommon]])</f>
        <v>0</v>
      </c>
    </row>
    <row r="2645" spans="1:31">
      <c r="A2645" s="151">
        <v>141664</v>
      </c>
      <c r="B2645" s="151"/>
      <c r="C2645" s="151"/>
      <c r="D2645" s="151"/>
      <c r="E2645" s="151"/>
      <c r="F2645" s="151"/>
      <c r="G2645" s="151"/>
      <c r="H2645" s="151"/>
      <c r="I2645" s="151"/>
      <c r="J2645" s="152">
        <v>42614.754907407398</v>
      </c>
      <c r="K2645" s="151"/>
      <c r="L2645" s="151" t="s">
        <v>59</v>
      </c>
      <c r="M2645" s="152">
        <v>42611.778981481482</v>
      </c>
      <c r="N2645" s="151" t="s">
        <v>3918</v>
      </c>
      <c r="O2645" s="151"/>
      <c r="P2645" s="151"/>
      <c r="Q2645" s="7" t="str">
        <f>IF(ISBLANK(patch[[#This Row],[OwnerEmail]]),Q2644,patch[[#This Row],[OwnerEmail]])</f>
        <v>zongx.li@intel.com</v>
      </c>
      <c r="R2645" s="7" t="str">
        <f>_xlfn.IFNA(VLOOKUP(patch[[#This Row],[tmp-owner.email]],OrgTree!$A:$K, 11, 0), "not ICG SWFW")</f>
        <v>BJ And dev</v>
      </c>
      <c r="S2645" s="7" t="str">
        <f>IF(patch[[#This Row],[reviewer]]=patch[[#This Row],[tmp-owner.email]], "author", _xlfn.IFNA(VLOOKUP(patch[[#This Row],[reviewer]],OrgTree!$A:$K, 11, 0), "not ICG SWFW"))</f>
        <v>BJ And dev</v>
      </c>
      <c r="T2645" s="7" t="str">
        <f>IF(ISBLANK(patch[[#This Row],[mergeDate]]), "", MID(YEAR(patch[[#This Row],[mergeDate]]), 3,2)&amp;"'ww"&amp;WEEKNUM(patch[[#This Row],[mergeDate]]))</f>
        <v>16'ww36</v>
      </c>
      <c r="U2645" s="7" t="str">
        <f>IF(ISBLANK(patch[[#This Row],[mergeDate]]), U2644, MID(YEAR(patch[[#This Row],[mergeDate]]), 3,2)&amp;"'m"&amp;MONTH(patch[[#This Row],[mergeDate]]))</f>
        <v>16'm9</v>
      </c>
      <c r="V2645" s="7" t="str">
        <f>IF(ISBLANK(patch[[#This Row],[project]]), "",SUM(patch[[#This Row],[BJ -1 num]:[SH -1 num]]))</f>
        <v/>
      </c>
      <c r="W2645" s="7" t="str">
        <f>IF(ISBLANK(patch[[#This Row],[project]]), "",COUNTIFS($A:$A,patch[[#This Row],[number]],$S:$S, "BJ And dev",$AC:$AC, "Review-1"))</f>
        <v/>
      </c>
      <c r="X2645" s="7" t="str">
        <f>IF(ISBLANK(patch[[#This Row],[project]]), "",COUNTIFS($A:$A,patch[[#This Row],[number]],$S:$S, "FL And dev",$AC:$AC, "Review-1"))</f>
        <v/>
      </c>
      <c r="Y2645" s="7" t="str">
        <f>IF(ISBLANK(patch[[#This Row],[project]]), "",COUNTIFS($A:$A,patch[[#This Row],[number]],$S:$S, "SH And dev",$AC:$AC, "Review-1"))</f>
        <v/>
      </c>
      <c r="Z2645" s="7" t="str">
        <f>IF(ISBLANK(patch[[#This Row],[project]]), "",COUNTIFS($A:$A,patch[[#This Row],[number]],$S:$S, "BJ And dev",$AD:$AD, "&lt;&gt;IntegratorValidationComment"))</f>
        <v/>
      </c>
      <c r="AA2645" s="7" t="str">
        <f>IF(ISBLANK(patch[[#This Row],[project]]), "",COUNTIFS($A:$A,patch[[#This Row],[number]],$S:$S, "FL And dev",$AD:$AD, "&lt;&gt;IntegratorValidationComment"))</f>
        <v/>
      </c>
      <c r="AB2645" s="7" t="str">
        <f>IF(ISBLANK(patch[[#This Row],[project]]), "",COUNTIFS($A:$A,patch[[#This Row],[number]],$S:$S, "SH And dev",$AD:$AD, "&lt;&gt;IntegratorValidationComment"))</f>
        <v/>
      </c>
      <c r="AC2645" s="7" t="str">
        <f>IF(OR(ISNUMBER(FIND("Review-1", patch[[#This Row],[comments]])), ISNUMBER(FIND("Approver-1", patch[[#This Row],[comments]]))), "Review-1", "")</f>
        <v/>
      </c>
      <c r="AD26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45" s="7">
        <f>IF(ISBLANK(patch[[#This Row],[number]]),AE2644,patch[[#This Row],[ifCommon]])</f>
        <v>0</v>
      </c>
    </row>
    <row r="2646" spans="1:31">
      <c r="A2646" s="151">
        <v>141664</v>
      </c>
      <c r="B2646" s="151"/>
      <c r="C2646" s="151"/>
      <c r="D2646" s="151"/>
      <c r="E2646" s="151"/>
      <c r="F2646" s="151"/>
      <c r="G2646" s="151"/>
      <c r="H2646" s="151"/>
      <c r="I2646" s="151"/>
      <c r="J2646" s="152">
        <v>42614.754907407398</v>
      </c>
      <c r="K2646" s="151"/>
      <c r="L2646" s="151" t="s">
        <v>59</v>
      </c>
      <c r="M2646" s="152">
        <v>42611.781944444447</v>
      </c>
      <c r="N2646" s="151" t="s">
        <v>3919</v>
      </c>
      <c r="O2646" s="151"/>
      <c r="P2646" s="151"/>
      <c r="Q2646" s="7" t="str">
        <f>IF(ISBLANK(patch[[#This Row],[OwnerEmail]]),Q2645,patch[[#This Row],[OwnerEmail]])</f>
        <v>zongx.li@intel.com</v>
      </c>
      <c r="R2646" s="7" t="str">
        <f>_xlfn.IFNA(VLOOKUP(patch[[#This Row],[tmp-owner.email]],OrgTree!$A:$K, 11, 0), "not ICG SWFW")</f>
        <v>BJ And dev</v>
      </c>
      <c r="S2646" s="7" t="str">
        <f>IF(patch[[#This Row],[reviewer]]=patch[[#This Row],[tmp-owner.email]], "author", _xlfn.IFNA(VLOOKUP(patch[[#This Row],[reviewer]],OrgTree!$A:$K, 11, 0), "not ICG SWFW"))</f>
        <v>BJ And dev</v>
      </c>
      <c r="T2646" s="7" t="str">
        <f>IF(ISBLANK(patch[[#This Row],[mergeDate]]), "", MID(YEAR(patch[[#This Row],[mergeDate]]), 3,2)&amp;"'ww"&amp;WEEKNUM(patch[[#This Row],[mergeDate]]))</f>
        <v>16'ww36</v>
      </c>
      <c r="U2646" s="7" t="str">
        <f>IF(ISBLANK(patch[[#This Row],[mergeDate]]), U2645, MID(YEAR(patch[[#This Row],[mergeDate]]), 3,2)&amp;"'m"&amp;MONTH(patch[[#This Row],[mergeDate]]))</f>
        <v>16'm9</v>
      </c>
      <c r="V2646" s="7" t="str">
        <f>IF(ISBLANK(patch[[#This Row],[project]]), "",SUM(patch[[#This Row],[BJ -1 num]:[SH -1 num]]))</f>
        <v/>
      </c>
      <c r="W2646" s="7" t="str">
        <f>IF(ISBLANK(patch[[#This Row],[project]]), "",COUNTIFS($A:$A,patch[[#This Row],[number]],$S:$S, "BJ And dev",$AC:$AC, "Review-1"))</f>
        <v/>
      </c>
      <c r="X2646" s="7" t="str">
        <f>IF(ISBLANK(patch[[#This Row],[project]]), "",COUNTIFS($A:$A,patch[[#This Row],[number]],$S:$S, "FL And dev",$AC:$AC, "Review-1"))</f>
        <v/>
      </c>
      <c r="Y2646" s="7" t="str">
        <f>IF(ISBLANK(patch[[#This Row],[project]]), "",COUNTIFS($A:$A,patch[[#This Row],[number]],$S:$S, "SH And dev",$AC:$AC, "Review-1"))</f>
        <v/>
      </c>
      <c r="Z2646" s="7" t="str">
        <f>IF(ISBLANK(patch[[#This Row],[project]]), "",COUNTIFS($A:$A,patch[[#This Row],[number]],$S:$S, "BJ And dev",$AD:$AD, "&lt;&gt;IntegratorValidationComment"))</f>
        <v/>
      </c>
      <c r="AA2646" s="7" t="str">
        <f>IF(ISBLANK(patch[[#This Row],[project]]), "",COUNTIFS($A:$A,patch[[#This Row],[number]],$S:$S, "FL And dev",$AD:$AD, "&lt;&gt;IntegratorValidationComment"))</f>
        <v/>
      </c>
      <c r="AB2646" s="7" t="str">
        <f>IF(ISBLANK(patch[[#This Row],[project]]), "",COUNTIFS($A:$A,patch[[#This Row],[number]],$S:$S, "SH And dev",$AD:$AD, "&lt;&gt;IntegratorValidationComment"))</f>
        <v/>
      </c>
      <c r="AC2646" s="7" t="str">
        <f>IF(OR(ISNUMBER(FIND("Review-1", patch[[#This Row],[comments]])), ISNUMBER(FIND("Approver-1", patch[[#This Row],[comments]]))), "Review-1", "")</f>
        <v/>
      </c>
      <c r="AD26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46" s="7">
        <f>IF(ISBLANK(patch[[#This Row],[number]]),AE2645,patch[[#This Row],[ifCommon]])</f>
        <v>0</v>
      </c>
    </row>
    <row r="2647" spans="1:31">
      <c r="A2647" s="151">
        <v>141664</v>
      </c>
      <c r="B2647" s="151"/>
      <c r="C2647" s="151"/>
      <c r="D2647" s="151"/>
      <c r="E2647" s="151"/>
      <c r="F2647" s="151"/>
      <c r="G2647" s="151"/>
      <c r="H2647" s="151"/>
      <c r="I2647" s="151"/>
      <c r="J2647" s="152">
        <v>42614.754907407398</v>
      </c>
      <c r="K2647" s="151"/>
      <c r="L2647" s="151" t="s">
        <v>55</v>
      </c>
      <c r="M2647" s="152">
        <v>42612.438935185193</v>
      </c>
      <c r="N2647" s="151" t="s">
        <v>3920</v>
      </c>
      <c r="O2647" s="151" t="s">
        <v>3921</v>
      </c>
      <c r="P2647" s="151"/>
      <c r="Q2647" s="7" t="str">
        <f>IF(ISBLANK(patch[[#This Row],[OwnerEmail]]),Q2646,patch[[#This Row],[OwnerEmail]])</f>
        <v>zongx.li@intel.com</v>
      </c>
      <c r="R2647" s="7" t="str">
        <f>_xlfn.IFNA(VLOOKUP(patch[[#This Row],[tmp-owner.email]],OrgTree!$A:$K, 11, 0), "not ICG SWFW")</f>
        <v>BJ And dev</v>
      </c>
      <c r="S2647" s="7" t="str">
        <f>IF(patch[[#This Row],[reviewer]]=patch[[#This Row],[tmp-owner.email]], "author", _xlfn.IFNA(VLOOKUP(patch[[#This Row],[reviewer]],OrgTree!$A:$K, 11, 0), "not ICG SWFW"))</f>
        <v>BJ And dev</v>
      </c>
      <c r="T2647" s="7" t="str">
        <f>IF(ISBLANK(patch[[#This Row],[mergeDate]]), "", MID(YEAR(patch[[#This Row],[mergeDate]]), 3,2)&amp;"'ww"&amp;WEEKNUM(patch[[#This Row],[mergeDate]]))</f>
        <v>16'ww36</v>
      </c>
      <c r="U2647" s="7" t="str">
        <f>IF(ISBLANK(patch[[#This Row],[mergeDate]]), U2646, MID(YEAR(patch[[#This Row],[mergeDate]]), 3,2)&amp;"'m"&amp;MONTH(patch[[#This Row],[mergeDate]]))</f>
        <v>16'm9</v>
      </c>
      <c r="V2647" s="7" t="str">
        <f>IF(ISBLANK(patch[[#This Row],[project]]), "",SUM(patch[[#This Row],[BJ -1 num]:[SH -1 num]]))</f>
        <v/>
      </c>
      <c r="W2647" s="7" t="str">
        <f>IF(ISBLANK(patch[[#This Row],[project]]), "",COUNTIFS($A:$A,patch[[#This Row],[number]],$S:$S, "BJ And dev",$AC:$AC, "Review-1"))</f>
        <v/>
      </c>
      <c r="X2647" s="7" t="str">
        <f>IF(ISBLANK(patch[[#This Row],[project]]), "",COUNTIFS($A:$A,patch[[#This Row],[number]],$S:$S, "FL And dev",$AC:$AC, "Review-1"))</f>
        <v/>
      </c>
      <c r="Y2647" s="7" t="str">
        <f>IF(ISBLANK(patch[[#This Row],[project]]), "",COUNTIFS($A:$A,patch[[#This Row],[number]],$S:$S, "SH And dev",$AC:$AC, "Review-1"))</f>
        <v/>
      </c>
      <c r="Z2647" s="7" t="str">
        <f>IF(ISBLANK(patch[[#This Row],[project]]), "",COUNTIFS($A:$A,patch[[#This Row],[number]],$S:$S, "BJ And dev",$AD:$AD, "&lt;&gt;IntegratorValidationComment"))</f>
        <v/>
      </c>
      <c r="AA2647" s="7" t="str">
        <f>IF(ISBLANK(patch[[#This Row],[project]]), "",COUNTIFS($A:$A,patch[[#This Row],[number]],$S:$S, "FL And dev",$AD:$AD, "&lt;&gt;IntegratorValidationComment"))</f>
        <v/>
      </c>
      <c r="AB2647" s="7" t="str">
        <f>IF(ISBLANK(patch[[#This Row],[project]]), "",COUNTIFS($A:$A,patch[[#This Row],[number]],$S:$S, "SH And dev",$AD:$AD, "&lt;&gt;IntegratorValidationComment"))</f>
        <v/>
      </c>
      <c r="AC2647" s="7" t="str">
        <f>IF(OR(ISNUMBER(FIND("Review-1", patch[[#This Row],[comments]])), ISNUMBER(FIND("Approver-1", patch[[#This Row],[comments]]))), "Review-1", "")</f>
        <v>Review-1</v>
      </c>
      <c r="AD26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47" s="7">
        <f>IF(ISBLANK(patch[[#This Row],[number]]),AE2646,patch[[#This Row],[ifCommon]])</f>
        <v>0</v>
      </c>
    </row>
    <row r="2648" spans="1:31">
      <c r="A2648" s="151">
        <v>141664</v>
      </c>
      <c r="B2648" s="151"/>
      <c r="C2648" s="151"/>
      <c r="D2648" s="151"/>
      <c r="E2648" s="151"/>
      <c r="F2648" s="151"/>
      <c r="G2648" s="151"/>
      <c r="H2648" s="151"/>
      <c r="I2648" s="151"/>
      <c r="J2648" s="152">
        <v>42614.754907407398</v>
      </c>
      <c r="K2648" s="151"/>
      <c r="L2648" s="151" t="s">
        <v>55</v>
      </c>
      <c r="M2648" s="152">
        <v>42612.482870370368</v>
      </c>
      <c r="N2648" s="151" t="s">
        <v>1870</v>
      </c>
      <c r="O2648" s="151"/>
      <c r="P2648" s="151"/>
      <c r="Q2648" s="7" t="str">
        <f>IF(ISBLANK(patch[[#This Row],[OwnerEmail]]),Q2647,patch[[#This Row],[OwnerEmail]])</f>
        <v>zongx.li@intel.com</v>
      </c>
      <c r="R2648" s="7" t="str">
        <f>_xlfn.IFNA(VLOOKUP(patch[[#This Row],[tmp-owner.email]],OrgTree!$A:$K, 11, 0), "not ICG SWFW")</f>
        <v>BJ And dev</v>
      </c>
      <c r="S2648" s="7" t="str">
        <f>IF(patch[[#This Row],[reviewer]]=patch[[#This Row],[tmp-owner.email]], "author", _xlfn.IFNA(VLOOKUP(patch[[#This Row],[reviewer]],OrgTree!$A:$K, 11, 0), "not ICG SWFW"))</f>
        <v>BJ And dev</v>
      </c>
      <c r="T2648" s="7" t="str">
        <f>IF(ISBLANK(patch[[#This Row],[mergeDate]]), "", MID(YEAR(patch[[#This Row],[mergeDate]]), 3,2)&amp;"'ww"&amp;WEEKNUM(patch[[#This Row],[mergeDate]]))</f>
        <v>16'ww36</v>
      </c>
      <c r="U2648" s="7" t="str">
        <f>IF(ISBLANK(patch[[#This Row],[mergeDate]]), U2647, MID(YEAR(patch[[#This Row],[mergeDate]]), 3,2)&amp;"'m"&amp;MONTH(patch[[#This Row],[mergeDate]]))</f>
        <v>16'm9</v>
      </c>
      <c r="V2648" s="7" t="str">
        <f>IF(ISBLANK(patch[[#This Row],[project]]), "",SUM(patch[[#This Row],[BJ -1 num]:[SH -1 num]]))</f>
        <v/>
      </c>
      <c r="W2648" s="7" t="str">
        <f>IF(ISBLANK(patch[[#This Row],[project]]), "",COUNTIFS($A:$A,patch[[#This Row],[number]],$S:$S, "BJ And dev",$AC:$AC, "Review-1"))</f>
        <v/>
      </c>
      <c r="X2648" s="7" t="str">
        <f>IF(ISBLANK(patch[[#This Row],[project]]), "",COUNTIFS($A:$A,patch[[#This Row],[number]],$S:$S, "FL And dev",$AC:$AC, "Review-1"))</f>
        <v/>
      </c>
      <c r="Y2648" s="7" t="str">
        <f>IF(ISBLANK(patch[[#This Row],[project]]), "",COUNTIFS($A:$A,patch[[#This Row],[number]],$S:$S, "SH And dev",$AC:$AC, "Review-1"))</f>
        <v/>
      </c>
      <c r="Z2648" s="7" t="str">
        <f>IF(ISBLANK(patch[[#This Row],[project]]), "",COUNTIFS($A:$A,patch[[#This Row],[number]],$S:$S, "BJ And dev",$AD:$AD, "&lt;&gt;IntegratorValidationComment"))</f>
        <v/>
      </c>
      <c r="AA2648" s="7" t="str">
        <f>IF(ISBLANK(patch[[#This Row],[project]]), "",COUNTIFS($A:$A,patch[[#This Row],[number]],$S:$S, "FL And dev",$AD:$AD, "&lt;&gt;IntegratorValidationComment"))</f>
        <v/>
      </c>
      <c r="AB2648" s="7" t="str">
        <f>IF(ISBLANK(patch[[#This Row],[project]]), "",COUNTIFS($A:$A,patch[[#This Row],[number]],$S:$S, "SH And dev",$AD:$AD, "&lt;&gt;IntegratorValidationComment"))</f>
        <v/>
      </c>
      <c r="AC2648" s="7" t="str">
        <f>IF(OR(ISNUMBER(FIND("Review-1", patch[[#This Row],[comments]])), ISNUMBER(FIND("Approver-1", patch[[#This Row],[comments]]))), "Review-1", "")</f>
        <v/>
      </c>
      <c r="AD26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48" s="7">
        <f>IF(ISBLANK(patch[[#This Row],[number]]),AE2647,patch[[#This Row],[ifCommon]])</f>
        <v>0</v>
      </c>
    </row>
    <row r="2649" spans="1:31">
      <c r="A2649" s="151">
        <v>141664</v>
      </c>
      <c r="B2649" s="151"/>
      <c r="C2649" s="151"/>
      <c r="D2649" s="151"/>
      <c r="E2649" s="151"/>
      <c r="F2649" s="151"/>
      <c r="G2649" s="151"/>
      <c r="H2649" s="151"/>
      <c r="I2649" s="151"/>
      <c r="J2649" s="152">
        <v>42614.754907407398</v>
      </c>
      <c r="K2649" s="151"/>
      <c r="L2649" s="151" t="s">
        <v>55</v>
      </c>
      <c r="M2649" s="152">
        <v>42612.482881944437</v>
      </c>
      <c r="N2649" s="151" t="s">
        <v>2465</v>
      </c>
      <c r="O2649" s="151"/>
      <c r="P2649" s="151"/>
      <c r="Q2649" s="7" t="str">
        <f>IF(ISBLANK(patch[[#This Row],[OwnerEmail]]),Q2648,patch[[#This Row],[OwnerEmail]])</f>
        <v>zongx.li@intel.com</v>
      </c>
      <c r="R2649" s="7" t="str">
        <f>_xlfn.IFNA(VLOOKUP(patch[[#This Row],[tmp-owner.email]],OrgTree!$A:$K, 11, 0), "not ICG SWFW")</f>
        <v>BJ And dev</v>
      </c>
      <c r="S2649" s="7" t="str">
        <f>IF(patch[[#This Row],[reviewer]]=patch[[#This Row],[tmp-owner.email]], "author", _xlfn.IFNA(VLOOKUP(patch[[#This Row],[reviewer]],OrgTree!$A:$K, 11, 0), "not ICG SWFW"))</f>
        <v>BJ And dev</v>
      </c>
      <c r="T2649" s="7" t="str">
        <f>IF(ISBLANK(patch[[#This Row],[mergeDate]]), "", MID(YEAR(patch[[#This Row],[mergeDate]]), 3,2)&amp;"'ww"&amp;WEEKNUM(patch[[#This Row],[mergeDate]]))</f>
        <v>16'ww36</v>
      </c>
      <c r="U2649" s="7" t="str">
        <f>IF(ISBLANK(patch[[#This Row],[mergeDate]]), U2648, MID(YEAR(patch[[#This Row],[mergeDate]]), 3,2)&amp;"'m"&amp;MONTH(patch[[#This Row],[mergeDate]]))</f>
        <v>16'm9</v>
      </c>
      <c r="V2649" s="7" t="str">
        <f>IF(ISBLANK(patch[[#This Row],[project]]), "",SUM(patch[[#This Row],[BJ -1 num]:[SH -1 num]]))</f>
        <v/>
      </c>
      <c r="W2649" s="7" t="str">
        <f>IF(ISBLANK(patch[[#This Row],[project]]), "",COUNTIFS($A:$A,patch[[#This Row],[number]],$S:$S, "BJ And dev",$AC:$AC, "Review-1"))</f>
        <v/>
      </c>
      <c r="X2649" s="7" t="str">
        <f>IF(ISBLANK(patch[[#This Row],[project]]), "",COUNTIFS($A:$A,patch[[#This Row],[number]],$S:$S, "FL And dev",$AC:$AC, "Review-1"))</f>
        <v/>
      </c>
      <c r="Y2649" s="7" t="str">
        <f>IF(ISBLANK(patch[[#This Row],[project]]), "",COUNTIFS($A:$A,patch[[#This Row],[number]],$S:$S, "SH And dev",$AC:$AC, "Review-1"))</f>
        <v/>
      </c>
      <c r="Z2649" s="7" t="str">
        <f>IF(ISBLANK(patch[[#This Row],[project]]), "",COUNTIFS($A:$A,patch[[#This Row],[number]],$S:$S, "BJ And dev",$AD:$AD, "&lt;&gt;IntegratorValidationComment"))</f>
        <v/>
      </c>
      <c r="AA2649" s="7" t="str">
        <f>IF(ISBLANK(patch[[#This Row],[project]]), "",COUNTIFS($A:$A,patch[[#This Row],[number]],$S:$S, "FL And dev",$AD:$AD, "&lt;&gt;IntegratorValidationComment"))</f>
        <v/>
      </c>
      <c r="AB2649" s="7" t="str">
        <f>IF(ISBLANK(patch[[#This Row],[project]]), "",COUNTIFS($A:$A,patch[[#This Row],[number]],$S:$S, "SH And dev",$AD:$AD, "&lt;&gt;IntegratorValidationComment"))</f>
        <v/>
      </c>
      <c r="AC2649" s="7" t="str">
        <f>IF(OR(ISNUMBER(FIND("Review-1", patch[[#This Row],[comments]])), ISNUMBER(FIND("Approver-1", patch[[#This Row],[comments]]))), "Review-1", "")</f>
        <v/>
      </c>
      <c r="AD26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49" s="7">
        <f>IF(ISBLANK(patch[[#This Row],[number]]),AE2648,patch[[#This Row],[ifCommon]])</f>
        <v>0</v>
      </c>
    </row>
    <row r="2650" spans="1:31">
      <c r="A2650" s="151">
        <v>141664</v>
      </c>
      <c r="B2650" s="151"/>
      <c r="C2650" s="151"/>
      <c r="D2650" s="151"/>
      <c r="E2650" s="151"/>
      <c r="F2650" s="151"/>
      <c r="G2650" s="151"/>
      <c r="H2650" s="151"/>
      <c r="I2650" s="151"/>
      <c r="J2650" s="152">
        <v>42614.754907407398</v>
      </c>
      <c r="K2650" s="151"/>
      <c r="L2650" s="151" t="s">
        <v>59</v>
      </c>
      <c r="M2650" s="152">
        <v>42612.487743055557</v>
      </c>
      <c r="N2650" s="151" t="s">
        <v>3922</v>
      </c>
      <c r="O2650" s="151"/>
      <c r="P2650" s="151"/>
      <c r="Q2650" s="7" t="str">
        <f>IF(ISBLANK(patch[[#This Row],[OwnerEmail]]),Q2649,patch[[#This Row],[OwnerEmail]])</f>
        <v>zongx.li@intel.com</v>
      </c>
      <c r="R2650" s="7" t="str">
        <f>_xlfn.IFNA(VLOOKUP(patch[[#This Row],[tmp-owner.email]],OrgTree!$A:$K, 11, 0), "not ICG SWFW")</f>
        <v>BJ And dev</v>
      </c>
      <c r="S2650" s="7" t="str">
        <f>IF(patch[[#This Row],[reviewer]]=patch[[#This Row],[tmp-owner.email]], "author", _xlfn.IFNA(VLOOKUP(patch[[#This Row],[reviewer]],OrgTree!$A:$K, 11, 0), "not ICG SWFW"))</f>
        <v>BJ And dev</v>
      </c>
      <c r="T2650" s="7" t="str">
        <f>IF(ISBLANK(patch[[#This Row],[mergeDate]]), "", MID(YEAR(patch[[#This Row],[mergeDate]]), 3,2)&amp;"'ww"&amp;WEEKNUM(patch[[#This Row],[mergeDate]]))</f>
        <v>16'ww36</v>
      </c>
      <c r="U2650" s="7" t="str">
        <f>IF(ISBLANK(patch[[#This Row],[mergeDate]]), U2649, MID(YEAR(patch[[#This Row],[mergeDate]]), 3,2)&amp;"'m"&amp;MONTH(patch[[#This Row],[mergeDate]]))</f>
        <v>16'm9</v>
      </c>
      <c r="V2650" s="7" t="str">
        <f>IF(ISBLANK(patch[[#This Row],[project]]), "",SUM(patch[[#This Row],[BJ -1 num]:[SH -1 num]]))</f>
        <v/>
      </c>
      <c r="W2650" s="7" t="str">
        <f>IF(ISBLANK(patch[[#This Row],[project]]), "",COUNTIFS($A:$A,patch[[#This Row],[number]],$S:$S, "BJ And dev",$AC:$AC, "Review-1"))</f>
        <v/>
      </c>
      <c r="X2650" s="7" t="str">
        <f>IF(ISBLANK(patch[[#This Row],[project]]), "",COUNTIFS($A:$A,patch[[#This Row],[number]],$S:$S, "FL And dev",$AC:$AC, "Review-1"))</f>
        <v/>
      </c>
      <c r="Y2650" s="7" t="str">
        <f>IF(ISBLANK(patch[[#This Row],[project]]), "",COUNTIFS($A:$A,patch[[#This Row],[number]],$S:$S, "SH And dev",$AC:$AC, "Review-1"))</f>
        <v/>
      </c>
      <c r="Z2650" s="7" t="str">
        <f>IF(ISBLANK(patch[[#This Row],[project]]), "",COUNTIFS($A:$A,patch[[#This Row],[number]],$S:$S, "BJ And dev",$AD:$AD, "&lt;&gt;IntegratorValidationComment"))</f>
        <v/>
      </c>
      <c r="AA2650" s="7" t="str">
        <f>IF(ISBLANK(patch[[#This Row],[project]]), "",COUNTIFS($A:$A,patch[[#This Row],[number]],$S:$S, "FL And dev",$AD:$AD, "&lt;&gt;IntegratorValidationComment"))</f>
        <v/>
      </c>
      <c r="AB2650" s="7" t="str">
        <f>IF(ISBLANK(patch[[#This Row],[project]]), "",COUNTIFS($A:$A,patch[[#This Row],[number]],$S:$S, "SH And dev",$AD:$AD, "&lt;&gt;IntegratorValidationComment"))</f>
        <v/>
      </c>
      <c r="AC2650" s="7" t="str">
        <f>IF(OR(ISNUMBER(FIND("Review-1", patch[[#This Row],[comments]])), ISNUMBER(FIND("Approver-1", patch[[#This Row],[comments]]))), "Review-1", "")</f>
        <v/>
      </c>
      <c r="AD26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50" s="7">
        <f>IF(ISBLANK(patch[[#This Row],[number]]),AE2649,patch[[#This Row],[ifCommon]])</f>
        <v>0</v>
      </c>
    </row>
    <row r="2651" spans="1:31">
      <c r="A2651" s="151">
        <v>141664</v>
      </c>
      <c r="B2651" s="151"/>
      <c r="C2651" s="151"/>
      <c r="D2651" s="151"/>
      <c r="E2651" s="151"/>
      <c r="F2651" s="151"/>
      <c r="G2651" s="151"/>
      <c r="H2651" s="151"/>
      <c r="I2651" s="151"/>
      <c r="J2651" s="152">
        <v>42614.754907407398</v>
      </c>
      <c r="K2651" s="151"/>
      <c r="L2651" s="151" t="s">
        <v>63</v>
      </c>
      <c r="M2651" s="152">
        <v>42612.487858796303</v>
      </c>
      <c r="N2651" s="151" t="s">
        <v>1862</v>
      </c>
      <c r="O2651" s="151"/>
      <c r="P2651" s="151"/>
      <c r="Q2651" s="7" t="str">
        <f>IF(ISBLANK(patch[[#This Row],[OwnerEmail]]),Q2650,patch[[#This Row],[OwnerEmail]])</f>
        <v>zongx.li@intel.com</v>
      </c>
      <c r="R2651" s="7" t="str">
        <f>_xlfn.IFNA(VLOOKUP(patch[[#This Row],[tmp-owner.email]],OrgTree!$A:$K, 11, 0), "not ICG SWFW")</f>
        <v>BJ And dev</v>
      </c>
      <c r="S2651" s="7" t="str">
        <f>IF(patch[[#This Row],[reviewer]]=patch[[#This Row],[tmp-owner.email]], "author", _xlfn.IFNA(VLOOKUP(patch[[#This Row],[reviewer]],OrgTree!$A:$K, 11, 0), "not ICG SWFW"))</f>
        <v>author</v>
      </c>
      <c r="T2651" s="7" t="str">
        <f>IF(ISBLANK(patch[[#This Row],[mergeDate]]), "", MID(YEAR(patch[[#This Row],[mergeDate]]), 3,2)&amp;"'ww"&amp;WEEKNUM(patch[[#This Row],[mergeDate]]))</f>
        <v>16'ww36</v>
      </c>
      <c r="U2651" s="7" t="str">
        <f>IF(ISBLANK(patch[[#This Row],[mergeDate]]), U2650, MID(YEAR(patch[[#This Row],[mergeDate]]), 3,2)&amp;"'m"&amp;MONTH(patch[[#This Row],[mergeDate]]))</f>
        <v>16'm9</v>
      </c>
      <c r="V2651" s="7" t="str">
        <f>IF(ISBLANK(patch[[#This Row],[project]]), "",SUM(patch[[#This Row],[BJ -1 num]:[SH -1 num]]))</f>
        <v/>
      </c>
      <c r="W2651" s="7" t="str">
        <f>IF(ISBLANK(patch[[#This Row],[project]]), "",COUNTIFS($A:$A,patch[[#This Row],[number]],$S:$S, "BJ And dev",$AC:$AC, "Review-1"))</f>
        <v/>
      </c>
      <c r="X2651" s="7" t="str">
        <f>IF(ISBLANK(patch[[#This Row],[project]]), "",COUNTIFS($A:$A,patch[[#This Row],[number]],$S:$S, "FL And dev",$AC:$AC, "Review-1"))</f>
        <v/>
      </c>
      <c r="Y2651" s="7" t="str">
        <f>IF(ISBLANK(patch[[#This Row],[project]]), "",COUNTIFS($A:$A,patch[[#This Row],[number]],$S:$S, "SH And dev",$AC:$AC, "Review-1"))</f>
        <v/>
      </c>
      <c r="Z2651" s="7" t="str">
        <f>IF(ISBLANK(patch[[#This Row],[project]]), "",COUNTIFS($A:$A,patch[[#This Row],[number]],$S:$S, "BJ And dev",$AD:$AD, "&lt;&gt;IntegratorValidationComment"))</f>
        <v/>
      </c>
      <c r="AA2651" s="7" t="str">
        <f>IF(ISBLANK(patch[[#This Row],[project]]), "",COUNTIFS($A:$A,patch[[#This Row],[number]],$S:$S, "FL And dev",$AD:$AD, "&lt;&gt;IntegratorValidationComment"))</f>
        <v/>
      </c>
      <c r="AB2651" s="7" t="str">
        <f>IF(ISBLANK(patch[[#This Row],[project]]), "",COUNTIFS($A:$A,patch[[#This Row],[number]],$S:$S, "SH And dev",$AD:$AD, "&lt;&gt;IntegratorValidationComment"))</f>
        <v/>
      </c>
      <c r="AC2651" s="7" t="str">
        <f>IF(OR(ISNUMBER(FIND("Review-1", patch[[#This Row],[comments]])), ISNUMBER(FIND("Approver-1", patch[[#This Row],[comments]]))), "Review-1", "")</f>
        <v/>
      </c>
      <c r="AD26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51" s="7">
        <f>IF(ISBLANK(patch[[#This Row],[number]]),AE2650,patch[[#This Row],[ifCommon]])</f>
        <v>0</v>
      </c>
    </row>
    <row r="2652" spans="1:31">
      <c r="A2652" s="151">
        <v>141664</v>
      </c>
      <c r="B2652" s="151"/>
      <c r="C2652" s="151"/>
      <c r="D2652" s="151"/>
      <c r="E2652" s="151"/>
      <c r="F2652" s="151"/>
      <c r="G2652" s="151"/>
      <c r="H2652" s="151"/>
      <c r="I2652" s="151"/>
      <c r="J2652" s="152">
        <v>42614.754907407398</v>
      </c>
      <c r="K2652" s="151"/>
      <c r="L2652" s="151" t="s">
        <v>63</v>
      </c>
      <c r="M2652" s="152">
        <v>42612.487858796303</v>
      </c>
      <c r="N2652" s="151" t="s">
        <v>2466</v>
      </c>
      <c r="O2652" s="151"/>
      <c r="P2652" s="151"/>
      <c r="Q2652" s="7" t="str">
        <f>IF(ISBLANK(patch[[#This Row],[OwnerEmail]]),Q2651,patch[[#This Row],[OwnerEmail]])</f>
        <v>zongx.li@intel.com</v>
      </c>
      <c r="R2652" s="7" t="str">
        <f>_xlfn.IFNA(VLOOKUP(patch[[#This Row],[tmp-owner.email]],OrgTree!$A:$K, 11, 0), "not ICG SWFW")</f>
        <v>BJ And dev</v>
      </c>
      <c r="S2652" s="7" t="str">
        <f>IF(patch[[#This Row],[reviewer]]=patch[[#This Row],[tmp-owner.email]], "author", _xlfn.IFNA(VLOOKUP(patch[[#This Row],[reviewer]],OrgTree!$A:$K, 11, 0), "not ICG SWFW"))</f>
        <v>author</v>
      </c>
      <c r="T2652" s="7" t="str">
        <f>IF(ISBLANK(patch[[#This Row],[mergeDate]]), "", MID(YEAR(patch[[#This Row],[mergeDate]]), 3,2)&amp;"'ww"&amp;WEEKNUM(patch[[#This Row],[mergeDate]]))</f>
        <v>16'ww36</v>
      </c>
      <c r="U2652" s="7" t="str">
        <f>IF(ISBLANK(patch[[#This Row],[mergeDate]]), U2651, MID(YEAR(patch[[#This Row],[mergeDate]]), 3,2)&amp;"'m"&amp;MONTH(patch[[#This Row],[mergeDate]]))</f>
        <v>16'm9</v>
      </c>
      <c r="V2652" s="7" t="str">
        <f>IF(ISBLANK(patch[[#This Row],[project]]), "",SUM(patch[[#This Row],[BJ -1 num]:[SH -1 num]]))</f>
        <v/>
      </c>
      <c r="W2652" s="7" t="str">
        <f>IF(ISBLANK(patch[[#This Row],[project]]), "",COUNTIFS($A:$A,patch[[#This Row],[number]],$S:$S, "BJ And dev",$AC:$AC, "Review-1"))</f>
        <v/>
      </c>
      <c r="X2652" s="7" t="str">
        <f>IF(ISBLANK(patch[[#This Row],[project]]), "",COUNTIFS($A:$A,patch[[#This Row],[number]],$S:$S, "FL And dev",$AC:$AC, "Review-1"))</f>
        <v/>
      </c>
      <c r="Y2652" s="7" t="str">
        <f>IF(ISBLANK(patch[[#This Row],[project]]), "",COUNTIFS($A:$A,patch[[#This Row],[number]],$S:$S, "SH And dev",$AC:$AC, "Review-1"))</f>
        <v/>
      </c>
      <c r="Z2652" s="7" t="str">
        <f>IF(ISBLANK(patch[[#This Row],[project]]), "",COUNTIFS($A:$A,patch[[#This Row],[number]],$S:$S, "BJ And dev",$AD:$AD, "&lt;&gt;IntegratorValidationComment"))</f>
        <v/>
      </c>
      <c r="AA2652" s="7" t="str">
        <f>IF(ISBLANK(patch[[#This Row],[project]]), "",COUNTIFS($A:$A,patch[[#This Row],[number]],$S:$S, "FL And dev",$AD:$AD, "&lt;&gt;IntegratorValidationComment"))</f>
        <v/>
      </c>
      <c r="AB2652" s="7" t="str">
        <f>IF(ISBLANK(patch[[#This Row],[project]]), "",COUNTIFS($A:$A,patch[[#This Row],[number]],$S:$S, "SH And dev",$AD:$AD, "&lt;&gt;IntegratorValidationComment"))</f>
        <v/>
      </c>
      <c r="AC2652" s="7" t="str">
        <f>IF(OR(ISNUMBER(FIND("Review-1", patch[[#This Row],[comments]])), ISNUMBER(FIND("Approver-1", patch[[#This Row],[comments]]))), "Review-1", "")</f>
        <v/>
      </c>
      <c r="AD26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52" s="7">
        <f>IF(ISBLANK(patch[[#This Row],[number]]),AE2651,patch[[#This Row],[ifCommon]])</f>
        <v>0</v>
      </c>
    </row>
    <row r="2653" spans="1:31">
      <c r="A2653" s="151">
        <v>141664</v>
      </c>
      <c r="B2653" s="151"/>
      <c r="C2653" s="151"/>
      <c r="D2653" s="151"/>
      <c r="E2653" s="151"/>
      <c r="F2653" s="151"/>
      <c r="G2653" s="151"/>
      <c r="H2653" s="151"/>
      <c r="I2653" s="151"/>
      <c r="J2653" s="152">
        <v>42614.754907407398</v>
      </c>
      <c r="K2653" s="151"/>
      <c r="L2653" s="151" t="s">
        <v>59</v>
      </c>
      <c r="M2653" s="152">
        <v>42612.493564814817</v>
      </c>
      <c r="N2653" s="151" t="s">
        <v>3923</v>
      </c>
      <c r="O2653" s="151"/>
      <c r="P2653" s="151"/>
      <c r="Q2653" s="7" t="str">
        <f>IF(ISBLANK(patch[[#This Row],[OwnerEmail]]),Q2652,patch[[#This Row],[OwnerEmail]])</f>
        <v>zongx.li@intel.com</v>
      </c>
      <c r="R2653" s="7" t="str">
        <f>_xlfn.IFNA(VLOOKUP(patch[[#This Row],[tmp-owner.email]],OrgTree!$A:$K, 11, 0), "not ICG SWFW")</f>
        <v>BJ And dev</v>
      </c>
      <c r="S2653" s="7" t="str">
        <f>IF(patch[[#This Row],[reviewer]]=patch[[#This Row],[tmp-owner.email]], "author", _xlfn.IFNA(VLOOKUP(patch[[#This Row],[reviewer]],OrgTree!$A:$K, 11, 0), "not ICG SWFW"))</f>
        <v>BJ And dev</v>
      </c>
      <c r="T2653" s="7" t="str">
        <f>IF(ISBLANK(patch[[#This Row],[mergeDate]]), "", MID(YEAR(patch[[#This Row],[mergeDate]]), 3,2)&amp;"'ww"&amp;WEEKNUM(patch[[#This Row],[mergeDate]]))</f>
        <v>16'ww36</v>
      </c>
      <c r="U2653" s="7" t="str">
        <f>IF(ISBLANK(patch[[#This Row],[mergeDate]]), U2652, MID(YEAR(patch[[#This Row],[mergeDate]]), 3,2)&amp;"'m"&amp;MONTH(patch[[#This Row],[mergeDate]]))</f>
        <v>16'm9</v>
      </c>
      <c r="V2653" s="7" t="str">
        <f>IF(ISBLANK(patch[[#This Row],[project]]), "",SUM(patch[[#This Row],[BJ -1 num]:[SH -1 num]]))</f>
        <v/>
      </c>
      <c r="W2653" s="7" t="str">
        <f>IF(ISBLANK(patch[[#This Row],[project]]), "",COUNTIFS($A:$A,patch[[#This Row],[number]],$S:$S, "BJ And dev",$AC:$AC, "Review-1"))</f>
        <v/>
      </c>
      <c r="X2653" s="7" t="str">
        <f>IF(ISBLANK(patch[[#This Row],[project]]), "",COUNTIFS($A:$A,patch[[#This Row],[number]],$S:$S, "FL And dev",$AC:$AC, "Review-1"))</f>
        <v/>
      </c>
      <c r="Y2653" s="7" t="str">
        <f>IF(ISBLANK(patch[[#This Row],[project]]), "",COUNTIFS($A:$A,patch[[#This Row],[number]],$S:$S, "SH And dev",$AC:$AC, "Review-1"))</f>
        <v/>
      </c>
      <c r="Z2653" s="7" t="str">
        <f>IF(ISBLANK(patch[[#This Row],[project]]), "",COUNTIFS($A:$A,patch[[#This Row],[number]],$S:$S, "BJ And dev",$AD:$AD, "&lt;&gt;IntegratorValidationComment"))</f>
        <v/>
      </c>
      <c r="AA2653" s="7" t="str">
        <f>IF(ISBLANK(patch[[#This Row],[project]]), "",COUNTIFS($A:$A,patch[[#This Row],[number]],$S:$S, "FL And dev",$AD:$AD, "&lt;&gt;IntegratorValidationComment"))</f>
        <v/>
      </c>
      <c r="AB2653" s="7" t="str">
        <f>IF(ISBLANK(patch[[#This Row],[project]]), "",COUNTIFS($A:$A,patch[[#This Row],[number]],$S:$S, "SH And dev",$AD:$AD, "&lt;&gt;IntegratorValidationComment"))</f>
        <v/>
      </c>
      <c r="AC2653" s="7" t="str">
        <f>IF(OR(ISNUMBER(FIND("Review-1", patch[[#This Row],[comments]])), ISNUMBER(FIND("Approver-1", patch[[#This Row],[comments]]))), "Review-1", "")</f>
        <v/>
      </c>
      <c r="AD26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53" s="7">
        <f>IF(ISBLANK(patch[[#This Row],[number]]),AE2652,patch[[#This Row],[ifCommon]])</f>
        <v>0</v>
      </c>
    </row>
    <row r="2654" spans="1:31">
      <c r="A2654" s="151">
        <v>141664</v>
      </c>
      <c r="B2654" s="151"/>
      <c r="C2654" s="151"/>
      <c r="D2654" s="151"/>
      <c r="E2654" s="151"/>
      <c r="F2654" s="151"/>
      <c r="G2654" s="151"/>
      <c r="H2654" s="151"/>
      <c r="I2654" s="151"/>
      <c r="J2654" s="152">
        <v>42614.754907407398</v>
      </c>
      <c r="K2654" s="151"/>
      <c r="L2654" s="151" t="s">
        <v>59</v>
      </c>
      <c r="M2654" s="152">
        <v>42612.494293981479</v>
      </c>
      <c r="N2654" s="151" t="s">
        <v>3924</v>
      </c>
      <c r="O2654" s="151"/>
      <c r="P2654" s="151"/>
      <c r="Q2654" s="7" t="str">
        <f>IF(ISBLANK(patch[[#This Row],[OwnerEmail]]),Q2653,patch[[#This Row],[OwnerEmail]])</f>
        <v>zongx.li@intel.com</v>
      </c>
      <c r="R2654" s="7" t="str">
        <f>_xlfn.IFNA(VLOOKUP(patch[[#This Row],[tmp-owner.email]],OrgTree!$A:$K, 11, 0), "not ICG SWFW")</f>
        <v>BJ And dev</v>
      </c>
      <c r="S2654" s="7" t="str">
        <f>IF(patch[[#This Row],[reviewer]]=patch[[#This Row],[tmp-owner.email]], "author", _xlfn.IFNA(VLOOKUP(patch[[#This Row],[reviewer]],OrgTree!$A:$K, 11, 0), "not ICG SWFW"))</f>
        <v>BJ And dev</v>
      </c>
      <c r="T2654" s="7" t="str">
        <f>IF(ISBLANK(patch[[#This Row],[mergeDate]]), "", MID(YEAR(patch[[#This Row],[mergeDate]]), 3,2)&amp;"'ww"&amp;WEEKNUM(patch[[#This Row],[mergeDate]]))</f>
        <v>16'ww36</v>
      </c>
      <c r="U2654" s="7" t="str">
        <f>IF(ISBLANK(patch[[#This Row],[mergeDate]]), U2653, MID(YEAR(patch[[#This Row],[mergeDate]]), 3,2)&amp;"'m"&amp;MONTH(patch[[#This Row],[mergeDate]]))</f>
        <v>16'm9</v>
      </c>
      <c r="V2654" s="7" t="str">
        <f>IF(ISBLANK(patch[[#This Row],[project]]), "",SUM(patch[[#This Row],[BJ -1 num]:[SH -1 num]]))</f>
        <v/>
      </c>
      <c r="W2654" s="7" t="str">
        <f>IF(ISBLANK(patch[[#This Row],[project]]), "",COUNTIFS($A:$A,patch[[#This Row],[number]],$S:$S, "BJ And dev",$AC:$AC, "Review-1"))</f>
        <v/>
      </c>
      <c r="X2654" s="7" t="str">
        <f>IF(ISBLANK(patch[[#This Row],[project]]), "",COUNTIFS($A:$A,patch[[#This Row],[number]],$S:$S, "FL And dev",$AC:$AC, "Review-1"))</f>
        <v/>
      </c>
      <c r="Y2654" s="7" t="str">
        <f>IF(ISBLANK(patch[[#This Row],[project]]), "",COUNTIFS($A:$A,patch[[#This Row],[number]],$S:$S, "SH And dev",$AC:$AC, "Review-1"))</f>
        <v/>
      </c>
      <c r="Z2654" s="7" t="str">
        <f>IF(ISBLANK(patch[[#This Row],[project]]), "",COUNTIFS($A:$A,patch[[#This Row],[number]],$S:$S, "BJ And dev",$AD:$AD, "&lt;&gt;IntegratorValidationComment"))</f>
        <v/>
      </c>
      <c r="AA2654" s="7" t="str">
        <f>IF(ISBLANK(patch[[#This Row],[project]]), "",COUNTIFS($A:$A,patch[[#This Row],[number]],$S:$S, "FL And dev",$AD:$AD, "&lt;&gt;IntegratorValidationComment"))</f>
        <v/>
      </c>
      <c r="AB2654" s="7" t="str">
        <f>IF(ISBLANK(patch[[#This Row],[project]]), "",COUNTIFS($A:$A,patch[[#This Row],[number]],$S:$S, "SH And dev",$AD:$AD, "&lt;&gt;IntegratorValidationComment"))</f>
        <v/>
      </c>
      <c r="AC2654" s="7" t="str">
        <f>IF(OR(ISNUMBER(FIND("Review-1", patch[[#This Row],[comments]])), ISNUMBER(FIND("Approver-1", patch[[#This Row],[comments]]))), "Review-1", "")</f>
        <v/>
      </c>
      <c r="AD26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54" s="7">
        <f>IF(ISBLANK(patch[[#This Row],[number]]),AE2653,patch[[#This Row],[ifCommon]])</f>
        <v>0</v>
      </c>
    </row>
    <row r="2655" spans="1:31">
      <c r="A2655" s="151">
        <v>141664</v>
      </c>
      <c r="B2655" s="151"/>
      <c r="C2655" s="151"/>
      <c r="D2655" s="151"/>
      <c r="E2655" s="151"/>
      <c r="F2655" s="151"/>
      <c r="G2655" s="151"/>
      <c r="H2655" s="151"/>
      <c r="I2655" s="151"/>
      <c r="J2655" s="152">
        <v>42614.754907407398</v>
      </c>
      <c r="K2655" s="151"/>
      <c r="L2655" s="151" t="s">
        <v>55</v>
      </c>
      <c r="M2655" s="152">
        <v>42612.495196759257</v>
      </c>
      <c r="N2655" s="151" t="s">
        <v>2467</v>
      </c>
      <c r="O2655" s="151"/>
      <c r="P2655" s="151"/>
      <c r="Q2655" s="7" t="str">
        <f>IF(ISBLANK(patch[[#This Row],[OwnerEmail]]),Q2654,patch[[#This Row],[OwnerEmail]])</f>
        <v>zongx.li@intel.com</v>
      </c>
      <c r="R2655" s="7" t="str">
        <f>_xlfn.IFNA(VLOOKUP(patch[[#This Row],[tmp-owner.email]],OrgTree!$A:$K, 11, 0), "not ICG SWFW")</f>
        <v>BJ And dev</v>
      </c>
      <c r="S2655" s="7" t="str">
        <f>IF(patch[[#This Row],[reviewer]]=patch[[#This Row],[tmp-owner.email]], "author", _xlfn.IFNA(VLOOKUP(patch[[#This Row],[reviewer]],OrgTree!$A:$K, 11, 0), "not ICG SWFW"))</f>
        <v>BJ And dev</v>
      </c>
      <c r="T2655" s="7" t="str">
        <f>IF(ISBLANK(patch[[#This Row],[mergeDate]]), "", MID(YEAR(patch[[#This Row],[mergeDate]]), 3,2)&amp;"'ww"&amp;WEEKNUM(patch[[#This Row],[mergeDate]]))</f>
        <v>16'ww36</v>
      </c>
      <c r="U2655" s="7" t="str">
        <f>IF(ISBLANK(patch[[#This Row],[mergeDate]]), U2654, MID(YEAR(patch[[#This Row],[mergeDate]]), 3,2)&amp;"'m"&amp;MONTH(patch[[#This Row],[mergeDate]]))</f>
        <v>16'm9</v>
      </c>
      <c r="V2655" s="7" t="str">
        <f>IF(ISBLANK(patch[[#This Row],[project]]), "",SUM(patch[[#This Row],[BJ -1 num]:[SH -1 num]]))</f>
        <v/>
      </c>
      <c r="W2655" s="7" t="str">
        <f>IF(ISBLANK(patch[[#This Row],[project]]), "",COUNTIFS($A:$A,patch[[#This Row],[number]],$S:$S, "BJ And dev",$AC:$AC, "Review-1"))</f>
        <v/>
      </c>
      <c r="X2655" s="7" t="str">
        <f>IF(ISBLANK(patch[[#This Row],[project]]), "",COUNTIFS($A:$A,patch[[#This Row],[number]],$S:$S, "FL And dev",$AC:$AC, "Review-1"))</f>
        <v/>
      </c>
      <c r="Y2655" s="7" t="str">
        <f>IF(ISBLANK(patch[[#This Row],[project]]), "",COUNTIFS($A:$A,patch[[#This Row],[number]],$S:$S, "SH And dev",$AC:$AC, "Review-1"))</f>
        <v/>
      </c>
      <c r="Z2655" s="7" t="str">
        <f>IF(ISBLANK(patch[[#This Row],[project]]), "",COUNTIFS($A:$A,patch[[#This Row],[number]],$S:$S, "BJ And dev",$AD:$AD, "&lt;&gt;IntegratorValidationComment"))</f>
        <v/>
      </c>
      <c r="AA2655" s="7" t="str">
        <f>IF(ISBLANK(patch[[#This Row],[project]]), "",COUNTIFS($A:$A,patch[[#This Row],[number]],$S:$S, "FL And dev",$AD:$AD, "&lt;&gt;IntegratorValidationComment"))</f>
        <v/>
      </c>
      <c r="AB2655" s="7" t="str">
        <f>IF(ISBLANK(patch[[#This Row],[project]]), "",COUNTIFS($A:$A,patch[[#This Row],[number]],$S:$S, "SH And dev",$AD:$AD, "&lt;&gt;IntegratorValidationComment"))</f>
        <v/>
      </c>
      <c r="AC2655" s="7" t="str">
        <f>IF(OR(ISNUMBER(FIND("Review-1", patch[[#This Row],[comments]])), ISNUMBER(FIND("Approver-1", patch[[#This Row],[comments]]))), "Review-1", "")</f>
        <v/>
      </c>
      <c r="AD26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55" s="7">
        <f>IF(ISBLANK(patch[[#This Row],[number]]),AE2654,patch[[#This Row],[ifCommon]])</f>
        <v>0</v>
      </c>
    </row>
    <row r="2656" spans="1:31">
      <c r="A2656" s="151">
        <v>141664</v>
      </c>
      <c r="B2656" s="151"/>
      <c r="C2656" s="151"/>
      <c r="D2656" s="151"/>
      <c r="E2656" s="151"/>
      <c r="F2656" s="151"/>
      <c r="G2656" s="151"/>
      <c r="H2656" s="151"/>
      <c r="I2656" s="151"/>
      <c r="J2656" s="152">
        <v>42614.754907407398</v>
      </c>
      <c r="K2656" s="151"/>
      <c r="L2656" s="151" t="s">
        <v>55</v>
      </c>
      <c r="M2656" s="152">
        <v>42612.495196759257</v>
      </c>
      <c r="N2656" s="151" t="s">
        <v>2501</v>
      </c>
      <c r="O2656" s="151"/>
      <c r="P2656" s="151"/>
      <c r="Q2656" s="7" t="str">
        <f>IF(ISBLANK(patch[[#This Row],[OwnerEmail]]),Q2655,patch[[#This Row],[OwnerEmail]])</f>
        <v>zongx.li@intel.com</v>
      </c>
      <c r="R2656" s="7" t="str">
        <f>_xlfn.IFNA(VLOOKUP(patch[[#This Row],[tmp-owner.email]],OrgTree!$A:$K, 11, 0), "not ICG SWFW")</f>
        <v>BJ And dev</v>
      </c>
      <c r="S2656" s="7" t="str">
        <f>IF(patch[[#This Row],[reviewer]]=patch[[#This Row],[tmp-owner.email]], "author", _xlfn.IFNA(VLOOKUP(patch[[#This Row],[reviewer]],OrgTree!$A:$K, 11, 0), "not ICG SWFW"))</f>
        <v>BJ And dev</v>
      </c>
      <c r="T2656" s="7" t="str">
        <f>IF(ISBLANK(patch[[#This Row],[mergeDate]]), "", MID(YEAR(patch[[#This Row],[mergeDate]]), 3,2)&amp;"'ww"&amp;WEEKNUM(patch[[#This Row],[mergeDate]]))</f>
        <v>16'ww36</v>
      </c>
      <c r="U2656" s="7" t="str">
        <f>IF(ISBLANK(patch[[#This Row],[mergeDate]]), U2655, MID(YEAR(patch[[#This Row],[mergeDate]]), 3,2)&amp;"'m"&amp;MONTH(patch[[#This Row],[mergeDate]]))</f>
        <v>16'm9</v>
      </c>
      <c r="V2656" s="7" t="str">
        <f>IF(ISBLANK(patch[[#This Row],[project]]), "",SUM(patch[[#This Row],[BJ -1 num]:[SH -1 num]]))</f>
        <v/>
      </c>
      <c r="W2656" s="7" t="str">
        <f>IF(ISBLANK(patch[[#This Row],[project]]), "",COUNTIFS($A:$A,patch[[#This Row],[number]],$S:$S, "BJ And dev",$AC:$AC, "Review-1"))</f>
        <v/>
      </c>
      <c r="X2656" s="7" t="str">
        <f>IF(ISBLANK(patch[[#This Row],[project]]), "",COUNTIFS($A:$A,patch[[#This Row],[number]],$S:$S, "FL And dev",$AC:$AC, "Review-1"))</f>
        <v/>
      </c>
      <c r="Y2656" s="7" t="str">
        <f>IF(ISBLANK(patch[[#This Row],[project]]), "",COUNTIFS($A:$A,patch[[#This Row],[number]],$S:$S, "SH And dev",$AC:$AC, "Review-1"))</f>
        <v/>
      </c>
      <c r="Z2656" s="7" t="str">
        <f>IF(ISBLANK(patch[[#This Row],[project]]), "",COUNTIFS($A:$A,patch[[#This Row],[number]],$S:$S, "BJ And dev",$AD:$AD, "&lt;&gt;IntegratorValidationComment"))</f>
        <v/>
      </c>
      <c r="AA2656" s="7" t="str">
        <f>IF(ISBLANK(patch[[#This Row],[project]]), "",COUNTIFS($A:$A,patch[[#This Row],[number]],$S:$S, "FL And dev",$AD:$AD, "&lt;&gt;IntegratorValidationComment"))</f>
        <v/>
      </c>
      <c r="AB2656" s="7" t="str">
        <f>IF(ISBLANK(patch[[#This Row],[project]]), "",COUNTIFS($A:$A,patch[[#This Row],[number]],$S:$S, "SH And dev",$AD:$AD, "&lt;&gt;IntegratorValidationComment"))</f>
        <v/>
      </c>
      <c r="AC2656" s="7" t="str">
        <f>IF(OR(ISNUMBER(FIND("Review-1", patch[[#This Row],[comments]])), ISNUMBER(FIND("Approver-1", patch[[#This Row],[comments]]))), "Review-1", "")</f>
        <v/>
      </c>
      <c r="AD26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56" s="7">
        <f>IF(ISBLANK(patch[[#This Row],[number]]),AE2655,patch[[#This Row],[ifCommon]])</f>
        <v>0</v>
      </c>
    </row>
    <row r="2657" spans="1:31">
      <c r="A2657" s="151">
        <v>141664</v>
      </c>
      <c r="B2657" s="151"/>
      <c r="C2657" s="151"/>
      <c r="D2657" s="151"/>
      <c r="E2657" s="151"/>
      <c r="F2657" s="151"/>
      <c r="G2657" s="151"/>
      <c r="H2657" s="151"/>
      <c r="I2657" s="151"/>
      <c r="J2657" s="152">
        <v>42614.754907407398</v>
      </c>
      <c r="K2657" s="151"/>
      <c r="L2657" s="151" t="s">
        <v>55</v>
      </c>
      <c r="M2657" s="152">
        <v>42612.496666666673</v>
      </c>
      <c r="N2657" s="151" t="s">
        <v>1849</v>
      </c>
      <c r="O2657" s="151"/>
      <c r="P2657" s="151"/>
      <c r="Q2657" s="7" t="str">
        <f>IF(ISBLANK(patch[[#This Row],[OwnerEmail]]),Q2656,patch[[#This Row],[OwnerEmail]])</f>
        <v>zongx.li@intel.com</v>
      </c>
      <c r="R2657" s="7" t="str">
        <f>_xlfn.IFNA(VLOOKUP(patch[[#This Row],[tmp-owner.email]],OrgTree!$A:$K, 11, 0), "not ICG SWFW")</f>
        <v>BJ And dev</v>
      </c>
      <c r="S2657" s="7" t="str">
        <f>IF(patch[[#This Row],[reviewer]]=patch[[#This Row],[tmp-owner.email]], "author", _xlfn.IFNA(VLOOKUP(patch[[#This Row],[reviewer]],OrgTree!$A:$K, 11, 0), "not ICG SWFW"))</f>
        <v>BJ And dev</v>
      </c>
      <c r="T2657" s="7" t="str">
        <f>IF(ISBLANK(patch[[#This Row],[mergeDate]]), "", MID(YEAR(patch[[#This Row],[mergeDate]]), 3,2)&amp;"'ww"&amp;WEEKNUM(patch[[#This Row],[mergeDate]]))</f>
        <v>16'ww36</v>
      </c>
      <c r="U2657" s="7" t="str">
        <f>IF(ISBLANK(patch[[#This Row],[mergeDate]]), U2656, MID(YEAR(patch[[#This Row],[mergeDate]]), 3,2)&amp;"'m"&amp;MONTH(patch[[#This Row],[mergeDate]]))</f>
        <v>16'm9</v>
      </c>
      <c r="V2657" s="7" t="str">
        <f>IF(ISBLANK(patch[[#This Row],[project]]), "",SUM(patch[[#This Row],[BJ -1 num]:[SH -1 num]]))</f>
        <v/>
      </c>
      <c r="W2657" s="7" t="str">
        <f>IF(ISBLANK(patch[[#This Row],[project]]), "",COUNTIFS($A:$A,patch[[#This Row],[number]],$S:$S, "BJ And dev",$AC:$AC, "Review-1"))</f>
        <v/>
      </c>
      <c r="X2657" s="7" t="str">
        <f>IF(ISBLANK(patch[[#This Row],[project]]), "",COUNTIFS($A:$A,patch[[#This Row],[number]],$S:$S, "FL And dev",$AC:$AC, "Review-1"))</f>
        <v/>
      </c>
      <c r="Y2657" s="7" t="str">
        <f>IF(ISBLANK(patch[[#This Row],[project]]), "",COUNTIFS($A:$A,patch[[#This Row],[number]],$S:$S, "SH And dev",$AC:$AC, "Review-1"))</f>
        <v/>
      </c>
      <c r="Z2657" s="7" t="str">
        <f>IF(ISBLANK(patch[[#This Row],[project]]), "",COUNTIFS($A:$A,patch[[#This Row],[number]],$S:$S, "BJ And dev",$AD:$AD, "&lt;&gt;IntegratorValidationComment"))</f>
        <v/>
      </c>
      <c r="AA2657" s="7" t="str">
        <f>IF(ISBLANK(patch[[#This Row],[project]]), "",COUNTIFS($A:$A,patch[[#This Row],[number]],$S:$S, "FL And dev",$AD:$AD, "&lt;&gt;IntegratorValidationComment"))</f>
        <v/>
      </c>
      <c r="AB2657" s="7" t="str">
        <f>IF(ISBLANK(patch[[#This Row],[project]]), "",COUNTIFS($A:$A,patch[[#This Row],[number]],$S:$S, "SH And dev",$AD:$AD, "&lt;&gt;IntegratorValidationComment"))</f>
        <v/>
      </c>
      <c r="AC2657" s="7" t="str">
        <f>IF(OR(ISNUMBER(FIND("Review-1", patch[[#This Row],[comments]])), ISNUMBER(FIND("Approver-1", patch[[#This Row],[comments]]))), "Review-1", "")</f>
        <v/>
      </c>
      <c r="AD26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57" s="7">
        <f>IF(ISBLANK(patch[[#This Row],[number]]),AE2656,patch[[#This Row],[ifCommon]])</f>
        <v>0</v>
      </c>
    </row>
    <row r="2658" spans="1:31">
      <c r="A2658" s="151">
        <v>141664</v>
      </c>
      <c r="B2658" s="151"/>
      <c r="C2658" s="151"/>
      <c r="D2658" s="151"/>
      <c r="E2658" s="151"/>
      <c r="F2658" s="151"/>
      <c r="G2658" s="151"/>
      <c r="H2658" s="151"/>
      <c r="I2658" s="151"/>
      <c r="J2658" s="152">
        <v>42614.754907407398</v>
      </c>
      <c r="K2658" s="151"/>
      <c r="L2658" s="151" t="s">
        <v>59</v>
      </c>
      <c r="M2658" s="152">
        <v>42612.497407407413</v>
      </c>
      <c r="N2658" s="151" t="s">
        <v>3925</v>
      </c>
      <c r="O2658" s="151"/>
      <c r="P2658" s="151"/>
      <c r="Q2658" s="7" t="str">
        <f>IF(ISBLANK(patch[[#This Row],[OwnerEmail]]),Q2657,patch[[#This Row],[OwnerEmail]])</f>
        <v>zongx.li@intel.com</v>
      </c>
      <c r="R2658" s="7" t="str">
        <f>_xlfn.IFNA(VLOOKUP(patch[[#This Row],[tmp-owner.email]],OrgTree!$A:$K, 11, 0), "not ICG SWFW")</f>
        <v>BJ And dev</v>
      </c>
      <c r="S2658" s="7" t="str">
        <f>IF(patch[[#This Row],[reviewer]]=patch[[#This Row],[tmp-owner.email]], "author", _xlfn.IFNA(VLOOKUP(patch[[#This Row],[reviewer]],OrgTree!$A:$K, 11, 0), "not ICG SWFW"))</f>
        <v>BJ And dev</v>
      </c>
      <c r="T2658" s="7" t="str">
        <f>IF(ISBLANK(patch[[#This Row],[mergeDate]]), "", MID(YEAR(patch[[#This Row],[mergeDate]]), 3,2)&amp;"'ww"&amp;WEEKNUM(patch[[#This Row],[mergeDate]]))</f>
        <v>16'ww36</v>
      </c>
      <c r="U2658" s="7" t="str">
        <f>IF(ISBLANK(patch[[#This Row],[mergeDate]]), U2657, MID(YEAR(patch[[#This Row],[mergeDate]]), 3,2)&amp;"'m"&amp;MONTH(patch[[#This Row],[mergeDate]]))</f>
        <v>16'm9</v>
      </c>
      <c r="V2658" s="7" t="str">
        <f>IF(ISBLANK(patch[[#This Row],[project]]), "",SUM(patch[[#This Row],[BJ -1 num]:[SH -1 num]]))</f>
        <v/>
      </c>
      <c r="W2658" s="7" t="str">
        <f>IF(ISBLANK(patch[[#This Row],[project]]), "",COUNTIFS($A:$A,patch[[#This Row],[number]],$S:$S, "BJ And dev",$AC:$AC, "Review-1"))</f>
        <v/>
      </c>
      <c r="X2658" s="7" t="str">
        <f>IF(ISBLANK(patch[[#This Row],[project]]), "",COUNTIFS($A:$A,patch[[#This Row],[number]],$S:$S, "FL And dev",$AC:$AC, "Review-1"))</f>
        <v/>
      </c>
      <c r="Y2658" s="7" t="str">
        <f>IF(ISBLANK(patch[[#This Row],[project]]), "",COUNTIFS($A:$A,patch[[#This Row],[number]],$S:$S, "SH And dev",$AC:$AC, "Review-1"))</f>
        <v/>
      </c>
      <c r="Z2658" s="7" t="str">
        <f>IF(ISBLANK(patch[[#This Row],[project]]), "",COUNTIFS($A:$A,patch[[#This Row],[number]],$S:$S, "BJ And dev",$AD:$AD, "&lt;&gt;IntegratorValidationComment"))</f>
        <v/>
      </c>
      <c r="AA2658" s="7" t="str">
        <f>IF(ISBLANK(patch[[#This Row],[project]]), "",COUNTIFS($A:$A,patch[[#This Row],[number]],$S:$S, "FL And dev",$AD:$AD, "&lt;&gt;IntegratorValidationComment"))</f>
        <v/>
      </c>
      <c r="AB2658" s="7" t="str">
        <f>IF(ISBLANK(patch[[#This Row],[project]]), "",COUNTIFS($A:$A,patch[[#This Row],[number]],$S:$S, "SH And dev",$AD:$AD, "&lt;&gt;IntegratorValidationComment"))</f>
        <v/>
      </c>
      <c r="AC2658" s="7" t="str">
        <f>IF(OR(ISNUMBER(FIND("Review-1", patch[[#This Row],[comments]])), ISNUMBER(FIND("Approver-1", patch[[#This Row],[comments]]))), "Review-1", "")</f>
        <v/>
      </c>
      <c r="AD26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58" s="7">
        <f>IF(ISBLANK(patch[[#This Row],[number]]),AE2657,patch[[#This Row],[ifCommon]])</f>
        <v>0</v>
      </c>
    </row>
    <row r="2659" spans="1:31">
      <c r="A2659" s="151">
        <v>141664</v>
      </c>
      <c r="B2659" s="151"/>
      <c r="C2659" s="151"/>
      <c r="D2659" s="151"/>
      <c r="E2659" s="151"/>
      <c r="F2659" s="151"/>
      <c r="G2659" s="151"/>
      <c r="H2659" s="151"/>
      <c r="I2659" s="151"/>
      <c r="J2659" s="152">
        <v>42614.754907407398</v>
      </c>
      <c r="K2659" s="151"/>
      <c r="L2659" s="151" t="s">
        <v>59</v>
      </c>
      <c r="M2659" s="152">
        <v>42612.501597222217</v>
      </c>
      <c r="N2659" s="151" t="s">
        <v>3926</v>
      </c>
      <c r="O2659" s="151"/>
      <c r="P2659" s="151"/>
      <c r="Q2659" s="7" t="str">
        <f>IF(ISBLANK(patch[[#This Row],[OwnerEmail]]),Q2658,patch[[#This Row],[OwnerEmail]])</f>
        <v>zongx.li@intel.com</v>
      </c>
      <c r="R2659" s="7" t="str">
        <f>_xlfn.IFNA(VLOOKUP(patch[[#This Row],[tmp-owner.email]],OrgTree!$A:$K, 11, 0), "not ICG SWFW")</f>
        <v>BJ And dev</v>
      </c>
      <c r="S2659" s="7" t="str">
        <f>IF(patch[[#This Row],[reviewer]]=patch[[#This Row],[tmp-owner.email]], "author", _xlfn.IFNA(VLOOKUP(patch[[#This Row],[reviewer]],OrgTree!$A:$K, 11, 0), "not ICG SWFW"))</f>
        <v>BJ And dev</v>
      </c>
      <c r="T2659" s="7" t="str">
        <f>IF(ISBLANK(patch[[#This Row],[mergeDate]]), "", MID(YEAR(patch[[#This Row],[mergeDate]]), 3,2)&amp;"'ww"&amp;WEEKNUM(patch[[#This Row],[mergeDate]]))</f>
        <v>16'ww36</v>
      </c>
      <c r="U2659" s="7" t="str">
        <f>IF(ISBLANK(patch[[#This Row],[mergeDate]]), U2658, MID(YEAR(patch[[#This Row],[mergeDate]]), 3,2)&amp;"'m"&amp;MONTH(patch[[#This Row],[mergeDate]]))</f>
        <v>16'm9</v>
      </c>
      <c r="V2659" s="7" t="str">
        <f>IF(ISBLANK(patch[[#This Row],[project]]), "",SUM(patch[[#This Row],[BJ -1 num]:[SH -1 num]]))</f>
        <v/>
      </c>
      <c r="W2659" s="7" t="str">
        <f>IF(ISBLANK(patch[[#This Row],[project]]), "",COUNTIFS($A:$A,patch[[#This Row],[number]],$S:$S, "BJ And dev",$AC:$AC, "Review-1"))</f>
        <v/>
      </c>
      <c r="X2659" s="7" t="str">
        <f>IF(ISBLANK(patch[[#This Row],[project]]), "",COUNTIFS($A:$A,patch[[#This Row],[number]],$S:$S, "FL And dev",$AC:$AC, "Review-1"))</f>
        <v/>
      </c>
      <c r="Y2659" s="7" t="str">
        <f>IF(ISBLANK(patch[[#This Row],[project]]), "",COUNTIFS($A:$A,patch[[#This Row],[number]],$S:$S, "SH And dev",$AC:$AC, "Review-1"))</f>
        <v/>
      </c>
      <c r="Z2659" s="7" t="str">
        <f>IF(ISBLANK(patch[[#This Row],[project]]), "",COUNTIFS($A:$A,patch[[#This Row],[number]],$S:$S, "BJ And dev",$AD:$AD, "&lt;&gt;IntegratorValidationComment"))</f>
        <v/>
      </c>
      <c r="AA2659" s="7" t="str">
        <f>IF(ISBLANK(patch[[#This Row],[project]]), "",COUNTIFS($A:$A,patch[[#This Row],[number]],$S:$S, "FL And dev",$AD:$AD, "&lt;&gt;IntegratorValidationComment"))</f>
        <v/>
      </c>
      <c r="AB2659" s="7" t="str">
        <f>IF(ISBLANK(patch[[#This Row],[project]]), "",COUNTIFS($A:$A,patch[[#This Row],[number]],$S:$S, "SH And dev",$AD:$AD, "&lt;&gt;IntegratorValidationComment"))</f>
        <v/>
      </c>
      <c r="AC2659" s="7" t="str">
        <f>IF(OR(ISNUMBER(FIND("Review-1", patch[[#This Row],[comments]])), ISNUMBER(FIND("Approver-1", patch[[#This Row],[comments]]))), "Review-1", "")</f>
        <v/>
      </c>
      <c r="AD26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59" s="7">
        <f>IF(ISBLANK(patch[[#This Row],[number]]),AE2658,patch[[#This Row],[ifCommon]])</f>
        <v>0</v>
      </c>
    </row>
    <row r="2660" spans="1:31">
      <c r="A2660" s="151">
        <v>141664</v>
      </c>
      <c r="B2660" s="151"/>
      <c r="C2660" s="151"/>
      <c r="D2660" s="151"/>
      <c r="E2660" s="151"/>
      <c r="F2660" s="151"/>
      <c r="G2660" s="151"/>
      <c r="H2660" s="151"/>
      <c r="I2660" s="151"/>
      <c r="J2660" s="152">
        <v>42614.754907407398</v>
      </c>
      <c r="K2660" s="151"/>
      <c r="L2660" s="151" t="s">
        <v>59</v>
      </c>
      <c r="M2660" s="152">
        <v>42612.507430555554</v>
      </c>
      <c r="N2660" s="151" t="s">
        <v>3927</v>
      </c>
      <c r="O2660" s="151"/>
      <c r="P2660" s="151"/>
      <c r="Q2660" s="7" t="str">
        <f>IF(ISBLANK(patch[[#This Row],[OwnerEmail]]),Q2659,patch[[#This Row],[OwnerEmail]])</f>
        <v>zongx.li@intel.com</v>
      </c>
      <c r="R2660" s="7" t="str">
        <f>_xlfn.IFNA(VLOOKUP(patch[[#This Row],[tmp-owner.email]],OrgTree!$A:$K, 11, 0), "not ICG SWFW")</f>
        <v>BJ And dev</v>
      </c>
      <c r="S2660" s="7" t="str">
        <f>IF(patch[[#This Row],[reviewer]]=patch[[#This Row],[tmp-owner.email]], "author", _xlfn.IFNA(VLOOKUP(patch[[#This Row],[reviewer]],OrgTree!$A:$K, 11, 0), "not ICG SWFW"))</f>
        <v>BJ And dev</v>
      </c>
      <c r="T2660" s="7" t="str">
        <f>IF(ISBLANK(patch[[#This Row],[mergeDate]]), "", MID(YEAR(patch[[#This Row],[mergeDate]]), 3,2)&amp;"'ww"&amp;WEEKNUM(patch[[#This Row],[mergeDate]]))</f>
        <v>16'ww36</v>
      </c>
      <c r="U2660" s="7" t="str">
        <f>IF(ISBLANK(patch[[#This Row],[mergeDate]]), U2659, MID(YEAR(patch[[#This Row],[mergeDate]]), 3,2)&amp;"'m"&amp;MONTH(patch[[#This Row],[mergeDate]]))</f>
        <v>16'm9</v>
      </c>
      <c r="V2660" s="7" t="str">
        <f>IF(ISBLANK(patch[[#This Row],[project]]), "",SUM(patch[[#This Row],[BJ -1 num]:[SH -1 num]]))</f>
        <v/>
      </c>
      <c r="W2660" s="7" t="str">
        <f>IF(ISBLANK(patch[[#This Row],[project]]), "",COUNTIFS($A:$A,patch[[#This Row],[number]],$S:$S, "BJ And dev",$AC:$AC, "Review-1"))</f>
        <v/>
      </c>
      <c r="X2660" s="7" t="str">
        <f>IF(ISBLANK(patch[[#This Row],[project]]), "",COUNTIFS($A:$A,patch[[#This Row],[number]],$S:$S, "FL And dev",$AC:$AC, "Review-1"))</f>
        <v/>
      </c>
      <c r="Y2660" s="7" t="str">
        <f>IF(ISBLANK(patch[[#This Row],[project]]), "",COUNTIFS($A:$A,patch[[#This Row],[number]],$S:$S, "SH And dev",$AC:$AC, "Review-1"))</f>
        <v/>
      </c>
      <c r="Z2660" s="7" t="str">
        <f>IF(ISBLANK(patch[[#This Row],[project]]), "",COUNTIFS($A:$A,patch[[#This Row],[number]],$S:$S, "BJ And dev",$AD:$AD, "&lt;&gt;IntegratorValidationComment"))</f>
        <v/>
      </c>
      <c r="AA2660" s="7" t="str">
        <f>IF(ISBLANK(patch[[#This Row],[project]]), "",COUNTIFS($A:$A,patch[[#This Row],[number]],$S:$S, "FL And dev",$AD:$AD, "&lt;&gt;IntegratorValidationComment"))</f>
        <v/>
      </c>
      <c r="AB2660" s="7" t="str">
        <f>IF(ISBLANK(patch[[#This Row],[project]]), "",COUNTIFS($A:$A,patch[[#This Row],[number]],$S:$S, "SH And dev",$AD:$AD, "&lt;&gt;IntegratorValidationComment"))</f>
        <v/>
      </c>
      <c r="AC2660" s="7" t="str">
        <f>IF(OR(ISNUMBER(FIND("Review-1", patch[[#This Row],[comments]])), ISNUMBER(FIND("Approver-1", patch[[#This Row],[comments]]))), "Review-1", "")</f>
        <v/>
      </c>
      <c r="AD26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60" s="7">
        <f>IF(ISBLANK(patch[[#This Row],[number]]),AE2659,patch[[#This Row],[ifCommon]])</f>
        <v>0</v>
      </c>
    </row>
    <row r="2661" spans="1:31">
      <c r="A2661" s="151">
        <v>141664</v>
      </c>
      <c r="B2661" s="151"/>
      <c r="C2661" s="151"/>
      <c r="D2661" s="151"/>
      <c r="E2661" s="151"/>
      <c r="F2661" s="151"/>
      <c r="G2661" s="151"/>
      <c r="H2661" s="151"/>
      <c r="I2661" s="151"/>
      <c r="J2661" s="152">
        <v>42614.754907407398</v>
      </c>
      <c r="K2661" s="151"/>
      <c r="L2661" s="151" t="s">
        <v>63</v>
      </c>
      <c r="M2661" s="152">
        <v>42612.514907407407</v>
      </c>
      <c r="N2661" s="151" t="s">
        <v>1849</v>
      </c>
      <c r="O2661" s="151"/>
      <c r="P2661" s="151"/>
      <c r="Q2661" s="7" t="str">
        <f>IF(ISBLANK(patch[[#This Row],[OwnerEmail]]),Q2660,patch[[#This Row],[OwnerEmail]])</f>
        <v>zongx.li@intel.com</v>
      </c>
      <c r="R2661" s="7" t="str">
        <f>_xlfn.IFNA(VLOOKUP(patch[[#This Row],[tmp-owner.email]],OrgTree!$A:$K, 11, 0), "not ICG SWFW")</f>
        <v>BJ And dev</v>
      </c>
      <c r="S2661" s="7" t="str">
        <f>IF(patch[[#This Row],[reviewer]]=patch[[#This Row],[tmp-owner.email]], "author", _xlfn.IFNA(VLOOKUP(patch[[#This Row],[reviewer]],OrgTree!$A:$K, 11, 0), "not ICG SWFW"))</f>
        <v>author</v>
      </c>
      <c r="T2661" s="7" t="str">
        <f>IF(ISBLANK(patch[[#This Row],[mergeDate]]), "", MID(YEAR(patch[[#This Row],[mergeDate]]), 3,2)&amp;"'ww"&amp;WEEKNUM(patch[[#This Row],[mergeDate]]))</f>
        <v>16'ww36</v>
      </c>
      <c r="U2661" s="7" t="str">
        <f>IF(ISBLANK(patch[[#This Row],[mergeDate]]), U2660, MID(YEAR(patch[[#This Row],[mergeDate]]), 3,2)&amp;"'m"&amp;MONTH(patch[[#This Row],[mergeDate]]))</f>
        <v>16'm9</v>
      </c>
      <c r="V2661" s="7" t="str">
        <f>IF(ISBLANK(patch[[#This Row],[project]]), "",SUM(patch[[#This Row],[BJ -1 num]:[SH -1 num]]))</f>
        <v/>
      </c>
      <c r="W2661" s="7" t="str">
        <f>IF(ISBLANK(patch[[#This Row],[project]]), "",COUNTIFS($A:$A,patch[[#This Row],[number]],$S:$S, "BJ And dev",$AC:$AC, "Review-1"))</f>
        <v/>
      </c>
      <c r="X2661" s="7" t="str">
        <f>IF(ISBLANK(patch[[#This Row],[project]]), "",COUNTIFS($A:$A,patch[[#This Row],[number]],$S:$S, "FL And dev",$AC:$AC, "Review-1"))</f>
        <v/>
      </c>
      <c r="Y2661" s="7" t="str">
        <f>IF(ISBLANK(patch[[#This Row],[project]]), "",COUNTIFS($A:$A,patch[[#This Row],[number]],$S:$S, "SH And dev",$AC:$AC, "Review-1"))</f>
        <v/>
      </c>
      <c r="Z2661" s="7" t="str">
        <f>IF(ISBLANK(patch[[#This Row],[project]]), "",COUNTIFS($A:$A,patch[[#This Row],[number]],$S:$S, "BJ And dev",$AD:$AD, "&lt;&gt;IntegratorValidationComment"))</f>
        <v/>
      </c>
      <c r="AA2661" s="7" t="str">
        <f>IF(ISBLANK(patch[[#This Row],[project]]), "",COUNTIFS($A:$A,patch[[#This Row],[number]],$S:$S, "FL And dev",$AD:$AD, "&lt;&gt;IntegratorValidationComment"))</f>
        <v/>
      </c>
      <c r="AB2661" s="7" t="str">
        <f>IF(ISBLANK(patch[[#This Row],[project]]), "",COUNTIFS($A:$A,patch[[#This Row],[number]],$S:$S, "SH And dev",$AD:$AD, "&lt;&gt;IntegratorValidationComment"))</f>
        <v/>
      </c>
      <c r="AC2661" s="7" t="str">
        <f>IF(OR(ISNUMBER(FIND("Review-1", patch[[#This Row],[comments]])), ISNUMBER(FIND("Approver-1", patch[[#This Row],[comments]]))), "Review-1", "")</f>
        <v/>
      </c>
      <c r="AD26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61" s="7">
        <f>IF(ISBLANK(patch[[#This Row],[number]]),AE2660,patch[[#This Row],[ifCommon]])</f>
        <v>0</v>
      </c>
    </row>
    <row r="2662" spans="1:31">
      <c r="A2662" s="151">
        <v>141664</v>
      </c>
      <c r="B2662" s="151"/>
      <c r="C2662" s="151"/>
      <c r="D2662" s="151"/>
      <c r="E2662" s="151"/>
      <c r="F2662" s="151"/>
      <c r="G2662" s="151"/>
      <c r="H2662" s="151"/>
      <c r="I2662" s="151"/>
      <c r="J2662" s="152">
        <v>42614.754907407398</v>
      </c>
      <c r="K2662" s="151"/>
      <c r="L2662" s="151" t="s">
        <v>32</v>
      </c>
      <c r="M2662" s="152">
        <v>42612.515428240738</v>
      </c>
      <c r="N2662" s="151" t="s">
        <v>2502</v>
      </c>
      <c r="O2662" s="151"/>
      <c r="P2662" s="151"/>
      <c r="Q2662" s="7" t="str">
        <f>IF(ISBLANK(patch[[#This Row],[OwnerEmail]]),Q2661,patch[[#This Row],[OwnerEmail]])</f>
        <v>zongx.li@intel.com</v>
      </c>
      <c r="R2662" s="7" t="str">
        <f>_xlfn.IFNA(VLOOKUP(patch[[#This Row],[tmp-owner.email]],OrgTree!$A:$K, 11, 0), "not ICG SWFW")</f>
        <v>BJ And dev</v>
      </c>
      <c r="S2662" s="7" t="str">
        <f>IF(patch[[#This Row],[reviewer]]=patch[[#This Row],[tmp-owner.email]], "author", _xlfn.IFNA(VLOOKUP(patch[[#This Row],[reviewer]],OrgTree!$A:$K, 11, 0), "not ICG SWFW"))</f>
        <v>BJ And dev</v>
      </c>
      <c r="T2662" s="7" t="str">
        <f>IF(ISBLANK(patch[[#This Row],[mergeDate]]), "", MID(YEAR(patch[[#This Row],[mergeDate]]), 3,2)&amp;"'ww"&amp;WEEKNUM(patch[[#This Row],[mergeDate]]))</f>
        <v>16'ww36</v>
      </c>
      <c r="U2662" s="7" t="str">
        <f>IF(ISBLANK(patch[[#This Row],[mergeDate]]), U2661, MID(YEAR(patch[[#This Row],[mergeDate]]), 3,2)&amp;"'m"&amp;MONTH(patch[[#This Row],[mergeDate]]))</f>
        <v>16'm9</v>
      </c>
      <c r="V2662" s="7" t="str">
        <f>IF(ISBLANK(patch[[#This Row],[project]]), "",SUM(patch[[#This Row],[BJ -1 num]:[SH -1 num]]))</f>
        <v/>
      </c>
      <c r="W2662" s="7" t="str">
        <f>IF(ISBLANK(patch[[#This Row],[project]]), "",COUNTIFS($A:$A,patch[[#This Row],[number]],$S:$S, "BJ And dev",$AC:$AC, "Review-1"))</f>
        <v/>
      </c>
      <c r="X2662" s="7" t="str">
        <f>IF(ISBLANK(patch[[#This Row],[project]]), "",COUNTIFS($A:$A,patch[[#This Row],[number]],$S:$S, "FL And dev",$AC:$AC, "Review-1"))</f>
        <v/>
      </c>
      <c r="Y2662" s="7" t="str">
        <f>IF(ISBLANK(patch[[#This Row],[project]]), "",COUNTIFS($A:$A,patch[[#This Row],[number]],$S:$S, "SH And dev",$AC:$AC, "Review-1"))</f>
        <v/>
      </c>
      <c r="Z2662" s="7" t="str">
        <f>IF(ISBLANK(patch[[#This Row],[project]]), "",COUNTIFS($A:$A,patch[[#This Row],[number]],$S:$S, "BJ And dev",$AD:$AD, "&lt;&gt;IntegratorValidationComment"))</f>
        <v/>
      </c>
      <c r="AA2662" s="7" t="str">
        <f>IF(ISBLANK(patch[[#This Row],[project]]), "",COUNTIFS($A:$A,patch[[#This Row],[number]],$S:$S, "FL And dev",$AD:$AD, "&lt;&gt;IntegratorValidationComment"))</f>
        <v/>
      </c>
      <c r="AB2662" s="7" t="str">
        <f>IF(ISBLANK(patch[[#This Row],[project]]), "",COUNTIFS($A:$A,patch[[#This Row],[number]],$S:$S, "SH And dev",$AD:$AD, "&lt;&gt;IntegratorValidationComment"))</f>
        <v/>
      </c>
      <c r="AC2662" s="7" t="str">
        <f>IF(OR(ISNUMBER(FIND("Review-1", patch[[#This Row],[comments]])), ISNUMBER(FIND("Approver-1", patch[[#This Row],[comments]]))), "Review-1", "")</f>
        <v/>
      </c>
      <c r="AD26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62" s="7">
        <f>IF(ISBLANK(patch[[#This Row],[number]]),AE2661,patch[[#This Row],[ifCommon]])</f>
        <v>0</v>
      </c>
    </row>
    <row r="2663" spans="1:31">
      <c r="A2663" s="151">
        <v>141664</v>
      </c>
      <c r="B2663" s="151"/>
      <c r="C2663" s="151"/>
      <c r="D2663" s="151"/>
      <c r="E2663" s="151"/>
      <c r="F2663" s="151"/>
      <c r="G2663" s="151"/>
      <c r="H2663" s="151"/>
      <c r="I2663" s="151"/>
      <c r="J2663" s="152">
        <v>42614.754907407398</v>
      </c>
      <c r="K2663" s="151"/>
      <c r="L2663" s="151" t="s">
        <v>115</v>
      </c>
      <c r="M2663" s="152">
        <v>42612.580868055556</v>
      </c>
      <c r="N2663" s="151" t="s">
        <v>2503</v>
      </c>
      <c r="O2663" s="151"/>
      <c r="P2663" s="151"/>
      <c r="Q2663" s="7" t="str">
        <f>IF(ISBLANK(patch[[#This Row],[OwnerEmail]]),Q2662,patch[[#This Row],[OwnerEmail]])</f>
        <v>zongx.li@intel.com</v>
      </c>
      <c r="R2663" s="7" t="str">
        <f>_xlfn.IFNA(VLOOKUP(patch[[#This Row],[tmp-owner.email]],OrgTree!$A:$K, 11, 0), "not ICG SWFW")</f>
        <v>BJ And dev</v>
      </c>
      <c r="S2663" s="7" t="str">
        <f>IF(patch[[#This Row],[reviewer]]=patch[[#This Row],[tmp-owner.email]], "author", _xlfn.IFNA(VLOOKUP(patch[[#This Row],[reviewer]],OrgTree!$A:$K, 11, 0), "not ICG SWFW"))</f>
        <v>Val</v>
      </c>
      <c r="T2663" s="7" t="str">
        <f>IF(ISBLANK(patch[[#This Row],[mergeDate]]), "", MID(YEAR(patch[[#This Row],[mergeDate]]), 3,2)&amp;"'ww"&amp;WEEKNUM(patch[[#This Row],[mergeDate]]))</f>
        <v>16'ww36</v>
      </c>
      <c r="U2663" s="7" t="str">
        <f>IF(ISBLANK(patch[[#This Row],[mergeDate]]), U2662, MID(YEAR(patch[[#This Row],[mergeDate]]), 3,2)&amp;"'m"&amp;MONTH(patch[[#This Row],[mergeDate]]))</f>
        <v>16'm9</v>
      </c>
      <c r="V2663" s="7" t="str">
        <f>IF(ISBLANK(patch[[#This Row],[project]]), "",SUM(patch[[#This Row],[BJ -1 num]:[SH -1 num]]))</f>
        <v/>
      </c>
      <c r="W2663" s="7" t="str">
        <f>IF(ISBLANK(patch[[#This Row],[project]]), "",COUNTIFS($A:$A,patch[[#This Row],[number]],$S:$S, "BJ And dev",$AC:$AC, "Review-1"))</f>
        <v/>
      </c>
      <c r="X2663" s="7" t="str">
        <f>IF(ISBLANK(patch[[#This Row],[project]]), "",COUNTIFS($A:$A,patch[[#This Row],[number]],$S:$S, "FL And dev",$AC:$AC, "Review-1"))</f>
        <v/>
      </c>
      <c r="Y2663" s="7" t="str">
        <f>IF(ISBLANK(patch[[#This Row],[project]]), "",COUNTIFS($A:$A,patch[[#This Row],[number]],$S:$S, "SH And dev",$AC:$AC, "Review-1"))</f>
        <v/>
      </c>
      <c r="Z2663" s="7" t="str">
        <f>IF(ISBLANK(patch[[#This Row],[project]]), "",COUNTIFS($A:$A,patch[[#This Row],[number]],$S:$S, "BJ And dev",$AD:$AD, "&lt;&gt;IntegratorValidationComment"))</f>
        <v/>
      </c>
      <c r="AA2663" s="7" t="str">
        <f>IF(ISBLANK(patch[[#This Row],[project]]), "",COUNTIFS($A:$A,patch[[#This Row],[number]],$S:$S, "FL And dev",$AD:$AD, "&lt;&gt;IntegratorValidationComment"))</f>
        <v/>
      </c>
      <c r="AB2663" s="7" t="str">
        <f>IF(ISBLANK(patch[[#This Row],[project]]), "",COUNTIFS($A:$A,patch[[#This Row],[number]],$S:$S, "SH And dev",$AD:$AD, "&lt;&gt;IntegratorValidationComment"))</f>
        <v/>
      </c>
      <c r="AC2663" s="7" t="str">
        <f>IF(OR(ISNUMBER(FIND("Review-1", patch[[#This Row],[comments]])), ISNUMBER(FIND("Approver-1", patch[[#This Row],[comments]]))), "Review-1", "")</f>
        <v/>
      </c>
      <c r="AD26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663" s="7">
        <f>IF(ISBLANK(patch[[#This Row],[number]]),AE2662,patch[[#This Row],[ifCommon]])</f>
        <v>0</v>
      </c>
    </row>
    <row r="2664" spans="1:31">
      <c r="A2664" s="151">
        <v>141664</v>
      </c>
      <c r="B2664" s="151"/>
      <c r="C2664" s="151"/>
      <c r="D2664" s="151"/>
      <c r="E2664" s="151"/>
      <c r="F2664" s="151"/>
      <c r="G2664" s="151"/>
      <c r="H2664" s="151"/>
      <c r="I2664" s="151"/>
      <c r="J2664" s="152">
        <v>42614.754907407398</v>
      </c>
      <c r="K2664" s="151"/>
      <c r="L2664" s="151" t="s">
        <v>115</v>
      </c>
      <c r="M2664" s="152">
        <v>42612.882534722223</v>
      </c>
      <c r="N2664" s="151" t="s">
        <v>3928</v>
      </c>
      <c r="O2664" s="151"/>
      <c r="P2664" s="151"/>
      <c r="Q2664" s="7" t="str">
        <f>IF(ISBLANK(patch[[#This Row],[OwnerEmail]]),Q2663,patch[[#This Row],[OwnerEmail]])</f>
        <v>zongx.li@intel.com</v>
      </c>
      <c r="R2664" s="7" t="str">
        <f>_xlfn.IFNA(VLOOKUP(patch[[#This Row],[tmp-owner.email]],OrgTree!$A:$K, 11, 0), "not ICG SWFW")</f>
        <v>BJ And dev</v>
      </c>
      <c r="S2664" s="7" t="str">
        <f>IF(patch[[#This Row],[reviewer]]=patch[[#This Row],[tmp-owner.email]], "author", _xlfn.IFNA(VLOOKUP(patch[[#This Row],[reviewer]],OrgTree!$A:$K, 11, 0), "not ICG SWFW"))</f>
        <v>Val</v>
      </c>
      <c r="T2664" s="7" t="str">
        <f>IF(ISBLANK(patch[[#This Row],[mergeDate]]), "", MID(YEAR(patch[[#This Row],[mergeDate]]), 3,2)&amp;"'ww"&amp;WEEKNUM(patch[[#This Row],[mergeDate]]))</f>
        <v>16'ww36</v>
      </c>
      <c r="U2664" s="7" t="str">
        <f>IF(ISBLANK(patch[[#This Row],[mergeDate]]), U2663, MID(YEAR(patch[[#This Row],[mergeDate]]), 3,2)&amp;"'m"&amp;MONTH(patch[[#This Row],[mergeDate]]))</f>
        <v>16'm9</v>
      </c>
      <c r="V2664" s="7" t="str">
        <f>IF(ISBLANK(patch[[#This Row],[project]]), "",SUM(patch[[#This Row],[BJ -1 num]:[SH -1 num]]))</f>
        <v/>
      </c>
      <c r="W2664" s="7" t="str">
        <f>IF(ISBLANK(patch[[#This Row],[project]]), "",COUNTIFS($A:$A,patch[[#This Row],[number]],$S:$S, "BJ And dev",$AC:$AC, "Review-1"))</f>
        <v/>
      </c>
      <c r="X2664" s="7" t="str">
        <f>IF(ISBLANK(patch[[#This Row],[project]]), "",COUNTIFS($A:$A,patch[[#This Row],[number]],$S:$S, "FL And dev",$AC:$AC, "Review-1"))</f>
        <v/>
      </c>
      <c r="Y2664" s="7" t="str">
        <f>IF(ISBLANK(patch[[#This Row],[project]]), "",COUNTIFS($A:$A,patch[[#This Row],[number]],$S:$S, "SH And dev",$AC:$AC, "Review-1"))</f>
        <v/>
      </c>
      <c r="Z2664" s="7" t="str">
        <f>IF(ISBLANK(patch[[#This Row],[project]]), "",COUNTIFS($A:$A,patch[[#This Row],[number]],$S:$S, "BJ And dev",$AD:$AD, "&lt;&gt;IntegratorValidationComment"))</f>
        <v/>
      </c>
      <c r="AA2664" s="7" t="str">
        <f>IF(ISBLANK(patch[[#This Row],[project]]), "",COUNTIFS($A:$A,patch[[#This Row],[number]],$S:$S, "FL And dev",$AD:$AD, "&lt;&gt;IntegratorValidationComment"))</f>
        <v/>
      </c>
      <c r="AB2664" s="7" t="str">
        <f>IF(ISBLANK(patch[[#This Row],[project]]), "",COUNTIFS($A:$A,patch[[#This Row],[number]],$S:$S, "SH And dev",$AD:$AD, "&lt;&gt;IntegratorValidationComment"))</f>
        <v/>
      </c>
      <c r="AC2664" s="7" t="str">
        <f>IF(OR(ISNUMBER(FIND("Review-1", patch[[#This Row],[comments]])), ISNUMBER(FIND("Approver-1", patch[[#This Row],[comments]]))), "Review-1", "")</f>
        <v/>
      </c>
      <c r="AD26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664" s="7">
        <f>IF(ISBLANK(patch[[#This Row],[number]]),AE2663,patch[[#This Row],[ifCommon]])</f>
        <v>0</v>
      </c>
    </row>
    <row r="2665" spans="1:31">
      <c r="A2665" s="151">
        <v>141664</v>
      </c>
      <c r="B2665" s="151"/>
      <c r="C2665" s="151"/>
      <c r="D2665" s="151"/>
      <c r="E2665" s="151"/>
      <c r="F2665" s="151"/>
      <c r="G2665" s="151"/>
      <c r="H2665" s="151"/>
      <c r="I2665" s="151"/>
      <c r="J2665" s="152">
        <v>42614.754907407398</v>
      </c>
      <c r="K2665" s="151"/>
      <c r="L2665" s="151" t="s">
        <v>59</v>
      </c>
      <c r="M2665" s="152">
        <v>42613.452418981477</v>
      </c>
      <c r="N2665" s="151" t="s">
        <v>3929</v>
      </c>
      <c r="O2665" s="151"/>
      <c r="P2665" s="151"/>
      <c r="Q2665" s="7" t="str">
        <f>IF(ISBLANK(patch[[#This Row],[OwnerEmail]]),Q2664,patch[[#This Row],[OwnerEmail]])</f>
        <v>zongx.li@intel.com</v>
      </c>
      <c r="R2665" s="7" t="str">
        <f>_xlfn.IFNA(VLOOKUP(patch[[#This Row],[tmp-owner.email]],OrgTree!$A:$K, 11, 0), "not ICG SWFW")</f>
        <v>BJ And dev</v>
      </c>
      <c r="S2665" s="7" t="str">
        <f>IF(patch[[#This Row],[reviewer]]=patch[[#This Row],[tmp-owner.email]], "author", _xlfn.IFNA(VLOOKUP(patch[[#This Row],[reviewer]],OrgTree!$A:$K, 11, 0), "not ICG SWFW"))</f>
        <v>BJ And dev</v>
      </c>
      <c r="T2665" s="7" t="str">
        <f>IF(ISBLANK(patch[[#This Row],[mergeDate]]), "", MID(YEAR(patch[[#This Row],[mergeDate]]), 3,2)&amp;"'ww"&amp;WEEKNUM(patch[[#This Row],[mergeDate]]))</f>
        <v>16'ww36</v>
      </c>
      <c r="U2665" s="7" t="str">
        <f>IF(ISBLANK(patch[[#This Row],[mergeDate]]), U2664, MID(YEAR(patch[[#This Row],[mergeDate]]), 3,2)&amp;"'m"&amp;MONTH(patch[[#This Row],[mergeDate]]))</f>
        <v>16'm9</v>
      </c>
      <c r="V2665" s="7" t="str">
        <f>IF(ISBLANK(patch[[#This Row],[project]]), "",SUM(patch[[#This Row],[BJ -1 num]:[SH -1 num]]))</f>
        <v/>
      </c>
      <c r="W2665" s="7" t="str">
        <f>IF(ISBLANK(patch[[#This Row],[project]]), "",COUNTIFS($A:$A,patch[[#This Row],[number]],$S:$S, "BJ And dev",$AC:$AC, "Review-1"))</f>
        <v/>
      </c>
      <c r="X2665" s="7" t="str">
        <f>IF(ISBLANK(patch[[#This Row],[project]]), "",COUNTIFS($A:$A,patch[[#This Row],[number]],$S:$S, "FL And dev",$AC:$AC, "Review-1"))</f>
        <v/>
      </c>
      <c r="Y2665" s="7" t="str">
        <f>IF(ISBLANK(patch[[#This Row],[project]]), "",COUNTIFS($A:$A,patch[[#This Row],[number]],$S:$S, "SH And dev",$AC:$AC, "Review-1"))</f>
        <v/>
      </c>
      <c r="Z2665" s="7" t="str">
        <f>IF(ISBLANK(patch[[#This Row],[project]]), "",COUNTIFS($A:$A,patch[[#This Row],[number]],$S:$S, "BJ And dev",$AD:$AD, "&lt;&gt;IntegratorValidationComment"))</f>
        <v/>
      </c>
      <c r="AA2665" s="7" t="str">
        <f>IF(ISBLANK(patch[[#This Row],[project]]), "",COUNTIFS($A:$A,patch[[#This Row],[number]],$S:$S, "FL And dev",$AD:$AD, "&lt;&gt;IntegratorValidationComment"))</f>
        <v/>
      </c>
      <c r="AB2665" s="7" t="str">
        <f>IF(ISBLANK(patch[[#This Row],[project]]), "",COUNTIFS($A:$A,patch[[#This Row],[number]],$S:$S, "SH And dev",$AD:$AD, "&lt;&gt;IntegratorValidationComment"))</f>
        <v/>
      </c>
      <c r="AC2665" s="7" t="str">
        <f>IF(OR(ISNUMBER(FIND("Review-1", patch[[#This Row],[comments]])), ISNUMBER(FIND("Approver-1", patch[[#This Row],[comments]]))), "Review-1", "")</f>
        <v/>
      </c>
      <c r="AD26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65" s="7">
        <f>IF(ISBLANK(patch[[#This Row],[number]]),AE2664,patch[[#This Row],[ifCommon]])</f>
        <v>0</v>
      </c>
    </row>
    <row r="2666" spans="1:31">
      <c r="A2666" s="151">
        <v>141664</v>
      </c>
      <c r="B2666" s="151"/>
      <c r="C2666" s="151"/>
      <c r="D2666" s="151"/>
      <c r="E2666" s="151"/>
      <c r="F2666" s="151"/>
      <c r="G2666" s="151"/>
      <c r="H2666" s="151"/>
      <c r="I2666" s="151"/>
      <c r="J2666" s="152">
        <v>42614.754907407398</v>
      </c>
      <c r="K2666" s="151"/>
      <c r="L2666" s="151" t="s">
        <v>59</v>
      </c>
      <c r="M2666" s="152">
        <v>42613.756006944437</v>
      </c>
      <c r="N2666" s="151" t="s">
        <v>3930</v>
      </c>
      <c r="O2666" s="151"/>
      <c r="P2666" s="151"/>
      <c r="Q2666" s="7" t="str">
        <f>IF(ISBLANK(patch[[#This Row],[OwnerEmail]]),Q2665,patch[[#This Row],[OwnerEmail]])</f>
        <v>zongx.li@intel.com</v>
      </c>
      <c r="R2666" s="7" t="str">
        <f>_xlfn.IFNA(VLOOKUP(patch[[#This Row],[tmp-owner.email]],OrgTree!$A:$K, 11, 0), "not ICG SWFW")</f>
        <v>BJ And dev</v>
      </c>
      <c r="S2666" s="7" t="str">
        <f>IF(patch[[#This Row],[reviewer]]=patch[[#This Row],[tmp-owner.email]], "author", _xlfn.IFNA(VLOOKUP(patch[[#This Row],[reviewer]],OrgTree!$A:$K, 11, 0), "not ICG SWFW"))</f>
        <v>BJ And dev</v>
      </c>
      <c r="T2666" s="7" t="str">
        <f>IF(ISBLANK(patch[[#This Row],[mergeDate]]), "", MID(YEAR(patch[[#This Row],[mergeDate]]), 3,2)&amp;"'ww"&amp;WEEKNUM(patch[[#This Row],[mergeDate]]))</f>
        <v>16'ww36</v>
      </c>
      <c r="U2666" s="7" t="str">
        <f>IF(ISBLANK(patch[[#This Row],[mergeDate]]), U2665, MID(YEAR(patch[[#This Row],[mergeDate]]), 3,2)&amp;"'m"&amp;MONTH(patch[[#This Row],[mergeDate]]))</f>
        <v>16'm9</v>
      </c>
      <c r="V2666" s="7" t="str">
        <f>IF(ISBLANK(patch[[#This Row],[project]]), "",SUM(patch[[#This Row],[BJ -1 num]:[SH -1 num]]))</f>
        <v/>
      </c>
      <c r="W2666" s="7" t="str">
        <f>IF(ISBLANK(patch[[#This Row],[project]]), "",COUNTIFS($A:$A,patch[[#This Row],[number]],$S:$S, "BJ And dev",$AC:$AC, "Review-1"))</f>
        <v/>
      </c>
      <c r="X2666" s="7" t="str">
        <f>IF(ISBLANK(patch[[#This Row],[project]]), "",COUNTIFS($A:$A,patch[[#This Row],[number]],$S:$S, "FL And dev",$AC:$AC, "Review-1"))</f>
        <v/>
      </c>
      <c r="Y2666" s="7" t="str">
        <f>IF(ISBLANK(patch[[#This Row],[project]]), "",COUNTIFS($A:$A,patch[[#This Row],[number]],$S:$S, "SH And dev",$AC:$AC, "Review-1"))</f>
        <v/>
      </c>
      <c r="Z2666" s="7" t="str">
        <f>IF(ISBLANK(patch[[#This Row],[project]]), "",COUNTIFS($A:$A,patch[[#This Row],[number]],$S:$S, "BJ And dev",$AD:$AD, "&lt;&gt;IntegratorValidationComment"))</f>
        <v/>
      </c>
      <c r="AA2666" s="7" t="str">
        <f>IF(ISBLANK(patch[[#This Row],[project]]), "",COUNTIFS($A:$A,patch[[#This Row],[number]],$S:$S, "FL And dev",$AD:$AD, "&lt;&gt;IntegratorValidationComment"))</f>
        <v/>
      </c>
      <c r="AB2666" s="7" t="str">
        <f>IF(ISBLANK(patch[[#This Row],[project]]), "",COUNTIFS($A:$A,patch[[#This Row],[number]],$S:$S, "SH And dev",$AD:$AD, "&lt;&gt;IntegratorValidationComment"))</f>
        <v/>
      </c>
      <c r="AC2666" s="7" t="str">
        <f>IF(OR(ISNUMBER(FIND("Review-1", patch[[#This Row],[comments]])), ISNUMBER(FIND("Approver-1", patch[[#This Row],[comments]]))), "Review-1", "")</f>
        <v/>
      </c>
      <c r="AD26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66" s="7">
        <f>IF(ISBLANK(patch[[#This Row],[number]]),AE2665,patch[[#This Row],[ifCommon]])</f>
        <v>0</v>
      </c>
    </row>
    <row r="2667" spans="1:31">
      <c r="A2667" s="151">
        <v>141664</v>
      </c>
      <c r="B2667" s="151"/>
      <c r="C2667" s="151"/>
      <c r="D2667" s="151"/>
      <c r="E2667" s="151"/>
      <c r="F2667" s="151"/>
      <c r="G2667" s="151"/>
      <c r="H2667" s="151"/>
      <c r="I2667" s="151"/>
      <c r="J2667" s="152">
        <v>42614.754907407398</v>
      </c>
      <c r="K2667" s="151"/>
      <c r="L2667" s="151" t="s">
        <v>115</v>
      </c>
      <c r="M2667" s="152">
        <v>42614.418541666673</v>
      </c>
      <c r="N2667" s="151" t="s">
        <v>2561</v>
      </c>
      <c r="O2667" s="151"/>
      <c r="P2667" s="151"/>
      <c r="Q2667" s="7" t="str">
        <f>IF(ISBLANK(patch[[#This Row],[OwnerEmail]]),Q2666,patch[[#This Row],[OwnerEmail]])</f>
        <v>zongx.li@intel.com</v>
      </c>
      <c r="R2667" s="7" t="str">
        <f>_xlfn.IFNA(VLOOKUP(patch[[#This Row],[tmp-owner.email]],OrgTree!$A:$K, 11, 0), "not ICG SWFW")</f>
        <v>BJ And dev</v>
      </c>
      <c r="S2667" s="7" t="str">
        <f>IF(patch[[#This Row],[reviewer]]=patch[[#This Row],[tmp-owner.email]], "author", _xlfn.IFNA(VLOOKUP(patch[[#This Row],[reviewer]],OrgTree!$A:$K, 11, 0), "not ICG SWFW"))</f>
        <v>Val</v>
      </c>
      <c r="T2667" s="7" t="str">
        <f>IF(ISBLANK(patch[[#This Row],[mergeDate]]), "", MID(YEAR(patch[[#This Row],[mergeDate]]), 3,2)&amp;"'ww"&amp;WEEKNUM(patch[[#This Row],[mergeDate]]))</f>
        <v>16'ww36</v>
      </c>
      <c r="U2667" s="7" t="str">
        <f>IF(ISBLANK(patch[[#This Row],[mergeDate]]), U2666, MID(YEAR(patch[[#This Row],[mergeDate]]), 3,2)&amp;"'m"&amp;MONTH(patch[[#This Row],[mergeDate]]))</f>
        <v>16'm9</v>
      </c>
      <c r="V2667" s="7" t="str">
        <f>IF(ISBLANK(patch[[#This Row],[project]]), "",SUM(patch[[#This Row],[BJ -1 num]:[SH -1 num]]))</f>
        <v/>
      </c>
      <c r="W2667" s="7" t="str">
        <f>IF(ISBLANK(patch[[#This Row],[project]]), "",COUNTIFS($A:$A,patch[[#This Row],[number]],$S:$S, "BJ And dev",$AC:$AC, "Review-1"))</f>
        <v/>
      </c>
      <c r="X2667" s="7" t="str">
        <f>IF(ISBLANK(patch[[#This Row],[project]]), "",COUNTIFS($A:$A,patch[[#This Row],[number]],$S:$S, "FL And dev",$AC:$AC, "Review-1"))</f>
        <v/>
      </c>
      <c r="Y2667" s="7" t="str">
        <f>IF(ISBLANK(patch[[#This Row],[project]]), "",COUNTIFS($A:$A,patch[[#This Row],[number]],$S:$S, "SH And dev",$AC:$AC, "Review-1"))</f>
        <v/>
      </c>
      <c r="Z2667" s="7" t="str">
        <f>IF(ISBLANK(patch[[#This Row],[project]]), "",COUNTIFS($A:$A,patch[[#This Row],[number]],$S:$S, "BJ And dev",$AD:$AD, "&lt;&gt;IntegratorValidationComment"))</f>
        <v/>
      </c>
      <c r="AA2667" s="7" t="str">
        <f>IF(ISBLANK(patch[[#This Row],[project]]), "",COUNTIFS($A:$A,patch[[#This Row],[number]],$S:$S, "FL And dev",$AD:$AD, "&lt;&gt;IntegratorValidationComment"))</f>
        <v/>
      </c>
      <c r="AB2667" s="7" t="str">
        <f>IF(ISBLANK(patch[[#This Row],[project]]), "",COUNTIFS($A:$A,patch[[#This Row],[number]],$S:$S, "SH And dev",$AD:$AD, "&lt;&gt;IntegratorValidationComment"))</f>
        <v/>
      </c>
      <c r="AC2667" s="7" t="str">
        <f>IF(OR(ISNUMBER(FIND("Review-1", patch[[#This Row],[comments]])), ISNUMBER(FIND("Approver-1", patch[[#This Row],[comments]]))), "Review-1", "")</f>
        <v/>
      </c>
      <c r="AD26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667" s="7">
        <f>IF(ISBLANK(patch[[#This Row],[number]]),AE2666,patch[[#This Row],[ifCommon]])</f>
        <v>0</v>
      </c>
    </row>
    <row r="2668" spans="1:31">
      <c r="A2668" s="151">
        <v>141664</v>
      </c>
      <c r="B2668" s="151"/>
      <c r="C2668" s="151"/>
      <c r="D2668" s="151"/>
      <c r="E2668" s="151"/>
      <c r="F2668" s="151"/>
      <c r="G2668" s="151"/>
      <c r="H2668" s="151"/>
      <c r="I2668" s="151"/>
      <c r="J2668" s="152">
        <v>42614.754907407398</v>
      </c>
      <c r="K2668" s="151"/>
      <c r="L2668" s="151" t="s">
        <v>115</v>
      </c>
      <c r="M2668" s="152">
        <v>42614.418703703697</v>
      </c>
      <c r="N2668" s="151" t="s">
        <v>2503</v>
      </c>
      <c r="O2668" s="151"/>
      <c r="P2668" s="151"/>
      <c r="Q2668" s="7" t="str">
        <f>IF(ISBLANK(patch[[#This Row],[OwnerEmail]]),Q2667,patch[[#This Row],[OwnerEmail]])</f>
        <v>zongx.li@intel.com</v>
      </c>
      <c r="R2668" s="7" t="str">
        <f>_xlfn.IFNA(VLOOKUP(patch[[#This Row],[tmp-owner.email]],OrgTree!$A:$K, 11, 0), "not ICG SWFW")</f>
        <v>BJ And dev</v>
      </c>
      <c r="S2668" s="7" t="str">
        <f>IF(patch[[#This Row],[reviewer]]=patch[[#This Row],[tmp-owner.email]], "author", _xlfn.IFNA(VLOOKUP(patch[[#This Row],[reviewer]],OrgTree!$A:$K, 11, 0), "not ICG SWFW"))</f>
        <v>Val</v>
      </c>
      <c r="T2668" s="7" t="str">
        <f>IF(ISBLANK(patch[[#This Row],[mergeDate]]), "", MID(YEAR(patch[[#This Row],[mergeDate]]), 3,2)&amp;"'ww"&amp;WEEKNUM(patch[[#This Row],[mergeDate]]))</f>
        <v>16'ww36</v>
      </c>
      <c r="U2668" s="7" t="str">
        <f>IF(ISBLANK(patch[[#This Row],[mergeDate]]), U2667, MID(YEAR(patch[[#This Row],[mergeDate]]), 3,2)&amp;"'m"&amp;MONTH(patch[[#This Row],[mergeDate]]))</f>
        <v>16'm9</v>
      </c>
      <c r="V2668" s="7" t="str">
        <f>IF(ISBLANK(patch[[#This Row],[project]]), "",SUM(patch[[#This Row],[BJ -1 num]:[SH -1 num]]))</f>
        <v/>
      </c>
      <c r="W2668" s="7" t="str">
        <f>IF(ISBLANK(patch[[#This Row],[project]]), "",COUNTIFS($A:$A,patch[[#This Row],[number]],$S:$S, "BJ And dev",$AC:$AC, "Review-1"))</f>
        <v/>
      </c>
      <c r="X2668" s="7" t="str">
        <f>IF(ISBLANK(patch[[#This Row],[project]]), "",COUNTIFS($A:$A,patch[[#This Row],[number]],$S:$S, "FL And dev",$AC:$AC, "Review-1"))</f>
        <v/>
      </c>
      <c r="Y2668" s="7" t="str">
        <f>IF(ISBLANK(patch[[#This Row],[project]]), "",COUNTIFS($A:$A,patch[[#This Row],[number]],$S:$S, "SH And dev",$AC:$AC, "Review-1"))</f>
        <v/>
      </c>
      <c r="Z2668" s="7" t="str">
        <f>IF(ISBLANK(patch[[#This Row],[project]]), "",COUNTIFS($A:$A,patch[[#This Row],[number]],$S:$S, "BJ And dev",$AD:$AD, "&lt;&gt;IntegratorValidationComment"))</f>
        <v/>
      </c>
      <c r="AA2668" s="7" t="str">
        <f>IF(ISBLANK(patch[[#This Row],[project]]), "",COUNTIFS($A:$A,patch[[#This Row],[number]],$S:$S, "FL And dev",$AD:$AD, "&lt;&gt;IntegratorValidationComment"))</f>
        <v/>
      </c>
      <c r="AB2668" s="7" t="str">
        <f>IF(ISBLANK(patch[[#This Row],[project]]), "",COUNTIFS($A:$A,patch[[#This Row],[number]],$S:$S, "SH And dev",$AD:$AD, "&lt;&gt;IntegratorValidationComment"))</f>
        <v/>
      </c>
      <c r="AC2668" s="7" t="str">
        <f>IF(OR(ISNUMBER(FIND("Review-1", patch[[#This Row],[comments]])), ISNUMBER(FIND("Approver-1", patch[[#This Row],[comments]]))), "Review-1", "")</f>
        <v/>
      </c>
      <c r="AD26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668" s="7">
        <f>IF(ISBLANK(patch[[#This Row],[number]]),AE2667,patch[[#This Row],[ifCommon]])</f>
        <v>0</v>
      </c>
    </row>
    <row r="2669" spans="1:31">
      <c r="A2669" s="151">
        <v>141664</v>
      </c>
      <c r="B2669" s="151"/>
      <c r="C2669" s="151"/>
      <c r="D2669" s="151"/>
      <c r="E2669" s="151"/>
      <c r="F2669" s="151"/>
      <c r="G2669" s="151"/>
      <c r="H2669" s="151"/>
      <c r="I2669" s="151"/>
      <c r="J2669" s="152">
        <v>42614.754907407398</v>
      </c>
      <c r="K2669" s="151"/>
      <c r="L2669" s="151" t="s">
        <v>115</v>
      </c>
      <c r="M2669" s="152">
        <v>42614.431863425933</v>
      </c>
      <c r="N2669" s="151" t="s">
        <v>3931</v>
      </c>
      <c r="O2669" s="151"/>
      <c r="P2669" s="151"/>
      <c r="Q2669" s="7" t="str">
        <f>IF(ISBLANK(patch[[#This Row],[OwnerEmail]]),Q2668,patch[[#This Row],[OwnerEmail]])</f>
        <v>zongx.li@intel.com</v>
      </c>
      <c r="R2669" s="7" t="str">
        <f>_xlfn.IFNA(VLOOKUP(patch[[#This Row],[tmp-owner.email]],OrgTree!$A:$K, 11, 0), "not ICG SWFW")</f>
        <v>BJ And dev</v>
      </c>
      <c r="S2669" s="7" t="str">
        <f>IF(patch[[#This Row],[reviewer]]=patch[[#This Row],[tmp-owner.email]], "author", _xlfn.IFNA(VLOOKUP(patch[[#This Row],[reviewer]],OrgTree!$A:$K, 11, 0), "not ICG SWFW"))</f>
        <v>Val</v>
      </c>
      <c r="T2669" s="7" t="str">
        <f>IF(ISBLANK(patch[[#This Row],[mergeDate]]), "", MID(YEAR(patch[[#This Row],[mergeDate]]), 3,2)&amp;"'ww"&amp;WEEKNUM(patch[[#This Row],[mergeDate]]))</f>
        <v>16'ww36</v>
      </c>
      <c r="U2669" s="7" t="str">
        <f>IF(ISBLANK(patch[[#This Row],[mergeDate]]), U2668, MID(YEAR(patch[[#This Row],[mergeDate]]), 3,2)&amp;"'m"&amp;MONTH(patch[[#This Row],[mergeDate]]))</f>
        <v>16'm9</v>
      </c>
      <c r="V2669" s="7" t="str">
        <f>IF(ISBLANK(patch[[#This Row],[project]]), "",SUM(patch[[#This Row],[BJ -1 num]:[SH -1 num]]))</f>
        <v/>
      </c>
      <c r="W2669" s="7" t="str">
        <f>IF(ISBLANK(patch[[#This Row],[project]]), "",COUNTIFS($A:$A,patch[[#This Row],[number]],$S:$S, "BJ And dev",$AC:$AC, "Review-1"))</f>
        <v/>
      </c>
      <c r="X2669" s="7" t="str">
        <f>IF(ISBLANK(patch[[#This Row],[project]]), "",COUNTIFS($A:$A,patch[[#This Row],[number]],$S:$S, "FL And dev",$AC:$AC, "Review-1"))</f>
        <v/>
      </c>
      <c r="Y2669" s="7" t="str">
        <f>IF(ISBLANK(patch[[#This Row],[project]]), "",COUNTIFS($A:$A,patch[[#This Row],[number]],$S:$S, "SH And dev",$AC:$AC, "Review-1"))</f>
        <v/>
      </c>
      <c r="Z2669" s="7" t="str">
        <f>IF(ISBLANK(patch[[#This Row],[project]]), "",COUNTIFS($A:$A,patch[[#This Row],[number]],$S:$S, "BJ And dev",$AD:$AD, "&lt;&gt;IntegratorValidationComment"))</f>
        <v/>
      </c>
      <c r="AA2669" s="7" t="str">
        <f>IF(ISBLANK(patch[[#This Row],[project]]), "",COUNTIFS($A:$A,patch[[#This Row],[number]],$S:$S, "FL And dev",$AD:$AD, "&lt;&gt;IntegratorValidationComment"))</f>
        <v/>
      </c>
      <c r="AB2669" s="7" t="str">
        <f>IF(ISBLANK(patch[[#This Row],[project]]), "",COUNTIFS($A:$A,patch[[#This Row],[number]],$S:$S, "SH And dev",$AD:$AD, "&lt;&gt;IntegratorValidationComment"))</f>
        <v/>
      </c>
      <c r="AC2669" s="7" t="str">
        <f>IF(OR(ISNUMBER(FIND("Review-1", patch[[#This Row],[comments]])), ISNUMBER(FIND("Approver-1", patch[[#This Row],[comments]]))), "Review-1", "")</f>
        <v/>
      </c>
      <c r="AD26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669" s="7">
        <f>IF(ISBLANK(patch[[#This Row],[number]]),AE2668,patch[[#This Row],[ifCommon]])</f>
        <v>0</v>
      </c>
    </row>
    <row r="2670" spans="1:31">
      <c r="A2670" s="151">
        <v>141664</v>
      </c>
      <c r="B2670" s="151"/>
      <c r="C2670" s="151"/>
      <c r="D2670" s="151"/>
      <c r="E2670" s="151"/>
      <c r="F2670" s="151"/>
      <c r="G2670" s="151"/>
      <c r="H2670" s="151"/>
      <c r="I2670" s="151"/>
      <c r="J2670" s="152">
        <v>42614.754907407398</v>
      </c>
      <c r="K2670" s="151"/>
      <c r="L2670" s="151" t="s">
        <v>115</v>
      </c>
      <c r="M2670" s="152">
        <v>42614.432106481479</v>
      </c>
      <c r="N2670" s="151" t="s">
        <v>2503</v>
      </c>
      <c r="O2670" s="151"/>
      <c r="P2670" s="151"/>
      <c r="Q2670" s="7" t="str">
        <f>IF(ISBLANK(patch[[#This Row],[OwnerEmail]]),Q2669,patch[[#This Row],[OwnerEmail]])</f>
        <v>zongx.li@intel.com</v>
      </c>
      <c r="R2670" s="7" t="str">
        <f>_xlfn.IFNA(VLOOKUP(patch[[#This Row],[tmp-owner.email]],OrgTree!$A:$K, 11, 0), "not ICG SWFW")</f>
        <v>BJ And dev</v>
      </c>
      <c r="S2670" s="7" t="str">
        <f>IF(patch[[#This Row],[reviewer]]=patch[[#This Row],[tmp-owner.email]], "author", _xlfn.IFNA(VLOOKUP(patch[[#This Row],[reviewer]],OrgTree!$A:$K, 11, 0), "not ICG SWFW"))</f>
        <v>Val</v>
      </c>
      <c r="T2670" s="7" t="str">
        <f>IF(ISBLANK(patch[[#This Row],[mergeDate]]), "", MID(YEAR(patch[[#This Row],[mergeDate]]), 3,2)&amp;"'ww"&amp;WEEKNUM(patch[[#This Row],[mergeDate]]))</f>
        <v>16'ww36</v>
      </c>
      <c r="U2670" s="7" t="str">
        <f>IF(ISBLANK(patch[[#This Row],[mergeDate]]), U2669, MID(YEAR(patch[[#This Row],[mergeDate]]), 3,2)&amp;"'m"&amp;MONTH(patch[[#This Row],[mergeDate]]))</f>
        <v>16'm9</v>
      </c>
      <c r="V2670" s="7" t="str">
        <f>IF(ISBLANK(patch[[#This Row],[project]]), "",SUM(patch[[#This Row],[BJ -1 num]:[SH -1 num]]))</f>
        <v/>
      </c>
      <c r="W2670" s="7" t="str">
        <f>IF(ISBLANK(patch[[#This Row],[project]]), "",COUNTIFS($A:$A,patch[[#This Row],[number]],$S:$S, "BJ And dev",$AC:$AC, "Review-1"))</f>
        <v/>
      </c>
      <c r="X2670" s="7" t="str">
        <f>IF(ISBLANK(patch[[#This Row],[project]]), "",COUNTIFS($A:$A,patch[[#This Row],[number]],$S:$S, "FL And dev",$AC:$AC, "Review-1"))</f>
        <v/>
      </c>
      <c r="Y2670" s="7" t="str">
        <f>IF(ISBLANK(patch[[#This Row],[project]]), "",COUNTIFS($A:$A,patch[[#This Row],[number]],$S:$S, "SH And dev",$AC:$AC, "Review-1"))</f>
        <v/>
      </c>
      <c r="Z2670" s="7" t="str">
        <f>IF(ISBLANK(patch[[#This Row],[project]]), "",COUNTIFS($A:$A,patch[[#This Row],[number]],$S:$S, "BJ And dev",$AD:$AD, "&lt;&gt;IntegratorValidationComment"))</f>
        <v/>
      </c>
      <c r="AA2670" s="7" t="str">
        <f>IF(ISBLANK(patch[[#This Row],[project]]), "",COUNTIFS($A:$A,patch[[#This Row],[number]],$S:$S, "FL And dev",$AD:$AD, "&lt;&gt;IntegratorValidationComment"))</f>
        <v/>
      </c>
      <c r="AB2670" s="7" t="str">
        <f>IF(ISBLANK(patch[[#This Row],[project]]), "",COUNTIFS($A:$A,patch[[#This Row],[number]],$S:$S, "SH And dev",$AD:$AD, "&lt;&gt;IntegratorValidationComment"))</f>
        <v/>
      </c>
      <c r="AC2670" s="7" t="str">
        <f>IF(OR(ISNUMBER(FIND("Review-1", patch[[#This Row],[comments]])), ISNUMBER(FIND("Approver-1", patch[[#This Row],[comments]]))), "Review-1", "")</f>
        <v/>
      </c>
      <c r="AD26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670" s="7">
        <f>IF(ISBLANK(patch[[#This Row],[number]]),AE2669,patch[[#This Row],[ifCommon]])</f>
        <v>0</v>
      </c>
    </row>
    <row r="2671" spans="1:31">
      <c r="A2671" s="151">
        <v>141664</v>
      </c>
      <c r="B2671" s="151"/>
      <c r="C2671" s="151"/>
      <c r="D2671" s="151"/>
      <c r="E2671" s="151"/>
      <c r="F2671" s="151"/>
      <c r="G2671" s="151"/>
      <c r="H2671" s="151"/>
      <c r="I2671" s="151"/>
      <c r="J2671" s="152">
        <v>42614.754907407398</v>
      </c>
      <c r="K2671" s="151"/>
      <c r="L2671" s="151" t="s">
        <v>115</v>
      </c>
      <c r="M2671" s="152">
        <v>42614.439525462964</v>
      </c>
      <c r="N2671" s="151" t="s">
        <v>3932</v>
      </c>
      <c r="O2671" s="151"/>
      <c r="P2671" s="151"/>
      <c r="Q2671" s="7" t="str">
        <f>IF(ISBLANK(patch[[#This Row],[OwnerEmail]]),Q2670,patch[[#This Row],[OwnerEmail]])</f>
        <v>zongx.li@intel.com</v>
      </c>
      <c r="R2671" s="7" t="str">
        <f>_xlfn.IFNA(VLOOKUP(patch[[#This Row],[tmp-owner.email]],OrgTree!$A:$K, 11, 0), "not ICG SWFW")</f>
        <v>BJ And dev</v>
      </c>
      <c r="S2671" s="7" t="str">
        <f>IF(patch[[#This Row],[reviewer]]=patch[[#This Row],[tmp-owner.email]], "author", _xlfn.IFNA(VLOOKUP(patch[[#This Row],[reviewer]],OrgTree!$A:$K, 11, 0), "not ICG SWFW"))</f>
        <v>Val</v>
      </c>
      <c r="T2671" s="7" t="str">
        <f>IF(ISBLANK(patch[[#This Row],[mergeDate]]), "", MID(YEAR(patch[[#This Row],[mergeDate]]), 3,2)&amp;"'ww"&amp;WEEKNUM(patch[[#This Row],[mergeDate]]))</f>
        <v>16'ww36</v>
      </c>
      <c r="U2671" s="7" t="str">
        <f>IF(ISBLANK(patch[[#This Row],[mergeDate]]), U2670, MID(YEAR(patch[[#This Row],[mergeDate]]), 3,2)&amp;"'m"&amp;MONTH(patch[[#This Row],[mergeDate]]))</f>
        <v>16'm9</v>
      </c>
      <c r="V2671" s="7" t="str">
        <f>IF(ISBLANK(patch[[#This Row],[project]]), "",SUM(patch[[#This Row],[BJ -1 num]:[SH -1 num]]))</f>
        <v/>
      </c>
      <c r="W2671" s="7" t="str">
        <f>IF(ISBLANK(patch[[#This Row],[project]]), "",COUNTIFS($A:$A,patch[[#This Row],[number]],$S:$S, "BJ And dev",$AC:$AC, "Review-1"))</f>
        <v/>
      </c>
      <c r="X2671" s="7" t="str">
        <f>IF(ISBLANK(patch[[#This Row],[project]]), "",COUNTIFS($A:$A,patch[[#This Row],[number]],$S:$S, "FL And dev",$AC:$AC, "Review-1"))</f>
        <v/>
      </c>
      <c r="Y2671" s="7" t="str">
        <f>IF(ISBLANK(patch[[#This Row],[project]]), "",COUNTIFS($A:$A,patch[[#This Row],[number]],$S:$S, "SH And dev",$AC:$AC, "Review-1"))</f>
        <v/>
      </c>
      <c r="Z2671" s="7" t="str">
        <f>IF(ISBLANK(patch[[#This Row],[project]]), "",COUNTIFS($A:$A,patch[[#This Row],[number]],$S:$S, "BJ And dev",$AD:$AD, "&lt;&gt;IntegratorValidationComment"))</f>
        <v/>
      </c>
      <c r="AA2671" s="7" t="str">
        <f>IF(ISBLANK(patch[[#This Row],[project]]), "",COUNTIFS($A:$A,patch[[#This Row],[number]],$S:$S, "FL And dev",$AD:$AD, "&lt;&gt;IntegratorValidationComment"))</f>
        <v/>
      </c>
      <c r="AB2671" s="7" t="str">
        <f>IF(ISBLANK(patch[[#This Row],[project]]), "",COUNTIFS($A:$A,patch[[#This Row],[number]],$S:$S, "SH And dev",$AD:$AD, "&lt;&gt;IntegratorValidationComment"))</f>
        <v/>
      </c>
      <c r="AC2671" s="7" t="str">
        <f>IF(OR(ISNUMBER(FIND("Review-1", patch[[#This Row],[comments]])), ISNUMBER(FIND("Approver-1", patch[[#This Row],[comments]]))), "Review-1", "")</f>
        <v/>
      </c>
      <c r="AD26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671" s="7">
        <f>IF(ISBLANK(patch[[#This Row],[number]]),AE2670,patch[[#This Row],[ifCommon]])</f>
        <v>0</v>
      </c>
    </row>
    <row r="2672" spans="1:31">
      <c r="A2672" s="151">
        <v>141664</v>
      </c>
      <c r="B2672" s="151"/>
      <c r="C2672" s="151"/>
      <c r="D2672" s="151"/>
      <c r="E2672" s="151"/>
      <c r="F2672" s="151"/>
      <c r="G2672" s="151"/>
      <c r="H2672" s="151"/>
      <c r="I2672" s="151"/>
      <c r="J2672" s="152">
        <v>42614.754907407398</v>
      </c>
      <c r="K2672" s="151"/>
      <c r="L2672" s="151" t="s">
        <v>55</v>
      </c>
      <c r="M2672" s="152">
        <v>42614.439803240741</v>
      </c>
      <c r="N2672" s="151" t="s">
        <v>2468</v>
      </c>
      <c r="O2672" s="151"/>
      <c r="P2672" s="151"/>
      <c r="Q2672" s="7" t="str">
        <f>IF(ISBLANK(patch[[#This Row],[OwnerEmail]]),Q2671,patch[[#This Row],[OwnerEmail]])</f>
        <v>zongx.li@intel.com</v>
      </c>
      <c r="R2672" s="7" t="str">
        <f>_xlfn.IFNA(VLOOKUP(patch[[#This Row],[tmp-owner.email]],OrgTree!$A:$K, 11, 0), "not ICG SWFW")</f>
        <v>BJ And dev</v>
      </c>
      <c r="S2672" s="7" t="str">
        <f>IF(patch[[#This Row],[reviewer]]=patch[[#This Row],[tmp-owner.email]], "author", _xlfn.IFNA(VLOOKUP(patch[[#This Row],[reviewer]],OrgTree!$A:$K, 11, 0), "not ICG SWFW"))</f>
        <v>BJ And dev</v>
      </c>
      <c r="T2672" s="7" t="str">
        <f>IF(ISBLANK(patch[[#This Row],[mergeDate]]), "", MID(YEAR(patch[[#This Row],[mergeDate]]), 3,2)&amp;"'ww"&amp;WEEKNUM(patch[[#This Row],[mergeDate]]))</f>
        <v>16'ww36</v>
      </c>
      <c r="U2672" s="7" t="str">
        <f>IF(ISBLANK(patch[[#This Row],[mergeDate]]), U2671, MID(YEAR(patch[[#This Row],[mergeDate]]), 3,2)&amp;"'m"&amp;MONTH(patch[[#This Row],[mergeDate]]))</f>
        <v>16'm9</v>
      </c>
      <c r="V2672" s="7" t="str">
        <f>IF(ISBLANK(patch[[#This Row],[project]]), "",SUM(patch[[#This Row],[BJ -1 num]:[SH -1 num]]))</f>
        <v/>
      </c>
      <c r="W2672" s="7" t="str">
        <f>IF(ISBLANK(patch[[#This Row],[project]]), "",COUNTIFS($A:$A,patch[[#This Row],[number]],$S:$S, "BJ And dev",$AC:$AC, "Review-1"))</f>
        <v/>
      </c>
      <c r="X2672" s="7" t="str">
        <f>IF(ISBLANK(patch[[#This Row],[project]]), "",COUNTIFS($A:$A,patch[[#This Row],[number]],$S:$S, "FL And dev",$AC:$AC, "Review-1"))</f>
        <v/>
      </c>
      <c r="Y2672" s="7" t="str">
        <f>IF(ISBLANK(patch[[#This Row],[project]]), "",COUNTIFS($A:$A,patch[[#This Row],[number]],$S:$S, "SH And dev",$AC:$AC, "Review-1"))</f>
        <v/>
      </c>
      <c r="Z2672" s="7" t="str">
        <f>IF(ISBLANK(patch[[#This Row],[project]]), "",COUNTIFS($A:$A,patch[[#This Row],[number]],$S:$S, "BJ And dev",$AD:$AD, "&lt;&gt;IntegratorValidationComment"))</f>
        <v/>
      </c>
      <c r="AA2672" s="7" t="str">
        <f>IF(ISBLANK(patch[[#This Row],[project]]), "",COUNTIFS($A:$A,patch[[#This Row],[number]],$S:$S, "FL And dev",$AD:$AD, "&lt;&gt;IntegratorValidationComment"))</f>
        <v/>
      </c>
      <c r="AB2672" s="7" t="str">
        <f>IF(ISBLANK(patch[[#This Row],[project]]), "",COUNTIFS($A:$A,patch[[#This Row],[number]],$S:$S, "SH And dev",$AD:$AD, "&lt;&gt;IntegratorValidationComment"))</f>
        <v/>
      </c>
      <c r="AC2672" s="7" t="str">
        <f>IF(OR(ISNUMBER(FIND("Review-1", patch[[#This Row],[comments]])), ISNUMBER(FIND("Approver-1", patch[[#This Row],[comments]]))), "Review-1", "")</f>
        <v/>
      </c>
      <c r="AD26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72" s="7">
        <f>IF(ISBLANK(patch[[#This Row],[number]]),AE2671,patch[[#This Row],[ifCommon]])</f>
        <v>0</v>
      </c>
    </row>
    <row r="2673" spans="1:31">
      <c r="A2673" s="151">
        <v>141664</v>
      </c>
      <c r="B2673" s="151"/>
      <c r="C2673" s="151"/>
      <c r="D2673" s="151"/>
      <c r="E2673" s="151"/>
      <c r="F2673" s="151"/>
      <c r="G2673" s="151"/>
      <c r="H2673" s="151"/>
      <c r="I2673" s="151"/>
      <c r="J2673" s="152">
        <v>42614.754907407398</v>
      </c>
      <c r="K2673" s="151"/>
      <c r="L2673" s="151" t="s">
        <v>55</v>
      </c>
      <c r="M2673" s="152">
        <v>42614.439803240741</v>
      </c>
      <c r="N2673" s="151" t="s">
        <v>1896</v>
      </c>
      <c r="O2673" s="151"/>
      <c r="P2673" s="151"/>
      <c r="Q2673" s="7" t="str">
        <f>IF(ISBLANK(patch[[#This Row],[OwnerEmail]]),Q2672,patch[[#This Row],[OwnerEmail]])</f>
        <v>zongx.li@intel.com</v>
      </c>
      <c r="R2673" s="7" t="str">
        <f>_xlfn.IFNA(VLOOKUP(patch[[#This Row],[tmp-owner.email]],OrgTree!$A:$K, 11, 0), "not ICG SWFW")</f>
        <v>BJ And dev</v>
      </c>
      <c r="S2673" s="7" t="str">
        <f>IF(patch[[#This Row],[reviewer]]=patch[[#This Row],[tmp-owner.email]], "author", _xlfn.IFNA(VLOOKUP(patch[[#This Row],[reviewer]],OrgTree!$A:$K, 11, 0), "not ICG SWFW"))</f>
        <v>BJ And dev</v>
      </c>
      <c r="T2673" s="7" t="str">
        <f>IF(ISBLANK(patch[[#This Row],[mergeDate]]), "", MID(YEAR(patch[[#This Row],[mergeDate]]), 3,2)&amp;"'ww"&amp;WEEKNUM(patch[[#This Row],[mergeDate]]))</f>
        <v>16'ww36</v>
      </c>
      <c r="U2673" s="7" t="str">
        <f>IF(ISBLANK(patch[[#This Row],[mergeDate]]), U2672, MID(YEAR(patch[[#This Row],[mergeDate]]), 3,2)&amp;"'m"&amp;MONTH(patch[[#This Row],[mergeDate]]))</f>
        <v>16'm9</v>
      </c>
      <c r="V2673" s="7" t="str">
        <f>IF(ISBLANK(patch[[#This Row],[project]]), "",SUM(patch[[#This Row],[BJ -1 num]:[SH -1 num]]))</f>
        <v/>
      </c>
      <c r="W2673" s="7" t="str">
        <f>IF(ISBLANK(patch[[#This Row],[project]]), "",COUNTIFS($A:$A,patch[[#This Row],[number]],$S:$S, "BJ And dev",$AC:$AC, "Review-1"))</f>
        <v/>
      </c>
      <c r="X2673" s="7" t="str">
        <f>IF(ISBLANK(patch[[#This Row],[project]]), "",COUNTIFS($A:$A,patch[[#This Row],[number]],$S:$S, "FL And dev",$AC:$AC, "Review-1"))</f>
        <v/>
      </c>
      <c r="Y2673" s="7" t="str">
        <f>IF(ISBLANK(patch[[#This Row],[project]]), "",COUNTIFS($A:$A,patch[[#This Row],[number]],$S:$S, "SH And dev",$AC:$AC, "Review-1"))</f>
        <v/>
      </c>
      <c r="Z2673" s="7" t="str">
        <f>IF(ISBLANK(patch[[#This Row],[project]]), "",COUNTIFS($A:$A,patch[[#This Row],[number]],$S:$S, "BJ And dev",$AD:$AD, "&lt;&gt;IntegratorValidationComment"))</f>
        <v/>
      </c>
      <c r="AA2673" s="7" t="str">
        <f>IF(ISBLANK(patch[[#This Row],[project]]), "",COUNTIFS($A:$A,patch[[#This Row],[number]],$S:$S, "FL And dev",$AD:$AD, "&lt;&gt;IntegratorValidationComment"))</f>
        <v/>
      </c>
      <c r="AB2673" s="7" t="str">
        <f>IF(ISBLANK(patch[[#This Row],[project]]), "",COUNTIFS($A:$A,patch[[#This Row],[number]],$S:$S, "SH And dev",$AD:$AD, "&lt;&gt;IntegratorValidationComment"))</f>
        <v/>
      </c>
      <c r="AC2673" s="7" t="str">
        <f>IF(OR(ISNUMBER(FIND("Review-1", patch[[#This Row],[comments]])), ISNUMBER(FIND("Approver-1", patch[[#This Row],[comments]]))), "Review-1", "")</f>
        <v/>
      </c>
      <c r="AD26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73" s="7">
        <f>IF(ISBLANK(patch[[#This Row],[number]]),AE2672,patch[[#This Row],[ifCommon]])</f>
        <v>0</v>
      </c>
    </row>
    <row r="2674" spans="1:31">
      <c r="A2674" s="151">
        <v>141664</v>
      </c>
      <c r="B2674" s="151"/>
      <c r="C2674" s="151"/>
      <c r="D2674" s="151"/>
      <c r="E2674" s="151"/>
      <c r="F2674" s="151"/>
      <c r="G2674" s="151"/>
      <c r="H2674" s="151"/>
      <c r="I2674" s="151"/>
      <c r="J2674" s="152">
        <v>42614.754907407398</v>
      </c>
      <c r="K2674" s="151"/>
      <c r="L2674" s="151" t="s">
        <v>55</v>
      </c>
      <c r="M2674" s="152">
        <v>42614.439965277779</v>
      </c>
      <c r="N2674" s="151" t="s">
        <v>2506</v>
      </c>
      <c r="O2674" s="151"/>
      <c r="P2674" s="151"/>
      <c r="Q2674" s="7" t="str">
        <f>IF(ISBLANK(patch[[#This Row],[OwnerEmail]]),Q2673,patch[[#This Row],[OwnerEmail]])</f>
        <v>zongx.li@intel.com</v>
      </c>
      <c r="R2674" s="7" t="str">
        <f>_xlfn.IFNA(VLOOKUP(patch[[#This Row],[tmp-owner.email]],OrgTree!$A:$K, 11, 0), "not ICG SWFW")</f>
        <v>BJ And dev</v>
      </c>
      <c r="S2674" s="7" t="str">
        <f>IF(patch[[#This Row],[reviewer]]=patch[[#This Row],[tmp-owner.email]], "author", _xlfn.IFNA(VLOOKUP(patch[[#This Row],[reviewer]],OrgTree!$A:$K, 11, 0), "not ICG SWFW"))</f>
        <v>BJ And dev</v>
      </c>
      <c r="T2674" s="7" t="str">
        <f>IF(ISBLANK(patch[[#This Row],[mergeDate]]), "", MID(YEAR(patch[[#This Row],[mergeDate]]), 3,2)&amp;"'ww"&amp;WEEKNUM(patch[[#This Row],[mergeDate]]))</f>
        <v>16'ww36</v>
      </c>
      <c r="U2674" s="7" t="str">
        <f>IF(ISBLANK(patch[[#This Row],[mergeDate]]), U2673, MID(YEAR(patch[[#This Row],[mergeDate]]), 3,2)&amp;"'m"&amp;MONTH(patch[[#This Row],[mergeDate]]))</f>
        <v>16'm9</v>
      </c>
      <c r="V2674" s="7" t="str">
        <f>IF(ISBLANK(patch[[#This Row],[project]]), "",SUM(patch[[#This Row],[BJ -1 num]:[SH -1 num]]))</f>
        <v/>
      </c>
      <c r="W2674" s="7" t="str">
        <f>IF(ISBLANK(patch[[#This Row],[project]]), "",COUNTIFS($A:$A,patch[[#This Row],[number]],$S:$S, "BJ And dev",$AC:$AC, "Review-1"))</f>
        <v/>
      </c>
      <c r="X2674" s="7" t="str">
        <f>IF(ISBLANK(patch[[#This Row],[project]]), "",COUNTIFS($A:$A,patch[[#This Row],[number]],$S:$S, "FL And dev",$AC:$AC, "Review-1"))</f>
        <v/>
      </c>
      <c r="Y2674" s="7" t="str">
        <f>IF(ISBLANK(patch[[#This Row],[project]]), "",COUNTIFS($A:$A,patch[[#This Row],[number]],$S:$S, "SH And dev",$AC:$AC, "Review-1"))</f>
        <v/>
      </c>
      <c r="Z2674" s="7" t="str">
        <f>IF(ISBLANK(patch[[#This Row],[project]]), "",COUNTIFS($A:$A,patch[[#This Row],[number]],$S:$S, "BJ And dev",$AD:$AD, "&lt;&gt;IntegratorValidationComment"))</f>
        <v/>
      </c>
      <c r="AA2674" s="7" t="str">
        <f>IF(ISBLANK(patch[[#This Row],[project]]), "",COUNTIFS($A:$A,patch[[#This Row],[number]],$S:$S, "FL And dev",$AD:$AD, "&lt;&gt;IntegratorValidationComment"))</f>
        <v/>
      </c>
      <c r="AB2674" s="7" t="str">
        <f>IF(ISBLANK(patch[[#This Row],[project]]), "",COUNTIFS($A:$A,patch[[#This Row],[number]],$S:$S, "SH And dev",$AD:$AD, "&lt;&gt;IntegratorValidationComment"))</f>
        <v/>
      </c>
      <c r="AC2674" s="7" t="str">
        <f>IF(OR(ISNUMBER(FIND("Review-1", patch[[#This Row],[comments]])), ISNUMBER(FIND("Approver-1", patch[[#This Row],[comments]]))), "Review-1", "")</f>
        <v/>
      </c>
      <c r="AD26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74" s="7">
        <f>IF(ISBLANK(patch[[#This Row],[number]]),AE2673,patch[[#This Row],[ifCommon]])</f>
        <v>0</v>
      </c>
    </row>
    <row r="2675" spans="1:31">
      <c r="A2675" s="151">
        <v>141664</v>
      </c>
      <c r="B2675" s="151"/>
      <c r="C2675" s="151"/>
      <c r="D2675" s="151"/>
      <c r="E2675" s="151"/>
      <c r="F2675" s="151"/>
      <c r="G2675" s="151"/>
      <c r="H2675" s="151"/>
      <c r="I2675" s="151"/>
      <c r="J2675" s="152">
        <v>42614.754907407398</v>
      </c>
      <c r="K2675" s="151"/>
      <c r="L2675" s="151" t="s">
        <v>115</v>
      </c>
      <c r="M2675" s="152">
        <v>42614.442685185182</v>
      </c>
      <c r="N2675" s="151" t="s">
        <v>2507</v>
      </c>
      <c r="O2675" s="151"/>
      <c r="P2675" s="151"/>
      <c r="Q2675" s="7" t="str">
        <f>IF(ISBLANK(patch[[#This Row],[OwnerEmail]]),Q2674,patch[[#This Row],[OwnerEmail]])</f>
        <v>zongx.li@intel.com</v>
      </c>
      <c r="R2675" s="7" t="str">
        <f>_xlfn.IFNA(VLOOKUP(patch[[#This Row],[tmp-owner.email]],OrgTree!$A:$K, 11, 0), "not ICG SWFW")</f>
        <v>BJ And dev</v>
      </c>
      <c r="S2675" s="7" t="str">
        <f>IF(patch[[#This Row],[reviewer]]=patch[[#This Row],[tmp-owner.email]], "author", _xlfn.IFNA(VLOOKUP(patch[[#This Row],[reviewer]],OrgTree!$A:$K, 11, 0), "not ICG SWFW"))</f>
        <v>Val</v>
      </c>
      <c r="T2675" s="7" t="str">
        <f>IF(ISBLANK(patch[[#This Row],[mergeDate]]), "", MID(YEAR(patch[[#This Row],[mergeDate]]), 3,2)&amp;"'ww"&amp;WEEKNUM(patch[[#This Row],[mergeDate]]))</f>
        <v>16'ww36</v>
      </c>
      <c r="U2675" s="7" t="str">
        <f>IF(ISBLANK(patch[[#This Row],[mergeDate]]), U2674, MID(YEAR(patch[[#This Row],[mergeDate]]), 3,2)&amp;"'m"&amp;MONTH(patch[[#This Row],[mergeDate]]))</f>
        <v>16'm9</v>
      </c>
      <c r="V2675" s="7" t="str">
        <f>IF(ISBLANK(patch[[#This Row],[project]]), "",SUM(patch[[#This Row],[BJ -1 num]:[SH -1 num]]))</f>
        <v/>
      </c>
      <c r="W2675" s="7" t="str">
        <f>IF(ISBLANK(patch[[#This Row],[project]]), "",COUNTIFS($A:$A,patch[[#This Row],[number]],$S:$S, "BJ And dev",$AC:$AC, "Review-1"))</f>
        <v/>
      </c>
      <c r="X2675" s="7" t="str">
        <f>IF(ISBLANK(patch[[#This Row],[project]]), "",COUNTIFS($A:$A,patch[[#This Row],[number]],$S:$S, "FL And dev",$AC:$AC, "Review-1"))</f>
        <v/>
      </c>
      <c r="Y2675" s="7" t="str">
        <f>IF(ISBLANK(patch[[#This Row],[project]]), "",COUNTIFS($A:$A,patch[[#This Row],[number]],$S:$S, "SH And dev",$AC:$AC, "Review-1"))</f>
        <v/>
      </c>
      <c r="Z2675" s="7" t="str">
        <f>IF(ISBLANK(patch[[#This Row],[project]]), "",COUNTIFS($A:$A,patch[[#This Row],[number]],$S:$S, "BJ And dev",$AD:$AD, "&lt;&gt;IntegratorValidationComment"))</f>
        <v/>
      </c>
      <c r="AA2675" s="7" t="str">
        <f>IF(ISBLANK(patch[[#This Row],[project]]), "",COUNTIFS($A:$A,patch[[#This Row],[number]],$S:$S, "FL And dev",$AD:$AD, "&lt;&gt;IntegratorValidationComment"))</f>
        <v/>
      </c>
      <c r="AB2675" s="7" t="str">
        <f>IF(ISBLANK(patch[[#This Row],[project]]), "",COUNTIFS($A:$A,patch[[#This Row],[number]],$S:$S, "SH And dev",$AD:$AD, "&lt;&gt;IntegratorValidationComment"))</f>
        <v/>
      </c>
      <c r="AC2675" s="7" t="str">
        <f>IF(OR(ISNUMBER(FIND("Review-1", patch[[#This Row],[comments]])), ISNUMBER(FIND("Approver-1", patch[[#This Row],[comments]]))), "Review-1", "")</f>
        <v/>
      </c>
      <c r="AD26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675" s="7">
        <f>IF(ISBLANK(patch[[#This Row],[number]]),AE2674,patch[[#This Row],[ifCommon]])</f>
        <v>0</v>
      </c>
    </row>
    <row r="2676" spans="1:31">
      <c r="A2676" s="151">
        <v>141664</v>
      </c>
      <c r="B2676" s="151"/>
      <c r="C2676" s="151"/>
      <c r="D2676" s="151"/>
      <c r="E2676" s="151"/>
      <c r="F2676" s="151"/>
      <c r="G2676" s="151"/>
      <c r="H2676" s="151"/>
      <c r="I2676" s="151"/>
      <c r="J2676" s="152">
        <v>42614.754907407398</v>
      </c>
      <c r="K2676" s="151"/>
      <c r="L2676" s="151" t="s">
        <v>59</v>
      </c>
      <c r="M2676" s="152">
        <v>42614.44635416667</v>
      </c>
      <c r="N2676" s="151" t="s">
        <v>3933</v>
      </c>
      <c r="O2676" s="151"/>
      <c r="P2676" s="151"/>
      <c r="Q2676" s="7" t="str">
        <f>IF(ISBLANK(patch[[#This Row],[OwnerEmail]]),Q2675,patch[[#This Row],[OwnerEmail]])</f>
        <v>zongx.li@intel.com</v>
      </c>
      <c r="R2676" s="7" t="str">
        <f>_xlfn.IFNA(VLOOKUP(patch[[#This Row],[tmp-owner.email]],OrgTree!$A:$K, 11, 0), "not ICG SWFW")</f>
        <v>BJ And dev</v>
      </c>
      <c r="S2676" s="7" t="str">
        <f>IF(patch[[#This Row],[reviewer]]=patch[[#This Row],[tmp-owner.email]], "author", _xlfn.IFNA(VLOOKUP(patch[[#This Row],[reviewer]],OrgTree!$A:$K, 11, 0), "not ICG SWFW"))</f>
        <v>BJ And dev</v>
      </c>
      <c r="T2676" s="7" t="str">
        <f>IF(ISBLANK(patch[[#This Row],[mergeDate]]), "", MID(YEAR(patch[[#This Row],[mergeDate]]), 3,2)&amp;"'ww"&amp;WEEKNUM(patch[[#This Row],[mergeDate]]))</f>
        <v>16'ww36</v>
      </c>
      <c r="U2676" s="7" t="str">
        <f>IF(ISBLANK(patch[[#This Row],[mergeDate]]), U2675, MID(YEAR(patch[[#This Row],[mergeDate]]), 3,2)&amp;"'m"&amp;MONTH(patch[[#This Row],[mergeDate]]))</f>
        <v>16'm9</v>
      </c>
      <c r="V2676" s="7" t="str">
        <f>IF(ISBLANK(patch[[#This Row],[project]]), "",SUM(patch[[#This Row],[BJ -1 num]:[SH -1 num]]))</f>
        <v/>
      </c>
      <c r="W2676" s="7" t="str">
        <f>IF(ISBLANK(patch[[#This Row],[project]]), "",COUNTIFS($A:$A,patch[[#This Row],[number]],$S:$S, "BJ And dev",$AC:$AC, "Review-1"))</f>
        <v/>
      </c>
      <c r="X2676" s="7" t="str">
        <f>IF(ISBLANK(patch[[#This Row],[project]]), "",COUNTIFS($A:$A,patch[[#This Row],[number]],$S:$S, "FL And dev",$AC:$AC, "Review-1"))</f>
        <v/>
      </c>
      <c r="Y2676" s="7" t="str">
        <f>IF(ISBLANK(patch[[#This Row],[project]]), "",COUNTIFS($A:$A,patch[[#This Row],[number]],$S:$S, "SH And dev",$AC:$AC, "Review-1"))</f>
        <v/>
      </c>
      <c r="Z2676" s="7" t="str">
        <f>IF(ISBLANK(patch[[#This Row],[project]]), "",COUNTIFS($A:$A,patch[[#This Row],[number]],$S:$S, "BJ And dev",$AD:$AD, "&lt;&gt;IntegratorValidationComment"))</f>
        <v/>
      </c>
      <c r="AA2676" s="7" t="str">
        <f>IF(ISBLANK(patch[[#This Row],[project]]), "",COUNTIFS($A:$A,patch[[#This Row],[number]],$S:$S, "FL And dev",$AD:$AD, "&lt;&gt;IntegratorValidationComment"))</f>
        <v/>
      </c>
      <c r="AB2676" s="7" t="str">
        <f>IF(ISBLANK(patch[[#This Row],[project]]), "",COUNTIFS($A:$A,patch[[#This Row],[number]],$S:$S, "SH And dev",$AD:$AD, "&lt;&gt;IntegratorValidationComment"))</f>
        <v/>
      </c>
      <c r="AC2676" s="7" t="str">
        <f>IF(OR(ISNUMBER(FIND("Review-1", patch[[#This Row],[comments]])), ISNUMBER(FIND("Approver-1", patch[[#This Row],[comments]]))), "Review-1", "")</f>
        <v/>
      </c>
      <c r="AD26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76" s="7">
        <f>IF(ISBLANK(patch[[#This Row],[number]]),AE2675,patch[[#This Row],[ifCommon]])</f>
        <v>0</v>
      </c>
    </row>
    <row r="2677" spans="1:31">
      <c r="A2677" s="151">
        <v>141664</v>
      </c>
      <c r="B2677" s="151"/>
      <c r="C2677" s="151"/>
      <c r="D2677" s="151"/>
      <c r="E2677" s="151"/>
      <c r="F2677" s="151"/>
      <c r="G2677" s="151"/>
      <c r="H2677" s="151"/>
      <c r="I2677" s="151"/>
      <c r="J2677" s="152">
        <v>42614.754907407398</v>
      </c>
      <c r="K2677" s="151"/>
      <c r="L2677" s="151" t="s">
        <v>59</v>
      </c>
      <c r="M2677" s="152">
        <v>42614.454826388886</v>
      </c>
      <c r="N2677" s="151" t="s">
        <v>3934</v>
      </c>
      <c r="O2677" s="151"/>
      <c r="P2677" s="151"/>
      <c r="Q2677" s="7" t="str">
        <f>IF(ISBLANK(patch[[#This Row],[OwnerEmail]]),Q2676,patch[[#This Row],[OwnerEmail]])</f>
        <v>zongx.li@intel.com</v>
      </c>
      <c r="R2677" s="7" t="str">
        <f>_xlfn.IFNA(VLOOKUP(patch[[#This Row],[tmp-owner.email]],OrgTree!$A:$K, 11, 0), "not ICG SWFW")</f>
        <v>BJ And dev</v>
      </c>
      <c r="S2677" s="7" t="str">
        <f>IF(patch[[#This Row],[reviewer]]=patch[[#This Row],[tmp-owner.email]], "author", _xlfn.IFNA(VLOOKUP(patch[[#This Row],[reviewer]],OrgTree!$A:$K, 11, 0), "not ICG SWFW"))</f>
        <v>BJ And dev</v>
      </c>
      <c r="T2677" s="7" t="str">
        <f>IF(ISBLANK(patch[[#This Row],[mergeDate]]), "", MID(YEAR(patch[[#This Row],[mergeDate]]), 3,2)&amp;"'ww"&amp;WEEKNUM(patch[[#This Row],[mergeDate]]))</f>
        <v>16'ww36</v>
      </c>
      <c r="U2677" s="7" t="str">
        <f>IF(ISBLANK(patch[[#This Row],[mergeDate]]), U2676, MID(YEAR(patch[[#This Row],[mergeDate]]), 3,2)&amp;"'m"&amp;MONTH(patch[[#This Row],[mergeDate]]))</f>
        <v>16'm9</v>
      </c>
      <c r="V2677" s="7" t="str">
        <f>IF(ISBLANK(patch[[#This Row],[project]]), "",SUM(patch[[#This Row],[BJ -1 num]:[SH -1 num]]))</f>
        <v/>
      </c>
      <c r="W2677" s="7" t="str">
        <f>IF(ISBLANK(patch[[#This Row],[project]]), "",COUNTIFS($A:$A,patch[[#This Row],[number]],$S:$S, "BJ And dev",$AC:$AC, "Review-1"))</f>
        <v/>
      </c>
      <c r="X2677" s="7" t="str">
        <f>IF(ISBLANK(patch[[#This Row],[project]]), "",COUNTIFS($A:$A,patch[[#This Row],[number]],$S:$S, "FL And dev",$AC:$AC, "Review-1"))</f>
        <v/>
      </c>
      <c r="Y2677" s="7" t="str">
        <f>IF(ISBLANK(patch[[#This Row],[project]]), "",COUNTIFS($A:$A,patch[[#This Row],[number]],$S:$S, "SH And dev",$AC:$AC, "Review-1"))</f>
        <v/>
      </c>
      <c r="Z2677" s="7" t="str">
        <f>IF(ISBLANK(patch[[#This Row],[project]]), "",COUNTIFS($A:$A,patch[[#This Row],[number]],$S:$S, "BJ And dev",$AD:$AD, "&lt;&gt;IntegratorValidationComment"))</f>
        <v/>
      </c>
      <c r="AA2677" s="7" t="str">
        <f>IF(ISBLANK(patch[[#This Row],[project]]), "",COUNTIFS($A:$A,patch[[#This Row],[number]],$S:$S, "FL And dev",$AD:$AD, "&lt;&gt;IntegratorValidationComment"))</f>
        <v/>
      </c>
      <c r="AB2677" s="7" t="str">
        <f>IF(ISBLANK(patch[[#This Row],[project]]), "",COUNTIFS($A:$A,patch[[#This Row],[number]],$S:$S, "SH And dev",$AD:$AD, "&lt;&gt;IntegratorValidationComment"))</f>
        <v/>
      </c>
      <c r="AC2677" s="7" t="str">
        <f>IF(OR(ISNUMBER(FIND("Review-1", patch[[#This Row],[comments]])), ISNUMBER(FIND("Approver-1", patch[[#This Row],[comments]]))), "Review-1", "")</f>
        <v/>
      </c>
      <c r="AD26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77" s="7">
        <f>IF(ISBLANK(patch[[#This Row],[number]]),AE2676,patch[[#This Row],[ifCommon]])</f>
        <v>0</v>
      </c>
    </row>
    <row r="2678" spans="1:31">
      <c r="A2678" s="151">
        <v>139989</v>
      </c>
      <c r="B2678" s="151" t="s">
        <v>2493</v>
      </c>
      <c r="C2678" s="151" t="s">
        <v>2491</v>
      </c>
      <c r="D2678" s="151" t="s">
        <v>3935</v>
      </c>
      <c r="E2678" s="151" t="s">
        <v>35</v>
      </c>
      <c r="F2678" s="151" t="s">
        <v>23</v>
      </c>
      <c r="G2678" s="151" t="s">
        <v>3936</v>
      </c>
      <c r="H2678" s="151" t="s">
        <v>3937</v>
      </c>
      <c r="I2678" s="152">
        <v>42599.745185185187</v>
      </c>
      <c r="J2678" s="152">
        <v>42614.749976851846</v>
      </c>
      <c r="K2678" s="151" t="s">
        <v>2445</v>
      </c>
      <c r="L2678" s="151" t="s">
        <v>35</v>
      </c>
      <c r="M2678" s="152">
        <v>42599.745185185187</v>
      </c>
      <c r="N2678" s="151" t="s">
        <v>25</v>
      </c>
      <c r="O2678" s="151"/>
      <c r="P2678" s="151" t="s">
        <v>3938</v>
      </c>
      <c r="Q2678" s="7" t="str">
        <f>IF(ISBLANK(patch[[#This Row],[OwnerEmail]]),Q2677,patch[[#This Row],[OwnerEmail]])</f>
        <v>haipingx.yang@intel.com</v>
      </c>
      <c r="R2678" s="7" t="str">
        <f>_xlfn.IFNA(VLOOKUP(patch[[#This Row],[tmp-owner.email]],OrgTree!$A:$K, 11, 0), "not ICG SWFW")</f>
        <v>BJ And dev</v>
      </c>
      <c r="S2678" s="7" t="str">
        <f>IF(patch[[#This Row],[reviewer]]=patch[[#This Row],[tmp-owner.email]], "author", _xlfn.IFNA(VLOOKUP(patch[[#This Row],[reviewer]],OrgTree!$A:$K, 11, 0), "not ICG SWFW"))</f>
        <v>author</v>
      </c>
      <c r="T2678" s="7" t="str">
        <f>IF(ISBLANK(patch[[#This Row],[mergeDate]]), "", MID(YEAR(patch[[#This Row],[mergeDate]]), 3,2)&amp;"'ww"&amp;WEEKNUM(patch[[#This Row],[mergeDate]]))</f>
        <v>16'ww36</v>
      </c>
      <c r="U2678" s="7" t="str">
        <f>IF(ISBLANK(patch[[#This Row],[mergeDate]]), U2677, MID(YEAR(patch[[#This Row],[mergeDate]]), 3,2)&amp;"'m"&amp;MONTH(patch[[#This Row],[mergeDate]]))</f>
        <v>16'm9</v>
      </c>
      <c r="V2678" s="7">
        <f>IF(ISBLANK(patch[[#This Row],[project]]), "",SUM(patch[[#This Row],[BJ -1 num]:[SH -1 num]]))</f>
        <v>0</v>
      </c>
      <c r="W2678" s="7">
        <f>IF(ISBLANK(patch[[#This Row],[project]]), "",COUNTIFS($A:$A,patch[[#This Row],[number]],$S:$S, "BJ And dev",$AC:$AC, "Review-1"))</f>
        <v>0</v>
      </c>
      <c r="X2678" s="7">
        <f>IF(ISBLANK(patch[[#This Row],[project]]), "",COUNTIFS($A:$A,patch[[#This Row],[number]],$S:$S, "FL And dev",$AC:$AC, "Review-1"))</f>
        <v>0</v>
      </c>
      <c r="Y2678" s="7">
        <f>IF(ISBLANK(patch[[#This Row],[project]]), "",COUNTIFS($A:$A,patch[[#This Row],[number]],$S:$S, "SH And dev",$AC:$AC, "Review-1"))</f>
        <v>0</v>
      </c>
      <c r="Z2678" s="7">
        <f>IF(ISBLANK(patch[[#This Row],[project]]), "",COUNTIFS($A:$A,patch[[#This Row],[number]],$S:$S, "BJ And dev",$AD:$AD, "&lt;&gt;IntegratorValidationComment"))</f>
        <v>6</v>
      </c>
      <c r="AA2678" s="7">
        <f>IF(ISBLANK(patch[[#This Row],[project]]), "",COUNTIFS($A:$A,patch[[#This Row],[number]],$S:$S, "FL And dev",$AD:$AD, "&lt;&gt;IntegratorValidationComment"))</f>
        <v>0</v>
      </c>
      <c r="AB2678" s="7">
        <f>IF(ISBLANK(patch[[#This Row],[project]]), "",COUNTIFS($A:$A,patch[[#This Row],[number]],$S:$S, "SH And dev",$AD:$AD, "&lt;&gt;IntegratorValidationComment"))</f>
        <v>0</v>
      </c>
      <c r="AC2678" s="7" t="str">
        <f>IF(OR(ISNUMBER(FIND("Review-1", patch[[#This Row],[comments]])), ISNUMBER(FIND("Approver-1", patch[[#This Row],[comments]]))), "Review-1", "")</f>
        <v/>
      </c>
      <c r="AD26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78" s="7" t="str">
        <f>IF(ISBLANK(patch[[#This Row],[number]]),AE2677,patch[[#This Row],[ifCommon]])</f>
        <v>not AndrHAL</v>
      </c>
    </row>
    <row r="2679" spans="1:31">
      <c r="A2679" s="151">
        <v>139989</v>
      </c>
      <c r="B2679" s="151"/>
      <c r="C2679" s="151"/>
      <c r="D2679" s="151"/>
      <c r="E2679" s="151"/>
      <c r="F2679" s="151"/>
      <c r="G2679" s="151"/>
      <c r="H2679" s="151"/>
      <c r="I2679" s="151"/>
      <c r="J2679" s="152">
        <v>42614.749976851846</v>
      </c>
      <c r="K2679" s="151"/>
      <c r="L2679" s="151" t="s">
        <v>35</v>
      </c>
      <c r="M2679" s="152">
        <v>42599.745196759257</v>
      </c>
      <c r="N2679" s="151" t="s">
        <v>2428</v>
      </c>
      <c r="O2679" s="151"/>
      <c r="P2679" s="151"/>
      <c r="Q2679" s="7" t="str">
        <f>IF(ISBLANK(patch[[#This Row],[OwnerEmail]]),Q2678,patch[[#This Row],[OwnerEmail]])</f>
        <v>haipingx.yang@intel.com</v>
      </c>
      <c r="R2679" s="7" t="str">
        <f>_xlfn.IFNA(VLOOKUP(patch[[#This Row],[tmp-owner.email]],OrgTree!$A:$K, 11, 0), "not ICG SWFW")</f>
        <v>BJ And dev</v>
      </c>
      <c r="S2679" s="7" t="str">
        <f>IF(patch[[#This Row],[reviewer]]=patch[[#This Row],[tmp-owner.email]], "author", _xlfn.IFNA(VLOOKUP(patch[[#This Row],[reviewer]],OrgTree!$A:$K, 11, 0), "not ICG SWFW"))</f>
        <v>author</v>
      </c>
      <c r="T2679" s="7" t="str">
        <f>IF(ISBLANK(patch[[#This Row],[mergeDate]]), "", MID(YEAR(patch[[#This Row],[mergeDate]]), 3,2)&amp;"'ww"&amp;WEEKNUM(patch[[#This Row],[mergeDate]]))</f>
        <v>16'ww36</v>
      </c>
      <c r="U2679" s="7" t="str">
        <f>IF(ISBLANK(patch[[#This Row],[mergeDate]]), U2678, MID(YEAR(patch[[#This Row],[mergeDate]]), 3,2)&amp;"'m"&amp;MONTH(patch[[#This Row],[mergeDate]]))</f>
        <v>16'm9</v>
      </c>
      <c r="V2679" s="7" t="str">
        <f>IF(ISBLANK(patch[[#This Row],[project]]), "",SUM(patch[[#This Row],[BJ -1 num]:[SH -1 num]]))</f>
        <v/>
      </c>
      <c r="W2679" s="7" t="str">
        <f>IF(ISBLANK(patch[[#This Row],[project]]), "",COUNTIFS($A:$A,patch[[#This Row],[number]],$S:$S, "BJ And dev",$AC:$AC, "Review-1"))</f>
        <v/>
      </c>
      <c r="X2679" s="7" t="str">
        <f>IF(ISBLANK(patch[[#This Row],[project]]), "",COUNTIFS($A:$A,patch[[#This Row],[number]],$S:$S, "FL And dev",$AC:$AC, "Review-1"))</f>
        <v/>
      </c>
      <c r="Y2679" s="7" t="str">
        <f>IF(ISBLANK(patch[[#This Row],[project]]), "",COUNTIFS($A:$A,patch[[#This Row],[number]],$S:$S, "SH And dev",$AC:$AC, "Review-1"))</f>
        <v/>
      </c>
      <c r="Z2679" s="7" t="str">
        <f>IF(ISBLANK(patch[[#This Row],[project]]), "",COUNTIFS($A:$A,patch[[#This Row],[number]],$S:$S, "BJ And dev",$AD:$AD, "&lt;&gt;IntegratorValidationComment"))</f>
        <v/>
      </c>
      <c r="AA2679" s="7" t="str">
        <f>IF(ISBLANK(patch[[#This Row],[project]]), "",COUNTIFS($A:$A,patch[[#This Row],[number]],$S:$S, "FL And dev",$AD:$AD, "&lt;&gt;IntegratorValidationComment"))</f>
        <v/>
      </c>
      <c r="AB2679" s="7" t="str">
        <f>IF(ISBLANK(patch[[#This Row],[project]]), "",COUNTIFS($A:$A,patch[[#This Row],[number]],$S:$S, "SH And dev",$AD:$AD, "&lt;&gt;IntegratorValidationComment"))</f>
        <v/>
      </c>
      <c r="AC2679" s="7" t="str">
        <f>IF(OR(ISNUMBER(FIND("Review-1", patch[[#This Row],[comments]])), ISNUMBER(FIND("Approver-1", patch[[#This Row],[comments]]))), "Review-1", "")</f>
        <v/>
      </c>
      <c r="AD26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79" s="7">
        <f>IF(ISBLANK(patch[[#This Row],[number]]),AE2678,patch[[#This Row],[ifCommon]])</f>
        <v>0</v>
      </c>
    </row>
    <row r="2680" spans="1:31">
      <c r="A2680" s="151">
        <v>139989</v>
      </c>
      <c r="B2680" s="151"/>
      <c r="C2680" s="151"/>
      <c r="D2680" s="151"/>
      <c r="E2680" s="151"/>
      <c r="F2680" s="151"/>
      <c r="G2680" s="151"/>
      <c r="H2680" s="151"/>
      <c r="I2680" s="151"/>
      <c r="J2680" s="152">
        <v>42614.749976851846</v>
      </c>
      <c r="K2680" s="151"/>
      <c r="L2680" s="151" t="s">
        <v>35</v>
      </c>
      <c r="M2680" s="152">
        <v>42599.787754629629</v>
      </c>
      <c r="N2680" s="151" t="s">
        <v>40</v>
      </c>
      <c r="O2680" s="151"/>
      <c r="P2680" s="151"/>
      <c r="Q2680" s="7" t="str">
        <f>IF(ISBLANK(patch[[#This Row],[OwnerEmail]]),Q2679,patch[[#This Row],[OwnerEmail]])</f>
        <v>haipingx.yang@intel.com</v>
      </c>
      <c r="R2680" s="7" t="str">
        <f>_xlfn.IFNA(VLOOKUP(patch[[#This Row],[tmp-owner.email]],OrgTree!$A:$K, 11, 0), "not ICG SWFW")</f>
        <v>BJ And dev</v>
      </c>
      <c r="S2680" s="7" t="str">
        <f>IF(patch[[#This Row],[reviewer]]=patch[[#This Row],[tmp-owner.email]], "author", _xlfn.IFNA(VLOOKUP(patch[[#This Row],[reviewer]],OrgTree!$A:$K, 11, 0), "not ICG SWFW"))</f>
        <v>author</v>
      </c>
      <c r="T2680" s="7" t="str">
        <f>IF(ISBLANK(patch[[#This Row],[mergeDate]]), "", MID(YEAR(patch[[#This Row],[mergeDate]]), 3,2)&amp;"'ww"&amp;WEEKNUM(patch[[#This Row],[mergeDate]]))</f>
        <v>16'ww36</v>
      </c>
      <c r="U2680" s="7" t="str">
        <f>IF(ISBLANK(patch[[#This Row],[mergeDate]]), U2679, MID(YEAR(patch[[#This Row],[mergeDate]]), 3,2)&amp;"'m"&amp;MONTH(patch[[#This Row],[mergeDate]]))</f>
        <v>16'm9</v>
      </c>
      <c r="V2680" s="7" t="str">
        <f>IF(ISBLANK(patch[[#This Row],[project]]), "",SUM(patch[[#This Row],[BJ -1 num]:[SH -1 num]]))</f>
        <v/>
      </c>
      <c r="W2680" s="7" t="str">
        <f>IF(ISBLANK(patch[[#This Row],[project]]), "",COUNTIFS($A:$A,patch[[#This Row],[number]],$S:$S, "BJ And dev",$AC:$AC, "Review-1"))</f>
        <v/>
      </c>
      <c r="X2680" s="7" t="str">
        <f>IF(ISBLANK(patch[[#This Row],[project]]), "",COUNTIFS($A:$A,patch[[#This Row],[number]],$S:$S, "FL And dev",$AC:$AC, "Review-1"))</f>
        <v/>
      </c>
      <c r="Y2680" s="7" t="str">
        <f>IF(ISBLANK(patch[[#This Row],[project]]), "",COUNTIFS($A:$A,patch[[#This Row],[number]],$S:$S, "SH And dev",$AC:$AC, "Review-1"))</f>
        <v/>
      </c>
      <c r="Z2680" s="7" t="str">
        <f>IF(ISBLANK(patch[[#This Row],[project]]), "",COUNTIFS($A:$A,patch[[#This Row],[number]],$S:$S, "BJ And dev",$AD:$AD, "&lt;&gt;IntegratorValidationComment"))</f>
        <v/>
      </c>
      <c r="AA2680" s="7" t="str">
        <f>IF(ISBLANK(patch[[#This Row],[project]]), "",COUNTIFS($A:$A,patch[[#This Row],[number]],$S:$S, "FL And dev",$AD:$AD, "&lt;&gt;IntegratorValidationComment"))</f>
        <v/>
      </c>
      <c r="AB2680" s="7" t="str">
        <f>IF(ISBLANK(patch[[#This Row],[project]]), "",COUNTIFS($A:$A,patch[[#This Row],[number]],$S:$S, "SH And dev",$AD:$AD, "&lt;&gt;IntegratorValidationComment"))</f>
        <v/>
      </c>
      <c r="AC2680" s="7" t="str">
        <f>IF(OR(ISNUMBER(FIND("Review-1", patch[[#This Row],[comments]])), ISNUMBER(FIND("Approver-1", patch[[#This Row],[comments]]))), "Review-1", "")</f>
        <v/>
      </c>
      <c r="AD26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80" s="7">
        <f>IF(ISBLANK(patch[[#This Row],[number]]),AE2679,patch[[#This Row],[ifCommon]])</f>
        <v>0</v>
      </c>
    </row>
    <row r="2681" spans="1:31">
      <c r="A2681" s="151">
        <v>139989</v>
      </c>
      <c r="B2681" s="151"/>
      <c r="C2681" s="151"/>
      <c r="D2681" s="151"/>
      <c r="E2681" s="151"/>
      <c r="F2681" s="151"/>
      <c r="G2681" s="151"/>
      <c r="H2681" s="151"/>
      <c r="I2681" s="151"/>
      <c r="J2681" s="152">
        <v>42614.749976851846</v>
      </c>
      <c r="K2681" s="151"/>
      <c r="L2681" s="151" t="s">
        <v>32</v>
      </c>
      <c r="M2681" s="152">
        <v>42599.857939814807</v>
      </c>
      <c r="N2681" s="151" t="s">
        <v>40</v>
      </c>
      <c r="O2681" s="151"/>
      <c r="P2681" s="151"/>
      <c r="Q2681" s="7" t="str">
        <f>IF(ISBLANK(patch[[#This Row],[OwnerEmail]]),Q2680,patch[[#This Row],[OwnerEmail]])</f>
        <v>haipingx.yang@intel.com</v>
      </c>
      <c r="R2681" s="7" t="str">
        <f>_xlfn.IFNA(VLOOKUP(patch[[#This Row],[tmp-owner.email]],OrgTree!$A:$K, 11, 0), "not ICG SWFW")</f>
        <v>BJ And dev</v>
      </c>
      <c r="S2681" s="7" t="str">
        <f>IF(patch[[#This Row],[reviewer]]=patch[[#This Row],[tmp-owner.email]], "author", _xlfn.IFNA(VLOOKUP(patch[[#This Row],[reviewer]],OrgTree!$A:$K, 11, 0), "not ICG SWFW"))</f>
        <v>BJ And dev</v>
      </c>
      <c r="T2681" s="7" t="str">
        <f>IF(ISBLANK(patch[[#This Row],[mergeDate]]), "", MID(YEAR(patch[[#This Row],[mergeDate]]), 3,2)&amp;"'ww"&amp;WEEKNUM(patch[[#This Row],[mergeDate]]))</f>
        <v>16'ww36</v>
      </c>
      <c r="U2681" s="7" t="str">
        <f>IF(ISBLANK(patch[[#This Row],[mergeDate]]), U2680, MID(YEAR(patch[[#This Row],[mergeDate]]), 3,2)&amp;"'m"&amp;MONTH(patch[[#This Row],[mergeDate]]))</f>
        <v>16'm9</v>
      </c>
      <c r="V2681" s="7" t="str">
        <f>IF(ISBLANK(patch[[#This Row],[project]]), "",SUM(patch[[#This Row],[BJ -1 num]:[SH -1 num]]))</f>
        <v/>
      </c>
      <c r="W2681" s="7" t="str">
        <f>IF(ISBLANK(patch[[#This Row],[project]]), "",COUNTIFS($A:$A,patch[[#This Row],[number]],$S:$S, "BJ And dev",$AC:$AC, "Review-1"))</f>
        <v/>
      </c>
      <c r="X2681" s="7" t="str">
        <f>IF(ISBLANK(patch[[#This Row],[project]]), "",COUNTIFS($A:$A,patch[[#This Row],[number]],$S:$S, "FL And dev",$AC:$AC, "Review-1"))</f>
        <v/>
      </c>
      <c r="Y2681" s="7" t="str">
        <f>IF(ISBLANK(patch[[#This Row],[project]]), "",COUNTIFS($A:$A,patch[[#This Row],[number]],$S:$S, "SH And dev",$AC:$AC, "Review-1"))</f>
        <v/>
      </c>
      <c r="Z2681" s="7" t="str">
        <f>IF(ISBLANK(patch[[#This Row],[project]]), "",COUNTIFS($A:$A,patch[[#This Row],[number]],$S:$S, "BJ And dev",$AD:$AD, "&lt;&gt;IntegratorValidationComment"))</f>
        <v/>
      </c>
      <c r="AA2681" s="7" t="str">
        <f>IF(ISBLANK(patch[[#This Row],[project]]), "",COUNTIFS($A:$A,patch[[#This Row],[number]],$S:$S, "FL And dev",$AD:$AD, "&lt;&gt;IntegratorValidationComment"))</f>
        <v/>
      </c>
      <c r="AB2681" s="7" t="str">
        <f>IF(ISBLANK(patch[[#This Row],[project]]), "",COUNTIFS($A:$A,patch[[#This Row],[number]],$S:$S, "SH And dev",$AD:$AD, "&lt;&gt;IntegratorValidationComment"))</f>
        <v/>
      </c>
      <c r="AC2681" s="7" t="str">
        <f>IF(OR(ISNUMBER(FIND("Review-1", patch[[#This Row],[comments]])), ISNUMBER(FIND("Approver-1", patch[[#This Row],[comments]]))), "Review-1", "")</f>
        <v/>
      </c>
      <c r="AD26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81" s="7">
        <f>IF(ISBLANK(patch[[#This Row],[number]]),AE2680,patch[[#This Row],[ifCommon]])</f>
        <v>0</v>
      </c>
    </row>
    <row r="2682" spans="1:31">
      <c r="A2682" s="151">
        <v>139989</v>
      </c>
      <c r="B2682" s="151"/>
      <c r="C2682" s="151"/>
      <c r="D2682" s="151"/>
      <c r="E2682" s="151"/>
      <c r="F2682" s="151"/>
      <c r="G2682" s="151"/>
      <c r="H2682" s="151"/>
      <c r="I2682" s="151"/>
      <c r="J2682" s="152">
        <v>42614.749976851846</v>
      </c>
      <c r="K2682" s="151"/>
      <c r="L2682" s="151" t="s">
        <v>55</v>
      </c>
      <c r="M2682" s="152">
        <v>42600.360659722217</v>
      </c>
      <c r="N2682" s="151" t="s">
        <v>40</v>
      </c>
      <c r="O2682" s="151"/>
      <c r="P2682" s="151"/>
      <c r="Q2682" s="7" t="str">
        <f>IF(ISBLANK(patch[[#This Row],[OwnerEmail]]),Q2681,patch[[#This Row],[OwnerEmail]])</f>
        <v>haipingx.yang@intel.com</v>
      </c>
      <c r="R2682" s="7" t="str">
        <f>_xlfn.IFNA(VLOOKUP(patch[[#This Row],[tmp-owner.email]],OrgTree!$A:$K, 11, 0), "not ICG SWFW")</f>
        <v>BJ And dev</v>
      </c>
      <c r="S2682" s="7" t="str">
        <f>IF(patch[[#This Row],[reviewer]]=patch[[#This Row],[tmp-owner.email]], "author", _xlfn.IFNA(VLOOKUP(patch[[#This Row],[reviewer]],OrgTree!$A:$K, 11, 0), "not ICG SWFW"))</f>
        <v>BJ And dev</v>
      </c>
      <c r="T2682" s="7" t="str">
        <f>IF(ISBLANK(patch[[#This Row],[mergeDate]]), "", MID(YEAR(patch[[#This Row],[mergeDate]]), 3,2)&amp;"'ww"&amp;WEEKNUM(patch[[#This Row],[mergeDate]]))</f>
        <v>16'ww36</v>
      </c>
      <c r="U2682" s="7" t="str">
        <f>IF(ISBLANK(patch[[#This Row],[mergeDate]]), U2681, MID(YEAR(patch[[#This Row],[mergeDate]]), 3,2)&amp;"'m"&amp;MONTH(patch[[#This Row],[mergeDate]]))</f>
        <v>16'm9</v>
      </c>
      <c r="V2682" s="7" t="str">
        <f>IF(ISBLANK(patch[[#This Row],[project]]), "",SUM(patch[[#This Row],[BJ -1 num]:[SH -1 num]]))</f>
        <v/>
      </c>
      <c r="W2682" s="7" t="str">
        <f>IF(ISBLANK(patch[[#This Row],[project]]), "",COUNTIFS($A:$A,patch[[#This Row],[number]],$S:$S, "BJ And dev",$AC:$AC, "Review-1"))</f>
        <v/>
      </c>
      <c r="X2682" s="7" t="str">
        <f>IF(ISBLANK(patch[[#This Row],[project]]), "",COUNTIFS($A:$A,patch[[#This Row],[number]],$S:$S, "FL And dev",$AC:$AC, "Review-1"))</f>
        <v/>
      </c>
      <c r="Y2682" s="7" t="str">
        <f>IF(ISBLANK(patch[[#This Row],[project]]), "",COUNTIFS($A:$A,patch[[#This Row],[number]],$S:$S, "SH And dev",$AC:$AC, "Review-1"))</f>
        <v/>
      </c>
      <c r="Z2682" s="7" t="str">
        <f>IF(ISBLANK(patch[[#This Row],[project]]), "",COUNTIFS($A:$A,patch[[#This Row],[number]],$S:$S, "BJ And dev",$AD:$AD, "&lt;&gt;IntegratorValidationComment"))</f>
        <v/>
      </c>
      <c r="AA2682" s="7" t="str">
        <f>IF(ISBLANK(patch[[#This Row],[project]]), "",COUNTIFS($A:$A,patch[[#This Row],[number]],$S:$S, "FL And dev",$AD:$AD, "&lt;&gt;IntegratorValidationComment"))</f>
        <v/>
      </c>
      <c r="AB2682" s="7" t="str">
        <f>IF(ISBLANK(patch[[#This Row],[project]]), "",COUNTIFS($A:$A,patch[[#This Row],[number]],$S:$S, "SH And dev",$AD:$AD, "&lt;&gt;IntegratorValidationComment"))</f>
        <v/>
      </c>
      <c r="AC2682" s="7" t="str">
        <f>IF(OR(ISNUMBER(FIND("Review-1", patch[[#This Row],[comments]])), ISNUMBER(FIND("Approver-1", patch[[#This Row],[comments]]))), "Review-1", "")</f>
        <v/>
      </c>
      <c r="AD26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82" s="7">
        <f>IF(ISBLANK(patch[[#This Row],[number]]),AE2681,patch[[#This Row],[ifCommon]])</f>
        <v>0</v>
      </c>
    </row>
    <row r="2683" spans="1:31">
      <c r="A2683" s="151">
        <v>139989</v>
      </c>
      <c r="B2683" s="151"/>
      <c r="C2683" s="151"/>
      <c r="D2683" s="151"/>
      <c r="E2683" s="151"/>
      <c r="F2683" s="151"/>
      <c r="G2683" s="151"/>
      <c r="H2683" s="151"/>
      <c r="I2683" s="151"/>
      <c r="J2683" s="152">
        <v>42614.749976851846</v>
      </c>
      <c r="K2683" s="151"/>
      <c r="L2683" s="151" t="s">
        <v>35</v>
      </c>
      <c r="M2683" s="152">
        <v>42608.498055555552</v>
      </c>
      <c r="N2683" s="151" t="s">
        <v>2429</v>
      </c>
      <c r="O2683" s="151"/>
      <c r="P2683" s="151"/>
      <c r="Q2683" s="7" t="str">
        <f>IF(ISBLANK(patch[[#This Row],[OwnerEmail]]),Q2682,patch[[#This Row],[OwnerEmail]])</f>
        <v>haipingx.yang@intel.com</v>
      </c>
      <c r="R2683" s="7" t="str">
        <f>_xlfn.IFNA(VLOOKUP(patch[[#This Row],[tmp-owner.email]],OrgTree!$A:$K, 11, 0), "not ICG SWFW")</f>
        <v>BJ And dev</v>
      </c>
      <c r="S2683" s="7" t="str">
        <f>IF(patch[[#This Row],[reviewer]]=patch[[#This Row],[tmp-owner.email]], "author", _xlfn.IFNA(VLOOKUP(patch[[#This Row],[reviewer]],OrgTree!$A:$K, 11, 0), "not ICG SWFW"))</f>
        <v>author</v>
      </c>
      <c r="T2683" s="7" t="str">
        <f>IF(ISBLANK(patch[[#This Row],[mergeDate]]), "", MID(YEAR(patch[[#This Row],[mergeDate]]), 3,2)&amp;"'ww"&amp;WEEKNUM(patch[[#This Row],[mergeDate]]))</f>
        <v>16'ww36</v>
      </c>
      <c r="U2683" s="7" t="str">
        <f>IF(ISBLANK(patch[[#This Row],[mergeDate]]), U2682, MID(YEAR(patch[[#This Row],[mergeDate]]), 3,2)&amp;"'m"&amp;MONTH(patch[[#This Row],[mergeDate]]))</f>
        <v>16'm9</v>
      </c>
      <c r="V2683" s="7" t="str">
        <f>IF(ISBLANK(patch[[#This Row],[project]]), "",SUM(patch[[#This Row],[BJ -1 num]:[SH -1 num]]))</f>
        <v/>
      </c>
      <c r="W2683" s="7" t="str">
        <f>IF(ISBLANK(patch[[#This Row],[project]]), "",COUNTIFS($A:$A,patch[[#This Row],[number]],$S:$S, "BJ And dev",$AC:$AC, "Review-1"))</f>
        <v/>
      </c>
      <c r="X2683" s="7" t="str">
        <f>IF(ISBLANK(patch[[#This Row],[project]]), "",COUNTIFS($A:$A,patch[[#This Row],[number]],$S:$S, "FL And dev",$AC:$AC, "Review-1"))</f>
        <v/>
      </c>
      <c r="Y2683" s="7" t="str">
        <f>IF(ISBLANK(patch[[#This Row],[project]]), "",COUNTIFS($A:$A,patch[[#This Row],[number]],$S:$S, "SH And dev",$AC:$AC, "Review-1"))</f>
        <v/>
      </c>
      <c r="Z2683" s="7" t="str">
        <f>IF(ISBLANK(patch[[#This Row],[project]]), "",COUNTIFS($A:$A,patch[[#This Row],[number]],$S:$S, "BJ And dev",$AD:$AD, "&lt;&gt;IntegratorValidationComment"))</f>
        <v/>
      </c>
      <c r="AA2683" s="7" t="str">
        <f>IF(ISBLANK(patch[[#This Row],[project]]), "",COUNTIFS($A:$A,patch[[#This Row],[number]],$S:$S, "FL And dev",$AD:$AD, "&lt;&gt;IntegratorValidationComment"))</f>
        <v/>
      </c>
      <c r="AB2683" s="7" t="str">
        <f>IF(ISBLANK(patch[[#This Row],[project]]), "",COUNTIFS($A:$A,patch[[#This Row],[number]],$S:$S, "SH And dev",$AD:$AD, "&lt;&gt;IntegratorValidationComment"))</f>
        <v/>
      </c>
      <c r="AC2683" s="7" t="str">
        <f>IF(OR(ISNUMBER(FIND("Review-1", patch[[#This Row],[comments]])), ISNUMBER(FIND("Approver-1", patch[[#This Row],[comments]]))), "Review-1", "")</f>
        <v/>
      </c>
      <c r="AD26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83" s="7">
        <f>IF(ISBLANK(patch[[#This Row],[number]]),AE2682,patch[[#This Row],[ifCommon]])</f>
        <v>0</v>
      </c>
    </row>
    <row r="2684" spans="1:31">
      <c r="A2684" s="151">
        <v>139989</v>
      </c>
      <c r="B2684" s="151"/>
      <c r="C2684" s="151"/>
      <c r="D2684" s="151"/>
      <c r="E2684" s="151"/>
      <c r="F2684" s="151"/>
      <c r="G2684" s="151"/>
      <c r="H2684" s="151"/>
      <c r="I2684" s="151"/>
      <c r="J2684" s="152">
        <v>42614.749976851846</v>
      </c>
      <c r="K2684" s="151"/>
      <c r="L2684" s="151" t="s">
        <v>35</v>
      </c>
      <c r="M2684" s="152">
        <v>42608.498055555552</v>
      </c>
      <c r="N2684" s="151" t="s">
        <v>29</v>
      </c>
      <c r="O2684" s="151"/>
      <c r="P2684" s="151"/>
      <c r="Q2684" s="7" t="str">
        <f>IF(ISBLANK(patch[[#This Row],[OwnerEmail]]),Q2683,patch[[#This Row],[OwnerEmail]])</f>
        <v>haipingx.yang@intel.com</v>
      </c>
      <c r="R2684" s="7" t="str">
        <f>_xlfn.IFNA(VLOOKUP(patch[[#This Row],[tmp-owner.email]],OrgTree!$A:$K, 11, 0), "not ICG SWFW")</f>
        <v>BJ And dev</v>
      </c>
      <c r="S2684" s="7" t="str">
        <f>IF(patch[[#This Row],[reviewer]]=patch[[#This Row],[tmp-owner.email]], "author", _xlfn.IFNA(VLOOKUP(patch[[#This Row],[reviewer]],OrgTree!$A:$K, 11, 0), "not ICG SWFW"))</f>
        <v>author</v>
      </c>
      <c r="T2684" s="7" t="str">
        <f>IF(ISBLANK(patch[[#This Row],[mergeDate]]), "", MID(YEAR(patch[[#This Row],[mergeDate]]), 3,2)&amp;"'ww"&amp;WEEKNUM(patch[[#This Row],[mergeDate]]))</f>
        <v>16'ww36</v>
      </c>
      <c r="U2684" s="7" t="str">
        <f>IF(ISBLANK(patch[[#This Row],[mergeDate]]), U2683, MID(YEAR(patch[[#This Row],[mergeDate]]), 3,2)&amp;"'m"&amp;MONTH(patch[[#This Row],[mergeDate]]))</f>
        <v>16'm9</v>
      </c>
      <c r="V2684" s="7" t="str">
        <f>IF(ISBLANK(patch[[#This Row],[project]]), "",SUM(patch[[#This Row],[BJ -1 num]:[SH -1 num]]))</f>
        <v/>
      </c>
      <c r="W2684" s="7" t="str">
        <f>IF(ISBLANK(patch[[#This Row],[project]]), "",COUNTIFS($A:$A,patch[[#This Row],[number]],$S:$S, "BJ And dev",$AC:$AC, "Review-1"))</f>
        <v/>
      </c>
      <c r="X2684" s="7" t="str">
        <f>IF(ISBLANK(patch[[#This Row],[project]]), "",COUNTIFS($A:$A,patch[[#This Row],[number]],$S:$S, "FL And dev",$AC:$AC, "Review-1"))</f>
        <v/>
      </c>
      <c r="Y2684" s="7" t="str">
        <f>IF(ISBLANK(patch[[#This Row],[project]]), "",COUNTIFS($A:$A,patch[[#This Row],[number]],$S:$S, "SH And dev",$AC:$AC, "Review-1"))</f>
        <v/>
      </c>
      <c r="Z2684" s="7" t="str">
        <f>IF(ISBLANK(patch[[#This Row],[project]]), "",COUNTIFS($A:$A,patch[[#This Row],[number]],$S:$S, "BJ And dev",$AD:$AD, "&lt;&gt;IntegratorValidationComment"))</f>
        <v/>
      </c>
      <c r="AA2684" s="7" t="str">
        <f>IF(ISBLANK(patch[[#This Row],[project]]), "",COUNTIFS($A:$A,patch[[#This Row],[number]],$S:$S, "FL And dev",$AD:$AD, "&lt;&gt;IntegratorValidationComment"))</f>
        <v/>
      </c>
      <c r="AB2684" s="7" t="str">
        <f>IF(ISBLANK(patch[[#This Row],[project]]), "",COUNTIFS($A:$A,patch[[#This Row],[number]],$S:$S, "SH And dev",$AD:$AD, "&lt;&gt;IntegratorValidationComment"))</f>
        <v/>
      </c>
      <c r="AC2684" s="7" t="str">
        <f>IF(OR(ISNUMBER(FIND("Review-1", patch[[#This Row],[comments]])), ISNUMBER(FIND("Approver-1", patch[[#This Row],[comments]]))), "Review-1", "")</f>
        <v/>
      </c>
      <c r="AD26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84" s="7">
        <f>IF(ISBLANK(patch[[#This Row],[number]]),AE2683,patch[[#This Row],[ifCommon]])</f>
        <v>0</v>
      </c>
    </row>
    <row r="2685" spans="1:31">
      <c r="A2685" s="151">
        <v>139989</v>
      </c>
      <c r="B2685" s="151"/>
      <c r="C2685" s="151"/>
      <c r="D2685" s="151"/>
      <c r="E2685" s="151"/>
      <c r="F2685" s="151"/>
      <c r="G2685" s="151"/>
      <c r="H2685" s="151"/>
      <c r="I2685" s="152"/>
      <c r="J2685" s="152">
        <v>42614.749976851846</v>
      </c>
      <c r="K2685" s="151"/>
      <c r="L2685" s="151" t="s">
        <v>59</v>
      </c>
      <c r="M2685" s="152">
        <v>42608.500497685192</v>
      </c>
      <c r="N2685" s="151" t="s">
        <v>3939</v>
      </c>
      <c r="O2685" s="151"/>
      <c r="P2685" s="151"/>
      <c r="Q2685" s="7" t="str">
        <f>IF(ISBLANK(patch[[#This Row],[OwnerEmail]]),Q2684,patch[[#This Row],[OwnerEmail]])</f>
        <v>haipingx.yang@intel.com</v>
      </c>
      <c r="R2685" s="7" t="str">
        <f>_xlfn.IFNA(VLOOKUP(patch[[#This Row],[tmp-owner.email]],OrgTree!$A:$K, 11, 0), "not ICG SWFW")</f>
        <v>BJ And dev</v>
      </c>
      <c r="S2685" s="7" t="str">
        <f>IF(patch[[#This Row],[reviewer]]=patch[[#This Row],[tmp-owner.email]], "author", _xlfn.IFNA(VLOOKUP(patch[[#This Row],[reviewer]],OrgTree!$A:$K, 11, 0), "not ICG SWFW"))</f>
        <v>BJ And dev</v>
      </c>
      <c r="T2685" s="7" t="str">
        <f>IF(ISBLANK(patch[[#This Row],[mergeDate]]), "", MID(YEAR(patch[[#This Row],[mergeDate]]), 3,2)&amp;"'ww"&amp;WEEKNUM(patch[[#This Row],[mergeDate]]))</f>
        <v>16'ww36</v>
      </c>
      <c r="U2685" s="7" t="str">
        <f>IF(ISBLANK(patch[[#This Row],[mergeDate]]), U2684, MID(YEAR(patch[[#This Row],[mergeDate]]), 3,2)&amp;"'m"&amp;MONTH(patch[[#This Row],[mergeDate]]))</f>
        <v>16'm9</v>
      </c>
      <c r="V2685" s="7" t="str">
        <f>IF(ISBLANK(patch[[#This Row],[project]]), "",SUM(patch[[#This Row],[BJ -1 num]:[SH -1 num]]))</f>
        <v/>
      </c>
      <c r="W2685" s="7" t="str">
        <f>IF(ISBLANK(patch[[#This Row],[project]]), "",COUNTIFS($A:$A,patch[[#This Row],[number]],$S:$S, "BJ And dev",$AC:$AC, "Review-1"))</f>
        <v/>
      </c>
      <c r="X2685" s="7" t="str">
        <f>IF(ISBLANK(patch[[#This Row],[project]]), "",COUNTIFS($A:$A,patch[[#This Row],[number]],$S:$S, "FL And dev",$AC:$AC, "Review-1"))</f>
        <v/>
      </c>
      <c r="Y2685" s="7" t="str">
        <f>IF(ISBLANK(patch[[#This Row],[project]]), "",COUNTIFS($A:$A,patch[[#This Row],[number]],$S:$S, "SH And dev",$AC:$AC, "Review-1"))</f>
        <v/>
      </c>
      <c r="Z2685" s="7" t="str">
        <f>IF(ISBLANK(patch[[#This Row],[project]]), "",COUNTIFS($A:$A,patch[[#This Row],[number]],$S:$S, "BJ And dev",$AD:$AD, "&lt;&gt;IntegratorValidationComment"))</f>
        <v/>
      </c>
      <c r="AA2685" s="7" t="str">
        <f>IF(ISBLANK(patch[[#This Row],[project]]), "",COUNTIFS($A:$A,patch[[#This Row],[number]],$S:$S, "FL And dev",$AD:$AD, "&lt;&gt;IntegratorValidationComment"))</f>
        <v/>
      </c>
      <c r="AB2685" s="7" t="str">
        <f>IF(ISBLANK(patch[[#This Row],[project]]), "",COUNTIFS($A:$A,patch[[#This Row],[number]],$S:$S, "SH And dev",$AD:$AD, "&lt;&gt;IntegratorValidationComment"))</f>
        <v/>
      </c>
      <c r="AC2685" s="7" t="str">
        <f>IF(OR(ISNUMBER(FIND("Review-1", patch[[#This Row],[comments]])), ISNUMBER(FIND("Approver-1", patch[[#This Row],[comments]]))), "Review-1", "")</f>
        <v/>
      </c>
      <c r="AD26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85" s="7">
        <f>IF(ISBLANK(patch[[#This Row],[number]]),AE2684,patch[[#This Row],[ifCommon]])</f>
        <v>0</v>
      </c>
    </row>
    <row r="2686" spans="1:31">
      <c r="A2686" s="151">
        <v>139989</v>
      </c>
      <c r="B2686" s="151"/>
      <c r="C2686" s="151"/>
      <c r="D2686" s="151"/>
      <c r="E2686" s="151"/>
      <c r="F2686" s="151"/>
      <c r="G2686" s="151"/>
      <c r="H2686" s="151"/>
      <c r="I2686" s="151"/>
      <c r="J2686" s="152">
        <v>42614.749976851846</v>
      </c>
      <c r="K2686" s="151"/>
      <c r="L2686" s="151" t="s">
        <v>35</v>
      </c>
      <c r="M2686" s="152">
        <v>42608.501898148148</v>
      </c>
      <c r="N2686" s="151" t="s">
        <v>27</v>
      </c>
      <c r="O2686" s="151"/>
      <c r="P2686" s="151"/>
      <c r="Q2686" s="7" t="str">
        <f>IF(ISBLANK(patch[[#This Row],[OwnerEmail]]),Q2685,patch[[#This Row],[OwnerEmail]])</f>
        <v>haipingx.yang@intel.com</v>
      </c>
      <c r="R2686" s="7" t="str">
        <f>_xlfn.IFNA(VLOOKUP(patch[[#This Row],[tmp-owner.email]],OrgTree!$A:$K, 11, 0), "not ICG SWFW")</f>
        <v>BJ And dev</v>
      </c>
      <c r="S2686" s="7" t="str">
        <f>IF(patch[[#This Row],[reviewer]]=patch[[#This Row],[tmp-owner.email]], "author", _xlfn.IFNA(VLOOKUP(patch[[#This Row],[reviewer]],OrgTree!$A:$K, 11, 0), "not ICG SWFW"))</f>
        <v>author</v>
      </c>
      <c r="T2686" s="7" t="str">
        <f>IF(ISBLANK(patch[[#This Row],[mergeDate]]), "", MID(YEAR(patch[[#This Row],[mergeDate]]), 3,2)&amp;"'ww"&amp;WEEKNUM(patch[[#This Row],[mergeDate]]))</f>
        <v>16'ww36</v>
      </c>
      <c r="U2686" s="7" t="str">
        <f>IF(ISBLANK(patch[[#This Row],[mergeDate]]), U2685, MID(YEAR(patch[[#This Row],[mergeDate]]), 3,2)&amp;"'m"&amp;MONTH(patch[[#This Row],[mergeDate]]))</f>
        <v>16'm9</v>
      </c>
      <c r="V2686" s="7" t="str">
        <f>IF(ISBLANK(patch[[#This Row],[project]]), "",SUM(patch[[#This Row],[BJ -1 num]:[SH -1 num]]))</f>
        <v/>
      </c>
      <c r="W2686" s="7" t="str">
        <f>IF(ISBLANK(patch[[#This Row],[project]]), "",COUNTIFS($A:$A,patch[[#This Row],[number]],$S:$S, "BJ And dev",$AC:$AC, "Review-1"))</f>
        <v/>
      </c>
      <c r="X2686" s="7" t="str">
        <f>IF(ISBLANK(patch[[#This Row],[project]]), "",COUNTIFS($A:$A,patch[[#This Row],[number]],$S:$S, "FL And dev",$AC:$AC, "Review-1"))</f>
        <v/>
      </c>
      <c r="Y2686" s="7" t="str">
        <f>IF(ISBLANK(patch[[#This Row],[project]]), "",COUNTIFS($A:$A,patch[[#This Row],[number]],$S:$S, "SH And dev",$AC:$AC, "Review-1"))</f>
        <v/>
      </c>
      <c r="Z2686" s="7" t="str">
        <f>IF(ISBLANK(patch[[#This Row],[project]]), "",COUNTIFS($A:$A,patch[[#This Row],[number]],$S:$S, "BJ And dev",$AD:$AD, "&lt;&gt;IntegratorValidationComment"))</f>
        <v/>
      </c>
      <c r="AA2686" s="7" t="str">
        <f>IF(ISBLANK(patch[[#This Row],[project]]), "",COUNTIFS($A:$A,patch[[#This Row],[number]],$S:$S, "FL And dev",$AD:$AD, "&lt;&gt;IntegratorValidationComment"))</f>
        <v/>
      </c>
      <c r="AB2686" s="7" t="str">
        <f>IF(ISBLANK(patch[[#This Row],[project]]), "",COUNTIFS($A:$A,patch[[#This Row],[number]],$S:$S, "SH And dev",$AD:$AD, "&lt;&gt;IntegratorValidationComment"))</f>
        <v/>
      </c>
      <c r="AC2686" s="7" t="str">
        <f>IF(OR(ISNUMBER(FIND("Review-1", patch[[#This Row],[comments]])), ISNUMBER(FIND("Approver-1", patch[[#This Row],[comments]]))), "Review-1", "")</f>
        <v/>
      </c>
      <c r="AD26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86" s="7">
        <f>IF(ISBLANK(patch[[#This Row],[number]]),AE2685,patch[[#This Row],[ifCommon]])</f>
        <v>0</v>
      </c>
    </row>
    <row r="2687" spans="1:31">
      <c r="A2687" s="151">
        <v>139989</v>
      </c>
      <c r="B2687" s="151"/>
      <c r="C2687" s="151"/>
      <c r="D2687" s="151"/>
      <c r="E2687" s="151"/>
      <c r="F2687" s="151"/>
      <c r="G2687" s="151"/>
      <c r="H2687" s="151"/>
      <c r="I2687" s="151"/>
      <c r="J2687" s="152">
        <v>42614.749976851846</v>
      </c>
      <c r="K2687" s="151"/>
      <c r="L2687" s="151" t="s">
        <v>59</v>
      </c>
      <c r="M2687" s="152">
        <v>42608.503900462973</v>
      </c>
      <c r="N2687" s="151" t="s">
        <v>3940</v>
      </c>
      <c r="O2687" s="151"/>
      <c r="P2687" s="151"/>
      <c r="Q2687" s="7" t="str">
        <f>IF(ISBLANK(patch[[#This Row],[OwnerEmail]]),Q2686,patch[[#This Row],[OwnerEmail]])</f>
        <v>haipingx.yang@intel.com</v>
      </c>
      <c r="R2687" s="7" t="str">
        <f>_xlfn.IFNA(VLOOKUP(patch[[#This Row],[tmp-owner.email]],OrgTree!$A:$K, 11, 0), "not ICG SWFW")</f>
        <v>BJ And dev</v>
      </c>
      <c r="S2687" s="7" t="str">
        <f>IF(patch[[#This Row],[reviewer]]=patch[[#This Row],[tmp-owner.email]], "author", _xlfn.IFNA(VLOOKUP(patch[[#This Row],[reviewer]],OrgTree!$A:$K, 11, 0), "not ICG SWFW"))</f>
        <v>BJ And dev</v>
      </c>
      <c r="T2687" s="7" t="str">
        <f>IF(ISBLANK(patch[[#This Row],[mergeDate]]), "", MID(YEAR(patch[[#This Row],[mergeDate]]), 3,2)&amp;"'ww"&amp;WEEKNUM(patch[[#This Row],[mergeDate]]))</f>
        <v>16'ww36</v>
      </c>
      <c r="U2687" s="7" t="str">
        <f>IF(ISBLANK(patch[[#This Row],[mergeDate]]), U2686, MID(YEAR(patch[[#This Row],[mergeDate]]), 3,2)&amp;"'m"&amp;MONTH(patch[[#This Row],[mergeDate]]))</f>
        <v>16'm9</v>
      </c>
      <c r="V2687" s="7" t="str">
        <f>IF(ISBLANK(patch[[#This Row],[project]]), "",SUM(patch[[#This Row],[BJ -1 num]:[SH -1 num]]))</f>
        <v/>
      </c>
      <c r="W2687" s="7" t="str">
        <f>IF(ISBLANK(patch[[#This Row],[project]]), "",COUNTIFS($A:$A,patch[[#This Row],[number]],$S:$S, "BJ And dev",$AC:$AC, "Review-1"))</f>
        <v/>
      </c>
      <c r="X2687" s="7" t="str">
        <f>IF(ISBLANK(patch[[#This Row],[project]]), "",COUNTIFS($A:$A,patch[[#This Row],[number]],$S:$S, "FL And dev",$AC:$AC, "Review-1"))</f>
        <v/>
      </c>
      <c r="Y2687" s="7" t="str">
        <f>IF(ISBLANK(patch[[#This Row],[project]]), "",COUNTIFS($A:$A,patch[[#This Row],[number]],$S:$S, "SH And dev",$AC:$AC, "Review-1"))</f>
        <v/>
      </c>
      <c r="Z2687" s="7" t="str">
        <f>IF(ISBLANK(patch[[#This Row],[project]]), "",COUNTIFS($A:$A,patch[[#This Row],[number]],$S:$S, "BJ And dev",$AD:$AD, "&lt;&gt;IntegratorValidationComment"))</f>
        <v/>
      </c>
      <c r="AA2687" s="7" t="str">
        <f>IF(ISBLANK(patch[[#This Row],[project]]), "",COUNTIFS($A:$A,patch[[#This Row],[number]],$S:$S, "FL And dev",$AD:$AD, "&lt;&gt;IntegratorValidationComment"))</f>
        <v/>
      </c>
      <c r="AB2687" s="7" t="str">
        <f>IF(ISBLANK(patch[[#This Row],[project]]), "",COUNTIFS($A:$A,patch[[#This Row],[number]],$S:$S, "SH And dev",$AD:$AD, "&lt;&gt;IntegratorValidationComment"))</f>
        <v/>
      </c>
      <c r="AC2687" s="7" t="str">
        <f>IF(OR(ISNUMBER(FIND("Review-1", patch[[#This Row],[comments]])), ISNUMBER(FIND("Approver-1", patch[[#This Row],[comments]]))), "Review-1", "")</f>
        <v/>
      </c>
      <c r="AD26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87" s="7">
        <f>IF(ISBLANK(patch[[#This Row],[number]]),AE2686,patch[[#This Row],[ifCommon]])</f>
        <v>0</v>
      </c>
    </row>
    <row r="2688" spans="1:31">
      <c r="A2688" s="151">
        <v>139989</v>
      </c>
      <c r="B2688" s="151"/>
      <c r="C2688" s="151"/>
      <c r="D2688" s="151"/>
      <c r="E2688" s="151"/>
      <c r="F2688" s="151"/>
      <c r="G2688" s="151"/>
      <c r="H2688" s="151"/>
      <c r="I2688" s="151"/>
      <c r="J2688" s="152">
        <v>42614.749976851846</v>
      </c>
      <c r="K2688" s="151"/>
      <c r="L2688" s="151" t="s">
        <v>30</v>
      </c>
      <c r="M2688" s="152">
        <v>42611.98097222222</v>
      </c>
      <c r="N2688" s="151" t="s">
        <v>2575</v>
      </c>
      <c r="O2688" s="151"/>
      <c r="P2688" s="151"/>
      <c r="Q2688" s="7" t="str">
        <f>IF(ISBLANK(patch[[#This Row],[OwnerEmail]]),Q2687,patch[[#This Row],[OwnerEmail]])</f>
        <v>haipingx.yang@intel.com</v>
      </c>
      <c r="R2688" s="7" t="str">
        <f>_xlfn.IFNA(VLOOKUP(patch[[#This Row],[tmp-owner.email]],OrgTree!$A:$K, 11, 0), "not ICG SWFW")</f>
        <v>BJ And dev</v>
      </c>
      <c r="S2688" s="7" t="str">
        <f>IF(patch[[#This Row],[reviewer]]=patch[[#This Row],[tmp-owner.email]], "author", _xlfn.IFNA(VLOOKUP(patch[[#This Row],[reviewer]],OrgTree!$A:$K, 11, 0), "not ICG SWFW"))</f>
        <v>Val</v>
      </c>
      <c r="T2688" s="7" t="str">
        <f>IF(ISBLANK(patch[[#This Row],[mergeDate]]), "", MID(YEAR(patch[[#This Row],[mergeDate]]), 3,2)&amp;"'ww"&amp;WEEKNUM(patch[[#This Row],[mergeDate]]))</f>
        <v>16'ww36</v>
      </c>
      <c r="U2688" s="7" t="str">
        <f>IF(ISBLANK(patch[[#This Row],[mergeDate]]), U2687, MID(YEAR(patch[[#This Row],[mergeDate]]), 3,2)&amp;"'m"&amp;MONTH(patch[[#This Row],[mergeDate]]))</f>
        <v>16'm9</v>
      </c>
      <c r="V2688" s="7" t="str">
        <f>IF(ISBLANK(patch[[#This Row],[project]]), "",SUM(patch[[#This Row],[BJ -1 num]:[SH -1 num]]))</f>
        <v/>
      </c>
      <c r="W2688" s="7" t="str">
        <f>IF(ISBLANK(patch[[#This Row],[project]]), "",COUNTIFS($A:$A,patch[[#This Row],[number]],$S:$S, "BJ And dev",$AC:$AC, "Review-1"))</f>
        <v/>
      </c>
      <c r="X2688" s="7" t="str">
        <f>IF(ISBLANK(patch[[#This Row],[project]]), "",COUNTIFS($A:$A,patch[[#This Row],[number]],$S:$S, "FL And dev",$AC:$AC, "Review-1"))</f>
        <v/>
      </c>
      <c r="Y2688" s="7" t="str">
        <f>IF(ISBLANK(patch[[#This Row],[project]]), "",COUNTIFS($A:$A,patch[[#This Row],[number]],$S:$S, "SH And dev",$AC:$AC, "Review-1"))</f>
        <v/>
      </c>
      <c r="Z2688" s="7" t="str">
        <f>IF(ISBLANK(patch[[#This Row],[project]]), "",COUNTIFS($A:$A,patch[[#This Row],[number]],$S:$S, "BJ And dev",$AD:$AD, "&lt;&gt;IntegratorValidationComment"))</f>
        <v/>
      </c>
      <c r="AA2688" s="7" t="str">
        <f>IF(ISBLANK(patch[[#This Row],[project]]), "",COUNTIFS($A:$A,patch[[#This Row],[number]],$S:$S, "FL And dev",$AD:$AD, "&lt;&gt;IntegratorValidationComment"))</f>
        <v/>
      </c>
      <c r="AB2688" s="7" t="str">
        <f>IF(ISBLANK(patch[[#This Row],[project]]), "",COUNTIFS($A:$A,patch[[#This Row],[number]],$S:$S, "SH And dev",$AD:$AD, "&lt;&gt;IntegratorValidationComment"))</f>
        <v/>
      </c>
      <c r="AC2688" s="7" t="str">
        <f>IF(OR(ISNUMBER(FIND("Review-1", patch[[#This Row],[comments]])), ISNUMBER(FIND("Approver-1", patch[[#This Row],[comments]]))), "Review-1", "")</f>
        <v/>
      </c>
      <c r="AD26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688" s="7">
        <f>IF(ISBLANK(patch[[#This Row],[number]]),AE2687,patch[[#This Row],[ifCommon]])</f>
        <v>0</v>
      </c>
    </row>
    <row r="2689" spans="1:31">
      <c r="A2689" s="151">
        <v>139989</v>
      </c>
      <c r="B2689" s="151"/>
      <c r="C2689" s="151"/>
      <c r="D2689" s="151"/>
      <c r="E2689" s="151"/>
      <c r="F2689" s="151"/>
      <c r="G2689" s="151"/>
      <c r="H2689" s="151"/>
      <c r="I2689" s="151"/>
      <c r="J2689" s="152">
        <v>42614.749976851846</v>
      </c>
      <c r="K2689" s="151"/>
      <c r="L2689" s="151" t="s">
        <v>59</v>
      </c>
      <c r="M2689" s="152">
        <v>42613.482152777768</v>
      </c>
      <c r="N2689" s="151" t="s">
        <v>27</v>
      </c>
      <c r="O2689" s="151"/>
      <c r="P2689" s="151"/>
      <c r="Q2689" s="7" t="str">
        <f>IF(ISBLANK(patch[[#This Row],[OwnerEmail]]),Q2688,patch[[#This Row],[OwnerEmail]])</f>
        <v>haipingx.yang@intel.com</v>
      </c>
      <c r="R2689" s="7" t="str">
        <f>_xlfn.IFNA(VLOOKUP(patch[[#This Row],[tmp-owner.email]],OrgTree!$A:$K, 11, 0), "not ICG SWFW")</f>
        <v>BJ And dev</v>
      </c>
      <c r="S2689" s="7" t="str">
        <f>IF(patch[[#This Row],[reviewer]]=patch[[#This Row],[tmp-owner.email]], "author", _xlfn.IFNA(VLOOKUP(patch[[#This Row],[reviewer]],OrgTree!$A:$K, 11, 0), "not ICG SWFW"))</f>
        <v>BJ And dev</v>
      </c>
      <c r="T2689" s="7" t="str">
        <f>IF(ISBLANK(patch[[#This Row],[mergeDate]]), "", MID(YEAR(patch[[#This Row],[mergeDate]]), 3,2)&amp;"'ww"&amp;WEEKNUM(patch[[#This Row],[mergeDate]]))</f>
        <v>16'ww36</v>
      </c>
      <c r="U2689" s="7" t="str">
        <f>IF(ISBLANK(patch[[#This Row],[mergeDate]]), U2688, MID(YEAR(patch[[#This Row],[mergeDate]]), 3,2)&amp;"'m"&amp;MONTH(patch[[#This Row],[mergeDate]]))</f>
        <v>16'm9</v>
      </c>
      <c r="V2689" s="7" t="str">
        <f>IF(ISBLANK(patch[[#This Row],[project]]), "",SUM(patch[[#This Row],[BJ -1 num]:[SH -1 num]]))</f>
        <v/>
      </c>
      <c r="W2689" s="7" t="str">
        <f>IF(ISBLANK(patch[[#This Row],[project]]), "",COUNTIFS($A:$A,patch[[#This Row],[number]],$S:$S, "BJ And dev",$AC:$AC, "Review-1"))</f>
        <v/>
      </c>
      <c r="X2689" s="7" t="str">
        <f>IF(ISBLANK(patch[[#This Row],[project]]), "",COUNTIFS($A:$A,patch[[#This Row],[number]],$S:$S, "FL And dev",$AC:$AC, "Review-1"))</f>
        <v/>
      </c>
      <c r="Y2689" s="7" t="str">
        <f>IF(ISBLANK(patch[[#This Row],[project]]), "",COUNTIFS($A:$A,patch[[#This Row],[number]],$S:$S, "SH And dev",$AC:$AC, "Review-1"))</f>
        <v/>
      </c>
      <c r="Z2689" s="7" t="str">
        <f>IF(ISBLANK(patch[[#This Row],[project]]), "",COUNTIFS($A:$A,patch[[#This Row],[number]],$S:$S, "BJ And dev",$AD:$AD, "&lt;&gt;IntegratorValidationComment"))</f>
        <v/>
      </c>
      <c r="AA2689" s="7" t="str">
        <f>IF(ISBLANK(patch[[#This Row],[project]]), "",COUNTIFS($A:$A,patch[[#This Row],[number]],$S:$S, "FL And dev",$AD:$AD, "&lt;&gt;IntegratorValidationComment"))</f>
        <v/>
      </c>
      <c r="AB2689" s="7" t="str">
        <f>IF(ISBLANK(patch[[#This Row],[project]]), "",COUNTIFS($A:$A,patch[[#This Row],[number]],$S:$S, "SH And dev",$AD:$AD, "&lt;&gt;IntegratorValidationComment"))</f>
        <v/>
      </c>
      <c r="AC2689" s="7" t="str">
        <f>IF(OR(ISNUMBER(FIND("Review-1", patch[[#This Row],[comments]])), ISNUMBER(FIND("Approver-1", patch[[#This Row],[comments]]))), "Review-1", "")</f>
        <v/>
      </c>
      <c r="AD26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89" s="7">
        <f>IF(ISBLANK(patch[[#This Row],[number]]),AE2688,patch[[#This Row],[ifCommon]])</f>
        <v>0</v>
      </c>
    </row>
    <row r="2690" spans="1:31">
      <c r="A2690" s="151">
        <v>139989</v>
      </c>
      <c r="B2690" s="151"/>
      <c r="C2690" s="151"/>
      <c r="D2690" s="151"/>
      <c r="E2690" s="151"/>
      <c r="F2690" s="151"/>
      <c r="G2690" s="151"/>
      <c r="H2690" s="151"/>
      <c r="I2690" s="151"/>
      <c r="J2690" s="152">
        <v>42614.749976851846</v>
      </c>
      <c r="K2690" s="151"/>
      <c r="L2690" s="151" t="s">
        <v>32</v>
      </c>
      <c r="M2690" s="152">
        <v>42613.498101851852</v>
      </c>
      <c r="N2690" s="151" t="s">
        <v>1873</v>
      </c>
      <c r="O2690" s="151"/>
      <c r="P2690" s="151"/>
      <c r="Q2690" s="7" t="str">
        <f>IF(ISBLANK(patch[[#This Row],[OwnerEmail]]),Q2689,patch[[#This Row],[OwnerEmail]])</f>
        <v>haipingx.yang@intel.com</v>
      </c>
      <c r="R2690" s="7" t="str">
        <f>_xlfn.IFNA(VLOOKUP(patch[[#This Row],[tmp-owner.email]],OrgTree!$A:$K, 11, 0), "not ICG SWFW")</f>
        <v>BJ And dev</v>
      </c>
      <c r="S2690" s="7" t="str">
        <f>IF(patch[[#This Row],[reviewer]]=patch[[#This Row],[tmp-owner.email]], "author", _xlfn.IFNA(VLOOKUP(patch[[#This Row],[reviewer]],OrgTree!$A:$K, 11, 0), "not ICG SWFW"))</f>
        <v>BJ And dev</v>
      </c>
      <c r="T2690" s="7" t="str">
        <f>IF(ISBLANK(patch[[#This Row],[mergeDate]]), "", MID(YEAR(patch[[#This Row],[mergeDate]]), 3,2)&amp;"'ww"&amp;WEEKNUM(patch[[#This Row],[mergeDate]]))</f>
        <v>16'ww36</v>
      </c>
      <c r="U2690" s="7" t="str">
        <f>IF(ISBLANK(patch[[#This Row],[mergeDate]]), U2689, MID(YEAR(patch[[#This Row],[mergeDate]]), 3,2)&amp;"'m"&amp;MONTH(patch[[#This Row],[mergeDate]]))</f>
        <v>16'm9</v>
      </c>
      <c r="V2690" s="7" t="str">
        <f>IF(ISBLANK(patch[[#This Row],[project]]), "",SUM(patch[[#This Row],[BJ -1 num]:[SH -1 num]]))</f>
        <v/>
      </c>
      <c r="W2690" s="7" t="str">
        <f>IF(ISBLANK(patch[[#This Row],[project]]), "",COUNTIFS($A:$A,patch[[#This Row],[number]],$S:$S, "BJ And dev",$AC:$AC, "Review-1"))</f>
        <v/>
      </c>
      <c r="X2690" s="7" t="str">
        <f>IF(ISBLANK(patch[[#This Row],[project]]), "",COUNTIFS($A:$A,patch[[#This Row],[number]],$S:$S, "FL And dev",$AC:$AC, "Review-1"))</f>
        <v/>
      </c>
      <c r="Y2690" s="7" t="str">
        <f>IF(ISBLANK(patch[[#This Row],[project]]), "",COUNTIFS($A:$A,patch[[#This Row],[number]],$S:$S, "SH And dev",$AC:$AC, "Review-1"))</f>
        <v/>
      </c>
      <c r="Z2690" s="7" t="str">
        <f>IF(ISBLANK(patch[[#This Row],[project]]), "",COUNTIFS($A:$A,patch[[#This Row],[number]],$S:$S, "BJ And dev",$AD:$AD, "&lt;&gt;IntegratorValidationComment"))</f>
        <v/>
      </c>
      <c r="AA2690" s="7" t="str">
        <f>IF(ISBLANK(patch[[#This Row],[project]]), "",COUNTIFS($A:$A,patch[[#This Row],[number]],$S:$S, "FL And dev",$AD:$AD, "&lt;&gt;IntegratorValidationComment"))</f>
        <v/>
      </c>
      <c r="AB2690" s="7" t="str">
        <f>IF(ISBLANK(patch[[#This Row],[project]]), "",COUNTIFS($A:$A,patch[[#This Row],[number]],$S:$S, "SH And dev",$AD:$AD, "&lt;&gt;IntegratorValidationComment"))</f>
        <v/>
      </c>
      <c r="AC2690" s="7" t="str">
        <f>IF(OR(ISNUMBER(FIND("Review-1", patch[[#This Row],[comments]])), ISNUMBER(FIND("Approver-1", patch[[#This Row],[comments]]))), "Review-1", "")</f>
        <v/>
      </c>
      <c r="AD26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90" s="7">
        <f>IF(ISBLANK(patch[[#This Row],[number]]),AE2689,patch[[#This Row],[ifCommon]])</f>
        <v>0</v>
      </c>
    </row>
    <row r="2691" spans="1:31">
      <c r="A2691" s="151">
        <v>139989</v>
      </c>
      <c r="B2691" s="151"/>
      <c r="C2691" s="151"/>
      <c r="D2691" s="151"/>
      <c r="E2691" s="151"/>
      <c r="F2691" s="151"/>
      <c r="G2691" s="151"/>
      <c r="H2691" s="151"/>
      <c r="I2691" s="151"/>
      <c r="J2691" s="152">
        <v>42614.749976851846</v>
      </c>
      <c r="K2691" s="151"/>
      <c r="L2691" s="151" t="s">
        <v>115</v>
      </c>
      <c r="M2691" s="152">
        <v>42614.419525462959</v>
      </c>
      <c r="N2691" s="151" t="s">
        <v>2495</v>
      </c>
      <c r="O2691" s="151"/>
      <c r="P2691" s="151"/>
      <c r="Q2691" s="7" t="str">
        <f>IF(ISBLANK(patch[[#This Row],[OwnerEmail]]),Q2690,patch[[#This Row],[OwnerEmail]])</f>
        <v>haipingx.yang@intel.com</v>
      </c>
      <c r="R2691" s="7" t="str">
        <f>_xlfn.IFNA(VLOOKUP(patch[[#This Row],[tmp-owner.email]],OrgTree!$A:$K, 11, 0), "not ICG SWFW")</f>
        <v>BJ And dev</v>
      </c>
      <c r="S2691" s="7" t="str">
        <f>IF(patch[[#This Row],[reviewer]]=patch[[#This Row],[tmp-owner.email]], "author", _xlfn.IFNA(VLOOKUP(patch[[#This Row],[reviewer]],OrgTree!$A:$K, 11, 0), "not ICG SWFW"))</f>
        <v>Val</v>
      </c>
      <c r="T2691" s="7" t="str">
        <f>IF(ISBLANK(patch[[#This Row],[mergeDate]]), "", MID(YEAR(patch[[#This Row],[mergeDate]]), 3,2)&amp;"'ww"&amp;WEEKNUM(patch[[#This Row],[mergeDate]]))</f>
        <v>16'ww36</v>
      </c>
      <c r="U2691" s="7" t="str">
        <f>IF(ISBLANK(patch[[#This Row],[mergeDate]]), U2690, MID(YEAR(patch[[#This Row],[mergeDate]]), 3,2)&amp;"'m"&amp;MONTH(patch[[#This Row],[mergeDate]]))</f>
        <v>16'm9</v>
      </c>
      <c r="V2691" s="7" t="str">
        <f>IF(ISBLANK(patch[[#This Row],[project]]), "",SUM(patch[[#This Row],[BJ -1 num]:[SH -1 num]]))</f>
        <v/>
      </c>
      <c r="W2691" s="7" t="str">
        <f>IF(ISBLANK(patch[[#This Row],[project]]), "",COUNTIFS($A:$A,patch[[#This Row],[number]],$S:$S, "BJ And dev",$AC:$AC, "Review-1"))</f>
        <v/>
      </c>
      <c r="X2691" s="7" t="str">
        <f>IF(ISBLANK(patch[[#This Row],[project]]), "",COUNTIFS($A:$A,patch[[#This Row],[number]],$S:$S, "FL And dev",$AC:$AC, "Review-1"))</f>
        <v/>
      </c>
      <c r="Y2691" s="7" t="str">
        <f>IF(ISBLANK(patch[[#This Row],[project]]), "",COUNTIFS($A:$A,patch[[#This Row],[number]],$S:$S, "SH And dev",$AC:$AC, "Review-1"))</f>
        <v/>
      </c>
      <c r="Z2691" s="7" t="str">
        <f>IF(ISBLANK(patch[[#This Row],[project]]), "",COUNTIFS($A:$A,patch[[#This Row],[number]],$S:$S, "BJ And dev",$AD:$AD, "&lt;&gt;IntegratorValidationComment"))</f>
        <v/>
      </c>
      <c r="AA2691" s="7" t="str">
        <f>IF(ISBLANK(patch[[#This Row],[project]]), "",COUNTIFS($A:$A,patch[[#This Row],[number]],$S:$S, "FL And dev",$AD:$AD, "&lt;&gt;IntegratorValidationComment"))</f>
        <v/>
      </c>
      <c r="AB2691" s="7" t="str">
        <f>IF(ISBLANK(patch[[#This Row],[project]]), "",COUNTIFS($A:$A,patch[[#This Row],[number]],$S:$S, "SH And dev",$AD:$AD, "&lt;&gt;IntegratorValidationComment"))</f>
        <v/>
      </c>
      <c r="AC2691" s="7" t="str">
        <f>IF(OR(ISNUMBER(FIND("Review-1", patch[[#This Row],[comments]])), ISNUMBER(FIND("Approver-1", patch[[#This Row],[comments]]))), "Review-1", "")</f>
        <v/>
      </c>
      <c r="AD26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691" s="7">
        <f>IF(ISBLANK(patch[[#This Row],[number]]),AE2690,patch[[#This Row],[ifCommon]])</f>
        <v>0</v>
      </c>
    </row>
    <row r="2692" spans="1:31">
      <c r="A2692" s="151">
        <v>142443</v>
      </c>
      <c r="B2692" s="151" t="s">
        <v>2493</v>
      </c>
      <c r="C2692" s="151" t="s">
        <v>2491</v>
      </c>
      <c r="D2692" s="151" t="s">
        <v>3941</v>
      </c>
      <c r="E2692" s="151" t="s">
        <v>1203</v>
      </c>
      <c r="F2692" s="151" t="s">
        <v>23</v>
      </c>
      <c r="G2692" s="151" t="s">
        <v>3942</v>
      </c>
      <c r="H2692" s="151" t="s">
        <v>3943</v>
      </c>
      <c r="I2692" s="152">
        <v>42613.437256944453</v>
      </c>
      <c r="J2692" s="152">
        <v>42614.749930555547</v>
      </c>
      <c r="K2692" s="151" t="s">
        <v>2445</v>
      </c>
      <c r="L2692" s="151" t="s">
        <v>1203</v>
      </c>
      <c r="M2692" s="152">
        <v>42613.437256944453</v>
      </c>
      <c r="N2692" s="151" t="s">
        <v>2428</v>
      </c>
      <c r="O2692" s="151"/>
      <c r="P2692" s="151" t="s">
        <v>2542</v>
      </c>
      <c r="Q2692" s="7" t="str">
        <f>IF(ISBLANK(patch[[#This Row],[OwnerEmail]]),Q2691,patch[[#This Row],[OwnerEmail]])</f>
        <v>xi.cao@intel.com</v>
      </c>
      <c r="R2692" s="7" t="str">
        <f>_xlfn.IFNA(VLOOKUP(patch[[#This Row],[tmp-owner.email]],OrgTree!$A:$K, 11, 0), "not ICG SWFW")</f>
        <v>BJ And dev</v>
      </c>
      <c r="S2692" s="7" t="str">
        <f>IF(patch[[#This Row],[reviewer]]=patch[[#This Row],[tmp-owner.email]], "author", _xlfn.IFNA(VLOOKUP(patch[[#This Row],[reviewer]],OrgTree!$A:$K, 11, 0), "not ICG SWFW"))</f>
        <v>author</v>
      </c>
      <c r="T2692" s="7" t="str">
        <f>IF(ISBLANK(patch[[#This Row],[mergeDate]]), "", MID(YEAR(patch[[#This Row],[mergeDate]]), 3,2)&amp;"'ww"&amp;WEEKNUM(patch[[#This Row],[mergeDate]]))</f>
        <v>16'ww36</v>
      </c>
      <c r="U2692" s="7" t="str">
        <f>IF(ISBLANK(patch[[#This Row],[mergeDate]]), U2691, MID(YEAR(patch[[#This Row],[mergeDate]]), 3,2)&amp;"'m"&amp;MONTH(patch[[#This Row],[mergeDate]]))</f>
        <v>16'm9</v>
      </c>
      <c r="V2692" s="7">
        <f>IF(ISBLANK(patch[[#This Row],[project]]), "",SUM(patch[[#This Row],[BJ -1 num]:[SH -1 num]]))</f>
        <v>1</v>
      </c>
      <c r="W2692" s="7">
        <f>IF(ISBLANK(patch[[#This Row],[project]]), "",COUNTIFS($A:$A,patch[[#This Row],[number]],$S:$S, "BJ And dev",$AC:$AC, "Review-1"))</f>
        <v>1</v>
      </c>
      <c r="X2692" s="7">
        <f>IF(ISBLANK(patch[[#This Row],[project]]), "",COUNTIFS($A:$A,patch[[#This Row],[number]],$S:$S, "FL And dev",$AC:$AC, "Review-1"))</f>
        <v>0</v>
      </c>
      <c r="Y2692" s="7">
        <f>IF(ISBLANK(patch[[#This Row],[project]]), "",COUNTIFS($A:$A,patch[[#This Row],[number]],$S:$S, "SH And dev",$AC:$AC, "Review-1"))</f>
        <v>0</v>
      </c>
      <c r="Z2692" s="7">
        <f>IF(ISBLANK(patch[[#This Row],[project]]), "",COUNTIFS($A:$A,patch[[#This Row],[number]],$S:$S, "BJ And dev",$AD:$AD, "&lt;&gt;IntegratorValidationComment"))</f>
        <v>11</v>
      </c>
      <c r="AA2692" s="7">
        <f>IF(ISBLANK(patch[[#This Row],[project]]), "",COUNTIFS($A:$A,patch[[#This Row],[number]],$S:$S, "FL And dev",$AD:$AD, "&lt;&gt;IntegratorValidationComment"))</f>
        <v>0</v>
      </c>
      <c r="AB2692" s="7">
        <f>IF(ISBLANK(patch[[#This Row],[project]]), "",COUNTIFS($A:$A,patch[[#This Row],[number]],$S:$S, "SH And dev",$AD:$AD, "&lt;&gt;IntegratorValidationComment"))</f>
        <v>0</v>
      </c>
      <c r="AC2692" s="7" t="str">
        <f>IF(OR(ISNUMBER(FIND("Review-1", patch[[#This Row],[comments]])), ISNUMBER(FIND("Approver-1", patch[[#This Row],[comments]]))), "Review-1", "")</f>
        <v/>
      </c>
      <c r="AD26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92" s="7" t="str">
        <f>IF(ISBLANK(patch[[#This Row],[number]]),AE2691,patch[[#This Row],[ifCommon]])</f>
        <v>not AndrHAL</v>
      </c>
    </row>
    <row r="2693" spans="1:31">
      <c r="A2693" s="151">
        <v>142443</v>
      </c>
      <c r="B2693" s="151"/>
      <c r="C2693" s="151"/>
      <c r="D2693" s="151"/>
      <c r="E2693" s="151"/>
      <c r="F2693" s="151"/>
      <c r="G2693" s="151"/>
      <c r="H2693" s="151"/>
      <c r="I2693" s="151"/>
      <c r="J2693" s="152">
        <v>42614.749930555547</v>
      </c>
      <c r="K2693" s="151"/>
      <c r="L2693" s="151" t="s">
        <v>1203</v>
      </c>
      <c r="M2693" s="152">
        <v>42613.437256944453</v>
      </c>
      <c r="N2693" s="151" t="s">
        <v>25</v>
      </c>
      <c r="O2693" s="151"/>
      <c r="P2693" s="151"/>
      <c r="Q2693" s="7" t="str">
        <f>IF(ISBLANK(patch[[#This Row],[OwnerEmail]]),Q2692,patch[[#This Row],[OwnerEmail]])</f>
        <v>xi.cao@intel.com</v>
      </c>
      <c r="R2693" s="7" t="str">
        <f>_xlfn.IFNA(VLOOKUP(patch[[#This Row],[tmp-owner.email]],OrgTree!$A:$K, 11, 0), "not ICG SWFW")</f>
        <v>BJ And dev</v>
      </c>
      <c r="S2693" s="7" t="str">
        <f>IF(patch[[#This Row],[reviewer]]=patch[[#This Row],[tmp-owner.email]], "author", _xlfn.IFNA(VLOOKUP(patch[[#This Row],[reviewer]],OrgTree!$A:$K, 11, 0), "not ICG SWFW"))</f>
        <v>author</v>
      </c>
      <c r="T2693" s="7" t="str">
        <f>IF(ISBLANK(patch[[#This Row],[mergeDate]]), "", MID(YEAR(patch[[#This Row],[mergeDate]]), 3,2)&amp;"'ww"&amp;WEEKNUM(patch[[#This Row],[mergeDate]]))</f>
        <v>16'ww36</v>
      </c>
      <c r="U2693" s="7" t="str">
        <f>IF(ISBLANK(patch[[#This Row],[mergeDate]]), U2692, MID(YEAR(patch[[#This Row],[mergeDate]]), 3,2)&amp;"'m"&amp;MONTH(patch[[#This Row],[mergeDate]]))</f>
        <v>16'm9</v>
      </c>
      <c r="V2693" s="7" t="str">
        <f>IF(ISBLANK(patch[[#This Row],[project]]), "",SUM(patch[[#This Row],[BJ -1 num]:[SH -1 num]]))</f>
        <v/>
      </c>
      <c r="W2693" s="7" t="str">
        <f>IF(ISBLANK(patch[[#This Row],[project]]), "",COUNTIFS($A:$A,patch[[#This Row],[number]],$S:$S, "BJ And dev",$AC:$AC, "Review-1"))</f>
        <v/>
      </c>
      <c r="X2693" s="7" t="str">
        <f>IF(ISBLANK(patch[[#This Row],[project]]), "",COUNTIFS($A:$A,patch[[#This Row],[number]],$S:$S, "FL And dev",$AC:$AC, "Review-1"))</f>
        <v/>
      </c>
      <c r="Y2693" s="7" t="str">
        <f>IF(ISBLANK(patch[[#This Row],[project]]), "",COUNTIFS($A:$A,patch[[#This Row],[number]],$S:$S, "SH And dev",$AC:$AC, "Review-1"))</f>
        <v/>
      </c>
      <c r="Z2693" s="7" t="str">
        <f>IF(ISBLANK(patch[[#This Row],[project]]), "",COUNTIFS($A:$A,patch[[#This Row],[number]],$S:$S, "BJ And dev",$AD:$AD, "&lt;&gt;IntegratorValidationComment"))</f>
        <v/>
      </c>
      <c r="AA2693" s="7" t="str">
        <f>IF(ISBLANK(patch[[#This Row],[project]]), "",COUNTIFS($A:$A,patch[[#This Row],[number]],$S:$S, "FL And dev",$AD:$AD, "&lt;&gt;IntegratorValidationComment"))</f>
        <v/>
      </c>
      <c r="AB2693" s="7" t="str">
        <f>IF(ISBLANK(patch[[#This Row],[project]]), "",COUNTIFS($A:$A,patch[[#This Row],[number]],$S:$S, "SH And dev",$AD:$AD, "&lt;&gt;IntegratorValidationComment"))</f>
        <v/>
      </c>
      <c r="AC2693" s="7" t="str">
        <f>IF(OR(ISNUMBER(FIND("Review-1", patch[[#This Row],[comments]])), ISNUMBER(FIND("Approver-1", patch[[#This Row],[comments]]))), "Review-1", "")</f>
        <v/>
      </c>
      <c r="AD26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93" s="7">
        <f>IF(ISBLANK(patch[[#This Row],[number]]),AE2692,patch[[#This Row],[ifCommon]])</f>
        <v>0</v>
      </c>
    </row>
    <row r="2694" spans="1:31">
      <c r="A2694" s="151">
        <v>142443</v>
      </c>
      <c r="B2694" s="151"/>
      <c r="C2694" s="151"/>
      <c r="D2694" s="151"/>
      <c r="E2694" s="151"/>
      <c r="F2694" s="151"/>
      <c r="G2694" s="151"/>
      <c r="H2694" s="151"/>
      <c r="I2694" s="151"/>
      <c r="J2694" s="152">
        <v>42614.749930555547</v>
      </c>
      <c r="K2694" s="151"/>
      <c r="L2694" s="151" t="s">
        <v>1203</v>
      </c>
      <c r="M2694" s="152">
        <v>42613.437627314823</v>
      </c>
      <c r="N2694" s="151" t="s">
        <v>40</v>
      </c>
      <c r="O2694" s="151"/>
      <c r="P2694" s="151"/>
      <c r="Q2694" s="7" t="str">
        <f>IF(ISBLANK(patch[[#This Row],[OwnerEmail]]),Q2693,patch[[#This Row],[OwnerEmail]])</f>
        <v>xi.cao@intel.com</v>
      </c>
      <c r="R2694" s="7" t="str">
        <f>_xlfn.IFNA(VLOOKUP(patch[[#This Row],[tmp-owner.email]],OrgTree!$A:$K, 11, 0), "not ICG SWFW")</f>
        <v>BJ And dev</v>
      </c>
      <c r="S2694" s="7" t="str">
        <f>IF(patch[[#This Row],[reviewer]]=patch[[#This Row],[tmp-owner.email]], "author", _xlfn.IFNA(VLOOKUP(patch[[#This Row],[reviewer]],OrgTree!$A:$K, 11, 0), "not ICG SWFW"))</f>
        <v>author</v>
      </c>
      <c r="T2694" s="7" t="str">
        <f>IF(ISBLANK(patch[[#This Row],[mergeDate]]), "", MID(YEAR(patch[[#This Row],[mergeDate]]), 3,2)&amp;"'ww"&amp;WEEKNUM(patch[[#This Row],[mergeDate]]))</f>
        <v>16'ww36</v>
      </c>
      <c r="U2694" s="7" t="str">
        <f>IF(ISBLANK(patch[[#This Row],[mergeDate]]), U2693, MID(YEAR(patch[[#This Row],[mergeDate]]), 3,2)&amp;"'m"&amp;MONTH(patch[[#This Row],[mergeDate]]))</f>
        <v>16'm9</v>
      </c>
      <c r="V2694" s="7" t="str">
        <f>IF(ISBLANK(patch[[#This Row],[project]]), "",SUM(patch[[#This Row],[BJ -1 num]:[SH -1 num]]))</f>
        <v/>
      </c>
      <c r="W2694" s="7" t="str">
        <f>IF(ISBLANK(patch[[#This Row],[project]]), "",COUNTIFS($A:$A,patch[[#This Row],[number]],$S:$S, "BJ And dev",$AC:$AC, "Review-1"))</f>
        <v/>
      </c>
      <c r="X2694" s="7" t="str">
        <f>IF(ISBLANK(patch[[#This Row],[project]]), "",COUNTIFS($A:$A,patch[[#This Row],[number]],$S:$S, "FL And dev",$AC:$AC, "Review-1"))</f>
        <v/>
      </c>
      <c r="Y2694" s="7" t="str">
        <f>IF(ISBLANK(patch[[#This Row],[project]]), "",COUNTIFS($A:$A,patch[[#This Row],[number]],$S:$S, "SH And dev",$AC:$AC, "Review-1"))</f>
        <v/>
      </c>
      <c r="Z2694" s="7" t="str">
        <f>IF(ISBLANK(patch[[#This Row],[project]]), "",COUNTIFS($A:$A,patch[[#This Row],[number]],$S:$S, "BJ And dev",$AD:$AD, "&lt;&gt;IntegratorValidationComment"))</f>
        <v/>
      </c>
      <c r="AA2694" s="7" t="str">
        <f>IF(ISBLANK(patch[[#This Row],[project]]), "",COUNTIFS($A:$A,patch[[#This Row],[number]],$S:$S, "FL And dev",$AD:$AD, "&lt;&gt;IntegratorValidationComment"))</f>
        <v/>
      </c>
      <c r="AB2694" s="7" t="str">
        <f>IF(ISBLANK(patch[[#This Row],[project]]), "",COUNTIFS($A:$A,patch[[#This Row],[number]],$S:$S, "SH And dev",$AD:$AD, "&lt;&gt;IntegratorValidationComment"))</f>
        <v/>
      </c>
      <c r="AC2694" s="7" t="str">
        <f>IF(OR(ISNUMBER(FIND("Review-1", patch[[#This Row],[comments]])), ISNUMBER(FIND("Approver-1", patch[[#This Row],[comments]]))), "Review-1", "")</f>
        <v/>
      </c>
      <c r="AD26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94" s="7">
        <f>IF(ISBLANK(patch[[#This Row],[number]]),AE2693,patch[[#This Row],[ifCommon]])</f>
        <v>0</v>
      </c>
    </row>
    <row r="2695" spans="1:31">
      <c r="A2695" s="151">
        <v>142443</v>
      </c>
      <c r="B2695" s="151"/>
      <c r="C2695" s="151"/>
      <c r="D2695" s="151"/>
      <c r="E2695" s="151"/>
      <c r="F2695" s="151"/>
      <c r="G2695" s="151"/>
      <c r="H2695" s="151"/>
      <c r="I2695" s="151"/>
      <c r="J2695" s="152">
        <v>42614.749930555547</v>
      </c>
      <c r="K2695" s="151"/>
      <c r="L2695" s="151" t="s">
        <v>59</v>
      </c>
      <c r="M2695" s="152">
        <v>42613.438298611109</v>
      </c>
      <c r="N2695" s="151" t="s">
        <v>3944</v>
      </c>
      <c r="O2695" s="151"/>
      <c r="P2695" s="151"/>
      <c r="Q2695" s="7" t="str">
        <f>IF(ISBLANK(patch[[#This Row],[OwnerEmail]]),Q2694,patch[[#This Row],[OwnerEmail]])</f>
        <v>xi.cao@intel.com</v>
      </c>
      <c r="R2695" s="7" t="str">
        <f>_xlfn.IFNA(VLOOKUP(patch[[#This Row],[tmp-owner.email]],OrgTree!$A:$K, 11, 0), "not ICG SWFW")</f>
        <v>BJ And dev</v>
      </c>
      <c r="S2695" s="7" t="str">
        <f>IF(patch[[#This Row],[reviewer]]=patch[[#This Row],[tmp-owner.email]], "author", _xlfn.IFNA(VLOOKUP(patch[[#This Row],[reviewer]],OrgTree!$A:$K, 11, 0), "not ICG SWFW"))</f>
        <v>BJ And dev</v>
      </c>
      <c r="T2695" s="7" t="str">
        <f>IF(ISBLANK(patch[[#This Row],[mergeDate]]), "", MID(YEAR(patch[[#This Row],[mergeDate]]), 3,2)&amp;"'ww"&amp;WEEKNUM(patch[[#This Row],[mergeDate]]))</f>
        <v>16'ww36</v>
      </c>
      <c r="U2695" s="7" t="str">
        <f>IF(ISBLANK(patch[[#This Row],[mergeDate]]), U2694, MID(YEAR(patch[[#This Row],[mergeDate]]), 3,2)&amp;"'m"&amp;MONTH(patch[[#This Row],[mergeDate]]))</f>
        <v>16'm9</v>
      </c>
      <c r="V2695" s="7" t="str">
        <f>IF(ISBLANK(patch[[#This Row],[project]]), "",SUM(patch[[#This Row],[BJ -1 num]:[SH -1 num]]))</f>
        <v/>
      </c>
      <c r="W2695" s="7" t="str">
        <f>IF(ISBLANK(patch[[#This Row],[project]]), "",COUNTIFS($A:$A,patch[[#This Row],[number]],$S:$S, "BJ And dev",$AC:$AC, "Review-1"))</f>
        <v/>
      </c>
      <c r="X2695" s="7" t="str">
        <f>IF(ISBLANK(patch[[#This Row],[project]]), "",COUNTIFS($A:$A,patch[[#This Row],[number]],$S:$S, "FL And dev",$AC:$AC, "Review-1"))</f>
        <v/>
      </c>
      <c r="Y2695" s="7" t="str">
        <f>IF(ISBLANK(patch[[#This Row],[project]]), "",COUNTIFS($A:$A,patch[[#This Row],[number]],$S:$S, "SH And dev",$AC:$AC, "Review-1"))</f>
        <v/>
      </c>
      <c r="Z2695" s="7" t="str">
        <f>IF(ISBLANK(patch[[#This Row],[project]]), "",COUNTIFS($A:$A,patch[[#This Row],[number]],$S:$S, "BJ And dev",$AD:$AD, "&lt;&gt;IntegratorValidationComment"))</f>
        <v/>
      </c>
      <c r="AA2695" s="7" t="str">
        <f>IF(ISBLANK(patch[[#This Row],[project]]), "",COUNTIFS($A:$A,patch[[#This Row],[number]],$S:$S, "FL And dev",$AD:$AD, "&lt;&gt;IntegratorValidationComment"))</f>
        <v/>
      </c>
      <c r="AB2695" s="7" t="str">
        <f>IF(ISBLANK(patch[[#This Row],[project]]), "",COUNTIFS($A:$A,patch[[#This Row],[number]],$S:$S, "SH And dev",$AD:$AD, "&lt;&gt;IntegratorValidationComment"))</f>
        <v/>
      </c>
      <c r="AC2695" s="7" t="str">
        <f>IF(OR(ISNUMBER(FIND("Review-1", patch[[#This Row],[comments]])), ISNUMBER(FIND("Approver-1", patch[[#This Row],[comments]]))), "Review-1", "")</f>
        <v/>
      </c>
      <c r="AD26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95" s="7">
        <f>IF(ISBLANK(patch[[#This Row],[number]]),AE2694,patch[[#This Row],[ifCommon]])</f>
        <v>0</v>
      </c>
    </row>
    <row r="2696" spans="1:31">
      <c r="A2696" s="151">
        <v>142443</v>
      </c>
      <c r="B2696" s="151"/>
      <c r="C2696" s="151"/>
      <c r="D2696" s="151"/>
      <c r="E2696" s="151"/>
      <c r="F2696" s="151"/>
      <c r="G2696" s="151"/>
      <c r="H2696" s="151"/>
      <c r="I2696" s="151"/>
      <c r="J2696" s="152">
        <v>42614.749930555547</v>
      </c>
      <c r="K2696" s="151"/>
      <c r="L2696" s="151" t="s">
        <v>59</v>
      </c>
      <c r="M2696" s="152">
        <v>42613.439016203702</v>
      </c>
      <c r="N2696" s="151" t="s">
        <v>40</v>
      </c>
      <c r="O2696" s="151"/>
      <c r="P2696" s="151"/>
      <c r="Q2696" s="7" t="str">
        <f>IF(ISBLANK(patch[[#This Row],[OwnerEmail]]),Q2695,patch[[#This Row],[OwnerEmail]])</f>
        <v>xi.cao@intel.com</v>
      </c>
      <c r="R2696" s="7" t="str">
        <f>_xlfn.IFNA(VLOOKUP(patch[[#This Row],[tmp-owner.email]],OrgTree!$A:$K, 11, 0), "not ICG SWFW")</f>
        <v>BJ And dev</v>
      </c>
      <c r="S2696" s="7" t="str">
        <f>IF(patch[[#This Row],[reviewer]]=patch[[#This Row],[tmp-owner.email]], "author", _xlfn.IFNA(VLOOKUP(patch[[#This Row],[reviewer]],OrgTree!$A:$K, 11, 0), "not ICG SWFW"))</f>
        <v>BJ And dev</v>
      </c>
      <c r="T2696" s="7" t="str">
        <f>IF(ISBLANK(patch[[#This Row],[mergeDate]]), "", MID(YEAR(patch[[#This Row],[mergeDate]]), 3,2)&amp;"'ww"&amp;WEEKNUM(patch[[#This Row],[mergeDate]]))</f>
        <v>16'ww36</v>
      </c>
      <c r="U2696" s="7" t="str">
        <f>IF(ISBLANK(patch[[#This Row],[mergeDate]]), U2695, MID(YEAR(patch[[#This Row],[mergeDate]]), 3,2)&amp;"'m"&amp;MONTH(patch[[#This Row],[mergeDate]]))</f>
        <v>16'm9</v>
      </c>
      <c r="V2696" s="7" t="str">
        <f>IF(ISBLANK(patch[[#This Row],[project]]), "",SUM(patch[[#This Row],[BJ -1 num]:[SH -1 num]]))</f>
        <v/>
      </c>
      <c r="W2696" s="7" t="str">
        <f>IF(ISBLANK(patch[[#This Row],[project]]), "",COUNTIFS($A:$A,patch[[#This Row],[number]],$S:$S, "BJ And dev",$AC:$AC, "Review-1"))</f>
        <v/>
      </c>
      <c r="X2696" s="7" t="str">
        <f>IF(ISBLANK(patch[[#This Row],[project]]), "",COUNTIFS($A:$A,patch[[#This Row],[number]],$S:$S, "FL And dev",$AC:$AC, "Review-1"))</f>
        <v/>
      </c>
      <c r="Y2696" s="7" t="str">
        <f>IF(ISBLANK(patch[[#This Row],[project]]), "",COUNTIFS($A:$A,patch[[#This Row],[number]],$S:$S, "SH And dev",$AC:$AC, "Review-1"))</f>
        <v/>
      </c>
      <c r="Z2696" s="7" t="str">
        <f>IF(ISBLANK(patch[[#This Row],[project]]), "",COUNTIFS($A:$A,patch[[#This Row],[number]],$S:$S, "BJ And dev",$AD:$AD, "&lt;&gt;IntegratorValidationComment"))</f>
        <v/>
      </c>
      <c r="AA2696" s="7" t="str">
        <f>IF(ISBLANK(patch[[#This Row],[project]]), "",COUNTIFS($A:$A,patch[[#This Row],[number]],$S:$S, "FL And dev",$AD:$AD, "&lt;&gt;IntegratorValidationComment"))</f>
        <v/>
      </c>
      <c r="AB2696" s="7" t="str">
        <f>IF(ISBLANK(patch[[#This Row],[project]]), "",COUNTIFS($A:$A,patch[[#This Row],[number]],$S:$S, "SH And dev",$AD:$AD, "&lt;&gt;IntegratorValidationComment"))</f>
        <v/>
      </c>
      <c r="AC2696" s="7" t="str">
        <f>IF(OR(ISNUMBER(FIND("Review-1", patch[[#This Row],[comments]])), ISNUMBER(FIND("Approver-1", patch[[#This Row],[comments]]))), "Review-1", "")</f>
        <v/>
      </c>
      <c r="AD26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96" s="7">
        <f>IF(ISBLANK(patch[[#This Row],[number]]),AE2695,patch[[#This Row],[ifCommon]])</f>
        <v>0</v>
      </c>
    </row>
    <row r="2697" spans="1:31">
      <c r="A2697" s="151">
        <v>142443</v>
      </c>
      <c r="B2697" s="151"/>
      <c r="C2697" s="151"/>
      <c r="D2697" s="151"/>
      <c r="E2697" s="151"/>
      <c r="F2697" s="151"/>
      <c r="G2697" s="151"/>
      <c r="H2697" s="151"/>
      <c r="I2697" s="151"/>
      <c r="J2697" s="152">
        <v>42614.749930555547</v>
      </c>
      <c r="K2697" s="151"/>
      <c r="L2697" s="151" t="s">
        <v>32</v>
      </c>
      <c r="M2697" s="152">
        <v>42613.439803240741</v>
      </c>
      <c r="N2697" s="151" t="s">
        <v>1880</v>
      </c>
      <c r="O2697" s="151"/>
      <c r="P2697" s="151"/>
      <c r="Q2697" s="7" t="str">
        <f>IF(ISBLANK(patch[[#This Row],[OwnerEmail]]),Q2696,patch[[#This Row],[OwnerEmail]])</f>
        <v>xi.cao@intel.com</v>
      </c>
      <c r="R2697" s="7" t="str">
        <f>_xlfn.IFNA(VLOOKUP(patch[[#This Row],[tmp-owner.email]],OrgTree!$A:$K, 11, 0), "not ICG SWFW")</f>
        <v>BJ And dev</v>
      </c>
      <c r="S2697" s="7" t="str">
        <f>IF(patch[[#This Row],[reviewer]]=patch[[#This Row],[tmp-owner.email]], "author", _xlfn.IFNA(VLOOKUP(patch[[#This Row],[reviewer]],OrgTree!$A:$K, 11, 0), "not ICG SWFW"))</f>
        <v>BJ And dev</v>
      </c>
      <c r="T2697" s="7" t="str">
        <f>IF(ISBLANK(patch[[#This Row],[mergeDate]]), "", MID(YEAR(patch[[#This Row],[mergeDate]]), 3,2)&amp;"'ww"&amp;WEEKNUM(patch[[#This Row],[mergeDate]]))</f>
        <v>16'ww36</v>
      </c>
      <c r="U2697" s="7" t="str">
        <f>IF(ISBLANK(patch[[#This Row],[mergeDate]]), U2696, MID(YEAR(patch[[#This Row],[mergeDate]]), 3,2)&amp;"'m"&amp;MONTH(patch[[#This Row],[mergeDate]]))</f>
        <v>16'm9</v>
      </c>
      <c r="V2697" s="7" t="str">
        <f>IF(ISBLANK(patch[[#This Row],[project]]), "",SUM(patch[[#This Row],[BJ -1 num]:[SH -1 num]]))</f>
        <v/>
      </c>
      <c r="W2697" s="7" t="str">
        <f>IF(ISBLANK(patch[[#This Row],[project]]), "",COUNTIFS($A:$A,patch[[#This Row],[number]],$S:$S, "BJ And dev",$AC:$AC, "Review-1"))</f>
        <v/>
      </c>
      <c r="X2697" s="7" t="str">
        <f>IF(ISBLANK(patch[[#This Row],[project]]), "",COUNTIFS($A:$A,patch[[#This Row],[number]],$S:$S, "FL And dev",$AC:$AC, "Review-1"))</f>
        <v/>
      </c>
      <c r="Y2697" s="7" t="str">
        <f>IF(ISBLANK(patch[[#This Row],[project]]), "",COUNTIFS($A:$A,patch[[#This Row],[number]],$S:$S, "SH And dev",$AC:$AC, "Review-1"))</f>
        <v/>
      </c>
      <c r="Z2697" s="7" t="str">
        <f>IF(ISBLANK(patch[[#This Row],[project]]), "",COUNTIFS($A:$A,patch[[#This Row],[number]],$S:$S, "BJ And dev",$AD:$AD, "&lt;&gt;IntegratorValidationComment"))</f>
        <v/>
      </c>
      <c r="AA2697" s="7" t="str">
        <f>IF(ISBLANK(patch[[#This Row],[project]]), "",COUNTIFS($A:$A,patch[[#This Row],[number]],$S:$S, "FL And dev",$AD:$AD, "&lt;&gt;IntegratorValidationComment"))</f>
        <v/>
      </c>
      <c r="AB2697" s="7" t="str">
        <f>IF(ISBLANK(patch[[#This Row],[project]]), "",COUNTIFS($A:$A,patch[[#This Row],[number]],$S:$S, "SH And dev",$AD:$AD, "&lt;&gt;IntegratorValidationComment"))</f>
        <v/>
      </c>
      <c r="AC2697" s="7" t="str">
        <f>IF(OR(ISNUMBER(FIND("Review-1", patch[[#This Row],[comments]])), ISNUMBER(FIND("Approver-1", patch[[#This Row],[comments]]))), "Review-1", "")</f>
        <v/>
      </c>
      <c r="AD26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97" s="7">
        <f>IF(ISBLANK(patch[[#This Row],[number]]),AE2696,patch[[#This Row],[ifCommon]])</f>
        <v>0</v>
      </c>
    </row>
    <row r="2698" spans="1:31">
      <c r="A2698" s="151">
        <v>142443</v>
      </c>
      <c r="B2698" s="151"/>
      <c r="C2698" s="151"/>
      <c r="D2698" s="151"/>
      <c r="E2698" s="151"/>
      <c r="F2698" s="151"/>
      <c r="G2698" s="151"/>
      <c r="H2698" s="151"/>
      <c r="I2698" s="151"/>
      <c r="J2698" s="152">
        <v>42614.749930555547</v>
      </c>
      <c r="K2698" s="151"/>
      <c r="L2698" s="151" t="s">
        <v>59</v>
      </c>
      <c r="M2698" s="152">
        <v>42613.441354166673</v>
      </c>
      <c r="N2698" s="151" t="s">
        <v>3945</v>
      </c>
      <c r="O2698" s="151"/>
      <c r="P2698" s="151"/>
      <c r="Q2698" s="7" t="str">
        <f>IF(ISBLANK(patch[[#This Row],[OwnerEmail]]),Q2697,patch[[#This Row],[OwnerEmail]])</f>
        <v>xi.cao@intel.com</v>
      </c>
      <c r="R2698" s="7" t="str">
        <f>_xlfn.IFNA(VLOOKUP(patch[[#This Row],[tmp-owner.email]],OrgTree!$A:$K, 11, 0), "not ICG SWFW")</f>
        <v>BJ And dev</v>
      </c>
      <c r="S2698" s="7" t="str">
        <f>IF(patch[[#This Row],[reviewer]]=patch[[#This Row],[tmp-owner.email]], "author", _xlfn.IFNA(VLOOKUP(patch[[#This Row],[reviewer]],OrgTree!$A:$K, 11, 0), "not ICG SWFW"))</f>
        <v>BJ And dev</v>
      </c>
      <c r="T2698" s="7" t="str">
        <f>IF(ISBLANK(patch[[#This Row],[mergeDate]]), "", MID(YEAR(patch[[#This Row],[mergeDate]]), 3,2)&amp;"'ww"&amp;WEEKNUM(patch[[#This Row],[mergeDate]]))</f>
        <v>16'ww36</v>
      </c>
      <c r="U2698" s="7" t="str">
        <f>IF(ISBLANK(patch[[#This Row],[mergeDate]]), U2697, MID(YEAR(patch[[#This Row],[mergeDate]]), 3,2)&amp;"'m"&amp;MONTH(patch[[#This Row],[mergeDate]]))</f>
        <v>16'm9</v>
      </c>
      <c r="V2698" s="7" t="str">
        <f>IF(ISBLANK(patch[[#This Row],[project]]), "",SUM(patch[[#This Row],[BJ -1 num]:[SH -1 num]]))</f>
        <v/>
      </c>
      <c r="W2698" s="7" t="str">
        <f>IF(ISBLANK(patch[[#This Row],[project]]), "",COUNTIFS($A:$A,patch[[#This Row],[number]],$S:$S, "BJ And dev",$AC:$AC, "Review-1"))</f>
        <v/>
      </c>
      <c r="X2698" s="7" t="str">
        <f>IF(ISBLANK(patch[[#This Row],[project]]), "",COUNTIFS($A:$A,patch[[#This Row],[number]],$S:$S, "FL And dev",$AC:$AC, "Review-1"))</f>
        <v/>
      </c>
      <c r="Y2698" s="7" t="str">
        <f>IF(ISBLANK(patch[[#This Row],[project]]), "",COUNTIFS($A:$A,patch[[#This Row],[number]],$S:$S, "SH And dev",$AC:$AC, "Review-1"))</f>
        <v/>
      </c>
      <c r="Z2698" s="7" t="str">
        <f>IF(ISBLANK(patch[[#This Row],[project]]), "",COUNTIFS($A:$A,patch[[#This Row],[number]],$S:$S, "BJ And dev",$AD:$AD, "&lt;&gt;IntegratorValidationComment"))</f>
        <v/>
      </c>
      <c r="AA2698" s="7" t="str">
        <f>IF(ISBLANK(patch[[#This Row],[project]]), "",COUNTIFS($A:$A,patch[[#This Row],[number]],$S:$S, "FL And dev",$AD:$AD, "&lt;&gt;IntegratorValidationComment"))</f>
        <v/>
      </c>
      <c r="AB2698" s="7" t="str">
        <f>IF(ISBLANK(patch[[#This Row],[project]]), "",COUNTIFS($A:$A,patch[[#This Row],[number]],$S:$S, "SH And dev",$AD:$AD, "&lt;&gt;IntegratorValidationComment"))</f>
        <v/>
      </c>
      <c r="AC2698" s="7" t="str">
        <f>IF(OR(ISNUMBER(FIND("Review-1", patch[[#This Row],[comments]])), ISNUMBER(FIND("Approver-1", patch[[#This Row],[comments]]))), "Review-1", "")</f>
        <v/>
      </c>
      <c r="AD26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98" s="7">
        <f>IF(ISBLANK(patch[[#This Row],[number]]),AE2697,patch[[#This Row],[ifCommon]])</f>
        <v>0</v>
      </c>
    </row>
    <row r="2699" spans="1:31">
      <c r="A2699" s="151">
        <v>142443</v>
      </c>
      <c r="B2699" s="151"/>
      <c r="C2699" s="151"/>
      <c r="D2699" s="151"/>
      <c r="E2699" s="151"/>
      <c r="F2699" s="151"/>
      <c r="G2699" s="151"/>
      <c r="H2699" s="151"/>
      <c r="I2699" s="151"/>
      <c r="J2699" s="152">
        <v>42614.749930555547</v>
      </c>
      <c r="K2699" s="151"/>
      <c r="L2699" s="151" t="s">
        <v>1203</v>
      </c>
      <c r="M2699" s="152">
        <v>42613.583912037036</v>
      </c>
      <c r="N2699" s="151" t="s">
        <v>2460</v>
      </c>
      <c r="O2699" s="151"/>
      <c r="P2699" s="151"/>
      <c r="Q2699" s="7" t="str">
        <f>IF(ISBLANK(patch[[#This Row],[OwnerEmail]]),Q2698,patch[[#This Row],[OwnerEmail]])</f>
        <v>xi.cao@intel.com</v>
      </c>
      <c r="R2699" s="7" t="str">
        <f>_xlfn.IFNA(VLOOKUP(patch[[#This Row],[tmp-owner.email]],OrgTree!$A:$K, 11, 0), "not ICG SWFW")</f>
        <v>BJ And dev</v>
      </c>
      <c r="S2699" s="7" t="str">
        <f>IF(patch[[#This Row],[reviewer]]=patch[[#This Row],[tmp-owner.email]], "author", _xlfn.IFNA(VLOOKUP(patch[[#This Row],[reviewer]],OrgTree!$A:$K, 11, 0), "not ICG SWFW"))</f>
        <v>author</v>
      </c>
      <c r="T2699" s="7" t="str">
        <f>IF(ISBLANK(patch[[#This Row],[mergeDate]]), "", MID(YEAR(patch[[#This Row],[mergeDate]]), 3,2)&amp;"'ww"&amp;WEEKNUM(patch[[#This Row],[mergeDate]]))</f>
        <v>16'ww36</v>
      </c>
      <c r="U2699" s="7" t="str">
        <f>IF(ISBLANK(patch[[#This Row],[mergeDate]]), U2698, MID(YEAR(patch[[#This Row],[mergeDate]]), 3,2)&amp;"'m"&amp;MONTH(patch[[#This Row],[mergeDate]]))</f>
        <v>16'm9</v>
      </c>
      <c r="V2699" s="7" t="str">
        <f>IF(ISBLANK(patch[[#This Row],[project]]), "",SUM(patch[[#This Row],[BJ -1 num]:[SH -1 num]]))</f>
        <v/>
      </c>
      <c r="W2699" s="7" t="str">
        <f>IF(ISBLANK(patch[[#This Row],[project]]), "",COUNTIFS($A:$A,patch[[#This Row],[number]],$S:$S, "BJ And dev",$AC:$AC, "Review-1"))</f>
        <v/>
      </c>
      <c r="X2699" s="7" t="str">
        <f>IF(ISBLANK(patch[[#This Row],[project]]), "",COUNTIFS($A:$A,patch[[#This Row],[number]],$S:$S, "FL And dev",$AC:$AC, "Review-1"))</f>
        <v/>
      </c>
      <c r="Y2699" s="7" t="str">
        <f>IF(ISBLANK(patch[[#This Row],[project]]), "",COUNTIFS($A:$A,patch[[#This Row],[number]],$S:$S, "SH And dev",$AC:$AC, "Review-1"))</f>
        <v/>
      </c>
      <c r="Z2699" s="7" t="str">
        <f>IF(ISBLANK(patch[[#This Row],[project]]), "",COUNTIFS($A:$A,patch[[#This Row],[number]],$S:$S, "BJ And dev",$AD:$AD, "&lt;&gt;IntegratorValidationComment"))</f>
        <v/>
      </c>
      <c r="AA2699" s="7" t="str">
        <f>IF(ISBLANK(patch[[#This Row],[project]]), "",COUNTIFS($A:$A,patch[[#This Row],[number]],$S:$S, "FL And dev",$AD:$AD, "&lt;&gt;IntegratorValidationComment"))</f>
        <v/>
      </c>
      <c r="AB2699" s="7" t="str">
        <f>IF(ISBLANK(patch[[#This Row],[project]]), "",COUNTIFS($A:$A,patch[[#This Row],[number]],$S:$S, "SH And dev",$AD:$AD, "&lt;&gt;IntegratorValidationComment"))</f>
        <v/>
      </c>
      <c r="AC2699" s="7" t="str">
        <f>IF(OR(ISNUMBER(FIND("Review-1", patch[[#This Row],[comments]])), ISNUMBER(FIND("Approver-1", patch[[#This Row],[comments]]))), "Review-1", "")</f>
        <v/>
      </c>
      <c r="AD26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699" s="7">
        <f>IF(ISBLANK(patch[[#This Row],[number]]),AE2698,patch[[#This Row],[ifCommon]])</f>
        <v>0</v>
      </c>
    </row>
    <row r="2700" spans="1:31">
      <c r="A2700" s="151">
        <v>142443</v>
      </c>
      <c r="B2700" s="151"/>
      <c r="C2700" s="151"/>
      <c r="D2700" s="151"/>
      <c r="E2700" s="151"/>
      <c r="F2700" s="151"/>
      <c r="G2700" s="151"/>
      <c r="H2700" s="151"/>
      <c r="I2700" s="151"/>
      <c r="J2700" s="152">
        <v>42614.749930555547</v>
      </c>
      <c r="K2700" s="151"/>
      <c r="L2700" s="151" t="s">
        <v>1203</v>
      </c>
      <c r="M2700" s="152">
        <v>42613.583923611113</v>
      </c>
      <c r="N2700" s="151" t="s">
        <v>2429</v>
      </c>
      <c r="O2700" s="151"/>
      <c r="P2700" s="151"/>
      <c r="Q2700" s="7" t="str">
        <f>IF(ISBLANK(patch[[#This Row],[OwnerEmail]]),Q2699,patch[[#This Row],[OwnerEmail]])</f>
        <v>xi.cao@intel.com</v>
      </c>
      <c r="R2700" s="7" t="str">
        <f>_xlfn.IFNA(VLOOKUP(patch[[#This Row],[tmp-owner.email]],OrgTree!$A:$K, 11, 0), "not ICG SWFW")</f>
        <v>BJ And dev</v>
      </c>
      <c r="S2700" s="7" t="str">
        <f>IF(patch[[#This Row],[reviewer]]=patch[[#This Row],[tmp-owner.email]], "author", _xlfn.IFNA(VLOOKUP(patch[[#This Row],[reviewer]],OrgTree!$A:$K, 11, 0), "not ICG SWFW"))</f>
        <v>author</v>
      </c>
      <c r="T2700" s="7" t="str">
        <f>IF(ISBLANK(patch[[#This Row],[mergeDate]]), "", MID(YEAR(patch[[#This Row],[mergeDate]]), 3,2)&amp;"'ww"&amp;WEEKNUM(patch[[#This Row],[mergeDate]]))</f>
        <v>16'ww36</v>
      </c>
      <c r="U2700" s="7" t="str">
        <f>IF(ISBLANK(patch[[#This Row],[mergeDate]]), U2699, MID(YEAR(patch[[#This Row],[mergeDate]]), 3,2)&amp;"'m"&amp;MONTH(patch[[#This Row],[mergeDate]]))</f>
        <v>16'm9</v>
      </c>
      <c r="V2700" s="7" t="str">
        <f>IF(ISBLANK(patch[[#This Row],[project]]), "",SUM(patch[[#This Row],[BJ -1 num]:[SH -1 num]]))</f>
        <v/>
      </c>
      <c r="W2700" s="7" t="str">
        <f>IF(ISBLANK(patch[[#This Row],[project]]), "",COUNTIFS($A:$A,patch[[#This Row],[number]],$S:$S, "BJ And dev",$AC:$AC, "Review-1"))</f>
        <v/>
      </c>
      <c r="X2700" s="7" t="str">
        <f>IF(ISBLANK(patch[[#This Row],[project]]), "",COUNTIFS($A:$A,patch[[#This Row],[number]],$S:$S, "FL And dev",$AC:$AC, "Review-1"))</f>
        <v/>
      </c>
      <c r="Y2700" s="7" t="str">
        <f>IF(ISBLANK(patch[[#This Row],[project]]), "",COUNTIFS($A:$A,patch[[#This Row],[number]],$S:$S, "SH And dev",$AC:$AC, "Review-1"))</f>
        <v/>
      </c>
      <c r="Z2700" s="7" t="str">
        <f>IF(ISBLANK(patch[[#This Row],[project]]), "",COUNTIFS($A:$A,patch[[#This Row],[number]],$S:$S, "BJ And dev",$AD:$AD, "&lt;&gt;IntegratorValidationComment"))</f>
        <v/>
      </c>
      <c r="AA2700" s="7" t="str">
        <f>IF(ISBLANK(patch[[#This Row],[project]]), "",COUNTIFS($A:$A,patch[[#This Row],[number]],$S:$S, "FL And dev",$AD:$AD, "&lt;&gt;IntegratorValidationComment"))</f>
        <v/>
      </c>
      <c r="AB2700" s="7" t="str">
        <f>IF(ISBLANK(patch[[#This Row],[project]]), "",COUNTIFS($A:$A,patch[[#This Row],[number]],$S:$S, "SH And dev",$AD:$AD, "&lt;&gt;IntegratorValidationComment"))</f>
        <v/>
      </c>
      <c r="AC2700" s="7" t="str">
        <f>IF(OR(ISNUMBER(FIND("Review-1", patch[[#This Row],[comments]])), ISNUMBER(FIND("Approver-1", patch[[#This Row],[comments]]))), "Review-1", "")</f>
        <v/>
      </c>
      <c r="AD27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00" s="7">
        <f>IF(ISBLANK(patch[[#This Row],[number]]),AE2699,patch[[#This Row],[ifCommon]])</f>
        <v>0</v>
      </c>
    </row>
    <row r="2701" spans="1:31">
      <c r="A2701" s="151">
        <v>142443</v>
      </c>
      <c r="B2701" s="151"/>
      <c r="C2701" s="151"/>
      <c r="D2701" s="151"/>
      <c r="E2701" s="151"/>
      <c r="F2701" s="151"/>
      <c r="G2701" s="151"/>
      <c r="H2701" s="151"/>
      <c r="I2701" s="151"/>
      <c r="J2701" s="152">
        <v>42614.749930555547</v>
      </c>
      <c r="K2701" s="151"/>
      <c r="L2701" s="151" t="s">
        <v>55</v>
      </c>
      <c r="M2701" s="152">
        <v>42613.58792824074</v>
      </c>
      <c r="N2701" s="151" t="s">
        <v>2500</v>
      </c>
      <c r="O2701" s="151" t="s">
        <v>3946</v>
      </c>
      <c r="P2701" s="151"/>
      <c r="Q2701" s="7" t="str">
        <f>IF(ISBLANK(patch[[#This Row],[OwnerEmail]]),Q2700,patch[[#This Row],[OwnerEmail]])</f>
        <v>xi.cao@intel.com</v>
      </c>
      <c r="R2701" s="7" t="str">
        <f>_xlfn.IFNA(VLOOKUP(patch[[#This Row],[tmp-owner.email]],OrgTree!$A:$K, 11, 0), "not ICG SWFW")</f>
        <v>BJ And dev</v>
      </c>
      <c r="S2701" s="7" t="str">
        <f>IF(patch[[#This Row],[reviewer]]=patch[[#This Row],[tmp-owner.email]], "author", _xlfn.IFNA(VLOOKUP(patch[[#This Row],[reviewer]],OrgTree!$A:$K, 11, 0), "not ICG SWFW"))</f>
        <v>BJ And dev</v>
      </c>
      <c r="T2701" s="7" t="str">
        <f>IF(ISBLANK(patch[[#This Row],[mergeDate]]), "", MID(YEAR(patch[[#This Row],[mergeDate]]), 3,2)&amp;"'ww"&amp;WEEKNUM(patch[[#This Row],[mergeDate]]))</f>
        <v>16'ww36</v>
      </c>
      <c r="U2701" s="7" t="str">
        <f>IF(ISBLANK(patch[[#This Row],[mergeDate]]), U2700, MID(YEAR(patch[[#This Row],[mergeDate]]), 3,2)&amp;"'m"&amp;MONTH(patch[[#This Row],[mergeDate]]))</f>
        <v>16'm9</v>
      </c>
      <c r="V2701" s="7" t="str">
        <f>IF(ISBLANK(patch[[#This Row],[project]]), "",SUM(patch[[#This Row],[BJ -1 num]:[SH -1 num]]))</f>
        <v/>
      </c>
      <c r="W2701" s="7" t="str">
        <f>IF(ISBLANK(patch[[#This Row],[project]]), "",COUNTIFS($A:$A,patch[[#This Row],[number]],$S:$S, "BJ And dev",$AC:$AC, "Review-1"))</f>
        <v/>
      </c>
      <c r="X2701" s="7" t="str">
        <f>IF(ISBLANK(patch[[#This Row],[project]]), "",COUNTIFS($A:$A,patch[[#This Row],[number]],$S:$S, "FL And dev",$AC:$AC, "Review-1"))</f>
        <v/>
      </c>
      <c r="Y2701" s="7" t="str">
        <f>IF(ISBLANK(patch[[#This Row],[project]]), "",COUNTIFS($A:$A,patch[[#This Row],[number]],$S:$S, "SH And dev",$AC:$AC, "Review-1"))</f>
        <v/>
      </c>
      <c r="Z2701" s="7" t="str">
        <f>IF(ISBLANK(patch[[#This Row],[project]]), "",COUNTIFS($A:$A,patch[[#This Row],[number]],$S:$S, "BJ And dev",$AD:$AD, "&lt;&gt;IntegratorValidationComment"))</f>
        <v/>
      </c>
      <c r="AA2701" s="7" t="str">
        <f>IF(ISBLANK(patch[[#This Row],[project]]), "",COUNTIFS($A:$A,patch[[#This Row],[number]],$S:$S, "FL And dev",$AD:$AD, "&lt;&gt;IntegratorValidationComment"))</f>
        <v/>
      </c>
      <c r="AB2701" s="7" t="str">
        <f>IF(ISBLANK(patch[[#This Row],[project]]), "",COUNTIFS($A:$A,patch[[#This Row],[number]],$S:$S, "SH And dev",$AD:$AD, "&lt;&gt;IntegratorValidationComment"))</f>
        <v/>
      </c>
      <c r="AC2701" s="7" t="str">
        <f>IF(OR(ISNUMBER(FIND("Review-1", patch[[#This Row],[comments]])), ISNUMBER(FIND("Approver-1", patch[[#This Row],[comments]]))), "Review-1", "")</f>
        <v>Review-1</v>
      </c>
      <c r="AD27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01" s="7">
        <f>IF(ISBLANK(patch[[#This Row],[number]]),AE2700,patch[[#This Row],[ifCommon]])</f>
        <v>0</v>
      </c>
    </row>
    <row r="2702" spans="1:31">
      <c r="A2702" s="151">
        <v>142443</v>
      </c>
      <c r="B2702" s="151"/>
      <c r="C2702" s="151"/>
      <c r="D2702" s="151"/>
      <c r="E2702" s="151"/>
      <c r="F2702" s="151"/>
      <c r="G2702" s="151"/>
      <c r="H2702" s="151"/>
      <c r="I2702" s="151"/>
      <c r="J2702" s="152">
        <v>42614.749930555547</v>
      </c>
      <c r="K2702" s="151"/>
      <c r="L2702" s="151" t="s">
        <v>1203</v>
      </c>
      <c r="M2702" s="152">
        <v>42613.590115740742</v>
      </c>
      <c r="N2702" s="151" t="s">
        <v>2455</v>
      </c>
      <c r="O2702" s="151" t="s">
        <v>3947</v>
      </c>
      <c r="P2702" s="151"/>
      <c r="Q2702" s="7" t="str">
        <f>IF(ISBLANK(patch[[#This Row],[OwnerEmail]]),Q2701,patch[[#This Row],[OwnerEmail]])</f>
        <v>xi.cao@intel.com</v>
      </c>
      <c r="R2702" s="7" t="str">
        <f>_xlfn.IFNA(VLOOKUP(patch[[#This Row],[tmp-owner.email]],OrgTree!$A:$K, 11, 0), "not ICG SWFW")</f>
        <v>BJ And dev</v>
      </c>
      <c r="S2702" s="7" t="str">
        <f>IF(patch[[#This Row],[reviewer]]=patch[[#This Row],[tmp-owner.email]], "author", _xlfn.IFNA(VLOOKUP(patch[[#This Row],[reviewer]],OrgTree!$A:$K, 11, 0), "not ICG SWFW"))</f>
        <v>author</v>
      </c>
      <c r="T2702" s="7" t="str">
        <f>IF(ISBLANK(patch[[#This Row],[mergeDate]]), "", MID(YEAR(patch[[#This Row],[mergeDate]]), 3,2)&amp;"'ww"&amp;WEEKNUM(patch[[#This Row],[mergeDate]]))</f>
        <v>16'ww36</v>
      </c>
      <c r="U2702" s="7" t="str">
        <f>IF(ISBLANK(patch[[#This Row],[mergeDate]]), U2701, MID(YEAR(patch[[#This Row],[mergeDate]]), 3,2)&amp;"'m"&amp;MONTH(patch[[#This Row],[mergeDate]]))</f>
        <v>16'm9</v>
      </c>
      <c r="V2702" s="7" t="str">
        <f>IF(ISBLANK(patch[[#This Row],[project]]), "",SUM(patch[[#This Row],[BJ -1 num]:[SH -1 num]]))</f>
        <v/>
      </c>
      <c r="W2702" s="7" t="str">
        <f>IF(ISBLANK(patch[[#This Row],[project]]), "",COUNTIFS($A:$A,patch[[#This Row],[number]],$S:$S, "BJ And dev",$AC:$AC, "Review-1"))</f>
        <v/>
      </c>
      <c r="X2702" s="7" t="str">
        <f>IF(ISBLANK(patch[[#This Row],[project]]), "",COUNTIFS($A:$A,patch[[#This Row],[number]],$S:$S, "FL And dev",$AC:$AC, "Review-1"))</f>
        <v/>
      </c>
      <c r="Y2702" s="7" t="str">
        <f>IF(ISBLANK(patch[[#This Row],[project]]), "",COUNTIFS($A:$A,patch[[#This Row],[number]],$S:$S, "SH And dev",$AC:$AC, "Review-1"))</f>
        <v/>
      </c>
      <c r="Z2702" s="7" t="str">
        <f>IF(ISBLANK(patch[[#This Row],[project]]), "",COUNTIFS($A:$A,patch[[#This Row],[number]],$S:$S, "BJ And dev",$AD:$AD, "&lt;&gt;IntegratorValidationComment"))</f>
        <v/>
      </c>
      <c r="AA2702" s="7" t="str">
        <f>IF(ISBLANK(patch[[#This Row],[project]]), "",COUNTIFS($A:$A,patch[[#This Row],[number]],$S:$S, "FL And dev",$AD:$AD, "&lt;&gt;IntegratorValidationComment"))</f>
        <v/>
      </c>
      <c r="AB2702" s="7" t="str">
        <f>IF(ISBLANK(patch[[#This Row],[project]]), "",COUNTIFS($A:$A,patch[[#This Row],[number]],$S:$S, "SH And dev",$AD:$AD, "&lt;&gt;IntegratorValidationComment"))</f>
        <v/>
      </c>
      <c r="AC2702" s="7" t="str">
        <f>IF(OR(ISNUMBER(FIND("Review-1", patch[[#This Row],[comments]])), ISNUMBER(FIND("Approver-1", patch[[#This Row],[comments]]))), "Review-1", "")</f>
        <v/>
      </c>
      <c r="AD27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02" s="7">
        <f>IF(ISBLANK(patch[[#This Row],[number]]),AE2701,patch[[#This Row],[ifCommon]])</f>
        <v>0</v>
      </c>
    </row>
    <row r="2703" spans="1:31">
      <c r="A2703" s="151">
        <v>142443</v>
      </c>
      <c r="B2703" s="151"/>
      <c r="C2703" s="151"/>
      <c r="D2703" s="151"/>
      <c r="E2703" s="151"/>
      <c r="F2703" s="151"/>
      <c r="G2703" s="151"/>
      <c r="H2703" s="151"/>
      <c r="I2703" s="151"/>
      <c r="J2703" s="152">
        <v>42614.749930555547</v>
      </c>
      <c r="K2703" s="151"/>
      <c r="L2703" s="151" t="s">
        <v>59</v>
      </c>
      <c r="M2703" s="152">
        <v>42613.590763888889</v>
      </c>
      <c r="N2703" s="151" t="s">
        <v>3948</v>
      </c>
      <c r="O2703" s="151"/>
      <c r="P2703" s="151"/>
      <c r="Q2703" s="7" t="str">
        <f>IF(ISBLANK(patch[[#This Row],[OwnerEmail]]),Q2702,patch[[#This Row],[OwnerEmail]])</f>
        <v>xi.cao@intel.com</v>
      </c>
      <c r="R2703" s="7" t="str">
        <f>_xlfn.IFNA(VLOOKUP(patch[[#This Row],[tmp-owner.email]],OrgTree!$A:$K, 11, 0), "not ICG SWFW")</f>
        <v>BJ And dev</v>
      </c>
      <c r="S2703" s="7" t="str">
        <f>IF(patch[[#This Row],[reviewer]]=patch[[#This Row],[tmp-owner.email]], "author", _xlfn.IFNA(VLOOKUP(patch[[#This Row],[reviewer]],OrgTree!$A:$K, 11, 0), "not ICG SWFW"))</f>
        <v>BJ And dev</v>
      </c>
      <c r="T2703" s="7" t="str">
        <f>IF(ISBLANK(patch[[#This Row],[mergeDate]]), "", MID(YEAR(patch[[#This Row],[mergeDate]]), 3,2)&amp;"'ww"&amp;WEEKNUM(patch[[#This Row],[mergeDate]]))</f>
        <v>16'ww36</v>
      </c>
      <c r="U2703" s="7" t="str">
        <f>IF(ISBLANK(patch[[#This Row],[mergeDate]]), U2702, MID(YEAR(patch[[#This Row],[mergeDate]]), 3,2)&amp;"'m"&amp;MONTH(patch[[#This Row],[mergeDate]]))</f>
        <v>16'm9</v>
      </c>
      <c r="V2703" s="7" t="str">
        <f>IF(ISBLANK(patch[[#This Row],[project]]), "",SUM(patch[[#This Row],[BJ -1 num]:[SH -1 num]]))</f>
        <v/>
      </c>
      <c r="W2703" s="7" t="str">
        <f>IF(ISBLANK(patch[[#This Row],[project]]), "",COUNTIFS($A:$A,patch[[#This Row],[number]],$S:$S, "BJ And dev",$AC:$AC, "Review-1"))</f>
        <v/>
      </c>
      <c r="X2703" s="7" t="str">
        <f>IF(ISBLANK(patch[[#This Row],[project]]), "",COUNTIFS($A:$A,patch[[#This Row],[number]],$S:$S, "FL And dev",$AC:$AC, "Review-1"))</f>
        <v/>
      </c>
      <c r="Y2703" s="7" t="str">
        <f>IF(ISBLANK(patch[[#This Row],[project]]), "",COUNTIFS($A:$A,patch[[#This Row],[number]],$S:$S, "SH And dev",$AC:$AC, "Review-1"))</f>
        <v/>
      </c>
      <c r="Z2703" s="7" t="str">
        <f>IF(ISBLANK(patch[[#This Row],[project]]), "",COUNTIFS($A:$A,patch[[#This Row],[number]],$S:$S, "BJ And dev",$AD:$AD, "&lt;&gt;IntegratorValidationComment"))</f>
        <v/>
      </c>
      <c r="AA2703" s="7" t="str">
        <f>IF(ISBLANK(patch[[#This Row],[project]]), "",COUNTIFS($A:$A,patch[[#This Row],[number]],$S:$S, "FL And dev",$AD:$AD, "&lt;&gt;IntegratorValidationComment"))</f>
        <v/>
      </c>
      <c r="AB2703" s="7" t="str">
        <f>IF(ISBLANK(patch[[#This Row],[project]]), "",COUNTIFS($A:$A,patch[[#This Row],[number]],$S:$S, "SH And dev",$AD:$AD, "&lt;&gt;IntegratorValidationComment"))</f>
        <v/>
      </c>
      <c r="AC2703" s="7" t="str">
        <f>IF(OR(ISNUMBER(FIND("Review-1", patch[[#This Row],[comments]])), ISNUMBER(FIND("Approver-1", patch[[#This Row],[comments]]))), "Review-1", "")</f>
        <v/>
      </c>
      <c r="AD27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03" s="7">
        <f>IF(ISBLANK(patch[[#This Row],[number]]),AE2702,patch[[#This Row],[ifCommon]])</f>
        <v>0</v>
      </c>
    </row>
    <row r="2704" spans="1:31">
      <c r="A2704" s="151">
        <v>142443</v>
      </c>
      <c r="B2704" s="151"/>
      <c r="C2704" s="151"/>
      <c r="D2704" s="151"/>
      <c r="E2704" s="151"/>
      <c r="F2704" s="151"/>
      <c r="G2704" s="151"/>
      <c r="H2704" s="151"/>
      <c r="I2704" s="151"/>
      <c r="J2704" s="152">
        <v>42614.749930555547</v>
      </c>
      <c r="K2704" s="151"/>
      <c r="L2704" s="151" t="s">
        <v>59</v>
      </c>
      <c r="M2704" s="152">
        <v>42613.593946759262</v>
      </c>
      <c r="N2704" s="151" t="s">
        <v>3949</v>
      </c>
      <c r="O2704" s="151"/>
      <c r="P2704" s="151"/>
      <c r="Q2704" s="7" t="str">
        <f>IF(ISBLANK(patch[[#This Row],[OwnerEmail]]),Q2703,patch[[#This Row],[OwnerEmail]])</f>
        <v>xi.cao@intel.com</v>
      </c>
      <c r="R2704" s="7" t="str">
        <f>_xlfn.IFNA(VLOOKUP(patch[[#This Row],[tmp-owner.email]],OrgTree!$A:$K, 11, 0), "not ICG SWFW")</f>
        <v>BJ And dev</v>
      </c>
      <c r="S2704" s="7" t="str">
        <f>IF(patch[[#This Row],[reviewer]]=patch[[#This Row],[tmp-owner.email]], "author", _xlfn.IFNA(VLOOKUP(patch[[#This Row],[reviewer]],OrgTree!$A:$K, 11, 0), "not ICG SWFW"))</f>
        <v>BJ And dev</v>
      </c>
      <c r="T2704" s="7" t="str">
        <f>IF(ISBLANK(patch[[#This Row],[mergeDate]]), "", MID(YEAR(patch[[#This Row],[mergeDate]]), 3,2)&amp;"'ww"&amp;WEEKNUM(patch[[#This Row],[mergeDate]]))</f>
        <v>16'ww36</v>
      </c>
      <c r="U2704" s="7" t="str">
        <f>IF(ISBLANK(patch[[#This Row],[mergeDate]]), U2703, MID(YEAR(patch[[#This Row],[mergeDate]]), 3,2)&amp;"'m"&amp;MONTH(patch[[#This Row],[mergeDate]]))</f>
        <v>16'm9</v>
      </c>
      <c r="V2704" s="7" t="str">
        <f>IF(ISBLANK(patch[[#This Row],[project]]), "",SUM(patch[[#This Row],[BJ -1 num]:[SH -1 num]]))</f>
        <v/>
      </c>
      <c r="W2704" s="7" t="str">
        <f>IF(ISBLANK(patch[[#This Row],[project]]), "",COUNTIFS($A:$A,patch[[#This Row],[number]],$S:$S, "BJ And dev",$AC:$AC, "Review-1"))</f>
        <v/>
      </c>
      <c r="X2704" s="7" t="str">
        <f>IF(ISBLANK(patch[[#This Row],[project]]), "",COUNTIFS($A:$A,patch[[#This Row],[number]],$S:$S, "FL And dev",$AC:$AC, "Review-1"))</f>
        <v/>
      </c>
      <c r="Y2704" s="7" t="str">
        <f>IF(ISBLANK(patch[[#This Row],[project]]), "",COUNTIFS($A:$A,patch[[#This Row],[number]],$S:$S, "SH And dev",$AC:$AC, "Review-1"))</f>
        <v/>
      </c>
      <c r="Z2704" s="7" t="str">
        <f>IF(ISBLANK(patch[[#This Row],[project]]), "",COUNTIFS($A:$A,patch[[#This Row],[number]],$S:$S, "BJ And dev",$AD:$AD, "&lt;&gt;IntegratorValidationComment"))</f>
        <v/>
      </c>
      <c r="AA2704" s="7" t="str">
        <f>IF(ISBLANK(patch[[#This Row],[project]]), "",COUNTIFS($A:$A,patch[[#This Row],[number]],$S:$S, "FL And dev",$AD:$AD, "&lt;&gt;IntegratorValidationComment"))</f>
        <v/>
      </c>
      <c r="AB2704" s="7" t="str">
        <f>IF(ISBLANK(patch[[#This Row],[project]]), "",COUNTIFS($A:$A,patch[[#This Row],[number]],$S:$S, "SH And dev",$AD:$AD, "&lt;&gt;IntegratorValidationComment"))</f>
        <v/>
      </c>
      <c r="AC2704" s="7" t="str">
        <f>IF(OR(ISNUMBER(FIND("Review-1", patch[[#This Row],[comments]])), ISNUMBER(FIND("Approver-1", patch[[#This Row],[comments]]))), "Review-1", "")</f>
        <v/>
      </c>
      <c r="AD27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04" s="7">
        <f>IF(ISBLANK(patch[[#This Row],[number]]),AE2703,patch[[#This Row],[ifCommon]])</f>
        <v>0</v>
      </c>
    </row>
    <row r="2705" spans="1:31">
      <c r="A2705" s="151">
        <v>142443</v>
      </c>
      <c r="B2705" s="151"/>
      <c r="C2705" s="151"/>
      <c r="D2705" s="151"/>
      <c r="E2705" s="151"/>
      <c r="F2705" s="151"/>
      <c r="G2705" s="151"/>
      <c r="H2705" s="151"/>
      <c r="I2705" s="151"/>
      <c r="J2705" s="152">
        <v>42614.749930555547</v>
      </c>
      <c r="K2705" s="151"/>
      <c r="L2705" s="151" t="s">
        <v>1203</v>
      </c>
      <c r="M2705" s="152">
        <v>42613.671365740738</v>
      </c>
      <c r="N2705" s="151" t="s">
        <v>1829</v>
      </c>
      <c r="O2705" s="151"/>
      <c r="P2705" s="151"/>
      <c r="Q2705" s="7" t="str">
        <f>IF(ISBLANK(patch[[#This Row],[OwnerEmail]]),Q2704,patch[[#This Row],[OwnerEmail]])</f>
        <v>xi.cao@intel.com</v>
      </c>
      <c r="R2705" s="7" t="str">
        <f>_xlfn.IFNA(VLOOKUP(patch[[#This Row],[tmp-owner.email]],OrgTree!$A:$K, 11, 0), "not ICG SWFW")</f>
        <v>BJ And dev</v>
      </c>
      <c r="S2705" s="7" t="str">
        <f>IF(patch[[#This Row],[reviewer]]=patch[[#This Row],[tmp-owner.email]], "author", _xlfn.IFNA(VLOOKUP(patch[[#This Row],[reviewer]],OrgTree!$A:$K, 11, 0), "not ICG SWFW"))</f>
        <v>author</v>
      </c>
      <c r="T2705" s="7" t="str">
        <f>IF(ISBLANK(patch[[#This Row],[mergeDate]]), "", MID(YEAR(patch[[#This Row],[mergeDate]]), 3,2)&amp;"'ww"&amp;WEEKNUM(patch[[#This Row],[mergeDate]]))</f>
        <v>16'ww36</v>
      </c>
      <c r="U2705" s="7" t="str">
        <f>IF(ISBLANK(patch[[#This Row],[mergeDate]]), U2704, MID(YEAR(patch[[#This Row],[mergeDate]]), 3,2)&amp;"'m"&amp;MONTH(patch[[#This Row],[mergeDate]]))</f>
        <v>16'm9</v>
      </c>
      <c r="V2705" s="7" t="str">
        <f>IF(ISBLANK(patch[[#This Row],[project]]), "",SUM(patch[[#This Row],[BJ -1 num]:[SH -1 num]]))</f>
        <v/>
      </c>
      <c r="W2705" s="7" t="str">
        <f>IF(ISBLANK(patch[[#This Row],[project]]), "",COUNTIFS($A:$A,patch[[#This Row],[number]],$S:$S, "BJ And dev",$AC:$AC, "Review-1"))</f>
        <v/>
      </c>
      <c r="X2705" s="7" t="str">
        <f>IF(ISBLANK(patch[[#This Row],[project]]), "",COUNTIFS($A:$A,patch[[#This Row],[number]],$S:$S, "FL And dev",$AC:$AC, "Review-1"))</f>
        <v/>
      </c>
      <c r="Y2705" s="7" t="str">
        <f>IF(ISBLANK(patch[[#This Row],[project]]), "",COUNTIFS($A:$A,patch[[#This Row],[number]],$S:$S, "SH And dev",$AC:$AC, "Review-1"))</f>
        <v/>
      </c>
      <c r="Z2705" s="7" t="str">
        <f>IF(ISBLANK(patch[[#This Row],[project]]), "",COUNTIFS($A:$A,patch[[#This Row],[number]],$S:$S, "BJ And dev",$AD:$AD, "&lt;&gt;IntegratorValidationComment"))</f>
        <v/>
      </c>
      <c r="AA2705" s="7" t="str">
        <f>IF(ISBLANK(patch[[#This Row],[project]]), "",COUNTIFS($A:$A,patch[[#This Row],[number]],$S:$S, "FL And dev",$AD:$AD, "&lt;&gt;IntegratorValidationComment"))</f>
        <v/>
      </c>
      <c r="AB2705" s="7" t="str">
        <f>IF(ISBLANK(patch[[#This Row],[project]]), "",COUNTIFS($A:$A,patch[[#This Row],[number]],$S:$S, "SH And dev",$AD:$AD, "&lt;&gt;IntegratorValidationComment"))</f>
        <v/>
      </c>
      <c r="AC2705" s="7" t="str">
        <f>IF(OR(ISNUMBER(FIND("Review-1", patch[[#This Row],[comments]])), ISNUMBER(FIND("Approver-1", patch[[#This Row],[comments]]))), "Review-1", "")</f>
        <v/>
      </c>
      <c r="AD27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05" s="7">
        <f>IF(ISBLANK(patch[[#This Row],[number]]),AE2704,patch[[#This Row],[ifCommon]])</f>
        <v>0</v>
      </c>
    </row>
    <row r="2706" spans="1:31">
      <c r="A2706" s="151">
        <v>142443</v>
      </c>
      <c r="B2706" s="151"/>
      <c r="C2706" s="151"/>
      <c r="D2706" s="151"/>
      <c r="E2706" s="151"/>
      <c r="F2706" s="151"/>
      <c r="G2706" s="151"/>
      <c r="H2706" s="151"/>
      <c r="I2706" s="151"/>
      <c r="J2706" s="152">
        <v>42614.749930555547</v>
      </c>
      <c r="K2706" s="151"/>
      <c r="L2706" s="151" t="s">
        <v>1203</v>
      </c>
      <c r="M2706" s="152">
        <v>42613.671365740738</v>
      </c>
      <c r="N2706" s="151" t="s">
        <v>2450</v>
      </c>
      <c r="O2706" s="151"/>
      <c r="P2706" s="151"/>
      <c r="Q2706" s="7" t="str">
        <f>IF(ISBLANK(patch[[#This Row],[OwnerEmail]]),Q2705,patch[[#This Row],[OwnerEmail]])</f>
        <v>xi.cao@intel.com</v>
      </c>
      <c r="R2706" s="7" t="str">
        <f>_xlfn.IFNA(VLOOKUP(patch[[#This Row],[tmp-owner.email]],OrgTree!$A:$K, 11, 0), "not ICG SWFW")</f>
        <v>BJ And dev</v>
      </c>
      <c r="S2706" s="7" t="str">
        <f>IF(patch[[#This Row],[reviewer]]=patch[[#This Row],[tmp-owner.email]], "author", _xlfn.IFNA(VLOOKUP(patch[[#This Row],[reviewer]],OrgTree!$A:$K, 11, 0), "not ICG SWFW"))</f>
        <v>author</v>
      </c>
      <c r="T2706" s="7" t="str">
        <f>IF(ISBLANK(patch[[#This Row],[mergeDate]]), "", MID(YEAR(patch[[#This Row],[mergeDate]]), 3,2)&amp;"'ww"&amp;WEEKNUM(patch[[#This Row],[mergeDate]]))</f>
        <v>16'ww36</v>
      </c>
      <c r="U2706" s="7" t="str">
        <f>IF(ISBLANK(patch[[#This Row],[mergeDate]]), U2705, MID(YEAR(patch[[#This Row],[mergeDate]]), 3,2)&amp;"'m"&amp;MONTH(patch[[#This Row],[mergeDate]]))</f>
        <v>16'm9</v>
      </c>
      <c r="V2706" s="7" t="str">
        <f>IF(ISBLANK(patch[[#This Row],[project]]), "",SUM(patch[[#This Row],[BJ -1 num]:[SH -1 num]]))</f>
        <v/>
      </c>
      <c r="W2706" s="7" t="str">
        <f>IF(ISBLANK(patch[[#This Row],[project]]), "",COUNTIFS($A:$A,patch[[#This Row],[number]],$S:$S, "BJ And dev",$AC:$AC, "Review-1"))</f>
        <v/>
      </c>
      <c r="X2706" s="7" t="str">
        <f>IF(ISBLANK(patch[[#This Row],[project]]), "",COUNTIFS($A:$A,patch[[#This Row],[number]],$S:$S, "FL And dev",$AC:$AC, "Review-1"))</f>
        <v/>
      </c>
      <c r="Y2706" s="7" t="str">
        <f>IF(ISBLANK(patch[[#This Row],[project]]), "",COUNTIFS($A:$A,patch[[#This Row],[number]],$S:$S, "SH And dev",$AC:$AC, "Review-1"))</f>
        <v/>
      </c>
      <c r="Z2706" s="7" t="str">
        <f>IF(ISBLANK(patch[[#This Row],[project]]), "",COUNTIFS($A:$A,patch[[#This Row],[number]],$S:$S, "BJ And dev",$AD:$AD, "&lt;&gt;IntegratorValidationComment"))</f>
        <v/>
      </c>
      <c r="AA2706" s="7" t="str">
        <f>IF(ISBLANK(patch[[#This Row],[project]]), "",COUNTIFS($A:$A,patch[[#This Row],[number]],$S:$S, "FL And dev",$AD:$AD, "&lt;&gt;IntegratorValidationComment"))</f>
        <v/>
      </c>
      <c r="AB2706" s="7" t="str">
        <f>IF(ISBLANK(patch[[#This Row],[project]]), "",COUNTIFS($A:$A,patch[[#This Row],[number]],$S:$S, "SH And dev",$AD:$AD, "&lt;&gt;IntegratorValidationComment"))</f>
        <v/>
      </c>
      <c r="AC2706" s="7" t="str">
        <f>IF(OR(ISNUMBER(FIND("Review-1", patch[[#This Row],[comments]])), ISNUMBER(FIND("Approver-1", patch[[#This Row],[comments]]))), "Review-1", "")</f>
        <v/>
      </c>
      <c r="AD27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06" s="7">
        <f>IF(ISBLANK(patch[[#This Row],[number]]),AE2705,patch[[#This Row],[ifCommon]])</f>
        <v>0</v>
      </c>
    </row>
    <row r="2707" spans="1:31">
      <c r="A2707" s="151">
        <v>142443</v>
      </c>
      <c r="B2707" s="151"/>
      <c r="C2707" s="151"/>
      <c r="D2707" s="151"/>
      <c r="E2707" s="151"/>
      <c r="F2707" s="151"/>
      <c r="G2707" s="151"/>
      <c r="H2707" s="151"/>
      <c r="I2707" s="151"/>
      <c r="J2707" s="152">
        <v>42614.749930555547</v>
      </c>
      <c r="K2707" s="151"/>
      <c r="L2707" s="151" t="s">
        <v>55</v>
      </c>
      <c r="M2707" s="152">
        <v>42613.672638888893</v>
      </c>
      <c r="N2707" s="151" t="s">
        <v>48</v>
      </c>
      <c r="O2707" s="151"/>
      <c r="P2707" s="151"/>
      <c r="Q2707" s="7" t="str">
        <f>IF(ISBLANK(patch[[#This Row],[OwnerEmail]]),Q2706,patch[[#This Row],[OwnerEmail]])</f>
        <v>xi.cao@intel.com</v>
      </c>
      <c r="R2707" s="7" t="str">
        <f>_xlfn.IFNA(VLOOKUP(patch[[#This Row],[tmp-owner.email]],OrgTree!$A:$K, 11, 0), "not ICG SWFW")</f>
        <v>BJ And dev</v>
      </c>
      <c r="S2707" s="7" t="str">
        <f>IF(patch[[#This Row],[reviewer]]=patch[[#This Row],[tmp-owner.email]], "author", _xlfn.IFNA(VLOOKUP(patch[[#This Row],[reviewer]],OrgTree!$A:$K, 11, 0), "not ICG SWFW"))</f>
        <v>BJ And dev</v>
      </c>
      <c r="T2707" s="7" t="str">
        <f>IF(ISBLANK(patch[[#This Row],[mergeDate]]), "", MID(YEAR(patch[[#This Row],[mergeDate]]), 3,2)&amp;"'ww"&amp;WEEKNUM(patch[[#This Row],[mergeDate]]))</f>
        <v>16'ww36</v>
      </c>
      <c r="U2707" s="7" t="str">
        <f>IF(ISBLANK(patch[[#This Row],[mergeDate]]), U2706, MID(YEAR(patch[[#This Row],[mergeDate]]), 3,2)&amp;"'m"&amp;MONTH(patch[[#This Row],[mergeDate]]))</f>
        <v>16'm9</v>
      </c>
      <c r="V2707" s="7" t="str">
        <f>IF(ISBLANK(patch[[#This Row],[project]]), "",SUM(patch[[#This Row],[BJ -1 num]:[SH -1 num]]))</f>
        <v/>
      </c>
      <c r="W2707" s="7" t="str">
        <f>IF(ISBLANK(patch[[#This Row],[project]]), "",COUNTIFS($A:$A,patch[[#This Row],[number]],$S:$S, "BJ And dev",$AC:$AC, "Review-1"))</f>
        <v/>
      </c>
      <c r="X2707" s="7" t="str">
        <f>IF(ISBLANK(patch[[#This Row],[project]]), "",COUNTIFS($A:$A,patch[[#This Row],[number]],$S:$S, "FL And dev",$AC:$AC, "Review-1"))</f>
        <v/>
      </c>
      <c r="Y2707" s="7" t="str">
        <f>IF(ISBLANK(patch[[#This Row],[project]]), "",COUNTIFS($A:$A,patch[[#This Row],[number]],$S:$S, "SH And dev",$AC:$AC, "Review-1"))</f>
        <v/>
      </c>
      <c r="Z2707" s="7" t="str">
        <f>IF(ISBLANK(patch[[#This Row],[project]]), "",COUNTIFS($A:$A,patch[[#This Row],[number]],$S:$S, "BJ And dev",$AD:$AD, "&lt;&gt;IntegratorValidationComment"))</f>
        <v/>
      </c>
      <c r="AA2707" s="7" t="str">
        <f>IF(ISBLANK(patch[[#This Row],[project]]), "",COUNTIFS($A:$A,patch[[#This Row],[number]],$S:$S, "FL And dev",$AD:$AD, "&lt;&gt;IntegratorValidationComment"))</f>
        <v/>
      </c>
      <c r="AB2707" s="7" t="str">
        <f>IF(ISBLANK(patch[[#This Row],[project]]), "",COUNTIFS($A:$A,patch[[#This Row],[number]],$S:$S, "SH And dev",$AD:$AD, "&lt;&gt;IntegratorValidationComment"))</f>
        <v/>
      </c>
      <c r="AC2707" s="7" t="str">
        <f>IF(OR(ISNUMBER(FIND("Review-1", patch[[#This Row],[comments]])), ISNUMBER(FIND("Approver-1", patch[[#This Row],[comments]]))), "Review-1", "")</f>
        <v/>
      </c>
      <c r="AD27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07" s="7">
        <f>IF(ISBLANK(patch[[#This Row],[number]]),AE2706,patch[[#This Row],[ifCommon]])</f>
        <v>0</v>
      </c>
    </row>
    <row r="2708" spans="1:31">
      <c r="A2708" s="151">
        <v>142443</v>
      </c>
      <c r="B2708" s="151"/>
      <c r="C2708" s="151"/>
      <c r="D2708" s="151"/>
      <c r="E2708" s="151"/>
      <c r="F2708" s="151"/>
      <c r="G2708" s="151"/>
      <c r="H2708" s="151"/>
      <c r="I2708" s="151"/>
      <c r="J2708" s="152">
        <v>42614.749930555547</v>
      </c>
      <c r="K2708" s="151"/>
      <c r="L2708" s="151" t="s">
        <v>1203</v>
      </c>
      <c r="M2708" s="152">
        <v>42613.672986111109</v>
      </c>
      <c r="N2708" s="151" t="s">
        <v>48</v>
      </c>
      <c r="O2708" s="151"/>
      <c r="P2708" s="151"/>
      <c r="Q2708" s="7" t="str">
        <f>IF(ISBLANK(patch[[#This Row],[OwnerEmail]]),Q2707,patch[[#This Row],[OwnerEmail]])</f>
        <v>xi.cao@intel.com</v>
      </c>
      <c r="R2708" s="7" t="str">
        <f>_xlfn.IFNA(VLOOKUP(patch[[#This Row],[tmp-owner.email]],OrgTree!$A:$K, 11, 0), "not ICG SWFW")</f>
        <v>BJ And dev</v>
      </c>
      <c r="S2708" s="7" t="str">
        <f>IF(patch[[#This Row],[reviewer]]=patch[[#This Row],[tmp-owner.email]], "author", _xlfn.IFNA(VLOOKUP(patch[[#This Row],[reviewer]],OrgTree!$A:$K, 11, 0), "not ICG SWFW"))</f>
        <v>author</v>
      </c>
      <c r="T2708" s="7" t="str">
        <f>IF(ISBLANK(patch[[#This Row],[mergeDate]]), "", MID(YEAR(patch[[#This Row],[mergeDate]]), 3,2)&amp;"'ww"&amp;WEEKNUM(patch[[#This Row],[mergeDate]]))</f>
        <v>16'ww36</v>
      </c>
      <c r="U2708" s="7" t="str">
        <f>IF(ISBLANK(patch[[#This Row],[mergeDate]]), U2707, MID(YEAR(patch[[#This Row],[mergeDate]]), 3,2)&amp;"'m"&amp;MONTH(patch[[#This Row],[mergeDate]]))</f>
        <v>16'm9</v>
      </c>
      <c r="V2708" s="7" t="str">
        <f>IF(ISBLANK(patch[[#This Row],[project]]), "",SUM(patch[[#This Row],[BJ -1 num]:[SH -1 num]]))</f>
        <v/>
      </c>
      <c r="W2708" s="7" t="str">
        <f>IF(ISBLANK(patch[[#This Row],[project]]), "",COUNTIFS($A:$A,patch[[#This Row],[number]],$S:$S, "BJ And dev",$AC:$AC, "Review-1"))</f>
        <v/>
      </c>
      <c r="X2708" s="7" t="str">
        <f>IF(ISBLANK(patch[[#This Row],[project]]), "",COUNTIFS($A:$A,patch[[#This Row],[number]],$S:$S, "FL And dev",$AC:$AC, "Review-1"))</f>
        <v/>
      </c>
      <c r="Y2708" s="7" t="str">
        <f>IF(ISBLANK(patch[[#This Row],[project]]), "",COUNTIFS($A:$A,patch[[#This Row],[number]],$S:$S, "SH And dev",$AC:$AC, "Review-1"))</f>
        <v/>
      </c>
      <c r="Z2708" s="7" t="str">
        <f>IF(ISBLANK(patch[[#This Row],[project]]), "",COUNTIFS($A:$A,patch[[#This Row],[number]],$S:$S, "BJ And dev",$AD:$AD, "&lt;&gt;IntegratorValidationComment"))</f>
        <v/>
      </c>
      <c r="AA2708" s="7" t="str">
        <f>IF(ISBLANK(patch[[#This Row],[project]]), "",COUNTIFS($A:$A,patch[[#This Row],[number]],$S:$S, "FL And dev",$AD:$AD, "&lt;&gt;IntegratorValidationComment"))</f>
        <v/>
      </c>
      <c r="AB2708" s="7" t="str">
        <f>IF(ISBLANK(patch[[#This Row],[project]]), "",COUNTIFS($A:$A,patch[[#This Row],[number]],$S:$S, "SH And dev",$AD:$AD, "&lt;&gt;IntegratorValidationComment"))</f>
        <v/>
      </c>
      <c r="AC2708" s="7" t="str">
        <f>IF(OR(ISNUMBER(FIND("Review-1", patch[[#This Row],[comments]])), ISNUMBER(FIND("Approver-1", patch[[#This Row],[comments]]))), "Review-1", "")</f>
        <v/>
      </c>
      <c r="AD27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08" s="7">
        <f>IF(ISBLANK(patch[[#This Row],[number]]),AE2707,patch[[#This Row],[ifCommon]])</f>
        <v>0</v>
      </c>
    </row>
    <row r="2709" spans="1:31">
      <c r="A2709" s="151">
        <v>142443</v>
      </c>
      <c r="B2709" s="151"/>
      <c r="C2709" s="151"/>
      <c r="D2709" s="151"/>
      <c r="E2709" s="151"/>
      <c r="F2709" s="151"/>
      <c r="G2709" s="151"/>
      <c r="H2709" s="151"/>
      <c r="I2709" s="151"/>
      <c r="J2709" s="152">
        <v>42614.749930555547</v>
      </c>
      <c r="K2709" s="151"/>
      <c r="L2709" s="151" t="s">
        <v>32</v>
      </c>
      <c r="M2709" s="152">
        <v>42613.67359953704</v>
      </c>
      <c r="N2709" s="151" t="s">
        <v>1831</v>
      </c>
      <c r="O2709" s="151"/>
      <c r="P2709" s="151"/>
      <c r="Q2709" s="7" t="str">
        <f>IF(ISBLANK(patch[[#This Row],[OwnerEmail]]),Q2708,patch[[#This Row],[OwnerEmail]])</f>
        <v>xi.cao@intel.com</v>
      </c>
      <c r="R2709" s="7" t="str">
        <f>_xlfn.IFNA(VLOOKUP(patch[[#This Row],[tmp-owner.email]],OrgTree!$A:$K, 11, 0), "not ICG SWFW")</f>
        <v>BJ And dev</v>
      </c>
      <c r="S2709" s="7" t="str">
        <f>IF(patch[[#This Row],[reviewer]]=patch[[#This Row],[tmp-owner.email]], "author", _xlfn.IFNA(VLOOKUP(patch[[#This Row],[reviewer]],OrgTree!$A:$K, 11, 0), "not ICG SWFW"))</f>
        <v>BJ And dev</v>
      </c>
      <c r="T2709" s="7" t="str">
        <f>IF(ISBLANK(patch[[#This Row],[mergeDate]]), "", MID(YEAR(patch[[#This Row],[mergeDate]]), 3,2)&amp;"'ww"&amp;WEEKNUM(patch[[#This Row],[mergeDate]]))</f>
        <v>16'ww36</v>
      </c>
      <c r="U2709" s="7" t="str">
        <f>IF(ISBLANK(patch[[#This Row],[mergeDate]]), U2708, MID(YEAR(patch[[#This Row],[mergeDate]]), 3,2)&amp;"'m"&amp;MONTH(patch[[#This Row],[mergeDate]]))</f>
        <v>16'm9</v>
      </c>
      <c r="V2709" s="7" t="str">
        <f>IF(ISBLANK(patch[[#This Row],[project]]), "",SUM(patch[[#This Row],[BJ -1 num]:[SH -1 num]]))</f>
        <v/>
      </c>
      <c r="W2709" s="7" t="str">
        <f>IF(ISBLANK(patch[[#This Row],[project]]), "",COUNTIFS($A:$A,patch[[#This Row],[number]],$S:$S, "BJ And dev",$AC:$AC, "Review-1"))</f>
        <v/>
      </c>
      <c r="X2709" s="7" t="str">
        <f>IF(ISBLANK(patch[[#This Row],[project]]), "",COUNTIFS($A:$A,patch[[#This Row],[number]],$S:$S, "FL And dev",$AC:$AC, "Review-1"))</f>
        <v/>
      </c>
      <c r="Y2709" s="7" t="str">
        <f>IF(ISBLANK(patch[[#This Row],[project]]), "",COUNTIFS($A:$A,patch[[#This Row],[number]],$S:$S, "SH And dev",$AC:$AC, "Review-1"))</f>
        <v/>
      </c>
      <c r="Z2709" s="7" t="str">
        <f>IF(ISBLANK(patch[[#This Row],[project]]), "",COUNTIFS($A:$A,patch[[#This Row],[number]],$S:$S, "BJ And dev",$AD:$AD, "&lt;&gt;IntegratorValidationComment"))</f>
        <v/>
      </c>
      <c r="AA2709" s="7" t="str">
        <f>IF(ISBLANK(patch[[#This Row],[project]]), "",COUNTIFS($A:$A,patch[[#This Row],[number]],$S:$S, "FL And dev",$AD:$AD, "&lt;&gt;IntegratorValidationComment"))</f>
        <v/>
      </c>
      <c r="AB2709" s="7" t="str">
        <f>IF(ISBLANK(patch[[#This Row],[project]]), "",COUNTIFS($A:$A,patch[[#This Row],[number]],$S:$S, "SH And dev",$AD:$AD, "&lt;&gt;IntegratorValidationComment"))</f>
        <v/>
      </c>
      <c r="AC2709" s="7" t="str">
        <f>IF(OR(ISNUMBER(FIND("Review-1", patch[[#This Row],[comments]])), ISNUMBER(FIND("Approver-1", patch[[#This Row],[comments]]))), "Review-1", "")</f>
        <v/>
      </c>
      <c r="AD27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09" s="7">
        <f>IF(ISBLANK(patch[[#This Row],[number]]),AE2708,patch[[#This Row],[ifCommon]])</f>
        <v>0</v>
      </c>
    </row>
    <row r="2710" spans="1:31">
      <c r="A2710" s="151">
        <v>142443</v>
      </c>
      <c r="B2710" s="151"/>
      <c r="C2710" s="151"/>
      <c r="D2710" s="151"/>
      <c r="E2710" s="151"/>
      <c r="F2710" s="151"/>
      <c r="G2710" s="151"/>
      <c r="H2710" s="151"/>
      <c r="I2710" s="151"/>
      <c r="J2710" s="152">
        <v>42614.749930555547</v>
      </c>
      <c r="K2710" s="151"/>
      <c r="L2710" s="151" t="s">
        <v>59</v>
      </c>
      <c r="M2710" s="152">
        <v>42613.674074074072</v>
      </c>
      <c r="N2710" s="151" t="s">
        <v>3950</v>
      </c>
      <c r="O2710" s="151"/>
      <c r="P2710" s="151"/>
      <c r="Q2710" s="7" t="str">
        <f>IF(ISBLANK(patch[[#This Row],[OwnerEmail]]),Q2709,patch[[#This Row],[OwnerEmail]])</f>
        <v>xi.cao@intel.com</v>
      </c>
      <c r="R2710" s="7" t="str">
        <f>_xlfn.IFNA(VLOOKUP(patch[[#This Row],[tmp-owner.email]],OrgTree!$A:$K, 11, 0), "not ICG SWFW")</f>
        <v>BJ And dev</v>
      </c>
      <c r="S2710" s="7" t="str">
        <f>IF(patch[[#This Row],[reviewer]]=patch[[#This Row],[tmp-owner.email]], "author", _xlfn.IFNA(VLOOKUP(patch[[#This Row],[reviewer]],OrgTree!$A:$K, 11, 0), "not ICG SWFW"))</f>
        <v>BJ And dev</v>
      </c>
      <c r="T2710" s="7" t="str">
        <f>IF(ISBLANK(patch[[#This Row],[mergeDate]]), "", MID(YEAR(patch[[#This Row],[mergeDate]]), 3,2)&amp;"'ww"&amp;WEEKNUM(patch[[#This Row],[mergeDate]]))</f>
        <v>16'ww36</v>
      </c>
      <c r="U2710" s="7" t="str">
        <f>IF(ISBLANK(patch[[#This Row],[mergeDate]]), U2709, MID(YEAR(patch[[#This Row],[mergeDate]]), 3,2)&amp;"'m"&amp;MONTH(patch[[#This Row],[mergeDate]]))</f>
        <v>16'm9</v>
      </c>
      <c r="V2710" s="7" t="str">
        <f>IF(ISBLANK(patch[[#This Row],[project]]), "",SUM(patch[[#This Row],[BJ -1 num]:[SH -1 num]]))</f>
        <v/>
      </c>
      <c r="W2710" s="7" t="str">
        <f>IF(ISBLANK(patch[[#This Row],[project]]), "",COUNTIFS($A:$A,patch[[#This Row],[number]],$S:$S, "BJ And dev",$AC:$AC, "Review-1"))</f>
        <v/>
      </c>
      <c r="X2710" s="7" t="str">
        <f>IF(ISBLANK(patch[[#This Row],[project]]), "",COUNTIFS($A:$A,patch[[#This Row],[number]],$S:$S, "FL And dev",$AC:$AC, "Review-1"))</f>
        <v/>
      </c>
      <c r="Y2710" s="7" t="str">
        <f>IF(ISBLANK(patch[[#This Row],[project]]), "",COUNTIFS($A:$A,patch[[#This Row],[number]],$S:$S, "SH And dev",$AC:$AC, "Review-1"))</f>
        <v/>
      </c>
      <c r="Z2710" s="7" t="str">
        <f>IF(ISBLANK(patch[[#This Row],[project]]), "",COUNTIFS($A:$A,patch[[#This Row],[number]],$S:$S, "BJ And dev",$AD:$AD, "&lt;&gt;IntegratorValidationComment"))</f>
        <v/>
      </c>
      <c r="AA2710" s="7" t="str">
        <f>IF(ISBLANK(patch[[#This Row],[project]]), "",COUNTIFS($A:$A,patch[[#This Row],[number]],$S:$S, "FL And dev",$AD:$AD, "&lt;&gt;IntegratorValidationComment"))</f>
        <v/>
      </c>
      <c r="AB2710" s="7" t="str">
        <f>IF(ISBLANK(patch[[#This Row],[project]]), "",COUNTIFS($A:$A,patch[[#This Row],[number]],$S:$S, "SH And dev",$AD:$AD, "&lt;&gt;IntegratorValidationComment"))</f>
        <v/>
      </c>
      <c r="AC2710" s="7" t="str">
        <f>IF(OR(ISNUMBER(FIND("Review-1", patch[[#This Row],[comments]])), ISNUMBER(FIND("Approver-1", patch[[#This Row],[comments]]))), "Review-1", "")</f>
        <v/>
      </c>
      <c r="AD27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10" s="7">
        <f>IF(ISBLANK(patch[[#This Row],[number]]),AE2709,patch[[#This Row],[ifCommon]])</f>
        <v>0</v>
      </c>
    </row>
    <row r="2711" spans="1:31">
      <c r="A2711" s="151">
        <v>142443</v>
      </c>
      <c r="B2711" s="151"/>
      <c r="C2711" s="151"/>
      <c r="D2711" s="151"/>
      <c r="E2711" s="151"/>
      <c r="F2711" s="151"/>
      <c r="G2711" s="151"/>
      <c r="H2711" s="151"/>
      <c r="I2711" s="151"/>
      <c r="J2711" s="152">
        <v>42614.749930555547</v>
      </c>
      <c r="K2711" s="151"/>
      <c r="L2711" s="151" t="s">
        <v>59</v>
      </c>
      <c r="M2711" s="152">
        <v>42613.677303240736</v>
      </c>
      <c r="N2711" s="151" t="s">
        <v>3951</v>
      </c>
      <c r="O2711" s="151"/>
      <c r="P2711" s="151"/>
      <c r="Q2711" s="7" t="str">
        <f>IF(ISBLANK(patch[[#This Row],[OwnerEmail]]),Q2710,patch[[#This Row],[OwnerEmail]])</f>
        <v>xi.cao@intel.com</v>
      </c>
      <c r="R2711" s="7" t="str">
        <f>_xlfn.IFNA(VLOOKUP(patch[[#This Row],[tmp-owner.email]],OrgTree!$A:$K, 11, 0), "not ICG SWFW")</f>
        <v>BJ And dev</v>
      </c>
      <c r="S2711" s="7" t="str">
        <f>IF(patch[[#This Row],[reviewer]]=patch[[#This Row],[tmp-owner.email]], "author", _xlfn.IFNA(VLOOKUP(patch[[#This Row],[reviewer]],OrgTree!$A:$K, 11, 0), "not ICG SWFW"))</f>
        <v>BJ And dev</v>
      </c>
      <c r="T2711" s="7" t="str">
        <f>IF(ISBLANK(patch[[#This Row],[mergeDate]]), "", MID(YEAR(patch[[#This Row],[mergeDate]]), 3,2)&amp;"'ww"&amp;WEEKNUM(patch[[#This Row],[mergeDate]]))</f>
        <v>16'ww36</v>
      </c>
      <c r="U2711" s="7" t="str">
        <f>IF(ISBLANK(patch[[#This Row],[mergeDate]]), U2710, MID(YEAR(patch[[#This Row],[mergeDate]]), 3,2)&amp;"'m"&amp;MONTH(patch[[#This Row],[mergeDate]]))</f>
        <v>16'm9</v>
      </c>
      <c r="V2711" s="7" t="str">
        <f>IF(ISBLANK(patch[[#This Row],[project]]), "",SUM(patch[[#This Row],[BJ -1 num]:[SH -1 num]]))</f>
        <v/>
      </c>
      <c r="W2711" s="7" t="str">
        <f>IF(ISBLANK(patch[[#This Row],[project]]), "",COUNTIFS($A:$A,patch[[#This Row],[number]],$S:$S, "BJ And dev",$AC:$AC, "Review-1"))</f>
        <v/>
      </c>
      <c r="X2711" s="7" t="str">
        <f>IF(ISBLANK(patch[[#This Row],[project]]), "",COUNTIFS($A:$A,patch[[#This Row],[number]],$S:$S, "FL And dev",$AC:$AC, "Review-1"))</f>
        <v/>
      </c>
      <c r="Y2711" s="7" t="str">
        <f>IF(ISBLANK(patch[[#This Row],[project]]), "",COUNTIFS($A:$A,patch[[#This Row],[number]],$S:$S, "SH And dev",$AC:$AC, "Review-1"))</f>
        <v/>
      </c>
      <c r="Z2711" s="7" t="str">
        <f>IF(ISBLANK(patch[[#This Row],[project]]), "",COUNTIFS($A:$A,patch[[#This Row],[number]],$S:$S, "BJ And dev",$AD:$AD, "&lt;&gt;IntegratorValidationComment"))</f>
        <v/>
      </c>
      <c r="AA2711" s="7" t="str">
        <f>IF(ISBLANK(patch[[#This Row],[project]]), "",COUNTIFS($A:$A,patch[[#This Row],[number]],$S:$S, "FL And dev",$AD:$AD, "&lt;&gt;IntegratorValidationComment"))</f>
        <v/>
      </c>
      <c r="AB2711" s="7" t="str">
        <f>IF(ISBLANK(patch[[#This Row],[project]]), "",COUNTIFS($A:$A,patch[[#This Row],[number]],$S:$S, "SH And dev",$AD:$AD, "&lt;&gt;IntegratorValidationComment"))</f>
        <v/>
      </c>
      <c r="AC2711" s="7" t="str">
        <f>IF(OR(ISNUMBER(FIND("Review-1", patch[[#This Row],[comments]])), ISNUMBER(FIND("Approver-1", patch[[#This Row],[comments]]))), "Review-1", "")</f>
        <v/>
      </c>
      <c r="AD27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11" s="7">
        <f>IF(ISBLANK(patch[[#This Row],[number]]),AE2710,patch[[#This Row],[ifCommon]])</f>
        <v>0</v>
      </c>
    </row>
    <row r="2712" spans="1:31">
      <c r="A2712" s="151">
        <v>142443</v>
      </c>
      <c r="B2712" s="151"/>
      <c r="C2712" s="151"/>
      <c r="D2712" s="151"/>
      <c r="E2712" s="151"/>
      <c r="F2712" s="151"/>
      <c r="G2712" s="151"/>
      <c r="H2712" s="151"/>
      <c r="I2712" s="151"/>
      <c r="J2712" s="152">
        <v>42614.749930555547</v>
      </c>
      <c r="K2712" s="151"/>
      <c r="L2712" s="151" t="s">
        <v>115</v>
      </c>
      <c r="M2712" s="152">
        <v>42614.419398148151</v>
      </c>
      <c r="N2712" s="151" t="s">
        <v>2497</v>
      </c>
      <c r="O2712" s="151"/>
      <c r="P2712" s="151"/>
      <c r="Q2712" s="7" t="str">
        <f>IF(ISBLANK(patch[[#This Row],[OwnerEmail]]),Q2711,patch[[#This Row],[OwnerEmail]])</f>
        <v>xi.cao@intel.com</v>
      </c>
      <c r="R2712" s="7" t="str">
        <f>_xlfn.IFNA(VLOOKUP(patch[[#This Row],[tmp-owner.email]],OrgTree!$A:$K, 11, 0), "not ICG SWFW")</f>
        <v>BJ And dev</v>
      </c>
      <c r="S2712" s="7" t="str">
        <f>IF(patch[[#This Row],[reviewer]]=patch[[#This Row],[tmp-owner.email]], "author", _xlfn.IFNA(VLOOKUP(patch[[#This Row],[reviewer]],OrgTree!$A:$K, 11, 0), "not ICG SWFW"))</f>
        <v>Val</v>
      </c>
      <c r="T2712" s="7" t="str">
        <f>IF(ISBLANK(patch[[#This Row],[mergeDate]]), "", MID(YEAR(patch[[#This Row],[mergeDate]]), 3,2)&amp;"'ww"&amp;WEEKNUM(patch[[#This Row],[mergeDate]]))</f>
        <v>16'ww36</v>
      </c>
      <c r="U2712" s="7" t="str">
        <f>IF(ISBLANK(patch[[#This Row],[mergeDate]]), U2711, MID(YEAR(patch[[#This Row],[mergeDate]]), 3,2)&amp;"'m"&amp;MONTH(patch[[#This Row],[mergeDate]]))</f>
        <v>16'm9</v>
      </c>
      <c r="V2712" s="7" t="str">
        <f>IF(ISBLANK(patch[[#This Row],[project]]), "",SUM(patch[[#This Row],[BJ -1 num]:[SH -1 num]]))</f>
        <v/>
      </c>
      <c r="W2712" s="7" t="str">
        <f>IF(ISBLANK(patch[[#This Row],[project]]), "",COUNTIFS($A:$A,patch[[#This Row],[number]],$S:$S, "BJ And dev",$AC:$AC, "Review-1"))</f>
        <v/>
      </c>
      <c r="X2712" s="7" t="str">
        <f>IF(ISBLANK(patch[[#This Row],[project]]), "",COUNTIFS($A:$A,patch[[#This Row],[number]],$S:$S, "FL And dev",$AC:$AC, "Review-1"))</f>
        <v/>
      </c>
      <c r="Y2712" s="7" t="str">
        <f>IF(ISBLANK(patch[[#This Row],[project]]), "",COUNTIFS($A:$A,patch[[#This Row],[number]],$S:$S, "SH And dev",$AC:$AC, "Review-1"))</f>
        <v/>
      </c>
      <c r="Z2712" s="7" t="str">
        <f>IF(ISBLANK(patch[[#This Row],[project]]), "",COUNTIFS($A:$A,patch[[#This Row],[number]],$S:$S, "BJ And dev",$AD:$AD, "&lt;&gt;IntegratorValidationComment"))</f>
        <v/>
      </c>
      <c r="AA2712" s="7" t="str">
        <f>IF(ISBLANK(patch[[#This Row],[project]]), "",COUNTIFS($A:$A,patch[[#This Row],[number]],$S:$S, "FL And dev",$AD:$AD, "&lt;&gt;IntegratorValidationComment"))</f>
        <v/>
      </c>
      <c r="AB2712" s="7" t="str">
        <f>IF(ISBLANK(patch[[#This Row],[project]]), "",COUNTIFS($A:$A,patch[[#This Row],[number]],$S:$S, "SH And dev",$AD:$AD, "&lt;&gt;IntegratorValidationComment"))</f>
        <v/>
      </c>
      <c r="AC2712" s="7" t="str">
        <f>IF(OR(ISNUMBER(FIND("Review-1", patch[[#This Row],[comments]])), ISNUMBER(FIND("Approver-1", patch[[#This Row],[comments]]))), "Review-1", "")</f>
        <v/>
      </c>
      <c r="AD27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712" s="7">
        <f>IF(ISBLANK(patch[[#This Row],[number]]),AE2711,patch[[#This Row],[ifCommon]])</f>
        <v>0</v>
      </c>
    </row>
    <row r="2713" spans="1:31">
      <c r="A2713" s="151">
        <v>142270</v>
      </c>
      <c r="B2713" s="151" t="s">
        <v>2493</v>
      </c>
      <c r="C2713" s="151" t="s">
        <v>2491</v>
      </c>
      <c r="D2713" s="151" t="s">
        <v>3952</v>
      </c>
      <c r="E2713" s="151" t="s">
        <v>1203</v>
      </c>
      <c r="F2713" s="151" t="s">
        <v>23</v>
      </c>
      <c r="G2713" s="151" t="s">
        <v>3953</v>
      </c>
      <c r="H2713" s="151" t="s">
        <v>3954</v>
      </c>
      <c r="I2713" s="152">
        <v>42612.593738425923</v>
      </c>
      <c r="J2713" s="152">
        <v>42614.749895833331</v>
      </c>
      <c r="K2713" s="151" t="s">
        <v>2445</v>
      </c>
      <c r="L2713" s="151" t="s">
        <v>1203</v>
      </c>
      <c r="M2713" s="152">
        <v>42612.593738425923</v>
      </c>
      <c r="N2713" s="151" t="s">
        <v>2428</v>
      </c>
      <c r="O2713" s="151"/>
      <c r="P2713" s="151" t="s">
        <v>3955</v>
      </c>
      <c r="Q2713" s="7" t="str">
        <f>IF(ISBLANK(patch[[#This Row],[OwnerEmail]]),Q2712,patch[[#This Row],[OwnerEmail]])</f>
        <v>xi.cao@intel.com</v>
      </c>
      <c r="R2713" s="7" t="str">
        <f>_xlfn.IFNA(VLOOKUP(patch[[#This Row],[tmp-owner.email]],OrgTree!$A:$K, 11, 0), "not ICG SWFW")</f>
        <v>BJ And dev</v>
      </c>
      <c r="S2713" s="7" t="str">
        <f>IF(patch[[#This Row],[reviewer]]=patch[[#This Row],[tmp-owner.email]], "author", _xlfn.IFNA(VLOOKUP(patch[[#This Row],[reviewer]],OrgTree!$A:$K, 11, 0), "not ICG SWFW"))</f>
        <v>author</v>
      </c>
      <c r="T2713" s="7" t="str">
        <f>IF(ISBLANK(patch[[#This Row],[mergeDate]]), "", MID(YEAR(patch[[#This Row],[mergeDate]]), 3,2)&amp;"'ww"&amp;WEEKNUM(patch[[#This Row],[mergeDate]]))</f>
        <v>16'ww36</v>
      </c>
      <c r="U2713" s="7" t="str">
        <f>IF(ISBLANK(patch[[#This Row],[mergeDate]]), U2712, MID(YEAR(patch[[#This Row],[mergeDate]]), 3,2)&amp;"'m"&amp;MONTH(patch[[#This Row],[mergeDate]]))</f>
        <v>16'm9</v>
      </c>
      <c r="V2713" s="7">
        <f>IF(ISBLANK(patch[[#This Row],[project]]), "",SUM(patch[[#This Row],[BJ -1 num]:[SH -1 num]]))</f>
        <v>1</v>
      </c>
      <c r="W2713" s="7">
        <f>IF(ISBLANK(patch[[#This Row],[project]]), "",COUNTIFS($A:$A,patch[[#This Row],[number]],$S:$S, "BJ And dev",$AC:$AC, "Review-1"))</f>
        <v>1</v>
      </c>
      <c r="X2713" s="7">
        <f>IF(ISBLANK(patch[[#This Row],[project]]), "",COUNTIFS($A:$A,patch[[#This Row],[number]],$S:$S, "FL And dev",$AC:$AC, "Review-1"))</f>
        <v>0</v>
      </c>
      <c r="Y2713" s="7">
        <f>IF(ISBLANK(patch[[#This Row],[project]]), "",COUNTIFS($A:$A,patch[[#This Row],[number]],$S:$S, "SH And dev",$AC:$AC, "Review-1"))</f>
        <v>0</v>
      </c>
      <c r="Z2713" s="7">
        <f>IF(ISBLANK(patch[[#This Row],[project]]), "",COUNTIFS($A:$A,patch[[#This Row],[number]],$S:$S, "BJ And dev",$AD:$AD, "&lt;&gt;IntegratorValidationComment"))</f>
        <v>9</v>
      </c>
      <c r="AA2713" s="7">
        <f>IF(ISBLANK(patch[[#This Row],[project]]), "",COUNTIFS($A:$A,patch[[#This Row],[number]],$S:$S, "FL And dev",$AD:$AD, "&lt;&gt;IntegratorValidationComment"))</f>
        <v>0</v>
      </c>
      <c r="AB2713" s="7">
        <f>IF(ISBLANK(patch[[#This Row],[project]]), "",COUNTIFS($A:$A,patch[[#This Row],[number]],$S:$S, "SH And dev",$AD:$AD, "&lt;&gt;IntegratorValidationComment"))</f>
        <v>0</v>
      </c>
      <c r="AC2713" s="7" t="str">
        <f>IF(OR(ISNUMBER(FIND("Review-1", patch[[#This Row],[comments]])), ISNUMBER(FIND("Approver-1", patch[[#This Row],[comments]]))), "Review-1", "")</f>
        <v/>
      </c>
      <c r="AD27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13" s="7" t="str">
        <f>IF(ISBLANK(patch[[#This Row],[number]]),AE2712,patch[[#This Row],[ifCommon]])</f>
        <v>not AndrHAL</v>
      </c>
    </row>
    <row r="2714" spans="1:31">
      <c r="A2714" s="151">
        <v>142270</v>
      </c>
      <c r="B2714" s="151"/>
      <c r="C2714" s="151"/>
      <c r="D2714" s="151"/>
      <c r="E2714" s="151"/>
      <c r="F2714" s="151"/>
      <c r="G2714" s="151"/>
      <c r="H2714" s="151"/>
      <c r="I2714" s="151"/>
      <c r="J2714" s="152">
        <v>42614.749895833331</v>
      </c>
      <c r="K2714" s="151"/>
      <c r="L2714" s="151" t="s">
        <v>1203</v>
      </c>
      <c r="M2714" s="152">
        <v>42612.593738425923</v>
      </c>
      <c r="N2714" s="151" t="s">
        <v>25</v>
      </c>
      <c r="O2714" s="151"/>
      <c r="P2714" s="151"/>
      <c r="Q2714" s="7" t="str">
        <f>IF(ISBLANK(patch[[#This Row],[OwnerEmail]]),Q2713,patch[[#This Row],[OwnerEmail]])</f>
        <v>xi.cao@intel.com</v>
      </c>
      <c r="R2714" s="7" t="str">
        <f>_xlfn.IFNA(VLOOKUP(patch[[#This Row],[tmp-owner.email]],OrgTree!$A:$K, 11, 0), "not ICG SWFW")</f>
        <v>BJ And dev</v>
      </c>
      <c r="S2714" s="7" t="str">
        <f>IF(patch[[#This Row],[reviewer]]=patch[[#This Row],[tmp-owner.email]], "author", _xlfn.IFNA(VLOOKUP(patch[[#This Row],[reviewer]],OrgTree!$A:$K, 11, 0), "not ICG SWFW"))</f>
        <v>author</v>
      </c>
      <c r="T2714" s="7" t="str">
        <f>IF(ISBLANK(patch[[#This Row],[mergeDate]]), "", MID(YEAR(patch[[#This Row],[mergeDate]]), 3,2)&amp;"'ww"&amp;WEEKNUM(patch[[#This Row],[mergeDate]]))</f>
        <v>16'ww36</v>
      </c>
      <c r="U2714" s="7" t="str">
        <f>IF(ISBLANK(patch[[#This Row],[mergeDate]]), U2713, MID(YEAR(patch[[#This Row],[mergeDate]]), 3,2)&amp;"'m"&amp;MONTH(patch[[#This Row],[mergeDate]]))</f>
        <v>16'm9</v>
      </c>
      <c r="V2714" s="7" t="str">
        <f>IF(ISBLANK(patch[[#This Row],[project]]), "",SUM(patch[[#This Row],[BJ -1 num]:[SH -1 num]]))</f>
        <v/>
      </c>
      <c r="W2714" s="7" t="str">
        <f>IF(ISBLANK(patch[[#This Row],[project]]), "",COUNTIFS($A:$A,patch[[#This Row],[number]],$S:$S, "BJ And dev",$AC:$AC, "Review-1"))</f>
        <v/>
      </c>
      <c r="X2714" s="7" t="str">
        <f>IF(ISBLANK(patch[[#This Row],[project]]), "",COUNTIFS($A:$A,patch[[#This Row],[number]],$S:$S, "FL And dev",$AC:$AC, "Review-1"))</f>
        <v/>
      </c>
      <c r="Y2714" s="7" t="str">
        <f>IF(ISBLANK(patch[[#This Row],[project]]), "",COUNTIFS($A:$A,patch[[#This Row],[number]],$S:$S, "SH And dev",$AC:$AC, "Review-1"))</f>
        <v/>
      </c>
      <c r="Z2714" s="7" t="str">
        <f>IF(ISBLANK(patch[[#This Row],[project]]), "",COUNTIFS($A:$A,patch[[#This Row],[number]],$S:$S, "BJ And dev",$AD:$AD, "&lt;&gt;IntegratorValidationComment"))</f>
        <v/>
      </c>
      <c r="AA2714" s="7" t="str">
        <f>IF(ISBLANK(patch[[#This Row],[project]]), "",COUNTIFS($A:$A,patch[[#This Row],[number]],$S:$S, "FL And dev",$AD:$AD, "&lt;&gt;IntegratorValidationComment"))</f>
        <v/>
      </c>
      <c r="AB2714" s="7" t="str">
        <f>IF(ISBLANK(patch[[#This Row],[project]]), "",COUNTIFS($A:$A,patch[[#This Row],[number]],$S:$S, "SH And dev",$AD:$AD, "&lt;&gt;IntegratorValidationComment"))</f>
        <v/>
      </c>
      <c r="AC2714" s="7" t="str">
        <f>IF(OR(ISNUMBER(FIND("Review-1", patch[[#This Row],[comments]])), ISNUMBER(FIND("Approver-1", patch[[#This Row],[comments]]))), "Review-1", "")</f>
        <v/>
      </c>
      <c r="AD27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14" s="7">
        <f>IF(ISBLANK(patch[[#This Row],[number]]),AE2713,patch[[#This Row],[ifCommon]])</f>
        <v>0</v>
      </c>
    </row>
    <row r="2715" spans="1:31">
      <c r="A2715" s="151">
        <v>142270</v>
      </c>
      <c r="B2715" s="151"/>
      <c r="C2715" s="151"/>
      <c r="D2715" s="151"/>
      <c r="E2715" s="151"/>
      <c r="F2715" s="151"/>
      <c r="G2715" s="151"/>
      <c r="H2715" s="151"/>
      <c r="I2715" s="151"/>
      <c r="J2715" s="152">
        <v>42614.749895833331</v>
      </c>
      <c r="K2715" s="151"/>
      <c r="L2715" s="151" t="s">
        <v>32</v>
      </c>
      <c r="M2715" s="152">
        <v>42612.595833333333</v>
      </c>
      <c r="N2715" s="151" t="s">
        <v>3956</v>
      </c>
      <c r="O2715" s="151"/>
      <c r="P2715" s="151"/>
      <c r="Q2715" s="7" t="str">
        <f>IF(ISBLANK(patch[[#This Row],[OwnerEmail]]),Q2714,patch[[#This Row],[OwnerEmail]])</f>
        <v>xi.cao@intel.com</v>
      </c>
      <c r="R2715" s="7" t="str">
        <f>_xlfn.IFNA(VLOOKUP(patch[[#This Row],[tmp-owner.email]],OrgTree!$A:$K, 11, 0), "not ICG SWFW")</f>
        <v>BJ And dev</v>
      </c>
      <c r="S2715" s="7" t="str">
        <f>IF(patch[[#This Row],[reviewer]]=patch[[#This Row],[tmp-owner.email]], "author", _xlfn.IFNA(VLOOKUP(patch[[#This Row],[reviewer]],OrgTree!$A:$K, 11, 0), "not ICG SWFW"))</f>
        <v>BJ And dev</v>
      </c>
      <c r="T2715" s="7" t="str">
        <f>IF(ISBLANK(patch[[#This Row],[mergeDate]]), "", MID(YEAR(patch[[#This Row],[mergeDate]]), 3,2)&amp;"'ww"&amp;WEEKNUM(patch[[#This Row],[mergeDate]]))</f>
        <v>16'ww36</v>
      </c>
      <c r="U2715" s="7" t="str">
        <f>IF(ISBLANK(patch[[#This Row],[mergeDate]]), U2714, MID(YEAR(patch[[#This Row],[mergeDate]]), 3,2)&amp;"'m"&amp;MONTH(patch[[#This Row],[mergeDate]]))</f>
        <v>16'm9</v>
      </c>
      <c r="V2715" s="7" t="str">
        <f>IF(ISBLANK(patch[[#This Row],[project]]), "",SUM(patch[[#This Row],[BJ -1 num]:[SH -1 num]]))</f>
        <v/>
      </c>
      <c r="W2715" s="7" t="str">
        <f>IF(ISBLANK(patch[[#This Row],[project]]), "",COUNTIFS($A:$A,patch[[#This Row],[number]],$S:$S, "BJ And dev",$AC:$AC, "Review-1"))</f>
        <v/>
      </c>
      <c r="X2715" s="7" t="str">
        <f>IF(ISBLANK(patch[[#This Row],[project]]), "",COUNTIFS($A:$A,patch[[#This Row],[number]],$S:$S, "FL And dev",$AC:$AC, "Review-1"))</f>
        <v/>
      </c>
      <c r="Y2715" s="7" t="str">
        <f>IF(ISBLANK(patch[[#This Row],[project]]), "",COUNTIFS($A:$A,patch[[#This Row],[number]],$S:$S, "SH And dev",$AC:$AC, "Review-1"))</f>
        <v/>
      </c>
      <c r="Z2715" s="7" t="str">
        <f>IF(ISBLANK(patch[[#This Row],[project]]), "",COUNTIFS($A:$A,patch[[#This Row],[number]],$S:$S, "BJ And dev",$AD:$AD, "&lt;&gt;IntegratorValidationComment"))</f>
        <v/>
      </c>
      <c r="AA2715" s="7" t="str">
        <f>IF(ISBLANK(patch[[#This Row],[project]]), "",COUNTIFS($A:$A,patch[[#This Row],[number]],$S:$S, "FL And dev",$AD:$AD, "&lt;&gt;IntegratorValidationComment"))</f>
        <v/>
      </c>
      <c r="AB2715" s="7" t="str">
        <f>IF(ISBLANK(patch[[#This Row],[project]]), "",COUNTIFS($A:$A,patch[[#This Row],[number]],$S:$S, "SH And dev",$AD:$AD, "&lt;&gt;IntegratorValidationComment"))</f>
        <v/>
      </c>
      <c r="AC2715" s="7" t="str">
        <f>IF(OR(ISNUMBER(FIND("Review-1", patch[[#This Row],[comments]])), ISNUMBER(FIND("Approver-1", patch[[#This Row],[comments]]))), "Review-1", "")</f>
        <v>Review-1</v>
      </c>
      <c r="AD27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15" s="7">
        <f>IF(ISBLANK(patch[[#This Row],[number]]),AE2714,patch[[#This Row],[ifCommon]])</f>
        <v>0</v>
      </c>
    </row>
    <row r="2716" spans="1:31">
      <c r="A2716" s="151">
        <v>142270</v>
      </c>
      <c r="B2716" s="151"/>
      <c r="C2716" s="151"/>
      <c r="D2716" s="151"/>
      <c r="E2716" s="151"/>
      <c r="F2716" s="151"/>
      <c r="G2716" s="151"/>
      <c r="H2716" s="151"/>
      <c r="I2716" s="151"/>
      <c r="J2716" s="152">
        <v>42614.749895833331</v>
      </c>
      <c r="K2716" s="151"/>
      <c r="L2716" s="151" t="s">
        <v>1203</v>
      </c>
      <c r="M2716" s="152">
        <v>42612.597384259258</v>
      </c>
      <c r="N2716" s="151" t="s">
        <v>65</v>
      </c>
      <c r="O2716" s="151"/>
      <c r="P2716" s="151"/>
      <c r="Q2716" s="7" t="str">
        <f>IF(ISBLANK(patch[[#This Row],[OwnerEmail]]),Q2715,patch[[#This Row],[OwnerEmail]])</f>
        <v>xi.cao@intel.com</v>
      </c>
      <c r="R2716" s="7" t="str">
        <f>_xlfn.IFNA(VLOOKUP(patch[[#This Row],[tmp-owner.email]],OrgTree!$A:$K, 11, 0), "not ICG SWFW")</f>
        <v>BJ And dev</v>
      </c>
      <c r="S2716" s="7" t="str">
        <f>IF(patch[[#This Row],[reviewer]]=patch[[#This Row],[tmp-owner.email]], "author", _xlfn.IFNA(VLOOKUP(patch[[#This Row],[reviewer]],OrgTree!$A:$K, 11, 0), "not ICG SWFW"))</f>
        <v>author</v>
      </c>
      <c r="T2716" s="7" t="str">
        <f>IF(ISBLANK(patch[[#This Row],[mergeDate]]), "", MID(YEAR(patch[[#This Row],[mergeDate]]), 3,2)&amp;"'ww"&amp;WEEKNUM(patch[[#This Row],[mergeDate]]))</f>
        <v>16'ww36</v>
      </c>
      <c r="U2716" s="7" t="str">
        <f>IF(ISBLANK(patch[[#This Row],[mergeDate]]), U2715, MID(YEAR(patch[[#This Row],[mergeDate]]), 3,2)&amp;"'m"&amp;MONTH(patch[[#This Row],[mergeDate]]))</f>
        <v>16'm9</v>
      </c>
      <c r="V2716" s="7" t="str">
        <f>IF(ISBLANK(patch[[#This Row],[project]]), "",SUM(patch[[#This Row],[BJ -1 num]:[SH -1 num]]))</f>
        <v/>
      </c>
      <c r="W2716" s="7" t="str">
        <f>IF(ISBLANK(patch[[#This Row],[project]]), "",COUNTIFS($A:$A,patch[[#This Row],[number]],$S:$S, "BJ And dev",$AC:$AC, "Review-1"))</f>
        <v/>
      </c>
      <c r="X2716" s="7" t="str">
        <f>IF(ISBLANK(patch[[#This Row],[project]]), "",COUNTIFS($A:$A,patch[[#This Row],[number]],$S:$S, "FL And dev",$AC:$AC, "Review-1"))</f>
        <v/>
      </c>
      <c r="Y2716" s="7" t="str">
        <f>IF(ISBLANK(patch[[#This Row],[project]]), "",COUNTIFS($A:$A,patch[[#This Row],[number]],$S:$S, "SH And dev",$AC:$AC, "Review-1"))</f>
        <v/>
      </c>
      <c r="Z2716" s="7" t="str">
        <f>IF(ISBLANK(patch[[#This Row],[project]]), "",COUNTIFS($A:$A,patch[[#This Row],[number]],$S:$S, "BJ And dev",$AD:$AD, "&lt;&gt;IntegratorValidationComment"))</f>
        <v/>
      </c>
      <c r="AA2716" s="7" t="str">
        <f>IF(ISBLANK(patch[[#This Row],[project]]), "",COUNTIFS($A:$A,patch[[#This Row],[number]],$S:$S, "FL And dev",$AD:$AD, "&lt;&gt;IntegratorValidationComment"))</f>
        <v/>
      </c>
      <c r="AB2716" s="7" t="str">
        <f>IF(ISBLANK(patch[[#This Row],[project]]), "",COUNTIFS($A:$A,patch[[#This Row],[number]],$S:$S, "SH And dev",$AD:$AD, "&lt;&gt;IntegratorValidationComment"))</f>
        <v/>
      </c>
      <c r="AC2716" s="7" t="str">
        <f>IF(OR(ISNUMBER(FIND("Review-1", patch[[#This Row],[comments]])), ISNUMBER(FIND("Approver-1", patch[[#This Row],[comments]]))), "Review-1", "")</f>
        <v/>
      </c>
      <c r="AD27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16" s="7">
        <f>IF(ISBLANK(patch[[#This Row],[number]]),AE2715,patch[[#This Row],[ifCommon]])</f>
        <v>0</v>
      </c>
    </row>
    <row r="2717" spans="1:31">
      <c r="A2717" s="151">
        <v>142270</v>
      </c>
      <c r="B2717" s="151"/>
      <c r="C2717" s="151"/>
      <c r="D2717" s="151"/>
      <c r="E2717" s="151"/>
      <c r="F2717" s="151"/>
      <c r="G2717" s="151"/>
      <c r="H2717" s="151"/>
      <c r="I2717" s="151"/>
      <c r="J2717" s="152">
        <v>42614.749895833331</v>
      </c>
      <c r="K2717" s="151"/>
      <c r="L2717" s="151" t="s">
        <v>1203</v>
      </c>
      <c r="M2717" s="152">
        <v>42612.597384259258</v>
      </c>
      <c r="N2717" s="151" t="s">
        <v>2429</v>
      </c>
      <c r="O2717" s="151"/>
      <c r="P2717" s="151"/>
      <c r="Q2717" s="7" t="str">
        <f>IF(ISBLANK(patch[[#This Row],[OwnerEmail]]),Q2716,patch[[#This Row],[OwnerEmail]])</f>
        <v>xi.cao@intel.com</v>
      </c>
      <c r="R2717" s="7" t="str">
        <f>_xlfn.IFNA(VLOOKUP(patch[[#This Row],[tmp-owner.email]],OrgTree!$A:$K, 11, 0), "not ICG SWFW")</f>
        <v>BJ And dev</v>
      </c>
      <c r="S2717" s="7" t="str">
        <f>IF(patch[[#This Row],[reviewer]]=patch[[#This Row],[tmp-owner.email]], "author", _xlfn.IFNA(VLOOKUP(patch[[#This Row],[reviewer]],OrgTree!$A:$K, 11, 0), "not ICG SWFW"))</f>
        <v>author</v>
      </c>
      <c r="T2717" s="7" t="str">
        <f>IF(ISBLANK(patch[[#This Row],[mergeDate]]), "", MID(YEAR(patch[[#This Row],[mergeDate]]), 3,2)&amp;"'ww"&amp;WEEKNUM(patch[[#This Row],[mergeDate]]))</f>
        <v>16'ww36</v>
      </c>
      <c r="U2717" s="7" t="str">
        <f>IF(ISBLANK(patch[[#This Row],[mergeDate]]), U2716, MID(YEAR(patch[[#This Row],[mergeDate]]), 3,2)&amp;"'m"&amp;MONTH(patch[[#This Row],[mergeDate]]))</f>
        <v>16'm9</v>
      </c>
      <c r="V2717" s="7" t="str">
        <f>IF(ISBLANK(patch[[#This Row],[project]]), "",SUM(patch[[#This Row],[BJ -1 num]:[SH -1 num]]))</f>
        <v/>
      </c>
      <c r="W2717" s="7" t="str">
        <f>IF(ISBLANK(patch[[#This Row],[project]]), "",COUNTIFS($A:$A,patch[[#This Row],[number]],$S:$S, "BJ And dev",$AC:$AC, "Review-1"))</f>
        <v/>
      </c>
      <c r="X2717" s="7" t="str">
        <f>IF(ISBLANK(patch[[#This Row],[project]]), "",COUNTIFS($A:$A,patch[[#This Row],[number]],$S:$S, "FL And dev",$AC:$AC, "Review-1"))</f>
        <v/>
      </c>
      <c r="Y2717" s="7" t="str">
        <f>IF(ISBLANK(patch[[#This Row],[project]]), "",COUNTIFS($A:$A,patch[[#This Row],[number]],$S:$S, "SH And dev",$AC:$AC, "Review-1"))</f>
        <v/>
      </c>
      <c r="Z2717" s="7" t="str">
        <f>IF(ISBLANK(patch[[#This Row],[project]]), "",COUNTIFS($A:$A,patch[[#This Row],[number]],$S:$S, "BJ And dev",$AD:$AD, "&lt;&gt;IntegratorValidationComment"))</f>
        <v/>
      </c>
      <c r="AA2717" s="7" t="str">
        <f>IF(ISBLANK(patch[[#This Row],[project]]), "",COUNTIFS($A:$A,patch[[#This Row],[number]],$S:$S, "FL And dev",$AD:$AD, "&lt;&gt;IntegratorValidationComment"))</f>
        <v/>
      </c>
      <c r="AB2717" s="7" t="str">
        <f>IF(ISBLANK(patch[[#This Row],[project]]), "",COUNTIFS($A:$A,patch[[#This Row],[number]],$S:$S, "SH And dev",$AD:$AD, "&lt;&gt;IntegratorValidationComment"))</f>
        <v/>
      </c>
      <c r="AC2717" s="7" t="str">
        <f>IF(OR(ISNUMBER(FIND("Review-1", patch[[#This Row],[comments]])), ISNUMBER(FIND("Approver-1", patch[[#This Row],[comments]]))), "Review-1", "")</f>
        <v/>
      </c>
      <c r="AD27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17" s="7">
        <f>IF(ISBLANK(patch[[#This Row],[number]]),AE2716,patch[[#This Row],[ifCommon]])</f>
        <v>0</v>
      </c>
    </row>
    <row r="2718" spans="1:31">
      <c r="A2718" s="151">
        <v>142270</v>
      </c>
      <c r="B2718" s="151"/>
      <c r="C2718" s="151"/>
      <c r="D2718" s="151"/>
      <c r="E2718" s="151"/>
      <c r="F2718" s="151"/>
      <c r="G2718" s="151"/>
      <c r="H2718" s="151"/>
      <c r="I2718" s="151"/>
      <c r="J2718" s="152">
        <v>42614.749895833331</v>
      </c>
      <c r="K2718" s="151"/>
      <c r="L2718" s="151" t="s">
        <v>59</v>
      </c>
      <c r="M2718" s="152">
        <v>42612.597777777781</v>
      </c>
      <c r="N2718" s="151" t="s">
        <v>3957</v>
      </c>
      <c r="O2718" s="151"/>
      <c r="P2718" s="151"/>
      <c r="Q2718" s="7" t="str">
        <f>IF(ISBLANK(patch[[#This Row],[OwnerEmail]]),Q2717,patch[[#This Row],[OwnerEmail]])</f>
        <v>xi.cao@intel.com</v>
      </c>
      <c r="R2718" s="7" t="str">
        <f>_xlfn.IFNA(VLOOKUP(patch[[#This Row],[tmp-owner.email]],OrgTree!$A:$K, 11, 0), "not ICG SWFW")</f>
        <v>BJ And dev</v>
      </c>
      <c r="S2718" s="7" t="str">
        <f>IF(patch[[#This Row],[reviewer]]=patch[[#This Row],[tmp-owner.email]], "author", _xlfn.IFNA(VLOOKUP(patch[[#This Row],[reviewer]],OrgTree!$A:$K, 11, 0), "not ICG SWFW"))</f>
        <v>BJ And dev</v>
      </c>
      <c r="T2718" s="7" t="str">
        <f>IF(ISBLANK(patch[[#This Row],[mergeDate]]), "", MID(YEAR(patch[[#This Row],[mergeDate]]), 3,2)&amp;"'ww"&amp;WEEKNUM(patch[[#This Row],[mergeDate]]))</f>
        <v>16'ww36</v>
      </c>
      <c r="U2718" s="7" t="str">
        <f>IF(ISBLANK(patch[[#This Row],[mergeDate]]), U2717, MID(YEAR(patch[[#This Row],[mergeDate]]), 3,2)&amp;"'m"&amp;MONTH(patch[[#This Row],[mergeDate]]))</f>
        <v>16'm9</v>
      </c>
      <c r="V2718" s="7" t="str">
        <f>IF(ISBLANK(patch[[#This Row],[project]]), "",SUM(patch[[#This Row],[BJ -1 num]:[SH -1 num]]))</f>
        <v/>
      </c>
      <c r="W2718" s="7" t="str">
        <f>IF(ISBLANK(patch[[#This Row],[project]]), "",COUNTIFS($A:$A,patch[[#This Row],[number]],$S:$S, "BJ And dev",$AC:$AC, "Review-1"))</f>
        <v/>
      </c>
      <c r="X2718" s="7" t="str">
        <f>IF(ISBLANK(patch[[#This Row],[project]]), "",COUNTIFS($A:$A,patch[[#This Row],[number]],$S:$S, "FL And dev",$AC:$AC, "Review-1"))</f>
        <v/>
      </c>
      <c r="Y2718" s="7" t="str">
        <f>IF(ISBLANK(patch[[#This Row],[project]]), "",COUNTIFS($A:$A,patch[[#This Row],[number]],$S:$S, "SH And dev",$AC:$AC, "Review-1"))</f>
        <v/>
      </c>
      <c r="Z2718" s="7" t="str">
        <f>IF(ISBLANK(patch[[#This Row],[project]]), "",COUNTIFS($A:$A,patch[[#This Row],[number]],$S:$S, "BJ And dev",$AD:$AD, "&lt;&gt;IntegratorValidationComment"))</f>
        <v/>
      </c>
      <c r="AA2718" s="7" t="str">
        <f>IF(ISBLANK(patch[[#This Row],[project]]), "",COUNTIFS($A:$A,patch[[#This Row],[number]],$S:$S, "FL And dev",$AD:$AD, "&lt;&gt;IntegratorValidationComment"))</f>
        <v/>
      </c>
      <c r="AB2718" s="7" t="str">
        <f>IF(ISBLANK(patch[[#This Row],[project]]), "",COUNTIFS($A:$A,patch[[#This Row],[number]],$S:$S, "SH And dev",$AD:$AD, "&lt;&gt;IntegratorValidationComment"))</f>
        <v/>
      </c>
      <c r="AC2718" s="7" t="str">
        <f>IF(OR(ISNUMBER(FIND("Review-1", patch[[#This Row],[comments]])), ISNUMBER(FIND("Approver-1", patch[[#This Row],[comments]]))), "Review-1", "")</f>
        <v/>
      </c>
      <c r="AD27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18" s="7">
        <f>IF(ISBLANK(patch[[#This Row],[number]]),AE2717,patch[[#This Row],[ifCommon]])</f>
        <v>0</v>
      </c>
    </row>
    <row r="2719" spans="1:31">
      <c r="A2719" s="151">
        <v>142270</v>
      </c>
      <c r="B2719" s="151"/>
      <c r="C2719" s="151"/>
      <c r="D2719" s="151"/>
      <c r="E2719" s="151"/>
      <c r="F2719" s="151"/>
      <c r="G2719" s="151"/>
      <c r="H2719" s="151"/>
      <c r="I2719" s="151"/>
      <c r="J2719" s="152">
        <v>42614.749895833331</v>
      </c>
      <c r="K2719" s="151"/>
      <c r="L2719" s="151" t="s">
        <v>1203</v>
      </c>
      <c r="M2719" s="152">
        <v>42612.597986111112</v>
      </c>
      <c r="N2719" s="151" t="s">
        <v>3958</v>
      </c>
      <c r="O2719" s="151"/>
      <c r="P2719" s="151"/>
      <c r="Q2719" s="7" t="str">
        <f>IF(ISBLANK(patch[[#This Row],[OwnerEmail]]),Q2718,patch[[#This Row],[OwnerEmail]])</f>
        <v>xi.cao@intel.com</v>
      </c>
      <c r="R2719" s="7" t="str">
        <f>_xlfn.IFNA(VLOOKUP(patch[[#This Row],[tmp-owner.email]],OrgTree!$A:$K, 11, 0), "not ICG SWFW")</f>
        <v>BJ And dev</v>
      </c>
      <c r="S2719" s="7" t="str">
        <f>IF(patch[[#This Row],[reviewer]]=patch[[#This Row],[tmp-owner.email]], "author", _xlfn.IFNA(VLOOKUP(patch[[#This Row],[reviewer]],OrgTree!$A:$K, 11, 0), "not ICG SWFW"))</f>
        <v>author</v>
      </c>
      <c r="T2719" s="7" t="str">
        <f>IF(ISBLANK(patch[[#This Row],[mergeDate]]), "", MID(YEAR(patch[[#This Row],[mergeDate]]), 3,2)&amp;"'ww"&amp;WEEKNUM(patch[[#This Row],[mergeDate]]))</f>
        <v>16'ww36</v>
      </c>
      <c r="U2719" s="7" t="str">
        <f>IF(ISBLANK(patch[[#This Row],[mergeDate]]), U2718, MID(YEAR(patch[[#This Row],[mergeDate]]), 3,2)&amp;"'m"&amp;MONTH(patch[[#This Row],[mergeDate]]))</f>
        <v>16'm9</v>
      </c>
      <c r="V2719" s="7" t="str">
        <f>IF(ISBLANK(patch[[#This Row],[project]]), "",SUM(patch[[#This Row],[BJ -1 num]:[SH -1 num]]))</f>
        <v/>
      </c>
      <c r="W2719" s="7" t="str">
        <f>IF(ISBLANK(patch[[#This Row],[project]]), "",COUNTIFS($A:$A,patch[[#This Row],[number]],$S:$S, "BJ And dev",$AC:$AC, "Review-1"))</f>
        <v/>
      </c>
      <c r="X2719" s="7" t="str">
        <f>IF(ISBLANK(patch[[#This Row],[project]]), "",COUNTIFS($A:$A,patch[[#This Row],[number]],$S:$S, "FL And dev",$AC:$AC, "Review-1"))</f>
        <v/>
      </c>
      <c r="Y2719" s="7" t="str">
        <f>IF(ISBLANK(patch[[#This Row],[project]]), "",COUNTIFS($A:$A,patch[[#This Row],[number]],$S:$S, "SH And dev",$AC:$AC, "Review-1"))</f>
        <v/>
      </c>
      <c r="Z2719" s="7" t="str">
        <f>IF(ISBLANK(patch[[#This Row],[project]]), "",COUNTIFS($A:$A,patch[[#This Row],[number]],$S:$S, "BJ And dev",$AD:$AD, "&lt;&gt;IntegratorValidationComment"))</f>
        <v/>
      </c>
      <c r="AA2719" s="7" t="str">
        <f>IF(ISBLANK(patch[[#This Row],[project]]), "",COUNTIFS($A:$A,patch[[#This Row],[number]],$S:$S, "FL And dev",$AD:$AD, "&lt;&gt;IntegratorValidationComment"))</f>
        <v/>
      </c>
      <c r="AB2719" s="7" t="str">
        <f>IF(ISBLANK(patch[[#This Row],[project]]), "",COUNTIFS($A:$A,patch[[#This Row],[number]],$S:$S, "SH And dev",$AD:$AD, "&lt;&gt;IntegratorValidationComment"))</f>
        <v/>
      </c>
      <c r="AC2719" s="7" t="str">
        <f>IF(OR(ISNUMBER(FIND("Review-1", patch[[#This Row],[comments]])), ISNUMBER(FIND("Approver-1", patch[[#This Row],[comments]]))), "Review-1", "")</f>
        <v/>
      </c>
      <c r="AD27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19" s="7">
        <f>IF(ISBLANK(patch[[#This Row],[number]]),AE2718,patch[[#This Row],[ifCommon]])</f>
        <v>0</v>
      </c>
    </row>
    <row r="2720" spans="1:31">
      <c r="A2720" s="151">
        <v>142270</v>
      </c>
      <c r="B2720" s="151"/>
      <c r="C2720" s="151"/>
      <c r="D2720" s="151"/>
      <c r="E2720" s="151"/>
      <c r="F2720" s="151"/>
      <c r="G2720" s="151"/>
      <c r="H2720" s="151"/>
      <c r="I2720" s="151"/>
      <c r="J2720" s="152">
        <v>42614.749895833331</v>
      </c>
      <c r="K2720" s="151"/>
      <c r="L2720" s="151" t="s">
        <v>59</v>
      </c>
      <c r="M2720" s="152">
        <v>42612.601388888892</v>
      </c>
      <c r="N2720" s="151" t="s">
        <v>3959</v>
      </c>
      <c r="O2720" s="151"/>
      <c r="P2720" s="151"/>
      <c r="Q2720" s="7" t="str">
        <f>IF(ISBLANK(patch[[#This Row],[OwnerEmail]]),Q2719,patch[[#This Row],[OwnerEmail]])</f>
        <v>xi.cao@intel.com</v>
      </c>
      <c r="R2720" s="7" t="str">
        <f>_xlfn.IFNA(VLOOKUP(patch[[#This Row],[tmp-owner.email]],OrgTree!$A:$K, 11, 0), "not ICG SWFW")</f>
        <v>BJ And dev</v>
      </c>
      <c r="S2720" s="7" t="str">
        <f>IF(patch[[#This Row],[reviewer]]=patch[[#This Row],[tmp-owner.email]], "author", _xlfn.IFNA(VLOOKUP(patch[[#This Row],[reviewer]],OrgTree!$A:$K, 11, 0), "not ICG SWFW"))</f>
        <v>BJ And dev</v>
      </c>
      <c r="T2720" s="7" t="str">
        <f>IF(ISBLANK(patch[[#This Row],[mergeDate]]), "", MID(YEAR(patch[[#This Row],[mergeDate]]), 3,2)&amp;"'ww"&amp;WEEKNUM(patch[[#This Row],[mergeDate]]))</f>
        <v>16'ww36</v>
      </c>
      <c r="U2720" s="7" t="str">
        <f>IF(ISBLANK(patch[[#This Row],[mergeDate]]), U2719, MID(YEAR(patch[[#This Row],[mergeDate]]), 3,2)&amp;"'m"&amp;MONTH(patch[[#This Row],[mergeDate]]))</f>
        <v>16'm9</v>
      </c>
      <c r="V2720" s="7" t="str">
        <f>IF(ISBLANK(patch[[#This Row],[project]]), "",SUM(patch[[#This Row],[BJ -1 num]:[SH -1 num]]))</f>
        <v/>
      </c>
      <c r="W2720" s="7" t="str">
        <f>IF(ISBLANK(patch[[#This Row],[project]]), "",COUNTIFS($A:$A,patch[[#This Row],[number]],$S:$S, "BJ And dev",$AC:$AC, "Review-1"))</f>
        <v/>
      </c>
      <c r="X2720" s="7" t="str">
        <f>IF(ISBLANK(patch[[#This Row],[project]]), "",COUNTIFS($A:$A,patch[[#This Row],[number]],$S:$S, "FL And dev",$AC:$AC, "Review-1"))</f>
        <v/>
      </c>
      <c r="Y2720" s="7" t="str">
        <f>IF(ISBLANK(patch[[#This Row],[project]]), "",COUNTIFS($A:$A,patch[[#This Row],[number]],$S:$S, "SH And dev",$AC:$AC, "Review-1"))</f>
        <v/>
      </c>
      <c r="Z2720" s="7" t="str">
        <f>IF(ISBLANK(patch[[#This Row],[project]]), "",COUNTIFS($A:$A,patch[[#This Row],[number]],$S:$S, "BJ And dev",$AD:$AD, "&lt;&gt;IntegratorValidationComment"))</f>
        <v/>
      </c>
      <c r="AA2720" s="7" t="str">
        <f>IF(ISBLANK(patch[[#This Row],[project]]), "",COUNTIFS($A:$A,patch[[#This Row],[number]],$S:$S, "FL And dev",$AD:$AD, "&lt;&gt;IntegratorValidationComment"))</f>
        <v/>
      </c>
      <c r="AB2720" s="7" t="str">
        <f>IF(ISBLANK(patch[[#This Row],[project]]), "",COUNTIFS($A:$A,patch[[#This Row],[number]],$S:$S, "SH And dev",$AD:$AD, "&lt;&gt;IntegratorValidationComment"))</f>
        <v/>
      </c>
      <c r="AC2720" s="7" t="str">
        <f>IF(OR(ISNUMBER(FIND("Review-1", patch[[#This Row],[comments]])), ISNUMBER(FIND("Approver-1", patch[[#This Row],[comments]]))), "Review-1", "")</f>
        <v/>
      </c>
      <c r="AD27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20" s="7">
        <f>IF(ISBLANK(patch[[#This Row],[number]]),AE2719,patch[[#This Row],[ifCommon]])</f>
        <v>0</v>
      </c>
    </row>
    <row r="2721" spans="1:31">
      <c r="A2721" s="151">
        <v>142270</v>
      </c>
      <c r="B2721" s="151"/>
      <c r="C2721" s="151"/>
      <c r="D2721" s="151"/>
      <c r="E2721" s="151"/>
      <c r="F2721" s="151"/>
      <c r="G2721" s="151"/>
      <c r="H2721" s="151"/>
      <c r="I2721" s="151"/>
      <c r="J2721" s="152">
        <v>42614.749895833331</v>
      </c>
      <c r="K2721" s="151"/>
      <c r="L2721" s="151" t="s">
        <v>63</v>
      </c>
      <c r="M2721" s="152">
        <v>42612.649502314824</v>
      </c>
      <c r="N2721" s="151" t="s">
        <v>27</v>
      </c>
      <c r="O2721" s="151"/>
      <c r="P2721" s="151"/>
      <c r="Q2721" s="7" t="str">
        <f>IF(ISBLANK(patch[[#This Row],[OwnerEmail]]),Q2720,patch[[#This Row],[OwnerEmail]])</f>
        <v>xi.cao@intel.com</v>
      </c>
      <c r="R2721" s="7" t="str">
        <f>_xlfn.IFNA(VLOOKUP(patch[[#This Row],[tmp-owner.email]],OrgTree!$A:$K, 11, 0), "not ICG SWFW")</f>
        <v>BJ And dev</v>
      </c>
      <c r="S2721" s="7" t="str">
        <f>IF(patch[[#This Row],[reviewer]]=patch[[#This Row],[tmp-owner.email]], "author", _xlfn.IFNA(VLOOKUP(patch[[#This Row],[reviewer]],OrgTree!$A:$K, 11, 0), "not ICG SWFW"))</f>
        <v>BJ And dev</v>
      </c>
      <c r="T2721" s="7" t="str">
        <f>IF(ISBLANK(patch[[#This Row],[mergeDate]]), "", MID(YEAR(patch[[#This Row],[mergeDate]]), 3,2)&amp;"'ww"&amp;WEEKNUM(patch[[#This Row],[mergeDate]]))</f>
        <v>16'ww36</v>
      </c>
      <c r="U2721" s="7" t="str">
        <f>IF(ISBLANK(patch[[#This Row],[mergeDate]]), U2720, MID(YEAR(patch[[#This Row],[mergeDate]]), 3,2)&amp;"'m"&amp;MONTH(patch[[#This Row],[mergeDate]]))</f>
        <v>16'm9</v>
      </c>
      <c r="V2721" s="7" t="str">
        <f>IF(ISBLANK(patch[[#This Row],[project]]), "",SUM(patch[[#This Row],[BJ -1 num]:[SH -1 num]]))</f>
        <v/>
      </c>
      <c r="W2721" s="7" t="str">
        <f>IF(ISBLANK(patch[[#This Row],[project]]), "",COUNTIFS($A:$A,patch[[#This Row],[number]],$S:$S, "BJ And dev",$AC:$AC, "Review-1"))</f>
        <v/>
      </c>
      <c r="X2721" s="7" t="str">
        <f>IF(ISBLANK(patch[[#This Row],[project]]), "",COUNTIFS($A:$A,patch[[#This Row],[number]],$S:$S, "FL And dev",$AC:$AC, "Review-1"))</f>
        <v/>
      </c>
      <c r="Y2721" s="7" t="str">
        <f>IF(ISBLANK(patch[[#This Row],[project]]), "",COUNTIFS($A:$A,patch[[#This Row],[number]],$S:$S, "SH And dev",$AC:$AC, "Review-1"))</f>
        <v/>
      </c>
      <c r="Z2721" s="7" t="str">
        <f>IF(ISBLANK(patch[[#This Row],[project]]), "",COUNTIFS($A:$A,patch[[#This Row],[number]],$S:$S, "BJ And dev",$AD:$AD, "&lt;&gt;IntegratorValidationComment"))</f>
        <v/>
      </c>
      <c r="AA2721" s="7" t="str">
        <f>IF(ISBLANK(patch[[#This Row],[project]]), "",COUNTIFS($A:$A,patch[[#This Row],[number]],$S:$S, "FL And dev",$AD:$AD, "&lt;&gt;IntegratorValidationComment"))</f>
        <v/>
      </c>
      <c r="AB2721" s="7" t="str">
        <f>IF(ISBLANK(patch[[#This Row],[project]]), "",COUNTIFS($A:$A,patch[[#This Row],[number]],$S:$S, "SH And dev",$AD:$AD, "&lt;&gt;IntegratorValidationComment"))</f>
        <v/>
      </c>
      <c r="AC2721" s="7" t="str">
        <f>IF(OR(ISNUMBER(FIND("Review-1", patch[[#This Row],[comments]])), ISNUMBER(FIND("Approver-1", patch[[#This Row],[comments]]))), "Review-1", "")</f>
        <v/>
      </c>
      <c r="AD27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21" s="7">
        <f>IF(ISBLANK(patch[[#This Row],[number]]),AE2720,patch[[#This Row],[ifCommon]])</f>
        <v>0</v>
      </c>
    </row>
    <row r="2722" spans="1:31">
      <c r="A2722" s="151">
        <v>142270</v>
      </c>
      <c r="B2722" s="151"/>
      <c r="C2722" s="151"/>
      <c r="D2722" s="151"/>
      <c r="E2722" s="151"/>
      <c r="F2722" s="151"/>
      <c r="G2722" s="151"/>
      <c r="H2722" s="151"/>
      <c r="I2722" s="151"/>
      <c r="J2722" s="152">
        <v>42614.749895833331</v>
      </c>
      <c r="K2722" s="151"/>
      <c r="L2722" s="151" t="s">
        <v>32</v>
      </c>
      <c r="M2722" s="152">
        <v>42612.782893518517</v>
      </c>
      <c r="N2722" s="151" t="s">
        <v>27</v>
      </c>
      <c r="O2722" s="151"/>
      <c r="P2722" s="151"/>
      <c r="Q2722" s="7" t="str">
        <f>IF(ISBLANK(patch[[#This Row],[OwnerEmail]]),Q2721,patch[[#This Row],[OwnerEmail]])</f>
        <v>xi.cao@intel.com</v>
      </c>
      <c r="R2722" s="7" t="str">
        <f>_xlfn.IFNA(VLOOKUP(patch[[#This Row],[tmp-owner.email]],OrgTree!$A:$K, 11, 0), "not ICG SWFW")</f>
        <v>BJ And dev</v>
      </c>
      <c r="S2722" s="7" t="str">
        <f>IF(patch[[#This Row],[reviewer]]=patch[[#This Row],[tmp-owner.email]], "author", _xlfn.IFNA(VLOOKUP(patch[[#This Row],[reviewer]],OrgTree!$A:$K, 11, 0), "not ICG SWFW"))</f>
        <v>BJ And dev</v>
      </c>
      <c r="T2722" s="7" t="str">
        <f>IF(ISBLANK(patch[[#This Row],[mergeDate]]), "", MID(YEAR(patch[[#This Row],[mergeDate]]), 3,2)&amp;"'ww"&amp;WEEKNUM(patch[[#This Row],[mergeDate]]))</f>
        <v>16'ww36</v>
      </c>
      <c r="U2722" s="7" t="str">
        <f>IF(ISBLANK(patch[[#This Row],[mergeDate]]), U2721, MID(YEAR(patch[[#This Row],[mergeDate]]), 3,2)&amp;"'m"&amp;MONTH(patch[[#This Row],[mergeDate]]))</f>
        <v>16'm9</v>
      </c>
      <c r="V2722" s="7" t="str">
        <f>IF(ISBLANK(patch[[#This Row],[project]]), "",SUM(patch[[#This Row],[BJ -1 num]:[SH -1 num]]))</f>
        <v/>
      </c>
      <c r="W2722" s="7" t="str">
        <f>IF(ISBLANK(patch[[#This Row],[project]]), "",COUNTIFS($A:$A,patch[[#This Row],[number]],$S:$S, "BJ And dev",$AC:$AC, "Review-1"))</f>
        <v/>
      </c>
      <c r="X2722" s="7" t="str">
        <f>IF(ISBLANK(patch[[#This Row],[project]]), "",COUNTIFS($A:$A,patch[[#This Row],[number]],$S:$S, "FL And dev",$AC:$AC, "Review-1"))</f>
        <v/>
      </c>
      <c r="Y2722" s="7" t="str">
        <f>IF(ISBLANK(patch[[#This Row],[project]]), "",COUNTIFS($A:$A,patch[[#This Row],[number]],$S:$S, "SH And dev",$AC:$AC, "Review-1"))</f>
        <v/>
      </c>
      <c r="Z2722" s="7" t="str">
        <f>IF(ISBLANK(patch[[#This Row],[project]]), "",COUNTIFS($A:$A,patch[[#This Row],[number]],$S:$S, "BJ And dev",$AD:$AD, "&lt;&gt;IntegratorValidationComment"))</f>
        <v/>
      </c>
      <c r="AA2722" s="7" t="str">
        <f>IF(ISBLANK(patch[[#This Row],[project]]), "",COUNTIFS($A:$A,patch[[#This Row],[number]],$S:$S, "FL And dev",$AD:$AD, "&lt;&gt;IntegratorValidationComment"))</f>
        <v/>
      </c>
      <c r="AB2722" s="7" t="str">
        <f>IF(ISBLANK(patch[[#This Row],[project]]), "",COUNTIFS($A:$A,patch[[#This Row],[number]],$S:$S, "SH And dev",$AD:$AD, "&lt;&gt;IntegratorValidationComment"))</f>
        <v/>
      </c>
      <c r="AC2722" s="7" t="str">
        <f>IF(OR(ISNUMBER(FIND("Review-1", patch[[#This Row],[comments]])), ISNUMBER(FIND("Approver-1", patch[[#This Row],[comments]]))), "Review-1", "")</f>
        <v/>
      </c>
      <c r="AD27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22" s="7">
        <f>IF(ISBLANK(patch[[#This Row],[number]]),AE2721,patch[[#This Row],[ifCommon]])</f>
        <v>0</v>
      </c>
    </row>
    <row r="2723" spans="1:31">
      <c r="A2723" s="151">
        <v>142270</v>
      </c>
      <c r="B2723" s="151"/>
      <c r="C2723" s="151"/>
      <c r="D2723" s="151"/>
      <c r="E2723" s="151"/>
      <c r="F2723" s="151"/>
      <c r="G2723" s="151"/>
      <c r="H2723" s="151"/>
      <c r="I2723" s="151"/>
      <c r="J2723" s="152">
        <v>42614.749895833331</v>
      </c>
      <c r="K2723" s="151"/>
      <c r="L2723" s="151" t="s">
        <v>1203</v>
      </c>
      <c r="M2723" s="152">
        <v>42613.385844907411</v>
      </c>
      <c r="N2723" s="151" t="s">
        <v>27</v>
      </c>
      <c r="O2723" s="151"/>
      <c r="P2723" s="151"/>
      <c r="Q2723" s="7" t="str">
        <f>IF(ISBLANK(patch[[#This Row],[OwnerEmail]]),Q2722,patch[[#This Row],[OwnerEmail]])</f>
        <v>xi.cao@intel.com</v>
      </c>
      <c r="R2723" s="7" t="str">
        <f>_xlfn.IFNA(VLOOKUP(patch[[#This Row],[tmp-owner.email]],OrgTree!$A:$K, 11, 0), "not ICG SWFW")</f>
        <v>BJ And dev</v>
      </c>
      <c r="S2723" s="7" t="str">
        <f>IF(patch[[#This Row],[reviewer]]=patch[[#This Row],[tmp-owner.email]], "author", _xlfn.IFNA(VLOOKUP(patch[[#This Row],[reviewer]],OrgTree!$A:$K, 11, 0), "not ICG SWFW"))</f>
        <v>author</v>
      </c>
      <c r="T2723" s="7" t="str">
        <f>IF(ISBLANK(patch[[#This Row],[mergeDate]]), "", MID(YEAR(patch[[#This Row],[mergeDate]]), 3,2)&amp;"'ww"&amp;WEEKNUM(patch[[#This Row],[mergeDate]]))</f>
        <v>16'ww36</v>
      </c>
      <c r="U2723" s="7" t="str">
        <f>IF(ISBLANK(patch[[#This Row],[mergeDate]]), U2722, MID(YEAR(patch[[#This Row],[mergeDate]]), 3,2)&amp;"'m"&amp;MONTH(patch[[#This Row],[mergeDate]]))</f>
        <v>16'm9</v>
      </c>
      <c r="V2723" s="7" t="str">
        <f>IF(ISBLANK(patch[[#This Row],[project]]), "",SUM(patch[[#This Row],[BJ -1 num]:[SH -1 num]]))</f>
        <v/>
      </c>
      <c r="W2723" s="7" t="str">
        <f>IF(ISBLANK(patch[[#This Row],[project]]), "",COUNTIFS($A:$A,patch[[#This Row],[number]],$S:$S, "BJ And dev",$AC:$AC, "Review-1"))</f>
        <v/>
      </c>
      <c r="X2723" s="7" t="str">
        <f>IF(ISBLANK(patch[[#This Row],[project]]), "",COUNTIFS($A:$A,patch[[#This Row],[number]],$S:$S, "FL And dev",$AC:$AC, "Review-1"))</f>
        <v/>
      </c>
      <c r="Y2723" s="7" t="str">
        <f>IF(ISBLANK(patch[[#This Row],[project]]), "",COUNTIFS($A:$A,patch[[#This Row],[number]],$S:$S, "SH And dev",$AC:$AC, "Review-1"))</f>
        <v/>
      </c>
      <c r="Z2723" s="7" t="str">
        <f>IF(ISBLANK(patch[[#This Row],[project]]), "",COUNTIFS($A:$A,patch[[#This Row],[number]],$S:$S, "BJ And dev",$AD:$AD, "&lt;&gt;IntegratorValidationComment"))</f>
        <v/>
      </c>
      <c r="AA2723" s="7" t="str">
        <f>IF(ISBLANK(patch[[#This Row],[project]]), "",COUNTIFS($A:$A,patch[[#This Row],[number]],$S:$S, "FL And dev",$AD:$AD, "&lt;&gt;IntegratorValidationComment"))</f>
        <v/>
      </c>
      <c r="AB2723" s="7" t="str">
        <f>IF(ISBLANK(patch[[#This Row],[project]]), "",COUNTIFS($A:$A,patch[[#This Row],[number]],$S:$S, "SH And dev",$AD:$AD, "&lt;&gt;IntegratorValidationComment"))</f>
        <v/>
      </c>
      <c r="AC2723" s="7" t="str">
        <f>IF(OR(ISNUMBER(FIND("Review-1", patch[[#This Row],[comments]])), ISNUMBER(FIND("Approver-1", patch[[#This Row],[comments]]))), "Review-1", "")</f>
        <v/>
      </c>
      <c r="AD27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23" s="7">
        <f>IF(ISBLANK(patch[[#This Row],[number]]),AE2722,patch[[#This Row],[ifCommon]])</f>
        <v>0</v>
      </c>
    </row>
    <row r="2724" spans="1:31">
      <c r="A2724" s="151">
        <v>142270</v>
      </c>
      <c r="B2724" s="151"/>
      <c r="C2724" s="151"/>
      <c r="D2724" s="151"/>
      <c r="E2724" s="151"/>
      <c r="F2724" s="151"/>
      <c r="G2724" s="151"/>
      <c r="H2724" s="151"/>
      <c r="I2724" s="151"/>
      <c r="J2724" s="152">
        <v>42614.749895833331</v>
      </c>
      <c r="K2724" s="151"/>
      <c r="L2724" s="151" t="s">
        <v>32</v>
      </c>
      <c r="M2724" s="152">
        <v>42613.430081018523</v>
      </c>
      <c r="N2724" s="151" t="s">
        <v>42</v>
      </c>
      <c r="O2724" s="151"/>
      <c r="P2724" s="151"/>
      <c r="Q2724" s="7" t="str">
        <f>IF(ISBLANK(patch[[#This Row],[OwnerEmail]]),Q2723,patch[[#This Row],[OwnerEmail]])</f>
        <v>xi.cao@intel.com</v>
      </c>
      <c r="R2724" s="7" t="str">
        <f>_xlfn.IFNA(VLOOKUP(patch[[#This Row],[tmp-owner.email]],OrgTree!$A:$K, 11, 0), "not ICG SWFW")</f>
        <v>BJ And dev</v>
      </c>
      <c r="S2724" s="7" t="str">
        <f>IF(patch[[#This Row],[reviewer]]=patch[[#This Row],[tmp-owner.email]], "author", _xlfn.IFNA(VLOOKUP(patch[[#This Row],[reviewer]],OrgTree!$A:$K, 11, 0), "not ICG SWFW"))</f>
        <v>BJ And dev</v>
      </c>
      <c r="T2724" s="7" t="str">
        <f>IF(ISBLANK(patch[[#This Row],[mergeDate]]), "", MID(YEAR(patch[[#This Row],[mergeDate]]), 3,2)&amp;"'ww"&amp;WEEKNUM(patch[[#This Row],[mergeDate]]))</f>
        <v>16'ww36</v>
      </c>
      <c r="U2724" s="7" t="str">
        <f>IF(ISBLANK(patch[[#This Row],[mergeDate]]), U2723, MID(YEAR(patch[[#This Row],[mergeDate]]), 3,2)&amp;"'m"&amp;MONTH(patch[[#This Row],[mergeDate]]))</f>
        <v>16'm9</v>
      </c>
      <c r="V2724" s="7" t="str">
        <f>IF(ISBLANK(patch[[#This Row],[project]]), "",SUM(patch[[#This Row],[BJ -1 num]:[SH -1 num]]))</f>
        <v/>
      </c>
      <c r="W2724" s="7" t="str">
        <f>IF(ISBLANK(patch[[#This Row],[project]]), "",COUNTIFS($A:$A,patch[[#This Row],[number]],$S:$S, "BJ And dev",$AC:$AC, "Review-1"))</f>
        <v/>
      </c>
      <c r="X2724" s="7" t="str">
        <f>IF(ISBLANK(patch[[#This Row],[project]]), "",COUNTIFS($A:$A,patch[[#This Row],[number]],$S:$S, "FL And dev",$AC:$AC, "Review-1"))</f>
        <v/>
      </c>
      <c r="Y2724" s="7" t="str">
        <f>IF(ISBLANK(patch[[#This Row],[project]]), "",COUNTIFS($A:$A,patch[[#This Row],[number]],$S:$S, "SH And dev",$AC:$AC, "Review-1"))</f>
        <v/>
      </c>
      <c r="Z2724" s="7" t="str">
        <f>IF(ISBLANK(patch[[#This Row],[project]]), "",COUNTIFS($A:$A,patch[[#This Row],[number]],$S:$S, "BJ And dev",$AD:$AD, "&lt;&gt;IntegratorValidationComment"))</f>
        <v/>
      </c>
      <c r="AA2724" s="7" t="str">
        <f>IF(ISBLANK(patch[[#This Row],[project]]), "",COUNTIFS($A:$A,patch[[#This Row],[number]],$S:$S, "FL And dev",$AD:$AD, "&lt;&gt;IntegratorValidationComment"))</f>
        <v/>
      </c>
      <c r="AB2724" s="7" t="str">
        <f>IF(ISBLANK(patch[[#This Row],[project]]), "",COUNTIFS($A:$A,patch[[#This Row],[number]],$S:$S, "SH And dev",$AD:$AD, "&lt;&gt;IntegratorValidationComment"))</f>
        <v/>
      </c>
      <c r="AC2724" s="7" t="str">
        <f>IF(OR(ISNUMBER(FIND("Review-1", patch[[#This Row],[comments]])), ISNUMBER(FIND("Approver-1", patch[[#This Row],[comments]]))), "Review-1", "")</f>
        <v/>
      </c>
      <c r="AD27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24" s="7">
        <f>IF(ISBLANK(patch[[#This Row],[number]]),AE2723,patch[[#This Row],[ifCommon]])</f>
        <v>0</v>
      </c>
    </row>
    <row r="2725" spans="1:31">
      <c r="A2725" s="151">
        <v>142270</v>
      </c>
      <c r="B2725" s="151"/>
      <c r="C2725" s="151"/>
      <c r="D2725" s="151"/>
      <c r="E2725" s="151"/>
      <c r="F2725" s="151"/>
      <c r="G2725" s="151"/>
      <c r="H2725" s="151"/>
      <c r="I2725" s="151"/>
      <c r="J2725" s="152">
        <v>42614.749895833331</v>
      </c>
      <c r="K2725" s="151"/>
      <c r="L2725" s="151" t="s">
        <v>1203</v>
      </c>
      <c r="M2725" s="152">
        <v>42613.583912037036</v>
      </c>
      <c r="N2725" s="151" t="s">
        <v>47</v>
      </c>
      <c r="O2725" s="151"/>
      <c r="P2725" s="151"/>
      <c r="Q2725" s="7" t="str">
        <f>IF(ISBLANK(patch[[#This Row],[OwnerEmail]]),Q2724,patch[[#This Row],[OwnerEmail]])</f>
        <v>xi.cao@intel.com</v>
      </c>
      <c r="R2725" s="7" t="str">
        <f>_xlfn.IFNA(VLOOKUP(patch[[#This Row],[tmp-owner.email]],OrgTree!$A:$K, 11, 0), "not ICG SWFW")</f>
        <v>BJ And dev</v>
      </c>
      <c r="S2725" s="7" t="str">
        <f>IF(patch[[#This Row],[reviewer]]=patch[[#This Row],[tmp-owner.email]], "author", _xlfn.IFNA(VLOOKUP(patch[[#This Row],[reviewer]],OrgTree!$A:$K, 11, 0), "not ICG SWFW"))</f>
        <v>author</v>
      </c>
      <c r="T2725" s="7" t="str">
        <f>IF(ISBLANK(patch[[#This Row],[mergeDate]]), "", MID(YEAR(patch[[#This Row],[mergeDate]]), 3,2)&amp;"'ww"&amp;WEEKNUM(patch[[#This Row],[mergeDate]]))</f>
        <v>16'ww36</v>
      </c>
      <c r="U2725" s="7" t="str">
        <f>IF(ISBLANK(patch[[#This Row],[mergeDate]]), U2724, MID(YEAR(patch[[#This Row],[mergeDate]]), 3,2)&amp;"'m"&amp;MONTH(patch[[#This Row],[mergeDate]]))</f>
        <v>16'm9</v>
      </c>
      <c r="V2725" s="7" t="str">
        <f>IF(ISBLANK(patch[[#This Row],[project]]), "",SUM(patch[[#This Row],[BJ -1 num]:[SH -1 num]]))</f>
        <v/>
      </c>
      <c r="W2725" s="7" t="str">
        <f>IF(ISBLANK(patch[[#This Row],[project]]), "",COUNTIFS($A:$A,patch[[#This Row],[number]],$S:$S, "BJ And dev",$AC:$AC, "Review-1"))</f>
        <v/>
      </c>
      <c r="X2725" s="7" t="str">
        <f>IF(ISBLANK(patch[[#This Row],[project]]), "",COUNTIFS($A:$A,patch[[#This Row],[number]],$S:$S, "FL And dev",$AC:$AC, "Review-1"))</f>
        <v/>
      </c>
      <c r="Y2725" s="7" t="str">
        <f>IF(ISBLANK(patch[[#This Row],[project]]), "",COUNTIFS($A:$A,patch[[#This Row],[number]],$S:$S, "SH And dev",$AC:$AC, "Review-1"))</f>
        <v/>
      </c>
      <c r="Z2725" s="7" t="str">
        <f>IF(ISBLANK(patch[[#This Row],[project]]), "",COUNTIFS($A:$A,patch[[#This Row],[number]],$S:$S, "BJ And dev",$AD:$AD, "&lt;&gt;IntegratorValidationComment"))</f>
        <v/>
      </c>
      <c r="AA2725" s="7" t="str">
        <f>IF(ISBLANK(patch[[#This Row],[project]]), "",COUNTIFS($A:$A,patch[[#This Row],[number]],$S:$S, "FL And dev",$AD:$AD, "&lt;&gt;IntegratorValidationComment"))</f>
        <v/>
      </c>
      <c r="AB2725" s="7" t="str">
        <f>IF(ISBLANK(patch[[#This Row],[project]]), "",COUNTIFS($A:$A,patch[[#This Row],[number]],$S:$S, "SH And dev",$AD:$AD, "&lt;&gt;IntegratorValidationComment"))</f>
        <v/>
      </c>
      <c r="AC2725" s="7" t="str">
        <f>IF(OR(ISNUMBER(FIND("Review-1", patch[[#This Row],[comments]])), ISNUMBER(FIND("Approver-1", patch[[#This Row],[comments]]))), "Review-1", "")</f>
        <v/>
      </c>
      <c r="AD27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25" s="7">
        <f>IF(ISBLANK(patch[[#This Row],[number]]),AE2724,patch[[#This Row],[ifCommon]])</f>
        <v>0</v>
      </c>
    </row>
    <row r="2726" spans="1:31">
      <c r="A2726" s="151">
        <v>142270</v>
      </c>
      <c r="B2726" s="151"/>
      <c r="C2726" s="151"/>
      <c r="D2726" s="151"/>
      <c r="E2726" s="151"/>
      <c r="F2726" s="151"/>
      <c r="G2726" s="151"/>
      <c r="H2726" s="151"/>
      <c r="I2726" s="151"/>
      <c r="J2726" s="152">
        <v>42614.749895833331</v>
      </c>
      <c r="K2726" s="151"/>
      <c r="L2726" s="151" t="s">
        <v>1203</v>
      </c>
      <c r="M2726" s="152">
        <v>42613.583923611113</v>
      </c>
      <c r="N2726" s="151" t="s">
        <v>2450</v>
      </c>
      <c r="O2726" s="151"/>
      <c r="P2726" s="151"/>
      <c r="Q2726" s="7" t="str">
        <f>IF(ISBLANK(patch[[#This Row],[OwnerEmail]]),Q2725,patch[[#This Row],[OwnerEmail]])</f>
        <v>xi.cao@intel.com</v>
      </c>
      <c r="R2726" s="7" t="str">
        <f>_xlfn.IFNA(VLOOKUP(patch[[#This Row],[tmp-owner.email]],OrgTree!$A:$K, 11, 0), "not ICG SWFW")</f>
        <v>BJ And dev</v>
      </c>
      <c r="S2726" s="7" t="str">
        <f>IF(patch[[#This Row],[reviewer]]=patch[[#This Row],[tmp-owner.email]], "author", _xlfn.IFNA(VLOOKUP(patch[[#This Row],[reviewer]],OrgTree!$A:$K, 11, 0), "not ICG SWFW"))</f>
        <v>author</v>
      </c>
      <c r="T2726" s="7" t="str">
        <f>IF(ISBLANK(patch[[#This Row],[mergeDate]]), "", MID(YEAR(patch[[#This Row],[mergeDate]]), 3,2)&amp;"'ww"&amp;WEEKNUM(patch[[#This Row],[mergeDate]]))</f>
        <v>16'ww36</v>
      </c>
      <c r="U2726" s="7" t="str">
        <f>IF(ISBLANK(patch[[#This Row],[mergeDate]]), U2725, MID(YEAR(patch[[#This Row],[mergeDate]]), 3,2)&amp;"'m"&amp;MONTH(patch[[#This Row],[mergeDate]]))</f>
        <v>16'm9</v>
      </c>
      <c r="V2726" s="7" t="str">
        <f>IF(ISBLANK(patch[[#This Row],[project]]), "",SUM(patch[[#This Row],[BJ -1 num]:[SH -1 num]]))</f>
        <v/>
      </c>
      <c r="W2726" s="7" t="str">
        <f>IF(ISBLANK(patch[[#This Row],[project]]), "",COUNTIFS($A:$A,patch[[#This Row],[number]],$S:$S, "BJ And dev",$AC:$AC, "Review-1"))</f>
        <v/>
      </c>
      <c r="X2726" s="7" t="str">
        <f>IF(ISBLANK(patch[[#This Row],[project]]), "",COUNTIFS($A:$A,patch[[#This Row],[number]],$S:$S, "FL And dev",$AC:$AC, "Review-1"))</f>
        <v/>
      </c>
      <c r="Y2726" s="7" t="str">
        <f>IF(ISBLANK(patch[[#This Row],[project]]), "",COUNTIFS($A:$A,patch[[#This Row],[number]],$S:$S, "SH And dev",$AC:$AC, "Review-1"))</f>
        <v/>
      </c>
      <c r="Z2726" s="7" t="str">
        <f>IF(ISBLANK(patch[[#This Row],[project]]), "",COUNTIFS($A:$A,patch[[#This Row],[number]],$S:$S, "BJ And dev",$AD:$AD, "&lt;&gt;IntegratorValidationComment"))</f>
        <v/>
      </c>
      <c r="AA2726" s="7" t="str">
        <f>IF(ISBLANK(patch[[#This Row],[project]]), "",COUNTIFS($A:$A,patch[[#This Row],[number]],$S:$S, "FL And dev",$AD:$AD, "&lt;&gt;IntegratorValidationComment"))</f>
        <v/>
      </c>
      <c r="AB2726" s="7" t="str">
        <f>IF(ISBLANK(patch[[#This Row],[project]]), "",COUNTIFS($A:$A,patch[[#This Row],[number]],$S:$S, "SH And dev",$AD:$AD, "&lt;&gt;IntegratorValidationComment"))</f>
        <v/>
      </c>
      <c r="AC2726" s="7" t="str">
        <f>IF(OR(ISNUMBER(FIND("Review-1", patch[[#This Row],[comments]])), ISNUMBER(FIND("Approver-1", patch[[#This Row],[comments]]))), "Review-1", "")</f>
        <v/>
      </c>
      <c r="AD27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26" s="7">
        <f>IF(ISBLANK(patch[[#This Row],[number]]),AE2725,patch[[#This Row],[ifCommon]])</f>
        <v>0</v>
      </c>
    </row>
    <row r="2727" spans="1:31">
      <c r="A2727" s="151">
        <v>142270</v>
      </c>
      <c r="B2727" s="151"/>
      <c r="C2727" s="151"/>
      <c r="D2727" s="151"/>
      <c r="E2727" s="151"/>
      <c r="F2727" s="151"/>
      <c r="G2727" s="151"/>
      <c r="H2727" s="151"/>
      <c r="I2727" s="151"/>
      <c r="J2727" s="152">
        <v>42614.749895833331</v>
      </c>
      <c r="K2727" s="151"/>
      <c r="L2727" s="151" t="s">
        <v>55</v>
      </c>
      <c r="M2727" s="152">
        <v>42613.588171296287</v>
      </c>
      <c r="N2727" s="151" t="s">
        <v>1831</v>
      </c>
      <c r="O2727" s="151"/>
      <c r="P2727" s="151"/>
      <c r="Q2727" s="7" t="str">
        <f>IF(ISBLANK(patch[[#This Row],[OwnerEmail]]),Q2726,patch[[#This Row],[OwnerEmail]])</f>
        <v>xi.cao@intel.com</v>
      </c>
      <c r="R2727" s="7" t="str">
        <f>_xlfn.IFNA(VLOOKUP(patch[[#This Row],[tmp-owner.email]],OrgTree!$A:$K, 11, 0), "not ICG SWFW")</f>
        <v>BJ And dev</v>
      </c>
      <c r="S2727" s="7" t="str">
        <f>IF(patch[[#This Row],[reviewer]]=patch[[#This Row],[tmp-owner.email]], "author", _xlfn.IFNA(VLOOKUP(patch[[#This Row],[reviewer]],OrgTree!$A:$K, 11, 0), "not ICG SWFW"))</f>
        <v>BJ And dev</v>
      </c>
      <c r="T2727" s="7" t="str">
        <f>IF(ISBLANK(patch[[#This Row],[mergeDate]]), "", MID(YEAR(patch[[#This Row],[mergeDate]]), 3,2)&amp;"'ww"&amp;WEEKNUM(patch[[#This Row],[mergeDate]]))</f>
        <v>16'ww36</v>
      </c>
      <c r="U2727" s="7" t="str">
        <f>IF(ISBLANK(patch[[#This Row],[mergeDate]]), U2726, MID(YEAR(patch[[#This Row],[mergeDate]]), 3,2)&amp;"'m"&amp;MONTH(patch[[#This Row],[mergeDate]]))</f>
        <v>16'm9</v>
      </c>
      <c r="V2727" s="7" t="str">
        <f>IF(ISBLANK(patch[[#This Row],[project]]), "",SUM(patch[[#This Row],[BJ -1 num]:[SH -1 num]]))</f>
        <v/>
      </c>
      <c r="W2727" s="7" t="str">
        <f>IF(ISBLANK(patch[[#This Row],[project]]), "",COUNTIFS($A:$A,patch[[#This Row],[number]],$S:$S, "BJ And dev",$AC:$AC, "Review-1"))</f>
        <v/>
      </c>
      <c r="X2727" s="7" t="str">
        <f>IF(ISBLANK(patch[[#This Row],[project]]), "",COUNTIFS($A:$A,patch[[#This Row],[number]],$S:$S, "FL And dev",$AC:$AC, "Review-1"))</f>
        <v/>
      </c>
      <c r="Y2727" s="7" t="str">
        <f>IF(ISBLANK(patch[[#This Row],[project]]), "",COUNTIFS($A:$A,patch[[#This Row],[number]],$S:$S, "SH And dev",$AC:$AC, "Review-1"))</f>
        <v/>
      </c>
      <c r="Z2727" s="7" t="str">
        <f>IF(ISBLANK(patch[[#This Row],[project]]), "",COUNTIFS($A:$A,patch[[#This Row],[number]],$S:$S, "BJ And dev",$AD:$AD, "&lt;&gt;IntegratorValidationComment"))</f>
        <v/>
      </c>
      <c r="AA2727" s="7" t="str">
        <f>IF(ISBLANK(patch[[#This Row],[project]]), "",COUNTIFS($A:$A,patch[[#This Row],[number]],$S:$S, "FL And dev",$AD:$AD, "&lt;&gt;IntegratorValidationComment"))</f>
        <v/>
      </c>
      <c r="AB2727" s="7" t="str">
        <f>IF(ISBLANK(patch[[#This Row],[project]]), "",COUNTIFS($A:$A,patch[[#This Row],[number]],$S:$S, "SH And dev",$AD:$AD, "&lt;&gt;IntegratorValidationComment"))</f>
        <v/>
      </c>
      <c r="AC2727" s="7" t="str">
        <f>IF(OR(ISNUMBER(FIND("Review-1", patch[[#This Row],[comments]])), ISNUMBER(FIND("Approver-1", patch[[#This Row],[comments]]))), "Review-1", "")</f>
        <v/>
      </c>
      <c r="AD27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27" s="7">
        <f>IF(ISBLANK(patch[[#This Row],[number]]),AE2726,patch[[#This Row],[ifCommon]])</f>
        <v>0</v>
      </c>
    </row>
    <row r="2728" spans="1:31">
      <c r="A2728" s="151">
        <v>142270</v>
      </c>
      <c r="B2728" s="151"/>
      <c r="C2728" s="151"/>
      <c r="D2728" s="151"/>
      <c r="E2728" s="151"/>
      <c r="F2728" s="151"/>
      <c r="G2728" s="151"/>
      <c r="H2728" s="151"/>
      <c r="I2728" s="151"/>
      <c r="J2728" s="152">
        <v>42614.749895833331</v>
      </c>
      <c r="K2728" s="151"/>
      <c r="L2728" s="151" t="s">
        <v>59</v>
      </c>
      <c r="M2728" s="152">
        <v>42613.590925925928</v>
      </c>
      <c r="N2728" s="151" t="s">
        <v>3960</v>
      </c>
      <c r="O2728" s="151"/>
      <c r="P2728" s="151"/>
      <c r="Q2728" s="7" t="str">
        <f>IF(ISBLANK(patch[[#This Row],[OwnerEmail]]),Q2727,patch[[#This Row],[OwnerEmail]])</f>
        <v>xi.cao@intel.com</v>
      </c>
      <c r="R2728" s="7" t="str">
        <f>_xlfn.IFNA(VLOOKUP(patch[[#This Row],[tmp-owner.email]],OrgTree!$A:$K, 11, 0), "not ICG SWFW")</f>
        <v>BJ And dev</v>
      </c>
      <c r="S2728" s="7" t="str">
        <f>IF(patch[[#This Row],[reviewer]]=patch[[#This Row],[tmp-owner.email]], "author", _xlfn.IFNA(VLOOKUP(patch[[#This Row],[reviewer]],OrgTree!$A:$K, 11, 0), "not ICG SWFW"))</f>
        <v>BJ And dev</v>
      </c>
      <c r="T2728" s="7" t="str">
        <f>IF(ISBLANK(patch[[#This Row],[mergeDate]]), "", MID(YEAR(patch[[#This Row],[mergeDate]]), 3,2)&amp;"'ww"&amp;WEEKNUM(patch[[#This Row],[mergeDate]]))</f>
        <v>16'ww36</v>
      </c>
      <c r="U2728" s="7" t="str">
        <f>IF(ISBLANK(patch[[#This Row],[mergeDate]]), U2727, MID(YEAR(patch[[#This Row],[mergeDate]]), 3,2)&amp;"'m"&amp;MONTH(patch[[#This Row],[mergeDate]]))</f>
        <v>16'm9</v>
      </c>
      <c r="V2728" s="7" t="str">
        <f>IF(ISBLANK(patch[[#This Row],[project]]), "",SUM(patch[[#This Row],[BJ -1 num]:[SH -1 num]]))</f>
        <v/>
      </c>
      <c r="W2728" s="7" t="str">
        <f>IF(ISBLANK(patch[[#This Row],[project]]), "",COUNTIFS($A:$A,patch[[#This Row],[number]],$S:$S, "BJ And dev",$AC:$AC, "Review-1"))</f>
        <v/>
      </c>
      <c r="X2728" s="7" t="str">
        <f>IF(ISBLANK(patch[[#This Row],[project]]), "",COUNTIFS($A:$A,patch[[#This Row],[number]],$S:$S, "FL And dev",$AC:$AC, "Review-1"))</f>
        <v/>
      </c>
      <c r="Y2728" s="7" t="str">
        <f>IF(ISBLANK(patch[[#This Row],[project]]), "",COUNTIFS($A:$A,patch[[#This Row],[number]],$S:$S, "SH And dev",$AC:$AC, "Review-1"))</f>
        <v/>
      </c>
      <c r="Z2728" s="7" t="str">
        <f>IF(ISBLANK(patch[[#This Row],[project]]), "",COUNTIFS($A:$A,patch[[#This Row],[number]],$S:$S, "BJ And dev",$AD:$AD, "&lt;&gt;IntegratorValidationComment"))</f>
        <v/>
      </c>
      <c r="AA2728" s="7" t="str">
        <f>IF(ISBLANK(patch[[#This Row],[project]]), "",COUNTIFS($A:$A,patch[[#This Row],[number]],$S:$S, "FL And dev",$AD:$AD, "&lt;&gt;IntegratorValidationComment"))</f>
        <v/>
      </c>
      <c r="AB2728" s="7" t="str">
        <f>IF(ISBLANK(patch[[#This Row],[project]]), "",COUNTIFS($A:$A,patch[[#This Row],[number]],$S:$S, "SH And dev",$AD:$AD, "&lt;&gt;IntegratorValidationComment"))</f>
        <v/>
      </c>
      <c r="AC2728" s="7" t="str">
        <f>IF(OR(ISNUMBER(FIND("Review-1", patch[[#This Row],[comments]])), ISNUMBER(FIND("Approver-1", patch[[#This Row],[comments]]))), "Review-1", "")</f>
        <v/>
      </c>
      <c r="AD27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28" s="7">
        <f>IF(ISBLANK(patch[[#This Row],[number]]),AE2727,patch[[#This Row],[ifCommon]])</f>
        <v>0</v>
      </c>
    </row>
    <row r="2729" spans="1:31">
      <c r="A2729" s="151">
        <v>142270</v>
      </c>
      <c r="B2729" s="151"/>
      <c r="C2729" s="151"/>
      <c r="D2729" s="151"/>
      <c r="E2729" s="151"/>
      <c r="F2729" s="151"/>
      <c r="G2729" s="151"/>
      <c r="H2729" s="151"/>
      <c r="I2729" s="151"/>
      <c r="J2729" s="152">
        <v>42614.749895833331</v>
      </c>
      <c r="K2729" s="151"/>
      <c r="L2729" s="151" t="s">
        <v>59</v>
      </c>
      <c r="M2729" s="152">
        <v>42613.59851851852</v>
      </c>
      <c r="N2729" s="151" t="s">
        <v>3961</v>
      </c>
      <c r="O2729" s="151"/>
      <c r="P2729" s="151"/>
      <c r="Q2729" s="7" t="str">
        <f>IF(ISBLANK(patch[[#This Row],[OwnerEmail]]),Q2728,patch[[#This Row],[OwnerEmail]])</f>
        <v>xi.cao@intel.com</v>
      </c>
      <c r="R2729" s="7" t="str">
        <f>_xlfn.IFNA(VLOOKUP(patch[[#This Row],[tmp-owner.email]],OrgTree!$A:$K, 11, 0), "not ICG SWFW")</f>
        <v>BJ And dev</v>
      </c>
      <c r="S2729" s="7" t="str">
        <f>IF(patch[[#This Row],[reviewer]]=patch[[#This Row],[tmp-owner.email]], "author", _xlfn.IFNA(VLOOKUP(patch[[#This Row],[reviewer]],OrgTree!$A:$K, 11, 0), "not ICG SWFW"))</f>
        <v>BJ And dev</v>
      </c>
      <c r="T2729" s="7" t="str">
        <f>IF(ISBLANK(patch[[#This Row],[mergeDate]]), "", MID(YEAR(patch[[#This Row],[mergeDate]]), 3,2)&amp;"'ww"&amp;WEEKNUM(patch[[#This Row],[mergeDate]]))</f>
        <v>16'ww36</v>
      </c>
      <c r="U2729" s="7" t="str">
        <f>IF(ISBLANK(patch[[#This Row],[mergeDate]]), U2728, MID(YEAR(patch[[#This Row],[mergeDate]]), 3,2)&amp;"'m"&amp;MONTH(patch[[#This Row],[mergeDate]]))</f>
        <v>16'm9</v>
      </c>
      <c r="V2729" s="7" t="str">
        <f>IF(ISBLANK(patch[[#This Row],[project]]), "",SUM(patch[[#This Row],[BJ -1 num]:[SH -1 num]]))</f>
        <v/>
      </c>
      <c r="W2729" s="7" t="str">
        <f>IF(ISBLANK(patch[[#This Row],[project]]), "",COUNTIFS($A:$A,patch[[#This Row],[number]],$S:$S, "BJ And dev",$AC:$AC, "Review-1"))</f>
        <v/>
      </c>
      <c r="X2729" s="7" t="str">
        <f>IF(ISBLANK(patch[[#This Row],[project]]), "",COUNTIFS($A:$A,patch[[#This Row],[number]],$S:$S, "FL And dev",$AC:$AC, "Review-1"))</f>
        <v/>
      </c>
      <c r="Y2729" s="7" t="str">
        <f>IF(ISBLANK(patch[[#This Row],[project]]), "",COUNTIFS($A:$A,patch[[#This Row],[number]],$S:$S, "SH And dev",$AC:$AC, "Review-1"))</f>
        <v/>
      </c>
      <c r="Z2729" s="7" t="str">
        <f>IF(ISBLANK(patch[[#This Row],[project]]), "",COUNTIFS($A:$A,patch[[#This Row],[number]],$S:$S, "BJ And dev",$AD:$AD, "&lt;&gt;IntegratorValidationComment"))</f>
        <v/>
      </c>
      <c r="AA2729" s="7" t="str">
        <f>IF(ISBLANK(patch[[#This Row],[project]]), "",COUNTIFS($A:$A,patch[[#This Row],[number]],$S:$S, "FL And dev",$AD:$AD, "&lt;&gt;IntegratorValidationComment"))</f>
        <v/>
      </c>
      <c r="AB2729" s="7" t="str">
        <f>IF(ISBLANK(patch[[#This Row],[project]]), "",COUNTIFS($A:$A,patch[[#This Row],[number]],$S:$S, "SH And dev",$AD:$AD, "&lt;&gt;IntegratorValidationComment"))</f>
        <v/>
      </c>
      <c r="AC2729" s="7" t="str">
        <f>IF(OR(ISNUMBER(FIND("Review-1", patch[[#This Row],[comments]])), ISNUMBER(FIND("Approver-1", patch[[#This Row],[comments]]))), "Review-1", "")</f>
        <v/>
      </c>
      <c r="AD27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29" s="7">
        <f>IF(ISBLANK(patch[[#This Row],[number]]),AE2728,patch[[#This Row],[ifCommon]])</f>
        <v>0</v>
      </c>
    </row>
    <row r="2730" spans="1:31">
      <c r="A2730" s="151">
        <v>142270</v>
      </c>
      <c r="B2730" s="151"/>
      <c r="C2730" s="151"/>
      <c r="D2730" s="151"/>
      <c r="E2730" s="151"/>
      <c r="F2730" s="151"/>
      <c r="G2730" s="151"/>
      <c r="H2730" s="151"/>
      <c r="I2730" s="151"/>
      <c r="J2730" s="152">
        <v>42614.749895833331</v>
      </c>
      <c r="K2730" s="151"/>
      <c r="L2730" s="151" t="s">
        <v>115</v>
      </c>
      <c r="M2730" s="152">
        <v>42614.419456018521</v>
      </c>
      <c r="N2730" s="151" t="s">
        <v>2497</v>
      </c>
      <c r="O2730" s="151"/>
      <c r="P2730" s="151"/>
      <c r="Q2730" s="7" t="str">
        <f>IF(ISBLANK(patch[[#This Row],[OwnerEmail]]),Q2729,patch[[#This Row],[OwnerEmail]])</f>
        <v>xi.cao@intel.com</v>
      </c>
      <c r="R2730" s="7" t="str">
        <f>_xlfn.IFNA(VLOOKUP(patch[[#This Row],[tmp-owner.email]],OrgTree!$A:$K, 11, 0), "not ICG SWFW")</f>
        <v>BJ And dev</v>
      </c>
      <c r="S2730" s="7" t="str">
        <f>IF(patch[[#This Row],[reviewer]]=patch[[#This Row],[tmp-owner.email]], "author", _xlfn.IFNA(VLOOKUP(patch[[#This Row],[reviewer]],OrgTree!$A:$K, 11, 0), "not ICG SWFW"))</f>
        <v>Val</v>
      </c>
      <c r="T2730" s="7" t="str">
        <f>IF(ISBLANK(patch[[#This Row],[mergeDate]]), "", MID(YEAR(patch[[#This Row],[mergeDate]]), 3,2)&amp;"'ww"&amp;WEEKNUM(patch[[#This Row],[mergeDate]]))</f>
        <v>16'ww36</v>
      </c>
      <c r="U2730" s="7" t="str">
        <f>IF(ISBLANK(patch[[#This Row],[mergeDate]]), U2729, MID(YEAR(patch[[#This Row],[mergeDate]]), 3,2)&amp;"'m"&amp;MONTH(patch[[#This Row],[mergeDate]]))</f>
        <v>16'm9</v>
      </c>
      <c r="V2730" s="7" t="str">
        <f>IF(ISBLANK(patch[[#This Row],[project]]), "",SUM(patch[[#This Row],[BJ -1 num]:[SH -1 num]]))</f>
        <v/>
      </c>
      <c r="W2730" s="7" t="str">
        <f>IF(ISBLANK(patch[[#This Row],[project]]), "",COUNTIFS($A:$A,patch[[#This Row],[number]],$S:$S, "BJ And dev",$AC:$AC, "Review-1"))</f>
        <v/>
      </c>
      <c r="X2730" s="7" t="str">
        <f>IF(ISBLANK(patch[[#This Row],[project]]), "",COUNTIFS($A:$A,patch[[#This Row],[number]],$S:$S, "FL And dev",$AC:$AC, "Review-1"))</f>
        <v/>
      </c>
      <c r="Y2730" s="7" t="str">
        <f>IF(ISBLANK(patch[[#This Row],[project]]), "",COUNTIFS($A:$A,patch[[#This Row],[number]],$S:$S, "SH And dev",$AC:$AC, "Review-1"))</f>
        <v/>
      </c>
      <c r="Z2730" s="7" t="str">
        <f>IF(ISBLANK(patch[[#This Row],[project]]), "",COUNTIFS($A:$A,patch[[#This Row],[number]],$S:$S, "BJ And dev",$AD:$AD, "&lt;&gt;IntegratorValidationComment"))</f>
        <v/>
      </c>
      <c r="AA2730" s="7" t="str">
        <f>IF(ISBLANK(patch[[#This Row],[project]]), "",COUNTIFS($A:$A,patch[[#This Row],[number]],$S:$S, "FL And dev",$AD:$AD, "&lt;&gt;IntegratorValidationComment"))</f>
        <v/>
      </c>
      <c r="AB2730" s="7" t="str">
        <f>IF(ISBLANK(patch[[#This Row],[project]]), "",COUNTIFS($A:$A,patch[[#This Row],[number]],$S:$S, "SH And dev",$AD:$AD, "&lt;&gt;IntegratorValidationComment"))</f>
        <v/>
      </c>
      <c r="AC2730" s="7" t="str">
        <f>IF(OR(ISNUMBER(FIND("Review-1", patch[[#This Row],[comments]])), ISNUMBER(FIND("Approver-1", patch[[#This Row],[comments]]))), "Review-1", "")</f>
        <v/>
      </c>
      <c r="AD27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730" s="7">
        <f>IF(ISBLANK(patch[[#This Row],[number]]),AE2729,patch[[#This Row],[ifCommon]])</f>
        <v>0</v>
      </c>
    </row>
    <row r="2731" spans="1:31">
      <c r="A2731" s="151">
        <v>139997</v>
      </c>
      <c r="B2731" s="151" t="s">
        <v>2490</v>
      </c>
      <c r="C2731" s="151" t="s">
        <v>2491</v>
      </c>
      <c r="D2731" s="151" t="s">
        <v>3962</v>
      </c>
      <c r="E2731" s="151" t="s">
        <v>35</v>
      </c>
      <c r="F2731" s="151" t="s">
        <v>23</v>
      </c>
      <c r="G2731" s="151" t="s">
        <v>3963</v>
      </c>
      <c r="H2731" s="151" t="s">
        <v>3964</v>
      </c>
      <c r="I2731" s="152">
        <v>42599.786192129628</v>
      </c>
      <c r="J2731" s="152">
        <v>42614.749780092592</v>
      </c>
      <c r="K2731" s="151" t="s">
        <v>2445</v>
      </c>
      <c r="L2731" s="151" t="s">
        <v>35</v>
      </c>
      <c r="M2731" s="152">
        <v>42599.786192129628</v>
      </c>
      <c r="N2731" s="151" t="s">
        <v>2428</v>
      </c>
      <c r="O2731" s="151"/>
      <c r="P2731" s="151" t="s">
        <v>2542</v>
      </c>
      <c r="Q2731" s="7" t="str">
        <f>IF(ISBLANK(patch[[#This Row],[OwnerEmail]]),Q2730,patch[[#This Row],[OwnerEmail]])</f>
        <v>haipingx.yang@intel.com</v>
      </c>
      <c r="R2731" s="7" t="str">
        <f>_xlfn.IFNA(VLOOKUP(patch[[#This Row],[tmp-owner.email]],OrgTree!$A:$K, 11, 0), "not ICG SWFW")</f>
        <v>BJ And dev</v>
      </c>
      <c r="S2731" s="7" t="str">
        <f>IF(patch[[#This Row],[reviewer]]=patch[[#This Row],[tmp-owner.email]], "author", _xlfn.IFNA(VLOOKUP(patch[[#This Row],[reviewer]],OrgTree!$A:$K, 11, 0), "not ICG SWFW"))</f>
        <v>author</v>
      </c>
      <c r="T2731" s="7" t="str">
        <f>IF(ISBLANK(patch[[#This Row],[mergeDate]]), "", MID(YEAR(patch[[#This Row],[mergeDate]]), 3,2)&amp;"'ww"&amp;WEEKNUM(patch[[#This Row],[mergeDate]]))</f>
        <v>16'ww36</v>
      </c>
      <c r="U2731" s="7" t="str">
        <f>IF(ISBLANK(patch[[#This Row],[mergeDate]]), U2730, MID(YEAR(patch[[#This Row],[mergeDate]]), 3,2)&amp;"'m"&amp;MONTH(patch[[#This Row],[mergeDate]]))</f>
        <v>16'm9</v>
      </c>
      <c r="V2731" s="7">
        <f>IF(ISBLANK(patch[[#This Row],[project]]), "",SUM(patch[[#This Row],[BJ -1 num]:[SH -1 num]]))</f>
        <v>0</v>
      </c>
      <c r="W2731" s="7">
        <f>IF(ISBLANK(patch[[#This Row],[project]]), "",COUNTIFS($A:$A,patch[[#This Row],[number]],$S:$S, "BJ And dev",$AC:$AC, "Review-1"))</f>
        <v>0</v>
      </c>
      <c r="X2731" s="7">
        <f>IF(ISBLANK(patch[[#This Row],[project]]), "",COUNTIFS($A:$A,patch[[#This Row],[number]],$S:$S, "FL And dev",$AC:$AC, "Review-1"))</f>
        <v>0</v>
      </c>
      <c r="Y2731" s="7">
        <f>IF(ISBLANK(patch[[#This Row],[project]]), "",COUNTIFS($A:$A,patch[[#This Row],[number]],$S:$S, "SH And dev",$AC:$AC, "Review-1"))</f>
        <v>0</v>
      </c>
      <c r="Z2731" s="7">
        <f>IF(ISBLANK(patch[[#This Row],[project]]), "",COUNTIFS($A:$A,patch[[#This Row],[number]],$S:$S, "BJ And dev",$AD:$AD, "&lt;&gt;IntegratorValidationComment"))</f>
        <v>16</v>
      </c>
      <c r="AA2731" s="7">
        <f>IF(ISBLANK(patch[[#This Row],[project]]), "",COUNTIFS($A:$A,patch[[#This Row],[number]],$S:$S, "FL And dev",$AD:$AD, "&lt;&gt;IntegratorValidationComment"))</f>
        <v>0</v>
      </c>
      <c r="AB2731" s="7">
        <f>IF(ISBLANK(patch[[#This Row],[project]]), "",COUNTIFS($A:$A,patch[[#This Row],[number]],$S:$S, "SH And dev",$AD:$AD, "&lt;&gt;IntegratorValidationComment"))</f>
        <v>0</v>
      </c>
      <c r="AC2731" s="7" t="str">
        <f>IF(OR(ISNUMBER(FIND("Review-1", patch[[#This Row],[comments]])), ISNUMBER(FIND("Approver-1", patch[[#This Row],[comments]]))), "Review-1", "")</f>
        <v/>
      </c>
      <c r="AD27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31" s="7" t="str">
        <f>IF(ISBLANK(patch[[#This Row],[number]]),AE2730,patch[[#This Row],[ifCommon]])</f>
        <v>not AndrHAL</v>
      </c>
    </row>
    <row r="2732" spans="1:31">
      <c r="A2732" s="151">
        <v>139997</v>
      </c>
      <c r="B2732" s="151"/>
      <c r="C2732" s="151"/>
      <c r="D2732" s="151"/>
      <c r="E2732" s="151"/>
      <c r="F2732" s="151"/>
      <c r="G2732" s="151"/>
      <c r="H2732" s="151"/>
      <c r="I2732" s="151"/>
      <c r="J2732" s="152">
        <v>42614.749780092592</v>
      </c>
      <c r="K2732" s="151"/>
      <c r="L2732" s="151" t="s">
        <v>35</v>
      </c>
      <c r="M2732" s="152">
        <v>42599.786192129628</v>
      </c>
      <c r="N2732" s="151" t="s">
        <v>25</v>
      </c>
      <c r="O2732" s="151"/>
      <c r="P2732" s="151"/>
      <c r="Q2732" s="7" t="str">
        <f>IF(ISBLANK(patch[[#This Row],[OwnerEmail]]),Q2731,patch[[#This Row],[OwnerEmail]])</f>
        <v>haipingx.yang@intel.com</v>
      </c>
      <c r="R2732" s="7" t="str">
        <f>_xlfn.IFNA(VLOOKUP(patch[[#This Row],[tmp-owner.email]],OrgTree!$A:$K, 11, 0), "not ICG SWFW")</f>
        <v>BJ And dev</v>
      </c>
      <c r="S2732" s="7" t="str">
        <f>IF(patch[[#This Row],[reviewer]]=patch[[#This Row],[tmp-owner.email]], "author", _xlfn.IFNA(VLOOKUP(patch[[#This Row],[reviewer]],OrgTree!$A:$K, 11, 0), "not ICG SWFW"))</f>
        <v>author</v>
      </c>
      <c r="T2732" s="7" t="str">
        <f>IF(ISBLANK(patch[[#This Row],[mergeDate]]), "", MID(YEAR(patch[[#This Row],[mergeDate]]), 3,2)&amp;"'ww"&amp;WEEKNUM(patch[[#This Row],[mergeDate]]))</f>
        <v>16'ww36</v>
      </c>
      <c r="U2732" s="7" t="str">
        <f>IF(ISBLANK(patch[[#This Row],[mergeDate]]), U2731, MID(YEAR(patch[[#This Row],[mergeDate]]), 3,2)&amp;"'m"&amp;MONTH(patch[[#This Row],[mergeDate]]))</f>
        <v>16'm9</v>
      </c>
      <c r="V2732" s="7" t="str">
        <f>IF(ISBLANK(patch[[#This Row],[project]]), "",SUM(patch[[#This Row],[BJ -1 num]:[SH -1 num]]))</f>
        <v/>
      </c>
      <c r="W2732" s="7" t="str">
        <f>IF(ISBLANK(patch[[#This Row],[project]]), "",COUNTIFS($A:$A,patch[[#This Row],[number]],$S:$S, "BJ And dev",$AC:$AC, "Review-1"))</f>
        <v/>
      </c>
      <c r="X2732" s="7" t="str">
        <f>IF(ISBLANK(patch[[#This Row],[project]]), "",COUNTIFS($A:$A,patch[[#This Row],[number]],$S:$S, "FL And dev",$AC:$AC, "Review-1"))</f>
        <v/>
      </c>
      <c r="Y2732" s="7" t="str">
        <f>IF(ISBLANK(patch[[#This Row],[project]]), "",COUNTIFS($A:$A,patch[[#This Row],[number]],$S:$S, "SH And dev",$AC:$AC, "Review-1"))</f>
        <v/>
      </c>
      <c r="Z2732" s="7" t="str">
        <f>IF(ISBLANK(patch[[#This Row],[project]]), "",COUNTIFS($A:$A,patch[[#This Row],[number]],$S:$S, "BJ And dev",$AD:$AD, "&lt;&gt;IntegratorValidationComment"))</f>
        <v/>
      </c>
      <c r="AA2732" s="7" t="str">
        <f>IF(ISBLANK(patch[[#This Row],[project]]), "",COUNTIFS($A:$A,patch[[#This Row],[number]],$S:$S, "FL And dev",$AD:$AD, "&lt;&gt;IntegratorValidationComment"))</f>
        <v/>
      </c>
      <c r="AB2732" s="7" t="str">
        <f>IF(ISBLANK(patch[[#This Row],[project]]), "",COUNTIFS($A:$A,patch[[#This Row],[number]],$S:$S, "SH And dev",$AD:$AD, "&lt;&gt;IntegratorValidationComment"))</f>
        <v/>
      </c>
      <c r="AC2732" s="7" t="str">
        <f>IF(OR(ISNUMBER(FIND("Review-1", patch[[#This Row],[comments]])), ISNUMBER(FIND("Approver-1", patch[[#This Row],[comments]]))), "Review-1", "")</f>
        <v/>
      </c>
      <c r="AD27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32" s="7">
        <f>IF(ISBLANK(patch[[#This Row],[number]]),AE2731,patch[[#This Row],[ifCommon]])</f>
        <v>0</v>
      </c>
    </row>
    <row r="2733" spans="1:31">
      <c r="A2733" s="151">
        <v>139997</v>
      </c>
      <c r="B2733" s="151"/>
      <c r="C2733" s="151"/>
      <c r="D2733" s="151"/>
      <c r="E2733" s="151"/>
      <c r="F2733" s="151"/>
      <c r="G2733" s="151"/>
      <c r="H2733" s="151"/>
      <c r="I2733" s="151"/>
      <c r="J2733" s="152">
        <v>42614.749780092592</v>
      </c>
      <c r="K2733" s="151"/>
      <c r="L2733" s="151" t="s">
        <v>35</v>
      </c>
      <c r="M2733" s="152">
        <v>42599.787557870368</v>
      </c>
      <c r="N2733" s="151" t="s">
        <v>40</v>
      </c>
      <c r="O2733" s="151"/>
      <c r="P2733" s="151"/>
      <c r="Q2733" s="7" t="str">
        <f>IF(ISBLANK(patch[[#This Row],[OwnerEmail]]),Q2732,patch[[#This Row],[OwnerEmail]])</f>
        <v>haipingx.yang@intel.com</v>
      </c>
      <c r="R2733" s="7" t="str">
        <f>_xlfn.IFNA(VLOOKUP(patch[[#This Row],[tmp-owner.email]],OrgTree!$A:$K, 11, 0), "not ICG SWFW")</f>
        <v>BJ And dev</v>
      </c>
      <c r="S2733" s="7" t="str">
        <f>IF(patch[[#This Row],[reviewer]]=patch[[#This Row],[tmp-owner.email]], "author", _xlfn.IFNA(VLOOKUP(patch[[#This Row],[reviewer]],OrgTree!$A:$K, 11, 0), "not ICG SWFW"))</f>
        <v>author</v>
      </c>
      <c r="T2733" s="7" t="str">
        <f>IF(ISBLANK(patch[[#This Row],[mergeDate]]), "", MID(YEAR(patch[[#This Row],[mergeDate]]), 3,2)&amp;"'ww"&amp;WEEKNUM(patch[[#This Row],[mergeDate]]))</f>
        <v>16'ww36</v>
      </c>
      <c r="U2733" s="7" t="str">
        <f>IF(ISBLANK(patch[[#This Row],[mergeDate]]), U2732, MID(YEAR(patch[[#This Row],[mergeDate]]), 3,2)&amp;"'m"&amp;MONTH(patch[[#This Row],[mergeDate]]))</f>
        <v>16'm9</v>
      </c>
      <c r="V2733" s="7" t="str">
        <f>IF(ISBLANK(patch[[#This Row],[project]]), "",SUM(patch[[#This Row],[BJ -1 num]:[SH -1 num]]))</f>
        <v/>
      </c>
      <c r="W2733" s="7" t="str">
        <f>IF(ISBLANK(patch[[#This Row],[project]]), "",COUNTIFS($A:$A,patch[[#This Row],[number]],$S:$S, "BJ And dev",$AC:$AC, "Review-1"))</f>
        <v/>
      </c>
      <c r="X2733" s="7" t="str">
        <f>IF(ISBLANK(patch[[#This Row],[project]]), "",COUNTIFS($A:$A,patch[[#This Row],[number]],$S:$S, "FL And dev",$AC:$AC, "Review-1"))</f>
        <v/>
      </c>
      <c r="Y2733" s="7" t="str">
        <f>IF(ISBLANK(patch[[#This Row],[project]]), "",COUNTIFS($A:$A,patch[[#This Row],[number]],$S:$S, "SH And dev",$AC:$AC, "Review-1"))</f>
        <v/>
      </c>
      <c r="Z2733" s="7" t="str">
        <f>IF(ISBLANK(patch[[#This Row],[project]]), "",COUNTIFS($A:$A,patch[[#This Row],[number]],$S:$S, "BJ And dev",$AD:$AD, "&lt;&gt;IntegratorValidationComment"))</f>
        <v/>
      </c>
      <c r="AA2733" s="7" t="str">
        <f>IF(ISBLANK(patch[[#This Row],[project]]), "",COUNTIFS($A:$A,patch[[#This Row],[number]],$S:$S, "FL And dev",$AD:$AD, "&lt;&gt;IntegratorValidationComment"))</f>
        <v/>
      </c>
      <c r="AB2733" s="7" t="str">
        <f>IF(ISBLANK(patch[[#This Row],[project]]), "",COUNTIFS($A:$A,patch[[#This Row],[number]],$S:$S, "SH And dev",$AD:$AD, "&lt;&gt;IntegratorValidationComment"))</f>
        <v/>
      </c>
      <c r="AC2733" s="7" t="str">
        <f>IF(OR(ISNUMBER(FIND("Review-1", patch[[#This Row],[comments]])), ISNUMBER(FIND("Approver-1", patch[[#This Row],[comments]]))), "Review-1", "")</f>
        <v/>
      </c>
      <c r="AD27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33" s="7">
        <f>IF(ISBLANK(patch[[#This Row],[number]]),AE2732,patch[[#This Row],[ifCommon]])</f>
        <v>0</v>
      </c>
    </row>
    <row r="2734" spans="1:31">
      <c r="A2734" s="151">
        <v>139997</v>
      </c>
      <c r="B2734" s="151"/>
      <c r="C2734" s="151"/>
      <c r="D2734" s="151"/>
      <c r="E2734" s="151"/>
      <c r="F2734" s="151"/>
      <c r="G2734" s="151"/>
      <c r="H2734" s="151"/>
      <c r="I2734" s="151"/>
      <c r="J2734" s="152">
        <v>42614.749780092592</v>
      </c>
      <c r="K2734" s="151"/>
      <c r="L2734" s="151" t="s">
        <v>59</v>
      </c>
      <c r="M2734" s="152">
        <v>42599.792997685188</v>
      </c>
      <c r="N2734" s="151" t="s">
        <v>3965</v>
      </c>
      <c r="O2734" s="151"/>
      <c r="P2734" s="151"/>
      <c r="Q2734" s="7" t="str">
        <f>IF(ISBLANK(patch[[#This Row],[OwnerEmail]]),Q2733,patch[[#This Row],[OwnerEmail]])</f>
        <v>haipingx.yang@intel.com</v>
      </c>
      <c r="R2734" s="7" t="str">
        <f>_xlfn.IFNA(VLOOKUP(patch[[#This Row],[tmp-owner.email]],OrgTree!$A:$K, 11, 0), "not ICG SWFW")</f>
        <v>BJ And dev</v>
      </c>
      <c r="S2734" s="7" t="str">
        <f>IF(patch[[#This Row],[reviewer]]=patch[[#This Row],[tmp-owner.email]], "author", _xlfn.IFNA(VLOOKUP(patch[[#This Row],[reviewer]],OrgTree!$A:$K, 11, 0), "not ICG SWFW"))</f>
        <v>BJ And dev</v>
      </c>
      <c r="T2734" s="7" t="str">
        <f>IF(ISBLANK(patch[[#This Row],[mergeDate]]), "", MID(YEAR(patch[[#This Row],[mergeDate]]), 3,2)&amp;"'ww"&amp;WEEKNUM(patch[[#This Row],[mergeDate]]))</f>
        <v>16'ww36</v>
      </c>
      <c r="U2734" s="7" t="str">
        <f>IF(ISBLANK(patch[[#This Row],[mergeDate]]), U2733, MID(YEAR(patch[[#This Row],[mergeDate]]), 3,2)&amp;"'m"&amp;MONTH(patch[[#This Row],[mergeDate]]))</f>
        <v>16'm9</v>
      </c>
      <c r="V2734" s="7" t="str">
        <f>IF(ISBLANK(patch[[#This Row],[project]]), "",SUM(patch[[#This Row],[BJ -1 num]:[SH -1 num]]))</f>
        <v/>
      </c>
      <c r="W2734" s="7" t="str">
        <f>IF(ISBLANK(patch[[#This Row],[project]]), "",COUNTIFS($A:$A,patch[[#This Row],[number]],$S:$S, "BJ And dev",$AC:$AC, "Review-1"))</f>
        <v/>
      </c>
      <c r="X2734" s="7" t="str">
        <f>IF(ISBLANK(patch[[#This Row],[project]]), "",COUNTIFS($A:$A,patch[[#This Row],[number]],$S:$S, "FL And dev",$AC:$AC, "Review-1"))</f>
        <v/>
      </c>
      <c r="Y2734" s="7" t="str">
        <f>IF(ISBLANK(patch[[#This Row],[project]]), "",COUNTIFS($A:$A,patch[[#This Row],[number]],$S:$S, "SH And dev",$AC:$AC, "Review-1"))</f>
        <v/>
      </c>
      <c r="Z2734" s="7" t="str">
        <f>IF(ISBLANK(patch[[#This Row],[project]]), "",COUNTIFS($A:$A,patch[[#This Row],[number]],$S:$S, "BJ And dev",$AD:$AD, "&lt;&gt;IntegratorValidationComment"))</f>
        <v/>
      </c>
      <c r="AA2734" s="7" t="str">
        <f>IF(ISBLANK(patch[[#This Row],[project]]), "",COUNTIFS($A:$A,patch[[#This Row],[number]],$S:$S, "FL And dev",$AD:$AD, "&lt;&gt;IntegratorValidationComment"))</f>
        <v/>
      </c>
      <c r="AB2734" s="7" t="str">
        <f>IF(ISBLANK(patch[[#This Row],[project]]), "",COUNTIFS($A:$A,patch[[#This Row],[number]],$S:$S, "SH And dev",$AD:$AD, "&lt;&gt;IntegratorValidationComment"))</f>
        <v/>
      </c>
      <c r="AC2734" s="7" t="str">
        <f>IF(OR(ISNUMBER(FIND("Review-1", patch[[#This Row],[comments]])), ISNUMBER(FIND("Approver-1", patch[[#This Row],[comments]]))), "Review-1", "")</f>
        <v/>
      </c>
      <c r="AD27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34" s="7">
        <f>IF(ISBLANK(patch[[#This Row],[number]]),AE2733,patch[[#This Row],[ifCommon]])</f>
        <v>0</v>
      </c>
    </row>
    <row r="2735" spans="1:31">
      <c r="A2735" s="151">
        <v>139997</v>
      </c>
      <c r="B2735" s="151"/>
      <c r="C2735" s="151"/>
      <c r="D2735" s="151"/>
      <c r="E2735" s="151"/>
      <c r="F2735" s="151"/>
      <c r="G2735" s="151"/>
      <c r="H2735" s="151"/>
      <c r="I2735" s="151"/>
      <c r="J2735" s="152">
        <v>42614.749780092592</v>
      </c>
      <c r="K2735" s="151"/>
      <c r="L2735" s="151" t="s">
        <v>59</v>
      </c>
      <c r="M2735" s="152">
        <v>42599.793773148151</v>
      </c>
      <c r="N2735" s="151" t="s">
        <v>3966</v>
      </c>
      <c r="O2735" s="151"/>
      <c r="P2735" s="151"/>
      <c r="Q2735" s="7" t="str">
        <f>IF(ISBLANK(patch[[#This Row],[OwnerEmail]]),Q2734,patch[[#This Row],[OwnerEmail]])</f>
        <v>haipingx.yang@intel.com</v>
      </c>
      <c r="R2735" s="7" t="str">
        <f>_xlfn.IFNA(VLOOKUP(patch[[#This Row],[tmp-owner.email]],OrgTree!$A:$K, 11, 0), "not ICG SWFW")</f>
        <v>BJ And dev</v>
      </c>
      <c r="S2735" s="7" t="str">
        <f>IF(patch[[#This Row],[reviewer]]=patch[[#This Row],[tmp-owner.email]], "author", _xlfn.IFNA(VLOOKUP(patch[[#This Row],[reviewer]],OrgTree!$A:$K, 11, 0), "not ICG SWFW"))</f>
        <v>BJ And dev</v>
      </c>
      <c r="T2735" s="7" t="str">
        <f>IF(ISBLANK(patch[[#This Row],[mergeDate]]), "", MID(YEAR(patch[[#This Row],[mergeDate]]), 3,2)&amp;"'ww"&amp;WEEKNUM(patch[[#This Row],[mergeDate]]))</f>
        <v>16'ww36</v>
      </c>
      <c r="U2735" s="7" t="str">
        <f>IF(ISBLANK(patch[[#This Row],[mergeDate]]), U2734, MID(YEAR(patch[[#This Row],[mergeDate]]), 3,2)&amp;"'m"&amp;MONTH(patch[[#This Row],[mergeDate]]))</f>
        <v>16'm9</v>
      </c>
      <c r="V2735" s="7" t="str">
        <f>IF(ISBLANK(patch[[#This Row],[project]]), "",SUM(patch[[#This Row],[BJ -1 num]:[SH -1 num]]))</f>
        <v/>
      </c>
      <c r="W2735" s="7" t="str">
        <f>IF(ISBLANK(patch[[#This Row],[project]]), "",COUNTIFS($A:$A,patch[[#This Row],[number]],$S:$S, "BJ And dev",$AC:$AC, "Review-1"))</f>
        <v/>
      </c>
      <c r="X2735" s="7" t="str">
        <f>IF(ISBLANK(patch[[#This Row],[project]]), "",COUNTIFS($A:$A,patch[[#This Row],[number]],$S:$S, "FL And dev",$AC:$AC, "Review-1"))</f>
        <v/>
      </c>
      <c r="Y2735" s="7" t="str">
        <f>IF(ISBLANK(patch[[#This Row],[project]]), "",COUNTIFS($A:$A,patch[[#This Row],[number]],$S:$S, "SH And dev",$AC:$AC, "Review-1"))</f>
        <v/>
      </c>
      <c r="Z2735" s="7" t="str">
        <f>IF(ISBLANK(patch[[#This Row],[project]]), "",COUNTIFS($A:$A,patch[[#This Row],[number]],$S:$S, "BJ And dev",$AD:$AD, "&lt;&gt;IntegratorValidationComment"))</f>
        <v/>
      </c>
      <c r="AA2735" s="7" t="str">
        <f>IF(ISBLANK(patch[[#This Row],[project]]), "",COUNTIFS($A:$A,patch[[#This Row],[number]],$S:$S, "FL And dev",$AD:$AD, "&lt;&gt;IntegratorValidationComment"))</f>
        <v/>
      </c>
      <c r="AB2735" s="7" t="str">
        <f>IF(ISBLANK(patch[[#This Row],[project]]), "",COUNTIFS($A:$A,patch[[#This Row],[number]],$S:$S, "SH And dev",$AD:$AD, "&lt;&gt;IntegratorValidationComment"))</f>
        <v/>
      </c>
      <c r="AC2735" s="7" t="str">
        <f>IF(OR(ISNUMBER(FIND("Review-1", patch[[#This Row],[comments]])), ISNUMBER(FIND("Approver-1", patch[[#This Row],[comments]]))), "Review-1", "")</f>
        <v/>
      </c>
      <c r="AD27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35" s="7">
        <f>IF(ISBLANK(patch[[#This Row],[number]]),AE2734,patch[[#This Row],[ifCommon]])</f>
        <v>0</v>
      </c>
    </row>
    <row r="2736" spans="1:31">
      <c r="A2736" s="151">
        <v>139997</v>
      </c>
      <c r="B2736" s="151"/>
      <c r="C2736" s="151"/>
      <c r="D2736" s="151"/>
      <c r="E2736" s="151"/>
      <c r="F2736" s="151"/>
      <c r="G2736" s="151"/>
      <c r="H2736" s="151"/>
      <c r="I2736" s="151"/>
      <c r="J2736" s="152">
        <v>42614.749780092592</v>
      </c>
      <c r="K2736" s="151"/>
      <c r="L2736" s="151" t="s">
        <v>59</v>
      </c>
      <c r="M2736" s="152">
        <v>42599.810624999998</v>
      </c>
      <c r="N2736" s="151" t="s">
        <v>3967</v>
      </c>
      <c r="O2736" s="151"/>
      <c r="P2736" s="151"/>
      <c r="Q2736" s="7" t="str">
        <f>IF(ISBLANK(patch[[#This Row],[OwnerEmail]]),Q2735,patch[[#This Row],[OwnerEmail]])</f>
        <v>haipingx.yang@intel.com</v>
      </c>
      <c r="R2736" s="7" t="str">
        <f>_xlfn.IFNA(VLOOKUP(patch[[#This Row],[tmp-owner.email]],OrgTree!$A:$K, 11, 0), "not ICG SWFW")</f>
        <v>BJ And dev</v>
      </c>
      <c r="S2736" s="7" t="str">
        <f>IF(patch[[#This Row],[reviewer]]=patch[[#This Row],[tmp-owner.email]], "author", _xlfn.IFNA(VLOOKUP(patch[[#This Row],[reviewer]],OrgTree!$A:$K, 11, 0), "not ICG SWFW"))</f>
        <v>BJ And dev</v>
      </c>
      <c r="T2736" s="7" t="str">
        <f>IF(ISBLANK(patch[[#This Row],[mergeDate]]), "", MID(YEAR(patch[[#This Row],[mergeDate]]), 3,2)&amp;"'ww"&amp;WEEKNUM(patch[[#This Row],[mergeDate]]))</f>
        <v>16'ww36</v>
      </c>
      <c r="U2736" s="7" t="str">
        <f>IF(ISBLANK(patch[[#This Row],[mergeDate]]), U2735, MID(YEAR(patch[[#This Row],[mergeDate]]), 3,2)&amp;"'m"&amp;MONTH(patch[[#This Row],[mergeDate]]))</f>
        <v>16'm9</v>
      </c>
      <c r="V2736" s="7" t="str">
        <f>IF(ISBLANK(patch[[#This Row],[project]]), "",SUM(patch[[#This Row],[BJ -1 num]:[SH -1 num]]))</f>
        <v/>
      </c>
      <c r="W2736" s="7" t="str">
        <f>IF(ISBLANK(patch[[#This Row],[project]]), "",COUNTIFS($A:$A,patch[[#This Row],[number]],$S:$S, "BJ And dev",$AC:$AC, "Review-1"))</f>
        <v/>
      </c>
      <c r="X2736" s="7" t="str">
        <f>IF(ISBLANK(patch[[#This Row],[project]]), "",COUNTIFS($A:$A,patch[[#This Row],[number]],$S:$S, "FL And dev",$AC:$AC, "Review-1"))</f>
        <v/>
      </c>
      <c r="Y2736" s="7" t="str">
        <f>IF(ISBLANK(patch[[#This Row],[project]]), "",COUNTIFS($A:$A,patch[[#This Row],[number]],$S:$S, "SH And dev",$AC:$AC, "Review-1"))</f>
        <v/>
      </c>
      <c r="Z2736" s="7" t="str">
        <f>IF(ISBLANK(patch[[#This Row],[project]]), "",COUNTIFS($A:$A,patch[[#This Row],[number]],$S:$S, "BJ And dev",$AD:$AD, "&lt;&gt;IntegratorValidationComment"))</f>
        <v/>
      </c>
      <c r="AA2736" s="7" t="str">
        <f>IF(ISBLANK(patch[[#This Row],[project]]), "",COUNTIFS($A:$A,patch[[#This Row],[number]],$S:$S, "FL And dev",$AD:$AD, "&lt;&gt;IntegratorValidationComment"))</f>
        <v/>
      </c>
      <c r="AB2736" s="7" t="str">
        <f>IF(ISBLANK(patch[[#This Row],[project]]), "",COUNTIFS($A:$A,patch[[#This Row],[number]],$S:$S, "SH And dev",$AD:$AD, "&lt;&gt;IntegratorValidationComment"))</f>
        <v/>
      </c>
      <c r="AC2736" s="7" t="str">
        <f>IF(OR(ISNUMBER(FIND("Review-1", patch[[#This Row],[comments]])), ISNUMBER(FIND("Approver-1", patch[[#This Row],[comments]]))), "Review-1", "")</f>
        <v/>
      </c>
      <c r="AD27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36" s="7">
        <f>IF(ISBLANK(patch[[#This Row],[number]]),AE2735,patch[[#This Row],[ifCommon]])</f>
        <v>0</v>
      </c>
    </row>
    <row r="2737" spans="1:31">
      <c r="A2737" s="151">
        <v>139997</v>
      </c>
      <c r="B2737" s="151"/>
      <c r="C2737" s="151"/>
      <c r="D2737" s="151"/>
      <c r="E2737" s="151"/>
      <c r="F2737" s="151"/>
      <c r="G2737" s="151"/>
      <c r="H2737" s="151"/>
      <c r="I2737" s="151"/>
      <c r="J2737" s="152">
        <v>42614.749780092592</v>
      </c>
      <c r="K2737" s="151"/>
      <c r="L2737" s="151" t="s">
        <v>32</v>
      </c>
      <c r="M2737" s="152">
        <v>42599.858587962961</v>
      </c>
      <c r="N2737" s="151" t="s">
        <v>40</v>
      </c>
      <c r="O2737" s="151"/>
      <c r="P2737" s="151"/>
      <c r="Q2737" s="7" t="str">
        <f>IF(ISBLANK(patch[[#This Row],[OwnerEmail]]),Q2736,patch[[#This Row],[OwnerEmail]])</f>
        <v>haipingx.yang@intel.com</v>
      </c>
      <c r="R2737" s="7" t="str">
        <f>_xlfn.IFNA(VLOOKUP(patch[[#This Row],[tmp-owner.email]],OrgTree!$A:$K, 11, 0), "not ICG SWFW")</f>
        <v>BJ And dev</v>
      </c>
      <c r="S2737" s="7" t="str">
        <f>IF(patch[[#This Row],[reviewer]]=patch[[#This Row],[tmp-owner.email]], "author", _xlfn.IFNA(VLOOKUP(patch[[#This Row],[reviewer]],OrgTree!$A:$K, 11, 0), "not ICG SWFW"))</f>
        <v>BJ And dev</v>
      </c>
      <c r="T2737" s="7" t="str">
        <f>IF(ISBLANK(patch[[#This Row],[mergeDate]]), "", MID(YEAR(patch[[#This Row],[mergeDate]]), 3,2)&amp;"'ww"&amp;WEEKNUM(patch[[#This Row],[mergeDate]]))</f>
        <v>16'ww36</v>
      </c>
      <c r="U2737" s="7" t="str">
        <f>IF(ISBLANK(patch[[#This Row],[mergeDate]]), U2736, MID(YEAR(patch[[#This Row],[mergeDate]]), 3,2)&amp;"'m"&amp;MONTH(patch[[#This Row],[mergeDate]]))</f>
        <v>16'm9</v>
      </c>
      <c r="V2737" s="7" t="str">
        <f>IF(ISBLANK(patch[[#This Row],[project]]), "",SUM(patch[[#This Row],[BJ -1 num]:[SH -1 num]]))</f>
        <v/>
      </c>
      <c r="W2737" s="7" t="str">
        <f>IF(ISBLANK(patch[[#This Row],[project]]), "",COUNTIFS($A:$A,patch[[#This Row],[number]],$S:$S, "BJ And dev",$AC:$AC, "Review-1"))</f>
        <v/>
      </c>
      <c r="X2737" s="7" t="str">
        <f>IF(ISBLANK(patch[[#This Row],[project]]), "",COUNTIFS($A:$A,patch[[#This Row],[number]],$S:$S, "FL And dev",$AC:$AC, "Review-1"))</f>
        <v/>
      </c>
      <c r="Y2737" s="7" t="str">
        <f>IF(ISBLANK(patch[[#This Row],[project]]), "",COUNTIFS($A:$A,patch[[#This Row],[number]],$S:$S, "SH And dev",$AC:$AC, "Review-1"))</f>
        <v/>
      </c>
      <c r="Z2737" s="7" t="str">
        <f>IF(ISBLANK(patch[[#This Row],[project]]), "",COUNTIFS($A:$A,patch[[#This Row],[number]],$S:$S, "BJ And dev",$AD:$AD, "&lt;&gt;IntegratorValidationComment"))</f>
        <v/>
      </c>
      <c r="AA2737" s="7" t="str">
        <f>IF(ISBLANK(patch[[#This Row],[project]]), "",COUNTIFS($A:$A,patch[[#This Row],[number]],$S:$S, "FL And dev",$AD:$AD, "&lt;&gt;IntegratorValidationComment"))</f>
        <v/>
      </c>
      <c r="AB2737" s="7" t="str">
        <f>IF(ISBLANK(patch[[#This Row],[project]]), "",COUNTIFS($A:$A,patch[[#This Row],[number]],$S:$S, "SH And dev",$AD:$AD, "&lt;&gt;IntegratorValidationComment"))</f>
        <v/>
      </c>
      <c r="AC2737" s="7" t="str">
        <f>IF(OR(ISNUMBER(FIND("Review-1", patch[[#This Row],[comments]])), ISNUMBER(FIND("Approver-1", patch[[#This Row],[comments]]))), "Review-1", "")</f>
        <v/>
      </c>
      <c r="AD27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37" s="7">
        <f>IF(ISBLANK(patch[[#This Row],[number]]),AE2736,patch[[#This Row],[ifCommon]])</f>
        <v>0</v>
      </c>
    </row>
    <row r="2738" spans="1:31">
      <c r="A2738" s="151">
        <v>139997</v>
      </c>
      <c r="B2738" s="151"/>
      <c r="C2738" s="151"/>
      <c r="D2738" s="151"/>
      <c r="E2738" s="151"/>
      <c r="F2738" s="151"/>
      <c r="G2738" s="151"/>
      <c r="H2738" s="151"/>
      <c r="I2738" s="151"/>
      <c r="J2738" s="152">
        <v>42614.749780092592</v>
      </c>
      <c r="K2738" s="151"/>
      <c r="L2738" s="151" t="s">
        <v>55</v>
      </c>
      <c r="M2738" s="152">
        <v>42600.361041666663</v>
      </c>
      <c r="N2738" s="151" t="s">
        <v>40</v>
      </c>
      <c r="O2738" s="151"/>
      <c r="P2738" s="151"/>
      <c r="Q2738" s="7" t="str">
        <f>IF(ISBLANK(patch[[#This Row],[OwnerEmail]]),Q2737,patch[[#This Row],[OwnerEmail]])</f>
        <v>haipingx.yang@intel.com</v>
      </c>
      <c r="R2738" s="7" t="str">
        <f>_xlfn.IFNA(VLOOKUP(patch[[#This Row],[tmp-owner.email]],OrgTree!$A:$K, 11, 0), "not ICG SWFW")</f>
        <v>BJ And dev</v>
      </c>
      <c r="S2738" s="7" t="str">
        <f>IF(patch[[#This Row],[reviewer]]=patch[[#This Row],[tmp-owner.email]], "author", _xlfn.IFNA(VLOOKUP(patch[[#This Row],[reviewer]],OrgTree!$A:$K, 11, 0), "not ICG SWFW"))</f>
        <v>BJ And dev</v>
      </c>
      <c r="T2738" s="7" t="str">
        <f>IF(ISBLANK(patch[[#This Row],[mergeDate]]), "", MID(YEAR(patch[[#This Row],[mergeDate]]), 3,2)&amp;"'ww"&amp;WEEKNUM(patch[[#This Row],[mergeDate]]))</f>
        <v>16'ww36</v>
      </c>
      <c r="U2738" s="7" t="str">
        <f>IF(ISBLANK(patch[[#This Row],[mergeDate]]), U2737, MID(YEAR(patch[[#This Row],[mergeDate]]), 3,2)&amp;"'m"&amp;MONTH(patch[[#This Row],[mergeDate]]))</f>
        <v>16'm9</v>
      </c>
      <c r="V2738" s="7" t="str">
        <f>IF(ISBLANK(patch[[#This Row],[project]]), "",SUM(patch[[#This Row],[BJ -1 num]:[SH -1 num]]))</f>
        <v/>
      </c>
      <c r="W2738" s="7" t="str">
        <f>IF(ISBLANK(patch[[#This Row],[project]]), "",COUNTIFS($A:$A,patch[[#This Row],[number]],$S:$S, "BJ And dev",$AC:$AC, "Review-1"))</f>
        <v/>
      </c>
      <c r="X2738" s="7" t="str">
        <f>IF(ISBLANK(patch[[#This Row],[project]]), "",COUNTIFS($A:$A,patch[[#This Row],[number]],$S:$S, "FL And dev",$AC:$AC, "Review-1"))</f>
        <v/>
      </c>
      <c r="Y2738" s="7" t="str">
        <f>IF(ISBLANK(patch[[#This Row],[project]]), "",COUNTIFS($A:$A,patch[[#This Row],[number]],$S:$S, "SH And dev",$AC:$AC, "Review-1"))</f>
        <v/>
      </c>
      <c r="Z2738" s="7" t="str">
        <f>IF(ISBLANK(patch[[#This Row],[project]]), "",COUNTIFS($A:$A,patch[[#This Row],[number]],$S:$S, "BJ And dev",$AD:$AD, "&lt;&gt;IntegratorValidationComment"))</f>
        <v/>
      </c>
      <c r="AA2738" s="7" t="str">
        <f>IF(ISBLANK(patch[[#This Row],[project]]), "",COUNTIFS($A:$A,patch[[#This Row],[number]],$S:$S, "FL And dev",$AD:$AD, "&lt;&gt;IntegratorValidationComment"))</f>
        <v/>
      </c>
      <c r="AB2738" s="7" t="str">
        <f>IF(ISBLANK(patch[[#This Row],[project]]), "",COUNTIFS($A:$A,patch[[#This Row],[number]],$S:$S, "SH And dev",$AD:$AD, "&lt;&gt;IntegratorValidationComment"))</f>
        <v/>
      </c>
      <c r="AC2738" s="7" t="str">
        <f>IF(OR(ISNUMBER(FIND("Review-1", patch[[#This Row],[comments]])), ISNUMBER(FIND("Approver-1", patch[[#This Row],[comments]]))), "Review-1", "")</f>
        <v/>
      </c>
      <c r="AD27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38" s="7">
        <f>IF(ISBLANK(patch[[#This Row],[number]]),AE2737,patch[[#This Row],[ifCommon]])</f>
        <v>0</v>
      </c>
    </row>
    <row r="2739" spans="1:31">
      <c r="A2739" s="151">
        <v>139997</v>
      </c>
      <c r="B2739" s="151"/>
      <c r="C2739" s="151"/>
      <c r="D2739" s="151"/>
      <c r="E2739" s="151"/>
      <c r="F2739" s="151"/>
      <c r="G2739" s="151"/>
      <c r="H2739" s="151"/>
      <c r="I2739" s="151"/>
      <c r="J2739" s="152">
        <v>42614.749780092592</v>
      </c>
      <c r="K2739" s="151"/>
      <c r="L2739" s="151" t="s">
        <v>32</v>
      </c>
      <c r="M2739" s="152">
        <v>42607.686030092591</v>
      </c>
      <c r="N2739" s="151" t="s">
        <v>58</v>
      </c>
      <c r="O2739" s="151"/>
      <c r="P2739" s="151"/>
      <c r="Q2739" s="7" t="str">
        <f>IF(ISBLANK(patch[[#This Row],[OwnerEmail]]),Q2738,patch[[#This Row],[OwnerEmail]])</f>
        <v>haipingx.yang@intel.com</v>
      </c>
      <c r="R2739" s="7" t="str">
        <f>_xlfn.IFNA(VLOOKUP(patch[[#This Row],[tmp-owner.email]],OrgTree!$A:$K, 11, 0), "not ICG SWFW")</f>
        <v>BJ And dev</v>
      </c>
      <c r="S2739" s="7" t="str">
        <f>IF(patch[[#This Row],[reviewer]]=patch[[#This Row],[tmp-owner.email]], "author", _xlfn.IFNA(VLOOKUP(patch[[#This Row],[reviewer]],OrgTree!$A:$K, 11, 0), "not ICG SWFW"))</f>
        <v>BJ And dev</v>
      </c>
      <c r="T2739" s="7" t="str">
        <f>IF(ISBLANK(patch[[#This Row],[mergeDate]]), "", MID(YEAR(patch[[#This Row],[mergeDate]]), 3,2)&amp;"'ww"&amp;WEEKNUM(patch[[#This Row],[mergeDate]]))</f>
        <v>16'ww36</v>
      </c>
      <c r="U2739" s="7" t="str">
        <f>IF(ISBLANK(patch[[#This Row],[mergeDate]]), U2738, MID(YEAR(patch[[#This Row],[mergeDate]]), 3,2)&amp;"'m"&amp;MONTH(patch[[#This Row],[mergeDate]]))</f>
        <v>16'm9</v>
      </c>
      <c r="V2739" s="7" t="str">
        <f>IF(ISBLANK(patch[[#This Row],[project]]), "",SUM(patch[[#This Row],[BJ -1 num]:[SH -1 num]]))</f>
        <v/>
      </c>
      <c r="W2739" s="7" t="str">
        <f>IF(ISBLANK(patch[[#This Row],[project]]), "",COUNTIFS($A:$A,patch[[#This Row],[number]],$S:$S, "BJ And dev",$AC:$AC, "Review-1"))</f>
        <v/>
      </c>
      <c r="X2739" s="7" t="str">
        <f>IF(ISBLANK(patch[[#This Row],[project]]), "",COUNTIFS($A:$A,patch[[#This Row],[number]],$S:$S, "FL And dev",$AC:$AC, "Review-1"))</f>
        <v/>
      </c>
      <c r="Y2739" s="7" t="str">
        <f>IF(ISBLANK(patch[[#This Row],[project]]), "",COUNTIFS($A:$A,patch[[#This Row],[number]],$S:$S, "SH And dev",$AC:$AC, "Review-1"))</f>
        <v/>
      </c>
      <c r="Z2739" s="7" t="str">
        <f>IF(ISBLANK(patch[[#This Row],[project]]), "",COUNTIFS($A:$A,patch[[#This Row],[number]],$S:$S, "BJ And dev",$AD:$AD, "&lt;&gt;IntegratorValidationComment"))</f>
        <v/>
      </c>
      <c r="AA2739" s="7" t="str">
        <f>IF(ISBLANK(patch[[#This Row],[project]]), "",COUNTIFS($A:$A,patch[[#This Row],[number]],$S:$S, "FL And dev",$AD:$AD, "&lt;&gt;IntegratorValidationComment"))</f>
        <v/>
      </c>
      <c r="AB2739" s="7" t="str">
        <f>IF(ISBLANK(patch[[#This Row],[project]]), "",COUNTIFS($A:$A,patch[[#This Row],[number]],$S:$S, "SH And dev",$AD:$AD, "&lt;&gt;IntegratorValidationComment"))</f>
        <v/>
      </c>
      <c r="AC2739" s="7" t="str">
        <f>IF(OR(ISNUMBER(FIND("Review-1", patch[[#This Row],[comments]])), ISNUMBER(FIND("Approver-1", patch[[#This Row],[comments]]))), "Review-1", "")</f>
        <v/>
      </c>
      <c r="AD27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39" s="7">
        <f>IF(ISBLANK(patch[[#This Row],[number]]),AE2738,patch[[#This Row],[ifCommon]])</f>
        <v>0</v>
      </c>
    </row>
    <row r="2740" spans="1:31">
      <c r="A2740" s="151">
        <v>139997</v>
      </c>
      <c r="B2740" s="151"/>
      <c r="C2740" s="151"/>
      <c r="D2740" s="151"/>
      <c r="E2740" s="151"/>
      <c r="F2740" s="151"/>
      <c r="G2740" s="151"/>
      <c r="H2740" s="151"/>
      <c r="I2740" s="151"/>
      <c r="J2740" s="152">
        <v>42614.749780092592</v>
      </c>
      <c r="K2740" s="151"/>
      <c r="L2740" s="151" t="s">
        <v>115</v>
      </c>
      <c r="M2740" s="152">
        <v>42608.390150462961</v>
      </c>
      <c r="N2740" s="151" t="s">
        <v>2494</v>
      </c>
      <c r="O2740" s="151"/>
      <c r="P2740" s="151"/>
      <c r="Q2740" s="7" t="str">
        <f>IF(ISBLANK(patch[[#This Row],[OwnerEmail]]),Q2739,patch[[#This Row],[OwnerEmail]])</f>
        <v>haipingx.yang@intel.com</v>
      </c>
      <c r="R2740" s="7" t="str">
        <f>_xlfn.IFNA(VLOOKUP(patch[[#This Row],[tmp-owner.email]],OrgTree!$A:$K, 11, 0), "not ICG SWFW")</f>
        <v>BJ And dev</v>
      </c>
      <c r="S2740" s="7" t="str">
        <f>IF(patch[[#This Row],[reviewer]]=patch[[#This Row],[tmp-owner.email]], "author", _xlfn.IFNA(VLOOKUP(patch[[#This Row],[reviewer]],OrgTree!$A:$K, 11, 0), "not ICG SWFW"))</f>
        <v>Val</v>
      </c>
      <c r="T2740" s="7" t="str">
        <f>IF(ISBLANK(patch[[#This Row],[mergeDate]]), "", MID(YEAR(patch[[#This Row],[mergeDate]]), 3,2)&amp;"'ww"&amp;WEEKNUM(patch[[#This Row],[mergeDate]]))</f>
        <v>16'ww36</v>
      </c>
      <c r="U2740" s="7" t="str">
        <f>IF(ISBLANK(patch[[#This Row],[mergeDate]]), U2739, MID(YEAR(patch[[#This Row],[mergeDate]]), 3,2)&amp;"'m"&amp;MONTH(patch[[#This Row],[mergeDate]]))</f>
        <v>16'm9</v>
      </c>
      <c r="V2740" s="7" t="str">
        <f>IF(ISBLANK(patch[[#This Row],[project]]), "",SUM(patch[[#This Row],[BJ -1 num]:[SH -1 num]]))</f>
        <v/>
      </c>
      <c r="W2740" s="7" t="str">
        <f>IF(ISBLANK(patch[[#This Row],[project]]), "",COUNTIFS($A:$A,patch[[#This Row],[number]],$S:$S, "BJ And dev",$AC:$AC, "Review-1"))</f>
        <v/>
      </c>
      <c r="X2740" s="7" t="str">
        <f>IF(ISBLANK(patch[[#This Row],[project]]), "",COUNTIFS($A:$A,patch[[#This Row],[number]],$S:$S, "FL And dev",$AC:$AC, "Review-1"))</f>
        <v/>
      </c>
      <c r="Y2740" s="7" t="str">
        <f>IF(ISBLANK(patch[[#This Row],[project]]), "",COUNTIFS($A:$A,patch[[#This Row],[number]],$S:$S, "SH And dev",$AC:$AC, "Review-1"))</f>
        <v/>
      </c>
      <c r="Z2740" s="7" t="str">
        <f>IF(ISBLANK(patch[[#This Row],[project]]), "",COUNTIFS($A:$A,patch[[#This Row],[number]],$S:$S, "BJ And dev",$AD:$AD, "&lt;&gt;IntegratorValidationComment"))</f>
        <v/>
      </c>
      <c r="AA2740" s="7" t="str">
        <f>IF(ISBLANK(patch[[#This Row],[project]]), "",COUNTIFS($A:$A,patch[[#This Row],[number]],$S:$S, "FL And dev",$AD:$AD, "&lt;&gt;IntegratorValidationComment"))</f>
        <v/>
      </c>
      <c r="AB2740" s="7" t="str">
        <f>IF(ISBLANK(patch[[#This Row],[project]]), "",COUNTIFS($A:$A,patch[[#This Row],[number]],$S:$S, "SH And dev",$AD:$AD, "&lt;&gt;IntegratorValidationComment"))</f>
        <v/>
      </c>
      <c r="AC2740" s="7" t="str">
        <f>IF(OR(ISNUMBER(FIND("Review-1", patch[[#This Row],[comments]])), ISNUMBER(FIND("Approver-1", patch[[#This Row],[comments]]))), "Review-1", "")</f>
        <v/>
      </c>
      <c r="AD27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740" s="7">
        <f>IF(ISBLANK(patch[[#This Row],[number]]),AE2739,patch[[#This Row],[ifCommon]])</f>
        <v>0</v>
      </c>
    </row>
    <row r="2741" spans="1:31">
      <c r="A2741" s="151">
        <v>139997</v>
      </c>
      <c r="B2741" s="151"/>
      <c r="C2741" s="151"/>
      <c r="D2741" s="151"/>
      <c r="E2741" s="151"/>
      <c r="F2741" s="151"/>
      <c r="G2741" s="151"/>
      <c r="H2741" s="151"/>
      <c r="I2741" s="151"/>
      <c r="J2741" s="152">
        <v>42614.749780092592</v>
      </c>
      <c r="K2741" s="151"/>
      <c r="L2741" s="151" t="s">
        <v>115</v>
      </c>
      <c r="M2741" s="152">
        <v>42608.453715277778</v>
      </c>
      <c r="N2741" s="151" t="s">
        <v>2545</v>
      </c>
      <c r="O2741" s="151"/>
      <c r="P2741" s="151"/>
      <c r="Q2741" s="7" t="str">
        <f>IF(ISBLANK(patch[[#This Row],[OwnerEmail]]),Q2740,patch[[#This Row],[OwnerEmail]])</f>
        <v>haipingx.yang@intel.com</v>
      </c>
      <c r="R2741" s="7" t="str">
        <f>_xlfn.IFNA(VLOOKUP(patch[[#This Row],[tmp-owner.email]],OrgTree!$A:$K, 11, 0), "not ICG SWFW")</f>
        <v>BJ And dev</v>
      </c>
      <c r="S2741" s="7" t="str">
        <f>IF(patch[[#This Row],[reviewer]]=patch[[#This Row],[tmp-owner.email]], "author", _xlfn.IFNA(VLOOKUP(patch[[#This Row],[reviewer]],OrgTree!$A:$K, 11, 0), "not ICG SWFW"))</f>
        <v>Val</v>
      </c>
      <c r="T2741" s="7" t="str">
        <f>IF(ISBLANK(patch[[#This Row],[mergeDate]]), "", MID(YEAR(patch[[#This Row],[mergeDate]]), 3,2)&amp;"'ww"&amp;WEEKNUM(patch[[#This Row],[mergeDate]]))</f>
        <v>16'ww36</v>
      </c>
      <c r="U2741" s="7" t="str">
        <f>IF(ISBLANK(patch[[#This Row],[mergeDate]]), U2740, MID(YEAR(patch[[#This Row],[mergeDate]]), 3,2)&amp;"'m"&amp;MONTH(patch[[#This Row],[mergeDate]]))</f>
        <v>16'm9</v>
      </c>
      <c r="V2741" s="7" t="str">
        <f>IF(ISBLANK(patch[[#This Row],[project]]), "",SUM(patch[[#This Row],[BJ -1 num]:[SH -1 num]]))</f>
        <v/>
      </c>
      <c r="W2741" s="7" t="str">
        <f>IF(ISBLANK(patch[[#This Row],[project]]), "",COUNTIFS($A:$A,patch[[#This Row],[number]],$S:$S, "BJ And dev",$AC:$AC, "Review-1"))</f>
        <v/>
      </c>
      <c r="X2741" s="7" t="str">
        <f>IF(ISBLANK(patch[[#This Row],[project]]), "",COUNTIFS($A:$A,patch[[#This Row],[number]],$S:$S, "FL And dev",$AC:$AC, "Review-1"))</f>
        <v/>
      </c>
      <c r="Y2741" s="7" t="str">
        <f>IF(ISBLANK(patch[[#This Row],[project]]), "",COUNTIFS($A:$A,patch[[#This Row],[number]],$S:$S, "SH And dev",$AC:$AC, "Review-1"))</f>
        <v/>
      </c>
      <c r="Z2741" s="7" t="str">
        <f>IF(ISBLANK(patch[[#This Row],[project]]), "",COUNTIFS($A:$A,patch[[#This Row],[number]],$S:$S, "BJ And dev",$AD:$AD, "&lt;&gt;IntegratorValidationComment"))</f>
        <v/>
      </c>
      <c r="AA2741" s="7" t="str">
        <f>IF(ISBLANK(patch[[#This Row],[project]]), "",COUNTIFS($A:$A,patch[[#This Row],[number]],$S:$S, "FL And dev",$AD:$AD, "&lt;&gt;IntegratorValidationComment"))</f>
        <v/>
      </c>
      <c r="AB2741" s="7" t="str">
        <f>IF(ISBLANK(patch[[#This Row],[project]]), "",COUNTIFS($A:$A,patch[[#This Row],[number]],$S:$S, "SH And dev",$AD:$AD, "&lt;&gt;IntegratorValidationComment"))</f>
        <v/>
      </c>
      <c r="AC2741" s="7" t="str">
        <f>IF(OR(ISNUMBER(FIND("Review-1", patch[[#This Row],[comments]])), ISNUMBER(FIND("Approver-1", patch[[#This Row],[comments]]))), "Review-1", "")</f>
        <v/>
      </c>
      <c r="AD27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741" s="7">
        <f>IF(ISBLANK(patch[[#This Row],[number]]),AE2740,patch[[#This Row],[ifCommon]])</f>
        <v>0</v>
      </c>
    </row>
    <row r="2742" spans="1:31">
      <c r="A2742" s="151">
        <v>139997</v>
      </c>
      <c r="B2742" s="151"/>
      <c r="C2742" s="151"/>
      <c r="D2742" s="151"/>
      <c r="E2742" s="151"/>
      <c r="F2742" s="151"/>
      <c r="G2742" s="151"/>
      <c r="H2742" s="151"/>
      <c r="I2742" s="151"/>
      <c r="J2742" s="152">
        <v>42614.749780092592</v>
      </c>
      <c r="K2742" s="151"/>
      <c r="L2742" s="151" t="s">
        <v>115</v>
      </c>
      <c r="M2742" s="152">
        <v>42608.459560185183</v>
      </c>
      <c r="N2742" s="151" t="s">
        <v>2494</v>
      </c>
      <c r="O2742" s="151"/>
      <c r="P2742" s="151"/>
      <c r="Q2742" s="7" t="str">
        <f>IF(ISBLANK(patch[[#This Row],[OwnerEmail]]),Q2741,patch[[#This Row],[OwnerEmail]])</f>
        <v>haipingx.yang@intel.com</v>
      </c>
      <c r="R2742" s="7" t="str">
        <f>_xlfn.IFNA(VLOOKUP(patch[[#This Row],[tmp-owner.email]],OrgTree!$A:$K, 11, 0), "not ICG SWFW")</f>
        <v>BJ And dev</v>
      </c>
      <c r="S2742" s="7" t="str">
        <f>IF(patch[[#This Row],[reviewer]]=patch[[#This Row],[tmp-owner.email]], "author", _xlfn.IFNA(VLOOKUP(patch[[#This Row],[reviewer]],OrgTree!$A:$K, 11, 0), "not ICG SWFW"))</f>
        <v>Val</v>
      </c>
      <c r="T2742" s="7" t="str">
        <f>IF(ISBLANK(patch[[#This Row],[mergeDate]]), "", MID(YEAR(patch[[#This Row],[mergeDate]]), 3,2)&amp;"'ww"&amp;WEEKNUM(patch[[#This Row],[mergeDate]]))</f>
        <v>16'ww36</v>
      </c>
      <c r="U2742" s="7" t="str">
        <f>IF(ISBLANK(patch[[#This Row],[mergeDate]]), U2741, MID(YEAR(patch[[#This Row],[mergeDate]]), 3,2)&amp;"'m"&amp;MONTH(patch[[#This Row],[mergeDate]]))</f>
        <v>16'm9</v>
      </c>
      <c r="V2742" s="7" t="str">
        <f>IF(ISBLANK(patch[[#This Row],[project]]), "",SUM(patch[[#This Row],[BJ -1 num]:[SH -1 num]]))</f>
        <v/>
      </c>
      <c r="W2742" s="7" t="str">
        <f>IF(ISBLANK(patch[[#This Row],[project]]), "",COUNTIFS($A:$A,patch[[#This Row],[number]],$S:$S, "BJ And dev",$AC:$AC, "Review-1"))</f>
        <v/>
      </c>
      <c r="X2742" s="7" t="str">
        <f>IF(ISBLANK(patch[[#This Row],[project]]), "",COUNTIFS($A:$A,patch[[#This Row],[number]],$S:$S, "FL And dev",$AC:$AC, "Review-1"))</f>
        <v/>
      </c>
      <c r="Y2742" s="7" t="str">
        <f>IF(ISBLANK(patch[[#This Row],[project]]), "",COUNTIFS($A:$A,patch[[#This Row],[number]],$S:$S, "SH And dev",$AC:$AC, "Review-1"))</f>
        <v/>
      </c>
      <c r="Z2742" s="7" t="str">
        <f>IF(ISBLANK(patch[[#This Row],[project]]), "",COUNTIFS($A:$A,patch[[#This Row],[number]],$S:$S, "BJ And dev",$AD:$AD, "&lt;&gt;IntegratorValidationComment"))</f>
        <v/>
      </c>
      <c r="AA2742" s="7" t="str">
        <f>IF(ISBLANK(patch[[#This Row],[project]]), "",COUNTIFS($A:$A,patch[[#This Row],[number]],$S:$S, "FL And dev",$AD:$AD, "&lt;&gt;IntegratorValidationComment"))</f>
        <v/>
      </c>
      <c r="AB2742" s="7" t="str">
        <f>IF(ISBLANK(patch[[#This Row],[project]]), "",COUNTIFS($A:$A,patch[[#This Row],[number]],$S:$S, "SH And dev",$AD:$AD, "&lt;&gt;IntegratorValidationComment"))</f>
        <v/>
      </c>
      <c r="AC2742" s="7" t="str">
        <f>IF(OR(ISNUMBER(FIND("Review-1", patch[[#This Row],[comments]])), ISNUMBER(FIND("Approver-1", patch[[#This Row],[comments]]))), "Review-1", "")</f>
        <v/>
      </c>
      <c r="AD27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742" s="7">
        <f>IF(ISBLANK(patch[[#This Row],[number]]),AE2741,patch[[#This Row],[ifCommon]])</f>
        <v>0</v>
      </c>
    </row>
    <row r="2743" spans="1:31">
      <c r="A2743" s="151">
        <v>139997</v>
      </c>
      <c r="B2743" s="151"/>
      <c r="C2743" s="151"/>
      <c r="D2743" s="151"/>
      <c r="E2743" s="151"/>
      <c r="F2743" s="151"/>
      <c r="G2743" s="151"/>
      <c r="H2743" s="151"/>
      <c r="I2743" s="151"/>
      <c r="J2743" s="152">
        <v>42614.749780092592</v>
      </c>
      <c r="K2743" s="151"/>
      <c r="L2743" s="151" t="s">
        <v>115</v>
      </c>
      <c r="M2743" s="152">
        <v>42608.460844907408</v>
      </c>
      <c r="N2743" s="151" t="s">
        <v>3968</v>
      </c>
      <c r="O2743" s="151"/>
      <c r="P2743" s="151"/>
      <c r="Q2743" s="7" t="str">
        <f>IF(ISBLANK(patch[[#This Row],[OwnerEmail]]),Q2742,patch[[#This Row],[OwnerEmail]])</f>
        <v>haipingx.yang@intel.com</v>
      </c>
      <c r="R2743" s="7" t="str">
        <f>_xlfn.IFNA(VLOOKUP(patch[[#This Row],[tmp-owner.email]],OrgTree!$A:$K, 11, 0), "not ICG SWFW")</f>
        <v>BJ And dev</v>
      </c>
      <c r="S2743" s="7" t="str">
        <f>IF(patch[[#This Row],[reviewer]]=patch[[#This Row],[tmp-owner.email]], "author", _xlfn.IFNA(VLOOKUP(patch[[#This Row],[reviewer]],OrgTree!$A:$K, 11, 0), "not ICG SWFW"))</f>
        <v>Val</v>
      </c>
      <c r="T2743" s="7" t="str">
        <f>IF(ISBLANK(patch[[#This Row],[mergeDate]]), "", MID(YEAR(patch[[#This Row],[mergeDate]]), 3,2)&amp;"'ww"&amp;WEEKNUM(patch[[#This Row],[mergeDate]]))</f>
        <v>16'ww36</v>
      </c>
      <c r="U2743" s="7" t="str">
        <f>IF(ISBLANK(patch[[#This Row],[mergeDate]]), U2742, MID(YEAR(patch[[#This Row],[mergeDate]]), 3,2)&amp;"'m"&amp;MONTH(patch[[#This Row],[mergeDate]]))</f>
        <v>16'm9</v>
      </c>
      <c r="V2743" s="7" t="str">
        <f>IF(ISBLANK(patch[[#This Row],[project]]), "",SUM(patch[[#This Row],[BJ -1 num]:[SH -1 num]]))</f>
        <v/>
      </c>
      <c r="W2743" s="7" t="str">
        <f>IF(ISBLANK(patch[[#This Row],[project]]), "",COUNTIFS($A:$A,patch[[#This Row],[number]],$S:$S, "BJ And dev",$AC:$AC, "Review-1"))</f>
        <v/>
      </c>
      <c r="X2743" s="7" t="str">
        <f>IF(ISBLANK(patch[[#This Row],[project]]), "",COUNTIFS($A:$A,patch[[#This Row],[number]],$S:$S, "FL And dev",$AC:$AC, "Review-1"))</f>
        <v/>
      </c>
      <c r="Y2743" s="7" t="str">
        <f>IF(ISBLANK(patch[[#This Row],[project]]), "",COUNTIFS($A:$A,patch[[#This Row],[number]],$S:$S, "SH And dev",$AC:$AC, "Review-1"))</f>
        <v/>
      </c>
      <c r="Z2743" s="7" t="str">
        <f>IF(ISBLANK(patch[[#This Row],[project]]), "",COUNTIFS($A:$A,patch[[#This Row],[number]],$S:$S, "BJ And dev",$AD:$AD, "&lt;&gt;IntegratorValidationComment"))</f>
        <v/>
      </c>
      <c r="AA2743" s="7" t="str">
        <f>IF(ISBLANK(patch[[#This Row],[project]]), "",COUNTIFS($A:$A,patch[[#This Row],[number]],$S:$S, "FL And dev",$AD:$AD, "&lt;&gt;IntegratorValidationComment"))</f>
        <v/>
      </c>
      <c r="AB2743" s="7" t="str">
        <f>IF(ISBLANK(patch[[#This Row],[project]]), "",COUNTIFS($A:$A,patch[[#This Row],[number]],$S:$S, "SH And dev",$AD:$AD, "&lt;&gt;IntegratorValidationComment"))</f>
        <v/>
      </c>
      <c r="AC2743" s="7" t="str">
        <f>IF(OR(ISNUMBER(FIND("Review-1", patch[[#This Row],[comments]])), ISNUMBER(FIND("Approver-1", patch[[#This Row],[comments]]))), "Review-1", "")</f>
        <v/>
      </c>
      <c r="AD27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743" s="7">
        <f>IF(ISBLANK(patch[[#This Row],[number]]),AE2742,patch[[#This Row],[ifCommon]])</f>
        <v>0</v>
      </c>
    </row>
    <row r="2744" spans="1:31">
      <c r="A2744" s="151">
        <v>139997</v>
      </c>
      <c r="B2744" s="151"/>
      <c r="C2744" s="151"/>
      <c r="D2744" s="151"/>
      <c r="E2744" s="151"/>
      <c r="F2744" s="151"/>
      <c r="G2744" s="151"/>
      <c r="H2744" s="151"/>
      <c r="I2744" s="151"/>
      <c r="J2744" s="152">
        <v>42614.749780092592</v>
      </c>
      <c r="K2744" s="151"/>
      <c r="L2744" s="151" t="s">
        <v>35</v>
      </c>
      <c r="M2744" s="152">
        <v>42608.482708333337</v>
      </c>
      <c r="N2744" s="151" t="s">
        <v>29</v>
      </c>
      <c r="O2744" s="151"/>
      <c r="P2744" s="151"/>
      <c r="Q2744" s="7" t="str">
        <f>IF(ISBLANK(patch[[#This Row],[OwnerEmail]]),Q2743,patch[[#This Row],[OwnerEmail]])</f>
        <v>haipingx.yang@intel.com</v>
      </c>
      <c r="R2744" s="7" t="str">
        <f>_xlfn.IFNA(VLOOKUP(patch[[#This Row],[tmp-owner.email]],OrgTree!$A:$K, 11, 0), "not ICG SWFW")</f>
        <v>BJ And dev</v>
      </c>
      <c r="S2744" s="7" t="str">
        <f>IF(patch[[#This Row],[reviewer]]=patch[[#This Row],[tmp-owner.email]], "author", _xlfn.IFNA(VLOOKUP(patch[[#This Row],[reviewer]],OrgTree!$A:$K, 11, 0), "not ICG SWFW"))</f>
        <v>author</v>
      </c>
      <c r="T2744" s="7" t="str">
        <f>IF(ISBLANK(patch[[#This Row],[mergeDate]]), "", MID(YEAR(patch[[#This Row],[mergeDate]]), 3,2)&amp;"'ww"&amp;WEEKNUM(patch[[#This Row],[mergeDate]]))</f>
        <v>16'ww36</v>
      </c>
      <c r="U2744" s="7" t="str">
        <f>IF(ISBLANK(patch[[#This Row],[mergeDate]]), U2743, MID(YEAR(patch[[#This Row],[mergeDate]]), 3,2)&amp;"'m"&amp;MONTH(patch[[#This Row],[mergeDate]]))</f>
        <v>16'm9</v>
      </c>
      <c r="V2744" s="7" t="str">
        <f>IF(ISBLANK(patch[[#This Row],[project]]), "",SUM(patch[[#This Row],[BJ -1 num]:[SH -1 num]]))</f>
        <v/>
      </c>
      <c r="W2744" s="7" t="str">
        <f>IF(ISBLANK(patch[[#This Row],[project]]), "",COUNTIFS($A:$A,patch[[#This Row],[number]],$S:$S, "BJ And dev",$AC:$AC, "Review-1"))</f>
        <v/>
      </c>
      <c r="X2744" s="7" t="str">
        <f>IF(ISBLANK(patch[[#This Row],[project]]), "",COUNTIFS($A:$A,patch[[#This Row],[number]],$S:$S, "FL And dev",$AC:$AC, "Review-1"))</f>
        <v/>
      </c>
      <c r="Y2744" s="7" t="str">
        <f>IF(ISBLANK(patch[[#This Row],[project]]), "",COUNTIFS($A:$A,patch[[#This Row],[number]],$S:$S, "SH And dev",$AC:$AC, "Review-1"))</f>
        <v/>
      </c>
      <c r="Z2744" s="7" t="str">
        <f>IF(ISBLANK(patch[[#This Row],[project]]), "",COUNTIFS($A:$A,patch[[#This Row],[number]],$S:$S, "BJ And dev",$AD:$AD, "&lt;&gt;IntegratorValidationComment"))</f>
        <v/>
      </c>
      <c r="AA2744" s="7" t="str">
        <f>IF(ISBLANK(patch[[#This Row],[project]]), "",COUNTIFS($A:$A,patch[[#This Row],[number]],$S:$S, "FL And dev",$AD:$AD, "&lt;&gt;IntegratorValidationComment"))</f>
        <v/>
      </c>
      <c r="AB2744" s="7" t="str">
        <f>IF(ISBLANK(patch[[#This Row],[project]]), "",COUNTIFS($A:$A,patch[[#This Row],[number]],$S:$S, "SH And dev",$AD:$AD, "&lt;&gt;IntegratorValidationComment"))</f>
        <v/>
      </c>
      <c r="AC2744" s="7" t="str">
        <f>IF(OR(ISNUMBER(FIND("Review-1", patch[[#This Row],[comments]])), ISNUMBER(FIND("Approver-1", patch[[#This Row],[comments]]))), "Review-1", "")</f>
        <v/>
      </c>
      <c r="AD27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44" s="7">
        <f>IF(ISBLANK(patch[[#This Row],[number]]),AE2743,patch[[#This Row],[ifCommon]])</f>
        <v>0</v>
      </c>
    </row>
    <row r="2745" spans="1:31">
      <c r="A2745" s="151">
        <v>139997</v>
      </c>
      <c r="B2745" s="151"/>
      <c r="C2745" s="151"/>
      <c r="D2745" s="151"/>
      <c r="E2745" s="151"/>
      <c r="F2745" s="151"/>
      <c r="G2745" s="151"/>
      <c r="H2745" s="151"/>
      <c r="I2745" s="151"/>
      <c r="J2745" s="152">
        <v>42614.749780092592</v>
      </c>
      <c r="K2745" s="151"/>
      <c r="L2745" s="151" t="s">
        <v>35</v>
      </c>
      <c r="M2745" s="152">
        <v>42608.482708333337</v>
      </c>
      <c r="N2745" s="151" t="s">
        <v>2429</v>
      </c>
      <c r="O2745" s="151"/>
      <c r="P2745" s="151"/>
      <c r="Q2745" s="7" t="str">
        <f>IF(ISBLANK(patch[[#This Row],[OwnerEmail]]),Q2744,patch[[#This Row],[OwnerEmail]])</f>
        <v>haipingx.yang@intel.com</v>
      </c>
      <c r="R2745" s="7" t="str">
        <f>_xlfn.IFNA(VLOOKUP(patch[[#This Row],[tmp-owner.email]],OrgTree!$A:$K, 11, 0), "not ICG SWFW")</f>
        <v>BJ And dev</v>
      </c>
      <c r="S2745" s="7" t="str">
        <f>IF(patch[[#This Row],[reviewer]]=patch[[#This Row],[tmp-owner.email]], "author", _xlfn.IFNA(VLOOKUP(patch[[#This Row],[reviewer]],OrgTree!$A:$K, 11, 0), "not ICG SWFW"))</f>
        <v>author</v>
      </c>
      <c r="T2745" s="7" t="str">
        <f>IF(ISBLANK(patch[[#This Row],[mergeDate]]), "", MID(YEAR(patch[[#This Row],[mergeDate]]), 3,2)&amp;"'ww"&amp;WEEKNUM(patch[[#This Row],[mergeDate]]))</f>
        <v>16'ww36</v>
      </c>
      <c r="U2745" s="7" t="str">
        <f>IF(ISBLANK(patch[[#This Row],[mergeDate]]), U2744, MID(YEAR(patch[[#This Row],[mergeDate]]), 3,2)&amp;"'m"&amp;MONTH(patch[[#This Row],[mergeDate]]))</f>
        <v>16'm9</v>
      </c>
      <c r="V2745" s="7" t="str">
        <f>IF(ISBLANK(patch[[#This Row],[project]]), "",SUM(patch[[#This Row],[BJ -1 num]:[SH -1 num]]))</f>
        <v/>
      </c>
      <c r="W2745" s="7" t="str">
        <f>IF(ISBLANK(patch[[#This Row],[project]]), "",COUNTIFS($A:$A,patch[[#This Row],[number]],$S:$S, "BJ And dev",$AC:$AC, "Review-1"))</f>
        <v/>
      </c>
      <c r="X2745" s="7" t="str">
        <f>IF(ISBLANK(patch[[#This Row],[project]]), "",COUNTIFS($A:$A,patch[[#This Row],[number]],$S:$S, "FL And dev",$AC:$AC, "Review-1"))</f>
        <v/>
      </c>
      <c r="Y2745" s="7" t="str">
        <f>IF(ISBLANK(patch[[#This Row],[project]]), "",COUNTIFS($A:$A,patch[[#This Row],[number]],$S:$S, "SH And dev",$AC:$AC, "Review-1"))</f>
        <v/>
      </c>
      <c r="Z2745" s="7" t="str">
        <f>IF(ISBLANK(patch[[#This Row],[project]]), "",COUNTIFS($A:$A,patch[[#This Row],[number]],$S:$S, "BJ And dev",$AD:$AD, "&lt;&gt;IntegratorValidationComment"))</f>
        <v/>
      </c>
      <c r="AA2745" s="7" t="str">
        <f>IF(ISBLANK(patch[[#This Row],[project]]), "",COUNTIFS($A:$A,patch[[#This Row],[number]],$S:$S, "FL And dev",$AD:$AD, "&lt;&gt;IntegratorValidationComment"))</f>
        <v/>
      </c>
      <c r="AB2745" s="7" t="str">
        <f>IF(ISBLANK(patch[[#This Row],[project]]), "",COUNTIFS($A:$A,patch[[#This Row],[number]],$S:$S, "SH And dev",$AD:$AD, "&lt;&gt;IntegratorValidationComment"))</f>
        <v/>
      </c>
      <c r="AC2745" s="7" t="str">
        <f>IF(OR(ISNUMBER(FIND("Review-1", patch[[#This Row],[comments]])), ISNUMBER(FIND("Approver-1", patch[[#This Row],[comments]]))), "Review-1", "")</f>
        <v/>
      </c>
      <c r="AD27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45" s="7">
        <f>IF(ISBLANK(patch[[#This Row],[number]]),AE2744,patch[[#This Row],[ifCommon]])</f>
        <v>0</v>
      </c>
    </row>
    <row r="2746" spans="1:31">
      <c r="A2746" s="151">
        <v>139997</v>
      </c>
      <c r="B2746" s="151"/>
      <c r="C2746" s="151"/>
      <c r="D2746" s="151"/>
      <c r="E2746" s="151"/>
      <c r="F2746" s="151"/>
      <c r="G2746" s="151"/>
      <c r="H2746" s="151"/>
      <c r="I2746" s="151"/>
      <c r="J2746" s="152">
        <v>42614.749780092592</v>
      </c>
      <c r="K2746" s="151"/>
      <c r="L2746" s="151" t="s">
        <v>35</v>
      </c>
      <c r="M2746" s="152">
        <v>42608.483865740738</v>
      </c>
      <c r="N2746" s="151" t="s">
        <v>27</v>
      </c>
      <c r="O2746" s="151"/>
      <c r="P2746" s="151"/>
      <c r="Q2746" s="7" t="str">
        <f>IF(ISBLANK(patch[[#This Row],[OwnerEmail]]),Q2745,patch[[#This Row],[OwnerEmail]])</f>
        <v>haipingx.yang@intel.com</v>
      </c>
      <c r="R2746" s="7" t="str">
        <f>_xlfn.IFNA(VLOOKUP(patch[[#This Row],[tmp-owner.email]],OrgTree!$A:$K, 11, 0), "not ICG SWFW")</f>
        <v>BJ And dev</v>
      </c>
      <c r="S2746" s="7" t="str">
        <f>IF(patch[[#This Row],[reviewer]]=patch[[#This Row],[tmp-owner.email]], "author", _xlfn.IFNA(VLOOKUP(patch[[#This Row],[reviewer]],OrgTree!$A:$K, 11, 0), "not ICG SWFW"))</f>
        <v>author</v>
      </c>
      <c r="T2746" s="7" t="str">
        <f>IF(ISBLANK(patch[[#This Row],[mergeDate]]), "", MID(YEAR(patch[[#This Row],[mergeDate]]), 3,2)&amp;"'ww"&amp;WEEKNUM(patch[[#This Row],[mergeDate]]))</f>
        <v>16'ww36</v>
      </c>
      <c r="U2746" s="7" t="str">
        <f>IF(ISBLANK(patch[[#This Row],[mergeDate]]), U2745, MID(YEAR(patch[[#This Row],[mergeDate]]), 3,2)&amp;"'m"&amp;MONTH(patch[[#This Row],[mergeDate]]))</f>
        <v>16'm9</v>
      </c>
      <c r="V2746" s="7" t="str">
        <f>IF(ISBLANK(patch[[#This Row],[project]]), "",SUM(patch[[#This Row],[BJ -1 num]:[SH -1 num]]))</f>
        <v/>
      </c>
      <c r="W2746" s="7" t="str">
        <f>IF(ISBLANK(patch[[#This Row],[project]]), "",COUNTIFS($A:$A,patch[[#This Row],[number]],$S:$S, "BJ And dev",$AC:$AC, "Review-1"))</f>
        <v/>
      </c>
      <c r="X2746" s="7" t="str">
        <f>IF(ISBLANK(patch[[#This Row],[project]]), "",COUNTIFS($A:$A,patch[[#This Row],[number]],$S:$S, "FL And dev",$AC:$AC, "Review-1"))</f>
        <v/>
      </c>
      <c r="Y2746" s="7" t="str">
        <f>IF(ISBLANK(patch[[#This Row],[project]]), "",COUNTIFS($A:$A,patch[[#This Row],[number]],$S:$S, "SH And dev",$AC:$AC, "Review-1"))</f>
        <v/>
      </c>
      <c r="Z2746" s="7" t="str">
        <f>IF(ISBLANK(patch[[#This Row],[project]]), "",COUNTIFS($A:$A,patch[[#This Row],[number]],$S:$S, "BJ And dev",$AD:$AD, "&lt;&gt;IntegratorValidationComment"))</f>
        <v/>
      </c>
      <c r="AA2746" s="7" t="str">
        <f>IF(ISBLANK(patch[[#This Row],[project]]), "",COUNTIFS($A:$A,patch[[#This Row],[number]],$S:$S, "FL And dev",$AD:$AD, "&lt;&gt;IntegratorValidationComment"))</f>
        <v/>
      </c>
      <c r="AB2746" s="7" t="str">
        <f>IF(ISBLANK(patch[[#This Row],[project]]), "",COUNTIFS($A:$A,patch[[#This Row],[number]],$S:$S, "SH And dev",$AD:$AD, "&lt;&gt;IntegratorValidationComment"))</f>
        <v/>
      </c>
      <c r="AC2746" s="7" t="str">
        <f>IF(OR(ISNUMBER(FIND("Review-1", patch[[#This Row],[comments]])), ISNUMBER(FIND("Approver-1", patch[[#This Row],[comments]]))), "Review-1", "")</f>
        <v/>
      </c>
      <c r="AD27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46" s="7">
        <f>IF(ISBLANK(patch[[#This Row],[number]]),AE2745,patch[[#This Row],[ifCommon]])</f>
        <v>0</v>
      </c>
    </row>
    <row r="2747" spans="1:31">
      <c r="A2747" s="151">
        <v>139997</v>
      </c>
      <c r="B2747" s="151"/>
      <c r="C2747" s="151"/>
      <c r="D2747" s="151"/>
      <c r="E2747" s="151"/>
      <c r="F2747" s="151"/>
      <c r="G2747" s="151"/>
      <c r="H2747" s="151"/>
      <c r="I2747" s="151"/>
      <c r="J2747" s="152">
        <v>42614.749780092592</v>
      </c>
      <c r="K2747" s="151"/>
      <c r="L2747" s="151" t="s">
        <v>59</v>
      </c>
      <c r="M2747" s="152">
        <v>42608.487349537027</v>
      </c>
      <c r="N2747" s="151" t="s">
        <v>3969</v>
      </c>
      <c r="O2747" s="151"/>
      <c r="P2747" s="151"/>
      <c r="Q2747" s="7" t="str">
        <f>IF(ISBLANK(patch[[#This Row],[OwnerEmail]]),Q2746,patch[[#This Row],[OwnerEmail]])</f>
        <v>haipingx.yang@intel.com</v>
      </c>
      <c r="R2747" s="7" t="str">
        <f>_xlfn.IFNA(VLOOKUP(patch[[#This Row],[tmp-owner.email]],OrgTree!$A:$K, 11, 0), "not ICG SWFW")</f>
        <v>BJ And dev</v>
      </c>
      <c r="S2747" s="7" t="str">
        <f>IF(patch[[#This Row],[reviewer]]=patch[[#This Row],[tmp-owner.email]], "author", _xlfn.IFNA(VLOOKUP(patch[[#This Row],[reviewer]],OrgTree!$A:$K, 11, 0), "not ICG SWFW"))</f>
        <v>BJ And dev</v>
      </c>
      <c r="T2747" s="7" t="str">
        <f>IF(ISBLANK(patch[[#This Row],[mergeDate]]), "", MID(YEAR(patch[[#This Row],[mergeDate]]), 3,2)&amp;"'ww"&amp;WEEKNUM(patch[[#This Row],[mergeDate]]))</f>
        <v>16'ww36</v>
      </c>
      <c r="U2747" s="7" t="str">
        <f>IF(ISBLANK(patch[[#This Row],[mergeDate]]), U2746, MID(YEAR(patch[[#This Row],[mergeDate]]), 3,2)&amp;"'m"&amp;MONTH(patch[[#This Row],[mergeDate]]))</f>
        <v>16'm9</v>
      </c>
      <c r="V2747" s="7" t="str">
        <f>IF(ISBLANK(patch[[#This Row],[project]]), "",SUM(patch[[#This Row],[BJ -1 num]:[SH -1 num]]))</f>
        <v/>
      </c>
      <c r="W2747" s="7" t="str">
        <f>IF(ISBLANK(patch[[#This Row],[project]]), "",COUNTIFS($A:$A,patch[[#This Row],[number]],$S:$S, "BJ And dev",$AC:$AC, "Review-1"))</f>
        <v/>
      </c>
      <c r="X2747" s="7" t="str">
        <f>IF(ISBLANK(patch[[#This Row],[project]]), "",COUNTIFS($A:$A,patch[[#This Row],[number]],$S:$S, "FL And dev",$AC:$AC, "Review-1"))</f>
        <v/>
      </c>
      <c r="Y2747" s="7" t="str">
        <f>IF(ISBLANK(patch[[#This Row],[project]]), "",COUNTIFS($A:$A,patch[[#This Row],[number]],$S:$S, "SH And dev",$AC:$AC, "Review-1"))</f>
        <v/>
      </c>
      <c r="Z2747" s="7" t="str">
        <f>IF(ISBLANK(patch[[#This Row],[project]]), "",COUNTIFS($A:$A,patch[[#This Row],[number]],$S:$S, "BJ And dev",$AD:$AD, "&lt;&gt;IntegratorValidationComment"))</f>
        <v/>
      </c>
      <c r="AA2747" s="7" t="str">
        <f>IF(ISBLANK(patch[[#This Row],[project]]), "",COUNTIFS($A:$A,patch[[#This Row],[number]],$S:$S, "FL And dev",$AD:$AD, "&lt;&gt;IntegratorValidationComment"))</f>
        <v/>
      </c>
      <c r="AB2747" s="7" t="str">
        <f>IF(ISBLANK(patch[[#This Row],[project]]), "",COUNTIFS($A:$A,patch[[#This Row],[number]],$S:$S, "SH And dev",$AD:$AD, "&lt;&gt;IntegratorValidationComment"))</f>
        <v/>
      </c>
      <c r="AC2747" s="7" t="str">
        <f>IF(OR(ISNUMBER(FIND("Review-1", patch[[#This Row],[comments]])), ISNUMBER(FIND("Approver-1", patch[[#This Row],[comments]]))), "Review-1", "")</f>
        <v/>
      </c>
      <c r="AD27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47" s="7">
        <f>IF(ISBLANK(patch[[#This Row],[number]]),AE2746,patch[[#This Row],[ifCommon]])</f>
        <v>0</v>
      </c>
    </row>
    <row r="2748" spans="1:31">
      <c r="A2748" s="151">
        <v>139997</v>
      </c>
      <c r="B2748" s="151"/>
      <c r="C2748" s="151"/>
      <c r="D2748" s="151"/>
      <c r="E2748" s="151"/>
      <c r="F2748" s="151"/>
      <c r="G2748" s="151"/>
      <c r="H2748" s="151"/>
      <c r="I2748" s="151"/>
      <c r="J2748" s="152">
        <v>42614.749780092592</v>
      </c>
      <c r="K2748" s="151"/>
      <c r="L2748" s="151" t="s">
        <v>59</v>
      </c>
      <c r="M2748" s="152">
        <v>42608.48773148148</v>
      </c>
      <c r="N2748" s="151" t="s">
        <v>3970</v>
      </c>
      <c r="O2748" s="151"/>
      <c r="P2748" s="151"/>
      <c r="Q2748" s="7" t="str">
        <f>IF(ISBLANK(patch[[#This Row],[OwnerEmail]]),Q2747,patch[[#This Row],[OwnerEmail]])</f>
        <v>haipingx.yang@intel.com</v>
      </c>
      <c r="R2748" s="7" t="str">
        <f>_xlfn.IFNA(VLOOKUP(patch[[#This Row],[tmp-owner.email]],OrgTree!$A:$K, 11, 0), "not ICG SWFW")</f>
        <v>BJ And dev</v>
      </c>
      <c r="S2748" s="7" t="str">
        <f>IF(patch[[#This Row],[reviewer]]=patch[[#This Row],[tmp-owner.email]], "author", _xlfn.IFNA(VLOOKUP(patch[[#This Row],[reviewer]],OrgTree!$A:$K, 11, 0), "not ICG SWFW"))</f>
        <v>BJ And dev</v>
      </c>
      <c r="T2748" s="7" t="str">
        <f>IF(ISBLANK(patch[[#This Row],[mergeDate]]), "", MID(YEAR(patch[[#This Row],[mergeDate]]), 3,2)&amp;"'ww"&amp;WEEKNUM(patch[[#This Row],[mergeDate]]))</f>
        <v>16'ww36</v>
      </c>
      <c r="U2748" s="7" t="str">
        <f>IF(ISBLANK(patch[[#This Row],[mergeDate]]), U2747, MID(YEAR(patch[[#This Row],[mergeDate]]), 3,2)&amp;"'m"&amp;MONTH(patch[[#This Row],[mergeDate]]))</f>
        <v>16'm9</v>
      </c>
      <c r="V2748" s="7" t="str">
        <f>IF(ISBLANK(patch[[#This Row],[project]]), "",SUM(patch[[#This Row],[BJ -1 num]:[SH -1 num]]))</f>
        <v/>
      </c>
      <c r="W2748" s="7" t="str">
        <f>IF(ISBLANK(patch[[#This Row],[project]]), "",COUNTIFS($A:$A,patch[[#This Row],[number]],$S:$S, "BJ And dev",$AC:$AC, "Review-1"))</f>
        <v/>
      </c>
      <c r="X2748" s="7" t="str">
        <f>IF(ISBLANK(patch[[#This Row],[project]]), "",COUNTIFS($A:$A,patch[[#This Row],[number]],$S:$S, "FL And dev",$AC:$AC, "Review-1"))</f>
        <v/>
      </c>
      <c r="Y2748" s="7" t="str">
        <f>IF(ISBLANK(patch[[#This Row],[project]]), "",COUNTIFS($A:$A,patch[[#This Row],[number]],$S:$S, "SH And dev",$AC:$AC, "Review-1"))</f>
        <v/>
      </c>
      <c r="Z2748" s="7" t="str">
        <f>IF(ISBLANK(patch[[#This Row],[project]]), "",COUNTIFS($A:$A,patch[[#This Row],[number]],$S:$S, "BJ And dev",$AD:$AD, "&lt;&gt;IntegratorValidationComment"))</f>
        <v/>
      </c>
      <c r="AA2748" s="7" t="str">
        <f>IF(ISBLANK(patch[[#This Row],[project]]), "",COUNTIFS($A:$A,patch[[#This Row],[number]],$S:$S, "FL And dev",$AD:$AD, "&lt;&gt;IntegratorValidationComment"))</f>
        <v/>
      </c>
      <c r="AB2748" s="7" t="str">
        <f>IF(ISBLANK(patch[[#This Row],[project]]), "",COUNTIFS($A:$A,patch[[#This Row],[number]],$S:$S, "SH And dev",$AD:$AD, "&lt;&gt;IntegratorValidationComment"))</f>
        <v/>
      </c>
      <c r="AC2748" s="7" t="str">
        <f>IF(OR(ISNUMBER(FIND("Review-1", patch[[#This Row],[comments]])), ISNUMBER(FIND("Approver-1", patch[[#This Row],[comments]]))), "Review-1", "")</f>
        <v/>
      </c>
      <c r="AD27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48" s="7">
        <f>IF(ISBLANK(patch[[#This Row],[number]]),AE2747,patch[[#This Row],[ifCommon]])</f>
        <v>0</v>
      </c>
    </row>
    <row r="2749" spans="1:31">
      <c r="A2749" s="151">
        <v>139997</v>
      </c>
      <c r="B2749" s="151"/>
      <c r="C2749" s="151"/>
      <c r="D2749" s="151"/>
      <c r="E2749" s="151"/>
      <c r="F2749" s="151"/>
      <c r="G2749" s="151"/>
      <c r="H2749" s="151"/>
      <c r="I2749" s="151"/>
      <c r="J2749" s="152">
        <v>42614.749780092592</v>
      </c>
      <c r="K2749" s="151"/>
      <c r="L2749" s="151" t="s">
        <v>35</v>
      </c>
      <c r="M2749" s="152">
        <v>42608.501250000001</v>
      </c>
      <c r="N2749" s="151" t="s">
        <v>2509</v>
      </c>
      <c r="O2749" s="151"/>
      <c r="P2749" s="151"/>
      <c r="Q2749" s="7" t="str">
        <f>IF(ISBLANK(patch[[#This Row],[OwnerEmail]]),Q2748,patch[[#This Row],[OwnerEmail]])</f>
        <v>haipingx.yang@intel.com</v>
      </c>
      <c r="R2749" s="7" t="str">
        <f>_xlfn.IFNA(VLOOKUP(patch[[#This Row],[tmp-owner.email]],OrgTree!$A:$K, 11, 0), "not ICG SWFW")</f>
        <v>BJ And dev</v>
      </c>
      <c r="S2749" s="7" t="str">
        <f>IF(patch[[#This Row],[reviewer]]=patch[[#This Row],[tmp-owner.email]], "author", _xlfn.IFNA(VLOOKUP(patch[[#This Row],[reviewer]],OrgTree!$A:$K, 11, 0), "not ICG SWFW"))</f>
        <v>author</v>
      </c>
      <c r="T2749" s="7" t="str">
        <f>IF(ISBLANK(patch[[#This Row],[mergeDate]]), "", MID(YEAR(patch[[#This Row],[mergeDate]]), 3,2)&amp;"'ww"&amp;WEEKNUM(patch[[#This Row],[mergeDate]]))</f>
        <v>16'ww36</v>
      </c>
      <c r="U2749" s="7" t="str">
        <f>IF(ISBLANK(patch[[#This Row],[mergeDate]]), U2748, MID(YEAR(patch[[#This Row],[mergeDate]]), 3,2)&amp;"'m"&amp;MONTH(patch[[#This Row],[mergeDate]]))</f>
        <v>16'm9</v>
      </c>
      <c r="V2749" s="7" t="str">
        <f>IF(ISBLANK(patch[[#This Row],[project]]), "",SUM(patch[[#This Row],[BJ -1 num]:[SH -1 num]]))</f>
        <v/>
      </c>
      <c r="W2749" s="7" t="str">
        <f>IF(ISBLANK(patch[[#This Row],[project]]), "",COUNTIFS($A:$A,patch[[#This Row],[number]],$S:$S, "BJ And dev",$AC:$AC, "Review-1"))</f>
        <v/>
      </c>
      <c r="X2749" s="7" t="str">
        <f>IF(ISBLANK(patch[[#This Row],[project]]), "",COUNTIFS($A:$A,patch[[#This Row],[number]],$S:$S, "FL And dev",$AC:$AC, "Review-1"))</f>
        <v/>
      </c>
      <c r="Y2749" s="7" t="str">
        <f>IF(ISBLANK(patch[[#This Row],[project]]), "",COUNTIFS($A:$A,patch[[#This Row],[number]],$S:$S, "SH And dev",$AC:$AC, "Review-1"))</f>
        <v/>
      </c>
      <c r="Z2749" s="7" t="str">
        <f>IF(ISBLANK(patch[[#This Row],[project]]), "",COUNTIFS($A:$A,patch[[#This Row],[number]],$S:$S, "BJ And dev",$AD:$AD, "&lt;&gt;IntegratorValidationComment"))</f>
        <v/>
      </c>
      <c r="AA2749" s="7" t="str">
        <f>IF(ISBLANK(patch[[#This Row],[project]]), "",COUNTIFS($A:$A,patch[[#This Row],[number]],$S:$S, "FL And dev",$AD:$AD, "&lt;&gt;IntegratorValidationComment"))</f>
        <v/>
      </c>
      <c r="AB2749" s="7" t="str">
        <f>IF(ISBLANK(patch[[#This Row],[project]]), "",COUNTIFS($A:$A,patch[[#This Row],[number]],$S:$S, "SH And dev",$AD:$AD, "&lt;&gt;IntegratorValidationComment"))</f>
        <v/>
      </c>
      <c r="AC2749" s="7" t="str">
        <f>IF(OR(ISNUMBER(FIND("Review-1", patch[[#This Row],[comments]])), ISNUMBER(FIND("Approver-1", patch[[#This Row],[comments]]))), "Review-1", "")</f>
        <v/>
      </c>
      <c r="AD27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49" s="7">
        <f>IF(ISBLANK(patch[[#This Row],[number]]),AE2748,patch[[#This Row],[ifCommon]])</f>
        <v>0</v>
      </c>
    </row>
    <row r="2750" spans="1:31">
      <c r="A2750" s="151">
        <v>139997</v>
      </c>
      <c r="B2750" s="151"/>
      <c r="C2750" s="151"/>
      <c r="D2750" s="151"/>
      <c r="E2750" s="151"/>
      <c r="F2750" s="151"/>
      <c r="G2750" s="151"/>
      <c r="H2750" s="151"/>
      <c r="I2750" s="151"/>
      <c r="J2750" s="152">
        <v>42614.749780092592</v>
      </c>
      <c r="K2750" s="151"/>
      <c r="L2750" s="151" t="s">
        <v>35</v>
      </c>
      <c r="M2750" s="152">
        <v>42608.501250000001</v>
      </c>
      <c r="N2750" s="151" t="s">
        <v>2450</v>
      </c>
      <c r="O2750" s="151"/>
      <c r="P2750" s="151"/>
      <c r="Q2750" s="7" t="str">
        <f>IF(ISBLANK(patch[[#This Row],[OwnerEmail]]),Q2749,patch[[#This Row],[OwnerEmail]])</f>
        <v>haipingx.yang@intel.com</v>
      </c>
      <c r="R2750" s="7" t="str">
        <f>_xlfn.IFNA(VLOOKUP(patch[[#This Row],[tmp-owner.email]],OrgTree!$A:$K, 11, 0), "not ICG SWFW")</f>
        <v>BJ And dev</v>
      </c>
      <c r="S2750" s="7" t="str">
        <f>IF(patch[[#This Row],[reviewer]]=patch[[#This Row],[tmp-owner.email]], "author", _xlfn.IFNA(VLOOKUP(patch[[#This Row],[reviewer]],OrgTree!$A:$K, 11, 0), "not ICG SWFW"))</f>
        <v>author</v>
      </c>
      <c r="T2750" s="7" t="str">
        <f>IF(ISBLANK(patch[[#This Row],[mergeDate]]), "", MID(YEAR(patch[[#This Row],[mergeDate]]), 3,2)&amp;"'ww"&amp;WEEKNUM(patch[[#This Row],[mergeDate]]))</f>
        <v>16'ww36</v>
      </c>
      <c r="U2750" s="7" t="str">
        <f>IF(ISBLANK(patch[[#This Row],[mergeDate]]), U2749, MID(YEAR(patch[[#This Row],[mergeDate]]), 3,2)&amp;"'m"&amp;MONTH(patch[[#This Row],[mergeDate]]))</f>
        <v>16'm9</v>
      </c>
      <c r="V2750" s="7" t="str">
        <f>IF(ISBLANK(patch[[#This Row],[project]]), "",SUM(patch[[#This Row],[BJ -1 num]:[SH -1 num]]))</f>
        <v/>
      </c>
      <c r="W2750" s="7" t="str">
        <f>IF(ISBLANK(patch[[#This Row],[project]]), "",COUNTIFS($A:$A,patch[[#This Row],[number]],$S:$S, "BJ And dev",$AC:$AC, "Review-1"))</f>
        <v/>
      </c>
      <c r="X2750" s="7" t="str">
        <f>IF(ISBLANK(patch[[#This Row],[project]]), "",COUNTIFS($A:$A,patch[[#This Row],[number]],$S:$S, "FL And dev",$AC:$AC, "Review-1"))</f>
        <v/>
      </c>
      <c r="Y2750" s="7" t="str">
        <f>IF(ISBLANK(patch[[#This Row],[project]]), "",COUNTIFS($A:$A,patch[[#This Row],[number]],$S:$S, "SH And dev",$AC:$AC, "Review-1"))</f>
        <v/>
      </c>
      <c r="Z2750" s="7" t="str">
        <f>IF(ISBLANK(patch[[#This Row],[project]]), "",COUNTIFS($A:$A,patch[[#This Row],[number]],$S:$S, "BJ And dev",$AD:$AD, "&lt;&gt;IntegratorValidationComment"))</f>
        <v/>
      </c>
      <c r="AA2750" s="7" t="str">
        <f>IF(ISBLANK(patch[[#This Row],[project]]), "",COUNTIFS($A:$A,patch[[#This Row],[number]],$S:$S, "FL And dev",$AD:$AD, "&lt;&gt;IntegratorValidationComment"))</f>
        <v/>
      </c>
      <c r="AB2750" s="7" t="str">
        <f>IF(ISBLANK(patch[[#This Row],[project]]), "",COUNTIFS($A:$A,patch[[#This Row],[number]],$S:$S, "SH And dev",$AD:$AD, "&lt;&gt;IntegratorValidationComment"))</f>
        <v/>
      </c>
      <c r="AC2750" s="7" t="str">
        <f>IF(OR(ISNUMBER(FIND("Review-1", patch[[#This Row],[comments]])), ISNUMBER(FIND("Approver-1", patch[[#This Row],[comments]]))), "Review-1", "")</f>
        <v/>
      </c>
      <c r="AD27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50" s="7">
        <f>IF(ISBLANK(patch[[#This Row],[number]]),AE2749,patch[[#This Row],[ifCommon]])</f>
        <v>0</v>
      </c>
    </row>
    <row r="2751" spans="1:31">
      <c r="A2751" s="151">
        <v>139997</v>
      </c>
      <c r="B2751" s="151"/>
      <c r="C2751" s="151"/>
      <c r="D2751" s="151"/>
      <c r="E2751" s="151"/>
      <c r="F2751" s="151"/>
      <c r="G2751" s="151"/>
      <c r="H2751" s="151"/>
      <c r="I2751" s="151"/>
      <c r="J2751" s="152">
        <v>42614.749780092592</v>
      </c>
      <c r="K2751" s="151"/>
      <c r="L2751" s="151" t="s">
        <v>59</v>
      </c>
      <c r="M2751" s="152">
        <v>42608.508263888893</v>
      </c>
      <c r="N2751" s="151" t="s">
        <v>3971</v>
      </c>
      <c r="O2751" s="151"/>
      <c r="P2751" s="151"/>
      <c r="Q2751" s="7" t="str">
        <f>IF(ISBLANK(patch[[#This Row],[OwnerEmail]]),Q2750,patch[[#This Row],[OwnerEmail]])</f>
        <v>haipingx.yang@intel.com</v>
      </c>
      <c r="R2751" s="7" t="str">
        <f>_xlfn.IFNA(VLOOKUP(patch[[#This Row],[tmp-owner.email]],OrgTree!$A:$K, 11, 0), "not ICG SWFW")</f>
        <v>BJ And dev</v>
      </c>
      <c r="S2751" s="7" t="str">
        <f>IF(patch[[#This Row],[reviewer]]=patch[[#This Row],[tmp-owner.email]], "author", _xlfn.IFNA(VLOOKUP(patch[[#This Row],[reviewer]],OrgTree!$A:$K, 11, 0), "not ICG SWFW"))</f>
        <v>BJ And dev</v>
      </c>
      <c r="T2751" s="7" t="str">
        <f>IF(ISBLANK(patch[[#This Row],[mergeDate]]), "", MID(YEAR(patch[[#This Row],[mergeDate]]), 3,2)&amp;"'ww"&amp;WEEKNUM(patch[[#This Row],[mergeDate]]))</f>
        <v>16'ww36</v>
      </c>
      <c r="U2751" s="7" t="str">
        <f>IF(ISBLANK(patch[[#This Row],[mergeDate]]), U2750, MID(YEAR(patch[[#This Row],[mergeDate]]), 3,2)&amp;"'m"&amp;MONTH(patch[[#This Row],[mergeDate]]))</f>
        <v>16'm9</v>
      </c>
      <c r="V2751" s="7" t="str">
        <f>IF(ISBLANK(patch[[#This Row],[project]]), "",SUM(patch[[#This Row],[BJ -1 num]:[SH -1 num]]))</f>
        <v/>
      </c>
      <c r="W2751" s="7" t="str">
        <f>IF(ISBLANK(patch[[#This Row],[project]]), "",COUNTIFS($A:$A,patch[[#This Row],[number]],$S:$S, "BJ And dev",$AC:$AC, "Review-1"))</f>
        <v/>
      </c>
      <c r="X2751" s="7" t="str">
        <f>IF(ISBLANK(patch[[#This Row],[project]]), "",COUNTIFS($A:$A,patch[[#This Row],[number]],$S:$S, "FL And dev",$AC:$AC, "Review-1"))</f>
        <v/>
      </c>
      <c r="Y2751" s="7" t="str">
        <f>IF(ISBLANK(patch[[#This Row],[project]]), "",COUNTIFS($A:$A,patch[[#This Row],[number]],$S:$S, "SH And dev",$AC:$AC, "Review-1"))</f>
        <v/>
      </c>
      <c r="Z2751" s="7" t="str">
        <f>IF(ISBLANK(patch[[#This Row],[project]]), "",COUNTIFS($A:$A,patch[[#This Row],[number]],$S:$S, "BJ And dev",$AD:$AD, "&lt;&gt;IntegratorValidationComment"))</f>
        <v/>
      </c>
      <c r="AA2751" s="7" t="str">
        <f>IF(ISBLANK(patch[[#This Row],[project]]), "",COUNTIFS($A:$A,patch[[#This Row],[number]],$S:$S, "FL And dev",$AD:$AD, "&lt;&gt;IntegratorValidationComment"))</f>
        <v/>
      </c>
      <c r="AB2751" s="7" t="str">
        <f>IF(ISBLANK(patch[[#This Row],[project]]), "",COUNTIFS($A:$A,patch[[#This Row],[number]],$S:$S, "SH And dev",$AD:$AD, "&lt;&gt;IntegratorValidationComment"))</f>
        <v/>
      </c>
      <c r="AC2751" s="7" t="str">
        <f>IF(OR(ISNUMBER(FIND("Review-1", patch[[#This Row],[comments]])), ISNUMBER(FIND("Approver-1", patch[[#This Row],[comments]]))), "Review-1", "")</f>
        <v/>
      </c>
      <c r="AD27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51" s="7">
        <f>IF(ISBLANK(patch[[#This Row],[number]]),AE2750,patch[[#This Row],[ifCommon]])</f>
        <v>0</v>
      </c>
    </row>
    <row r="2752" spans="1:31">
      <c r="A2752" s="151">
        <v>139997</v>
      </c>
      <c r="B2752" s="151"/>
      <c r="C2752" s="151"/>
      <c r="D2752" s="151"/>
      <c r="E2752" s="151"/>
      <c r="F2752" s="151"/>
      <c r="G2752" s="151"/>
      <c r="H2752" s="151"/>
      <c r="I2752" s="151"/>
      <c r="J2752" s="152">
        <v>42614.749780092592</v>
      </c>
      <c r="K2752" s="151"/>
      <c r="L2752" s="151" t="s">
        <v>59</v>
      </c>
      <c r="M2752" s="152">
        <v>42608.511134259257</v>
      </c>
      <c r="N2752" s="151" t="s">
        <v>3972</v>
      </c>
      <c r="O2752" s="151"/>
      <c r="P2752" s="151"/>
      <c r="Q2752" s="7" t="str">
        <f>IF(ISBLANK(patch[[#This Row],[OwnerEmail]]),Q2751,patch[[#This Row],[OwnerEmail]])</f>
        <v>haipingx.yang@intel.com</v>
      </c>
      <c r="R2752" s="7" t="str">
        <f>_xlfn.IFNA(VLOOKUP(patch[[#This Row],[tmp-owner.email]],OrgTree!$A:$K, 11, 0), "not ICG SWFW")</f>
        <v>BJ And dev</v>
      </c>
      <c r="S2752" s="7" t="str">
        <f>IF(patch[[#This Row],[reviewer]]=patch[[#This Row],[tmp-owner.email]], "author", _xlfn.IFNA(VLOOKUP(patch[[#This Row],[reviewer]],OrgTree!$A:$K, 11, 0), "not ICG SWFW"))</f>
        <v>BJ And dev</v>
      </c>
      <c r="T2752" s="7" t="str">
        <f>IF(ISBLANK(patch[[#This Row],[mergeDate]]), "", MID(YEAR(patch[[#This Row],[mergeDate]]), 3,2)&amp;"'ww"&amp;WEEKNUM(patch[[#This Row],[mergeDate]]))</f>
        <v>16'ww36</v>
      </c>
      <c r="U2752" s="7" t="str">
        <f>IF(ISBLANK(patch[[#This Row],[mergeDate]]), U2751, MID(YEAR(patch[[#This Row],[mergeDate]]), 3,2)&amp;"'m"&amp;MONTH(patch[[#This Row],[mergeDate]]))</f>
        <v>16'm9</v>
      </c>
      <c r="V2752" s="7" t="str">
        <f>IF(ISBLANK(patch[[#This Row],[project]]), "",SUM(patch[[#This Row],[BJ -1 num]:[SH -1 num]]))</f>
        <v/>
      </c>
      <c r="W2752" s="7" t="str">
        <f>IF(ISBLANK(patch[[#This Row],[project]]), "",COUNTIFS($A:$A,patch[[#This Row],[number]],$S:$S, "BJ And dev",$AC:$AC, "Review-1"))</f>
        <v/>
      </c>
      <c r="X2752" s="7" t="str">
        <f>IF(ISBLANK(patch[[#This Row],[project]]), "",COUNTIFS($A:$A,patch[[#This Row],[number]],$S:$S, "FL And dev",$AC:$AC, "Review-1"))</f>
        <v/>
      </c>
      <c r="Y2752" s="7" t="str">
        <f>IF(ISBLANK(patch[[#This Row],[project]]), "",COUNTIFS($A:$A,patch[[#This Row],[number]],$S:$S, "SH And dev",$AC:$AC, "Review-1"))</f>
        <v/>
      </c>
      <c r="Z2752" s="7" t="str">
        <f>IF(ISBLANK(patch[[#This Row],[project]]), "",COUNTIFS($A:$A,patch[[#This Row],[number]],$S:$S, "BJ And dev",$AD:$AD, "&lt;&gt;IntegratorValidationComment"))</f>
        <v/>
      </c>
      <c r="AA2752" s="7" t="str">
        <f>IF(ISBLANK(patch[[#This Row],[project]]), "",COUNTIFS($A:$A,patch[[#This Row],[number]],$S:$S, "FL And dev",$AD:$AD, "&lt;&gt;IntegratorValidationComment"))</f>
        <v/>
      </c>
      <c r="AB2752" s="7" t="str">
        <f>IF(ISBLANK(patch[[#This Row],[project]]), "",COUNTIFS($A:$A,patch[[#This Row],[number]],$S:$S, "SH And dev",$AD:$AD, "&lt;&gt;IntegratorValidationComment"))</f>
        <v/>
      </c>
      <c r="AC2752" s="7" t="str">
        <f>IF(OR(ISNUMBER(FIND("Review-1", patch[[#This Row],[comments]])), ISNUMBER(FIND("Approver-1", patch[[#This Row],[comments]]))), "Review-1", "")</f>
        <v/>
      </c>
      <c r="AD27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52" s="7">
        <f>IF(ISBLANK(patch[[#This Row],[number]]),AE2751,patch[[#This Row],[ifCommon]])</f>
        <v>0</v>
      </c>
    </row>
    <row r="2753" spans="1:31">
      <c r="A2753" s="151">
        <v>139997</v>
      </c>
      <c r="B2753" s="151"/>
      <c r="C2753" s="151"/>
      <c r="D2753" s="151"/>
      <c r="E2753" s="151"/>
      <c r="F2753" s="151"/>
      <c r="G2753" s="151"/>
      <c r="H2753" s="151"/>
      <c r="I2753" s="151"/>
      <c r="J2753" s="152">
        <v>42614.749780092592</v>
      </c>
      <c r="K2753" s="151"/>
      <c r="L2753" s="151" t="s">
        <v>35</v>
      </c>
      <c r="M2753" s="152">
        <v>42611.970439814817</v>
      </c>
      <c r="N2753" s="151" t="s">
        <v>2451</v>
      </c>
      <c r="O2753" s="151"/>
      <c r="P2753" s="151"/>
      <c r="Q2753" s="7" t="str">
        <f>IF(ISBLANK(patch[[#This Row],[OwnerEmail]]),Q2752,patch[[#This Row],[OwnerEmail]])</f>
        <v>haipingx.yang@intel.com</v>
      </c>
      <c r="R2753" s="7" t="str">
        <f>_xlfn.IFNA(VLOOKUP(patch[[#This Row],[tmp-owner.email]],OrgTree!$A:$K, 11, 0), "not ICG SWFW")</f>
        <v>BJ And dev</v>
      </c>
      <c r="S2753" s="7" t="str">
        <f>IF(patch[[#This Row],[reviewer]]=patch[[#This Row],[tmp-owner.email]], "author", _xlfn.IFNA(VLOOKUP(patch[[#This Row],[reviewer]],OrgTree!$A:$K, 11, 0), "not ICG SWFW"))</f>
        <v>author</v>
      </c>
      <c r="T2753" s="7" t="str">
        <f>IF(ISBLANK(patch[[#This Row],[mergeDate]]), "", MID(YEAR(patch[[#This Row],[mergeDate]]), 3,2)&amp;"'ww"&amp;WEEKNUM(patch[[#This Row],[mergeDate]]))</f>
        <v>16'ww36</v>
      </c>
      <c r="U2753" s="7" t="str">
        <f>IF(ISBLANK(patch[[#This Row],[mergeDate]]), U2752, MID(YEAR(patch[[#This Row],[mergeDate]]), 3,2)&amp;"'m"&amp;MONTH(patch[[#This Row],[mergeDate]]))</f>
        <v>16'm9</v>
      </c>
      <c r="V2753" s="7" t="str">
        <f>IF(ISBLANK(patch[[#This Row],[project]]), "",SUM(patch[[#This Row],[BJ -1 num]:[SH -1 num]]))</f>
        <v/>
      </c>
      <c r="W2753" s="7" t="str">
        <f>IF(ISBLANK(patch[[#This Row],[project]]), "",COUNTIFS($A:$A,patch[[#This Row],[number]],$S:$S, "BJ And dev",$AC:$AC, "Review-1"))</f>
        <v/>
      </c>
      <c r="X2753" s="7" t="str">
        <f>IF(ISBLANK(patch[[#This Row],[project]]), "",COUNTIFS($A:$A,patch[[#This Row],[number]],$S:$S, "FL And dev",$AC:$AC, "Review-1"))</f>
        <v/>
      </c>
      <c r="Y2753" s="7" t="str">
        <f>IF(ISBLANK(patch[[#This Row],[project]]), "",COUNTIFS($A:$A,patch[[#This Row],[number]],$S:$S, "SH And dev",$AC:$AC, "Review-1"))</f>
        <v/>
      </c>
      <c r="Z2753" s="7" t="str">
        <f>IF(ISBLANK(patch[[#This Row],[project]]), "",COUNTIFS($A:$A,patch[[#This Row],[number]],$S:$S, "BJ And dev",$AD:$AD, "&lt;&gt;IntegratorValidationComment"))</f>
        <v/>
      </c>
      <c r="AA2753" s="7" t="str">
        <f>IF(ISBLANK(patch[[#This Row],[project]]), "",COUNTIFS($A:$A,patch[[#This Row],[number]],$S:$S, "FL And dev",$AD:$AD, "&lt;&gt;IntegratorValidationComment"))</f>
        <v/>
      </c>
      <c r="AB2753" s="7" t="str">
        <f>IF(ISBLANK(patch[[#This Row],[project]]), "",COUNTIFS($A:$A,patch[[#This Row],[number]],$S:$S, "SH And dev",$AD:$AD, "&lt;&gt;IntegratorValidationComment"))</f>
        <v/>
      </c>
      <c r="AC2753" s="7" t="str">
        <f>IF(OR(ISNUMBER(FIND("Review-1", patch[[#This Row],[comments]])), ISNUMBER(FIND("Approver-1", patch[[#This Row],[comments]]))), "Review-1", "")</f>
        <v/>
      </c>
      <c r="AD27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53" s="7">
        <f>IF(ISBLANK(patch[[#This Row],[number]]),AE2752,patch[[#This Row],[ifCommon]])</f>
        <v>0</v>
      </c>
    </row>
    <row r="2754" spans="1:31">
      <c r="A2754" s="151">
        <v>139997</v>
      </c>
      <c r="B2754" s="151"/>
      <c r="C2754" s="151"/>
      <c r="D2754" s="151"/>
      <c r="E2754" s="151"/>
      <c r="F2754" s="151"/>
      <c r="G2754" s="151"/>
      <c r="H2754" s="151"/>
      <c r="I2754" s="151"/>
      <c r="J2754" s="152">
        <v>42614.749780092592</v>
      </c>
      <c r="K2754" s="151"/>
      <c r="L2754" s="151" t="s">
        <v>35</v>
      </c>
      <c r="M2754" s="152">
        <v>42611.970439814817</v>
      </c>
      <c r="N2754" s="151" t="s">
        <v>49</v>
      </c>
      <c r="O2754" s="151"/>
      <c r="P2754" s="151"/>
      <c r="Q2754" s="7" t="str">
        <f>IF(ISBLANK(patch[[#This Row],[OwnerEmail]]),Q2753,patch[[#This Row],[OwnerEmail]])</f>
        <v>haipingx.yang@intel.com</v>
      </c>
      <c r="R2754" s="7" t="str">
        <f>_xlfn.IFNA(VLOOKUP(patch[[#This Row],[tmp-owner.email]],OrgTree!$A:$K, 11, 0), "not ICG SWFW")</f>
        <v>BJ And dev</v>
      </c>
      <c r="S2754" s="7" t="str">
        <f>IF(patch[[#This Row],[reviewer]]=patch[[#This Row],[tmp-owner.email]], "author", _xlfn.IFNA(VLOOKUP(patch[[#This Row],[reviewer]],OrgTree!$A:$K, 11, 0), "not ICG SWFW"))</f>
        <v>author</v>
      </c>
      <c r="T2754" s="7" t="str">
        <f>IF(ISBLANK(patch[[#This Row],[mergeDate]]), "", MID(YEAR(patch[[#This Row],[mergeDate]]), 3,2)&amp;"'ww"&amp;WEEKNUM(patch[[#This Row],[mergeDate]]))</f>
        <v>16'ww36</v>
      </c>
      <c r="U2754" s="7" t="str">
        <f>IF(ISBLANK(patch[[#This Row],[mergeDate]]), U2753, MID(YEAR(patch[[#This Row],[mergeDate]]), 3,2)&amp;"'m"&amp;MONTH(patch[[#This Row],[mergeDate]]))</f>
        <v>16'm9</v>
      </c>
      <c r="V2754" s="7" t="str">
        <f>IF(ISBLANK(patch[[#This Row],[project]]), "",SUM(patch[[#This Row],[BJ -1 num]:[SH -1 num]]))</f>
        <v/>
      </c>
      <c r="W2754" s="7" t="str">
        <f>IF(ISBLANK(patch[[#This Row],[project]]), "",COUNTIFS($A:$A,patch[[#This Row],[number]],$S:$S, "BJ And dev",$AC:$AC, "Review-1"))</f>
        <v/>
      </c>
      <c r="X2754" s="7" t="str">
        <f>IF(ISBLANK(patch[[#This Row],[project]]), "",COUNTIFS($A:$A,patch[[#This Row],[number]],$S:$S, "FL And dev",$AC:$AC, "Review-1"))</f>
        <v/>
      </c>
      <c r="Y2754" s="7" t="str">
        <f>IF(ISBLANK(patch[[#This Row],[project]]), "",COUNTIFS($A:$A,patch[[#This Row],[number]],$S:$S, "SH And dev",$AC:$AC, "Review-1"))</f>
        <v/>
      </c>
      <c r="Z2754" s="7" t="str">
        <f>IF(ISBLANK(patch[[#This Row],[project]]), "",COUNTIFS($A:$A,patch[[#This Row],[number]],$S:$S, "BJ And dev",$AD:$AD, "&lt;&gt;IntegratorValidationComment"))</f>
        <v/>
      </c>
      <c r="AA2754" s="7" t="str">
        <f>IF(ISBLANK(patch[[#This Row],[project]]), "",COUNTIFS($A:$A,patch[[#This Row],[number]],$S:$S, "FL And dev",$AD:$AD, "&lt;&gt;IntegratorValidationComment"))</f>
        <v/>
      </c>
      <c r="AB2754" s="7" t="str">
        <f>IF(ISBLANK(patch[[#This Row],[project]]), "",COUNTIFS($A:$A,patch[[#This Row],[number]],$S:$S, "SH And dev",$AD:$AD, "&lt;&gt;IntegratorValidationComment"))</f>
        <v/>
      </c>
      <c r="AC2754" s="7" t="str">
        <f>IF(OR(ISNUMBER(FIND("Review-1", patch[[#This Row],[comments]])), ISNUMBER(FIND("Approver-1", patch[[#This Row],[comments]]))), "Review-1", "")</f>
        <v/>
      </c>
      <c r="AD27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54" s="7">
        <f>IF(ISBLANK(patch[[#This Row],[number]]),AE2753,patch[[#This Row],[ifCommon]])</f>
        <v>0</v>
      </c>
    </row>
    <row r="2755" spans="1:31">
      <c r="A2755" s="151">
        <v>139997</v>
      </c>
      <c r="B2755" s="151"/>
      <c r="C2755" s="151"/>
      <c r="D2755" s="151"/>
      <c r="E2755" s="151"/>
      <c r="F2755" s="151"/>
      <c r="G2755" s="151"/>
      <c r="H2755" s="151"/>
      <c r="I2755" s="151"/>
      <c r="J2755" s="152">
        <v>42614.749780092592</v>
      </c>
      <c r="K2755" s="151"/>
      <c r="L2755" s="151" t="s">
        <v>35</v>
      </c>
      <c r="M2755" s="152">
        <v>42611.972881944443</v>
      </c>
      <c r="N2755" s="151" t="s">
        <v>31</v>
      </c>
      <c r="O2755" s="151"/>
      <c r="P2755" s="151"/>
      <c r="Q2755" s="7" t="str">
        <f>IF(ISBLANK(patch[[#This Row],[OwnerEmail]]),Q2754,patch[[#This Row],[OwnerEmail]])</f>
        <v>haipingx.yang@intel.com</v>
      </c>
      <c r="R2755" s="7" t="str">
        <f>_xlfn.IFNA(VLOOKUP(patch[[#This Row],[tmp-owner.email]],OrgTree!$A:$K, 11, 0), "not ICG SWFW")</f>
        <v>BJ And dev</v>
      </c>
      <c r="S2755" s="7" t="str">
        <f>IF(patch[[#This Row],[reviewer]]=patch[[#This Row],[tmp-owner.email]], "author", _xlfn.IFNA(VLOOKUP(patch[[#This Row],[reviewer]],OrgTree!$A:$K, 11, 0), "not ICG SWFW"))</f>
        <v>author</v>
      </c>
      <c r="T2755" s="7" t="str">
        <f>IF(ISBLANK(patch[[#This Row],[mergeDate]]), "", MID(YEAR(patch[[#This Row],[mergeDate]]), 3,2)&amp;"'ww"&amp;WEEKNUM(patch[[#This Row],[mergeDate]]))</f>
        <v>16'ww36</v>
      </c>
      <c r="U2755" s="7" t="str">
        <f>IF(ISBLANK(patch[[#This Row],[mergeDate]]), U2754, MID(YEAR(patch[[#This Row],[mergeDate]]), 3,2)&amp;"'m"&amp;MONTH(patch[[#This Row],[mergeDate]]))</f>
        <v>16'm9</v>
      </c>
      <c r="V2755" s="7" t="str">
        <f>IF(ISBLANK(patch[[#This Row],[project]]), "",SUM(patch[[#This Row],[BJ -1 num]:[SH -1 num]]))</f>
        <v/>
      </c>
      <c r="W2755" s="7" t="str">
        <f>IF(ISBLANK(patch[[#This Row],[project]]), "",COUNTIFS($A:$A,patch[[#This Row],[number]],$S:$S, "BJ And dev",$AC:$AC, "Review-1"))</f>
        <v/>
      </c>
      <c r="X2755" s="7" t="str">
        <f>IF(ISBLANK(patch[[#This Row],[project]]), "",COUNTIFS($A:$A,patch[[#This Row],[number]],$S:$S, "FL And dev",$AC:$AC, "Review-1"))</f>
        <v/>
      </c>
      <c r="Y2755" s="7" t="str">
        <f>IF(ISBLANK(patch[[#This Row],[project]]), "",COUNTIFS($A:$A,patch[[#This Row],[number]],$S:$S, "SH And dev",$AC:$AC, "Review-1"))</f>
        <v/>
      </c>
      <c r="Z2755" s="7" t="str">
        <f>IF(ISBLANK(patch[[#This Row],[project]]), "",COUNTIFS($A:$A,patch[[#This Row],[number]],$S:$S, "BJ And dev",$AD:$AD, "&lt;&gt;IntegratorValidationComment"))</f>
        <v/>
      </c>
      <c r="AA2755" s="7" t="str">
        <f>IF(ISBLANK(patch[[#This Row],[project]]), "",COUNTIFS($A:$A,patch[[#This Row],[number]],$S:$S, "FL And dev",$AD:$AD, "&lt;&gt;IntegratorValidationComment"))</f>
        <v/>
      </c>
      <c r="AB2755" s="7" t="str">
        <f>IF(ISBLANK(patch[[#This Row],[project]]), "",COUNTIFS($A:$A,patch[[#This Row],[number]],$S:$S, "SH And dev",$AD:$AD, "&lt;&gt;IntegratorValidationComment"))</f>
        <v/>
      </c>
      <c r="AC2755" s="7" t="str">
        <f>IF(OR(ISNUMBER(FIND("Review-1", patch[[#This Row],[comments]])), ISNUMBER(FIND("Approver-1", patch[[#This Row],[comments]]))), "Review-1", "")</f>
        <v/>
      </c>
      <c r="AD27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55" s="7">
        <f>IF(ISBLANK(patch[[#This Row],[number]]),AE2754,patch[[#This Row],[ifCommon]])</f>
        <v>0</v>
      </c>
    </row>
    <row r="2756" spans="1:31">
      <c r="A2756" s="151">
        <v>139997</v>
      </c>
      <c r="B2756" s="151"/>
      <c r="C2756" s="151"/>
      <c r="D2756" s="151"/>
      <c r="E2756" s="151"/>
      <c r="F2756" s="151"/>
      <c r="G2756" s="151"/>
      <c r="H2756" s="151"/>
      <c r="I2756" s="151"/>
      <c r="J2756" s="152">
        <v>42614.749780092592</v>
      </c>
      <c r="K2756" s="151"/>
      <c r="L2756" s="151" t="s">
        <v>30</v>
      </c>
      <c r="M2756" s="152">
        <v>42611.980937499997</v>
      </c>
      <c r="N2756" s="151" t="s">
        <v>2573</v>
      </c>
      <c r="O2756" s="151"/>
      <c r="P2756" s="151"/>
      <c r="Q2756" s="7" t="str">
        <f>IF(ISBLANK(patch[[#This Row],[OwnerEmail]]),Q2755,patch[[#This Row],[OwnerEmail]])</f>
        <v>haipingx.yang@intel.com</v>
      </c>
      <c r="R2756" s="7" t="str">
        <f>_xlfn.IFNA(VLOOKUP(patch[[#This Row],[tmp-owner.email]],OrgTree!$A:$K, 11, 0), "not ICG SWFW")</f>
        <v>BJ And dev</v>
      </c>
      <c r="S2756" s="7" t="str">
        <f>IF(patch[[#This Row],[reviewer]]=patch[[#This Row],[tmp-owner.email]], "author", _xlfn.IFNA(VLOOKUP(patch[[#This Row],[reviewer]],OrgTree!$A:$K, 11, 0), "not ICG SWFW"))</f>
        <v>Val</v>
      </c>
      <c r="T2756" s="7" t="str">
        <f>IF(ISBLANK(patch[[#This Row],[mergeDate]]), "", MID(YEAR(patch[[#This Row],[mergeDate]]), 3,2)&amp;"'ww"&amp;WEEKNUM(patch[[#This Row],[mergeDate]]))</f>
        <v>16'ww36</v>
      </c>
      <c r="U2756" s="7" t="str">
        <f>IF(ISBLANK(patch[[#This Row],[mergeDate]]), U2755, MID(YEAR(patch[[#This Row],[mergeDate]]), 3,2)&amp;"'m"&amp;MONTH(patch[[#This Row],[mergeDate]]))</f>
        <v>16'm9</v>
      </c>
      <c r="V2756" s="7" t="str">
        <f>IF(ISBLANK(patch[[#This Row],[project]]), "",SUM(patch[[#This Row],[BJ -1 num]:[SH -1 num]]))</f>
        <v/>
      </c>
      <c r="W2756" s="7" t="str">
        <f>IF(ISBLANK(patch[[#This Row],[project]]), "",COUNTIFS($A:$A,patch[[#This Row],[number]],$S:$S, "BJ And dev",$AC:$AC, "Review-1"))</f>
        <v/>
      </c>
      <c r="X2756" s="7" t="str">
        <f>IF(ISBLANK(patch[[#This Row],[project]]), "",COUNTIFS($A:$A,patch[[#This Row],[number]],$S:$S, "FL And dev",$AC:$AC, "Review-1"))</f>
        <v/>
      </c>
      <c r="Y2756" s="7" t="str">
        <f>IF(ISBLANK(patch[[#This Row],[project]]), "",COUNTIFS($A:$A,patch[[#This Row],[number]],$S:$S, "SH And dev",$AC:$AC, "Review-1"))</f>
        <v/>
      </c>
      <c r="Z2756" s="7" t="str">
        <f>IF(ISBLANK(patch[[#This Row],[project]]), "",COUNTIFS($A:$A,patch[[#This Row],[number]],$S:$S, "BJ And dev",$AD:$AD, "&lt;&gt;IntegratorValidationComment"))</f>
        <v/>
      </c>
      <c r="AA2756" s="7" t="str">
        <f>IF(ISBLANK(patch[[#This Row],[project]]), "",COUNTIFS($A:$A,patch[[#This Row],[number]],$S:$S, "FL And dev",$AD:$AD, "&lt;&gt;IntegratorValidationComment"))</f>
        <v/>
      </c>
      <c r="AB2756" s="7" t="str">
        <f>IF(ISBLANK(patch[[#This Row],[project]]), "",COUNTIFS($A:$A,patch[[#This Row],[number]],$S:$S, "SH And dev",$AD:$AD, "&lt;&gt;IntegratorValidationComment"))</f>
        <v/>
      </c>
      <c r="AC2756" s="7" t="str">
        <f>IF(OR(ISNUMBER(FIND("Review-1", patch[[#This Row],[comments]])), ISNUMBER(FIND("Approver-1", patch[[#This Row],[comments]]))), "Review-1", "")</f>
        <v/>
      </c>
      <c r="AD27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756" s="7">
        <f>IF(ISBLANK(patch[[#This Row],[number]]),AE2755,patch[[#This Row],[ifCommon]])</f>
        <v>0</v>
      </c>
    </row>
    <row r="2757" spans="1:31">
      <c r="A2757" s="151">
        <v>139997</v>
      </c>
      <c r="B2757" s="151"/>
      <c r="C2757" s="151"/>
      <c r="D2757" s="151"/>
      <c r="E2757" s="151"/>
      <c r="F2757" s="151"/>
      <c r="G2757" s="151"/>
      <c r="H2757" s="151"/>
      <c r="I2757" s="151"/>
      <c r="J2757" s="152">
        <v>42614.749780092592</v>
      </c>
      <c r="K2757" s="151"/>
      <c r="L2757" s="151" t="s">
        <v>59</v>
      </c>
      <c r="M2757" s="152">
        <v>42612.376284722217</v>
      </c>
      <c r="N2757" s="151" t="s">
        <v>3973</v>
      </c>
      <c r="O2757" s="151"/>
      <c r="P2757" s="151"/>
      <c r="Q2757" s="7" t="str">
        <f>IF(ISBLANK(patch[[#This Row],[OwnerEmail]]),Q2756,patch[[#This Row],[OwnerEmail]])</f>
        <v>haipingx.yang@intel.com</v>
      </c>
      <c r="R2757" s="7" t="str">
        <f>_xlfn.IFNA(VLOOKUP(patch[[#This Row],[tmp-owner.email]],OrgTree!$A:$K, 11, 0), "not ICG SWFW")</f>
        <v>BJ And dev</v>
      </c>
      <c r="S2757" s="7" t="str">
        <f>IF(patch[[#This Row],[reviewer]]=patch[[#This Row],[tmp-owner.email]], "author", _xlfn.IFNA(VLOOKUP(patch[[#This Row],[reviewer]],OrgTree!$A:$K, 11, 0), "not ICG SWFW"))</f>
        <v>BJ And dev</v>
      </c>
      <c r="T2757" s="7" t="str">
        <f>IF(ISBLANK(patch[[#This Row],[mergeDate]]), "", MID(YEAR(patch[[#This Row],[mergeDate]]), 3,2)&amp;"'ww"&amp;WEEKNUM(patch[[#This Row],[mergeDate]]))</f>
        <v>16'ww36</v>
      </c>
      <c r="U2757" s="7" t="str">
        <f>IF(ISBLANK(patch[[#This Row],[mergeDate]]), U2756, MID(YEAR(patch[[#This Row],[mergeDate]]), 3,2)&amp;"'m"&amp;MONTH(patch[[#This Row],[mergeDate]]))</f>
        <v>16'm9</v>
      </c>
      <c r="V2757" s="7" t="str">
        <f>IF(ISBLANK(patch[[#This Row],[project]]), "",SUM(patch[[#This Row],[BJ -1 num]:[SH -1 num]]))</f>
        <v/>
      </c>
      <c r="W2757" s="7" t="str">
        <f>IF(ISBLANK(patch[[#This Row],[project]]), "",COUNTIFS($A:$A,patch[[#This Row],[number]],$S:$S, "BJ And dev",$AC:$AC, "Review-1"))</f>
        <v/>
      </c>
      <c r="X2757" s="7" t="str">
        <f>IF(ISBLANK(patch[[#This Row],[project]]), "",COUNTIFS($A:$A,patch[[#This Row],[number]],$S:$S, "FL And dev",$AC:$AC, "Review-1"))</f>
        <v/>
      </c>
      <c r="Y2757" s="7" t="str">
        <f>IF(ISBLANK(patch[[#This Row],[project]]), "",COUNTIFS($A:$A,patch[[#This Row],[number]],$S:$S, "SH And dev",$AC:$AC, "Review-1"))</f>
        <v/>
      </c>
      <c r="Z2757" s="7" t="str">
        <f>IF(ISBLANK(patch[[#This Row],[project]]), "",COUNTIFS($A:$A,patch[[#This Row],[number]],$S:$S, "BJ And dev",$AD:$AD, "&lt;&gt;IntegratorValidationComment"))</f>
        <v/>
      </c>
      <c r="AA2757" s="7" t="str">
        <f>IF(ISBLANK(patch[[#This Row],[project]]), "",COUNTIFS($A:$A,patch[[#This Row],[number]],$S:$S, "FL And dev",$AD:$AD, "&lt;&gt;IntegratorValidationComment"))</f>
        <v/>
      </c>
      <c r="AB2757" s="7" t="str">
        <f>IF(ISBLANK(patch[[#This Row],[project]]), "",COUNTIFS($A:$A,patch[[#This Row],[number]],$S:$S, "SH And dev",$AD:$AD, "&lt;&gt;IntegratorValidationComment"))</f>
        <v/>
      </c>
      <c r="AC2757" s="7" t="str">
        <f>IF(OR(ISNUMBER(FIND("Review-1", patch[[#This Row],[comments]])), ISNUMBER(FIND("Approver-1", patch[[#This Row],[comments]]))), "Review-1", "")</f>
        <v/>
      </c>
      <c r="AD27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57" s="7">
        <f>IF(ISBLANK(patch[[#This Row],[number]]),AE2756,patch[[#This Row],[ifCommon]])</f>
        <v>0</v>
      </c>
    </row>
    <row r="2758" spans="1:31">
      <c r="A2758" s="151">
        <v>139997</v>
      </c>
      <c r="B2758" s="151"/>
      <c r="C2758" s="151"/>
      <c r="D2758" s="151"/>
      <c r="E2758" s="151"/>
      <c r="F2758" s="151"/>
      <c r="G2758" s="151"/>
      <c r="H2758" s="151"/>
      <c r="I2758" s="151"/>
      <c r="J2758" s="152">
        <v>42614.749780092592</v>
      </c>
      <c r="K2758" s="151"/>
      <c r="L2758" s="151" t="s">
        <v>59</v>
      </c>
      <c r="M2758" s="152">
        <v>42612.379374999997</v>
      </c>
      <c r="N2758" s="151" t="s">
        <v>3974</v>
      </c>
      <c r="O2758" s="151"/>
      <c r="P2758" s="151"/>
      <c r="Q2758" s="7" t="str">
        <f>IF(ISBLANK(patch[[#This Row],[OwnerEmail]]),Q2757,patch[[#This Row],[OwnerEmail]])</f>
        <v>haipingx.yang@intel.com</v>
      </c>
      <c r="R2758" s="7" t="str">
        <f>_xlfn.IFNA(VLOOKUP(patch[[#This Row],[tmp-owner.email]],OrgTree!$A:$K, 11, 0), "not ICG SWFW")</f>
        <v>BJ And dev</v>
      </c>
      <c r="S2758" s="7" t="str">
        <f>IF(patch[[#This Row],[reviewer]]=patch[[#This Row],[tmp-owner.email]], "author", _xlfn.IFNA(VLOOKUP(patch[[#This Row],[reviewer]],OrgTree!$A:$K, 11, 0), "not ICG SWFW"))</f>
        <v>BJ And dev</v>
      </c>
      <c r="T2758" s="7" t="str">
        <f>IF(ISBLANK(patch[[#This Row],[mergeDate]]), "", MID(YEAR(patch[[#This Row],[mergeDate]]), 3,2)&amp;"'ww"&amp;WEEKNUM(patch[[#This Row],[mergeDate]]))</f>
        <v>16'ww36</v>
      </c>
      <c r="U2758" s="7" t="str">
        <f>IF(ISBLANK(patch[[#This Row],[mergeDate]]), U2757, MID(YEAR(patch[[#This Row],[mergeDate]]), 3,2)&amp;"'m"&amp;MONTH(patch[[#This Row],[mergeDate]]))</f>
        <v>16'm9</v>
      </c>
      <c r="V2758" s="7" t="str">
        <f>IF(ISBLANK(patch[[#This Row],[project]]), "",SUM(patch[[#This Row],[BJ -1 num]:[SH -1 num]]))</f>
        <v/>
      </c>
      <c r="W2758" s="7" t="str">
        <f>IF(ISBLANK(patch[[#This Row],[project]]), "",COUNTIFS($A:$A,patch[[#This Row],[number]],$S:$S, "BJ And dev",$AC:$AC, "Review-1"))</f>
        <v/>
      </c>
      <c r="X2758" s="7" t="str">
        <f>IF(ISBLANK(patch[[#This Row],[project]]), "",COUNTIFS($A:$A,patch[[#This Row],[number]],$S:$S, "FL And dev",$AC:$AC, "Review-1"))</f>
        <v/>
      </c>
      <c r="Y2758" s="7" t="str">
        <f>IF(ISBLANK(patch[[#This Row],[project]]), "",COUNTIFS($A:$A,patch[[#This Row],[number]],$S:$S, "SH And dev",$AC:$AC, "Review-1"))</f>
        <v/>
      </c>
      <c r="Z2758" s="7" t="str">
        <f>IF(ISBLANK(patch[[#This Row],[project]]), "",COUNTIFS($A:$A,patch[[#This Row],[number]],$S:$S, "BJ And dev",$AD:$AD, "&lt;&gt;IntegratorValidationComment"))</f>
        <v/>
      </c>
      <c r="AA2758" s="7" t="str">
        <f>IF(ISBLANK(patch[[#This Row],[project]]), "",COUNTIFS($A:$A,patch[[#This Row],[number]],$S:$S, "FL And dev",$AD:$AD, "&lt;&gt;IntegratorValidationComment"))</f>
        <v/>
      </c>
      <c r="AB2758" s="7" t="str">
        <f>IF(ISBLANK(patch[[#This Row],[project]]), "",COUNTIFS($A:$A,patch[[#This Row],[number]],$S:$S, "SH And dev",$AD:$AD, "&lt;&gt;IntegratorValidationComment"))</f>
        <v/>
      </c>
      <c r="AC2758" s="7" t="str">
        <f>IF(OR(ISNUMBER(FIND("Review-1", patch[[#This Row],[comments]])), ISNUMBER(FIND("Approver-1", patch[[#This Row],[comments]]))), "Review-1", "")</f>
        <v/>
      </c>
      <c r="AD27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58" s="7">
        <f>IF(ISBLANK(patch[[#This Row],[number]]),AE2757,patch[[#This Row],[ifCommon]])</f>
        <v>0</v>
      </c>
    </row>
    <row r="2759" spans="1:31">
      <c r="A2759" s="151">
        <v>139997</v>
      </c>
      <c r="B2759" s="151"/>
      <c r="C2759" s="151"/>
      <c r="D2759" s="151"/>
      <c r="E2759" s="151"/>
      <c r="F2759" s="151"/>
      <c r="G2759" s="151"/>
      <c r="H2759" s="151"/>
      <c r="I2759" s="151"/>
      <c r="J2759" s="152">
        <v>42614.749780092592</v>
      </c>
      <c r="K2759" s="151"/>
      <c r="L2759" s="151" t="s">
        <v>59</v>
      </c>
      <c r="M2759" s="152">
        <v>42613.481886574067</v>
      </c>
      <c r="N2759" s="151" t="s">
        <v>31</v>
      </c>
      <c r="O2759" s="151"/>
      <c r="P2759" s="151"/>
      <c r="Q2759" s="7" t="str">
        <f>IF(ISBLANK(patch[[#This Row],[OwnerEmail]]),Q2758,patch[[#This Row],[OwnerEmail]])</f>
        <v>haipingx.yang@intel.com</v>
      </c>
      <c r="R2759" s="7" t="str">
        <f>_xlfn.IFNA(VLOOKUP(patch[[#This Row],[tmp-owner.email]],OrgTree!$A:$K, 11, 0), "not ICG SWFW")</f>
        <v>BJ And dev</v>
      </c>
      <c r="S2759" s="7" t="str">
        <f>IF(patch[[#This Row],[reviewer]]=patch[[#This Row],[tmp-owner.email]], "author", _xlfn.IFNA(VLOOKUP(patch[[#This Row],[reviewer]],OrgTree!$A:$K, 11, 0), "not ICG SWFW"))</f>
        <v>BJ And dev</v>
      </c>
      <c r="T2759" s="7" t="str">
        <f>IF(ISBLANK(patch[[#This Row],[mergeDate]]), "", MID(YEAR(patch[[#This Row],[mergeDate]]), 3,2)&amp;"'ww"&amp;WEEKNUM(patch[[#This Row],[mergeDate]]))</f>
        <v>16'ww36</v>
      </c>
      <c r="U2759" s="7" t="str">
        <f>IF(ISBLANK(patch[[#This Row],[mergeDate]]), U2758, MID(YEAR(patch[[#This Row],[mergeDate]]), 3,2)&amp;"'m"&amp;MONTH(patch[[#This Row],[mergeDate]]))</f>
        <v>16'm9</v>
      </c>
      <c r="V2759" s="7" t="str">
        <f>IF(ISBLANK(patch[[#This Row],[project]]), "",SUM(patch[[#This Row],[BJ -1 num]:[SH -1 num]]))</f>
        <v/>
      </c>
      <c r="W2759" s="7" t="str">
        <f>IF(ISBLANK(patch[[#This Row],[project]]), "",COUNTIFS($A:$A,patch[[#This Row],[number]],$S:$S, "BJ And dev",$AC:$AC, "Review-1"))</f>
        <v/>
      </c>
      <c r="X2759" s="7" t="str">
        <f>IF(ISBLANK(patch[[#This Row],[project]]), "",COUNTIFS($A:$A,patch[[#This Row],[number]],$S:$S, "FL And dev",$AC:$AC, "Review-1"))</f>
        <v/>
      </c>
      <c r="Y2759" s="7" t="str">
        <f>IF(ISBLANK(patch[[#This Row],[project]]), "",COUNTIFS($A:$A,patch[[#This Row],[number]],$S:$S, "SH And dev",$AC:$AC, "Review-1"))</f>
        <v/>
      </c>
      <c r="Z2759" s="7" t="str">
        <f>IF(ISBLANK(patch[[#This Row],[project]]), "",COUNTIFS($A:$A,patch[[#This Row],[number]],$S:$S, "BJ And dev",$AD:$AD, "&lt;&gt;IntegratorValidationComment"))</f>
        <v/>
      </c>
      <c r="AA2759" s="7" t="str">
        <f>IF(ISBLANK(patch[[#This Row],[project]]), "",COUNTIFS($A:$A,patch[[#This Row],[number]],$S:$S, "FL And dev",$AD:$AD, "&lt;&gt;IntegratorValidationComment"))</f>
        <v/>
      </c>
      <c r="AB2759" s="7" t="str">
        <f>IF(ISBLANK(patch[[#This Row],[project]]), "",COUNTIFS($A:$A,patch[[#This Row],[number]],$S:$S, "SH And dev",$AD:$AD, "&lt;&gt;IntegratorValidationComment"))</f>
        <v/>
      </c>
      <c r="AC2759" s="7" t="str">
        <f>IF(OR(ISNUMBER(FIND("Review-1", patch[[#This Row],[comments]])), ISNUMBER(FIND("Approver-1", patch[[#This Row],[comments]]))), "Review-1", "")</f>
        <v/>
      </c>
      <c r="AD27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59" s="7">
        <f>IF(ISBLANK(patch[[#This Row],[number]]),AE2758,patch[[#This Row],[ifCommon]])</f>
        <v>0</v>
      </c>
    </row>
    <row r="2760" spans="1:31">
      <c r="A2760" s="151">
        <v>139997</v>
      </c>
      <c r="B2760" s="151"/>
      <c r="C2760" s="151"/>
      <c r="D2760" s="151"/>
      <c r="E2760" s="151"/>
      <c r="F2760" s="151"/>
      <c r="G2760" s="151"/>
      <c r="H2760" s="151"/>
      <c r="I2760" s="151"/>
      <c r="J2760" s="152">
        <v>42614.749780092592</v>
      </c>
      <c r="K2760" s="151"/>
      <c r="L2760" s="151" t="s">
        <v>32</v>
      </c>
      <c r="M2760" s="152">
        <v>42613.497870370367</v>
      </c>
      <c r="N2760" s="151" t="s">
        <v>1898</v>
      </c>
      <c r="O2760" s="151"/>
      <c r="P2760" s="151"/>
      <c r="Q2760" s="7" t="str">
        <f>IF(ISBLANK(patch[[#This Row],[OwnerEmail]]),Q2759,patch[[#This Row],[OwnerEmail]])</f>
        <v>haipingx.yang@intel.com</v>
      </c>
      <c r="R2760" s="7" t="str">
        <f>_xlfn.IFNA(VLOOKUP(patch[[#This Row],[tmp-owner.email]],OrgTree!$A:$K, 11, 0), "not ICG SWFW")</f>
        <v>BJ And dev</v>
      </c>
      <c r="S2760" s="7" t="str">
        <f>IF(patch[[#This Row],[reviewer]]=patch[[#This Row],[tmp-owner.email]], "author", _xlfn.IFNA(VLOOKUP(patch[[#This Row],[reviewer]],OrgTree!$A:$K, 11, 0), "not ICG SWFW"))</f>
        <v>BJ And dev</v>
      </c>
      <c r="T2760" s="7" t="str">
        <f>IF(ISBLANK(patch[[#This Row],[mergeDate]]), "", MID(YEAR(patch[[#This Row],[mergeDate]]), 3,2)&amp;"'ww"&amp;WEEKNUM(patch[[#This Row],[mergeDate]]))</f>
        <v>16'ww36</v>
      </c>
      <c r="U2760" s="7" t="str">
        <f>IF(ISBLANK(patch[[#This Row],[mergeDate]]), U2759, MID(YEAR(patch[[#This Row],[mergeDate]]), 3,2)&amp;"'m"&amp;MONTH(patch[[#This Row],[mergeDate]]))</f>
        <v>16'm9</v>
      </c>
      <c r="V2760" s="7" t="str">
        <f>IF(ISBLANK(patch[[#This Row],[project]]), "",SUM(patch[[#This Row],[BJ -1 num]:[SH -1 num]]))</f>
        <v/>
      </c>
      <c r="W2760" s="7" t="str">
        <f>IF(ISBLANK(patch[[#This Row],[project]]), "",COUNTIFS($A:$A,patch[[#This Row],[number]],$S:$S, "BJ And dev",$AC:$AC, "Review-1"))</f>
        <v/>
      </c>
      <c r="X2760" s="7" t="str">
        <f>IF(ISBLANK(patch[[#This Row],[project]]), "",COUNTIFS($A:$A,patch[[#This Row],[number]],$S:$S, "FL And dev",$AC:$AC, "Review-1"))</f>
        <v/>
      </c>
      <c r="Y2760" s="7" t="str">
        <f>IF(ISBLANK(patch[[#This Row],[project]]), "",COUNTIFS($A:$A,patch[[#This Row],[number]],$S:$S, "SH And dev",$AC:$AC, "Review-1"))</f>
        <v/>
      </c>
      <c r="Z2760" s="7" t="str">
        <f>IF(ISBLANK(patch[[#This Row],[project]]), "",COUNTIFS($A:$A,patch[[#This Row],[number]],$S:$S, "BJ And dev",$AD:$AD, "&lt;&gt;IntegratorValidationComment"))</f>
        <v/>
      </c>
      <c r="AA2760" s="7" t="str">
        <f>IF(ISBLANK(patch[[#This Row],[project]]), "",COUNTIFS($A:$A,patch[[#This Row],[number]],$S:$S, "FL And dev",$AD:$AD, "&lt;&gt;IntegratorValidationComment"))</f>
        <v/>
      </c>
      <c r="AB2760" s="7" t="str">
        <f>IF(ISBLANK(patch[[#This Row],[project]]), "",COUNTIFS($A:$A,patch[[#This Row],[number]],$S:$S, "SH And dev",$AD:$AD, "&lt;&gt;IntegratorValidationComment"))</f>
        <v/>
      </c>
      <c r="AC2760" s="7" t="str">
        <f>IF(OR(ISNUMBER(FIND("Review-1", patch[[#This Row],[comments]])), ISNUMBER(FIND("Approver-1", patch[[#This Row],[comments]]))), "Review-1", "")</f>
        <v/>
      </c>
      <c r="AD27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60" s="7">
        <f>IF(ISBLANK(patch[[#This Row],[number]]),AE2759,patch[[#This Row],[ifCommon]])</f>
        <v>0</v>
      </c>
    </row>
    <row r="2761" spans="1:31">
      <c r="A2761" s="151">
        <v>139997</v>
      </c>
      <c r="B2761" s="151"/>
      <c r="C2761" s="151"/>
      <c r="D2761" s="151"/>
      <c r="E2761" s="151"/>
      <c r="F2761" s="151"/>
      <c r="G2761" s="151"/>
      <c r="H2761" s="151"/>
      <c r="I2761" s="151"/>
      <c r="J2761" s="152">
        <v>42614.749780092592</v>
      </c>
      <c r="K2761" s="151"/>
      <c r="L2761" s="151" t="s">
        <v>32</v>
      </c>
      <c r="M2761" s="152">
        <v>42613.497974537036</v>
      </c>
      <c r="N2761" s="151" t="s">
        <v>31</v>
      </c>
      <c r="O2761" s="151"/>
      <c r="P2761" s="151"/>
      <c r="Q2761" s="7" t="str">
        <f>IF(ISBLANK(patch[[#This Row],[OwnerEmail]]),Q2760,patch[[#This Row],[OwnerEmail]])</f>
        <v>haipingx.yang@intel.com</v>
      </c>
      <c r="R2761" s="7" t="str">
        <f>_xlfn.IFNA(VLOOKUP(patch[[#This Row],[tmp-owner.email]],OrgTree!$A:$K, 11, 0), "not ICG SWFW")</f>
        <v>BJ And dev</v>
      </c>
      <c r="S2761" s="7" t="str">
        <f>IF(patch[[#This Row],[reviewer]]=patch[[#This Row],[tmp-owner.email]], "author", _xlfn.IFNA(VLOOKUP(patch[[#This Row],[reviewer]],OrgTree!$A:$K, 11, 0), "not ICG SWFW"))</f>
        <v>BJ And dev</v>
      </c>
      <c r="T2761" s="7" t="str">
        <f>IF(ISBLANK(patch[[#This Row],[mergeDate]]), "", MID(YEAR(patch[[#This Row],[mergeDate]]), 3,2)&amp;"'ww"&amp;WEEKNUM(patch[[#This Row],[mergeDate]]))</f>
        <v>16'ww36</v>
      </c>
      <c r="U2761" s="7" t="str">
        <f>IF(ISBLANK(patch[[#This Row],[mergeDate]]), U2760, MID(YEAR(patch[[#This Row],[mergeDate]]), 3,2)&amp;"'m"&amp;MONTH(patch[[#This Row],[mergeDate]]))</f>
        <v>16'm9</v>
      </c>
      <c r="V2761" s="7" t="str">
        <f>IF(ISBLANK(patch[[#This Row],[project]]), "",SUM(patch[[#This Row],[BJ -1 num]:[SH -1 num]]))</f>
        <v/>
      </c>
      <c r="W2761" s="7" t="str">
        <f>IF(ISBLANK(patch[[#This Row],[project]]), "",COUNTIFS($A:$A,patch[[#This Row],[number]],$S:$S, "BJ And dev",$AC:$AC, "Review-1"))</f>
        <v/>
      </c>
      <c r="X2761" s="7" t="str">
        <f>IF(ISBLANK(patch[[#This Row],[project]]), "",COUNTIFS($A:$A,patch[[#This Row],[number]],$S:$S, "FL And dev",$AC:$AC, "Review-1"))</f>
        <v/>
      </c>
      <c r="Y2761" s="7" t="str">
        <f>IF(ISBLANK(patch[[#This Row],[project]]), "",COUNTIFS($A:$A,patch[[#This Row],[number]],$S:$S, "SH And dev",$AC:$AC, "Review-1"))</f>
        <v/>
      </c>
      <c r="Z2761" s="7" t="str">
        <f>IF(ISBLANK(patch[[#This Row],[project]]), "",COUNTIFS($A:$A,patch[[#This Row],[number]],$S:$S, "BJ And dev",$AD:$AD, "&lt;&gt;IntegratorValidationComment"))</f>
        <v/>
      </c>
      <c r="AA2761" s="7" t="str">
        <f>IF(ISBLANK(patch[[#This Row],[project]]), "",COUNTIFS($A:$A,patch[[#This Row],[number]],$S:$S, "FL And dev",$AD:$AD, "&lt;&gt;IntegratorValidationComment"))</f>
        <v/>
      </c>
      <c r="AB2761" s="7" t="str">
        <f>IF(ISBLANK(patch[[#This Row],[project]]), "",COUNTIFS($A:$A,patch[[#This Row],[number]],$S:$S, "SH And dev",$AD:$AD, "&lt;&gt;IntegratorValidationComment"))</f>
        <v/>
      </c>
      <c r="AC2761" s="7" t="str">
        <f>IF(OR(ISNUMBER(FIND("Review-1", patch[[#This Row],[comments]])), ISNUMBER(FIND("Approver-1", patch[[#This Row],[comments]]))), "Review-1", "")</f>
        <v/>
      </c>
      <c r="AD27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61" s="7">
        <f>IF(ISBLANK(patch[[#This Row],[number]]),AE2760,patch[[#This Row],[ifCommon]])</f>
        <v>0</v>
      </c>
    </row>
    <row r="2762" spans="1:31">
      <c r="A2762" s="151">
        <v>139997</v>
      </c>
      <c r="B2762" s="151"/>
      <c r="C2762" s="151"/>
      <c r="D2762" s="151"/>
      <c r="E2762" s="151"/>
      <c r="F2762" s="151"/>
      <c r="G2762" s="151"/>
      <c r="H2762" s="151"/>
      <c r="I2762" s="151"/>
      <c r="J2762" s="152">
        <v>42614.749780092592</v>
      </c>
      <c r="K2762" s="151"/>
      <c r="L2762" s="151" t="s">
        <v>59</v>
      </c>
      <c r="M2762" s="152">
        <v>42613.756006944437</v>
      </c>
      <c r="N2762" s="151" t="s">
        <v>3612</v>
      </c>
      <c r="O2762" s="151"/>
      <c r="P2762" s="151"/>
      <c r="Q2762" s="7" t="str">
        <f>IF(ISBLANK(patch[[#This Row],[OwnerEmail]]),Q2761,patch[[#This Row],[OwnerEmail]])</f>
        <v>haipingx.yang@intel.com</v>
      </c>
      <c r="R2762" s="7" t="str">
        <f>_xlfn.IFNA(VLOOKUP(patch[[#This Row],[tmp-owner.email]],OrgTree!$A:$K, 11, 0), "not ICG SWFW")</f>
        <v>BJ And dev</v>
      </c>
      <c r="S2762" s="7" t="str">
        <f>IF(patch[[#This Row],[reviewer]]=patch[[#This Row],[tmp-owner.email]], "author", _xlfn.IFNA(VLOOKUP(patch[[#This Row],[reviewer]],OrgTree!$A:$K, 11, 0), "not ICG SWFW"))</f>
        <v>BJ And dev</v>
      </c>
      <c r="T2762" s="7" t="str">
        <f>IF(ISBLANK(patch[[#This Row],[mergeDate]]), "", MID(YEAR(patch[[#This Row],[mergeDate]]), 3,2)&amp;"'ww"&amp;WEEKNUM(patch[[#This Row],[mergeDate]]))</f>
        <v>16'ww36</v>
      </c>
      <c r="U2762" s="7" t="str">
        <f>IF(ISBLANK(patch[[#This Row],[mergeDate]]), U2761, MID(YEAR(patch[[#This Row],[mergeDate]]), 3,2)&amp;"'m"&amp;MONTH(patch[[#This Row],[mergeDate]]))</f>
        <v>16'm9</v>
      </c>
      <c r="V2762" s="7" t="str">
        <f>IF(ISBLANK(patch[[#This Row],[project]]), "",SUM(patch[[#This Row],[BJ -1 num]:[SH -1 num]]))</f>
        <v/>
      </c>
      <c r="W2762" s="7" t="str">
        <f>IF(ISBLANK(patch[[#This Row],[project]]), "",COUNTIFS($A:$A,patch[[#This Row],[number]],$S:$S, "BJ And dev",$AC:$AC, "Review-1"))</f>
        <v/>
      </c>
      <c r="X2762" s="7" t="str">
        <f>IF(ISBLANK(patch[[#This Row],[project]]), "",COUNTIFS($A:$A,patch[[#This Row],[number]],$S:$S, "FL And dev",$AC:$AC, "Review-1"))</f>
        <v/>
      </c>
      <c r="Y2762" s="7" t="str">
        <f>IF(ISBLANK(patch[[#This Row],[project]]), "",COUNTIFS($A:$A,patch[[#This Row],[number]],$S:$S, "SH And dev",$AC:$AC, "Review-1"))</f>
        <v/>
      </c>
      <c r="Z2762" s="7" t="str">
        <f>IF(ISBLANK(patch[[#This Row],[project]]), "",COUNTIFS($A:$A,patch[[#This Row],[number]],$S:$S, "BJ And dev",$AD:$AD, "&lt;&gt;IntegratorValidationComment"))</f>
        <v/>
      </c>
      <c r="AA2762" s="7" t="str">
        <f>IF(ISBLANK(patch[[#This Row],[project]]), "",COUNTIFS($A:$A,patch[[#This Row],[number]],$S:$S, "FL And dev",$AD:$AD, "&lt;&gt;IntegratorValidationComment"))</f>
        <v/>
      </c>
      <c r="AB2762" s="7" t="str">
        <f>IF(ISBLANK(patch[[#This Row],[project]]), "",COUNTIFS($A:$A,patch[[#This Row],[number]],$S:$S, "SH And dev",$AD:$AD, "&lt;&gt;IntegratorValidationComment"))</f>
        <v/>
      </c>
      <c r="AC2762" s="7" t="str">
        <f>IF(OR(ISNUMBER(FIND("Review-1", patch[[#This Row],[comments]])), ISNUMBER(FIND("Approver-1", patch[[#This Row],[comments]]))), "Review-1", "")</f>
        <v/>
      </c>
      <c r="AD27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62" s="7">
        <f>IF(ISBLANK(patch[[#This Row],[number]]),AE2761,patch[[#This Row],[ifCommon]])</f>
        <v>0</v>
      </c>
    </row>
    <row r="2763" spans="1:31">
      <c r="A2763" s="151">
        <v>139997</v>
      </c>
      <c r="B2763" s="151"/>
      <c r="C2763" s="151"/>
      <c r="D2763" s="151"/>
      <c r="E2763" s="151"/>
      <c r="F2763" s="151"/>
      <c r="G2763" s="151"/>
      <c r="H2763" s="151"/>
      <c r="I2763" s="151"/>
      <c r="J2763" s="152">
        <v>42614.749780092592</v>
      </c>
      <c r="K2763" s="151"/>
      <c r="L2763" s="151" t="s">
        <v>115</v>
      </c>
      <c r="M2763" s="152">
        <v>42614.419166666667</v>
      </c>
      <c r="N2763" s="151" t="s">
        <v>2496</v>
      </c>
      <c r="O2763" s="151"/>
      <c r="P2763" s="151"/>
      <c r="Q2763" s="7" t="str">
        <f>IF(ISBLANK(patch[[#This Row],[OwnerEmail]]),Q2762,patch[[#This Row],[OwnerEmail]])</f>
        <v>haipingx.yang@intel.com</v>
      </c>
      <c r="R2763" s="7" t="str">
        <f>_xlfn.IFNA(VLOOKUP(patch[[#This Row],[tmp-owner.email]],OrgTree!$A:$K, 11, 0), "not ICG SWFW")</f>
        <v>BJ And dev</v>
      </c>
      <c r="S2763" s="7" t="str">
        <f>IF(patch[[#This Row],[reviewer]]=patch[[#This Row],[tmp-owner.email]], "author", _xlfn.IFNA(VLOOKUP(patch[[#This Row],[reviewer]],OrgTree!$A:$K, 11, 0), "not ICG SWFW"))</f>
        <v>Val</v>
      </c>
      <c r="T2763" s="7" t="str">
        <f>IF(ISBLANK(patch[[#This Row],[mergeDate]]), "", MID(YEAR(patch[[#This Row],[mergeDate]]), 3,2)&amp;"'ww"&amp;WEEKNUM(patch[[#This Row],[mergeDate]]))</f>
        <v>16'ww36</v>
      </c>
      <c r="U2763" s="7" t="str">
        <f>IF(ISBLANK(patch[[#This Row],[mergeDate]]), U2762, MID(YEAR(patch[[#This Row],[mergeDate]]), 3,2)&amp;"'m"&amp;MONTH(patch[[#This Row],[mergeDate]]))</f>
        <v>16'm9</v>
      </c>
      <c r="V2763" s="7" t="str">
        <f>IF(ISBLANK(patch[[#This Row],[project]]), "",SUM(patch[[#This Row],[BJ -1 num]:[SH -1 num]]))</f>
        <v/>
      </c>
      <c r="W2763" s="7" t="str">
        <f>IF(ISBLANK(patch[[#This Row],[project]]), "",COUNTIFS($A:$A,patch[[#This Row],[number]],$S:$S, "BJ And dev",$AC:$AC, "Review-1"))</f>
        <v/>
      </c>
      <c r="X2763" s="7" t="str">
        <f>IF(ISBLANK(patch[[#This Row],[project]]), "",COUNTIFS($A:$A,patch[[#This Row],[number]],$S:$S, "FL And dev",$AC:$AC, "Review-1"))</f>
        <v/>
      </c>
      <c r="Y2763" s="7" t="str">
        <f>IF(ISBLANK(patch[[#This Row],[project]]), "",COUNTIFS($A:$A,patch[[#This Row],[number]],$S:$S, "SH And dev",$AC:$AC, "Review-1"))</f>
        <v/>
      </c>
      <c r="Z2763" s="7" t="str">
        <f>IF(ISBLANK(patch[[#This Row],[project]]), "",COUNTIFS($A:$A,patch[[#This Row],[number]],$S:$S, "BJ And dev",$AD:$AD, "&lt;&gt;IntegratorValidationComment"))</f>
        <v/>
      </c>
      <c r="AA2763" s="7" t="str">
        <f>IF(ISBLANK(patch[[#This Row],[project]]), "",COUNTIFS($A:$A,patch[[#This Row],[number]],$S:$S, "FL And dev",$AD:$AD, "&lt;&gt;IntegratorValidationComment"))</f>
        <v/>
      </c>
      <c r="AB2763" s="7" t="str">
        <f>IF(ISBLANK(patch[[#This Row],[project]]), "",COUNTIFS($A:$A,patch[[#This Row],[number]],$S:$S, "SH And dev",$AD:$AD, "&lt;&gt;IntegratorValidationComment"))</f>
        <v/>
      </c>
      <c r="AC2763" s="7" t="str">
        <f>IF(OR(ISNUMBER(FIND("Review-1", patch[[#This Row],[comments]])), ISNUMBER(FIND("Approver-1", patch[[#This Row],[comments]]))), "Review-1", "")</f>
        <v/>
      </c>
      <c r="AD27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763" s="7">
        <f>IF(ISBLANK(patch[[#This Row],[number]]),AE2762,patch[[#This Row],[ifCommon]])</f>
        <v>0</v>
      </c>
    </row>
    <row r="2764" spans="1:31">
      <c r="A2764" s="151">
        <v>140957</v>
      </c>
      <c r="B2764" s="151" t="s">
        <v>2490</v>
      </c>
      <c r="C2764" s="151" t="s">
        <v>2491</v>
      </c>
      <c r="D2764" s="151" t="s">
        <v>3975</v>
      </c>
      <c r="E2764" s="151" t="s">
        <v>1292</v>
      </c>
      <c r="F2764" s="151" t="s">
        <v>23</v>
      </c>
      <c r="G2764" s="151" t="s">
        <v>3976</v>
      </c>
      <c r="H2764" s="151" t="s">
        <v>3977</v>
      </c>
      <c r="I2764" s="152">
        <v>42605.805995370371</v>
      </c>
      <c r="J2764" s="152">
        <v>42614.749745370369</v>
      </c>
      <c r="K2764" s="151" t="s">
        <v>2445</v>
      </c>
      <c r="L2764" s="151" t="s">
        <v>1292</v>
      </c>
      <c r="M2764" s="152">
        <v>42605.805995370371</v>
      </c>
      <c r="N2764" s="151" t="s">
        <v>2458</v>
      </c>
      <c r="O2764" s="151"/>
      <c r="P2764" s="151" t="s">
        <v>3978</v>
      </c>
      <c r="Q2764" s="7" t="str">
        <f>IF(ISBLANK(patch[[#This Row],[OwnerEmail]]),Q2763,patch[[#This Row],[OwnerEmail]])</f>
        <v>xiaolu.liu@intel.com</v>
      </c>
      <c r="R2764" s="7" t="str">
        <f>_xlfn.IFNA(VLOOKUP(patch[[#This Row],[tmp-owner.email]],OrgTree!$A:$K, 11, 0), "not ICG SWFW")</f>
        <v>BJ And dev</v>
      </c>
      <c r="S2764" s="7" t="str">
        <f>IF(patch[[#This Row],[reviewer]]=patch[[#This Row],[tmp-owner.email]], "author", _xlfn.IFNA(VLOOKUP(patch[[#This Row],[reviewer]],OrgTree!$A:$K, 11, 0), "not ICG SWFW"))</f>
        <v>author</v>
      </c>
      <c r="T2764" s="7" t="str">
        <f>IF(ISBLANK(patch[[#This Row],[mergeDate]]), "", MID(YEAR(patch[[#This Row],[mergeDate]]), 3,2)&amp;"'ww"&amp;WEEKNUM(patch[[#This Row],[mergeDate]]))</f>
        <v>16'ww36</v>
      </c>
      <c r="U2764" s="7" t="str">
        <f>IF(ISBLANK(patch[[#This Row],[mergeDate]]), U2763, MID(YEAR(patch[[#This Row],[mergeDate]]), 3,2)&amp;"'m"&amp;MONTH(patch[[#This Row],[mergeDate]]))</f>
        <v>16'm9</v>
      </c>
      <c r="V2764" s="7">
        <f>IF(ISBLANK(patch[[#This Row],[project]]), "",SUM(patch[[#This Row],[BJ -1 num]:[SH -1 num]]))</f>
        <v>0</v>
      </c>
      <c r="W2764" s="7">
        <f>IF(ISBLANK(patch[[#This Row],[project]]), "",COUNTIFS($A:$A,patch[[#This Row],[number]],$S:$S, "BJ And dev",$AC:$AC, "Review-1"))</f>
        <v>0</v>
      </c>
      <c r="X2764" s="7">
        <f>IF(ISBLANK(patch[[#This Row],[project]]), "",COUNTIFS($A:$A,patch[[#This Row],[number]],$S:$S, "FL And dev",$AC:$AC, "Review-1"))</f>
        <v>0</v>
      </c>
      <c r="Y2764" s="7">
        <f>IF(ISBLANK(patch[[#This Row],[project]]), "",COUNTIFS($A:$A,patch[[#This Row],[number]],$S:$S, "SH And dev",$AC:$AC, "Review-1"))</f>
        <v>0</v>
      </c>
      <c r="Z2764" s="7">
        <f>IF(ISBLANK(patch[[#This Row],[project]]), "",COUNTIFS($A:$A,patch[[#This Row],[number]],$S:$S, "BJ And dev",$AD:$AD, "&lt;&gt;IntegratorValidationComment"))</f>
        <v>20</v>
      </c>
      <c r="AA2764" s="7">
        <f>IF(ISBLANK(patch[[#This Row],[project]]), "",COUNTIFS($A:$A,patch[[#This Row],[number]],$S:$S, "FL And dev",$AD:$AD, "&lt;&gt;IntegratorValidationComment"))</f>
        <v>0</v>
      </c>
      <c r="AB2764" s="7">
        <f>IF(ISBLANK(patch[[#This Row],[project]]), "",COUNTIFS($A:$A,patch[[#This Row],[number]],$S:$S, "SH And dev",$AD:$AD, "&lt;&gt;IntegratorValidationComment"))</f>
        <v>0</v>
      </c>
      <c r="AC2764" s="7" t="str">
        <f>IF(OR(ISNUMBER(FIND("Review-1", patch[[#This Row],[comments]])), ISNUMBER(FIND("Approver-1", patch[[#This Row],[comments]]))), "Review-1", "")</f>
        <v/>
      </c>
      <c r="AD27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64" s="7" t="str">
        <f>IF(ISBLANK(patch[[#This Row],[number]]),AE2763,patch[[#This Row],[ifCommon]])</f>
        <v>not AndrHAL</v>
      </c>
    </row>
    <row r="2765" spans="1:31">
      <c r="A2765" s="151">
        <v>140957</v>
      </c>
      <c r="B2765" s="151"/>
      <c r="C2765" s="151"/>
      <c r="D2765" s="151"/>
      <c r="E2765" s="151"/>
      <c r="F2765" s="151"/>
      <c r="G2765" s="151"/>
      <c r="H2765" s="151"/>
      <c r="I2765" s="151"/>
      <c r="J2765" s="152">
        <v>42614.749745370369</v>
      </c>
      <c r="K2765" s="151"/>
      <c r="L2765" s="151" t="s">
        <v>1292</v>
      </c>
      <c r="M2765" s="152">
        <v>42605.805995370371</v>
      </c>
      <c r="N2765" s="151" t="s">
        <v>25</v>
      </c>
      <c r="O2765" s="151"/>
      <c r="P2765" s="151"/>
      <c r="Q2765" s="7" t="str">
        <f>IF(ISBLANK(patch[[#This Row],[OwnerEmail]]),Q2764,patch[[#This Row],[OwnerEmail]])</f>
        <v>xiaolu.liu@intel.com</v>
      </c>
      <c r="R2765" s="7" t="str">
        <f>_xlfn.IFNA(VLOOKUP(patch[[#This Row],[tmp-owner.email]],OrgTree!$A:$K, 11, 0), "not ICG SWFW")</f>
        <v>BJ And dev</v>
      </c>
      <c r="S2765" s="7" t="str">
        <f>IF(patch[[#This Row],[reviewer]]=patch[[#This Row],[tmp-owner.email]], "author", _xlfn.IFNA(VLOOKUP(patch[[#This Row],[reviewer]],OrgTree!$A:$K, 11, 0), "not ICG SWFW"))</f>
        <v>author</v>
      </c>
      <c r="T2765" s="7" t="str">
        <f>IF(ISBLANK(patch[[#This Row],[mergeDate]]), "", MID(YEAR(patch[[#This Row],[mergeDate]]), 3,2)&amp;"'ww"&amp;WEEKNUM(patch[[#This Row],[mergeDate]]))</f>
        <v>16'ww36</v>
      </c>
      <c r="U2765" s="7" t="str">
        <f>IF(ISBLANK(patch[[#This Row],[mergeDate]]), U2764, MID(YEAR(patch[[#This Row],[mergeDate]]), 3,2)&amp;"'m"&amp;MONTH(patch[[#This Row],[mergeDate]]))</f>
        <v>16'm9</v>
      </c>
      <c r="V2765" s="7" t="str">
        <f>IF(ISBLANK(patch[[#This Row],[project]]), "",SUM(patch[[#This Row],[BJ -1 num]:[SH -1 num]]))</f>
        <v/>
      </c>
      <c r="W2765" s="7" t="str">
        <f>IF(ISBLANK(patch[[#This Row],[project]]), "",COUNTIFS($A:$A,patch[[#This Row],[number]],$S:$S, "BJ And dev",$AC:$AC, "Review-1"))</f>
        <v/>
      </c>
      <c r="X2765" s="7" t="str">
        <f>IF(ISBLANK(patch[[#This Row],[project]]), "",COUNTIFS($A:$A,patch[[#This Row],[number]],$S:$S, "FL And dev",$AC:$AC, "Review-1"))</f>
        <v/>
      </c>
      <c r="Y2765" s="7" t="str">
        <f>IF(ISBLANK(patch[[#This Row],[project]]), "",COUNTIFS($A:$A,patch[[#This Row],[number]],$S:$S, "SH And dev",$AC:$AC, "Review-1"))</f>
        <v/>
      </c>
      <c r="Z2765" s="7" t="str">
        <f>IF(ISBLANK(patch[[#This Row],[project]]), "",COUNTIFS($A:$A,patch[[#This Row],[number]],$S:$S, "BJ And dev",$AD:$AD, "&lt;&gt;IntegratorValidationComment"))</f>
        <v/>
      </c>
      <c r="AA2765" s="7" t="str">
        <f>IF(ISBLANK(patch[[#This Row],[project]]), "",COUNTIFS($A:$A,patch[[#This Row],[number]],$S:$S, "FL And dev",$AD:$AD, "&lt;&gt;IntegratorValidationComment"))</f>
        <v/>
      </c>
      <c r="AB2765" s="7" t="str">
        <f>IF(ISBLANK(patch[[#This Row],[project]]), "",COUNTIFS($A:$A,patch[[#This Row],[number]],$S:$S, "SH And dev",$AD:$AD, "&lt;&gt;IntegratorValidationComment"))</f>
        <v/>
      </c>
      <c r="AC2765" s="7" t="str">
        <f>IF(OR(ISNUMBER(FIND("Review-1", patch[[#This Row],[comments]])), ISNUMBER(FIND("Approver-1", patch[[#This Row],[comments]]))), "Review-1", "")</f>
        <v/>
      </c>
      <c r="AD27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65" s="7">
        <f>IF(ISBLANK(patch[[#This Row],[number]]),AE2764,patch[[#This Row],[ifCommon]])</f>
        <v>0</v>
      </c>
    </row>
    <row r="2766" spans="1:31">
      <c r="A2766" s="151">
        <v>140957</v>
      </c>
      <c r="B2766" s="151"/>
      <c r="C2766" s="151"/>
      <c r="D2766" s="151"/>
      <c r="E2766" s="151"/>
      <c r="F2766" s="151"/>
      <c r="G2766" s="151"/>
      <c r="H2766" s="151"/>
      <c r="I2766" s="151"/>
      <c r="J2766" s="152">
        <v>42614.749745370369</v>
      </c>
      <c r="K2766" s="151"/>
      <c r="L2766" s="151" t="s">
        <v>1292</v>
      </c>
      <c r="M2766" s="152">
        <v>42606.629872685182</v>
      </c>
      <c r="N2766" s="151" t="s">
        <v>2461</v>
      </c>
      <c r="O2766" s="151"/>
      <c r="P2766" s="151"/>
      <c r="Q2766" s="7" t="str">
        <f>IF(ISBLANK(patch[[#This Row],[OwnerEmail]]),Q2765,patch[[#This Row],[OwnerEmail]])</f>
        <v>xiaolu.liu@intel.com</v>
      </c>
      <c r="R2766" s="7" t="str">
        <f>_xlfn.IFNA(VLOOKUP(patch[[#This Row],[tmp-owner.email]],OrgTree!$A:$K, 11, 0), "not ICG SWFW")</f>
        <v>BJ And dev</v>
      </c>
      <c r="S2766" s="7" t="str">
        <f>IF(patch[[#This Row],[reviewer]]=patch[[#This Row],[tmp-owner.email]], "author", _xlfn.IFNA(VLOOKUP(patch[[#This Row],[reviewer]],OrgTree!$A:$K, 11, 0), "not ICG SWFW"))</f>
        <v>author</v>
      </c>
      <c r="T2766" s="7" t="str">
        <f>IF(ISBLANK(patch[[#This Row],[mergeDate]]), "", MID(YEAR(patch[[#This Row],[mergeDate]]), 3,2)&amp;"'ww"&amp;WEEKNUM(patch[[#This Row],[mergeDate]]))</f>
        <v>16'ww36</v>
      </c>
      <c r="U2766" s="7" t="str">
        <f>IF(ISBLANK(patch[[#This Row],[mergeDate]]), U2765, MID(YEAR(patch[[#This Row],[mergeDate]]), 3,2)&amp;"'m"&amp;MONTH(patch[[#This Row],[mergeDate]]))</f>
        <v>16'm9</v>
      </c>
      <c r="V2766" s="7" t="str">
        <f>IF(ISBLANK(patch[[#This Row],[project]]), "",SUM(patch[[#This Row],[BJ -1 num]:[SH -1 num]]))</f>
        <v/>
      </c>
      <c r="W2766" s="7" t="str">
        <f>IF(ISBLANK(patch[[#This Row],[project]]), "",COUNTIFS($A:$A,patch[[#This Row],[number]],$S:$S, "BJ And dev",$AC:$AC, "Review-1"))</f>
        <v/>
      </c>
      <c r="X2766" s="7" t="str">
        <f>IF(ISBLANK(patch[[#This Row],[project]]), "",COUNTIFS($A:$A,patch[[#This Row],[number]],$S:$S, "FL And dev",$AC:$AC, "Review-1"))</f>
        <v/>
      </c>
      <c r="Y2766" s="7" t="str">
        <f>IF(ISBLANK(patch[[#This Row],[project]]), "",COUNTIFS($A:$A,patch[[#This Row],[number]],$S:$S, "SH And dev",$AC:$AC, "Review-1"))</f>
        <v/>
      </c>
      <c r="Z2766" s="7" t="str">
        <f>IF(ISBLANK(patch[[#This Row],[project]]), "",COUNTIFS($A:$A,patch[[#This Row],[number]],$S:$S, "BJ And dev",$AD:$AD, "&lt;&gt;IntegratorValidationComment"))</f>
        <v/>
      </c>
      <c r="AA2766" s="7" t="str">
        <f>IF(ISBLANK(patch[[#This Row],[project]]), "",COUNTIFS($A:$A,patch[[#This Row],[number]],$S:$S, "FL And dev",$AD:$AD, "&lt;&gt;IntegratorValidationComment"))</f>
        <v/>
      </c>
      <c r="AB2766" s="7" t="str">
        <f>IF(ISBLANK(patch[[#This Row],[project]]), "",COUNTIFS($A:$A,patch[[#This Row],[number]],$S:$S, "SH And dev",$AD:$AD, "&lt;&gt;IntegratorValidationComment"))</f>
        <v/>
      </c>
      <c r="AC2766" s="7" t="str">
        <f>IF(OR(ISNUMBER(FIND("Review-1", patch[[#This Row],[comments]])), ISNUMBER(FIND("Approver-1", patch[[#This Row],[comments]]))), "Review-1", "")</f>
        <v/>
      </c>
      <c r="AD27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66" s="7">
        <f>IF(ISBLANK(patch[[#This Row],[number]]),AE2765,patch[[#This Row],[ifCommon]])</f>
        <v>0</v>
      </c>
    </row>
    <row r="2767" spans="1:31">
      <c r="A2767" s="151">
        <v>140957</v>
      </c>
      <c r="B2767" s="151"/>
      <c r="C2767" s="151"/>
      <c r="D2767" s="151"/>
      <c r="E2767" s="151"/>
      <c r="F2767" s="151"/>
      <c r="G2767" s="151"/>
      <c r="H2767" s="151"/>
      <c r="I2767" s="151"/>
      <c r="J2767" s="152">
        <v>42614.749745370369</v>
      </c>
      <c r="K2767" s="151"/>
      <c r="L2767" s="151" t="s">
        <v>1292</v>
      </c>
      <c r="M2767" s="152">
        <v>42606.629872685182</v>
      </c>
      <c r="N2767" s="151" t="s">
        <v>29</v>
      </c>
      <c r="O2767" s="151"/>
      <c r="P2767" s="151"/>
      <c r="Q2767" s="7" t="str">
        <f>IF(ISBLANK(patch[[#This Row],[OwnerEmail]]),Q2766,patch[[#This Row],[OwnerEmail]])</f>
        <v>xiaolu.liu@intel.com</v>
      </c>
      <c r="R2767" s="7" t="str">
        <f>_xlfn.IFNA(VLOOKUP(patch[[#This Row],[tmp-owner.email]],OrgTree!$A:$K, 11, 0), "not ICG SWFW")</f>
        <v>BJ And dev</v>
      </c>
      <c r="S2767" s="7" t="str">
        <f>IF(patch[[#This Row],[reviewer]]=patch[[#This Row],[tmp-owner.email]], "author", _xlfn.IFNA(VLOOKUP(patch[[#This Row],[reviewer]],OrgTree!$A:$K, 11, 0), "not ICG SWFW"))</f>
        <v>author</v>
      </c>
      <c r="T2767" s="7" t="str">
        <f>IF(ISBLANK(patch[[#This Row],[mergeDate]]), "", MID(YEAR(patch[[#This Row],[mergeDate]]), 3,2)&amp;"'ww"&amp;WEEKNUM(patch[[#This Row],[mergeDate]]))</f>
        <v>16'ww36</v>
      </c>
      <c r="U2767" s="7" t="str">
        <f>IF(ISBLANK(patch[[#This Row],[mergeDate]]), U2766, MID(YEAR(patch[[#This Row],[mergeDate]]), 3,2)&amp;"'m"&amp;MONTH(patch[[#This Row],[mergeDate]]))</f>
        <v>16'm9</v>
      </c>
      <c r="V2767" s="7" t="str">
        <f>IF(ISBLANK(patch[[#This Row],[project]]), "",SUM(patch[[#This Row],[BJ -1 num]:[SH -1 num]]))</f>
        <v/>
      </c>
      <c r="W2767" s="7" t="str">
        <f>IF(ISBLANK(patch[[#This Row],[project]]), "",COUNTIFS($A:$A,patch[[#This Row],[number]],$S:$S, "BJ And dev",$AC:$AC, "Review-1"))</f>
        <v/>
      </c>
      <c r="X2767" s="7" t="str">
        <f>IF(ISBLANK(patch[[#This Row],[project]]), "",COUNTIFS($A:$A,patch[[#This Row],[number]],$S:$S, "FL And dev",$AC:$AC, "Review-1"))</f>
        <v/>
      </c>
      <c r="Y2767" s="7" t="str">
        <f>IF(ISBLANK(patch[[#This Row],[project]]), "",COUNTIFS($A:$A,patch[[#This Row],[number]],$S:$S, "SH And dev",$AC:$AC, "Review-1"))</f>
        <v/>
      </c>
      <c r="Z2767" s="7" t="str">
        <f>IF(ISBLANK(patch[[#This Row],[project]]), "",COUNTIFS($A:$A,patch[[#This Row],[number]],$S:$S, "BJ And dev",$AD:$AD, "&lt;&gt;IntegratorValidationComment"))</f>
        <v/>
      </c>
      <c r="AA2767" s="7" t="str">
        <f>IF(ISBLANK(patch[[#This Row],[project]]), "",COUNTIFS($A:$A,patch[[#This Row],[number]],$S:$S, "FL And dev",$AD:$AD, "&lt;&gt;IntegratorValidationComment"))</f>
        <v/>
      </c>
      <c r="AB2767" s="7" t="str">
        <f>IF(ISBLANK(patch[[#This Row],[project]]), "",COUNTIFS($A:$A,patch[[#This Row],[number]],$S:$S, "SH And dev",$AD:$AD, "&lt;&gt;IntegratorValidationComment"))</f>
        <v/>
      </c>
      <c r="AC2767" s="7" t="str">
        <f>IF(OR(ISNUMBER(FIND("Review-1", patch[[#This Row],[comments]])), ISNUMBER(FIND("Approver-1", patch[[#This Row],[comments]]))), "Review-1", "")</f>
        <v/>
      </c>
      <c r="AD27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67" s="7">
        <f>IF(ISBLANK(patch[[#This Row],[number]]),AE2766,patch[[#This Row],[ifCommon]])</f>
        <v>0</v>
      </c>
    </row>
    <row r="2768" spans="1:31">
      <c r="A2768" s="151">
        <v>140957</v>
      </c>
      <c r="B2768" s="151"/>
      <c r="C2768" s="151"/>
      <c r="D2768" s="151"/>
      <c r="E2768" s="151"/>
      <c r="F2768" s="151"/>
      <c r="G2768" s="151"/>
      <c r="H2768" s="151"/>
      <c r="I2768" s="151"/>
      <c r="J2768" s="152">
        <v>42614.749745370369</v>
      </c>
      <c r="K2768" s="151"/>
      <c r="L2768" s="151" t="s">
        <v>75</v>
      </c>
      <c r="M2768" s="152">
        <v>42608.695671296293</v>
      </c>
      <c r="N2768" s="151" t="s">
        <v>1829</v>
      </c>
      <c r="O2768" s="151"/>
      <c r="P2768" s="151"/>
      <c r="Q2768" s="7" t="str">
        <f>IF(ISBLANK(patch[[#This Row],[OwnerEmail]]),Q2767,patch[[#This Row],[OwnerEmail]])</f>
        <v>xiaolu.liu@intel.com</v>
      </c>
      <c r="R2768" s="7" t="str">
        <f>_xlfn.IFNA(VLOOKUP(patch[[#This Row],[tmp-owner.email]],OrgTree!$A:$K, 11, 0), "not ICG SWFW")</f>
        <v>BJ And dev</v>
      </c>
      <c r="S2768" s="7" t="str">
        <f>IF(patch[[#This Row],[reviewer]]=patch[[#This Row],[tmp-owner.email]], "author", _xlfn.IFNA(VLOOKUP(patch[[#This Row],[reviewer]],OrgTree!$A:$K, 11, 0), "not ICG SWFW"))</f>
        <v>BJ And dev</v>
      </c>
      <c r="T2768" s="7" t="str">
        <f>IF(ISBLANK(patch[[#This Row],[mergeDate]]), "", MID(YEAR(patch[[#This Row],[mergeDate]]), 3,2)&amp;"'ww"&amp;WEEKNUM(patch[[#This Row],[mergeDate]]))</f>
        <v>16'ww36</v>
      </c>
      <c r="U2768" s="7" t="str">
        <f>IF(ISBLANK(patch[[#This Row],[mergeDate]]), U2767, MID(YEAR(patch[[#This Row],[mergeDate]]), 3,2)&amp;"'m"&amp;MONTH(patch[[#This Row],[mergeDate]]))</f>
        <v>16'm9</v>
      </c>
      <c r="V2768" s="7" t="str">
        <f>IF(ISBLANK(patch[[#This Row],[project]]), "",SUM(patch[[#This Row],[BJ -1 num]:[SH -1 num]]))</f>
        <v/>
      </c>
      <c r="W2768" s="7" t="str">
        <f>IF(ISBLANK(patch[[#This Row],[project]]), "",COUNTIFS($A:$A,patch[[#This Row],[number]],$S:$S, "BJ And dev",$AC:$AC, "Review-1"))</f>
        <v/>
      </c>
      <c r="X2768" s="7" t="str">
        <f>IF(ISBLANK(patch[[#This Row],[project]]), "",COUNTIFS($A:$A,patch[[#This Row],[number]],$S:$S, "FL And dev",$AC:$AC, "Review-1"))</f>
        <v/>
      </c>
      <c r="Y2768" s="7" t="str">
        <f>IF(ISBLANK(patch[[#This Row],[project]]), "",COUNTIFS($A:$A,patch[[#This Row],[number]],$S:$S, "SH And dev",$AC:$AC, "Review-1"))</f>
        <v/>
      </c>
      <c r="Z2768" s="7" t="str">
        <f>IF(ISBLANK(patch[[#This Row],[project]]), "",COUNTIFS($A:$A,patch[[#This Row],[number]],$S:$S, "BJ And dev",$AD:$AD, "&lt;&gt;IntegratorValidationComment"))</f>
        <v/>
      </c>
      <c r="AA2768" s="7" t="str">
        <f>IF(ISBLANK(patch[[#This Row],[project]]), "",COUNTIFS($A:$A,patch[[#This Row],[number]],$S:$S, "FL And dev",$AD:$AD, "&lt;&gt;IntegratorValidationComment"))</f>
        <v/>
      </c>
      <c r="AB2768" s="7" t="str">
        <f>IF(ISBLANK(patch[[#This Row],[project]]), "",COUNTIFS($A:$A,patch[[#This Row],[number]],$S:$S, "SH And dev",$AD:$AD, "&lt;&gt;IntegratorValidationComment"))</f>
        <v/>
      </c>
      <c r="AC2768" s="7" t="str">
        <f>IF(OR(ISNUMBER(FIND("Review-1", patch[[#This Row],[comments]])), ISNUMBER(FIND("Approver-1", patch[[#This Row],[comments]]))), "Review-1", "")</f>
        <v/>
      </c>
      <c r="AD27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68" s="7">
        <f>IF(ISBLANK(patch[[#This Row],[number]]),AE2767,patch[[#This Row],[ifCommon]])</f>
        <v>0</v>
      </c>
    </row>
    <row r="2769" spans="1:31">
      <c r="A2769" s="151">
        <v>140957</v>
      </c>
      <c r="B2769" s="151"/>
      <c r="C2769" s="151"/>
      <c r="D2769" s="151"/>
      <c r="E2769" s="151"/>
      <c r="F2769" s="151"/>
      <c r="G2769" s="151"/>
      <c r="H2769" s="151"/>
      <c r="I2769" s="151"/>
      <c r="J2769" s="152">
        <v>42614.749745370369</v>
      </c>
      <c r="K2769" s="151"/>
      <c r="L2769" s="151" t="s">
        <v>75</v>
      </c>
      <c r="M2769" s="152">
        <v>42608.695694444446</v>
      </c>
      <c r="N2769" s="151" t="s">
        <v>2450</v>
      </c>
      <c r="O2769" s="151"/>
      <c r="P2769" s="151"/>
      <c r="Q2769" s="7" t="str">
        <f>IF(ISBLANK(patch[[#This Row],[OwnerEmail]]),Q2768,patch[[#This Row],[OwnerEmail]])</f>
        <v>xiaolu.liu@intel.com</v>
      </c>
      <c r="R2769" s="7" t="str">
        <f>_xlfn.IFNA(VLOOKUP(patch[[#This Row],[tmp-owner.email]],OrgTree!$A:$K, 11, 0), "not ICG SWFW")</f>
        <v>BJ And dev</v>
      </c>
      <c r="S2769" s="7" t="str">
        <f>IF(patch[[#This Row],[reviewer]]=patch[[#This Row],[tmp-owner.email]], "author", _xlfn.IFNA(VLOOKUP(patch[[#This Row],[reviewer]],OrgTree!$A:$K, 11, 0), "not ICG SWFW"))</f>
        <v>BJ And dev</v>
      </c>
      <c r="T2769" s="7" t="str">
        <f>IF(ISBLANK(patch[[#This Row],[mergeDate]]), "", MID(YEAR(patch[[#This Row],[mergeDate]]), 3,2)&amp;"'ww"&amp;WEEKNUM(patch[[#This Row],[mergeDate]]))</f>
        <v>16'ww36</v>
      </c>
      <c r="U2769" s="7" t="str">
        <f>IF(ISBLANK(patch[[#This Row],[mergeDate]]), U2768, MID(YEAR(patch[[#This Row],[mergeDate]]), 3,2)&amp;"'m"&amp;MONTH(patch[[#This Row],[mergeDate]]))</f>
        <v>16'm9</v>
      </c>
      <c r="V2769" s="7" t="str">
        <f>IF(ISBLANK(patch[[#This Row],[project]]), "",SUM(patch[[#This Row],[BJ -1 num]:[SH -1 num]]))</f>
        <v/>
      </c>
      <c r="W2769" s="7" t="str">
        <f>IF(ISBLANK(patch[[#This Row],[project]]), "",COUNTIFS($A:$A,patch[[#This Row],[number]],$S:$S, "BJ And dev",$AC:$AC, "Review-1"))</f>
        <v/>
      </c>
      <c r="X2769" s="7" t="str">
        <f>IF(ISBLANK(patch[[#This Row],[project]]), "",COUNTIFS($A:$A,patch[[#This Row],[number]],$S:$S, "FL And dev",$AC:$AC, "Review-1"))</f>
        <v/>
      </c>
      <c r="Y2769" s="7" t="str">
        <f>IF(ISBLANK(patch[[#This Row],[project]]), "",COUNTIFS($A:$A,patch[[#This Row],[number]],$S:$S, "SH And dev",$AC:$AC, "Review-1"))</f>
        <v/>
      </c>
      <c r="Z2769" s="7" t="str">
        <f>IF(ISBLANK(patch[[#This Row],[project]]), "",COUNTIFS($A:$A,patch[[#This Row],[number]],$S:$S, "BJ And dev",$AD:$AD, "&lt;&gt;IntegratorValidationComment"))</f>
        <v/>
      </c>
      <c r="AA2769" s="7" t="str">
        <f>IF(ISBLANK(patch[[#This Row],[project]]), "",COUNTIFS($A:$A,patch[[#This Row],[number]],$S:$S, "FL And dev",$AD:$AD, "&lt;&gt;IntegratorValidationComment"))</f>
        <v/>
      </c>
      <c r="AB2769" s="7" t="str">
        <f>IF(ISBLANK(patch[[#This Row],[project]]), "",COUNTIFS($A:$A,patch[[#This Row],[number]],$S:$S, "SH And dev",$AD:$AD, "&lt;&gt;IntegratorValidationComment"))</f>
        <v/>
      </c>
      <c r="AC2769" s="7" t="str">
        <f>IF(OR(ISNUMBER(FIND("Review-1", patch[[#This Row],[comments]])), ISNUMBER(FIND("Approver-1", patch[[#This Row],[comments]]))), "Review-1", "")</f>
        <v/>
      </c>
      <c r="AD27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69" s="7">
        <f>IF(ISBLANK(patch[[#This Row],[number]]),AE2768,patch[[#This Row],[ifCommon]])</f>
        <v>0</v>
      </c>
    </row>
    <row r="2770" spans="1:31">
      <c r="A2770" s="151">
        <v>140957</v>
      </c>
      <c r="B2770" s="151"/>
      <c r="C2770" s="151"/>
      <c r="D2770" s="151"/>
      <c r="E2770" s="151"/>
      <c r="F2770" s="151"/>
      <c r="G2770" s="151"/>
      <c r="H2770" s="151"/>
      <c r="I2770" s="151"/>
      <c r="J2770" s="152">
        <v>42614.749745370369</v>
      </c>
      <c r="K2770" s="151"/>
      <c r="L2770" s="151" t="s">
        <v>59</v>
      </c>
      <c r="M2770" s="152">
        <v>42608.701458333337</v>
      </c>
      <c r="N2770" s="151" t="s">
        <v>3525</v>
      </c>
      <c r="O2770" s="151"/>
      <c r="P2770" s="151"/>
      <c r="Q2770" s="7" t="str">
        <f>IF(ISBLANK(patch[[#This Row],[OwnerEmail]]),Q2769,patch[[#This Row],[OwnerEmail]])</f>
        <v>xiaolu.liu@intel.com</v>
      </c>
      <c r="R2770" s="7" t="str">
        <f>_xlfn.IFNA(VLOOKUP(patch[[#This Row],[tmp-owner.email]],OrgTree!$A:$K, 11, 0), "not ICG SWFW")</f>
        <v>BJ And dev</v>
      </c>
      <c r="S2770" s="7" t="str">
        <f>IF(patch[[#This Row],[reviewer]]=patch[[#This Row],[tmp-owner.email]], "author", _xlfn.IFNA(VLOOKUP(patch[[#This Row],[reviewer]],OrgTree!$A:$K, 11, 0), "not ICG SWFW"))</f>
        <v>BJ And dev</v>
      </c>
      <c r="T2770" s="7" t="str">
        <f>IF(ISBLANK(patch[[#This Row],[mergeDate]]), "", MID(YEAR(patch[[#This Row],[mergeDate]]), 3,2)&amp;"'ww"&amp;WEEKNUM(patch[[#This Row],[mergeDate]]))</f>
        <v>16'ww36</v>
      </c>
      <c r="U2770" s="7" t="str">
        <f>IF(ISBLANK(patch[[#This Row],[mergeDate]]), U2769, MID(YEAR(patch[[#This Row],[mergeDate]]), 3,2)&amp;"'m"&amp;MONTH(patch[[#This Row],[mergeDate]]))</f>
        <v>16'm9</v>
      </c>
      <c r="V2770" s="7" t="str">
        <f>IF(ISBLANK(patch[[#This Row],[project]]), "",SUM(patch[[#This Row],[BJ -1 num]:[SH -1 num]]))</f>
        <v/>
      </c>
      <c r="W2770" s="7" t="str">
        <f>IF(ISBLANK(patch[[#This Row],[project]]), "",COUNTIFS($A:$A,patch[[#This Row],[number]],$S:$S, "BJ And dev",$AC:$AC, "Review-1"))</f>
        <v/>
      </c>
      <c r="X2770" s="7" t="str">
        <f>IF(ISBLANK(patch[[#This Row],[project]]), "",COUNTIFS($A:$A,patch[[#This Row],[number]],$S:$S, "FL And dev",$AC:$AC, "Review-1"))</f>
        <v/>
      </c>
      <c r="Y2770" s="7" t="str">
        <f>IF(ISBLANK(patch[[#This Row],[project]]), "",COUNTIFS($A:$A,patch[[#This Row],[number]],$S:$S, "SH And dev",$AC:$AC, "Review-1"))</f>
        <v/>
      </c>
      <c r="Z2770" s="7" t="str">
        <f>IF(ISBLANK(patch[[#This Row],[project]]), "",COUNTIFS($A:$A,patch[[#This Row],[number]],$S:$S, "BJ And dev",$AD:$AD, "&lt;&gt;IntegratorValidationComment"))</f>
        <v/>
      </c>
      <c r="AA2770" s="7" t="str">
        <f>IF(ISBLANK(patch[[#This Row],[project]]), "",COUNTIFS($A:$A,patch[[#This Row],[number]],$S:$S, "FL And dev",$AD:$AD, "&lt;&gt;IntegratorValidationComment"))</f>
        <v/>
      </c>
      <c r="AB2770" s="7" t="str">
        <f>IF(ISBLANK(patch[[#This Row],[project]]), "",COUNTIFS($A:$A,patch[[#This Row],[number]],$S:$S, "SH And dev",$AD:$AD, "&lt;&gt;IntegratorValidationComment"))</f>
        <v/>
      </c>
      <c r="AC2770" s="7" t="str">
        <f>IF(OR(ISNUMBER(FIND("Review-1", patch[[#This Row],[comments]])), ISNUMBER(FIND("Approver-1", patch[[#This Row],[comments]]))), "Review-1", "")</f>
        <v/>
      </c>
      <c r="AD27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70" s="7">
        <f>IF(ISBLANK(patch[[#This Row],[number]]),AE2769,patch[[#This Row],[ifCommon]])</f>
        <v>0</v>
      </c>
    </row>
    <row r="2771" spans="1:31">
      <c r="A2771" s="151">
        <v>140957</v>
      </c>
      <c r="B2771" s="151"/>
      <c r="C2771" s="151"/>
      <c r="D2771" s="151"/>
      <c r="E2771" s="151"/>
      <c r="F2771" s="151"/>
      <c r="G2771" s="151"/>
      <c r="H2771" s="151"/>
      <c r="I2771" s="151"/>
      <c r="J2771" s="152">
        <v>42614.749745370369</v>
      </c>
      <c r="K2771" s="151"/>
      <c r="L2771" s="151" t="s">
        <v>59</v>
      </c>
      <c r="M2771" s="152">
        <v>42608.704050925917</v>
      </c>
      <c r="N2771" s="151" t="s">
        <v>3979</v>
      </c>
      <c r="O2771" s="151"/>
      <c r="P2771" s="151"/>
      <c r="Q2771" s="7" t="str">
        <f>IF(ISBLANK(patch[[#This Row],[OwnerEmail]]),Q2770,patch[[#This Row],[OwnerEmail]])</f>
        <v>xiaolu.liu@intel.com</v>
      </c>
      <c r="R2771" s="7" t="str">
        <f>_xlfn.IFNA(VLOOKUP(patch[[#This Row],[tmp-owner.email]],OrgTree!$A:$K, 11, 0), "not ICG SWFW")</f>
        <v>BJ And dev</v>
      </c>
      <c r="S2771" s="7" t="str">
        <f>IF(patch[[#This Row],[reviewer]]=patch[[#This Row],[tmp-owner.email]], "author", _xlfn.IFNA(VLOOKUP(patch[[#This Row],[reviewer]],OrgTree!$A:$K, 11, 0), "not ICG SWFW"))</f>
        <v>BJ And dev</v>
      </c>
      <c r="T2771" s="7" t="str">
        <f>IF(ISBLANK(patch[[#This Row],[mergeDate]]), "", MID(YEAR(patch[[#This Row],[mergeDate]]), 3,2)&amp;"'ww"&amp;WEEKNUM(patch[[#This Row],[mergeDate]]))</f>
        <v>16'ww36</v>
      </c>
      <c r="U2771" s="7" t="str">
        <f>IF(ISBLANK(patch[[#This Row],[mergeDate]]), U2770, MID(YEAR(patch[[#This Row],[mergeDate]]), 3,2)&amp;"'m"&amp;MONTH(patch[[#This Row],[mergeDate]]))</f>
        <v>16'm9</v>
      </c>
      <c r="V2771" s="7" t="str">
        <f>IF(ISBLANK(patch[[#This Row],[project]]), "",SUM(patch[[#This Row],[BJ -1 num]:[SH -1 num]]))</f>
        <v/>
      </c>
      <c r="W2771" s="7" t="str">
        <f>IF(ISBLANK(patch[[#This Row],[project]]), "",COUNTIFS($A:$A,patch[[#This Row],[number]],$S:$S, "BJ And dev",$AC:$AC, "Review-1"))</f>
        <v/>
      </c>
      <c r="X2771" s="7" t="str">
        <f>IF(ISBLANK(patch[[#This Row],[project]]), "",COUNTIFS($A:$A,patch[[#This Row],[number]],$S:$S, "FL And dev",$AC:$AC, "Review-1"))</f>
        <v/>
      </c>
      <c r="Y2771" s="7" t="str">
        <f>IF(ISBLANK(patch[[#This Row],[project]]), "",COUNTIFS($A:$A,patch[[#This Row],[number]],$S:$S, "SH And dev",$AC:$AC, "Review-1"))</f>
        <v/>
      </c>
      <c r="Z2771" s="7" t="str">
        <f>IF(ISBLANK(patch[[#This Row],[project]]), "",COUNTIFS($A:$A,patch[[#This Row],[number]],$S:$S, "BJ And dev",$AD:$AD, "&lt;&gt;IntegratorValidationComment"))</f>
        <v/>
      </c>
      <c r="AA2771" s="7" t="str">
        <f>IF(ISBLANK(patch[[#This Row],[project]]), "",COUNTIFS($A:$A,patch[[#This Row],[number]],$S:$S, "FL And dev",$AD:$AD, "&lt;&gt;IntegratorValidationComment"))</f>
        <v/>
      </c>
      <c r="AB2771" s="7" t="str">
        <f>IF(ISBLANK(patch[[#This Row],[project]]), "",COUNTIFS($A:$A,patch[[#This Row],[number]],$S:$S, "SH And dev",$AD:$AD, "&lt;&gt;IntegratorValidationComment"))</f>
        <v/>
      </c>
      <c r="AC2771" s="7" t="str">
        <f>IF(OR(ISNUMBER(FIND("Review-1", patch[[#This Row],[comments]])), ISNUMBER(FIND("Approver-1", patch[[#This Row],[comments]]))), "Review-1", "")</f>
        <v/>
      </c>
      <c r="AD27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71" s="7">
        <f>IF(ISBLANK(patch[[#This Row],[number]]),AE2770,patch[[#This Row],[ifCommon]])</f>
        <v>0</v>
      </c>
    </row>
    <row r="2772" spans="1:31">
      <c r="A2772" s="151">
        <v>140957</v>
      </c>
      <c r="B2772" s="151"/>
      <c r="C2772" s="151"/>
      <c r="D2772" s="151"/>
      <c r="E2772" s="151"/>
      <c r="F2772" s="151"/>
      <c r="G2772" s="151"/>
      <c r="H2772" s="151"/>
      <c r="I2772" s="151"/>
      <c r="J2772" s="152">
        <v>42614.749745370369</v>
      </c>
      <c r="K2772" s="151"/>
      <c r="L2772" s="151" t="s">
        <v>75</v>
      </c>
      <c r="M2772" s="152">
        <v>42608.704629629632</v>
      </c>
      <c r="N2772" s="151" t="s">
        <v>2534</v>
      </c>
      <c r="O2772" s="151"/>
      <c r="P2772" s="151"/>
      <c r="Q2772" s="7" t="str">
        <f>IF(ISBLANK(patch[[#This Row],[OwnerEmail]]),Q2771,patch[[#This Row],[OwnerEmail]])</f>
        <v>xiaolu.liu@intel.com</v>
      </c>
      <c r="R2772" s="7" t="str">
        <f>_xlfn.IFNA(VLOOKUP(patch[[#This Row],[tmp-owner.email]],OrgTree!$A:$K, 11, 0), "not ICG SWFW")</f>
        <v>BJ And dev</v>
      </c>
      <c r="S2772" s="7" t="str">
        <f>IF(patch[[#This Row],[reviewer]]=patch[[#This Row],[tmp-owner.email]], "author", _xlfn.IFNA(VLOOKUP(patch[[#This Row],[reviewer]],OrgTree!$A:$K, 11, 0), "not ICG SWFW"))</f>
        <v>BJ And dev</v>
      </c>
      <c r="T2772" s="7" t="str">
        <f>IF(ISBLANK(patch[[#This Row],[mergeDate]]), "", MID(YEAR(patch[[#This Row],[mergeDate]]), 3,2)&amp;"'ww"&amp;WEEKNUM(patch[[#This Row],[mergeDate]]))</f>
        <v>16'ww36</v>
      </c>
      <c r="U2772" s="7" t="str">
        <f>IF(ISBLANK(patch[[#This Row],[mergeDate]]), U2771, MID(YEAR(patch[[#This Row],[mergeDate]]), 3,2)&amp;"'m"&amp;MONTH(patch[[#This Row],[mergeDate]]))</f>
        <v>16'm9</v>
      </c>
      <c r="V2772" s="7" t="str">
        <f>IF(ISBLANK(patch[[#This Row],[project]]), "",SUM(patch[[#This Row],[BJ -1 num]:[SH -1 num]]))</f>
        <v/>
      </c>
      <c r="W2772" s="7" t="str">
        <f>IF(ISBLANK(patch[[#This Row],[project]]), "",COUNTIFS($A:$A,patch[[#This Row],[number]],$S:$S, "BJ And dev",$AC:$AC, "Review-1"))</f>
        <v/>
      </c>
      <c r="X2772" s="7" t="str">
        <f>IF(ISBLANK(patch[[#This Row],[project]]), "",COUNTIFS($A:$A,patch[[#This Row],[number]],$S:$S, "FL And dev",$AC:$AC, "Review-1"))</f>
        <v/>
      </c>
      <c r="Y2772" s="7" t="str">
        <f>IF(ISBLANK(patch[[#This Row],[project]]), "",COUNTIFS($A:$A,patch[[#This Row],[number]],$S:$S, "SH And dev",$AC:$AC, "Review-1"))</f>
        <v/>
      </c>
      <c r="Z2772" s="7" t="str">
        <f>IF(ISBLANK(patch[[#This Row],[project]]), "",COUNTIFS($A:$A,patch[[#This Row],[number]],$S:$S, "BJ And dev",$AD:$AD, "&lt;&gt;IntegratorValidationComment"))</f>
        <v/>
      </c>
      <c r="AA2772" s="7" t="str">
        <f>IF(ISBLANK(patch[[#This Row],[project]]), "",COUNTIFS($A:$A,patch[[#This Row],[number]],$S:$S, "FL And dev",$AD:$AD, "&lt;&gt;IntegratorValidationComment"))</f>
        <v/>
      </c>
      <c r="AB2772" s="7" t="str">
        <f>IF(ISBLANK(patch[[#This Row],[project]]), "",COUNTIFS($A:$A,patch[[#This Row],[number]],$S:$S, "SH And dev",$AD:$AD, "&lt;&gt;IntegratorValidationComment"))</f>
        <v/>
      </c>
      <c r="AC2772" s="7" t="str">
        <f>IF(OR(ISNUMBER(FIND("Review-1", patch[[#This Row],[comments]])), ISNUMBER(FIND("Approver-1", patch[[#This Row],[comments]]))), "Review-1", "")</f>
        <v/>
      </c>
      <c r="AD27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72" s="7">
        <f>IF(ISBLANK(patch[[#This Row],[number]]),AE2771,patch[[#This Row],[ifCommon]])</f>
        <v>0</v>
      </c>
    </row>
    <row r="2773" spans="1:31">
      <c r="A2773" s="151">
        <v>140957</v>
      </c>
      <c r="B2773" s="151"/>
      <c r="C2773" s="151"/>
      <c r="D2773" s="151"/>
      <c r="E2773" s="151"/>
      <c r="F2773" s="151"/>
      <c r="G2773" s="151"/>
      <c r="H2773" s="151"/>
      <c r="I2773" s="151"/>
      <c r="J2773" s="152">
        <v>42614.749745370369</v>
      </c>
      <c r="K2773" s="151"/>
      <c r="L2773" s="151" t="s">
        <v>75</v>
      </c>
      <c r="M2773" s="152">
        <v>42608.704629629632</v>
      </c>
      <c r="N2773" s="151" t="s">
        <v>2451</v>
      </c>
      <c r="O2773" s="151"/>
      <c r="P2773" s="151"/>
      <c r="Q2773" s="7" t="str">
        <f>IF(ISBLANK(patch[[#This Row],[OwnerEmail]]),Q2772,patch[[#This Row],[OwnerEmail]])</f>
        <v>xiaolu.liu@intel.com</v>
      </c>
      <c r="R2773" s="7" t="str">
        <f>_xlfn.IFNA(VLOOKUP(patch[[#This Row],[tmp-owner.email]],OrgTree!$A:$K, 11, 0), "not ICG SWFW")</f>
        <v>BJ And dev</v>
      </c>
      <c r="S2773" s="7" t="str">
        <f>IF(patch[[#This Row],[reviewer]]=patch[[#This Row],[tmp-owner.email]], "author", _xlfn.IFNA(VLOOKUP(patch[[#This Row],[reviewer]],OrgTree!$A:$K, 11, 0), "not ICG SWFW"))</f>
        <v>BJ And dev</v>
      </c>
      <c r="T2773" s="7" t="str">
        <f>IF(ISBLANK(patch[[#This Row],[mergeDate]]), "", MID(YEAR(patch[[#This Row],[mergeDate]]), 3,2)&amp;"'ww"&amp;WEEKNUM(patch[[#This Row],[mergeDate]]))</f>
        <v>16'ww36</v>
      </c>
      <c r="U2773" s="7" t="str">
        <f>IF(ISBLANK(patch[[#This Row],[mergeDate]]), U2772, MID(YEAR(patch[[#This Row],[mergeDate]]), 3,2)&amp;"'m"&amp;MONTH(patch[[#This Row],[mergeDate]]))</f>
        <v>16'm9</v>
      </c>
      <c r="V2773" s="7" t="str">
        <f>IF(ISBLANK(patch[[#This Row],[project]]), "",SUM(patch[[#This Row],[BJ -1 num]:[SH -1 num]]))</f>
        <v/>
      </c>
      <c r="W2773" s="7" t="str">
        <f>IF(ISBLANK(patch[[#This Row],[project]]), "",COUNTIFS($A:$A,patch[[#This Row],[number]],$S:$S, "BJ And dev",$AC:$AC, "Review-1"))</f>
        <v/>
      </c>
      <c r="X2773" s="7" t="str">
        <f>IF(ISBLANK(patch[[#This Row],[project]]), "",COUNTIFS($A:$A,patch[[#This Row],[number]],$S:$S, "FL And dev",$AC:$AC, "Review-1"))</f>
        <v/>
      </c>
      <c r="Y2773" s="7" t="str">
        <f>IF(ISBLANK(patch[[#This Row],[project]]), "",COUNTIFS($A:$A,patch[[#This Row],[number]],$S:$S, "SH And dev",$AC:$AC, "Review-1"))</f>
        <v/>
      </c>
      <c r="Z2773" s="7" t="str">
        <f>IF(ISBLANK(patch[[#This Row],[project]]), "",COUNTIFS($A:$A,patch[[#This Row],[number]],$S:$S, "BJ And dev",$AD:$AD, "&lt;&gt;IntegratorValidationComment"))</f>
        <v/>
      </c>
      <c r="AA2773" s="7" t="str">
        <f>IF(ISBLANK(patch[[#This Row],[project]]), "",COUNTIFS($A:$A,patch[[#This Row],[number]],$S:$S, "FL And dev",$AD:$AD, "&lt;&gt;IntegratorValidationComment"))</f>
        <v/>
      </c>
      <c r="AB2773" s="7" t="str">
        <f>IF(ISBLANK(patch[[#This Row],[project]]), "",COUNTIFS($A:$A,patch[[#This Row],[number]],$S:$S, "SH And dev",$AD:$AD, "&lt;&gt;IntegratorValidationComment"))</f>
        <v/>
      </c>
      <c r="AC2773" s="7" t="str">
        <f>IF(OR(ISNUMBER(FIND("Review-1", patch[[#This Row],[comments]])), ISNUMBER(FIND("Approver-1", patch[[#This Row],[comments]]))), "Review-1", "")</f>
        <v/>
      </c>
      <c r="AD27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73" s="7">
        <f>IF(ISBLANK(patch[[#This Row],[number]]),AE2772,patch[[#This Row],[ifCommon]])</f>
        <v>0</v>
      </c>
    </row>
    <row r="2774" spans="1:31">
      <c r="A2774" s="151">
        <v>140957</v>
      </c>
      <c r="B2774" s="151"/>
      <c r="C2774" s="151"/>
      <c r="D2774" s="151"/>
      <c r="E2774" s="151"/>
      <c r="F2774" s="151"/>
      <c r="G2774" s="151"/>
      <c r="H2774" s="151"/>
      <c r="I2774" s="151"/>
      <c r="J2774" s="152">
        <v>42614.749745370369</v>
      </c>
      <c r="K2774" s="151"/>
      <c r="L2774" s="151" t="s">
        <v>59</v>
      </c>
      <c r="M2774" s="152">
        <v>42608.706620370373</v>
      </c>
      <c r="N2774" s="151" t="s">
        <v>3980</v>
      </c>
      <c r="O2774" s="151"/>
      <c r="P2774" s="151"/>
      <c r="Q2774" s="7" t="str">
        <f>IF(ISBLANK(patch[[#This Row],[OwnerEmail]]),Q2773,patch[[#This Row],[OwnerEmail]])</f>
        <v>xiaolu.liu@intel.com</v>
      </c>
      <c r="R2774" s="7" t="str">
        <f>_xlfn.IFNA(VLOOKUP(patch[[#This Row],[tmp-owner.email]],OrgTree!$A:$K, 11, 0), "not ICG SWFW")</f>
        <v>BJ And dev</v>
      </c>
      <c r="S2774" s="7" t="str">
        <f>IF(patch[[#This Row],[reviewer]]=patch[[#This Row],[tmp-owner.email]], "author", _xlfn.IFNA(VLOOKUP(patch[[#This Row],[reviewer]],OrgTree!$A:$K, 11, 0), "not ICG SWFW"))</f>
        <v>BJ And dev</v>
      </c>
      <c r="T2774" s="7" t="str">
        <f>IF(ISBLANK(patch[[#This Row],[mergeDate]]), "", MID(YEAR(patch[[#This Row],[mergeDate]]), 3,2)&amp;"'ww"&amp;WEEKNUM(patch[[#This Row],[mergeDate]]))</f>
        <v>16'ww36</v>
      </c>
      <c r="U2774" s="7" t="str">
        <f>IF(ISBLANK(patch[[#This Row],[mergeDate]]), U2773, MID(YEAR(patch[[#This Row],[mergeDate]]), 3,2)&amp;"'m"&amp;MONTH(patch[[#This Row],[mergeDate]]))</f>
        <v>16'm9</v>
      </c>
      <c r="V2774" s="7" t="str">
        <f>IF(ISBLANK(patch[[#This Row],[project]]), "",SUM(patch[[#This Row],[BJ -1 num]:[SH -1 num]]))</f>
        <v/>
      </c>
      <c r="W2774" s="7" t="str">
        <f>IF(ISBLANK(patch[[#This Row],[project]]), "",COUNTIFS($A:$A,patch[[#This Row],[number]],$S:$S, "BJ And dev",$AC:$AC, "Review-1"))</f>
        <v/>
      </c>
      <c r="X2774" s="7" t="str">
        <f>IF(ISBLANK(patch[[#This Row],[project]]), "",COUNTIFS($A:$A,patch[[#This Row],[number]],$S:$S, "FL And dev",$AC:$AC, "Review-1"))</f>
        <v/>
      </c>
      <c r="Y2774" s="7" t="str">
        <f>IF(ISBLANK(patch[[#This Row],[project]]), "",COUNTIFS($A:$A,patch[[#This Row],[number]],$S:$S, "SH And dev",$AC:$AC, "Review-1"))</f>
        <v/>
      </c>
      <c r="Z2774" s="7" t="str">
        <f>IF(ISBLANK(patch[[#This Row],[project]]), "",COUNTIFS($A:$A,patch[[#This Row],[number]],$S:$S, "BJ And dev",$AD:$AD, "&lt;&gt;IntegratorValidationComment"))</f>
        <v/>
      </c>
      <c r="AA2774" s="7" t="str">
        <f>IF(ISBLANK(patch[[#This Row],[project]]), "",COUNTIFS($A:$A,patch[[#This Row],[number]],$S:$S, "FL And dev",$AD:$AD, "&lt;&gt;IntegratorValidationComment"))</f>
        <v/>
      </c>
      <c r="AB2774" s="7" t="str">
        <f>IF(ISBLANK(patch[[#This Row],[project]]), "",COUNTIFS($A:$A,patch[[#This Row],[number]],$S:$S, "SH And dev",$AD:$AD, "&lt;&gt;IntegratorValidationComment"))</f>
        <v/>
      </c>
      <c r="AC2774" s="7" t="str">
        <f>IF(OR(ISNUMBER(FIND("Review-1", patch[[#This Row],[comments]])), ISNUMBER(FIND("Approver-1", patch[[#This Row],[comments]]))), "Review-1", "")</f>
        <v/>
      </c>
      <c r="AD27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74" s="7">
        <f>IF(ISBLANK(patch[[#This Row],[number]]),AE2773,patch[[#This Row],[ifCommon]])</f>
        <v>0</v>
      </c>
    </row>
    <row r="2775" spans="1:31">
      <c r="A2775" s="151">
        <v>140957</v>
      </c>
      <c r="B2775" s="151"/>
      <c r="C2775" s="151"/>
      <c r="D2775" s="151"/>
      <c r="E2775" s="151"/>
      <c r="F2775" s="151"/>
      <c r="G2775" s="151"/>
      <c r="H2775" s="151"/>
      <c r="I2775" s="151"/>
      <c r="J2775" s="152">
        <v>42614.749745370369</v>
      </c>
      <c r="K2775" s="151"/>
      <c r="L2775" s="151" t="s">
        <v>59</v>
      </c>
      <c r="M2775" s="152">
        <v>42608.710046296299</v>
      </c>
      <c r="N2775" s="151" t="s">
        <v>3981</v>
      </c>
      <c r="O2775" s="151"/>
      <c r="P2775" s="151"/>
      <c r="Q2775" s="7" t="str">
        <f>IF(ISBLANK(patch[[#This Row],[OwnerEmail]]),Q2774,patch[[#This Row],[OwnerEmail]])</f>
        <v>xiaolu.liu@intel.com</v>
      </c>
      <c r="R2775" s="7" t="str">
        <f>_xlfn.IFNA(VLOOKUP(patch[[#This Row],[tmp-owner.email]],OrgTree!$A:$K, 11, 0), "not ICG SWFW")</f>
        <v>BJ And dev</v>
      </c>
      <c r="S2775" s="7" t="str">
        <f>IF(patch[[#This Row],[reviewer]]=patch[[#This Row],[tmp-owner.email]], "author", _xlfn.IFNA(VLOOKUP(patch[[#This Row],[reviewer]],OrgTree!$A:$K, 11, 0), "not ICG SWFW"))</f>
        <v>BJ And dev</v>
      </c>
      <c r="T2775" s="7" t="str">
        <f>IF(ISBLANK(patch[[#This Row],[mergeDate]]), "", MID(YEAR(patch[[#This Row],[mergeDate]]), 3,2)&amp;"'ww"&amp;WEEKNUM(patch[[#This Row],[mergeDate]]))</f>
        <v>16'ww36</v>
      </c>
      <c r="U2775" s="7" t="str">
        <f>IF(ISBLANK(patch[[#This Row],[mergeDate]]), U2774, MID(YEAR(patch[[#This Row],[mergeDate]]), 3,2)&amp;"'m"&amp;MONTH(patch[[#This Row],[mergeDate]]))</f>
        <v>16'm9</v>
      </c>
      <c r="V2775" s="7" t="str">
        <f>IF(ISBLANK(patch[[#This Row],[project]]), "",SUM(patch[[#This Row],[BJ -1 num]:[SH -1 num]]))</f>
        <v/>
      </c>
      <c r="W2775" s="7" t="str">
        <f>IF(ISBLANK(patch[[#This Row],[project]]), "",COUNTIFS($A:$A,patch[[#This Row],[number]],$S:$S, "BJ And dev",$AC:$AC, "Review-1"))</f>
        <v/>
      </c>
      <c r="X2775" s="7" t="str">
        <f>IF(ISBLANK(patch[[#This Row],[project]]), "",COUNTIFS($A:$A,patch[[#This Row],[number]],$S:$S, "FL And dev",$AC:$AC, "Review-1"))</f>
        <v/>
      </c>
      <c r="Y2775" s="7" t="str">
        <f>IF(ISBLANK(patch[[#This Row],[project]]), "",COUNTIFS($A:$A,patch[[#This Row],[number]],$S:$S, "SH And dev",$AC:$AC, "Review-1"))</f>
        <v/>
      </c>
      <c r="Z2775" s="7" t="str">
        <f>IF(ISBLANK(patch[[#This Row],[project]]), "",COUNTIFS($A:$A,patch[[#This Row],[number]],$S:$S, "BJ And dev",$AD:$AD, "&lt;&gt;IntegratorValidationComment"))</f>
        <v/>
      </c>
      <c r="AA2775" s="7" t="str">
        <f>IF(ISBLANK(patch[[#This Row],[project]]), "",COUNTIFS($A:$A,patch[[#This Row],[number]],$S:$S, "FL And dev",$AD:$AD, "&lt;&gt;IntegratorValidationComment"))</f>
        <v/>
      </c>
      <c r="AB2775" s="7" t="str">
        <f>IF(ISBLANK(patch[[#This Row],[project]]), "",COUNTIFS($A:$A,patch[[#This Row],[number]],$S:$S, "SH And dev",$AD:$AD, "&lt;&gt;IntegratorValidationComment"))</f>
        <v/>
      </c>
      <c r="AC2775" s="7" t="str">
        <f>IF(OR(ISNUMBER(FIND("Review-1", patch[[#This Row],[comments]])), ISNUMBER(FIND("Approver-1", patch[[#This Row],[comments]]))), "Review-1", "")</f>
        <v/>
      </c>
      <c r="AD27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75" s="7">
        <f>IF(ISBLANK(patch[[#This Row],[number]]),AE2774,patch[[#This Row],[ifCommon]])</f>
        <v>0</v>
      </c>
    </row>
    <row r="2776" spans="1:31">
      <c r="A2776" s="151">
        <v>140957</v>
      </c>
      <c r="B2776" s="151"/>
      <c r="C2776" s="151"/>
      <c r="D2776" s="151"/>
      <c r="E2776" s="151"/>
      <c r="F2776" s="151"/>
      <c r="G2776" s="151"/>
      <c r="H2776" s="151"/>
      <c r="I2776" s="151"/>
      <c r="J2776" s="152">
        <v>42614.749745370369</v>
      </c>
      <c r="K2776" s="151"/>
      <c r="L2776" s="151" t="s">
        <v>59</v>
      </c>
      <c r="M2776" s="152">
        <v>42608.711365740739</v>
      </c>
      <c r="N2776" s="151" t="s">
        <v>3982</v>
      </c>
      <c r="O2776" s="151"/>
      <c r="P2776" s="151"/>
      <c r="Q2776" s="7" t="str">
        <f>IF(ISBLANK(patch[[#This Row],[OwnerEmail]]),Q2775,patch[[#This Row],[OwnerEmail]])</f>
        <v>xiaolu.liu@intel.com</v>
      </c>
      <c r="R2776" s="7" t="str">
        <f>_xlfn.IFNA(VLOOKUP(patch[[#This Row],[tmp-owner.email]],OrgTree!$A:$K, 11, 0), "not ICG SWFW")</f>
        <v>BJ And dev</v>
      </c>
      <c r="S2776" s="7" t="str">
        <f>IF(patch[[#This Row],[reviewer]]=patch[[#This Row],[tmp-owner.email]], "author", _xlfn.IFNA(VLOOKUP(patch[[#This Row],[reviewer]],OrgTree!$A:$K, 11, 0), "not ICG SWFW"))</f>
        <v>BJ And dev</v>
      </c>
      <c r="T2776" s="7" t="str">
        <f>IF(ISBLANK(patch[[#This Row],[mergeDate]]), "", MID(YEAR(patch[[#This Row],[mergeDate]]), 3,2)&amp;"'ww"&amp;WEEKNUM(patch[[#This Row],[mergeDate]]))</f>
        <v>16'ww36</v>
      </c>
      <c r="U2776" s="7" t="str">
        <f>IF(ISBLANK(patch[[#This Row],[mergeDate]]), U2775, MID(YEAR(patch[[#This Row],[mergeDate]]), 3,2)&amp;"'m"&amp;MONTH(patch[[#This Row],[mergeDate]]))</f>
        <v>16'm9</v>
      </c>
      <c r="V2776" s="7" t="str">
        <f>IF(ISBLANK(patch[[#This Row],[project]]), "",SUM(patch[[#This Row],[BJ -1 num]:[SH -1 num]]))</f>
        <v/>
      </c>
      <c r="W2776" s="7" t="str">
        <f>IF(ISBLANK(patch[[#This Row],[project]]), "",COUNTIFS($A:$A,patch[[#This Row],[number]],$S:$S, "BJ And dev",$AC:$AC, "Review-1"))</f>
        <v/>
      </c>
      <c r="X2776" s="7" t="str">
        <f>IF(ISBLANK(patch[[#This Row],[project]]), "",COUNTIFS($A:$A,patch[[#This Row],[number]],$S:$S, "FL And dev",$AC:$AC, "Review-1"))</f>
        <v/>
      </c>
      <c r="Y2776" s="7" t="str">
        <f>IF(ISBLANK(patch[[#This Row],[project]]), "",COUNTIFS($A:$A,patch[[#This Row],[number]],$S:$S, "SH And dev",$AC:$AC, "Review-1"))</f>
        <v/>
      </c>
      <c r="Z2776" s="7" t="str">
        <f>IF(ISBLANK(patch[[#This Row],[project]]), "",COUNTIFS($A:$A,patch[[#This Row],[number]],$S:$S, "BJ And dev",$AD:$AD, "&lt;&gt;IntegratorValidationComment"))</f>
        <v/>
      </c>
      <c r="AA2776" s="7" t="str">
        <f>IF(ISBLANK(patch[[#This Row],[project]]), "",COUNTIFS($A:$A,patch[[#This Row],[number]],$S:$S, "FL And dev",$AD:$AD, "&lt;&gt;IntegratorValidationComment"))</f>
        <v/>
      </c>
      <c r="AB2776" s="7" t="str">
        <f>IF(ISBLANK(patch[[#This Row],[project]]), "",COUNTIFS($A:$A,patch[[#This Row],[number]],$S:$S, "SH And dev",$AD:$AD, "&lt;&gt;IntegratorValidationComment"))</f>
        <v/>
      </c>
      <c r="AC2776" s="7" t="str">
        <f>IF(OR(ISNUMBER(FIND("Review-1", patch[[#This Row],[comments]])), ISNUMBER(FIND("Approver-1", patch[[#This Row],[comments]]))), "Review-1", "")</f>
        <v/>
      </c>
      <c r="AD27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76" s="7">
        <f>IF(ISBLANK(patch[[#This Row],[number]]),AE2775,patch[[#This Row],[ifCommon]])</f>
        <v>0</v>
      </c>
    </row>
    <row r="2777" spans="1:31">
      <c r="A2777" s="151">
        <v>140957</v>
      </c>
      <c r="B2777" s="151"/>
      <c r="C2777" s="151"/>
      <c r="D2777" s="151"/>
      <c r="E2777" s="151"/>
      <c r="F2777" s="151"/>
      <c r="G2777" s="151"/>
      <c r="H2777" s="151"/>
      <c r="I2777" s="151"/>
      <c r="J2777" s="152">
        <v>42614.749745370369</v>
      </c>
      <c r="K2777" s="151"/>
      <c r="L2777" s="151" t="s">
        <v>59</v>
      </c>
      <c r="M2777" s="152">
        <v>42608.711493055547</v>
      </c>
      <c r="N2777" s="151" t="s">
        <v>3983</v>
      </c>
      <c r="O2777" s="151"/>
      <c r="P2777" s="151"/>
      <c r="Q2777" s="7" t="str">
        <f>IF(ISBLANK(patch[[#This Row],[OwnerEmail]]),Q2776,patch[[#This Row],[OwnerEmail]])</f>
        <v>xiaolu.liu@intel.com</v>
      </c>
      <c r="R2777" s="7" t="str">
        <f>_xlfn.IFNA(VLOOKUP(patch[[#This Row],[tmp-owner.email]],OrgTree!$A:$K, 11, 0), "not ICG SWFW")</f>
        <v>BJ And dev</v>
      </c>
      <c r="S2777" s="7" t="str">
        <f>IF(patch[[#This Row],[reviewer]]=patch[[#This Row],[tmp-owner.email]], "author", _xlfn.IFNA(VLOOKUP(patch[[#This Row],[reviewer]],OrgTree!$A:$K, 11, 0), "not ICG SWFW"))</f>
        <v>BJ And dev</v>
      </c>
      <c r="T2777" s="7" t="str">
        <f>IF(ISBLANK(patch[[#This Row],[mergeDate]]), "", MID(YEAR(patch[[#This Row],[mergeDate]]), 3,2)&amp;"'ww"&amp;WEEKNUM(patch[[#This Row],[mergeDate]]))</f>
        <v>16'ww36</v>
      </c>
      <c r="U2777" s="7" t="str">
        <f>IF(ISBLANK(patch[[#This Row],[mergeDate]]), U2776, MID(YEAR(patch[[#This Row],[mergeDate]]), 3,2)&amp;"'m"&amp;MONTH(patch[[#This Row],[mergeDate]]))</f>
        <v>16'm9</v>
      </c>
      <c r="V2777" s="7" t="str">
        <f>IF(ISBLANK(patch[[#This Row],[project]]), "",SUM(patch[[#This Row],[BJ -1 num]:[SH -1 num]]))</f>
        <v/>
      </c>
      <c r="W2777" s="7" t="str">
        <f>IF(ISBLANK(patch[[#This Row],[project]]), "",COUNTIFS($A:$A,patch[[#This Row],[number]],$S:$S, "BJ And dev",$AC:$AC, "Review-1"))</f>
        <v/>
      </c>
      <c r="X2777" s="7" t="str">
        <f>IF(ISBLANK(patch[[#This Row],[project]]), "",COUNTIFS($A:$A,patch[[#This Row],[number]],$S:$S, "FL And dev",$AC:$AC, "Review-1"))</f>
        <v/>
      </c>
      <c r="Y2777" s="7" t="str">
        <f>IF(ISBLANK(patch[[#This Row],[project]]), "",COUNTIFS($A:$A,patch[[#This Row],[number]],$S:$S, "SH And dev",$AC:$AC, "Review-1"))</f>
        <v/>
      </c>
      <c r="Z2777" s="7" t="str">
        <f>IF(ISBLANK(patch[[#This Row],[project]]), "",COUNTIFS($A:$A,patch[[#This Row],[number]],$S:$S, "BJ And dev",$AD:$AD, "&lt;&gt;IntegratorValidationComment"))</f>
        <v/>
      </c>
      <c r="AA2777" s="7" t="str">
        <f>IF(ISBLANK(patch[[#This Row],[project]]), "",COUNTIFS($A:$A,patch[[#This Row],[number]],$S:$S, "FL And dev",$AD:$AD, "&lt;&gt;IntegratorValidationComment"))</f>
        <v/>
      </c>
      <c r="AB2777" s="7" t="str">
        <f>IF(ISBLANK(patch[[#This Row],[project]]), "",COUNTIFS($A:$A,patch[[#This Row],[number]],$S:$S, "SH And dev",$AD:$AD, "&lt;&gt;IntegratorValidationComment"))</f>
        <v/>
      </c>
      <c r="AC2777" s="7" t="str">
        <f>IF(OR(ISNUMBER(FIND("Review-1", patch[[#This Row],[comments]])), ISNUMBER(FIND("Approver-1", patch[[#This Row],[comments]]))), "Review-1", "")</f>
        <v/>
      </c>
      <c r="AD27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77" s="7">
        <f>IF(ISBLANK(patch[[#This Row],[number]]),AE2776,patch[[#This Row],[ifCommon]])</f>
        <v>0</v>
      </c>
    </row>
    <row r="2778" spans="1:31">
      <c r="A2778" s="151">
        <v>140957</v>
      </c>
      <c r="B2778" s="151"/>
      <c r="C2778" s="151"/>
      <c r="D2778" s="151"/>
      <c r="E2778" s="151"/>
      <c r="F2778" s="151"/>
      <c r="G2778" s="151"/>
      <c r="H2778" s="151"/>
      <c r="I2778" s="151"/>
      <c r="J2778" s="152">
        <v>42614.749745370369</v>
      </c>
      <c r="K2778" s="151"/>
      <c r="L2778" s="151" t="s">
        <v>75</v>
      </c>
      <c r="M2778" s="152">
        <v>42608.713645833333</v>
      </c>
      <c r="N2778" s="151" t="s">
        <v>1836</v>
      </c>
      <c r="O2778" s="151"/>
      <c r="P2778" s="151"/>
      <c r="Q2778" s="7" t="str">
        <f>IF(ISBLANK(patch[[#This Row],[OwnerEmail]]),Q2777,patch[[#This Row],[OwnerEmail]])</f>
        <v>xiaolu.liu@intel.com</v>
      </c>
      <c r="R2778" s="7" t="str">
        <f>_xlfn.IFNA(VLOOKUP(patch[[#This Row],[tmp-owner.email]],OrgTree!$A:$K, 11, 0), "not ICG SWFW")</f>
        <v>BJ And dev</v>
      </c>
      <c r="S2778" s="7" t="str">
        <f>IF(patch[[#This Row],[reviewer]]=patch[[#This Row],[tmp-owner.email]], "author", _xlfn.IFNA(VLOOKUP(patch[[#This Row],[reviewer]],OrgTree!$A:$K, 11, 0), "not ICG SWFW"))</f>
        <v>BJ And dev</v>
      </c>
      <c r="T2778" s="7" t="str">
        <f>IF(ISBLANK(patch[[#This Row],[mergeDate]]), "", MID(YEAR(patch[[#This Row],[mergeDate]]), 3,2)&amp;"'ww"&amp;WEEKNUM(patch[[#This Row],[mergeDate]]))</f>
        <v>16'ww36</v>
      </c>
      <c r="U2778" s="7" t="str">
        <f>IF(ISBLANK(patch[[#This Row],[mergeDate]]), U2777, MID(YEAR(patch[[#This Row],[mergeDate]]), 3,2)&amp;"'m"&amp;MONTH(patch[[#This Row],[mergeDate]]))</f>
        <v>16'm9</v>
      </c>
      <c r="V2778" s="7" t="str">
        <f>IF(ISBLANK(patch[[#This Row],[project]]), "",SUM(patch[[#This Row],[BJ -1 num]:[SH -1 num]]))</f>
        <v/>
      </c>
      <c r="W2778" s="7" t="str">
        <f>IF(ISBLANK(patch[[#This Row],[project]]), "",COUNTIFS($A:$A,patch[[#This Row],[number]],$S:$S, "BJ And dev",$AC:$AC, "Review-1"))</f>
        <v/>
      </c>
      <c r="X2778" s="7" t="str">
        <f>IF(ISBLANK(patch[[#This Row],[project]]), "",COUNTIFS($A:$A,patch[[#This Row],[number]],$S:$S, "FL And dev",$AC:$AC, "Review-1"))</f>
        <v/>
      </c>
      <c r="Y2778" s="7" t="str">
        <f>IF(ISBLANK(patch[[#This Row],[project]]), "",COUNTIFS($A:$A,patch[[#This Row],[number]],$S:$S, "SH And dev",$AC:$AC, "Review-1"))</f>
        <v/>
      </c>
      <c r="Z2778" s="7" t="str">
        <f>IF(ISBLANK(patch[[#This Row],[project]]), "",COUNTIFS($A:$A,patch[[#This Row],[number]],$S:$S, "BJ And dev",$AD:$AD, "&lt;&gt;IntegratorValidationComment"))</f>
        <v/>
      </c>
      <c r="AA2778" s="7" t="str">
        <f>IF(ISBLANK(patch[[#This Row],[project]]), "",COUNTIFS($A:$A,patch[[#This Row],[number]],$S:$S, "FL And dev",$AD:$AD, "&lt;&gt;IntegratorValidationComment"))</f>
        <v/>
      </c>
      <c r="AB2778" s="7" t="str">
        <f>IF(ISBLANK(patch[[#This Row],[project]]), "",COUNTIFS($A:$A,patch[[#This Row],[number]],$S:$S, "SH And dev",$AD:$AD, "&lt;&gt;IntegratorValidationComment"))</f>
        <v/>
      </c>
      <c r="AC2778" s="7" t="str">
        <f>IF(OR(ISNUMBER(FIND("Review-1", patch[[#This Row],[comments]])), ISNUMBER(FIND("Approver-1", patch[[#This Row],[comments]]))), "Review-1", "")</f>
        <v/>
      </c>
      <c r="AD27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78" s="7">
        <f>IF(ISBLANK(patch[[#This Row],[number]]),AE2777,patch[[#This Row],[ifCommon]])</f>
        <v>0</v>
      </c>
    </row>
    <row r="2779" spans="1:31">
      <c r="A2779" s="151">
        <v>140957</v>
      </c>
      <c r="B2779" s="151"/>
      <c r="C2779" s="151"/>
      <c r="D2779" s="151"/>
      <c r="E2779" s="151"/>
      <c r="F2779" s="151"/>
      <c r="G2779" s="151"/>
      <c r="H2779" s="151"/>
      <c r="I2779" s="151"/>
      <c r="J2779" s="152">
        <v>42614.749745370369</v>
      </c>
      <c r="K2779" s="151"/>
      <c r="L2779" s="151" t="s">
        <v>75</v>
      </c>
      <c r="M2779" s="152">
        <v>42608.71366898148</v>
      </c>
      <c r="N2779" s="151" t="s">
        <v>2453</v>
      </c>
      <c r="O2779" s="151"/>
      <c r="P2779" s="151"/>
      <c r="Q2779" s="7" t="str">
        <f>IF(ISBLANK(patch[[#This Row],[OwnerEmail]]),Q2778,patch[[#This Row],[OwnerEmail]])</f>
        <v>xiaolu.liu@intel.com</v>
      </c>
      <c r="R2779" s="7" t="str">
        <f>_xlfn.IFNA(VLOOKUP(patch[[#This Row],[tmp-owner.email]],OrgTree!$A:$K, 11, 0), "not ICG SWFW")</f>
        <v>BJ And dev</v>
      </c>
      <c r="S2779" s="7" t="str">
        <f>IF(patch[[#This Row],[reviewer]]=patch[[#This Row],[tmp-owner.email]], "author", _xlfn.IFNA(VLOOKUP(patch[[#This Row],[reviewer]],OrgTree!$A:$K, 11, 0), "not ICG SWFW"))</f>
        <v>BJ And dev</v>
      </c>
      <c r="T2779" s="7" t="str">
        <f>IF(ISBLANK(patch[[#This Row],[mergeDate]]), "", MID(YEAR(patch[[#This Row],[mergeDate]]), 3,2)&amp;"'ww"&amp;WEEKNUM(patch[[#This Row],[mergeDate]]))</f>
        <v>16'ww36</v>
      </c>
      <c r="U2779" s="7" t="str">
        <f>IF(ISBLANK(patch[[#This Row],[mergeDate]]), U2778, MID(YEAR(patch[[#This Row],[mergeDate]]), 3,2)&amp;"'m"&amp;MONTH(patch[[#This Row],[mergeDate]]))</f>
        <v>16'm9</v>
      </c>
      <c r="V2779" s="7" t="str">
        <f>IF(ISBLANK(patch[[#This Row],[project]]), "",SUM(patch[[#This Row],[BJ -1 num]:[SH -1 num]]))</f>
        <v/>
      </c>
      <c r="W2779" s="7" t="str">
        <f>IF(ISBLANK(patch[[#This Row],[project]]), "",COUNTIFS($A:$A,patch[[#This Row],[number]],$S:$S, "BJ And dev",$AC:$AC, "Review-1"))</f>
        <v/>
      </c>
      <c r="X2779" s="7" t="str">
        <f>IF(ISBLANK(patch[[#This Row],[project]]), "",COUNTIFS($A:$A,patch[[#This Row],[number]],$S:$S, "FL And dev",$AC:$AC, "Review-1"))</f>
        <v/>
      </c>
      <c r="Y2779" s="7" t="str">
        <f>IF(ISBLANK(patch[[#This Row],[project]]), "",COUNTIFS($A:$A,patch[[#This Row],[number]],$S:$S, "SH And dev",$AC:$AC, "Review-1"))</f>
        <v/>
      </c>
      <c r="Z2779" s="7" t="str">
        <f>IF(ISBLANK(patch[[#This Row],[project]]), "",COUNTIFS($A:$A,patch[[#This Row],[number]],$S:$S, "BJ And dev",$AD:$AD, "&lt;&gt;IntegratorValidationComment"))</f>
        <v/>
      </c>
      <c r="AA2779" s="7" t="str">
        <f>IF(ISBLANK(patch[[#This Row],[project]]), "",COUNTIFS($A:$A,patch[[#This Row],[number]],$S:$S, "FL And dev",$AD:$AD, "&lt;&gt;IntegratorValidationComment"))</f>
        <v/>
      </c>
      <c r="AB2779" s="7" t="str">
        <f>IF(ISBLANK(patch[[#This Row],[project]]), "",COUNTIFS($A:$A,patch[[#This Row],[number]],$S:$S, "SH And dev",$AD:$AD, "&lt;&gt;IntegratorValidationComment"))</f>
        <v/>
      </c>
      <c r="AC2779" s="7" t="str">
        <f>IF(OR(ISNUMBER(FIND("Review-1", patch[[#This Row],[comments]])), ISNUMBER(FIND("Approver-1", patch[[#This Row],[comments]]))), "Review-1", "")</f>
        <v/>
      </c>
      <c r="AD27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79" s="7">
        <f>IF(ISBLANK(patch[[#This Row],[number]]),AE2778,patch[[#This Row],[ifCommon]])</f>
        <v>0</v>
      </c>
    </row>
    <row r="2780" spans="1:31">
      <c r="A2780" s="151">
        <v>140957</v>
      </c>
      <c r="B2780" s="151"/>
      <c r="C2780" s="151"/>
      <c r="D2780" s="151"/>
      <c r="E2780" s="151"/>
      <c r="F2780" s="151"/>
      <c r="G2780" s="151"/>
      <c r="H2780" s="151"/>
      <c r="I2780" s="151"/>
      <c r="J2780" s="152">
        <v>42614.749745370369</v>
      </c>
      <c r="K2780" s="151"/>
      <c r="L2780" s="151" t="s">
        <v>59</v>
      </c>
      <c r="M2780" s="152">
        <v>42608.717268518521</v>
      </c>
      <c r="N2780" s="151" t="s">
        <v>3984</v>
      </c>
      <c r="O2780" s="151"/>
      <c r="P2780" s="151"/>
      <c r="Q2780" s="7" t="str">
        <f>IF(ISBLANK(patch[[#This Row],[OwnerEmail]]),Q2779,patch[[#This Row],[OwnerEmail]])</f>
        <v>xiaolu.liu@intel.com</v>
      </c>
      <c r="R2780" s="7" t="str">
        <f>_xlfn.IFNA(VLOOKUP(patch[[#This Row],[tmp-owner.email]],OrgTree!$A:$K, 11, 0), "not ICG SWFW")</f>
        <v>BJ And dev</v>
      </c>
      <c r="S2780" s="7" t="str">
        <f>IF(patch[[#This Row],[reviewer]]=patch[[#This Row],[tmp-owner.email]], "author", _xlfn.IFNA(VLOOKUP(patch[[#This Row],[reviewer]],OrgTree!$A:$K, 11, 0), "not ICG SWFW"))</f>
        <v>BJ And dev</v>
      </c>
      <c r="T2780" s="7" t="str">
        <f>IF(ISBLANK(patch[[#This Row],[mergeDate]]), "", MID(YEAR(patch[[#This Row],[mergeDate]]), 3,2)&amp;"'ww"&amp;WEEKNUM(patch[[#This Row],[mergeDate]]))</f>
        <v>16'ww36</v>
      </c>
      <c r="U2780" s="7" t="str">
        <f>IF(ISBLANK(patch[[#This Row],[mergeDate]]), U2779, MID(YEAR(patch[[#This Row],[mergeDate]]), 3,2)&amp;"'m"&amp;MONTH(patch[[#This Row],[mergeDate]]))</f>
        <v>16'm9</v>
      </c>
      <c r="V2780" s="7" t="str">
        <f>IF(ISBLANK(patch[[#This Row],[project]]), "",SUM(patch[[#This Row],[BJ -1 num]:[SH -1 num]]))</f>
        <v/>
      </c>
      <c r="W2780" s="7" t="str">
        <f>IF(ISBLANK(patch[[#This Row],[project]]), "",COUNTIFS($A:$A,patch[[#This Row],[number]],$S:$S, "BJ And dev",$AC:$AC, "Review-1"))</f>
        <v/>
      </c>
      <c r="X2780" s="7" t="str">
        <f>IF(ISBLANK(patch[[#This Row],[project]]), "",COUNTIFS($A:$A,patch[[#This Row],[number]],$S:$S, "FL And dev",$AC:$AC, "Review-1"))</f>
        <v/>
      </c>
      <c r="Y2780" s="7" t="str">
        <f>IF(ISBLANK(patch[[#This Row],[project]]), "",COUNTIFS($A:$A,patch[[#This Row],[number]],$S:$S, "SH And dev",$AC:$AC, "Review-1"))</f>
        <v/>
      </c>
      <c r="Z2780" s="7" t="str">
        <f>IF(ISBLANK(patch[[#This Row],[project]]), "",COUNTIFS($A:$A,patch[[#This Row],[number]],$S:$S, "BJ And dev",$AD:$AD, "&lt;&gt;IntegratorValidationComment"))</f>
        <v/>
      </c>
      <c r="AA2780" s="7" t="str">
        <f>IF(ISBLANK(patch[[#This Row],[project]]), "",COUNTIFS($A:$A,patch[[#This Row],[number]],$S:$S, "FL And dev",$AD:$AD, "&lt;&gt;IntegratorValidationComment"))</f>
        <v/>
      </c>
      <c r="AB2780" s="7" t="str">
        <f>IF(ISBLANK(patch[[#This Row],[project]]), "",COUNTIFS($A:$A,patch[[#This Row],[number]],$S:$S, "SH And dev",$AD:$AD, "&lt;&gt;IntegratorValidationComment"))</f>
        <v/>
      </c>
      <c r="AC2780" s="7" t="str">
        <f>IF(OR(ISNUMBER(FIND("Review-1", patch[[#This Row],[comments]])), ISNUMBER(FIND("Approver-1", patch[[#This Row],[comments]]))), "Review-1", "")</f>
        <v/>
      </c>
      <c r="AD27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80" s="7">
        <f>IF(ISBLANK(patch[[#This Row],[number]]),AE2779,patch[[#This Row],[ifCommon]])</f>
        <v>0</v>
      </c>
    </row>
    <row r="2781" spans="1:31">
      <c r="A2781" s="151">
        <v>140957</v>
      </c>
      <c r="B2781" s="151"/>
      <c r="C2781" s="151"/>
      <c r="D2781" s="151"/>
      <c r="E2781" s="151"/>
      <c r="F2781" s="151"/>
      <c r="G2781" s="151"/>
      <c r="H2781" s="151"/>
      <c r="I2781" s="151"/>
      <c r="J2781" s="152">
        <v>42614.749745370369</v>
      </c>
      <c r="K2781" s="151"/>
      <c r="L2781" s="151" t="s">
        <v>59</v>
      </c>
      <c r="M2781" s="152">
        <v>42608.718634259261</v>
      </c>
      <c r="N2781" s="151" t="s">
        <v>3985</v>
      </c>
      <c r="O2781" s="151"/>
      <c r="P2781" s="151"/>
      <c r="Q2781" s="7" t="str">
        <f>IF(ISBLANK(patch[[#This Row],[OwnerEmail]]),Q2780,patch[[#This Row],[OwnerEmail]])</f>
        <v>xiaolu.liu@intel.com</v>
      </c>
      <c r="R2781" s="7" t="str">
        <f>_xlfn.IFNA(VLOOKUP(patch[[#This Row],[tmp-owner.email]],OrgTree!$A:$K, 11, 0), "not ICG SWFW")</f>
        <v>BJ And dev</v>
      </c>
      <c r="S2781" s="7" t="str">
        <f>IF(patch[[#This Row],[reviewer]]=patch[[#This Row],[tmp-owner.email]], "author", _xlfn.IFNA(VLOOKUP(patch[[#This Row],[reviewer]],OrgTree!$A:$K, 11, 0), "not ICG SWFW"))</f>
        <v>BJ And dev</v>
      </c>
      <c r="T2781" s="7" t="str">
        <f>IF(ISBLANK(patch[[#This Row],[mergeDate]]), "", MID(YEAR(patch[[#This Row],[mergeDate]]), 3,2)&amp;"'ww"&amp;WEEKNUM(patch[[#This Row],[mergeDate]]))</f>
        <v>16'ww36</v>
      </c>
      <c r="U2781" s="7" t="str">
        <f>IF(ISBLANK(patch[[#This Row],[mergeDate]]), U2780, MID(YEAR(patch[[#This Row],[mergeDate]]), 3,2)&amp;"'m"&amp;MONTH(patch[[#This Row],[mergeDate]]))</f>
        <v>16'm9</v>
      </c>
      <c r="V2781" s="7" t="str">
        <f>IF(ISBLANK(patch[[#This Row],[project]]), "",SUM(patch[[#This Row],[BJ -1 num]:[SH -1 num]]))</f>
        <v/>
      </c>
      <c r="W2781" s="7" t="str">
        <f>IF(ISBLANK(patch[[#This Row],[project]]), "",COUNTIFS($A:$A,patch[[#This Row],[number]],$S:$S, "BJ And dev",$AC:$AC, "Review-1"))</f>
        <v/>
      </c>
      <c r="X2781" s="7" t="str">
        <f>IF(ISBLANK(patch[[#This Row],[project]]), "",COUNTIFS($A:$A,patch[[#This Row],[number]],$S:$S, "FL And dev",$AC:$AC, "Review-1"))</f>
        <v/>
      </c>
      <c r="Y2781" s="7" t="str">
        <f>IF(ISBLANK(patch[[#This Row],[project]]), "",COUNTIFS($A:$A,patch[[#This Row],[number]],$S:$S, "SH And dev",$AC:$AC, "Review-1"))</f>
        <v/>
      </c>
      <c r="Z2781" s="7" t="str">
        <f>IF(ISBLANK(patch[[#This Row],[project]]), "",COUNTIFS($A:$A,patch[[#This Row],[number]],$S:$S, "BJ And dev",$AD:$AD, "&lt;&gt;IntegratorValidationComment"))</f>
        <v/>
      </c>
      <c r="AA2781" s="7" t="str">
        <f>IF(ISBLANK(patch[[#This Row],[project]]), "",COUNTIFS($A:$A,patch[[#This Row],[number]],$S:$S, "FL And dev",$AD:$AD, "&lt;&gt;IntegratorValidationComment"))</f>
        <v/>
      </c>
      <c r="AB2781" s="7" t="str">
        <f>IF(ISBLANK(patch[[#This Row],[project]]), "",COUNTIFS($A:$A,patch[[#This Row],[number]],$S:$S, "SH And dev",$AD:$AD, "&lt;&gt;IntegratorValidationComment"))</f>
        <v/>
      </c>
      <c r="AC2781" s="7" t="str">
        <f>IF(OR(ISNUMBER(FIND("Review-1", patch[[#This Row],[comments]])), ISNUMBER(FIND("Approver-1", patch[[#This Row],[comments]]))), "Review-1", "")</f>
        <v/>
      </c>
      <c r="AD27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81" s="7">
        <f>IF(ISBLANK(patch[[#This Row],[number]]),AE2780,patch[[#This Row],[ifCommon]])</f>
        <v>0</v>
      </c>
    </row>
    <row r="2782" spans="1:31">
      <c r="A2782" s="151">
        <v>140957</v>
      </c>
      <c r="B2782" s="151"/>
      <c r="C2782" s="151"/>
      <c r="D2782" s="151"/>
      <c r="E2782" s="151"/>
      <c r="F2782" s="151"/>
      <c r="G2782" s="151"/>
      <c r="H2782" s="151"/>
      <c r="I2782" s="151"/>
      <c r="J2782" s="152">
        <v>42614.749745370369</v>
      </c>
      <c r="K2782" s="151"/>
      <c r="L2782" s="151" t="s">
        <v>59</v>
      </c>
      <c r="M2782" s="152">
        <v>42608.721087962957</v>
      </c>
      <c r="N2782" s="151" t="s">
        <v>3986</v>
      </c>
      <c r="O2782" s="151"/>
      <c r="P2782" s="151"/>
      <c r="Q2782" s="7" t="str">
        <f>IF(ISBLANK(patch[[#This Row],[OwnerEmail]]),Q2781,patch[[#This Row],[OwnerEmail]])</f>
        <v>xiaolu.liu@intel.com</v>
      </c>
      <c r="R2782" s="7" t="str">
        <f>_xlfn.IFNA(VLOOKUP(patch[[#This Row],[tmp-owner.email]],OrgTree!$A:$K, 11, 0), "not ICG SWFW")</f>
        <v>BJ And dev</v>
      </c>
      <c r="S2782" s="7" t="str">
        <f>IF(patch[[#This Row],[reviewer]]=patch[[#This Row],[tmp-owner.email]], "author", _xlfn.IFNA(VLOOKUP(patch[[#This Row],[reviewer]],OrgTree!$A:$K, 11, 0), "not ICG SWFW"))</f>
        <v>BJ And dev</v>
      </c>
      <c r="T2782" s="7" t="str">
        <f>IF(ISBLANK(patch[[#This Row],[mergeDate]]), "", MID(YEAR(patch[[#This Row],[mergeDate]]), 3,2)&amp;"'ww"&amp;WEEKNUM(patch[[#This Row],[mergeDate]]))</f>
        <v>16'ww36</v>
      </c>
      <c r="U2782" s="7" t="str">
        <f>IF(ISBLANK(patch[[#This Row],[mergeDate]]), U2781, MID(YEAR(patch[[#This Row],[mergeDate]]), 3,2)&amp;"'m"&amp;MONTH(patch[[#This Row],[mergeDate]]))</f>
        <v>16'm9</v>
      </c>
      <c r="V2782" s="7" t="str">
        <f>IF(ISBLANK(patch[[#This Row],[project]]), "",SUM(patch[[#This Row],[BJ -1 num]:[SH -1 num]]))</f>
        <v/>
      </c>
      <c r="W2782" s="7" t="str">
        <f>IF(ISBLANK(patch[[#This Row],[project]]), "",COUNTIFS($A:$A,patch[[#This Row],[number]],$S:$S, "BJ And dev",$AC:$AC, "Review-1"))</f>
        <v/>
      </c>
      <c r="X2782" s="7" t="str">
        <f>IF(ISBLANK(patch[[#This Row],[project]]), "",COUNTIFS($A:$A,patch[[#This Row],[number]],$S:$S, "FL And dev",$AC:$AC, "Review-1"))</f>
        <v/>
      </c>
      <c r="Y2782" s="7" t="str">
        <f>IF(ISBLANK(patch[[#This Row],[project]]), "",COUNTIFS($A:$A,patch[[#This Row],[number]],$S:$S, "SH And dev",$AC:$AC, "Review-1"))</f>
        <v/>
      </c>
      <c r="Z2782" s="7" t="str">
        <f>IF(ISBLANK(patch[[#This Row],[project]]), "",COUNTIFS($A:$A,patch[[#This Row],[number]],$S:$S, "BJ And dev",$AD:$AD, "&lt;&gt;IntegratorValidationComment"))</f>
        <v/>
      </c>
      <c r="AA2782" s="7" t="str">
        <f>IF(ISBLANK(patch[[#This Row],[project]]), "",COUNTIFS($A:$A,patch[[#This Row],[number]],$S:$S, "FL And dev",$AD:$AD, "&lt;&gt;IntegratorValidationComment"))</f>
        <v/>
      </c>
      <c r="AB2782" s="7" t="str">
        <f>IF(ISBLANK(patch[[#This Row],[project]]), "",COUNTIFS($A:$A,patch[[#This Row],[number]],$S:$S, "SH And dev",$AD:$AD, "&lt;&gt;IntegratorValidationComment"))</f>
        <v/>
      </c>
      <c r="AC2782" s="7" t="str">
        <f>IF(OR(ISNUMBER(FIND("Review-1", patch[[#This Row],[comments]])), ISNUMBER(FIND("Approver-1", patch[[#This Row],[comments]]))), "Review-1", "")</f>
        <v/>
      </c>
      <c r="AD27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82" s="7">
        <f>IF(ISBLANK(patch[[#This Row],[number]]),AE2781,patch[[#This Row],[ifCommon]])</f>
        <v>0</v>
      </c>
    </row>
    <row r="2783" spans="1:31">
      <c r="A2783" s="151">
        <v>140957</v>
      </c>
      <c r="B2783" s="151"/>
      <c r="C2783" s="151"/>
      <c r="D2783" s="151"/>
      <c r="E2783" s="151"/>
      <c r="F2783" s="151"/>
      <c r="G2783" s="151"/>
      <c r="H2783" s="151"/>
      <c r="I2783" s="151"/>
      <c r="J2783" s="152">
        <v>42614.749745370369</v>
      </c>
      <c r="K2783" s="151"/>
      <c r="L2783" s="151" t="s">
        <v>75</v>
      </c>
      <c r="M2783" s="152">
        <v>42611.405601851853</v>
      </c>
      <c r="N2783" s="151" t="s">
        <v>1853</v>
      </c>
      <c r="O2783" s="151"/>
      <c r="P2783" s="151"/>
      <c r="Q2783" s="7" t="str">
        <f>IF(ISBLANK(patch[[#This Row],[OwnerEmail]]),Q2782,patch[[#This Row],[OwnerEmail]])</f>
        <v>xiaolu.liu@intel.com</v>
      </c>
      <c r="R2783" s="7" t="str">
        <f>_xlfn.IFNA(VLOOKUP(patch[[#This Row],[tmp-owner.email]],OrgTree!$A:$K, 11, 0), "not ICG SWFW")</f>
        <v>BJ And dev</v>
      </c>
      <c r="S2783" s="7" t="str">
        <f>IF(patch[[#This Row],[reviewer]]=patch[[#This Row],[tmp-owner.email]], "author", _xlfn.IFNA(VLOOKUP(patch[[#This Row],[reviewer]],OrgTree!$A:$K, 11, 0), "not ICG SWFW"))</f>
        <v>BJ And dev</v>
      </c>
      <c r="T2783" s="7" t="str">
        <f>IF(ISBLANK(patch[[#This Row],[mergeDate]]), "", MID(YEAR(patch[[#This Row],[mergeDate]]), 3,2)&amp;"'ww"&amp;WEEKNUM(patch[[#This Row],[mergeDate]]))</f>
        <v>16'ww36</v>
      </c>
      <c r="U2783" s="7" t="str">
        <f>IF(ISBLANK(patch[[#This Row],[mergeDate]]), U2782, MID(YEAR(patch[[#This Row],[mergeDate]]), 3,2)&amp;"'m"&amp;MONTH(patch[[#This Row],[mergeDate]]))</f>
        <v>16'm9</v>
      </c>
      <c r="V2783" s="7" t="str">
        <f>IF(ISBLANK(patch[[#This Row],[project]]), "",SUM(patch[[#This Row],[BJ -1 num]:[SH -1 num]]))</f>
        <v/>
      </c>
      <c r="W2783" s="7" t="str">
        <f>IF(ISBLANK(patch[[#This Row],[project]]), "",COUNTIFS($A:$A,patch[[#This Row],[number]],$S:$S, "BJ And dev",$AC:$AC, "Review-1"))</f>
        <v/>
      </c>
      <c r="X2783" s="7" t="str">
        <f>IF(ISBLANK(patch[[#This Row],[project]]), "",COUNTIFS($A:$A,patch[[#This Row],[number]],$S:$S, "FL And dev",$AC:$AC, "Review-1"))</f>
        <v/>
      </c>
      <c r="Y2783" s="7" t="str">
        <f>IF(ISBLANK(patch[[#This Row],[project]]), "",COUNTIFS($A:$A,patch[[#This Row],[number]],$S:$S, "SH And dev",$AC:$AC, "Review-1"))</f>
        <v/>
      </c>
      <c r="Z2783" s="7" t="str">
        <f>IF(ISBLANK(patch[[#This Row],[project]]), "",COUNTIFS($A:$A,patch[[#This Row],[number]],$S:$S, "BJ And dev",$AD:$AD, "&lt;&gt;IntegratorValidationComment"))</f>
        <v/>
      </c>
      <c r="AA2783" s="7" t="str">
        <f>IF(ISBLANK(patch[[#This Row],[project]]), "",COUNTIFS($A:$A,patch[[#This Row],[number]],$S:$S, "FL And dev",$AD:$AD, "&lt;&gt;IntegratorValidationComment"))</f>
        <v/>
      </c>
      <c r="AB2783" s="7" t="str">
        <f>IF(ISBLANK(patch[[#This Row],[project]]), "",COUNTIFS($A:$A,patch[[#This Row],[number]],$S:$S, "SH And dev",$AD:$AD, "&lt;&gt;IntegratorValidationComment"))</f>
        <v/>
      </c>
      <c r="AC2783" s="7" t="str">
        <f>IF(OR(ISNUMBER(FIND("Review-1", patch[[#This Row],[comments]])), ISNUMBER(FIND("Approver-1", patch[[#This Row],[comments]]))), "Review-1", "")</f>
        <v/>
      </c>
      <c r="AD27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83" s="7">
        <f>IF(ISBLANK(patch[[#This Row],[number]]),AE2782,patch[[#This Row],[ifCommon]])</f>
        <v>0</v>
      </c>
    </row>
    <row r="2784" spans="1:31">
      <c r="A2784" s="151">
        <v>140957</v>
      </c>
      <c r="B2784" s="151"/>
      <c r="C2784" s="151"/>
      <c r="D2784" s="151"/>
      <c r="E2784" s="151"/>
      <c r="F2784" s="151"/>
      <c r="G2784" s="151"/>
      <c r="H2784" s="151"/>
      <c r="I2784" s="151"/>
      <c r="J2784" s="152">
        <v>42614.749745370369</v>
      </c>
      <c r="K2784" s="151"/>
      <c r="L2784" s="151" t="s">
        <v>32</v>
      </c>
      <c r="M2784" s="152">
        <v>42612.444560185177</v>
      </c>
      <c r="N2784" s="151" t="s">
        <v>1853</v>
      </c>
      <c r="O2784" s="151"/>
      <c r="P2784" s="151"/>
      <c r="Q2784" s="7" t="str">
        <f>IF(ISBLANK(patch[[#This Row],[OwnerEmail]]),Q2783,patch[[#This Row],[OwnerEmail]])</f>
        <v>xiaolu.liu@intel.com</v>
      </c>
      <c r="R2784" s="7" t="str">
        <f>_xlfn.IFNA(VLOOKUP(patch[[#This Row],[tmp-owner.email]],OrgTree!$A:$K, 11, 0), "not ICG SWFW")</f>
        <v>BJ And dev</v>
      </c>
      <c r="S2784" s="7" t="str">
        <f>IF(patch[[#This Row],[reviewer]]=patch[[#This Row],[tmp-owner.email]], "author", _xlfn.IFNA(VLOOKUP(patch[[#This Row],[reviewer]],OrgTree!$A:$K, 11, 0), "not ICG SWFW"))</f>
        <v>BJ And dev</v>
      </c>
      <c r="T2784" s="7" t="str">
        <f>IF(ISBLANK(patch[[#This Row],[mergeDate]]), "", MID(YEAR(patch[[#This Row],[mergeDate]]), 3,2)&amp;"'ww"&amp;WEEKNUM(patch[[#This Row],[mergeDate]]))</f>
        <v>16'ww36</v>
      </c>
      <c r="U2784" s="7" t="str">
        <f>IF(ISBLANK(patch[[#This Row],[mergeDate]]), U2783, MID(YEAR(patch[[#This Row],[mergeDate]]), 3,2)&amp;"'m"&amp;MONTH(patch[[#This Row],[mergeDate]]))</f>
        <v>16'm9</v>
      </c>
      <c r="V2784" s="7" t="str">
        <f>IF(ISBLANK(patch[[#This Row],[project]]), "",SUM(patch[[#This Row],[BJ -1 num]:[SH -1 num]]))</f>
        <v/>
      </c>
      <c r="W2784" s="7" t="str">
        <f>IF(ISBLANK(patch[[#This Row],[project]]), "",COUNTIFS($A:$A,patch[[#This Row],[number]],$S:$S, "BJ And dev",$AC:$AC, "Review-1"))</f>
        <v/>
      </c>
      <c r="X2784" s="7" t="str">
        <f>IF(ISBLANK(patch[[#This Row],[project]]), "",COUNTIFS($A:$A,patch[[#This Row],[number]],$S:$S, "FL And dev",$AC:$AC, "Review-1"))</f>
        <v/>
      </c>
      <c r="Y2784" s="7" t="str">
        <f>IF(ISBLANK(patch[[#This Row],[project]]), "",COUNTIFS($A:$A,patch[[#This Row],[number]],$S:$S, "SH And dev",$AC:$AC, "Review-1"))</f>
        <v/>
      </c>
      <c r="Z2784" s="7" t="str">
        <f>IF(ISBLANK(patch[[#This Row],[project]]), "",COUNTIFS($A:$A,patch[[#This Row],[number]],$S:$S, "BJ And dev",$AD:$AD, "&lt;&gt;IntegratorValidationComment"))</f>
        <v/>
      </c>
      <c r="AA2784" s="7" t="str">
        <f>IF(ISBLANK(patch[[#This Row],[project]]), "",COUNTIFS($A:$A,patch[[#This Row],[number]],$S:$S, "FL And dev",$AD:$AD, "&lt;&gt;IntegratorValidationComment"))</f>
        <v/>
      </c>
      <c r="AB2784" s="7" t="str">
        <f>IF(ISBLANK(patch[[#This Row],[project]]), "",COUNTIFS($A:$A,patch[[#This Row],[number]],$S:$S, "SH And dev",$AD:$AD, "&lt;&gt;IntegratorValidationComment"))</f>
        <v/>
      </c>
      <c r="AC2784" s="7" t="str">
        <f>IF(OR(ISNUMBER(FIND("Review-1", patch[[#This Row],[comments]])), ISNUMBER(FIND("Approver-1", patch[[#This Row],[comments]]))), "Review-1", "")</f>
        <v/>
      </c>
      <c r="AD27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84" s="7">
        <f>IF(ISBLANK(patch[[#This Row],[number]]),AE2783,patch[[#This Row],[ifCommon]])</f>
        <v>0</v>
      </c>
    </row>
    <row r="2785" spans="1:31">
      <c r="A2785" s="151">
        <v>140957</v>
      </c>
      <c r="B2785" s="151"/>
      <c r="C2785" s="151"/>
      <c r="D2785" s="151"/>
      <c r="E2785" s="151"/>
      <c r="F2785" s="151"/>
      <c r="G2785" s="151"/>
      <c r="H2785" s="151"/>
      <c r="I2785" s="151"/>
      <c r="J2785" s="152">
        <v>42614.749745370369</v>
      </c>
      <c r="K2785" s="151"/>
      <c r="L2785" s="151" t="s">
        <v>59</v>
      </c>
      <c r="M2785" s="152">
        <v>42612.635127314818</v>
      </c>
      <c r="N2785" s="151" t="s">
        <v>1853</v>
      </c>
      <c r="O2785" s="151"/>
      <c r="P2785" s="151"/>
      <c r="Q2785" s="7" t="str">
        <f>IF(ISBLANK(patch[[#This Row],[OwnerEmail]]),Q2784,patch[[#This Row],[OwnerEmail]])</f>
        <v>xiaolu.liu@intel.com</v>
      </c>
      <c r="R2785" s="7" t="str">
        <f>_xlfn.IFNA(VLOOKUP(patch[[#This Row],[tmp-owner.email]],OrgTree!$A:$K, 11, 0), "not ICG SWFW")</f>
        <v>BJ And dev</v>
      </c>
      <c r="S2785" s="7" t="str">
        <f>IF(patch[[#This Row],[reviewer]]=patch[[#This Row],[tmp-owner.email]], "author", _xlfn.IFNA(VLOOKUP(patch[[#This Row],[reviewer]],OrgTree!$A:$K, 11, 0), "not ICG SWFW"))</f>
        <v>BJ And dev</v>
      </c>
      <c r="T2785" s="7" t="str">
        <f>IF(ISBLANK(patch[[#This Row],[mergeDate]]), "", MID(YEAR(patch[[#This Row],[mergeDate]]), 3,2)&amp;"'ww"&amp;WEEKNUM(patch[[#This Row],[mergeDate]]))</f>
        <v>16'ww36</v>
      </c>
      <c r="U2785" s="7" t="str">
        <f>IF(ISBLANK(patch[[#This Row],[mergeDate]]), U2784, MID(YEAR(patch[[#This Row],[mergeDate]]), 3,2)&amp;"'m"&amp;MONTH(patch[[#This Row],[mergeDate]]))</f>
        <v>16'm9</v>
      </c>
      <c r="V2785" s="7" t="str">
        <f>IF(ISBLANK(patch[[#This Row],[project]]), "",SUM(patch[[#This Row],[BJ -1 num]:[SH -1 num]]))</f>
        <v/>
      </c>
      <c r="W2785" s="7" t="str">
        <f>IF(ISBLANK(patch[[#This Row],[project]]), "",COUNTIFS($A:$A,patch[[#This Row],[number]],$S:$S, "BJ And dev",$AC:$AC, "Review-1"))</f>
        <v/>
      </c>
      <c r="X2785" s="7" t="str">
        <f>IF(ISBLANK(patch[[#This Row],[project]]), "",COUNTIFS($A:$A,patch[[#This Row],[number]],$S:$S, "FL And dev",$AC:$AC, "Review-1"))</f>
        <v/>
      </c>
      <c r="Y2785" s="7" t="str">
        <f>IF(ISBLANK(patch[[#This Row],[project]]), "",COUNTIFS($A:$A,patch[[#This Row],[number]],$S:$S, "SH And dev",$AC:$AC, "Review-1"))</f>
        <v/>
      </c>
      <c r="Z2785" s="7" t="str">
        <f>IF(ISBLANK(patch[[#This Row],[project]]), "",COUNTIFS($A:$A,patch[[#This Row],[number]],$S:$S, "BJ And dev",$AD:$AD, "&lt;&gt;IntegratorValidationComment"))</f>
        <v/>
      </c>
      <c r="AA2785" s="7" t="str">
        <f>IF(ISBLANK(patch[[#This Row],[project]]), "",COUNTIFS($A:$A,patch[[#This Row],[number]],$S:$S, "FL And dev",$AD:$AD, "&lt;&gt;IntegratorValidationComment"))</f>
        <v/>
      </c>
      <c r="AB2785" s="7" t="str">
        <f>IF(ISBLANK(patch[[#This Row],[project]]), "",COUNTIFS($A:$A,patch[[#This Row],[number]],$S:$S, "SH And dev",$AD:$AD, "&lt;&gt;IntegratorValidationComment"))</f>
        <v/>
      </c>
      <c r="AC2785" s="7" t="str">
        <f>IF(OR(ISNUMBER(FIND("Review-1", patch[[#This Row],[comments]])), ISNUMBER(FIND("Approver-1", patch[[#This Row],[comments]]))), "Review-1", "")</f>
        <v/>
      </c>
      <c r="AD27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85" s="7">
        <f>IF(ISBLANK(patch[[#This Row],[number]]),AE2784,patch[[#This Row],[ifCommon]])</f>
        <v>0</v>
      </c>
    </row>
    <row r="2786" spans="1:31">
      <c r="A2786" s="151">
        <v>140957</v>
      </c>
      <c r="B2786" s="151"/>
      <c r="C2786" s="151"/>
      <c r="D2786" s="151"/>
      <c r="E2786" s="151"/>
      <c r="F2786" s="151"/>
      <c r="G2786" s="151"/>
      <c r="H2786" s="151"/>
      <c r="I2786" s="151"/>
      <c r="J2786" s="152">
        <v>42614.749745370369</v>
      </c>
      <c r="K2786" s="151"/>
      <c r="L2786" s="151" t="s">
        <v>75</v>
      </c>
      <c r="M2786" s="152">
        <v>42613.419722222221</v>
      </c>
      <c r="N2786" s="151" t="s">
        <v>2454</v>
      </c>
      <c r="O2786" s="151"/>
      <c r="P2786" s="151"/>
      <c r="Q2786" s="7" t="str">
        <f>IF(ISBLANK(patch[[#This Row],[OwnerEmail]]),Q2785,patch[[#This Row],[OwnerEmail]])</f>
        <v>xiaolu.liu@intel.com</v>
      </c>
      <c r="R2786" s="7" t="str">
        <f>_xlfn.IFNA(VLOOKUP(patch[[#This Row],[tmp-owner.email]],OrgTree!$A:$K, 11, 0), "not ICG SWFW")</f>
        <v>BJ And dev</v>
      </c>
      <c r="S2786" s="7" t="str">
        <f>IF(patch[[#This Row],[reviewer]]=patch[[#This Row],[tmp-owner.email]], "author", _xlfn.IFNA(VLOOKUP(patch[[#This Row],[reviewer]],OrgTree!$A:$K, 11, 0), "not ICG SWFW"))</f>
        <v>BJ And dev</v>
      </c>
      <c r="T2786" s="7" t="str">
        <f>IF(ISBLANK(patch[[#This Row],[mergeDate]]), "", MID(YEAR(patch[[#This Row],[mergeDate]]), 3,2)&amp;"'ww"&amp;WEEKNUM(patch[[#This Row],[mergeDate]]))</f>
        <v>16'ww36</v>
      </c>
      <c r="U2786" s="7" t="str">
        <f>IF(ISBLANK(patch[[#This Row],[mergeDate]]), U2785, MID(YEAR(patch[[#This Row],[mergeDate]]), 3,2)&amp;"'m"&amp;MONTH(patch[[#This Row],[mergeDate]]))</f>
        <v>16'm9</v>
      </c>
      <c r="V2786" s="7" t="str">
        <f>IF(ISBLANK(patch[[#This Row],[project]]), "",SUM(patch[[#This Row],[BJ -1 num]:[SH -1 num]]))</f>
        <v/>
      </c>
      <c r="W2786" s="7" t="str">
        <f>IF(ISBLANK(patch[[#This Row],[project]]), "",COUNTIFS($A:$A,patch[[#This Row],[number]],$S:$S, "BJ And dev",$AC:$AC, "Review-1"))</f>
        <v/>
      </c>
      <c r="X2786" s="7" t="str">
        <f>IF(ISBLANK(patch[[#This Row],[project]]), "",COUNTIFS($A:$A,patch[[#This Row],[number]],$S:$S, "FL And dev",$AC:$AC, "Review-1"))</f>
        <v/>
      </c>
      <c r="Y2786" s="7" t="str">
        <f>IF(ISBLANK(patch[[#This Row],[project]]), "",COUNTIFS($A:$A,patch[[#This Row],[number]],$S:$S, "SH And dev",$AC:$AC, "Review-1"))</f>
        <v/>
      </c>
      <c r="Z2786" s="7" t="str">
        <f>IF(ISBLANK(patch[[#This Row],[project]]), "",COUNTIFS($A:$A,patch[[#This Row],[number]],$S:$S, "BJ And dev",$AD:$AD, "&lt;&gt;IntegratorValidationComment"))</f>
        <v/>
      </c>
      <c r="AA2786" s="7" t="str">
        <f>IF(ISBLANK(patch[[#This Row],[project]]), "",COUNTIFS($A:$A,patch[[#This Row],[number]],$S:$S, "FL And dev",$AD:$AD, "&lt;&gt;IntegratorValidationComment"))</f>
        <v/>
      </c>
      <c r="AB2786" s="7" t="str">
        <f>IF(ISBLANK(patch[[#This Row],[project]]), "",COUNTIFS($A:$A,patch[[#This Row],[number]],$S:$S, "SH And dev",$AD:$AD, "&lt;&gt;IntegratorValidationComment"))</f>
        <v/>
      </c>
      <c r="AC2786" s="7" t="str">
        <f>IF(OR(ISNUMBER(FIND("Review-1", patch[[#This Row],[comments]])), ISNUMBER(FIND("Approver-1", patch[[#This Row],[comments]]))), "Review-1", "")</f>
        <v/>
      </c>
      <c r="AD27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86" s="7">
        <f>IF(ISBLANK(patch[[#This Row],[number]]),AE2785,patch[[#This Row],[ifCommon]])</f>
        <v>0</v>
      </c>
    </row>
    <row r="2787" spans="1:31">
      <c r="A2787" s="151">
        <v>140957</v>
      </c>
      <c r="B2787" s="151"/>
      <c r="C2787" s="151"/>
      <c r="D2787" s="151"/>
      <c r="E2787" s="151"/>
      <c r="F2787" s="151"/>
      <c r="G2787" s="151"/>
      <c r="H2787" s="151"/>
      <c r="I2787" s="151"/>
      <c r="J2787" s="152">
        <v>42614.749745370369</v>
      </c>
      <c r="K2787" s="151"/>
      <c r="L2787" s="151" t="s">
        <v>59</v>
      </c>
      <c r="M2787" s="152">
        <v>42613.756018518521</v>
      </c>
      <c r="N2787" s="151" t="s">
        <v>3987</v>
      </c>
      <c r="O2787" s="151"/>
      <c r="P2787" s="151"/>
      <c r="Q2787" s="7" t="str">
        <f>IF(ISBLANK(patch[[#This Row],[OwnerEmail]]),Q2786,patch[[#This Row],[OwnerEmail]])</f>
        <v>xiaolu.liu@intel.com</v>
      </c>
      <c r="R2787" s="7" t="str">
        <f>_xlfn.IFNA(VLOOKUP(patch[[#This Row],[tmp-owner.email]],OrgTree!$A:$K, 11, 0), "not ICG SWFW")</f>
        <v>BJ And dev</v>
      </c>
      <c r="S2787" s="7" t="str">
        <f>IF(patch[[#This Row],[reviewer]]=patch[[#This Row],[tmp-owner.email]], "author", _xlfn.IFNA(VLOOKUP(patch[[#This Row],[reviewer]],OrgTree!$A:$K, 11, 0), "not ICG SWFW"))</f>
        <v>BJ And dev</v>
      </c>
      <c r="T2787" s="7" t="str">
        <f>IF(ISBLANK(patch[[#This Row],[mergeDate]]), "", MID(YEAR(patch[[#This Row],[mergeDate]]), 3,2)&amp;"'ww"&amp;WEEKNUM(patch[[#This Row],[mergeDate]]))</f>
        <v>16'ww36</v>
      </c>
      <c r="U2787" s="7" t="str">
        <f>IF(ISBLANK(patch[[#This Row],[mergeDate]]), U2786, MID(YEAR(patch[[#This Row],[mergeDate]]), 3,2)&amp;"'m"&amp;MONTH(patch[[#This Row],[mergeDate]]))</f>
        <v>16'm9</v>
      </c>
      <c r="V2787" s="7" t="str">
        <f>IF(ISBLANK(patch[[#This Row],[project]]), "",SUM(patch[[#This Row],[BJ -1 num]:[SH -1 num]]))</f>
        <v/>
      </c>
      <c r="W2787" s="7" t="str">
        <f>IF(ISBLANK(patch[[#This Row],[project]]), "",COUNTIFS($A:$A,patch[[#This Row],[number]],$S:$S, "BJ And dev",$AC:$AC, "Review-1"))</f>
        <v/>
      </c>
      <c r="X2787" s="7" t="str">
        <f>IF(ISBLANK(patch[[#This Row],[project]]), "",COUNTIFS($A:$A,patch[[#This Row],[number]],$S:$S, "FL And dev",$AC:$AC, "Review-1"))</f>
        <v/>
      </c>
      <c r="Y2787" s="7" t="str">
        <f>IF(ISBLANK(patch[[#This Row],[project]]), "",COUNTIFS($A:$A,patch[[#This Row],[number]],$S:$S, "SH And dev",$AC:$AC, "Review-1"))</f>
        <v/>
      </c>
      <c r="Z2787" s="7" t="str">
        <f>IF(ISBLANK(patch[[#This Row],[project]]), "",COUNTIFS($A:$A,patch[[#This Row],[number]],$S:$S, "BJ And dev",$AD:$AD, "&lt;&gt;IntegratorValidationComment"))</f>
        <v/>
      </c>
      <c r="AA2787" s="7" t="str">
        <f>IF(ISBLANK(patch[[#This Row],[project]]), "",COUNTIFS($A:$A,patch[[#This Row],[number]],$S:$S, "FL And dev",$AD:$AD, "&lt;&gt;IntegratorValidationComment"))</f>
        <v/>
      </c>
      <c r="AB2787" s="7" t="str">
        <f>IF(ISBLANK(patch[[#This Row],[project]]), "",COUNTIFS($A:$A,patch[[#This Row],[number]],$S:$S, "SH And dev",$AD:$AD, "&lt;&gt;IntegratorValidationComment"))</f>
        <v/>
      </c>
      <c r="AC2787" s="7" t="str">
        <f>IF(OR(ISNUMBER(FIND("Review-1", patch[[#This Row],[comments]])), ISNUMBER(FIND("Approver-1", patch[[#This Row],[comments]]))), "Review-1", "")</f>
        <v/>
      </c>
      <c r="AD27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87" s="7">
        <f>IF(ISBLANK(patch[[#This Row],[number]]),AE2786,patch[[#This Row],[ifCommon]])</f>
        <v>0</v>
      </c>
    </row>
    <row r="2788" spans="1:31">
      <c r="A2788" s="151">
        <v>140957</v>
      </c>
      <c r="B2788" s="151"/>
      <c r="C2788" s="151"/>
      <c r="D2788" s="151"/>
      <c r="E2788" s="151"/>
      <c r="F2788" s="151"/>
      <c r="G2788" s="151"/>
      <c r="H2788" s="151"/>
      <c r="I2788" s="151"/>
      <c r="J2788" s="152">
        <v>42614.749745370369</v>
      </c>
      <c r="K2788" s="151"/>
      <c r="L2788" s="151" t="s">
        <v>115</v>
      </c>
      <c r="M2788" s="152">
        <v>42614.419027777767</v>
      </c>
      <c r="N2788" s="151" t="s">
        <v>2492</v>
      </c>
      <c r="O2788" s="151"/>
      <c r="P2788" s="151"/>
      <c r="Q2788" s="7" t="str">
        <f>IF(ISBLANK(patch[[#This Row],[OwnerEmail]]),Q2787,patch[[#This Row],[OwnerEmail]])</f>
        <v>xiaolu.liu@intel.com</v>
      </c>
      <c r="R2788" s="7" t="str">
        <f>_xlfn.IFNA(VLOOKUP(patch[[#This Row],[tmp-owner.email]],OrgTree!$A:$K, 11, 0), "not ICG SWFW")</f>
        <v>BJ And dev</v>
      </c>
      <c r="S2788" s="7" t="str">
        <f>IF(patch[[#This Row],[reviewer]]=patch[[#This Row],[tmp-owner.email]], "author", _xlfn.IFNA(VLOOKUP(patch[[#This Row],[reviewer]],OrgTree!$A:$K, 11, 0), "not ICG SWFW"))</f>
        <v>Val</v>
      </c>
      <c r="T2788" s="7" t="str">
        <f>IF(ISBLANK(patch[[#This Row],[mergeDate]]), "", MID(YEAR(patch[[#This Row],[mergeDate]]), 3,2)&amp;"'ww"&amp;WEEKNUM(patch[[#This Row],[mergeDate]]))</f>
        <v>16'ww36</v>
      </c>
      <c r="U2788" s="7" t="str">
        <f>IF(ISBLANK(patch[[#This Row],[mergeDate]]), U2787, MID(YEAR(patch[[#This Row],[mergeDate]]), 3,2)&amp;"'m"&amp;MONTH(patch[[#This Row],[mergeDate]]))</f>
        <v>16'm9</v>
      </c>
      <c r="V2788" s="7" t="str">
        <f>IF(ISBLANK(patch[[#This Row],[project]]), "",SUM(patch[[#This Row],[BJ -1 num]:[SH -1 num]]))</f>
        <v/>
      </c>
      <c r="W2788" s="7" t="str">
        <f>IF(ISBLANK(patch[[#This Row],[project]]), "",COUNTIFS($A:$A,patch[[#This Row],[number]],$S:$S, "BJ And dev",$AC:$AC, "Review-1"))</f>
        <v/>
      </c>
      <c r="X2788" s="7" t="str">
        <f>IF(ISBLANK(patch[[#This Row],[project]]), "",COUNTIFS($A:$A,patch[[#This Row],[number]],$S:$S, "FL And dev",$AC:$AC, "Review-1"))</f>
        <v/>
      </c>
      <c r="Y2788" s="7" t="str">
        <f>IF(ISBLANK(patch[[#This Row],[project]]), "",COUNTIFS($A:$A,patch[[#This Row],[number]],$S:$S, "SH And dev",$AC:$AC, "Review-1"))</f>
        <v/>
      </c>
      <c r="Z2788" s="7" t="str">
        <f>IF(ISBLANK(patch[[#This Row],[project]]), "",COUNTIFS($A:$A,patch[[#This Row],[number]],$S:$S, "BJ And dev",$AD:$AD, "&lt;&gt;IntegratorValidationComment"))</f>
        <v/>
      </c>
      <c r="AA2788" s="7" t="str">
        <f>IF(ISBLANK(patch[[#This Row],[project]]), "",COUNTIFS($A:$A,patch[[#This Row],[number]],$S:$S, "FL And dev",$AD:$AD, "&lt;&gt;IntegratorValidationComment"))</f>
        <v/>
      </c>
      <c r="AB2788" s="7" t="str">
        <f>IF(ISBLANK(patch[[#This Row],[project]]), "",COUNTIFS($A:$A,patch[[#This Row],[number]],$S:$S, "SH And dev",$AD:$AD, "&lt;&gt;IntegratorValidationComment"))</f>
        <v/>
      </c>
      <c r="AC2788" s="7" t="str">
        <f>IF(OR(ISNUMBER(FIND("Review-1", patch[[#This Row],[comments]])), ISNUMBER(FIND("Approver-1", patch[[#This Row],[comments]]))), "Review-1", "")</f>
        <v/>
      </c>
      <c r="AD27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788" s="7">
        <f>IF(ISBLANK(patch[[#This Row],[number]]),AE2787,patch[[#This Row],[ifCommon]])</f>
        <v>0</v>
      </c>
    </row>
    <row r="2789" spans="1:31">
      <c r="A2789" s="151">
        <v>140954</v>
      </c>
      <c r="B2789" s="151" t="s">
        <v>2490</v>
      </c>
      <c r="C2789" s="151" t="s">
        <v>2491</v>
      </c>
      <c r="D2789" s="151" t="s">
        <v>3988</v>
      </c>
      <c r="E2789" s="151" t="s">
        <v>1292</v>
      </c>
      <c r="F2789" s="151" t="s">
        <v>23</v>
      </c>
      <c r="G2789" s="151" t="s">
        <v>3989</v>
      </c>
      <c r="H2789" s="151" t="s">
        <v>3990</v>
      </c>
      <c r="I2789" s="152">
        <v>42605.80128472222</v>
      </c>
      <c r="J2789" s="152">
        <v>42614.749664351853</v>
      </c>
      <c r="K2789" s="151" t="s">
        <v>2445</v>
      </c>
      <c r="L2789" s="151" t="s">
        <v>1292</v>
      </c>
      <c r="M2789" s="152">
        <v>42605.80128472222</v>
      </c>
      <c r="N2789" s="151" t="s">
        <v>2458</v>
      </c>
      <c r="O2789" s="151"/>
      <c r="P2789" s="151" t="s">
        <v>3991</v>
      </c>
      <c r="Q2789" s="7" t="str">
        <f>IF(ISBLANK(patch[[#This Row],[OwnerEmail]]),Q2788,patch[[#This Row],[OwnerEmail]])</f>
        <v>xiaolu.liu@intel.com</v>
      </c>
      <c r="R2789" s="7" t="str">
        <f>_xlfn.IFNA(VLOOKUP(patch[[#This Row],[tmp-owner.email]],OrgTree!$A:$K, 11, 0), "not ICG SWFW")</f>
        <v>BJ And dev</v>
      </c>
      <c r="S2789" s="7" t="str">
        <f>IF(patch[[#This Row],[reviewer]]=patch[[#This Row],[tmp-owner.email]], "author", _xlfn.IFNA(VLOOKUP(patch[[#This Row],[reviewer]],OrgTree!$A:$K, 11, 0), "not ICG SWFW"))</f>
        <v>author</v>
      </c>
      <c r="T2789" s="7" t="str">
        <f>IF(ISBLANK(patch[[#This Row],[mergeDate]]), "", MID(YEAR(patch[[#This Row],[mergeDate]]), 3,2)&amp;"'ww"&amp;WEEKNUM(patch[[#This Row],[mergeDate]]))</f>
        <v>16'ww36</v>
      </c>
      <c r="U2789" s="7" t="str">
        <f>IF(ISBLANK(patch[[#This Row],[mergeDate]]), U2788, MID(YEAR(patch[[#This Row],[mergeDate]]), 3,2)&amp;"'m"&amp;MONTH(patch[[#This Row],[mergeDate]]))</f>
        <v>16'm9</v>
      </c>
      <c r="V2789" s="7">
        <f>IF(ISBLANK(patch[[#This Row],[project]]), "",SUM(patch[[#This Row],[BJ -1 num]:[SH -1 num]]))</f>
        <v>0</v>
      </c>
      <c r="W2789" s="7">
        <f>IF(ISBLANK(patch[[#This Row],[project]]), "",COUNTIFS($A:$A,patch[[#This Row],[number]],$S:$S, "BJ And dev",$AC:$AC, "Review-1"))</f>
        <v>0</v>
      </c>
      <c r="X2789" s="7">
        <f>IF(ISBLANK(patch[[#This Row],[project]]), "",COUNTIFS($A:$A,patch[[#This Row],[number]],$S:$S, "FL And dev",$AC:$AC, "Review-1"))</f>
        <v>0</v>
      </c>
      <c r="Y2789" s="7">
        <f>IF(ISBLANK(patch[[#This Row],[project]]), "",COUNTIFS($A:$A,patch[[#This Row],[number]],$S:$S, "SH And dev",$AC:$AC, "Review-1"))</f>
        <v>0</v>
      </c>
      <c r="Z2789" s="7">
        <f>IF(ISBLANK(patch[[#This Row],[project]]), "",COUNTIFS($A:$A,patch[[#This Row],[number]],$S:$S, "BJ And dev",$AD:$AD, "&lt;&gt;IntegratorValidationComment"))</f>
        <v>15</v>
      </c>
      <c r="AA2789" s="7">
        <f>IF(ISBLANK(patch[[#This Row],[project]]), "",COUNTIFS($A:$A,patch[[#This Row],[number]],$S:$S, "FL And dev",$AD:$AD, "&lt;&gt;IntegratorValidationComment"))</f>
        <v>0</v>
      </c>
      <c r="AB2789" s="7">
        <f>IF(ISBLANK(patch[[#This Row],[project]]), "",COUNTIFS($A:$A,patch[[#This Row],[number]],$S:$S, "SH And dev",$AD:$AD, "&lt;&gt;IntegratorValidationComment"))</f>
        <v>0</v>
      </c>
      <c r="AC2789" s="7" t="str">
        <f>IF(OR(ISNUMBER(FIND("Review-1", patch[[#This Row],[comments]])), ISNUMBER(FIND("Approver-1", patch[[#This Row],[comments]]))), "Review-1", "")</f>
        <v/>
      </c>
      <c r="AD27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89" s="7" t="str">
        <f>IF(ISBLANK(patch[[#This Row],[number]]),AE2788,patch[[#This Row],[ifCommon]])</f>
        <v>not AndrHAL</v>
      </c>
    </row>
    <row r="2790" spans="1:31">
      <c r="A2790" s="151">
        <v>140954</v>
      </c>
      <c r="B2790" s="151"/>
      <c r="C2790" s="151"/>
      <c r="D2790" s="151"/>
      <c r="E2790" s="151"/>
      <c r="F2790" s="151"/>
      <c r="G2790" s="151"/>
      <c r="H2790" s="151"/>
      <c r="I2790" s="152"/>
      <c r="J2790" s="152">
        <v>42614.749664351853</v>
      </c>
      <c r="K2790" s="151"/>
      <c r="L2790" s="151" t="s">
        <v>1292</v>
      </c>
      <c r="M2790" s="152">
        <v>42605.80128472222</v>
      </c>
      <c r="N2790" s="151" t="s">
        <v>25</v>
      </c>
      <c r="O2790" s="151"/>
      <c r="P2790" s="151"/>
      <c r="Q2790" s="7" t="str">
        <f>IF(ISBLANK(patch[[#This Row],[OwnerEmail]]),Q2789,patch[[#This Row],[OwnerEmail]])</f>
        <v>xiaolu.liu@intel.com</v>
      </c>
      <c r="R2790" s="7" t="str">
        <f>_xlfn.IFNA(VLOOKUP(patch[[#This Row],[tmp-owner.email]],OrgTree!$A:$K, 11, 0), "not ICG SWFW")</f>
        <v>BJ And dev</v>
      </c>
      <c r="S2790" s="7" t="str">
        <f>IF(patch[[#This Row],[reviewer]]=patch[[#This Row],[tmp-owner.email]], "author", _xlfn.IFNA(VLOOKUP(patch[[#This Row],[reviewer]],OrgTree!$A:$K, 11, 0), "not ICG SWFW"))</f>
        <v>author</v>
      </c>
      <c r="T2790" s="7" t="str">
        <f>IF(ISBLANK(patch[[#This Row],[mergeDate]]), "", MID(YEAR(patch[[#This Row],[mergeDate]]), 3,2)&amp;"'ww"&amp;WEEKNUM(patch[[#This Row],[mergeDate]]))</f>
        <v>16'ww36</v>
      </c>
      <c r="U2790" s="7" t="str">
        <f>IF(ISBLANK(patch[[#This Row],[mergeDate]]), U2789, MID(YEAR(patch[[#This Row],[mergeDate]]), 3,2)&amp;"'m"&amp;MONTH(patch[[#This Row],[mergeDate]]))</f>
        <v>16'm9</v>
      </c>
      <c r="V2790" s="7" t="str">
        <f>IF(ISBLANK(patch[[#This Row],[project]]), "",SUM(patch[[#This Row],[BJ -1 num]:[SH -1 num]]))</f>
        <v/>
      </c>
      <c r="W2790" s="7" t="str">
        <f>IF(ISBLANK(patch[[#This Row],[project]]), "",COUNTIFS($A:$A,patch[[#This Row],[number]],$S:$S, "BJ And dev",$AC:$AC, "Review-1"))</f>
        <v/>
      </c>
      <c r="X2790" s="7" t="str">
        <f>IF(ISBLANK(patch[[#This Row],[project]]), "",COUNTIFS($A:$A,patch[[#This Row],[number]],$S:$S, "FL And dev",$AC:$AC, "Review-1"))</f>
        <v/>
      </c>
      <c r="Y2790" s="7" t="str">
        <f>IF(ISBLANK(patch[[#This Row],[project]]), "",COUNTIFS($A:$A,patch[[#This Row],[number]],$S:$S, "SH And dev",$AC:$AC, "Review-1"))</f>
        <v/>
      </c>
      <c r="Z2790" s="7" t="str">
        <f>IF(ISBLANK(patch[[#This Row],[project]]), "",COUNTIFS($A:$A,patch[[#This Row],[number]],$S:$S, "BJ And dev",$AD:$AD, "&lt;&gt;IntegratorValidationComment"))</f>
        <v/>
      </c>
      <c r="AA2790" s="7" t="str">
        <f>IF(ISBLANK(patch[[#This Row],[project]]), "",COUNTIFS($A:$A,patch[[#This Row],[number]],$S:$S, "FL And dev",$AD:$AD, "&lt;&gt;IntegratorValidationComment"))</f>
        <v/>
      </c>
      <c r="AB2790" s="7" t="str">
        <f>IF(ISBLANK(patch[[#This Row],[project]]), "",COUNTIFS($A:$A,patch[[#This Row],[number]],$S:$S, "SH And dev",$AD:$AD, "&lt;&gt;IntegratorValidationComment"))</f>
        <v/>
      </c>
      <c r="AC2790" s="7" t="str">
        <f>IF(OR(ISNUMBER(FIND("Review-1", patch[[#This Row],[comments]])), ISNUMBER(FIND("Approver-1", patch[[#This Row],[comments]]))), "Review-1", "")</f>
        <v/>
      </c>
      <c r="AD27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90" s="7">
        <f>IF(ISBLANK(patch[[#This Row],[number]]),AE2789,patch[[#This Row],[ifCommon]])</f>
        <v>0</v>
      </c>
    </row>
    <row r="2791" spans="1:31">
      <c r="A2791" s="151">
        <v>140954</v>
      </c>
      <c r="B2791" s="151"/>
      <c r="C2791" s="151"/>
      <c r="D2791" s="151"/>
      <c r="E2791" s="151"/>
      <c r="F2791" s="151"/>
      <c r="G2791" s="151"/>
      <c r="H2791" s="151"/>
      <c r="I2791" s="151"/>
      <c r="J2791" s="152">
        <v>42614.749664351853</v>
      </c>
      <c r="K2791" s="151"/>
      <c r="L2791" s="151" t="s">
        <v>75</v>
      </c>
      <c r="M2791" s="152">
        <v>42606.471273148149</v>
      </c>
      <c r="N2791" s="151" t="s">
        <v>2448</v>
      </c>
      <c r="O2791" s="151" t="s">
        <v>3992</v>
      </c>
      <c r="P2791" s="151"/>
      <c r="Q2791" s="7" t="str">
        <f>IF(ISBLANK(patch[[#This Row],[OwnerEmail]]),Q2790,patch[[#This Row],[OwnerEmail]])</f>
        <v>xiaolu.liu@intel.com</v>
      </c>
      <c r="R2791" s="7" t="str">
        <f>_xlfn.IFNA(VLOOKUP(patch[[#This Row],[tmp-owner.email]],OrgTree!$A:$K, 11, 0), "not ICG SWFW")</f>
        <v>BJ And dev</v>
      </c>
      <c r="S2791" s="7" t="str">
        <f>IF(patch[[#This Row],[reviewer]]=patch[[#This Row],[tmp-owner.email]], "author", _xlfn.IFNA(VLOOKUP(patch[[#This Row],[reviewer]],OrgTree!$A:$K, 11, 0), "not ICG SWFW"))</f>
        <v>BJ And dev</v>
      </c>
      <c r="T2791" s="7" t="str">
        <f>IF(ISBLANK(patch[[#This Row],[mergeDate]]), "", MID(YEAR(patch[[#This Row],[mergeDate]]), 3,2)&amp;"'ww"&amp;WEEKNUM(patch[[#This Row],[mergeDate]]))</f>
        <v>16'ww36</v>
      </c>
      <c r="U2791" s="7" t="str">
        <f>IF(ISBLANK(patch[[#This Row],[mergeDate]]), U2790, MID(YEAR(patch[[#This Row],[mergeDate]]), 3,2)&amp;"'m"&amp;MONTH(patch[[#This Row],[mergeDate]]))</f>
        <v>16'm9</v>
      </c>
      <c r="V2791" s="7" t="str">
        <f>IF(ISBLANK(patch[[#This Row],[project]]), "",SUM(patch[[#This Row],[BJ -1 num]:[SH -1 num]]))</f>
        <v/>
      </c>
      <c r="W2791" s="7" t="str">
        <f>IF(ISBLANK(patch[[#This Row],[project]]), "",COUNTIFS($A:$A,patch[[#This Row],[number]],$S:$S, "BJ And dev",$AC:$AC, "Review-1"))</f>
        <v/>
      </c>
      <c r="X2791" s="7" t="str">
        <f>IF(ISBLANK(patch[[#This Row],[project]]), "",COUNTIFS($A:$A,patch[[#This Row],[number]],$S:$S, "FL And dev",$AC:$AC, "Review-1"))</f>
        <v/>
      </c>
      <c r="Y2791" s="7" t="str">
        <f>IF(ISBLANK(patch[[#This Row],[project]]), "",COUNTIFS($A:$A,patch[[#This Row],[number]],$S:$S, "SH And dev",$AC:$AC, "Review-1"))</f>
        <v/>
      </c>
      <c r="Z2791" s="7" t="str">
        <f>IF(ISBLANK(patch[[#This Row],[project]]), "",COUNTIFS($A:$A,patch[[#This Row],[number]],$S:$S, "BJ And dev",$AD:$AD, "&lt;&gt;IntegratorValidationComment"))</f>
        <v/>
      </c>
      <c r="AA2791" s="7" t="str">
        <f>IF(ISBLANK(patch[[#This Row],[project]]), "",COUNTIFS($A:$A,patch[[#This Row],[number]],$S:$S, "FL And dev",$AD:$AD, "&lt;&gt;IntegratorValidationComment"))</f>
        <v/>
      </c>
      <c r="AB2791" s="7" t="str">
        <f>IF(ISBLANK(patch[[#This Row],[project]]), "",COUNTIFS($A:$A,patch[[#This Row],[number]],$S:$S, "SH And dev",$AD:$AD, "&lt;&gt;IntegratorValidationComment"))</f>
        <v/>
      </c>
      <c r="AC2791" s="7" t="str">
        <f>IF(OR(ISNUMBER(FIND("Review-1", patch[[#This Row],[comments]])), ISNUMBER(FIND("Approver-1", patch[[#This Row],[comments]]))), "Review-1", "")</f>
        <v/>
      </c>
      <c r="AD27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91" s="7">
        <f>IF(ISBLANK(patch[[#This Row],[number]]),AE2790,patch[[#This Row],[ifCommon]])</f>
        <v>0</v>
      </c>
    </row>
    <row r="2792" spans="1:31">
      <c r="A2792" s="151">
        <v>140954</v>
      </c>
      <c r="B2792" s="151"/>
      <c r="C2792" s="151"/>
      <c r="D2792" s="151"/>
      <c r="E2792" s="151"/>
      <c r="F2792" s="151"/>
      <c r="G2792" s="151"/>
      <c r="H2792" s="151"/>
      <c r="I2792" s="151"/>
      <c r="J2792" s="152">
        <v>42614.749664351853</v>
      </c>
      <c r="K2792" s="151"/>
      <c r="L2792" s="151" t="s">
        <v>75</v>
      </c>
      <c r="M2792" s="152">
        <v>42606.471944444442</v>
      </c>
      <c r="N2792" s="151" t="s">
        <v>2448</v>
      </c>
      <c r="O2792" s="151" t="s">
        <v>3993</v>
      </c>
      <c r="P2792" s="151"/>
      <c r="Q2792" s="7" t="str">
        <f>IF(ISBLANK(patch[[#This Row],[OwnerEmail]]),Q2791,patch[[#This Row],[OwnerEmail]])</f>
        <v>xiaolu.liu@intel.com</v>
      </c>
      <c r="R2792" s="7" t="str">
        <f>_xlfn.IFNA(VLOOKUP(patch[[#This Row],[tmp-owner.email]],OrgTree!$A:$K, 11, 0), "not ICG SWFW")</f>
        <v>BJ And dev</v>
      </c>
      <c r="S2792" s="7" t="str">
        <f>IF(patch[[#This Row],[reviewer]]=patch[[#This Row],[tmp-owner.email]], "author", _xlfn.IFNA(VLOOKUP(patch[[#This Row],[reviewer]],OrgTree!$A:$K, 11, 0), "not ICG SWFW"))</f>
        <v>BJ And dev</v>
      </c>
      <c r="T2792" s="7" t="str">
        <f>IF(ISBLANK(patch[[#This Row],[mergeDate]]), "", MID(YEAR(patch[[#This Row],[mergeDate]]), 3,2)&amp;"'ww"&amp;WEEKNUM(patch[[#This Row],[mergeDate]]))</f>
        <v>16'ww36</v>
      </c>
      <c r="U2792" s="7" t="str">
        <f>IF(ISBLANK(patch[[#This Row],[mergeDate]]), U2791, MID(YEAR(patch[[#This Row],[mergeDate]]), 3,2)&amp;"'m"&amp;MONTH(patch[[#This Row],[mergeDate]]))</f>
        <v>16'm9</v>
      </c>
      <c r="V2792" s="7" t="str">
        <f>IF(ISBLANK(patch[[#This Row],[project]]), "",SUM(patch[[#This Row],[BJ -1 num]:[SH -1 num]]))</f>
        <v/>
      </c>
      <c r="W2792" s="7" t="str">
        <f>IF(ISBLANK(patch[[#This Row],[project]]), "",COUNTIFS($A:$A,patch[[#This Row],[number]],$S:$S, "BJ And dev",$AC:$AC, "Review-1"))</f>
        <v/>
      </c>
      <c r="X2792" s="7" t="str">
        <f>IF(ISBLANK(patch[[#This Row],[project]]), "",COUNTIFS($A:$A,patch[[#This Row],[number]],$S:$S, "FL And dev",$AC:$AC, "Review-1"))</f>
        <v/>
      </c>
      <c r="Y2792" s="7" t="str">
        <f>IF(ISBLANK(patch[[#This Row],[project]]), "",COUNTIFS($A:$A,patch[[#This Row],[number]],$S:$S, "SH And dev",$AC:$AC, "Review-1"))</f>
        <v/>
      </c>
      <c r="Z2792" s="7" t="str">
        <f>IF(ISBLANK(patch[[#This Row],[project]]), "",COUNTIFS($A:$A,patch[[#This Row],[number]],$S:$S, "BJ And dev",$AD:$AD, "&lt;&gt;IntegratorValidationComment"))</f>
        <v/>
      </c>
      <c r="AA2792" s="7" t="str">
        <f>IF(ISBLANK(patch[[#This Row],[project]]), "",COUNTIFS($A:$A,patch[[#This Row],[number]],$S:$S, "FL And dev",$AD:$AD, "&lt;&gt;IntegratorValidationComment"))</f>
        <v/>
      </c>
      <c r="AB2792" s="7" t="str">
        <f>IF(ISBLANK(patch[[#This Row],[project]]), "",COUNTIFS($A:$A,patch[[#This Row],[number]],$S:$S, "SH And dev",$AD:$AD, "&lt;&gt;IntegratorValidationComment"))</f>
        <v/>
      </c>
      <c r="AC2792" s="7" t="str">
        <f>IF(OR(ISNUMBER(FIND("Review-1", patch[[#This Row],[comments]])), ISNUMBER(FIND("Approver-1", patch[[#This Row],[comments]]))), "Review-1", "")</f>
        <v/>
      </c>
      <c r="AD27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92" s="7">
        <f>IF(ISBLANK(patch[[#This Row],[number]]),AE2791,patch[[#This Row],[ifCommon]])</f>
        <v>0</v>
      </c>
    </row>
    <row r="2793" spans="1:31">
      <c r="A2793" s="151">
        <v>140954</v>
      </c>
      <c r="B2793" s="151"/>
      <c r="C2793" s="151"/>
      <c r="D2793" s="151"/>
      <c r="E2793" s="151"/>
      <c r="F2793" s="151"/>
      <c r="G2793" s="151"/>
      <c r="H2793" s="151"/>
      <c r="I2793" s="151"/>
      <c r="J2793" s="152">
        <v>42614.749664351853</v>
      </c>
      <c r="K2793" s="151"/>
      <c r="L2793" s="151" t="s">
        <v>1292</v>
      </c>
      <c r="M2793" s="152">
        <v>42606.610625000001</v>
      </c>
      <c r="N2793" s="151" t="s">
        <v>29</v>
      </c>
      <c r="O2793" s="151"/>
      <c r="P2793" s="151"/>
      <c r="Q2793" s="7" t="str">
        <f>IF(ISBLANK(patch[[#This Row],[OwnerEmail]]),Q2792,patch[[#This Row],[OwnerEmail]])</f>
        <v>xiaolu.liu@intel.com</v>
      </c>
      <c r="R2793" s="7" t="str">
        <f>_xlfn.IFNA(VLOOKUP(patch[[#This Row],[tmp-owner.email]],OrgTree!$A:$K, 11, 0), "not ICG SWFW")</f>
        <v>BJ And dev</v>
      </c>
      <c r="S2793" s="7" t="str">
        <f>IF(patch[[#This Row],[reviewer]]=patch[[#This Row],[tmp-owner.email]], "author", _xlfn.IFNA(VLOOKUP(patch[[#This Row],[reviewer]],OrgTree!$A:$K, 11, 0), "not ICG SWFW"))</f>
        <v>author</v>
      </c>
      <c r="T2793" s="7" t="str">
        <f>IF(ISBLANK(patch[[#This Row],[mergeDate]]), "", MID(YEAR(patch[[#This Row],[mergeDate]]), 3,2)&amp;"'ww"&amp;WEEKNUM(patch[[#This Row],[mergeDate]]))</f>
        <v>16'ww36</v>
      </c>
      <c r="U2793" s="7" t="str">
        <f>IF(ISBLANK(patch[[#This Row],[mergeDate]]), U2792, MID(YEAR(patch[[#This Row],[mergeDate]]), 3,2)&amp;"'m"&amp;MONTH(patch[[#This Row],[mergeDate]]))</f>
        <v>16'm9</v>
      </c>
      <c r="V2793" s="7" t="str">
        <f>IF(ISBLANK(patch[[#This Row],[project]]), "",SUM(patch[[#This Row],[BJ -1 num]:[SH -1 num]]))</f>
        <v/>
      </c>
      <c r="W2793" s="7" t="str">
        <f>IF(ISBLANK(patch[[#This Row],[project]]), "",COUNTIFS($A:$A,patch[[#This Row],[number]],$S:$S, "BJ And dev",$AC:$AC, "Review-1"))</f>
        <v/>
      </c>
      <c r="X2793" s="7" t="str">
        <f>IF(ISBLANK(patch[[#This Row],[project]]), "",COUNTIFS($A:$A,patch[[#This Row],[number]],$S:$S, "FL And dev",$AC:$AC, "Review-1"))</f>
        <v/>
      </c>
      <c r="Y2793" s="7" t="str">
        <f>IF(ISBLANK(patch[[#This Row],[project]]), "",COUNTIFS($A:$A,patch[[#This Row],[number]],$S:$S, "SH And dev",$AC:$AC, "Review-1"))</f>
        <v/>
      </c>
      <c r="Z2793" s="7" t="str">
        <f>IF(ISBLANK(patch[[#This Row],[project]]), "",COUNTIFS($A:$A,patch[[#This Row],[number]],$S:$S, "BJ And dev",$AD:$AD, "&lt;&gt;IntegratorValidationComment"))</f>
        <v/>
      </c>
      <c r="AA2793" s="7" t="str">
        <f>IF(ISBLANK(patch[[#This Row],[project]]), "",COUNTIFS($A:$A,patch[[#This Row],[number]],$S:$S, "FL And dev",$AD:$AD, "&lt;&gt;IntegratorValidationComment"))</f>
        <v/>
      </c>
      <c r="AB2793" s="7" t="str">
        <f>IF(ISBLANK(patch[[#This Row],[project]]), "",COUNTIFS($A:$A,patch[[#This Row],[number]],$S:$S, "SH And dev",$AD:$AD, "&lt;&gt;IntegratorValidationComment"))</f>
        <v/>
      </c>
      <c r="AC2793" s="7" t="str">
        <f>IF(OR(ISNUMBER(FIND("Review-1", patch[[#This Row],[comments]])), ISNUMBER(FIND("Approver-1", patch[[#This Row],[comments]]))), "Review-1", "")</f>
        <v/>
      </c>
      <c r="AD27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93" s="7">
        <f>IF(ISBLANK(patch[[#This Row],[number]]),AE2792,patch[[#This Row],[ifCommon]])</f>
        <v>0</v>
      </c>
    </row>
    <row r="2794" spans="1:31">
      <c r="A2794" s="151">
        <v>140954</v>
      </c>
      <c r="B2794" s="151"/>
      <c r="C2794" s="151"/>
      <c r="D2794" s="151"/>
      <c r="E2794" s="151"/>
      <c r="F2794" s="151"/>
      <c r="G2794" s="151"/>
      <c r="H2794" s="151"/>
      <c r="I2794" s="151"/>
      <c r="J2794" s="152">
        <v>42614.749664351853</v>
      </c>
      <c r="K2794" s="151"/>
      <c r="L2794" s="151" t="s">
        <v>1292</v>
      </c>
      <c r="M2794" s="152">
        <v>42606.610625000001</v>
      </c>
      <c r="N2794" s="151" t="s">
        <v>2461</v>
      </c>
      <c r="O2794" s="151"/>
      <c r="P2794" s="151"/>
      <c r="Q2794" s="7" t="str">
        <f>IF(ISBLANK(patch[[#This Row],[OwnerEmail]]),Q2793,patch[[#This Row],[OwnerEmail]])</f>
        <v>xiaolu.liu@intel.com</v>
      </c>
      <c r="R2794" s="7" t="str">
        <f>_xlfn.IFNA(VLOOKUP(patch[[#This Row],[tmp-owner.email]],OrgTree!$A:$K, 11, 0), "not ICG SWFW")</f>
        <v>BJ And dev</v>
      </c>
      <c r="S2794" s="7" t="str">
        <f>IF(patch[[#This Row],[reviewer]]=patch[[#This Row],[tmp-owner.email]], "author", _xlfn.IFNA(VLOOKUP(patch[[#This Row],[reviewer]],OrgTree!$A:$K, 11, 0), "not ICG SWFW"))</f>
        <v>author</v>
      </c>
      <c r="T2794" s="7" t="str">
        <f>IF(ISBLANK(patch[[#This Row],[mergeDate]]), "", MID(YEAR(patch[[#This Row],[mergeDate]]), 3,2)&amp;"'ww"&amp;WEEKNUM(patch[[#This Row],[mergeDate]]))</f>
        <v>16'ww36</v>
      </c>
      <c r="U2794" s="7" t="str">
        <f>IF(ISBLANK(patch[[#This Row],[mergeDate]]), U2793, MID(YEAR(patch[[#This Row],[mergeDate]]), 3,2)&amp;"'m"&amp;MONTH(patch[[#This Row],[mergeDate]]))</f>
        <v>16'm9</v>
      </c>
      <c r="V2794" s="7" t="str">
        <f>IF(ISBLANK(patch[[#This Row],[project]]), "",SUM(patch[[#This Row],[BJ -1 num]:[SH -1 num]]))</f>
        <v/>
      </c>
      <c r="W2794" s="7" t="str">
        <f>IF(ISBLANK(patch[[#This Row],[project]]), "",COUNTIFS($A:$A,patch[[#This Row],[number]],$S:$S, "BJ And dev",$AC:$AC, "Review-1"))</f>
        <v/>
      </c>
      <c r="X2794" s="7" t="str">
        <f>IF(ISBLANK(patch[[#This Row],[project]]), "",COUNTIFS($A:$A,patch[[#This Row],[number]],$S:$S, "FL And dev",$AC:$AC, "Review-1"))</f>
        <v/>
      </c>
      <c r="Y2794" s="7" t="str">
        <f>IF(ISBLANK(patch[[#This Row],[project]]), "",COUNTIFS($A:$A,patch[[#This Row],[number]],$S:$S, "SH And dev",$AC:$AC, "Review-1"))</f>
        <v/>
      </c>
      <c r="Z2794" s="7" t="str">
        <f>IF(ISBLANK(patch[[#This Row],[project]]), "",COUNTIFS($A:$A,patch[[#This Row],[number]],$S:$S, "BJ And dev",$AD:$AD, "&lt;&gt;IntegratorValidationComment"))</f>
        <v/>
      </c>
      <c r="AA2794" s="7" t="str">
        <f>IF(ISBLANK(patch[[#This Row],[project]]), "",COUNTIFS($A:$A,patch[[#This Row],[number]],$S:$S, "FL And dev",$AD:$AD, "&lt;&gt;IntegratorValidationComment"))</f>
        <v/>
      </c>
      <c r="AB2794" s="7" t="str">
        <f>IF(ISBLANK(patch[[#This Row],[project]]), "",COUNTIFS($A:$A,patch[[#This Row],[number]],$S:$S, "SH And dev",$AD:$AD, "&lt;&gt;IntegratorValidationComment"))</f>
        <v/>
      </c>
      <c r="AC2794" s="7" t="str">
        <f>IF(OR(ISNUMBER(FIND("Review-1", patch[[#This Row],[comments]])), ISNUMBER(FIND("Approver-1", patch[[#This Row],[comments]]))), "Review-1", "")</f>
        <v/>
      </c>
      <c r="AD27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94" s="7">
        <f>IF(ISBLANK(patch[[#This Row],[number]]),AE2793,patch[[#This Row],[ifCommon]])</f>
        <v>0</v>
      </c>
    </row>
    <row r="2795" spans="1:31">
      <c r="A2795" s="151">
        <v>140954</v>
      </c>
      <c r="B2795" s="151"/>
      <c r="C2795" s="151"/>
      <c r="D2795" s="151"/>
      <c r="E2795" s="151"/>
      <c r="F2795" s="151"/>
      <c r="G2795" s="151"/>
      <c r="H2795" s="151"/>
      <c r="I2795" s="151"/>
      <c r="J2795" s="152">
        <v>42614.749664351853</v>
      </c>
      <c r="K2795" s="151"/>
      <c r="L2795" s="151" t="s">
        <v>1292</v>
      </c>
      <c r="M2795" s="152">
        <v>42606.611446759263</v>
      </c>
      <c r="N2795" s="151" t="s">
        <v>3994</v>
      </c>
      <c r="O2795" s="151" t="s">
        <v>3995</v>
      </c>
      <c r="P2795" s="151"/>
      <c r="Q2795" s="7" t="str">
        <f>IF(ISBLANK(patch[[#This Row],[OwnerEmail]]),Q2794,patch[[#This Row],[OwnerEmail]])</f>
        <v>xiaolu.liu@intel.com</v>
      </c>
      <c r="R2795" s="7" t="str">
        <f>_xlfn.IFNA(VLOOKUP(patch[[#This Row],[tmp-owner.email]],OrgTree!$A:$K, 11, 0), "not ICG SWFW")</f>
        <v>BJ And dev</v>
      </c>
      <c r="S2795" s="7" t="str">
        <f>IF(patch[[#This Row],[reviewer]]=patch[[#This Row],[tmp-owner.email]], "author", _xlfn.IFNA(VLOOKUP(patch[[#This Row],[reviewer]],OrgTree!$A:$K, 11, 0), "not ICG SWFW"))</f>
        <v>author</v>
      </c>
      <c r="T2795" s="7" t="str">
        <f>IF(ISBLANK(patch[[#This Row],[mergeDate]]), "", MID(YEAR(patch[[#This Row],[mergeDate]]), 3,2)&amp;"'ww"&amp;WEEKNUM(patch[[#This Row],[mergeDate]]))</f>
        <v>16'ww36</v>
      </c>
      <c r="U2795" s="7" t="str">
        <f>IF(ISBLANK(patch[[#This Row],[mergeDate]]), U2794, MID(YEAR(patch[[#This Row],[mergeDate]]), 3,2)&amp;"'m"&amp;MONTH(patch[[#This Row],[mergeDate]]))</f>
        <v>16'm9</v>
      </c>
      <c r="V2795" s="7" t="str">
        <f>IF(ISBLANK(patch[[#This Row],[project]]), "",SUM(patch[[#This Row],[BJ -1 num]:[SH -1 num]]))</f>
        <v/>
      </c>
      <c r="W2795" s="7" t="str">
        <f>IF(ISBLANK(patch[[#This Row],[project]]), "",COUNTIFS($A:$A,patch[[#This Row],[number]],$S:$S, "BJ And dev",$AC:$AC, "Review-1"))</f>
        <v/>
      </c>
      <c r="X2795" s="7" t="str">
        <f>IF(ISBLANK(patch[[#This Row],[project]]), "",COUNTIFS($A:$A,patch[[#This Row],[number]],$S:$S, "FL And dev",$AC:$AC, "Review-1"))</f>
        <v/>
      </c>
      <c r="Y2795" s="7" t="str">
        <f>IF(ISBLANK(patch[[#This Row],[project]]), "",COUNTIFS($A:$A,patch[[#This Row],[number]],$S:$S, "SH And dev",$AC:$AC, "Review-1"))</f>
        <v/>
      </c>
      <c r="Z2795" s="7" t="str">
        <f>IF(ISBLANK(patch[[#This Row],[project]]), "",COUNTIFS($A:$A,patch[[#This Row],[number]],$S:$S, "BJ And dev",$AD:$AD, "&lt;&gt;IntegratorValidationComment"))</f>
        <v/>
      </c>
      <c r="AA2795" s="7" t="str">
        <f>IF(ISBLANK(patch[[#This Row],[project]]), "",COUNTIFS($A:$A,patch[[#This Row],[number]],$S:$S, "FL And dev",$AD:$AD, "&lt;&gt;IntegratorValidationComment"))</f>
        <v/>
      </c>
      <c r="AB2795" s="7" t="str">
        <f>IF(ISBLANK(patch[[#This Row],[project]]), "",COUNTIFS($A:$A,patch[[#This Row],[number]],$S:$S, "SH And dev",$AD:$AD, "&lt;&gt;IntegratorValidationComment"))</f>
        <v/>
      </c>
      <c r="AC2795" s="7" t="str">
        <f>IF(OR(ISNUMBER(FIND("Review-1", patch[[#This Row],[comments]])), ISNUMBER(FIND("Approver-1", patch[[#This Row],[comments]]))), "Review-1", "")</f>
        <v/>
      </c>
      <c r="AD279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95" s="7">
        <f>IF(ISBLANK(patch[[#This Row],[number]]),AE2794,patch[[#This Row],[ifCommon]])</f>
        <v>0</v>
      </c>
    </row>
    <row r="2796" spans="1:31">
      <c r="A2796" s="151">
        <v>140954</v>
      </c>
      <c r="B2796" s="151"/>
      <c r="C2796" s="151"/>
      <c r="D2796" s="151"/>
      <c r="E2796" s="151"/>
      <c r="F2796" s="151"/>
      <c r="G2796" s="151"/>
      <c r="H2796" s="151"/>
      <c r="I2796" s="151"/>
      <c r="J2796" s="152">
        <v>42614.749664351853</v>
      </c>
      <c r="K2796" s="151"/>
      <c r="L2796" s="151" t="s">
        <v>1292</v>
      </c>
      <c r="M2796" s="152">
        <v>42606.61173611111</v>
      </c>
      <c r="N2796" s="151" t="s">
        <v>27</v>
      </c>
      <c r="O2796" s="151"/>
      <c r="P2796" s="151"/>
      <c r="Q2796" s="7" t="str">
        <f>IF(ISBLANK(patch[[#This Row],[OwnerEmail]]),Q2795,patch[[#This Row],[OwnerEmail]])</f>
        <v>xiaolu.liu@intel.com</v>
      </c>
      <c r="R2796" s="7" t="str">
        <f>_xlfn.IFNA(VLOOKUP(patch[[#This Row],[tmp-owner.email]],OrgTree!$A:$K, 11, 0), "not ICG SWFW")</f>
        <v>BJ And dev</v>
      </c>
      <c r="S2796" s="7" t="str">
        <f>IF(patch[[#This Row],[reviewer]]=patch[[#This Row],[tmp-owner.email]], "author", _xlfn.IFNA(VLOOKUP(patch[[#This Row],[reviewer]],OrgTree!$A:$K, 11, 0), "not ICG SWFW"))</f>
        <v>author</v>
      </c>
      <c r="T2796" s="7" t="str">
        <f>IF(ISBLANK(patch[[#This Row],[mergeDate]]), "", MID(YEAR(patch[[#This Row],[mergeDate]]), 3,2)&amp;"'ww"&amp;WEEKNUM(patch[[#This Row],[mergeDate]]))</f>
        <v>16'ww36</v>
      </c>
      <c r="U2796" s="7" t="str">
        <f>IF(ISBLANK(patch[[#This Row],[mergeDate]]), U2795, MID(YEAR(patch[[#This Row],[mergeDate]]), 3,2)&amp;"'m"&amp;MONTH(patch[[#This Row],[mergeDate]]))</f>
        <v>16'm9</v>
      </c>
      <c r="V2796" s="7" t="str">
        <f>IF(ISBLANK(patch[[#This Row],[project]]), "",SUM(patch[[#This Row],[BJ -1 num]:[SH -1 num]]))</f>
        <v/>
      </c>
      <c r="W2796" s="7" t="str">
        <f>IF(ISBLANK(patch[[#This Row],[project]]), "",COUNTIFS($A:$A,patch[[#This Row],[number]],$S:$S, "BJ And dev",$AC:$AC, "Review-1"))</f>
        <v/>
      </c>
      <c r="X2796" s="7" t="str">
        <f>IF(ISBLANK(patch[[#This Row],[project]]), "",COUNTIFS($A:$A,patch[[#This Row],[number]],$S:$S, "FL And dev",$AC:$AC, "Review-1"))</f>
        <v/>
      </c>
      <c r="Y2796" s="7" t="str">
        <f>IF(ISBLANK(patch[[#This Row],[project]]), "",COUNTIFS($A:$A,patch[[#This Row],[number]],$S:$S, "SH And dev",$AC:$AC, "Review-1"))</f>
        <v/>
      </c>
      <c r="Z2796" s="7" t="str">
        <f>IF(ISBLANK(patch[[#This Row],[project]]), "",COUNTIFS($A:$A,patch[[#This Row],[number]],$S:$S, "BJ And dev",$AD:$AD, "&lt;&gt;IntegratorValidationComment"))</f>
        <v/>
      </c>
      <c r="AA2796" s="7" t="str">
        <f>IF(ISBLANK(patch[[#This Row],[project]]), "",COUNTIFS($A:$A,patch[[#This Row],[number]],$S:$S, "FL And dev",$AD:$AD, "&lt;&gt;IntegratorValidationComment"))</f>
        <v/>
      </c>
      <c r="AB2796" s="7" t="str">
        <f>IF(ISBLANK(patch[[#This Row],[project]]), "",COUNTIFS($A:$A,patch[[#This Row],[number]],$S:$S, "SH And dev",$AD:$AD, "&lt;&gt;IntegratorValidationComment"))</f>
        <v/>
      </c>
      <c r="AC2796" s="7" t="str">
        <f>IF(OR(ISNUMBER(FIND("Review-1", patch[[#This Row],[comments]])), ISNUMBER(FIND("Approver-1", patch[[#This Row],[comments]]))), "Review-1", "")</f>
        <v/>
      </c>
      <c r="AD279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96" s="7">
        <f>IF(ISBLANK(patch[[#This Row],[number]]),AE2795,patch[[#This Row],[ifCommon]])</f>
        <v>0</v>
      </c>
    </row>
    <row r="2797" spans="1:31">
      <c r="A2797" s="151">
        <v>140954</v>
      </c>
      <c r="B2797" s="151"/>
      <c r="C2797" s="151"/>
      <c r="D2797" s="151"/>
      <c r="E2797" s="151"/>
      <c r="F2797" s="151"/>
      <c r="G2797" s="151"/>
      <c r="H2797" s="151"/>
      <c r="I2797" s="151"/>
      <c r="J2797" s="152">
        <v>42614.749664351853</v>
      </c>
      <c r="K2797" s="151"/>
      <c r="L2797" s="151" t="s">
        <v>1292</v>
      </c>
      <c r="M2797" s="152">
        <v>42606.624861111108</v>
      </c>
      <c r="N2797" s="151" t="s">
        <v>1829</v>
      </c>
      <c r="O2797" s="151"/>
      <c r="P2797" s="151"/>
      <c r="Q2797" s="7" t="str">
        <f>IF(ISBLANK(patch[[#This Row],[OwnerEmail]]),Q2796,patch[[#This Row],[OwnerEmail]])</f>
        <v>xiaolu.liu@intel.com</v>
      </c>
      <c r="R2797" s="7" t="str">
        <f>_xlfn.IFNA(VLOOKUP(patch[[#This Row],[tmp-owner.email]],OrgTree!$A:$K, 11, 0), "not ICG SWFW")</f>
        <v>BJ And dev</v>
      </c>
      <c r="S2797" s="7" t="str">
        <f>IF(patch[[#This Row],[reviewer]]=patch[[#This Row],[tmp-owner.email]], "author", _xlfn.IFNA(VLOOKUP(patch[[#This Row],[reviewer]],OrgTree!$A:$K, 11, 0), "not ICG SWFW"))</f>
        <v>author</v>
      </c>
      <c r="T2797" s="7" t="str">
        <f>IF(ISBLANK(patch[[#This Row],[mergeDate]]), "", MID(YEAR(patch[[#This Row],[mergeDate]]), 3,2)&amp;"'ww"&amp;WEEKNUM(patch[[#This Row],[mergeDate]]))</f>
        <v>16'ww36</v>
      </c>
      <c r="U2797" s="7" t="str">
        <f>IF(ISBLANK(patch[[#This Row],[mergeDate]]), U2796, MID(YEAR(patch[[#This Row],[mergeDate]]), 3,2)&amp;"'m"&amp;MONTH(patch[[#This Row],[mergeDate]]))</f>
        <v>16'm9</v>
      </c>
      <c r="V2797" s="7" t="str">
        <f>IF(ISBLANK(patch[[#This Row],[project]]), "",SUM(patch[[#This Row],[BJ -1 num]:[SH -1 num]]))</f>
        <v/>
      </c>
      <c r="W2797" s="7" t="str">
        <f>IF(ISBLANK(patch[[#This Row],[project]]), "",COUNTIFS($A:$A,patch[[#This Row],[number]],$S:$S, "BJ And dev",$AC:$AC, "Review-1"))</f>
        <v/>
      </c>
      <c r="X2797" s="7" t="str">
        <f>IF(ISBLANK(patch[[#This Row],[project]]), "",COUNTIFS($A:$A,patch[[#This Row],[number]],$S:$S, "FL And dev",$AC:$AC, "Review-1"))</f>
        <v/>
      </c>
      <c r="Y2797" s="7" t="str">
        <f>IF(ISBLANK(patch[[#This Row],[project]]), "",COUNTIFS($A:$A,patch[[#This Row],[number]],$S:$S, "SH And dev",$AC:$AC, "Review-1"))</f>
        <v/>
      </c>
      <c r="Z2797" s="7" t="str">
        <f>IF(ISBLANK(patch[[#This Row],[project]]), "",COUNTIFS($A:$A,patch[[#This Row],[number]],$S:$S, "BJ And dev",$AD:$AD, "&lt;&gt;IntegratorValidationComment"))</f>
        <v/>
      </c>
      <c r="AA2797" s="7" t="str">
        <f>IF(ISBLANK(patch[[#This Row],[project]]), "",COUNTIFS($A:$A,patch[[#This Row],[number]],$S:$S, "FL And dev",$AD:$AD, "&lt;&gt;IntegratorValidationComment"))</f>
        <v/>
      </c>
      <c r="AB2797" s="7" t="str">
        <f>IF(ISBLANK(patch[[#This Row],[project]]), "",COUNTIFS($A:$A,patch[[#This Row],[number]],$S:$S, "SH And dev",$AD:$AD, "&lt;&gt;IntegratorValidationComment"))</f>
        <v/>
      </c>
      <c r="AC2797" s="7" t="str">
        <f>IF(OR(ISNUMBER(FIND("Review-1", patch[[#This Row],[comments]])), ISNUMBER(FIND("Approver-1", patch[[#This Row],[comments]]))), "Review-1", "")</f>
        <v/>
      </c>
      <c r="AD279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97" s="7">
        <f>IF(ISBLANK(patch[[#This Row],[number]]),AE2796,patch[[#This Row],[ifCommon]])</f>
        <v>0</v>
      </c>
    </row>
    <row r="2798" spans="1:31">
      <c r="A2798" s="151">
        <v>140954</v>
      </c>
      <c r="B2798" s="151"/>
      <c r="C2798" s="151"/>
      <c r="D2798" s="151"/>
      <c r="E2798" s="151"/>
      <c r="F2798" s="151"/>
      <c r="G2798" s="151"/>
      <c r="H2798" s="151"/>
      <c r="I2798" s="151"/>
      <c r="J2798" s="152">
        <v>42614.749664351853</v>
      </c>
      <c r="K2798" s="151"/>
      <c r="L2798" s="151" t="s">
        <v>1292</v>
      </c>
      <c r="M2798" s="152">
        <v>42606.624861111108</v>
      </c>
      <c r="N2798" s="151" t="s">
        <v>2463</v>
      </c>
      <c r="O2798" s="151"/>
      <c r="P2798" s="151"/>
      <c r="Q2798" s="7" t="str">
        <f>IF(ISBLANK(patch[[#This Row],[OwnerEmail]]),Q2797,patch[[#This Row],[OwnerEmail]])</f>
        <v>xiaolu.liu@intel.com</v>
      </c>
      <c r="R2798" s="7" t="str">
        <f>_xlfn.IFNA(VLOOKUP(patch[[#This Row],[tmp-owner.email]],OrgTree!$A:$K, 11, 0), "not ICG SWFW")</f>
        <v>BJ And dev</v>
      </c>
      <c r="S2798" s="7" t="str">
        <f>IF(patch[[#This Row],[reviewer]]=patch[[#This Row],[tmp-owner.email]], "author", _xlfn.IFNA(VLOOKUP(patch[[#This Row],[reviewer]],OrgTree!$A:$K, 11, 0), "not ICG SWFW"))</f>
        <v>author</v>
      </c>
      <c r="T2798" s="7" t="str">
        <f>IF(ISBLANK(patch[[#This Row],[mergeDate]]), "", MID(YEAR(patch[[#This Row],[mergeDate]]), 3,2)&amp;"'ww"&amp;WEEKNUM(patch[[#This Row],[mergeDate]]))</f>
        <v>16'ww36</v>
      </c>
      <c r="U2798" s="7" t="str">
        <f>IF(ISBLANK(patch[[#This Row],[mergeDate]]), U2797, MID(YEAR(patch[[#This Row],[mergeDate]]), 3,2)&amp;"'m"&amp;MONTH(patch[[#This Row],[mergeDate]]))</f>
        <v>16'm9</v>
      </c>
      <c r="V2798" s="7" t="str">
        <f>IF(ISBLANK(patch[[#This Row],[project]]), "",SUM(patch[[#This Row],[BJ -1 num]:[SH -1 num]]))</f>
        <v/>
      </c>
      <c r="W2798" s="7" t="str">
        <f>IF(ISBLANK(patch[[#This Row],[project]]), "",COUNTIFS($A:$A,patch[[#This Row],[number]],$S:$S, "BJ And dev",$AC:$AC, "Review-1"))</f>
        <v/>
      </c>
      <c r="X2798" s="7" t="str">
        <f>IF(ISBLANK(patch[[#This Row],[project]]), "",COUNTIFS($A:$A,patch[[#This Row],[number]],$S:$S, "FL And dev",$AC:$AC, "Review-1"))</f>
        <v/>
      </c>
      <c r="Y2798" s="7" t="str">
        <f>IF(ISBLANK(patch[[#This Row],[project]]), "",COUNTIFS($A:$A,patch[[#This Row],[number]],$S:$S, "SH And dev",$AC:$AC, "Review-1"))</f>
        <v/>
      </c>
      <c r="Z2798" s="7" t="str">
        <f>IF(ISBLANK(patch[[#This Row],[project]]), "",COUNTIFS($A:$A,patch[[#This Row],[number]],$S:$S, "BJ And dev",$AD:$AD, "&lt;&gt;IntegratorValidationComment"))</f>
        <v/>
      </c>
      <c r="AA2798" s="7" t="str">
        <f>IF(ISBLANK(patch[[#This Row],[project]]), "",COUNTIFS($A:$A,patch[[#This Row],[number]],$S:$S, "FL And dev",$AD:$AD, "&lt;&gt;IntegratorValidationComment"))</f>
        <v/>
      </c>
      <c r="AB2798" s="7" t="str">
        <f>IF(ISBLANK(patch[[#This Row],[project]]), "",COUNTIFS($A:$A,patch[[#This Row],[number]],$S:$S, "SH And dev",$AD:$AD, "&lt;&gt;IntegratorValidationComment"))</f>
        <v/>
      </c>
      <c r="AC2798" s="7" t="str">
        <f>IF(OR(ISNUMBER(FIND("Review-1", patch[[#This Row],[comments]])), ISNUMBER(FIND("Approver-1", patch[[#This Row],[comments]]))), "Review-1", "")</f>
        <v/>
      </c>
      <c r="AD279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98" s="7">
        <f>IF(ISBLANK(patch[[#This Row],[number]]),AE2797,patch[[#This Row],[ifCommon]])</f>
        <v>0</v>
      </c>
    </row>
    <row r="2799" spans="1:31">
      <c r="A2799" s="151">
        <v>140954</v>
      </c>
      <c r="B2799" s="151"/>
      <c r="C2799" s="151"/>
      <c r="D2799" s="151"/>
      <c r="E2799" s="151"/>
      <c r="F2799" s="151"/>
      <c r="G2799" s="151"/>
      <c r="H2799" s="151"/>
      <c r="I2799" s="152"/>
      <c r="J2799" s="152">
        <v>42614.749664351853</v>
      </c>
      <c r="K2799" s="151"/>
      <c r="L2799" s="151" t="s">
        <v>1292</v>
      </c>
      <c r="M2799" s="152">
        <v>42606.643761574072</v>
      </c>
      <c r="N2799" s="151" t="s">
        <v>2464</v>
      </c>
      <c r="O2799" s="151"/>
      <c r="P2799" s="151"/>
      <c r="Q2799" s="7" t="str">
        <f>IF(ISBLANK(patch[[#This Row],[OwnerEmail]]),Q2798,patch[[#This Row],[OwnerEmail]])</f>
        <v>xiaolu.liu@intel.com</v>
      </c>
      <c r="R2799" s="7" t="str">
        <f>_xlfn.IFNA(VLOOKUP(patch[[#This Row],[tmp-owner.email]],OrgTree!$A:$K, 11, 0), "not ICG SWFW")</f>
        <v>BJ And dev</v>
      </c>
      <c r="S2799" s="7" t="str">
        <f>IF(patch[[#This Row],[reviewer]]=patch[[#This Row],[tmp-owner.email]], "author", _xlfn.IFNA(VLOOKUP(patch[[#This Row],[reviewer]],OrgTree!$A:$K, 11, 0), "not ICG SWFW"))</f>
        <v>author</v>
      </c>
      <c r="T2799" s="7" t="str">
        <f>IF(ISBLANK(patch[[#This Row],[mergeDate]]), "", MID(YEAR(patch[[#This Row],[mergeDate]]), 3,2)&amp;"'ww"&amp;WEEKNUM(patch[[#This Row],[mergeDate]]))</f>
        <v>16'ww36</v>
      </c>
      <c r="U2799" s="7" t="str">
        <f>IF(ISBLANK(patch[[#This Row],[mergeDate]]), U2798, MID(YEAR(patch[[#This Row],[mergeDate]]), 3,2)&amp;"'m"&amp;MONTH(patch[[#This Row],[mergeDate]]))</f>
        <v>16'm9</v>
      </c>
      <c r="V2799" s="7" t="str">
        <f>IF(ISBLANK(patch[[#This Row],[project]]), "",SUM(patch[[#This Row],[BJ -1 num]:[SH -1 num]]))</f>
        <v/>
      </c>
      <c r="W2799" s="7" t="str">
        <f>IF(ISBLANK(patch[[#This Row],[project]]), "",COUNTIFS($A:$A,patch[[#This Row],[number]],$S:$S, "BJ And dev",$AC:$AC, "Review-1"))</f>
        <v/>
      </c>
      <c r="X2799" s="7" t="str">
        <f>IF(ISBLANK(patch[[#This Row],[project]]), "",COUNTIFS($A:$A,patch[[#This Row],[number]],$S:$S, "FL And dev",$AC:$AC, "Review-1"))</f>
        <v/>
      </c>
      <c r="Y2799" s="7" t="str">
        <f>IF(ISBLANK(patch[[#This Row],[project]]), "",COUNTIFS($A:$A,patch[[#This Row],[number]],$S:$S, "SH And dev",$AC:$AC, "Review-1"))</f>
        <v/>
      </c>
      <c r="Z2799" s="7" t="str">
        <f>IF(ISBLANK(patch[[#This Row],[project]]), "",COUNTIFS($A:$A,patch[[#This Row],[number]],$S:$S, "BJ And dev",$AD:$AD, "&lt;&gt;IntegratorValidationComment"))</f>
        <v/>
      </c>
      <c r="AA2799" s="7" t="str">
        <f>IF(ISBLANK(patch[[#This Row],[project]]), "",COUNTIFS($A:$A,patch[[#This Row],[number]],$S:$S, "FL And dev",$AD:$AD, "&lt;&gt;IntegratorValidationComment"))</f>
        <v/>
      </c>
      <c r="AB2799" s="7" t="str">
        <f>IF(ISBLANK(patch[[#This Row],[project]]), "",COUNTIFS($A:$A,patch[[#This Row],[number]],$S:$S, "SH And dev",$AD:$AD, "&lt;&gt;IntegratorValidationComment"))</f>
        <v/>
      </c>
      <c r="AC2799" s="7" t="str">
        <f>IF(OR(ISNUMBER(FIND("Review-1", patch[[#This Row],[comments]])), ISNUMBER(FIND("Approver-1", patch[[#This Row],[comments]]))), "Review-1", "")</f>
        <v/>
      </c>
      <c r="AD279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799" s="7">
        <f>IF(ISBLANK(patch[[#This Row],[number]]),AE2798,patch[[#This Row],[ifCommon]])</f>
        <v>0</v>
      </c>
    </row>
    <row r="2800" spans="1:31">
      <c r="A2800" s="151">
        <v>140954</v>
      </c>
      <c r="B2800" s="151"/>
      <c r="C2800" s="151"/>
      <c r="D2800" s="151"/>
      <c r="E2800" s="151"/>
      <c r="F2800" s="151"/>
      <c r="G2800" s="151"/>
      <c r="H2800" s="151"/>
      <c r="I2800" s="151"/>
      <c r="J2800" s="152">
        <v>42614.749664351853</v>
      </c>
      <c r="K2800" s="151"/>
      <c r="L2800" s="151" t="s">
        <v>1292</v>
      </c>
      <c r="M2800" s="152">
        <v>42606.643761574072</v>
      </c>
      <c r="N2800" s="151" t="s">
        <v>49</v>
      </c>
      <c r="O2800" s="151"/>
      <c r="P2800" s="151"/>
      <c r="Q2800" s="7" t="str">
        <f>IF(ISBLANK(patch[[#This Row],[OwnerEmail]]),Q2799,patch[[#This Row],[OwnerEmail]])</f>
        <v>xiaolu.liu@intel.com</v>
      </c>
      <c r="R2800" s="7" t="str">
        <f>_xlfn.IFNA(VLOOKUP(patch[[#This Row],[tmp-owner.email]],OrgTree!$A:$K, 11, 0), "not ICG SWFW")</f>
        <v>BJ And dev</v>
      </c>
      <c r="S2800" s="7" t="str">
        <f>IF(patch[[#This Row],[reviewer]]=patch[[#This Row],[tmp-owner.email]], "author", _xlfn.IFNA(VLOOKUP(patch[[#This Row],[reviewer]],OrgTree!$A:$K, 11, 0), "not ICG SWFW"))</f>
        <v>author</v>
      </c>
      <c r="T2800" s="7" t="str">
        <f>IF(ISBLANK(patch[[#This Row],[mergeDate]]), "", MID(YEAR(patch[[#This Row],[mergeDate]]), 3,2)&amp;"'ww"&amp;WEEKNUM(patch[[#This Row],[mergeDate]]))</f>
        <v>16'ww36</v>
      </c>
      <c r="U2800" s="7" t="str">
        <f>IF(ISBLANK(patch[[#This Row],[mergeDate]]), U2799, MID(YEAR(patch[[#This Row],[mergeDate]]), 3,2)&amp;"'m"&amp;MONTH(patch[[#This Row],[mergeDate]]))</f>
        <v>16'm9</v>
      </c>
      <c r="V2800" s="7" t="str">
        <f>IF(ISBLANK(patch[[#This Row],[project]]), "",SUM(patch[[#This Row],[BJ -1 num]:[SH -1 num]]))</f>
        <v/>
      </c>
      <c r="W2800" s="7" t="str">
        <f>IF(ISBLANK(patch[[#This Row],[project]]), "",COUNTIFS($A:$A,patch[[#This Row],[number]],$S:$S, "BJ And dev",$AC:$AC, "Review-1"))</f>
        <v/>
      </c>
      <c r="X2800" s="7" t="str">
        <f>IF(ISBLANK(patch[[#This Row],[project]]), "",COUNTIFS($A:$A,patch[[#This Row],[number]],$S:$S, "FL And dev",$AC:$AC, "Review-1"))</f>
        <v/>
      </c>
      <c r="Y2800" s="7" t="str">
        <f>IF(ISBLANK(patch[[#This Row],[project]]), "",COUNTIFS($A:$A,patch[[#This Row],[number]],$S:$S, "SH And dev",$AC:$AC, "Review-1"))</f>
        <v/>
      </c>
      <c r="Z2800" s="7" t="str">
        <f>IF(ISBLANK(patch[[#This Row],[project]]), "",COUNTIFS($A:$A,patch[[#This Row],[number]],$S:$S, "BJ And dev",$AD:$AD, "&lt;&gt;IntegratorValidationComment"))</f>
        <v/>
      </c>
      <c r="AA2800" s="7" t="str">
        <f>IF(ISBLANK(patch[[#This Row],[project]]), "",COUNTIFS($A:$A,patch[[#This Row],[number]],$S:$S, "FL And dev",$AD:$AD, "&lt;&gt;IntegratorValidationComment"))</f>
        <v/>
      </c>
      <c r="AB2800" s="7" t="str">
        <f>IF(ISBLANK(patch[[#This Row],[project]]), "",COUNTIFS($A:$A,patch[[#This Row],[number]],$S:$S, "SH And dev",$AD:$AD, "&lt;&gt;IntegratorValidationComment"))</f>
        <v/>
      </c>
      <c r="AC2800" s="7" t="str">
        <f>IF(OR(ISNUMBER(FIND("Review-1", patch[[#This Row],[comments]])), ISNUMBER(FIND("Approver-1", patch[[#This Row],[comments]]))), "Review-1", "")</f>
        <v/>
      </c>
      <c r="AD280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00" s="7">
        <f>IF(ISBLANK(patch[[#This Row],[number]]),AE2799,patch[[#This Row],[ifCommon]])</f>
        <v>0</v>
      </c>
    </row>
    <row r="2801" spans="1:31">
      <c r="A2801" s="151">
        <v>140954</v>
      </c>
      <c r="B2801" s="151"/>
      <c r="C2801" s="151"/>
      <c r="D2801" s="151"/>
      <c r="E2801" s="151"/>
      <c r="F2801" s="151"/>
      <c r="G2801" s="151"/>
      <c r="H2801" s="151"/>
      <c r="I2801" s="151"/>
      <c r="J2801" s="152">
        <v>42614.749664351853</v>
      </c>
      <c r="K2801" s="151"/>
      <c r="L2801" s="151" t="s">
        <v>75</v>
      </c>
      <c r="M2801" s="152">
        <v>42608.695671296293</v>
      </c>
      <c r="N2801" s="151" t="s">
        <v>2453</v>
      </c>
      <c r="O2801" s="151"/>
      <c r="P2801" s="151"/>
      <c r="Q2801" s="7" t="str">
        <f>IF(ISBLANK(patch[[#This Row],[OwnerEmail]]),Q2800,patch[[#This Row],[OwnerEmail]])</f>
        <v>xiaolu.liu@intel.com</v>
      </c>
      <c r="R2801" s="7" t="str">
        <f>_xlfn.IFNA(VLOOKUP(patch[[#This Row],[tmp-owner.email]],OrgTree!$A:$K, 11, 0), "not ICG SWFW")</f>
        <v>BJ And dev</v>
      </c>
      <c r="S2801" s="7" t="str">
        <f>IF(patch[[#This Row],[reviewer]]=patch[[#This Row],[tmp-owner.email]], "author", _xlfn.IFNA(VLOOKUP(patch[[#This Row],[reviewer]],OrgTree!$A:$K, 11, 0), "not ICG SWFW"))</f>
        <v>BJ And dev</v>
      </c>
      <c r="T2801" s="7" t="str">
        <f>IF(ISBLANK(patch[[#This Row],[mergeDate]]), "", MID(YEAR(patch[[#This Row],[mergeDate]]), 3,2)&amp;"'ww"&amp;WEEKNUM(patch[[#This Row],[mergeDate]]))</f>
        <v>16'ww36</v>
      </c>
      <c r="U2801" s="7" t="str">
        <f>IF(ISBLANK(patch[[#This Row],[mergeDate]]), U2800, MID(YEAR(patch[[#This Row],[mergeDate]]), 3,2)&amp;"'m"&amp;MONTH(patch[[#This Row],[mergeDate]]))</f>
        <v>16'm9</v>
      </c>
      <c r="V2801" s="7" t="str">
        <f>IF(ISBLANK(patch[[#This Row],[project]]), "",SUM(patch[[#This Row],[BJ -1 num]:[SH -1 num]]))</f>
        <v/>
      </c>
      <c r="W2801" s="7" t="str">
        <f>IF(ISBLANK(patch[[#This Row],[project]]), "",COUNTIFS($A:$A,patch[[#This Row],[number]],$S:$S, "BJ And dev",$AC:$AC, "Review-1"))</f>
        <v/>
      </c>
      <c r="X2801" s="7" t="str">
        <f>IF(ISBLANK(patch[[#This Row],[project]]), "",COUNTIFS($A:$A,patch[[#This Row],[number]],$S:$S, "FL And dev",$AC:$AC, "Review-1"))</f>
        <v/>
      </c>
      <c r="Y2801" s="7" t="str">
        <f>IF(ISBLANK(patch[[#This Row],[project]]), "",COUNTIFS($A:$A,patch[[#This Row],[number]],$S:$S, "SH And dev",$AC:$AC, "Review-1"))</f>
        <v/>
      </c>
      <c r="Z2801" s="7" t="str">
        <f>IF(ISBLANK(patch[[#This Row],[project]]), "",COUNTIFS($A:$A,patch[[#This Row],[number]],$S:$S, "BJ And dev",$AD:$AD, "&lt;&gt;IntegratorValidationComment"))</f>
        <v/>
      </c>
      <c r="AA2801" s="7" t="str">
        <f>IF(ISBLANK(patch[[#This Row],[project]]), "",COUNTIFS($A:$A,patch[[#This Row],[number]],$S:$S, "FL And dev",$AD:$AD, "&lt;&gt;IntegratorValidationComment"))</f>
        <v/>
      </c>
      <c r="AB2801" s="7" t="str">
        <f>IF(ISBLANK(patch[[#This Row],[project]]), "",COUNTIFS($A:$A,patch[[#This Row],[number]],$S:$S, "SH And dev",$AD:$AD, "&lt;&gt;IntegratorValidationComment"))</f>
        <v/>
      </c>
      <c r="AC2801" s="7" t="str">
        <f>IF(OR(ISNUMBER(FIND("Review-1", patch[[#This Row],[comments]])), ISNUMBER(FIND("Approver-1", patch[[#This Row],[comments]]))), "Review-1", "")</f>
        <v/>
      </c>
      <c r="AD280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01" s="7">
        <f>IF(ISBLANK(patch[[#This Row],[number]]),AE2800,patch[[#This Row],[ifCommon]])</f>
        <v>0</v>
      </c>
    </row>
    <row r="2802" spans="1:31">
      <c r="A2802" s="151">
        <v>140954</v>
      </c>
      <c r="B2802" s="151"/>
      <c r="C2802" s="151"/>
      <c r="D2802" s="151"/>
      <c r="E2802" s="151"/>
      <c r="F2802" s="151"/>
      <c r="G2802" s="151"/>
      <c r="H2802" s="151"/>
      <c r="I2802" s="151"/>
      <c r="J2802" s="152">
        <v>42614.749664351853</v>
      </c>
      <c r="K2802" s="151"/>
      <c r="L2802" s="151" t="s">
        <v>75</v>
      </c>
      <c r="M2802" s="152">
        <v>42608.695671296293</v>
      </c>
      <c r="N2802" s="151" t="s">
        <v>1855</v>
      </c>
      <c r="O2802" s="151"/>
      <c r="P2802" s="151"/>
      <c r="Q2802" s="7" t="str">
        <f>IF(ISBLANK(patch[[#This Row],[OwnerEmail]]),Q2801,patch[[#This Row],[OwnerEmail]])</f>
        <v>xiaolu.liu@intel.com</v>
      </c>
      <c r="R2802" s="7" t="str">
        <f>_xlfn.IFNA(VLOOKUP(patch[[#This Row],[tmp-owner.email]],OrgTree!$A:$K, 11, 0), "not ICG SWFW")</f>
        <v>BJ And dev</v>
      </c>
      <c r="S2802" s="7" t="str">
        <f>IF(patch[[#This Row],[reviewer]]=patch[[#This Row],[tmp-owner.email]], "author", _xlfn.IFNA(VLOOKUP(patch[[#This Row],[reviewer]],OrgTree!$A:$K, 11, 0), "not ICG SWFW"))</f>
        <v>BJ And dev</v>
      </c>
      <c r="T2802" s="7" t="str">
        <f>IF(ISBLANK(patch[[#This Row],[mergeDate]]), "", MID(YEAR(patch[[#This Row],[mergeDate]]), 3,2)&amp;"'ww"&amp;WEEKNUM(patch[[#This Row],[mergeDate]]))</f>
        <v>16'ww36</v>
      </c>
      <c r="U2802" s="7" t="str">
        <f>IF(ISBLANK(patch[[#This Row],[mergeDate]]), U2801, MID(YEAR(patch[[#This Row],[mergeDate]]), 3,2)&amp;"'m"&amp;MONTH(patch[[#This Row],[mergeDate]]))</f>
        <v>16'm9</v>
      </c>
      <c r="V2802" s="7" t="str">
        <f>IF(ISBLANK(patch[[#This Row],[project]]), "",SUM(patch[[#This Row],[BJ -1 num]:[SH -1 num]]))</f>
        <v/>
      </c>
      <c r="W2802" s="7" t="str">
        <f>IF(ISBLANK(patch[[#This Row],[project]]), "",COUNTIFS($A:$A,patch[[#This Row],[number]],$S:$S, "BJ And dev",$AC:$AC, "Review-1"))</f>
        <v/>
      </c>
      <c r="X2802" s="7" t="str">
        <f>IF(ISBLANK(patch[[#This Row],[project]]), "",COUNTIFS($A:$A,patch[[#This Row],[number]],$S:$S, "FL And dev",$AC:$AC, "Review-1"))</f>
        <v/>
      </c>
      <c r="Y2802" s="7" t="str">
        <f>IF(ISBLANK(patch[[#This Row],[project]]), "",COUNTIFS($A:$A,patch[[#This Row],[number]],$S:$S, "SH And dev",$AC:$AC, "Review-1"))</f>
        <v/>
      </c>
      <c r="Z2802" s="7" t="str">
        <f>IF(ISBLANK(patch[[#This Row],[project]]), "",COUNTIFS($A:$A,patch[[#This Row],[number]],$S:$S, "BJ And dev",$AD:$AD, "&lt;&gt;IntegratorValidationComment"))</f>
        <v/>
      </c>
      <c r="AA2802" s="7" t="str">
        <f>IF(ISBLANK(patch[[#This Row],[project]]), "",COUNTIFS($A:$A,patch[[#This Row],[number]],$S:$S, "FL And dev",$AD:$AD, "&lt;&gt;IntegratorValidationComment"))</f>
        <v/>
      </c>
      <c r="AB2802" s="7" t="str">
        <f>IF(ISBLANK(patch[[#This Row],[project]]), "",COUNTIFS($A:$A,patch[[#This Row],[number]],$S:$S, "SH And dev",$AD:$AD, "&lt;&gt;IntegratorValidationComment"))</f>
        <v/>
      </c>
      <c r="AC2802" s="7" t="str">
        <f>IF(OR(ISNUMBER(FIND("Review-1", patch[[#This Row],[comments]])), ISNUMBER(FIND("Approver-1", patch[[#This Row],[comments]]))), "Review-1", "")</f>
        <v/>
      </c>
      <c r="AD280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02" s="7">
        <f>IF(ISBLANK(patch[[#This Row],[number]]),AE2801,patch[[#This Row],[ifCommon]])</f>
        <v>0</v>
      </c>
    </row>
    <row r="2803" spans="1:31">
      <c r="A2803" s="151">
        <v>140954</v>
      </c>
      <c r="B2803" s="151"/>
      <c r="C2803" s="151"/>
      <c r="D2803" s="151"/>
      <c r="E2803" s="151"/>
      <c r="F2803" s="151"/>
      <c r="G2803" s="151"/>
      <c r="H2803" s="151"/>
      <c r="I2803" s="151"/>
      <c r="J2803" s="152">
        <v>42614.749664351853</v>
      </c>
      <c r="K2803" s="151"/>
      <c r="L2803" s="151" t="s">
        <v>59</v>
      </c>
      <c r="M2803" s="152">
        <v>42608.704027777778</v>
      </c>
      <c r="N2803" s="151" t="s">
        <v>3996</v>
      </c>
      <c r="O2803" s="151"/>
      <c r="P2803" s="151"/>
      <c r="Q2803" s="7" t="str">
        <f>IF(ISBLANK(patch[[#This Row],[OwnerEmail]]),Q2802,patch[[#This Row],[OwnerEmail]])</f>
        <v>xiaolu.liu@intel.com</v>
      </c>
      <c r="R2803" s="7" t="str">
        <f>_xlfn.IFNA(VLOOKUP(patch[[#This Row],[tmp-owner.email]],OrgTree!$A:$K, 11, 0), "not ICG SWFW")</f>
        <v>BJ And dev</v>
      </c>
      <c r="S2803" s="7" t="str">
        <f>IF(patch[[#This Row],[reviewer]]=patch[[#This Row],[tmp-owner.email]], "author", _xlfn.IFNA(VLOOKUP(patch[[#This Row],[reviewer]],OrgTree!$A:$K, 11, 0), "not ICG SWFW"))</f>
        <v>BJ And dev</v>
      </c>
      <c r="T2803" s="7" t="str">
        <f>IF(ISBLANK(patch[[#This Row],[mergeDate]]), "", MID(YEAR(patch[[#This Row],[mergeDate]]), 3,2)&amp;"'ww"&amp;WEEKNUM(patch[[#This Row],[mergeDate]]))</f>
        <v>16'ww36</v>
      </c>
      <c r="U2803" s="7" t="str">
        <f>IF(ISBLANK(patch[[#This Row],[mergeDate]]), U2802, MID(YEAR(patch[[#This Row],[mergeDate]]), 3,2)&amp;"'m"&amp;MONTH(patch[[#This Row],[mergeDate]]))</f>
        <v>16'm9</v>
      </c>
      <c r="V2803" s="7" t="str">
        <f>IF(ISBLANK(patch[[#This Row],[project]]), "",SUM(patch[[#This Row],[BJ -1 num]:[SH -1 num]]))</f>
        <v/>
      </c>
      <c r="W2803" s="7" t="str">
        <f>IF(ISBLANK(patch[[#This Row],[project]]), "",COUNTIFS($A:$A,patch[[#This Row],[number]],$S:$S, "BJ And dev",$AC:$AC, "Review-1"))</f>
        <v/>
      </c>
      <c r="X2803" s="7" t="str">
        <f>IF(ISBLANK(patch[[#This Row],[project]]), "",COUNTIFS($A:$A,patch[[#This Row],[number]],$S:$S, "FL And dev",$AC:$AC, "Review-1"))</f>
        <v/>
      </c>
      <c r="Y2803" s="7" t="str">
        <f>IF(ISBLANK(patch[[#This Row],[project]]), "",COUNTIFS($A:$A,patch[[#This Row],[number]],$S:$S, "SH And dev",$AC:$AC, "Review-1"))</f>
        <v/>
      </c>
      <c r="Z2803" s="7" t="str">
        <f>IF(ISBLANK(patch[[#This Row],[project]]), "",COUNTIFS($A:$A,patch[[#This Row],[number]],$S:$S, "BJ And dev",$AD:$AD, "&lt;&gt;IntegratorValidationComment"))</f>
        <v/>
      </c>
      <c r="AA2803" s="7" t="str">
        <f>IF(ISBLANK(patch[[#This Row],[project]]), "",COUNTIFS($A:$A,patch[[#This Row],[number]],$S:$S, "FL And dev",$AD:$AD, "&lt;&gt;IntegratorValidationComment"))</f>
        <v/>
      </c>
      <c r="AB2803" s="7" t="str">
        <f>IF(ISBLANK(patch[[#This Row],[project]]), "",COUNTIFS($A:$A,patch[[#This Row],[number]],$S:$S, "SH And dev",$AD:$AD, "&lt;&gt;IntegratorValidationComment"))</f>
        <v/>
      </c>
      <c r="AC2803" s="7" t="str">
        <f>IF(OR(ISNUMBER(FIND("Review-1", patch[[#This Row],[comments]])), ISNUMBER(FIND("Approver-1", patch[[#This Row],[comments]]))), "Review-1", "")</f>
        <v/>
      </c>
      <c r="AD280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03" s="7">
        <f>IF(ISBLANK(patch[[#This Row],[number]]),AE2802,patch[[#This Row],[ifCommon]])</f>
        <v>0</v>
      </c>
    </row>
    <row r="2804" spans="1:31">
      <c r="A2804" s="151">
        <v>140954</v>
      </c>
      <c r="B2804" s="151"/>
      <c r="C2804" s="151"/>
      <c r="D2804" s="151"/>
      <c r="E2804" s="151"/>
      <c r="F2804" s="151"/>
      <c r="G2804" s="151"/>
      <c r="H2804" s="151"/>
      <c r="I2804" s="151"/>
      <c r="J2804" s="152">
        <v>42614.749664351853</v>
      </c>
      <c r="K2804" s="151"/>
      <c r="L2804" s="151" t="s">
        <v>59</v>
      </c>
      <c r="M2804" s="152">
        <v>42608.706620370373</v>
      </c>
      <c r="N2804" s="151" t="s">
        <v>3997</v>
      </c>
      <c r="O2804" s="151"/>
      <c r="P2804" s="151"/>
      <c r="Q2804" s="7" t="str">
        <f>IF(ISBLANK(patch[[#This Row],[OwnerEmail]]),Q2803,patch[[#This Row],[OwnerEmail]])</f>
        <v>xiaolu.liu@intel.com</v>
      </c>
      <c r="R2804" s="7" t="str">
        <f>_xlfn.IFNA(VLOOKUP(patch[[#This Row],[tmp-owner.email]],OrgTree!$A:$K, 11, 0), "not ICG SWFW")</f>
        <v>BJ And dev</v>
      </c>
      <c r="S2804" s="7" t="str">
        <f>IF(patch[[#This Row],[reviewer]]=patch[[#This Row],[tmp-owner.email]], "author", _xlfn.IFNA(VLOOKUP(patch[[#This Row],[reviewer]],OrgTree!$A:$K, 11, 0), "not ICG SWFW"))</f>
        <v>BJ And dev</v>
      </c>
      <c r="T2804" s="7" t="str">
        <f>IF(ISBLANK(patch[[#This Row],[mergeDate]]), "", MID(YEAR(patch[[#This Row],[mergeDate]]), 3,2)&amp;"'ww"&amp;WEEKNUM(patch[[#This Row],[mergeDate]]))</f>
        <v>16'ww36</v>
      </c>
      <c r="U2804" s="7" t="str">
        <f>IF(ISBLANK(patch[[#This Row],[mergeDate]]), U2803, MID(YEAR(patch[[#This Row],[mergeDate]]), 3,2)&amp;"'m"&amp;MONTH(patch[[#This Row],[mergeDate]]))</f>
        <v>16'm9</v>
      </c>
      <c r="V2804" s="7" t="str">
        <f>IF(ISBLANK(patch[[#This Row],[project]]), "",SUM(patch[[#This Row],[BJ -1 num]:[SH -1 num]]))</f>
        <v/>
      </c>
      <c r="W2804" s="7" t="str">
        <f>IF(ISBLANK(patch[[#This Row],[project]]), "",COUNTIFS($A:$A,patch[[#This Row],[number]],$S:$S, "BJ And dev",$AC:$AC, "Review-1"))</f>
        <v/>
      </c>
      <c r="X2804" s="7" t="str">
        <f>IF(ISBLANK(patch[[#This Row],[project]]), "",COUNTIFS($A:$A,patch[[#This Row],[number]],$S:$S, "FL And dev",$AC:$AC, "Review-1"))</f>
        <v/>
      </c>
      <c r="Y2804" s="7" t="str">
        <f>IF(ISBLANK(patch[[#This Row],[project]]), "",COUNTIFS($A:$A,patch[[#This Row],[number]],$S:$S, "SH And dev",$AC:$AC, "Review-1"))</f>
        <v/>
      </c>
      <c r="Z2804" s="7" t="str">
        <f>IF(ISBLANK(patch[[#This Row],[project]]), "",COUNTIFS($A:$A,patch[[#This Row],[number]],$S:$S, "BJ And dev",$AD:$AD, "&lt;&gt;IntegratorValidationComment"))</f>
        <v/>
      </c>
      <c r="AA2804" s="7" t="str">
        <f>IF(ISBLANK(patch[[#This Row],[project]]), "",COUNTIFS($A:$A,patch[[#This Row],[number]],$S:$S, "FL And dev",$AD:$AD, "&lt;&gt;IntegratorValidationComment"))</f>
        <v/>
      </c>
      <c r="AB2804" s="7" t="str">
        <f>IF(ISBLANK(patch[[#This Row],[project]]), "",COUNTIFS($A:$A,patch[[#This Row],[number]],$S:$S, "SH And dev",$AD:$AD, "&lt;&gt;IntegratorValidationComment"))</f>
        <v/>
      </c>
      <c r="AC2804" s="7" t="str">
        <f>IF(OR(ISNUMBER(FIND("Review-1", patch[[#This Row],[comments]])), ISNUMBER(FIND("Approver-1", patch[[#This Row],[comments]]))), "Review-1", "")</f>
        <v/>
      </c>
      <c r="AD280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04" s="7">
        <f>IF(ISBLANK(patch[[#This Row],[number]]),AE2803,patch[[#This Row],[ifCommon]])</f>
        <v>0</v>
      </c>
    </row>
    <row r="2805" spans="1:31">
      <c r="A2805" s="151">
        <v>140954</v>
      </c>
      <c r="B2805" s="151"/>
      <c r="C2805" s="151"/>
      <c r="D2805" s="151"/>
      <c r="E2805" s="151"/>
      <c r="F2805" s="151"/>
      <c r="G2805" s="151"/>
      <c r="H2805" s="151"/>
      <c r="I2805" s="151"/>
      <c r="J2805" s="152">
        <v>42614.749664351853</v>
      </c>
      <c r="K2805" s="151"/>
      <c r="L2805" s="151" t="s">
        <v>75</v>
      </c>
      <c r="M2805" s="152">
        <v>42608.713645833333</v>
      </c>
      <c r="N2805" s="151" t="s">
        <v>1842</v>
      </c>
      <c r="O2805" s="151"/>
      <c r="P2805" s="151"/>
      <c r="Q2805" s="7" t="str">
        <f>IF(ISBLANK(patch[[#This Row],[OwnerEmail]]),Q2804,patch[[#This Row],[OwnerEmail]])</f>
        <v>xiaolu.liu@intel.com</v>
      </c>
      <c r="R2805" s="7" t="str">
        <f>_xlfn.IFNA(VLOOKUP(patch[[#This Row],[tmp-owner.email]],OrgTree!$A:$K, 11, 0), "not ICG SWFW")</f>
        <v>BJ And dev</v>
      </c>
      <c r="S2805" s="7" t="str">
        <f>IF(patch[[#This Row],[reviewer]]=patch[[#This Row],[tmp-owner.email]], "author", _xlfn.IFNA(VLOOKUP(patch[[#This Row],[reviewer]],OrgTree!$A:$K, 11, 0), "not ICG SWFW"))</f>
        <v>BJ And dev</v>
      </c>
      <c r="T2805" s="7" t="str">
        <f>IF(ISBLANK(patch[[#This Row],[mergeDate]]), "", MID(YEAR(patch[[#This Row],[mergeDate]]), 3,2)&amp;"'ww"&amp;WEEKNUM(patch[[#This Row],[mergeDate]]))</f>
        <v>16'ww36</v>
      </c>
      <c r="U2805" s="7" t="str">
        <f>IF(ISBLANK(patch[[#This Row],[mergeDate]]), U2804, MID(YEAR(patch[[#This Row],[mergeDate]]), 3,2)&amp;"'m"&amp;MONTH(patch[[#This Row],[mergeDate]]))</f>
        <v>16'm9</v>
      </c>
      <c r="V2805" s="7" t="str">
        <f>IF(ISBLANK(patch[[#This Row],[project]]), "",SUM(patch[[#This Row],[BJ -1 num]:[SH -1 num]]))</f>
        <v/>
      </c>
      <c r="W2805" s="7" t="str">
        <f>IF(ISBLANK(patch[[#This Row],[project]]), "",COUNTIFS($A:$A,patch[[#This Row],[number]],$S:$S, "BJ And dev",$AC:$AC, "Review-1"))</f>
        <v/>
      </c>
      <c r="X2805" s="7" t="str">
        <f>IF(ISBLANK(patch[[#This Row],[project]]), "",COUNTIFS($A:$A,patch[[#This Row],[number]],$S:$S, "FL And dev",$AC:$AC, "Review-1"))</f>
        <v/>
      </c>
      <c r="Y2805" s="7" t="str">
        <f>IF(ISBLANK(patch[[#This Row],[project]]), "",COUNTIFS($A:$A,patch[[#This Row],[number]],$S:$S, "SH And dev",$AC:$AC, "Review-1"))</f>
        <v/>
      </c>
      <c r="Z2805" s="7" t="str">
        <f>IF(ISBLANK(patch[[#This Row],[project]]), "",COUNTIFS($A:$A,patch[[#This Row],[number]],$S:$S, "BJ And dev",$AD:$AD, "&lt;&gt;IntegratorValidationComment"))</f>
        <v/>
      </c>
      <c r="AA2805" s="7" t="str">
        <f>IF(ISBLANK(patch[[#This Row],[project]]), "",COUNTIFS($A:$A,patch[[#This Row],[number]],$S:$S, "FL And dev",$AD:$AD, "&lt;&gt;IntegratorValidationComment"))</f>
        <v/>
      </c>
      <c r="AB2805" s="7" t="str">
        <f>IF(ISBLANK(patch[[#This Row],[project]]), "",COUNTIFS($A:$A,patch[[#This Row],[number]],$S:$S, "SH And dev",$AD:$AD, "&lt;&gt;IntegratorValidationComment"))</f>
        <v/>
      </c>
      <c r="AC2805" s="7" t="str">
        <f>IF(OR(ISNUMBER(FIND("Review-1", patch[[#This Row],[comments]])), ISNUMBER(FIND("Approver-1", patch[[#This Row],[comments]]))), "Review-1", "")</f>
        <v/>
      </c>
      <c r="AD280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05" s="7">
        <f>IF(ISBLANK(patch[[#This Row],[number]]),AE2804,patch[[#This Row],[ifCommon]])</f>
        <v>0</v>
      </c>
    </row>
    <row r="2806" spans="1:31">
      <c r="A2806" s="151">
        <v>140954</v>
      </c>
      <c r="B2806" s="151"/>
      <c r="C2806" s="151"/>
      <c r="D2806" s="151"/>
      <c r="E2806" s="151"/>
      <c r="F2806" s="151"/>
      <c r="G2806" s="151"/>
      <c r="H2806" s="151"/>
      <c r="I2806" s="151"/>
      <c r="J2806" s="152">
        <v>42614.749664351853</v>
      </c>
      <c r="K2806" s="151"/>
      <c r="L2806" s="151" t="s">
        <v>75</v>
      </c>
      <c r="M2806" s="152">
        <v>42608.713645833333</v>
      </c>
      <c r="N2806" s="151" t="s">
        <v>2465</v>
      </c>
      <c r="O2806" s="151"/>
      <c r="P2806" s="151"/>
      <c r="Q2806" s="7" t="str">
        <f>IF(ISBLANK(patch[[#This Row],[OwnerEmail]]),Q2805,patch[[#This Row],[OwnerEmail]])</f>
        <v>xiaolu.liu@intel.com</v>
      </c>
      <c r="R2806" s="7" t="str">
        <f>_xlfn.IFNA(VLOOKUP(patch[[#This Row],[tmp-owner.email]],OrgTree!$A:$K, 11, 0), "not ICG SWFW")</f>
        <v>BJ And dev</v>
      </c>
      <c r="S2806" s="7" t="str">
        <f>IF(patch[[#This Row],[reviewer]]=patch[[#This Row],[tmp-owner.email]], "author", _xlfn.IFNA(VLOOKUP(patch[[#This Row],[reviewer]],OrgTree!$A:$K, 11, 0), "not ICG SWFW"))</f>
        <v>BJ And dev</v>
      </c>
      <c r="T2806" s="7" t="str">
        <f>IF(ISBLANK(patch[[#This Row],[mergeDate]]), "", MID(YEAR(patch[[#This Row],[mergeDate]]), 3,2)&amp;"'ww"&amp;WEEKNUM(patch[[#This Row],[mergeDate]]))</f>
        <v>16'ww36</v>
      </c>
      <c r="U2806" s="7" t="str">
        <f>IF(ISBLANK(patch[[#This Row],[mergeDate]]), U2805, MID(YEAR(patch[[#This Row],[mergeDate]]), 3,2)&amp;"'m"&amp;MONTH(patch[[#This Row],[mergeDate]]))</f>
        <v>16'm9</v>
      </c>
      <c r="V2806" s="7" t="str">
        <f>IF(ISBLANK(patch[[#This Row],[project]]), "",SUM(patch[[#This Row],[BJ -1 num]:[SH -1 num]]))</f>
        <v/>
      </c>
      <c r="W2806" s="7" t="str">
        <f>IF(ISBLANK(patch[[#This Row],[project]]), "",COUNTIFS($A:$A,patch[[#This Row],[number]],$S:$S, "BJ And dev",$AC:$AC, "Review-1"))</f>
        <v/>
      </c>
      <c r="X2806" s="7" t="str">
        <f>IF(ISBLANK(patch[[#This Row],[project]]), "",COUNTIFS($A:$A,patch[[#This Row],[number]],$S:$S, "FL And dev",$AC:$AC, "Review-1"))</f>
        <v/>
      </c>
      <c r="Y2806" s="7" t="str">
        <f>IF(ISBLANK(patch[[#This Row],[project]]), "",COUNTIFS($A:$A,patch[[#This Row],[number]],$S:$S, "SH And dev",$AC:$AC, "Review-1"))</f>
        <v/>
      </c>
      <c r="Z2806" s="7" t="str">
        <f>IF(ISBLANK(patch[[#This Row],[project]]), "",COUNTIFS($A:$A,patch[[#This Row],[number]],$S:$S, "BJ And dev",$AD:$AD, "&lt;&gt;IntegratorValidationComment"))</f>
        <v/>
      </c>
      <c r="AA2806" s="7" t="str">
        <f>IF(ISBLANK(patch[[#This Row],[project]]), "",COUNTIFS($A:$A,patch[[#This Row],[number]],$S:$S, "FL And dev",$AD:$AD, "&lt;&gt;IntegratorValidationComment"))</f>
        <v/>
      </c>
      <c r="AB2806" s="7" t="str">
        <f>IF(ISBLANK(patch[[#This Row],[project]]), "",COUNTIFS($A:$A,patch[[#This Row],[number]],$S:$S, "SH And dev",$AD:$AD, "&lt;&gt;IntegratorValidationComment"))</f>
        <v/>
      </c>
      <c r="AC2806" s="7" t="str">
        <f>IF(OR(ISNUMBER(FIND("Review-1", patch[[#This Row],[comments]])), ISNUMBER(FIND("Approver-1", patch[[#This Row],[comments]]))), "Review-1", "")</f>
        <v/>
      </c>
      <c r="AD280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06" s="7">
        <f>IF(ISBLANK(patch[[#This Row],[number]]),AE2805,patch[[#This Row],[ifCommon]])</f>
        <v>0</v>
      </c>
    </row>
    <row r="2807" spans="1:31">
      <c r="A2807" s="151">
        <v>140954</v>
      </c>
      <c r="B2807" s="151"/>
      <c r="C2807" s="151"/>
      <c r="D2807" s="151"/>
      <c r="E2807" s="151"/>
      <c r="F2807" s="151"/>
      <c r="G2807" s="151"/>
      <c r="H2807" s="151"/>
      <c r="I2807" s="151"/>
      <c r="J2807" s="152">
        <v>42614.749664351853</v>
      </c>
      <c r="K2807" s="151"/>
      <c r="L2807" s="151" t="s">
        <v>59</v>
      </c>
      <c r="M2807" s="152">
        <v>42608.713842592602</v>
      </c>
      <c r="N2807" s="151" t="s">
        <v>3998</v>
      </c>
      <c r="O2807" s="151"/>
      <c r="P2807" s="151"/>
      <c r="Q2807" s="7" t="str">
        <f>IF(ISBLANK(patch[[#This Row],[OwnerEmail]]),Q2806,patch[[#This Row],[OwnerEmail]])</f>
        <v>xiaolu.liu@intel.com</v>
      </c>
      <c r="R2807" s="7" t="str">
        <f>_xlfn.IFNA(VLOOKUP(patch[[#This Row],[tmp-owner.email]],OrgTree!$A:$K, 11, 0), "not ICG SWFW")</f>
        <v>BJ And dev</v>
      </c>
      <c r="S2807" s="7" t="str">
        <f>IF(patch[[#This Row],[reviewer]]=patch[[#This Row],[tmp-owner.email]], "author", _xlfn.IFNA(VLOOKUP(patch[[#This Row],[reviewer]],OrgTree!$A:$K, 11, 0), "not ICG SWFW"))</f>
        <v>BJ And dev</v>
      </c>
      <c r="T2807" s="7" t="str">
        <f>IF(ISBLANK(patch[[#This Row],[mergeDate]]), "", MID(YEAR(patch[[#This Row],[mergeDate]]), 3,2)&amp;"'ww"&amp;WEEKNUM(patch[[#This Row],[mergeDate]]))</f>
        <v>16'ww36</v>
      </c>
      <c r="U2807" s="7" t="str">
        <f>IF(ISBLANK(patch[[#This Row],[mergeDate]]), U2806, MID(YEAR(patch[[#This Row],[mergeDate]]), 3,2)&amp;"'m"&amp;MONTH(patch[[#This Row],[mergeDate]]))</f>
        <v>16'm9</v>
      </c>
      <c r="V2807" s="7" t="str">
        <f>IF(ISBLANK(patch[[#This Row],[project]]), "",SUM(patch[[#This Row],[BJ -1 num]:[SH -1 num]]))</f>
        <v/>
      </c>
      <c r="W2807" s="7" t="str">
        <f>IF(ISBLANK(patch[[#This Row],[project]]), "",COUNTIFS($A:$A,patch[[#This Row],[number]],$S:$S, "BJ And dev",$AC:$AC, "Review-1"))</f>
        <v/>
      </c>
      <c r="X2807" s="7" t="str">
        <f>IF(ISBLANK(patch[[#This Row],[project]]), "",COUNTIFS($A:$A,patch[[#This Row],[number]],$S:$S, "FL And dev",$AC:$AC, "Review-1"))</f>
        <v/>
      </c>
      <c r="Y2807" s="7" t="str">
        <f>IF(ISBLANK(patch[[#This Row],[project]]), "",COUNTIFS($A:$A,patch[[#This Row],[number]],$S:$S, "SH And dev",$AC:$AC, "Review-1"))</f>
        <v/>
      </c>
      <c r="Z2807" s="7" t="str">
        <f>IF(ISBLANK(patch[[#This Row],[project]]), "",COUNTIFS($A:$A,patch[[#This Row],[number]],$S:$S, "BJ And dev",$AD:$AD, "&lt;&gt;IntegratorValidationComment"))</f>
        <v/>
      </c>
      <c r="AA2807" s="7" t="str">
        <f>IF(ISBLANK(patch[[#This Row],[project]]), "",COUNTIFS($A:$A,patch[[#This Row],[number]],$S:$S, "FL And dev",$AD:$AD, "&lt;&gt;IntegratorValidationComment"))</f>
        <v/>
      </c>
      <c r="AB2807" s="7" t="str">
        <f>IF(ISBLANK(patch[[#This Row],[project]]), "",COUNTIFS($A:$A,patch[[#This Row],[number]],$S:$S, "SH And dev",$AD:$AD, "&lt;&gt;IntegratorValidationComment"))</f>
        <v/>
      </c>
      <c r="AC2807" s="7" t="str">
        <f>IF(OR(ISNUMBER(FIND("Review-1", patch[[#This Row],[comments]])), ISNUMBER(FIND("Approver-1", patch[[#This Row],[comments]]))), "Review-1", "")</f>
        <v/>
      </c>
      <c r="AD280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07" s="7">
        <f>IF(ISBLANK(patch[[#This Row],[number]]),AE2806,patch[[#This Row],[ifCommon]])</f>
        <v>0</v>
      </c>
    </row>
    <row r="2808" spans="1:31">
      <c r="A2808" s="151">
        <v>140954</v>
      </c>
      <c r="B2808" s="151"/>
      <c r="C2808" s="151"/>
      <c r="D2808" s="151"/>
      <c r="E2808" s="151"/>
      <c r="F2808" s="151"/>
      <c r="G2808" s="151"/>
      <c r="H2808" s="151"/>
      <c r="I2808" s="151"/>
      <c r="J2808" s="152">
        <v>42614.749664351853</v>
      </c>
      <c r="K2808" s="151"/>
      <c r="L2808" s="151" t="s">
        <v>59</v>
      </c>
      <c r="M2808" s="152">
        <v>42608.717268518521</v>
      </c>
      <c r="N2808" s="151" t="s">
        <v>3999</v>
      </c>
      <c r="O2808" s="151"/>
      <c r="P2808" s="151"/>
      <c r="Q2808" s="7" t="str">
        <f>IF(ISBLANK(patch[[#This Row],[OwnerEmail]]),Q2807,patch[[#This Row],[OwnerEmail]])</f>
        <v>xiaolu.liu@intel.com</v>
      </c>
      <c r="R2808" s="7" t="str">
        <f>_xlfn.IFNA(VLOOKUP(patch[[#This Row],[tmp-owner.email]],OrgTree!$A:$K, 11, 0), "not ICG SWFW")</f>
        <v>BJ And dev</v>
      </c>
      <c r="S2808" s="7" t="str">
        <f>IF(patch[[#This Row],[reviewer]]=patch[[#This Row],[tmp-owner.email]], "author", _xlfn.IFNA(VLOOKUP(patch[[#This Row],[reviewer]],OrgTree!$A:$K, 11, 0), "not ICG SWFW"))</f>
        <v>BJ And dev</v>
      </c>
      <c r="T2808" s="7" t="str">
        <f>IF(ISBLANK(patch[[#This Row],[mergeDate]]), "", MID(YEAR(patch[[#This Row],[mergeDate]]), 3,2)&amp;"'ww"&amp;WEEKNUM(patch[[#This Row],[mergeDate]]))</f>
        <v>16'ww36</v>
      </c>
      <c r="U2808" s="7" t="str">
        <f>IF(ISBLANK(patch[[#This Row],[mergeDate]]), U2807, MID(YEAR(patch[[#This Row],[mergeDate]]), 3,2)&amp;"'m"&amp;MONTH(patch[[#This Row],[mergeDate]]))</f>
        <v>16'm9</v>
      </c>
      <c r="V2808" s="7" t="str">
        <f>IF(ISBLANK(patch[[#This Row],[project]]), "",SUM(patch[[#This Row],[BJ -1 num]:[SH -1 num]]))</f>
        <v/>
      </c>
      <c r="W2808" s="7" t="str">
        <f>IF(ISBLANK(patch[[#This Row],[project]]), "",COUNTIFS($A:$A,patch[[#This Row],[number]],$S:$S, "BJ And dev",$AC:$AC, "Review-1"))</f>
        <v/>
      </c>
      <c r="X2808" s="7" t="str">
        <f>IF(ISBLANK(patch[[#This Row],[project]]), "",COUNTIFS($A:$A,patch[[#This Row],[number]],$S:$S, "FL And dev",$AC:$AC, "Review-1"))</f>
        <v/>
      </c>
      <c r="Y2808" s="7" t="str">
        <f>IF(ISBLANK(patch[[#This Row],[project]]), "",COUNTIFS($A:$A,patch[[#This Row],[number]],$S:$S, "SH And dev",$AC:$AC, "Review-1"))</f>
        <v/>
      </c>
      <c r="Z2808" s="7" t="str">
        <f>IF(ISBLANK(patch[[#This Row],[project]]), "",COUNTIFS($A:$A,patch[[#This Row],[number]],$S:$S, "BJ And dev",$AD:$AD, "&lt;&gt;IntegratorValidationComment"))</f>
        <v/>
      </c>
      <c r="AA2808" s="7" t="str">
        <f>IF(ISBLANK(patch[[#This Row],[project]]), "",COUNTIFS($A:$A,patch[[#This Row],[number]],$S:$S, "FL And dev",$AD:$AD, "&lt;&gt;IntegratorValidationComment"))</f>
        <v/>
      </c>
      <c r="AB2808" s="7" t="str">
        <f>IF(ISBLANK(patch[[#This Row],[project]]), "",COUNTIFS($A:$A,patch[[#This Row],[number]],$S:$S, "SH And dev",$AD:$AD, "&lt;&gt;IntegratorValidationComment"))</f>
        <v/>
      </c>
      <c r="AC2808" s="7" t="str">
        <f>IF(OR(ISNUMBER(FIND("Review-1", patch[[#This Row],[comments]])), ISNUMBER(FIND("Approver-1", patch[[#This Row],[comments]]))), "Review-1", "")</f>
        <v/>
      </c>
      <c r="AD280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08" s="7">
        <f>IF(ISBLANK(patch[[#This Row],[number]]),AE2807,patch[[#This Row],[ifCommon]])</f>
        <v>0</v>
      </c>
    </row>
    <row r="2809" spans="1:31">
      <c r="A2809" s="151">
        <v>140954</v>
      </c>
      <c r="B2809" s="151"/>
      <c r="C2809" s="151"/>
      <c r="D2809" s="151"/>
      <c r="E2809" s="151"/>
      <c r="F2809" s="151"/>
      <c r="G2809" s="151"/>
      <c r="H2809" s="151"/>
      <c r="I2809" s="151"/>
      <c r="J2809" s="152">
        <v>42614.749664351853</v>
      </c>
      <c r="K2809" s="151"/>
      <c r="L2809" s="151" t="s">
        <v>59</v>
      </c>
      <c r="M2809" s="152">
        <v>42608.723576388889</v>
      </c>
      <c r="N2809" s="151" t="s">
        <v>4000</v>
      </c>
      <c r="O2809" s="151"/>
      <c r="P2809" s="151"/>
      <c r="Q2809" s="7" t="str">
        <f>IF(ISBLANK(patch[[#This Row],[OwnerEmail]]),Q2808,patch[[#This Row],[OwnerEmail]])</f>
        <v>xiaolu.liu@intel.com</v>
      </c>
      <c r="R2809" s="7" t="str">
        <f>_xlfn.IFNA(VLOOKUP(patch[[#This Row],[tmp-owner.email]],OrgTree!$A:$K, 11, 0), "not ICG SWFW")</f>
        <v>BJ And dev</v>
      </c>
      <c r="S2809" s="7" t="str">
        <f>IF(patch[[#This Row],[reviewer]]=patch[[#This Row],[tmp-owner.email]], "author", _xlfn.IFNA(VLOOKUP(patch[[#This Row],[reviewer]],OrgTree!$A:$K, 11, 0), "not ICG SWFW"))</f>
        <v>BJ And dev</v>
      </c>
      <c r="T2809" s="7" t="str">
        <f>IF(ISBLANK(patch[[#This Row],[mergeDate]]), "", MID(YEAR(patch[[#This Row],[mergeDate]]), 3,2)&amp;"'ww"&amp;WEEKNUM(patch[[#This Row],[mergeDate]]))</f>
        <v>16'ww36</v>
      </c>
      <c r="U2809" s="7" t="str">
        <f>IF(ISBLANK(patch[[#This Row],[mergeDate]]), U2808, MID(YEAR(patch[[#This Row],[mergeDate]]), 3,2)&amp;"'m"&amp;MONTH(patch[[#This Row],[mergeDate]]))</f>
        <v>16'm9</v>
      </c>
      <c r="V2809" s="7" t="str">
        <f>IF(ISBLANK(patch[[#This Row],[project]]), "",SUM(patch[[#This Row],[BJ -1 num]:[SH -1 num]]))</f>
        <v/>
      </c>
      <c r="W2809" s="7" t="str">
        <f>IF(ISBLANK(patch[[#This Row],[project]]), "",COUNTIFS($A:$A,patch[[#This Row],[number]],$S:$S, "BJ And dev",$AC:$AC, "Review-1"))</f>
        <v/>
      </c>
      <c r="X2809" s="7" t="str">
        <f>IF(ISBLANK(patch[[#This Row],[project]]), "",COUNTIFS($A:$A,patch[[#This Row],[number]],$S:$S, "FL And dev",$AC:$AC, "Review-1"))</f>
        <v/>
      </c>
      <c r="Y2809" s="7" t="str">
        <f>IF(ISBLANK(patch[[#This Row],[project]]), "",COUNTIFS($A:$A,patch[[#This Row],[number]],$S:$S, "SH And dev",$AC:$AC, "Review-1"))</f>
        <v/>
      </c>
      <c r="Z2809" s="7" t="str">
        <f>IF(ISBLANK(patch[[#This Row],[project]]), "",COUNTIFS($A:$A,patch[[#This Row],[number]],$S:$S, "BJ And dev",$AD:$AD, "&lt;&gt;IntegratorValidationComment"))</f>
        <v/>
      </c>
      <c r="AA2809" s="7" t="str">
        <f>IF(ISBLANK(patch[[#This Row],[project]]), "",COUNTIFS($A:$A,patch[[#This Row],[number]],$S:$S, "FL And dev",$AD:$AD, "&lt;&gt;IntegratorValidationComment"))</f>
        <v/>
      </c>
      <c r="AB2809" s="7" t="str">
        <f>IF(ISBLANK(patch[[#This Row],[project]]), "",COUNTIFS($A:$A,patch[[#This Row],[number]],$S:$S, "SH And dev",$AD:$AD, "&lt;&gt;IntegratorValidationComment"))</f>
        <v/>
      </c>
      <c r="AC2809" s="7" t="str">
        <f>IF(OR(ISNUMBER(FIND("Review-1", patch[[#This Row],[comments]])), ISNUMBER(FIND("Approver-1", patch[[#This Row],[comments]]))), "Review-1", "")</f>
        <v/>
      </c>
      <c r="AD280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09" s="7">
        <f>IF(ISBLANK(patch[[#This Row],[number]]),AE2808,patch[[#This Row],[ifCommon]])</f>
        <v>0</v>
      </c>
    </row>
    <row r="2810" spans="1:31">
      <c r="A2810" s="151">
        <v>140954</v>
      </c>
      <c r="B2810" s="151"/>
      <c r="C2810" s="151"/>
      <c r="D2810" s="151"/>
      <c r="E2810" s="151"/>
      <c r="F2810" s="151"/>
      <c r="G2810" s="151"/>
      <c r="H2810" s="151"/>
      <c r="I2810" s="151"/>
      <c r="J2810" s="152">
        <v>42614.749664351853</v>
      </c>
      <c r="K2810" s="151"/>
      <c r="L2810" s="151" t="s">
        <v>75</v>
      </c>
      <c r="M2810" s="152">
        <v>42611.405543981477</v>
      </c>
      <c r="N2810" s="151" t="s">
        <v>1843</v>
      </c>
      <c r="O2810" s="151"/>
      <c r="P2810" s="151"/>
      <c r="Q2810" s="7" t="str">
        <f>IF(ISBLANK(patch[[#This Row],[OwnerEmail]]),Q2809,patch[[#This Row],[OwnerEmail]])</f>
        <v>xiaolu.liu@intel.com</v>
      </c>
      <c r="R2810" s="7" t="str">
        <f>_xlfn.IFNA(VLOOKUP(patch[[#This Row],[tmp-owner.email]],OrgTree!$A:$K, 11, 0), "not ICG SWFW")</f>
        <v>BJ And dev</v>
      </c>
      <c r="S2810" s="7" t="str">
        <f>IF(patch[[#This Row],[reviewer]]=patch[[#This Row],[tmp-owner.email]], "author", _xlfn.IFNA(VLOOKUP(patch[[#This Row],[reviewer]],OrgTree!$A:$K, 11, 0), "not ICG SWFW"))</f>
        <v>BJ And dev</v>
      </c>
      <c r="T2810" s="7" t="str">
        <f>IF(ISBLANK(patch[[#This Row],[mergeDate]]), "", MID(YEAR(patch[[#This Row],[mergeDate]]), 3,2)&amp;"'ww"&amp;WEEKNUM(patch[[#This Row],[mergeDate]]))</f>
        <v>16'ww36</v>
      </c>
      <c r="U2810" s="7" t="str">
        <f>IF(ISBLANK(patch[[#This Row],[mergeDate]]), U2809, MID(YEAR(patch[[#This Row],[mergeDate]]), 3,2)&amp;"'m"&amp;MONTH(patch[[#This Row],[mergeDate]]))</f>
        <v>16'm9</v>
      </c>
      <c r="V2810" s="7" t="str">
        <f>IF(ISBLANK(patch[[#This Row],[project]]), "",SUM(patch[[#This Row],[BJ -1 num]:[SH -1 num]]))</f>
        <v/>
      </c>
      <c r="W2810" s="7" t="str">
        <f>IF(ISBLANK(patch[[#This Row],[project]]), "",COUNTIFS($A:$A,patch[[#This Row],[number]],$S:$S, "BJ And dev",$AC:$AC, "Review-1"))</f>
        <v/>
      </c>
      <c r="X2810" s="7" t="str">
        <f>IF(ISBLANK(patch[[#This Row],[project]]), "",COUNTIFS($A:$A,patch[[#This Row],[number]],$S:$S, "FL And dev",$AC:$AC, "Review-1"))</f>
        <v/>
      </c>
      <c r="Y2810" s="7" t="str">
        <f>IF(ISBLANK(patch[[#This Row],[project]]), "",COUNTIFS($A:$A,patch[[#This Row],[number]],$S:$S, "SH And dev",$AC:$AC, "Review-1"))</f>
        <v/>
      </c>
      <c r="Z2810" s="7" t="str">
        <f>IF(ISBLANK(patch[[#This Row],[project]]), "",COUNTIFS($A:$A,patch[[#This Row],[number]],$S:$S, "BJ And dev",$AD:$AD, "&lt;&gt;IntegratorValidationComment"))</f>
        <v/>
      </c>
      <c r="AA2810" s="7" t="str">
        <f>IF(ISBLANK(patch[[#This Row],[project]]), "",COUNTIFS($A:$A,patch[[#This Row],[number]],$S:$S, "FL And dev",$AD:$AD, "&lt;&gt;IntegratorValidationComment"))</f>
        <v/>
      </c>
      <c r="AB2810" s="7" t="str">
        <f>IF(ISBLANK(patch[[#This Row],[project]]), "",COUNTIFS($A:$A,patch[[#This Row],[number]],$S:$S, "SH And dev",$AD:$AD, "&lt;&gt;IntegratorValidationComment"))</f>
        <v/>
      </c>
      <c r="AC2810" s="7" t="str">
        <f>IF(OR(ISNUMBER(FIND("Review-1", patch[[#This Row],[comments]])), ISNUMBER(FIND("Approver-1", patch[[#This Row],[comments]]))), "Review-1", "")</f>
        <v/>
      </c>
      <c r="AD281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10" s="7">
        <f>IF(ISBLANK(patch[[#This Row],[number]]),AE2809,patch[[#This Row],[ifCommon]])</f>
        <v>0</v>
      </c>
    </row>
    <row r="2811" spans="1:31">
      <c r="A2811" s="151">
        <v>140954</v>
      </c>
      <c r="B2811" s="151"/>
      <c r="C2811" s="151"/>
      <c r="D2811" s="151"/>
      <c r="E2811" s="151"/>
      <c r="F2811" s="151"/>
      <c r="G2811" s="151"/>
      <c r="H2811" s="151"/>
      <c r="I2811" s="151"/>
      <c r="J2811" s="152">
        <v>42614.749664351853</v>
      </c>
      <c r="K2811" s="151"/>
      <c r="L2811" s="151" t="s">
        <v>59</v>
      </c>
      <c r="M2811" s="152">
        <v>42612.634594907409</v>
      </c>
      <c r="N2811" s="151" t="s">
        <v>1843</v>
      </c>
      <c r="O2811" s="151"/>
      <c r="P2811" s="151"/>
      <c r="Q2811" s="7" t="str">
        <f>IF(ISBLANK(patch[[#This Row],[OwnerEmail]]),Q2810,patch[[#This Row],[OwnerEmail]])</f>
        <v>xiaolu.liu@intel.com</v>
      </c>
      <c r="R2811" s="7" t="str">
        <f>_xlfn.IFNA(VLOOKUP(patch[[#This Row],[tmp-owner.email]],OrgTree!$A:$K, 11, 0), "not ICG SWFW")</f>
        <v>BJ And dev</v>
      </c>
      <c r="S2811" s="7" t="str">
        <f>IF(patch[[#This Row],[reviewer]]=patch[[#This Row],[tmp-owner.email]], "author", _xlfn.IFNA(VLOOKUP(patch[[#This Row],[reviewer]],OrgTree!$A:$K, 11, 0), "not ICG SWFW"))</f>
        <v>BJ And dev</v>
      </c>
      <c r="T2811" s="7" t="str">
        <f>IF(ISBLANK(patch[[#This Row],[mergeDate]]), "", MID(YEAR(patch[[#This Row],[mergeDate]]), 3,2)&amp;"'ww"&amp;WEEKNUM(patch[[#This Row],[mergeDate]]))</f>
        <v>16'ww36</v>
      </c>
      <c r="U2811" s="7" t="str">
        <f>IF(ISBLANK(patch[[#This Row],[mergeDate]]), U2810, MID(YEAR(patch[[#This Row],[mergeDate]]), 3,2)&amp;"'m"&amp;MONTH(patch[[#This Row],[mergeDate]]))</f>
        <v>16'm9</v>
      </c>
      <c r="V2811" s="7" t="str">
        <f>IF(ISBLANK(patch[[#This Row],[project]]), "",SUM(patch[[#This Row],[BJ -1 num]:[SH -1 num]]))</f>
        <v/>
      </c>
      <c r="W2811" s="7" t="str">
        <f>IF(ISBLANK(patch[[#This Row],[project]]), "",COUNTIFS($A:$A,patch[[#This Row],[number]],$S:$S, "BJ And dev",$AC:$AC, "Review-1"))</f>
        <v/>
      </c>
      <c r="X2811" s="7" t="str">
        <f>IF(ISBLANK(patch[[#This Row],[project]]), "",COUNTIFS($A:$A,patch[[#This Row],[number]],$S:$S, "FL And dev",$AC:$AC, "Review-1"))</f>
        <v/>
      </c>
      <c r="Y2811" s="7" t="str">
        <f>IF(ISBLANK(patch[[#This Row],[project]]), "",COUNTIFS($A:$A,patch[[#This Row],[number]],$S:$S, "SH And dev",$AC:$AC, "Review-1"))</f>
        <v/>
      </c>
      <c r="Z2811" s="7" t="str">
        <f>IF(ISBLANK(patch[[#This Row],[project]]), "",COUNTIFS($A:$A,patch[[#This Row],[number]],$S:$S, "BJ And dev",$AD:$AD, "&lt;&gt;IntegratorValidationComment"))</f>
        <v/>
      </c>
      <c r="AA2811" s="7" t="str">
        <f>IF(ISBLANK(patch[[#This Row],[project]]), "",COUNTIFS($A:$A,patch[[#This Row],[number]],$S:$S, "FL And dev",$AD:$AD, "&lt;&gt;IntegratorValidationComment"))</f>
        <v/>
      </c>
      <c r="AB2811" s="7" t="str">
        <f>IF(ISBLANK(patch[[#This Row],[project]]), "",COUNTIFS($A:$A,patch[[#This Row],[number]],$S:$S, "SH And dev",$AD:$AD, "&lt;&gt;IntegratorValidationComment"))</f>
        <v/>
      </c>
      <c r="AC2811" s="7" t="str">
        <f>IF(OR(ISNUMBER(FIND("Review-1", patch[[#This Row],[comments]])), ISNUMBER(FIND("Approver-1", patch[[#This Row],[comments]]))), "Review-1", "")</f>
        <v/>
      </c>
      <c r="AD281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11" s="7">
        <f>IF(ISBLANK(patch[[#This Row],[number]]),AE2810,patch[[#This Row],[ifCommon]])</f>
        <v>0</v>
      </c>
    </row>
    <row r="2812" spans="1:31">
      <c r="A2812" s="151">
        <v>140954</v>
      </c>
      <c r="B2812" s="151"/>
      <c r="C2812" s="151"/>
      <c r="D2812" s="151"/>
      <c r="E2812" s="151"/>
      <c r="F2812" s="151"/>
      <c r="G2812" s="151"/>
      <c r="H2812" s="151"/>
      <c r="I2812" s="151"/>
      <c r="J2812" s="152">
        <v>42614.749664351853</v>
      </c>
      <c r="K2812" s="151"/>
      <c r="L2812" s="151" t="s">
        <v>75</v>
      </c>
      <c r="M2812" s="152">
        <v>42613.41978009259</v>
      </c>
      <c r="N2812" s="151" t="s">
        <v>1881</v>
      </c>
      <c r="O2812" s="151"/>
      <c r="P2812" s="151"/>
      <c r="Q2812" s="7" t="str">
        <f>IF(ISBLANK(patch[[#This Row],[OwnerEmail]]),Q2811,patch[[#This Row],[OwnerEmail]])</f>
        <v>xiaolu.liu@intel.com</v>
      </c>
      <c r="R2812" s="7" t="str">
        <f>_xlfn.IFNA(VLOOKUP(patch[[#This Row],[tmp-owner.email]],OrgTree!$A:$K, 11, 0), "not ICG SWFW")</f>
        <v>BJ And dev</v>
      </c>
      <c r="S2812" s="7" t="str">
        <f>IF(patch[[#This Row],[reviewer]]=patch[[#This Row],[tmp-owner.email]], "author", _xlfn.IFNA(VLOOKUP(patch[[#This Row],[reviewer]],OrgTree!$A:$K, 11, 0), "not ICG SWFW"))</f>
        <v>BJ And dev</v>
      </c>
      <c r="T2812" s="7" t="str">
        <f>IF(ISBLANK(patch[[#This Row],[mergeDate]]), "", MID(YEAR(patch[[#This Row],[mergeDate]]), 3,2)&amp;"'ww"&amp;WEEKNUM(patch[[#This Row],[mergeDate]]))</f>
        <v>16'ww36</v>
      </c>
      <c r="U2812" s="7" t="str">
        <f>IF(ISBLANK(patch[[#This Row],[mergeDate]]), U2811, MID(YEAR(patch[[#This Row],[mergeDate]]), 3,2)&amp;"'m"&amp;MONTH(patch[[#This Row],[mergeDate]]))</f>
        <v>16'm9</v>
      </c>
      <c r="V2812" s="7" t="str">
        <f>IF(ISBLANK(patch[[#This Row],[project]]), "",SUM(patch[[#This Row],[BJ -1 num]:[SH -1 num]]))</f>
        <v/>
      </c>
      <c r="W2812" s="7" t="str">
        <f>IF(ISBLANK(patch[[#This Row],[project]]), "",COUNTIFS($A:$A,patch[[#This Row],[number]],$S:$S, "BJ And dev",$AC:$AC, "Review-1"))</f>
        <v/>
      </c>
      <c r="X2812" s="7" t="str">
        <f>IF(ISBLANK(patch[[#This Row],[project]]), "",COUNTIFS($A:$A,patch[[#This Row],[number]],$S:$S, "FL And dev",$AC:$AC, "Review-1"))</f>
        <v/>
      </c>
      <c r="Y2812" s="7" t="str">
        <f>IF(ISBLANK(patch[[#This Row],[project]]), "",COUNTIFS($A:$A,patch[[#This Row],[number]],$S:$S, "SH And dev",$AC:$AC, "Review-1"))</f>
        <v/>
      </c>
      <c r="Z2812" s="7" t="str">
        <f>IF(ISBLANK(patch[[#This Row],[project]]), "",COUNTIFS($A:$A,patch[[#This Row],[number]],$S:$S, "BJ And dev",$AD:$AD, "&lt;&gt;IntegratorValidationComment"))</f>
        <v/>
      </c>
      <c r="AA2812" s="7" t="str">
        <f>IF(ISBLANK(patch[[#This Row],[project]]), "",COUNTIFS($A:$A,patch[[#This Row],[number]],$S:$S, "FL And dev",$AD:$AD, "&lt;&gt;IntegratorValidationComment"))</f>
        <v/>
      </c>
      <c r="AB2812" s="7" t="str">
        <f>IF(ISBLANK(patch[[#This Row],[project]]), "",COUNTIFS($A:$A,patch[[#This Row],[number]],$S:$S, "SH And dev",$AD:$AD, "&lt;&gt;IntegratorValidationComment"))</f>
        <v/>
      </c>
      <c r="AC2812" s="7" t="str">
        <f>IF(OR(ISNUMBER(FIND("Review-1", patch[[#This Row],[comments]])), ISNUMBER(FIND("Approver-1", patch[[#This Row],[comments]]))), "Review-1", "")</f>
        <v/>
      </c>
      <c r="AD281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12" s="7">
        <f>IF(ISBLANK(patch[[#This Row],[number]]),AE2811,patch[[#This Row],[ifCommon]])</f>
        <v>0</v>
      </c>
    </row>
    <row r="2813" spans="1:31">
      <c r="A2813" s="151">
        <v>140954</v>
      </c>
      <c r="B2813" s="151"/>
      <c r="C2813" s="151"/>
      <c r="D2813" s="151"/>
      <c r="E2813" s="151"/>
      <c r="F2813" s="151"/>
      <c r="G2813" s="151"/>
      <c r="H2813" s="151"/>
      <c r="I2813" s="151"/>
      <c r="J2813" s="152">
        <v>42614.749664351853</v>
      </c>
      <c r="K2813" s="151"/>
      <c r="L2813" s="151" t="s">
        <v>59</v>
      </c>
      <c r="M2813" s="152">
        <v>42613.756006944437</v>
      </c>
      <c r="N2813" s="151" t="s">
        <v>4001</v>
      </c>
      <c r="O2813" s="151"/>
      <c r="P2813" s="151"/>
      <c r="Q2813" s="7" t="str">
        <f>IF(ISBLANK(patch[[#This Row],[OwnerEmail]]),Q2812,patch[[#This Row],[OwnerEmail]])</f>
        <v>xiaolu.liu@intel.com</v>
      </c>
      <c r="R2813" s="7" t="str">
        <f>_xlfn.IFNA(VLOOKUP(patch[[#This Row],[tmp-owner.email]],OrgTree!$A:$K, 11, 0), "not ICG SWFW")</f>
        <v>BJ And dev</v>
      </c>
      <c r="S2813" s="7" t="str">
        <f>IF(patch[[#This Row],[reviewer]]=patch[[#This Row],[tmp-owner.email]], "author", _xlfn.IFNA(VLOOKUP(patch[[#This Row],[reviewer]],OrgTree!$A:$K, 11, 0), "not ICG SWFW"))</f>
        <v>BJ And dev</v>
      </c>
      <c r="T2813" s="7" t="str">
        <f>IF(ISBLANK(patch[[#This Row],[mergeDate]]), "", MID(YEAR(patch[[#This Row],[mergeDate]]), 3,2)&amp;"'ww"&amp;WEEKNUM(patch[[#This Row],[mergeDate]]))</f>
        <v>16'ww36</v>
      </c>
      <c r="U2813" s="7" t="str">
        <f>IF(ISBLANK(patch[[#This Row],[mergeDate]]), U2812, MID(YEAR(patch[[#This Row],[mergeDate]]), 3,2)&amp;"'m"&amp;MONTH(patch[[#This Row],[mergeDate]]))</f>
        <v>16'm9</v>
      </c>
      <c r="V2813" s="7" t="str">
        <f>IF(ISBLANK(patch[[#This Row],[project]]), "",SUM(patch[[#This Row],[BJ -1 num]:[SH -1 num]]))</f>
        <v/>
      </c>
      <c r="W2813" s="7" t="str">
        <f>IF(ISBLANK(patch[[#This Row],[project]]), "",COUNTIFS($A:$A,patch[[#This Row],[number]],$S:$S, "BJ And dev",$AC:$AC, "Review-1"))</f>
        <v/>
      </c>
      <c r="X2813" s="7" t="str">
        <f>IF(ISBLANK(patch[[#This Row],[project]]), "",COUNTIFS($A:$A,patch[[#This Row],[number]],$S:$S, "FL And dev",$AC:$AC, "Review-1"))</f>
        <v/>
      </c>
      <c r="Y2813" s="7" t="str">
        <f>IF(ISBLANK(patch[[#This Row],[project]]), "",COUNTIFS($A:$A,patch[[#This Row],[number]],$S:$S, "SH And dev",$AC:$AC, "Review-1"))</f>
        <v/>
      </c>
      <c r="Z2813" s="7" t="str">
        <f>IF(ISBLANK(patch[[#This Row],[project]]), "",COUNTIFS($A:$A,patch[[#This Row],[number]],$S:$S, "BJ And dev",$AD:$AD, "&lt;&gt;IntegratorValidationComment"))</f>
        <v/>
      </c>
      <c r="AA2813" s="7" t="str">
        <f>IF(ISBLANK(patch[[#This Row],[project]]), "",COUNTIFS($A:$A,patch[[#This Row],[number]],$S:$S, "FL And dev",$AD:$AD, "&lt;&gt;IntegratorValidationComment"))</f>
        <v/>
      </c>
      <c r="AB2813" s="7" t="str">
        <f>IF(ISBLANK(patch[[#This Row],[project]]), "",COUNTIFS($A:$A,patch[[#This Row],[number]],$S:$S, "SH And dev",$AD:$AD, "&lt;&gt;IntegratorValidationComment"))</f>
        <v/>
      </c>
      <c r="AC2813" s="7" t="str">
        <f>IF(OR(ISNUMBER(FIND("Review-1", patch[[#This Row],[comments]])), ISNUMBER(FIND("Approver-1", patch[[#This Row],[comments]]))), "Review-1", "")</f>
        <v/>
      </c>
      <c r="AD281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13" s="7">
        <f>IF(ISBLANK(patch[[#This Row],[number]]),AE2812,patch[[#This Row],[ifCommon]])</f>
        <v>0</v>
      </c>
    </row>
    <row r="2814" spans="1:31">
      <c r="A2814" s="151">
        <v>140954</v>
      </c>
      <c r="B2814" s="151"/>
      <c r="C2814" s="151"/>
      <c r="D2814" s="151"/>
      <c r="E2814" s="151"/>
      <c r="F2814" s="151"/>
      <c r="G2814" s="151"/>
      <c r="H2814" s="151"/>
      <c r="I2814" s="151"/>
      <c r="J2814" s="152">
        <v>42614.749664351853</v>
      </c>
      <c r="K2814" s="151"/>
      <c r="L2814" s="151" t="s">
        <v>115</v>
      </c>
      <c r="M2814" s="152">
        <v>42614.41909722222</v>
      </c>
      <c r="N2814" s="151" t="s">
        <v>2513</v>
      </c>
      <c r="O2814" s="151"/>
      <c r="P2814" s="151"/>
      <c r="Q2814" s="7" t="str">
        <f>IF(ISBLANK(patch[[#This Row],[OwnerEmail]]),Q2813,patch[[#This Row],[OwnerEmail]])</f>
        <v>xiaolu.liu@intel.com</v>
      </c>
      <c r="R2814" s="7" t="str">
        <f>_xlfn.IFNA(VLOOKUP(patch[[#This Row],[tmp-owner.email]],OrgTree!$A:$K, 11, 0), "not ICG SWFW")</f>
        <v>BJ And dev</v>
      </c>
      <c r="S2814" s="7" t="str">
        <f>IF(patch[[#This Row],[reviewer]]=patch[[#This Row],[tmp-owner.email]], "author", _xlfn.IFNA(VLOOKUP(patch[[#This Row],[reviewer]],OrgTree!$A:$K, 11, 0), "not ICG SWFW"))</f>
        <v>Val</v>
      </c>
      <c r="T2814" s="7" t="str">
        <f>IF(ISBLANK(patch[[#This Row],[mergeDate]]), "", MID(YEAR(patch[[#This Row],[mergeDate]]), 3,2)&amp;"'ww"&amp;WEEKNUM(patch[[#This Row],[mergeDate]]))</f>
        <v>16'ww36</v>
      </c>
      <c r="U2814" s="7" t="str">
        <f>IF(ISBLANK(patch[[#This Row],[mergeDate]]), U2813, MID(YEAR(patch[[#This Row],[mergeDate]]), 3,2)&amp;"'m"&amp;MONTH(patch[[#This Row],[mergeDate]]))</f>
        <v>16'm9</v>
      </c>
      <c r="V2814" s="7" t="str">
        <f>IF(ISBLANK(patch[[#This Row],[project]]), "",SUM(patch[[#This Row],[BJ -1 num]:[SH -1 num]]))</f>
        <v/>
      </c>
      <c r="W2814" s="7" t="str">
        <f>IF(ISBLANK(patch[[#This Row],[project]]), "",COUNTIFS($A:$A,patch[[#This Row],[number]],$S:$S, "BJ And dev",$AC:$AC, "Review-1"))</f>
        <v/>
      </c>
      <c r="X2814" s="7" t="str">
        <f>IF(ISBLANK(patch[[#This Row],[project]]), "",COUNTIFS($A:$A,patch[[#This Row],[number]],$S:$S, "FL And dev",$AC:$AC, "Review-1"))</f>
        <v/>
      </c>
      <c r="Y2814" s="7" t="str">
        <f>IF(ISBLANK(patch[[#This Row],[project]]), "",COUNTIFS($A:$A,patch[[#This Row],[number]],$S:$S, "SH And dev",$AC:$AC, "Review-1"))</f>
        <v/>
      </c>
      <c r="Z2814" s="7" t="str">
        <f>IF(ISBLANK(patch[[#This Row],[project]]), "",COUNTIFS($A:$A,patch[[#This Row],[number]],$S:$S, "BJ And dev",$AD:$AD, "&lt;&gt;IntegratorValidationComment"))</f>
        <v/>
      </c>
      <c r="AA2814" s="7" t="str">
        <f>IF(ISBLANK(patch[[#This Row],[project]]), "",COUNTIFS($A:$A,patch[[#This Row],[number]],$S:$S, "FL And dev",$AD:$AD, "&lt;&gt;IntegratorValidationComment"))</f>
        <v/>
      </c>
      <c r="AB2814" s="7" t="str">
        <f>IF(ISBLANK(patch[[#This Row],[project]]), "",COUNTIFS($A:$A,patch[[#This Row],[number]],$S:$S, "SH And dev",$AD:$AD, "&lt;&gt;IntegratorValidationComment"))</f>
        <v/>
      </c>
      <c r="AC2814" s="7" t="str">
        <f>IF(OR(ISNUMBER(FIND("Review-1", patch[[#This Row],[comments]])), ISNUMBER(FIND("Approver-1", patch[[#This Row],[comments]]))), "Review-1", "")</f>
        <v/>
      </c>
      <c r="AD281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814" s="7">
        <f>IF(ISBLANK(patch[[#This Row],[number]]),AE2813,patch[[#This Row],[ifCommon]])</f>
        <v>0</v>
      </c>
    </row>
    <row r="2815" spans="1:31">
      <c r="A2815" s="151">
        <v>138848</v>
      </c>
      <c r="B2815" s="151" t="s">
        <v>2490</v>
      </c>
      <c r="C2815" s="151" t="s">
        <v>2491</v>
      </c>
      <c r="D2815" s="151" t="s">
        <v>4002</v>
      </c>
      <c r="E2815" s="151" t="s">
        <v>75</v>
      </c>
      <c r="F2815" s="151" t="s">
        <v>23</v>
      </c>
      <c r="G2815" s="151" t="s">
        <v>4003</v>
      </c>
      <c r="H2815" s="151" t="s">
        <v>4004</v>
      </c>
      <c r="I2815" s="152">
        <v>42593.41747685185</v>
      </c>
      <c r="J2815" s="152">
        <v>42614.74962962963</v>
      </c>
      <c r="K2815" s="151" t="s">
        <v>2445</v>
      </c>
      <c r="L2815" s="151" t="s">
        <v>75</v>
      </c>
      <c r="M2815" s="152">
        <v>42593.41747685185</v>
      </c>
      <c r="N2815" s="151" t="s">
        <v>25</v>
      </c>
      <c r="O2815" s="151"/>
      <c r="P2815" s="151" t="s">
        <v>4005</v>
      </c>
      <c r="Q2815" s="7" t="str">
        <f>IF(ISBLANK(patch[[#This Row],[OwnerEmail]]),Q2814,patch[[#This Row],[OwnerEmail]])</f>
        <v>jie.j.zhang@intel.com</v>
      </c>
      <c r="R2815" s="7" t="str">
        <f>_xlfn.IFNA(VLOOKUP(patch[[#This Row],[tmp-owner.email]],OrgTree!$A:$K, 11, 0), "not ICG SWFW")</f>
        <v>BJ And dev</v>
      </c>
      <c r="S2815" s="7" t="str">
        <f>IF(patch[[#This Row],[reviewer]]=patch[[#This Row],[tmp-owner.email]], "author", _xlfn.IFNA(VLOOKUP(patch[[#This Row],[reviewer]],OrgTree!$A:$K, 11, 0), "not ICG SWFW"))</f>
        <v>author</v>
      </c>
      <c r="T2815" s="7" t="str">
        <f>IF(ISBLANK(patch[[#This Row],[mergeDate]]), "", MID(YEAR(patch[[#This Row],[mergeDate]]), 3,2)&amp;"'ww"&amp;WEEKNUM(patch[[#This Row],[mergeDate]]))</f>
        <v>16'ww36</v>
      </c>
      <c r="U2815" s="7" t="str">
        <f>IF(ISBLANK(patch[[#This Row],[mergeDate]]), U2814, MID(YEAR(patch[[#This Row],[mergeDate]]), 3,2)&amp;"'m"&amp;MONTH(patch[[#This Row],[mergeDate]]))</f>
        <v>16'm9</v>
      </c>
      <c r="V2815" s="7">
        <f>IF(ISBLANK(patch[[#This Row],[project]]), "",SUM(patch[[#This Row],[BJ -1 num]:[SH -1 num]]))</f>
        <v>0</v>
      </c>
      <c r="W2815" s="7">
        <f>IF(ISBLANK(patch[[#This Row],[project]]), "",COUNTIFS($A:$A,patch[[#This Row],[number]],$S:$S, "BJ And dev",$AC:$AC, "Review-1"))</f>
        <v>0</v>
      </c>
      <c r="X2815" s="7">
        <f>IF(ISBLANK(patch[[#This Row],[project]]), "",COUNTIFS($A:$A,patch[[#This Row],[number]],$S:$S, "FL And dev",$AC:$AC, "Review-1"))</f>
        <v>0</v>
      </c>
      <c r="Y2815" s="7">
        <f>IF(ISBLANK(patch[[#This Row],[project]]), "",COUNTIFS($A:$A,patch[[#This Row],[number]],$S:$S, "SH And dev",$AC:$AC, "Review-1"))</f>
        <v>0</v>
      </c>
      <c r="Z2815" s="7">
        <f>IF(ISBLANK(patch[[#This Row],[project]]), "",COUNTIFS($A:$A,patch[[#This Row],[number]],$S:$S, "BJ And dev",$AD:$AD, "&lt;&gt;IntegratorValidationComment"))</f>
        <v>25</v>
      </c>
      <c r="AA2815" s="7">
        <f>IF(ISBLANK(patch[[#This Row],[project]]), "",COUNTIFS($A:$A,patch[[#This Row],[number]],$S:$S, "FL And dev",$AD:$AD, "&lt;&gt;IntegratorValidationComment"))</f>
        <v>0</v>
      </c>
      <c r="AB2815" s="7">
        <f>IF(ISBLANK(patch[[#This Row],[project]]), "",COUNTIFS($A:$A,patch[[#This Row],[number]],$S:$S, "SH And dev",$AD:$AD, "&lt;&gt;IntegratorValidationComment"))</f>
        <v>0</v>
      </c>
      <c r="AC2815" s="7" t="str">
        <f>IF(OR(ISNUMBER(FIND("Review-1", patch[[#This Row],[comments]])), ISNUMBER(FIND("Approver-1", patch[[#This Row],[comments]]))), "Review-1", "")</f>
        <v/>
      </c>
      <c r="AD281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15" s="7" t="str">
        <f>IF(ISBLANK(patch[[#This Row],[number]]),AE2814,patch[[#This Row],[ifCommon]])</f>
        <v>not AndrHAL</v>
      </c>
    </row>
    <row r="2816" spans="1:31">
      <c r="A2816" s="151">
        <v>138848</v>
      </c>
      <c r="B2816" s="151"/>
      <c r="C2816" s="151"/>
      <c r="D2816" s="151"/>
      <c r="E2816" s="151"/>
      <c r="F2816" s="151"/>
      <c r="G2816" s="151"/>
      <c r="H2816" s="151"/>
      <c r="I2816" s="151"/>
      <c r="J2816" s="152">
        <v>42614.74962962963</v>
      </c>
      <c r="K2816" s="151"/>
      <c r="L2816" s="151" t="s">
        <v>75</v>
      </c>
      <c r="M2816" s="152">
        <v>42593.41747685185</v>
      </c>
      <c r="N2816" s="151" t="s">
        <v>2458</v>
      </c>
      <c r="O2816" s="151"/>
      <c r="P2816" s="151"/>
      <c r="Q2816" s="7" t="str">
        <f>IF(ISBLANK(patch[[#This Row],[OwnerEmail]]),Q2815,patch[[#This Row],[OwnerEmail]])</f>
        <v>jie.j.zhang@intel.com</v>
      </c>
      <c r="R2816" s="7" t="str">
        <f>_xlfn.IFNA(VLOOKUP(patch[[#This Row],[tmp-owner.email]],OrgTree!$A:$K, 11, 0), "not ICG SWFW")</f>
        <v>BJ And dev</v>
      </c>
      <c r="S2816" s="7" t="str">
        <f>IF(patch[[#This Row],[reviewer]]=patch[[#This Row],[tmp-owner.email]], "author", _xlfn.IFNA(VLOOKUP(patch[[#This Row],[reviewer]],OrgTree!$A:$K, 11, 0), "not ICG SWFW"))</f>
        <v>author</v>
      </c>
      <c r="T2816" s="7" t="str">
        <f>IF(ISBLANK(patch[[#This Row],[mergeDate]]), "", MID(YEAR(patch[[#This Row],[mergeDate]]), 3,2)&amp;"'ww"&amp;WEEKNUM(patch[[#This Row],[mergeDate]]))</f>
        <v>16'ww36</v>
      </c>
      <c r="U2816" s="7" t="str">
        <f>IF(ISBLANK(patch[[#This Row],[mergeDate]]), U2815, MID(YEAR(patch[[#This Row],[mergeDate]]), 3,2)&amp;"'m"&amp;MONTH(patch[[#This Row],[mergeDate]]))</f>
        <v>16'm9</v>
      </c>
      <c r="V2816" s="7" t="str">
        <f>IF(ISBLANK(patch[[#This Row],[project]]), "",SUM(patch[[#This Row],[BJ -1 num]:[SH -1 num]]))</f>
        <v/>
      </c>
      <c r="W2816" s="7" t="str">
        <f>IF(ISBLANK(patch[[#This Row],[project]]), "",COUNTIFS($A:$A,patch[[#This Row],[number]],$S:$S, "BJ And dev",$AC:$AC, "Review-1"))</f>
        <v/>
      </c>
      <c r="X2816" s="7" t="str">
        <f>IF(ISBLANK(patch[[#This Row],[project]]), "",COUNTIFS($A:$A,patch[[#This Row],[number]],$S:$S, "FL And dev",$AC:$AC, "Review-1"))</f>
        <v/>
      </c>
      <c r="Y2816" s="7" t="str">
        <f>IF(ISBLANK(patch[[#This Row],[project]]), "",COUNTIFS($A:$A,patch[[#This Row],[number]],$S:$S, "SH And dev",$AC:$AC, "Review-1"))</f>
        <v/>
      </c>
      <c r="Z2816" s="7" t="str">
        <f>IF(ISBLANK(patch[[#This Row],[project]]), "",COUNTIFS($A:$A,patch[[#This Row],[number]],$S:$S, "BJ And dev",$AD:$AD, "&lt;&gt;IntegratorValidationComment"))</f>
        <v/>
      </c>
      <c r="AA2816" s="7" t="str">
        <f>IF(ISBLANK(patch[[#This Row],[project]]), "",COUNTIFS($A:$A,patch[[#This Row],[number]],$S:$S, "FL And dev",$AD:$AD, "&lt;&gt;IntegratorValidationComment"))</f>
        <v/>
      </c>
      <c r="AB2816" s="7" t="str">
        <f>IF(ISBLANK(patch[[#This Row],[project]]), "",COUNTIFS($A:$A,patch[[#This Row],[number]],$S:$S, "SH And dev",$AD:$AD, "&lt;&gt;IntegratorValidationComment"))</f>
        <v/>
      </c>
      <c r="AC2816" s="7" t="str">
        <f>IF(OR(ISNUMBER(FIND("Review-1", patch[[#This Row],[comments]])), ISNUMBER(FIND("Approver-1", patch[[#This Row],[comments]]))), "Review-1", "")</f>
        <v/>
      </c>
      <c r="AD281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16" s="7">
        <f>IF(ISBLANK(patch[[#This Row],[number]]),AE2815,patch[[#This Row],[ifCommon]])</f>
        <v>0</v>
      </c>
    </row>
    <row r="2817" spans="1:31">
      <c r="A2817" s="151">
        <v>138848</v>
      </c>
      <c r="B2817" s="151"/>
      <c r="C2817" s="151"/>
      <c r="D2817" s="151"/>
      <c r="E2817" s="151"/>
      <c r="F2817" s="151"/>
      <c r="G2817" s="151"/>
      <c r="H2817" s="151"/>
      <c r="I2817" s="151"/>
      <c r="J2817" s="152">
        <v>42614.74962962963</v>
      </c>
      <c r="K2817" s="151"/>
      <c r="L2817" s="151" t="s">
        <v>75</v>
      </c>
      <c r="M2817" s="152">
        <v>42594.431342592587</v>
      </c>
      <c r="N2817" s="151" t="s">
        <v>2461</v>
      </c>
      <c r="O2817" s="151"/>
      <c r="P2817" s="151"/>
      <c r="Q2817" s="7" t="str">
        <f>IF(ISBLANK(patch[[#This Row],[OwnerEmail]]),Q2816,patch[[#This Row],[OwnerEmail]])</f>
        <v>jie.j.zhang@intel.com</v>
      </c>
      <c r="R2817" s="7" t="str">
        <f>_xlfn.IFNA(VLOOKUP(patch[[#This Row],[tmp-owner.email]],OrgTree!$A:$K, 11, 0), "not ICG SWFW")</f>
        <v>BJ And dev</v>
      </c>
      <c r="S2817" s="7" t="str">
        <f>IF(patch[[#This Row],[reviewer]]=patch[[#This Row],[tmp-owner.email]], "author", _xlfn.IFNA(VLOOKUP(patch[[#This Row],[reviewer]],OrgTree!$A:$K, 11, 0), "not ICG SWFW"))</f>
        <v>author</v>
      </c>
      <c r="T2817" s="7" t="str">
        <f>IF(ISBLANK(patch[[#This Row],[mergeDate]]), "", MID(YEAR(patch[[#This Row],[mergeDate]]), 3,2)&amp;"'ww"&amp;WEEKNUM(patch[[#This Row],[mergeDate]]))</f>
        <v>16'ww36</v>
      </c>
      <c r="U2817" s="7" t="str">
        <f>IF(ISBLANK(patch[[#This Row],[mergeDate]]), U2816, MID(YEAR(patch[[#This Row],[mergeDate]]), 3,2)&amp;"'m"&amp;MONTH(patch[[#This Row],[mergeDate]]))</f>
        <v>16'm9</v>
      </c>
      <c r="V2817" s="7" t="str">
        <f>IF(ISBLANK(patch[[#This Row],[project]]), "",SUM(patch[[#This Row],[BJ -1 num]:[SH -1 num]]))</f>
        <v/>
      </c>
      <c r="W2817" s="7" t="str">
        <f>IF(ISBLANK(patch[[#This Row],[project]]), "",COUNTIFS($A:$A,patch[[#This Row],[number]],$S:$S, "BJ And dev",$AC:$AC, "Review-1"))</f>
        <v/>
      </c>
      <c r="X2817" s="7" t="str">
        <f>IF(ISBLANK(patch[[#This Row],[project]]), "",COUNTIFS($A:$A,patch[[#This Row],[number]],$S:$S, "FL And dev",$AC:$AC, "Review-1"))</f>
        <v/>
      </c>
      <c r="Y2817" s="7" t="str">
        <f>IF(ISBLANK(patch[[#This Row],[project]]), "",COUNTIFS($A:$A,patch[[#This Row],[number]],$S:$S, "SH And dev",$AC:$AC, "Review-1"))</f>
        <v/>
      </c>
      <c r="Z2817" s="7" t="str">
        <f>IF(ISBLANK(patch[[#This Row],[project]]), "",COUNTIFS($A:$A,patch[[#This Row],[number]],$S:$S, "BJ And dev",$AD:$AD, "&lt;&gt;IntegratorValidationComment"))</f>
        <v/>
      </c>
      <c r="AA2817" s="7" t="str">
        <f>IF(ISBLANK(patch[[#This Row],[project]]), "",COUNTIFS($A:$A,patch[[#This Row],[number]],$S:$S, "FL And dev",$AD:$AD, "&lt;&gt;IntegratorValidationComment"))</f>
        <v/>
      </c>
      <c r="AB2817" s="7" t="str">
        <f>IF(ISBLANK(patch[[#This Row],[project]]), "",COUNTIFS($A:$A,patch[[#This Row],[number]],$S:$S, "SH And dev",$AD:$AD, "&lt;&gt;IntegratorValidationComment"))</f>
        <v/>
      </c>
      <c r="AC2817" s="7" t="str">
        <f>IF(OR(ISNUMBER(FIND("Review-1", patch[[#This Row],[comments]])), ISNUMBER(FIND("Approver-1", patch[[#This Row],[comments]]))), "Review-1", "")</f>
        <v/>
      </c>
      <c r="AD281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17" s="7">
        <f>IF(ISBLANK(patch[[#This Row],[number]]),AE2816,patch[[#This Row],[ifCommon]])</f>
        <v>0</v>
      </c>
    </row>
    <row r="2818" spans="1:31">
      <c r="A2818" s="151">
        <v>138848</v>
      </c>
      <c r="B2818" s="151"/>
      <c r="C2818" s="151"/>
      <c r="D2818" s="151"/>
      <c r="E2818" s="151"/>
      <c r="F2818" s="151"/>
      <c r="G2818" s="151"/>
      <c r="H2818" s="151"/>
      <c r="I2818" s="151"/>
      <c r="J2818" s="152">
        <v>42614.74962962963</v>
      </c>
      <c r="K2818" s="151"/>
      <c r="L2818" s="151" t="s">
        <v>75</v>
      </c>
      <c r="M2818" s="152">
        <v>42594.431342592587</v>
      </c>
      <c r="N2818" s="151" t="s">
        <v>29</v>
      </c>
      <c r="O2818" s="151"/>
      <c r="P2818" s="151"/>
      <c r="Q2818" s="7" t="str">
        <f>IF(ISBLANK(patch[[#This Row],[OwnerEmail]]),Q2817,patch[[#This Row],[OwnerEmail]])</f>
        <v>jie.j.zhang@intel.com</v>
      </c>
      <c r="R2818" s="7" t="str">
        <f>_xlfn.IFNA(VLOOKUP(patch[[#This Row],[tmp-owner.email]],OrgTree!$A:$K, 11, 0), "not ICG SWFW")</f>
        <v>BJ And dev</v>
      </c>
      <c r="S2818" s="7" t="str">
        <f>IF(patch[[#This Row],[reviewer]]=patch[[#This Row],[tmp-owner.email]], "author", _xlfn.IFNA(VLOOKUP(patch[[#This Row],[reviewer]],OrgTree!$A:$K, 11, 0), "not ICG SWFW"))</f>
        <v>author</v>
      </c>
      <c r="T2818" s="7" t="str">
        <f>IF(ISBLANK(patch[[#This Row],[mergeDate]]), "", MID(YEAR(patch[[#This Row],[mergeDate]]), 3,2)&amp;"'ww"&amp;WEEKNUM(patch[[#This Row],[mergeDate]]))</f>
        <v>16'ww36</v>
      </c>
      <c r="U2818" s="7" t="str">
        <f>IF(ISBLANK(patch[[#This Row],[mergeDate]]), U2817, MID(YEAR(patch[[#This Row],[mergeDate]]), 3,2)&amp;"'m"&amp;MONTH(patch[[#This Row],[mergeDate]]))</f>
        <v>16'm9</v>
      </c>
      <c r="V2818" s="7" t="str">
        <f>IF(ISBLANK(patch[[#This Row],[project]]), "",SUM(patch[[#This Row],[BJ -1 num]:[SH -1 num]]))</f>
        <v/>
      </c>
      <c r="W2818" s="7" t="str">
        <f>IF(ISBLANK(patch[[#This Row],[project]]), "",COUNTIFS($A:$A,patch[[#This Row],[number]],$S:$S, "BJ And dev",$AC:$AC, "Review-1"))</f>
        <v/>
      </c>
      <c r="X2818" s="7" t="str">
        <f>IF(ISBLANK(patch[[#This Row],[project]]), "",COUNTIFS($A:$A,patch[[#This Row],[number]],$S:$S, "FL And dev",$AC:$AC, "Review-1"))</f>
        <v/>
      </c>
      <c r="Y2818" s="7" t="str">
        <f>IF(ISBLANK(patch[[#This Row],[project]]), "",COUNTIFS($A:$A,patch[[#This Row],[number]],$S:$S, "SH And dev",$AC:$AC, "Review-1"))</f>
        <v/>
      </c>
      <c r="Z2818" s="7" t="str">
        <f>IF(ISBLANK(patch[[#This Row],[project]]), "",COUNTIFS($A:$A,patch[[#This Row],[number]],$S:$S, "BJ And dev",$AD:$AD, "&lt;&gt;IntegratorValidationComment"))</f>
        <v/>
      </c>
      <c r="AA2818" s="7" t="str">
        <f>IF(ISBLANK(patch[[#This Row],[project]]), "",COUNTIFS($A:$A,patch[[#This Row],[number]],$S:$S, "FL And dev",$AD:$AD, "&lt;&gt;IntegratorValidationComment"))</f>
        <v/>
      </c>
      <c r="AB2818" s="7" t="str">
        <f>IF(ISBLANK(patch[[#This Row],[project]]), "",COUNTIFS($A:$A,patch[[#This Row],[number]],$S:$S, "SH And dev",$AD:$AD, "&lt;&gt;IntegratorValidationComment"))</f>
        <v/>
      </c>
      <c r="AC2818" s="7" t="str">
        <f>IF(OR(ISNUMBER(FIND("Review-1", patch[[#This Row],[comments]])), ISNUMBER(FIND("Approver-1", patch[[#This Row],[comments]]))), "Review-1", "")</f>
        <v/>
      </c>
      <c r="AD281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18" s="7">
        <f>IF(ISBLANK(patch[[#This Row],[number]]),AE2817,patch[[#This Row],[ifCommon]])</f>
        <v>0</v>
      </c>
    </row>
    <row r="2819" spans="1:31">
      <c r="A2819" s="151">
        <v>138848</v>
      </c>
      <c r="B2819" s="151"/>
      <c r="C2819" s="151"/>
      <c r="D2819" s="151"/>
      <c r="E2819" s="151"/>
      <c r="F2819" s="151"/>
      <c r="G2819" s="151"/>
      <c r="H2819" s="151"/>
      <c r="I2819" s="151"/>
      <c r="J2819" s="152">
        <v>42614.74962962963</v>
      </c>
      <c r="K2819" s="151"/>
      <c r="L2819" s="151" t="s">
        <v>1292</v>
      </c>
      <c r="M2819" s="152">
        <v>42605.779687499999</v>
      </c>
      <c r="N2819" s="151" t="s">
        <v>1829</v>
      </c>
      <c r="O2819" s="151"/>
      <c r="P2819" s="151"/>
      <c r="Q2819" s="7" t="str">
        <f>IF(ISBLANK(patch[[#This Row],[OwnerEmail]]),Q2818,patch[[#This Row],[OwnerEmail]])</f>
        <v>jie.j.zhang@intel.com</v>
      </c>
      <c r="R2819" s="7" t="str">
        <f>_xlfn.IFNA(VLOOKUP(patch[[#This Row],[tmp-owner.email]],OrgTree!$A:$K, 11, 0), "not ICG SWFW")</f>
        <v>BJ And dev</v>
      </c>
      <c r="S2819" s="7" t="str">
        <f>IF(patch[[#This Row],[reviewer]]=patch[[#This Row],[tmp-owner.email]], "author", _xlfn.IFNA(VLOOKUP(patch[[#This Row],[reviewer]],OrgTree!$A:$K, 11, 0), "not ICG SWFW"))</f>
        <v>BJ And dev</v>
      </c>
      <c r="T2819" s="7" t="str">
        <f>IF(ISBLANK(patch[[#This Row],[mergeDate]]), "", MID(YEAR(patch[[#This Row],[mergeDate]]), 3,2)&amp;"'ww"&amp;WEEKNUM(patch[[#This Row],[mergeDate]]))</f>
        <v>16'ww36</v>
      </c>
      <c r="U2819" s="7" t="str">
        <f>IF(ISBLANK(patch[[#This Row],[mergeDate]]), U2818, MID(YEAR(patch[[#This Row],[mergeDate]]), 3,2)&amp;"'m"&amp;MONTH(patch[[#This Row],[mergeDate]]))</f>
        <v>16'm9</v>
      </c>
      <c r="V2819" s="7" t="str">
        <f>IF(ISBLANK(patch[[#This Row],[project]]), "",SUM(patch[[#This Row],[BJ -1 num]:[SH -1 num]]))</f>
        <v/>
      </c>
      <c r="W2819" s="7" t="str">
        <f>IF(ISBLANK(patch[[#This Row],[project]]), "",COUNTIFS($A:$A,patch[[#This Row],[number]],$S:$S, "BJ And dev",$AC:$AC, "Review-1"))</f>
        <v/>
      </c>
      <c r="X2819" s="7" t="str">
        <f>IF(ISBLANK(patch[[#This Row],[project]]), "",COUNTIFS($A:$A,patch[[#This Row],[number]],$S:$S, "FL And dev",$AC:$AC, "Review-1"))</f>
        <v/>
      </c>
      <c r="Y2819" s="7" t="str">
        <f>IF(ISBLANK(patch[[#This Row],[project]]), "",COUNTIFS($A:$A,patch[[#This Row],[number]],$S:$S, "SH And dev",$AC:$AC, "Review-1"))</f>
        <v/>
      </c>
      <c r="Z2819" s="7" t="str">
        <f>IF(ISBLANK(patch[[#This Row],[project]]), "",COUNTIFS($A:$A,patch[[#This Row],[number]],$S:$S, "BJ And dev",$AD:$AD, "&lt;&gt;IntegratorValidationComment"))</f>
        <v/>
      </c>
      <c r="AA2819" s="7" t="str">
        <f>IF(ISBLANK(patch[[#This Row],[project]]), "",COUNTIFS($A:$A,patch[[#This Row],[number]],$S:$S, "FL And dev",$AD:$AD, "&lt;&gt;IntegratorValidationComment"))</f>
        <v/>
      </c>
      <c r="AB2819" s="7" t="str">
        <f>IF(ISBLANK(patch[[#This Row],[project]]), "",COUNTIFS($A:$A,patch[[#This Row],[number]],$S:$S, "SH And dev",$AD:$AD, "&lt;&gt;IntegratorValidationComment"))</f>
        <v/>
      </c>
      <c r="AC2819" s="7" t="str">
        <f>IF(OR(ISNUMBER(FIND("Review-1", patch[[#This Row],[comments]])), ISNUMBER(FIND("Approver-1", patch[[#This Row],[comments]]))), "Review-1", "")</f>
        <v/>
      </c>
      <c r="AD281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19" s="7">
        <f>IF(ISBLANK(patch[[#This Row],[number]]),AE2818,patch[[#This Row],[ifCommon]])</f>
        <v>0</v>
      </c>
    </row>
    <row r="2820" spans="1:31">
      <c r="A2820" s="151">
        <v>138848</v>
      </c>
      <c r="B2820" s="151"/>
      <c r="C2820" s="151"/>
      <c r="D2820" s="151"/>
      <c r="E2820" s="151"/>
      <c r="F2820" s="151"/>
      <c r="G2820" s="151"/>
      <c r="H2820" s="151"/>
      <c r="I2820" s="151"/>
      <c r="J2820" s="152">
        <v>42614.74962962963</v>
      </c>
      <c r="K2820" s="151"/>
      <c r="L2820" s="151" t="s">
        <v>1292</v>
      </c>
      <c r="M2820" s="152">
        <v>42605.779687499999</v>
      </c>
      <c r="N2820" s="151" t="s">
        <v>2450</v>
      </c>
      <c r="O2820" s="151"/>
      <c r="P2820" s="151"/>
      <c r="Q2820" s="7" t="str">
        <f>IF(ISBLANK(patch[[#This Row],[OwnerEmail]]),Q2819,patch[[#This Row],[OwnerEmail]])</f>
        <v>jie.j.zhang@intel.com</v>
      </c>
      <c r="R2820" s="7" t="str">
        <f>_xlfn.IFNA(VLOOKUP(patch[[#This Row],[tmp-owner.email]],OrgTree!$A:$K, 11, 0), "not ICG SWFW")</f>
        <v>BJ And dev</v>
      </c>
      <c r="S2820" s="7" t="str">
        <f>IF(patch[[#This Row],[reviewer]]=patch[[#This Row],[tmp-owner.email]], "author", _xlfn.IFNA(VLOOKUP(patch[[#This Row],[reviewer]],OrgTree!$A:$K, 11, 0), "not ICG SWFW"))</f>
        <v>BJ And dev</v>
      </c>
      <c r="T2820" s="7" t="str">
        <f>IF(ISBLANK(patch[[#This Row],[mergeDate]]), "", MID(YEAR(patch[[#This Row],[mergeDate]]), 3,2)&amp;"'ww"&amp;WEEKNUM(patch[[#This Row],[mergeDate]]))</f>
        <v>16'ww36</v>
      </c>
      <c r="U2820" s="7" t="str">
        <f>IF(ISBLANK(patch[[#This Row],[mergeDate]]), U2819, MID(YEAR(patch[[#This Row],[mergeDate]]), 3,2)&amp;"'m"&amp;MONTH(patch[[#This Row],[mergeDate]]))</f>
        <v>16'm9</v>
      </c>
      <c r="V2820" s="7" t="str">
        <f>IF(ISBLANK(patch[[#This Row],[project]]), "",SUM(patch[[#This Row],[BJ -1 num]:[SH -1 num]]))</f>
        <v/>
      </c>
      <c r="W2820" s="7" t="str">
        <f>IF(ISBLANK(patch[[#This Row],[project]]), "",COUNTIFS($A:$A,patch[[#This Row],[number]],$S:$S, "BJ And dev",$AC:$AC, "Review-1"))</f>
        <v/>
      </c>
      <c r="X2820" s="7" t="str">
        <f>IF(ISBLANK(patch[[#This Row],[project]]), "",COUNTIFS($A:$A,patch[[#This Row],[number]],$S:$S, "FL And dev",$AC:$AC, "Review-1"))</f>
        <v/>
      </c>
      <c r="Y2820" s="7" t="str">
        <f>IF(ISBLANK(patch[[#This Row],[project]]), "",COUNTIFS($A:$A,patch[[#This Row],[number]],$S:$S, "SH And dev",$AC:$AC, "Review-1"))</f>
        <v/>
      </c>
      <c r="Z2820" s="7" t="str">
        <f>IF(ISBLANK(patch[[#This Row],[project]]), "",COUNTIFS($A:$A,patch[[#This Row],[number]],$S:$S, "BJ And dev",$AD:$AD, "&lt;&gt;IntegratorValidationComment"))</f>
        <v/>
      </c>
      <c r="AA2820" s="7" t="str">
        <f>IF(ISBLANK(patch[[#This Row],[project]]), "",COUNTIFS($A:$A,patch[[#This Row],[number]],$S:$S, "FL And dev",$AD:$AD, "&lt;&gt;IntegratorValidationComment"))</f>
        <v/>
      </c>
      <c r="AB2820" s="7" t="str">
        <f>IF(ISBLANK(patch[[#This Row],[project]]), "",COUNTIFS($A:$A,patch[[#This Row],[number]],$S:$S, "SH And dev",$AD:$AD, "&lt;&gt;IntegratorValidationComment"))</f>
        <v/>
      </c>
      <c r="AC2820" s="7" t="str">
        <f>IF(OR(ISNUMBER(FIND("Review-1", patch[[#This Row],[comments]])), ISNUMBER(FIND("Approver-1", patch[[#This Row],[comments]]))), "Review-1", "")</f>
        <v/>
      </c>
      <c r="AD282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20" s="7">
        <f>IF(ISBLANK(patch[[#This Row],[number]]),AE2819,patch[[#This Row],[ifCommon]])</f>
        <v>0</v>
      </c>
    </row>
    <row r="2821" spans="1:31">
      <c r="A2821" s="151">
        <v>138848</v>
      </c>
      <c r="B2821" s="151"/>
      <c r="C2821" s="151"/>
      <c r="D2821" s="151"/>
      <c r="E2821" s="151"/>
      <c r="F2821" s="151"/>
      <c r="G2821" s="151"/>
      <c r="H2821" s="151"/>
      <c r="I2821" s="151"/>
      <c r="J2821" s="152">
        <v>42614.74962962963</v>
      </c>
      <c r="K2821" s="151"/>
      <c r="L2821" s="151" t="s">
        <v>1292</v>
      </c>
      <c r="M2821" s="152">
        <v>42605.782569444447</v>
      </c>
      <c r="N2821" s="151" t="s">
        <v>48</v>
      </c>
      <c r="O2821" s="151"/>
      <c r="P2821" s="151"/>
      <c r="Q2821" s="7" t="str">
        <f>IF(ISBLANK(patch[[#This Row],[OwnerEmail]]),Q2820,patch[[#This Row],[OwnerEmail]])</f>
        <v>jie.j.zhang@intel.com</v>
      </c>
      <c r="R2821" s="7" t="str">
        <f>_xlfn.IFNA(VLOOKUP(patch[[#This Row],[tmp-owner.email]],OrgTree!$A:$K, 11, 0), "not ICG SWFW")</f>
        <v>BJ And dev</v>
      </c>
      <c r="S2821" s="7" t="str">
        <f>IF(patch[[#This Row],[reviewer]]=patch[[#This Row],[tmp-owner.email]], "author", _xlfn.IFNA(VLOOKUP(patch[[#This Row],[reviewer]],OrgTree!$A:$K, 11, 0), "not ICG SWFW"))</f>
        <v>BJ And dev</v>
      </c>
      <c r="T2821" s="7" t="str">
        <f>IF(ISBLANK(patch[[#This Row],[mergeDate]]), "", MID(YEAR(patch[[#This Row],[mergeDate]]), 3,2)&amp;"'ww"&amp;WEEKNUM(patch[[#This Row],[mergeDate]]))</f>
        <v>16'ww36</v>
      </c>
      <c r="U2821" s="7" t="str">
        <f>IF(ISBLANK(patch[[#This Row],[mergeDate]]), U2820, MID(YEAR(patch[[#This Row],[mergeDate]]), 3,2)&amp;"'m"&amp;MONTH(patch[[#This Row],[mergeDate]]))</f>
        <v>16'm9</v>
      </c>
      <c r="V2821" s="7" t="str">
        <f>IF(ISBLANK(patch[[#This Row],[project]]), "",SUM(patch[[#This Row],[BJ -1 num]:[SH -1 num]]))</f>
        <v/>
      </c>
      <c r="W2821" s="7" t="str">
        <f>IF(ISBLANK(patch[[#This Row],[project]]), "",COUNTIFS($A:$A,patch[[#This Row],[number]],$S:$S, "BJ And dev",$AC:$AC, "Review-1"))</f>
        <v/>
      </c>
      <c r="X2821" s="7" t="str">
        <f>IF(ISBLANK(patch[[#This Row],[project]]), "",COUNTIFS($A:$A,patch[[#This Row],[number]],$S:$S, "FL And dev",$AC:$AC, "Review-1"))</f>
        <v/>
      </c>
      <c r="Y2821" s="7" t="str">
        <f>IF(ISBLANK(patch[[#This Row],[project]]), "",COUNTIFS($A:$A,patch[[#This Row],[number]],$S:$S, "SH And dev",$AC:$AC, "Review-1"))</f>
        <v/>
      </c>
      <c r="Z2821" s="7" t="str">
        <f>IF(ISBLANK(patch[[#This Row],[project]]), "",COUNTIFS($A:$A,patch[[#This Row],[number]],$S:$S, "BJ And dev",$AD:$AD, "&lt;&gt;IntegratorValidationComment"))</f>
        <v/>
      </c>
      <c r="AA2821" s="7" t="str">
        <f>IF(ISBLANK(patch[[#This Row],[project]]), "",COUNTIFS($A:$A,patch[[#This Row],[number]],$S:$S, "FL And dev",$AD:$AD, "&lt;&gt;IntegratorValidationComment"))</f>
        <v/>
      </c>
      <c r="AB2821" s="7" t="str">
        <f>IF(ISBLANK(patch[[#This Row],[project]]), "",COUNTIFS($A:$A,patch[[#This Row],[number]],$S:$S, "SH And dev",$AD:$AD, "&lt;&gt;IntegratorValidationComment"))</f>
        <v/>
      </c>
      <c r="AC2821" s="7" t="str">
        <f>IF(OR(ISNUMBER(FIND("Review-1", patch[[#This Row],[comments]])), ISNUMBER(FIND("Approver-1", patch[[#This Row],[comments]]))), "Review-1", "")</f>
        <v/>
      </c>
      <c r="AD282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21" s="7">
        <f>IF(ISBLANK(patch[[#This Row],[number]]),AE2820,patch[[#This Row],[ifCommon]])</f>
        <v>0</v>
      </c>
    </row>
    <row r="2822" spans="1:31">
      <c r="A2822" s="151">
        <v>138848</v>
      </c>
      <c r="B2822" s="151"/>
      <c r="C2822" s="151"/>
      <c r="D2822" s="151"/>
      <c r="E2822" s="151"/>
      <c r="F2822" s="151"/>
      <c r="G2822" s="151"/>
      <c r="H2822" s="151"/>
      <c r="I2822" s="151"/>
      <c r="J2822" s="152">
        <v>42614.74962962963</v>
      </c>
      <c r="K2822" s="151"/>
      <c r="L2822" s="151" t="s">
        <v>59</v>
      </c>
      <c r="M2822" s="152">
        <v>42605.785925925928</v>
      </c>
      <c r="N2822" s="151" t="s">
        <v>4006</v>
      </c>
      <c r="O2822" s="151"/>
      <c r="P2822" s="151"/>
      <c r="Q2822" s="7" t="str">
        <f>IF(ISBLANK(patch[[#This Row],[OwnerEmail]]),Q2821,patch[[#This Row],[OwnerEmail]])</f>
        <v>jie.j.zhang@intel.com</v>
      </c>
      <c r="R2822" s="7" t="str">
        <f>_xlfn.IFNA(VLOOKUP(patch[[#This Row],[tmp-owner.email]],OrgTree!$A:$K, 11, 0), "not ICG SWFW")</f>
        <v>BJ And dev</v>
      </c>
      <c r="S2822" s="7" t="str">
        <f>IF(patch[[#This Row],[reviewer]]=patch[[#This Row],[tmp-owner.email]], "author", _xlfn.IFNA(VLOOKUP(patch[[#This Row],[reviewer]],OrgTree!$A:$K, 11, 0), "not ICG SWFW"))</f>
        <v>BJ And dev</v>
      </c>
      <c r="T2822" s="7" t="str">
        <f>IF(ISBLANK(patch[[#This Row],[mergeDate]]), "", MID(YEAR(patch[[#This Row],[mergeDate]]), 3,2)&amp;"'ww"&amp;WEEKNUM(patch[[#This Row],[mergeDate]]))</f>
        <v>16'ww36</v>
      </c>
      <c r="U2822" s="7" t="str">
        <f>IF(ISBLANK(patch[[#This Row],[mergeDate]]), U2821, MID(YEAR(patch[[#This Row],[mergeDate]]), 3,2)&amp;"'m"&amp;MONTH(patch[[#This Row],[mergeDate]]))</f>
        <v>16'm9</v>
      </c>
      <c r="V2822" s="7" t="str">
        <f>IF(ISBLANK(patch[[#This Row],[project]]), "",SUM(patch[[#This Row],[BJ -1 num]:[SH -1 num]]))</f>
        <v/>
      </c>
      <c r="W2822" s="7" t="str">
        <f>IF(ISBLANK(patch[[#This Row],[project]]), "",COUNTIFS($A:$A,patch[[#This Row],[number]],$S:$S, "BJ And dev",$AC:$AC, "Review-1"))</f>
        <v/>
      </c>
      <c r="X2822" s="7" t="str">
        <f>IF(ISBLANK(patch[[#This Row],[project]]), "",COUNTIFS($A:$A,patch[[#This Row],[number]],$S:$S, "FL And dev",$AC:$AC, "Review-1"))</f>
        <v/>
      </c>
      <c r="Y2822" s="7" t="str">
        <f>IF(ISBLANK(patch[[#This Row],[project]]), "",COUNTIFS($A:$A,patch[[#This Row],[number]],$S:$S, "SH And dev",$AC:$AC, "Review-1"))</f>
        <v/>
      </c>
      <c r="Z2822" s="7" t="str">
        <f>IF(ISBLANK(patch[[#This Row],[project]]), "",COUNTIFS($A:$A,patch[[#This Row],[number]],$S:$S, "BJ And dev",$AD:$AD, "&lt;&gt;IntegratorValidationComment"))</f>
        <v/>
      </c>
      <c r="AA2822" s="7" t="str">
        <f>IF(ISBLANK(patch[[#This Row],[project]]), "",COUNTIFS($A:$A,patch[[#This Row],[number]],$S:$S, "FL And dev",$AD:$AD, "&lt;&gt;IntegratorValidationComment"))</f>
        <v/>
      </c>
      <c r="AB2822" s="7" t="str">
        <f>IF(ISBLANK(patch[[#This Row],[project]]), "",COUNTIFS($A:$A,patch[[#This Row],[number]],$S:$S, "SH And dev",$AD:$AD, "&lt;&gt;IntegratorValidationComment"))</f>
        <v/>
      </c>
      <c r="AC2822" s="7" t="str">
        <f>IF(OR(ISNUMBER(FIND("Review-1", patch[[#This Row],[comments]])), ISNUMBER(FIND("Approver-1", patch[[#This Row],[comments]]))), "Review-1", "")</f>
        <v/>
      </c>
      <c r="AD282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22" s="7">
        <f>IF(ISBLANK(patch[[#This Row],[number]]),AE2821,patch[[#This Row],[ifCommon]])</f>
        <v>0</v>
      </c>
    </row>
    <row r="2823" spans="1:31">
      <c r="A2823" s="151">
        <v>138848</v>
      </c>
      <c r="B2823" s="151"/>
      <c r="C2823" s="151"/>
      <c r="D2823" s="151"/>
      <c r="E2823" s="151"/>
      <c r="F2823" s="151"/>
      <c r="G2823" s="151"/>
      <c r="H2823" s="151"/>
      <c r="I2823" s="151"/>
      <c r="J2823" s="152">
        <v>42614.74962962963</v>
      </c>
      <c r="K2823" s="151"/>
      <c r="L2823" s="151" t="s">
        <v>1292</v>
      </c>
      <c r="M2823" s="152">
        <v>42606.594097222223</v>
      </c>
      <c r="N2823" s="151" t="s">
        <v>2451</v>
      </c>
      <c r="O2823" s="151"/>
      <c r="P2823" s="151"/>
      <c r="Q2823" s="7" t="str">
        <f>IF(ISBLANK(patch[[#This Row],[OwnerEmail]]),Q2822,patch[[#This Row],[OwnerEmail]])</f>
        <v>jie.j.zhang@intel.com</v>
      </c>
      <c r="R2823" s="7" t="str">
        <f>_xlfn.IFNA(VLOOKUP(patch[[#This Row],[tmp-owner.email]],OrgTree!$A:$K, 11, 0), "not ICG SWFW")</f>
        <v>BJ And dev</v>
      </c>
      <c r="S2823" s="7" t="str">
        <f>IF(patch[[#This Row],[reviewer]]=patch[[#This Row],[tmp-owner.email]], "author", _xlfn.IFNA(VLOOKUP(patch[[#This Row],[reviewer]],OrgTree!$A:$K, 11, 0), "not ICG SWFW"))</f>
        <v>BJ And dev</v>
      </c>
      <c r="T2823" s="7" t="str">
        <f>IF(ISBLANK(patch[[#This Row],[mergeDate]]), "", MID(YEAR(patch[[#This Row],[mergeDate]]), 3,2)&amp;"'ww"&amp;WEEKNUM(patch[[#This Row],[mergeDate]]))</f>
        <v>16'ww36</v>
      </c>
      <c r="U2823" s="7" t="str">
        <f>IF(ISBLANK(patch[[#This Row],[mergeDate]]), U2822, MID(YEAR(patch[[#This Row],[mergeDate]]), 3,2)&amp;"'m"&amp;MONTH(patch[[#This Row],[mergeDate]]))</f>
        <v>16'm9</v>
      </c>
      <c r="V2823" s="7" t="str">
        <f>IF(ISBLANK(patch[[#This Row],[project]]), "",SUM(patch[[#This Row],[BJ -1 num]:[SH -1 num]]))</f>
        <v/>
      </c>
      <c r="W2823" s="7" t="str">
        <f>IF(ISBLANK(patch[[#This Row],[project]]), "",COUNTIFS($A:$A,patch[[#This Row],[number]],$S:$S, "BJ And dev",$AC:$AC, "Review-1"))</f>
        <v/>
      </c>
      <c r="X2823" s="7" t="str">
        <f>IF(ISBLANK(patch[[#This Row],[project]]), "",COUNTIFS($A:$A,patch[[#This Row],[number]],$S:$S, "FL And dev",$AC:$AC, "Review-1"))</f>
        <v/>
      </c>
      <c r="Y2823" s="7" t="str">
        <f>IF(ISBLANK(patch[[#This Row],[project]]), "",COUNTIFS($A:$A,patch[[#This Row],[number]],$S:$S, "SH And dev",$AC:$AC, "Review-1"))</f>
        <v/>
      </c>
      <c r="Z2823" s="7" t="str">
        <f>IF(ISBLANK(patch[[#This Row],[project]]), "",COUNTIFS($A:$A,patch[[#This Row],[number]],$S:$S, "BJ And dev",$AD:$AD, "&lt;&gt;IntegratorValidationComment"))</f>
        <v/>
      </c>
      <c r="AA2823" s="7" t="str">
        <f>IF(ISBLANK(patch[[#This Row],[project]]), "",COUNTIFS($A:$A,patch[[#This Row],[number]],$S:$S, "FL And dev",$AD:$AD, "&lt;&gt;IntegratorValidationComment"))</f>
        <v/>
      </c>
      <c r="AB2823" s="7" t="str">
        <f>IF(ISBLANK(patch[[#This Row],[project]]), "",COUNTIFS($A:$A,patch[[#This Row],[number]],$S:$S, "SH And dev",$AD:$AD, "&lt;&gt;IntegratorValidationComment"))</f>
        <v/>
      </c>
      <c r="AC2823" s="7" t="str">
        <f>IF(OR(ISNUMBER(FIND("Review-1", patch[[#This Row],[comments]])), ISNUMBER(FIND("Approver-1", patch[[#This Row],[comments]]))), "Review-1", "")</f>
        <v/>
      </c>
      <c r="AD282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23" s="7">
        <f>IF(ISBLANK(patch[[#This Row],[number]]),AE2822,patch[[#This Row],[ifCommon]])</f>
        <v>0</v>
      </c>
    </row>
    <row r="2824" spans="1:31">
      <c r="A2824" s="151">
        <v>138848</v>
      </c>
      <c r="B2824" s="151"/>
      <c r="C2824" s="151"/>
      <c r="D2824" s="151"/>
      <c r="E2824" s="151"/>
      <c r="F2824" s="151"/>
      <c r="G2824" s="151"/>
      <c r="H2824" s="151"/>
      <c r="I2824" s="151"/>
      <c r="J2824" s="152">
        <v>42614.74962962963</v>
      </c>
      <c r="K2824" s="151"/>
      <c r="L2824" s="151" t="s">
        <v>1292</v>
      </c>
      <c r="M2824" s="152">
        <v>42606.594097222223</v>
      </c>
      <c r="N2824" s="151" t="s">
        <v>49</v>
      </c>
      <c r="O2824" s="151"/>
      <c r="P2824" s="151"/>
      <c r="Q2824" s="7" t="str">
        <f>IF(ISBLANK(patch[[#This Row],[OwnerEmail]]),Q2823,patch[[#This Row],[OwnerEmail]])</f>
        <v>jie.j.zhang@intel.com</v>
      </c>
      <c r="R2824" s="7" t="str">
        <f>_xlfn.IFNA(VLOOKUP(patch[[#This Row],[tmp-owner.email]],OrgTree!$A:$K, 11, 0), "not ICG SWFW")</f>
        <v>BJ And dev</v>
      </c>
      <c r="S2824" s="7" t="str">
        <f>IF(patch[[#This Row],[reviewer]]=patch[[#This Row],[tmp-owner.email]], "author", _xlfn.IFNA(VLOOKUP(patch[[#This Row],[reviewer]],OrgTree!$A:$K, 11, 0), "not ICG SWFW"))</f>
        <v>BJ And dev</v>
      </c>
      <c r="T2824" s="7" t="str">
        <f>IF(ISBLANK(patch[[#This Row],[mergeDate]]), "", MID(YEAR(patch[[#This Row],[mergeDate]]), 3,2)&amp;"'ww"&amp;WEEKNUM(patch[[#This Row],[mergeDate]]))</f>
        <v>16'ww36</v>
      </c>
      <c r="U2824" s="7" t="str">
        <f>IF(ISBLANK(patch[[#This Row],[mergeDate]]), U2823, MID(YEAR(patch[[#This Row],[mergeDate]]), 3,2)&amp;"'m"&amp;MONTH(patch[[#This Row],[mergeDate]]))</f>
        <v>16'm9</v>
      </c>
      <c r="V2824" s="7" t="str">
        <f>IF(ISBLANK(patch[[#This Row],[project]]), "",SUM(patch[[#This Row],[BJ -1 num]:[SH -1 num]]))</f>
        <v/>
      </c>
      <c r="W2824" s="7" t="str">
        <f>IF(ISBLANK(patch[[#This Row],[project]]), "",COUNTIFS($A:$A,patch[[#This Row],[number]],$S:$S, "BJ And dev",$AC:$AC, "Review-1"))</f>
        <v/>
      </c>
      <c r="X2824" s="7" t="str">
        <f>IF(ISBLANK(patch[[#This Row],[project]]), "",COUNTIFS($A:$A,patch[[#This Row],[number]],$S:$S, "FL And dev",$AC:$AC, "Review-1"))</f>
        <v/>
      </c>
      <c r="Y2824" s="7" t="str">
        <f>IF(ISBLANK(patch[[#This Row],[project]]), "",COUNTIFS($A:$A,patch[[#This Row],[number]],$S:$S, "SH And dev",$AC:$AC, "Review-1"))</f>
        <v/>
      </c>
      <c r="Z2824" s="7" t="str">
        <f>IF(ISBLANK(patch[[#This Row],[project]]), "",COUNTIFS($A:$A,patch[[#This Row],[number]],$S:$S, "BJ And dev",$AD:$AD, "&lt;&gt;IntegratorValidationComment"))</f>
        <v/>
      </c>
      <c r="AA2824" s="7" t="str">
        <f>IF(ISBLANK(patch[[#This Row],[project]]), "",COUNTIFS($A:$A,patch[[#This Row],[number]],$S:$S, "FL And dev",$AD:$AD, "&lt;&gt;IntegratorValidationComment"))</f>
        <v/>
      </c>
      <c r="AB2824" s="7" t="str">
        <f>IF(ISBLANK(patch[[#This Row],[project]]), "",COUNTIFS($A:$A,patch[[#This Row],[number]],$S:$S, "SH And dev",$AD:$AD, "&lt;&gt;IntegratorValidationComment"))</f>
        <v/>
      </c>
      <c r="AC2824" s="7" t="str">
        <f>IF(OR(ISNUMBER(FIND("Review-1", patch[[#This Row],[comments]])), ISNUMBER(FIND("Approver-1", patch[[#This Row],[comments]]))), "Review-1", "")</f>
        <v/>
      </c>
      <c r="AD282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24" s="7">
        <f>IF(ISBLANK(patch[[#This Row],[number]]),AE2823,patch[[#This Row],[ifCommon]])</f>
        <v>0</v>
      </c>
    </row>
    <row r="2825" spans="1:31">
      <c r="A2825" s="151">
        <v>138848</v>
      </c>
      <c r="B2825" s="151"/>
      <c r="C2825" s="151"/>
      <c r="D2825" s="151"/>
      <c r="E2825" s="151"/>
      <c r="F2825" s="151"/>
      <c r="G2825" s="151"/>
      <c r="H2825" s="151"/>
      <c r="I2825" s="151"/>
      <c r="J2825" s="152">
        <v>42614.74962962963</v>
      </c>
      <c r="K2825" s="151"/>
      <c r="L2825" s="151" t="s">
        <v>1292</v>
      </c>
      <c r="M2825" s="152">
        <v>42606.594351851847</v>
      </c>
      <c r="N2825" s="151" t="s">
        <v>31</v>
      </c>
      <c r="O2825" s="151"/>
      <c r="P2825" s="151"/>
      <c r="Q2825" s="7" t="str">
        <f>IF(ISBLANK(patch[[#This Row],[OwnerEmail]]),Q2824,patch[[#This Row],[OwnerEmail]])</f>
        <v>jie.j.zhang@intel.com</v>
      </c>
      <c r="R2825" s="7" t="str">
        <f>_xlfn.IFNA(VLOOKUP(patch[[#This Row],[tmp-owner.email]],OrgTree!$A:$K, 11, 0), "not ICG SWFW")</f>
        <v>BJ And dev</v>
      </c>
      <c r="S2825" s="7" t="str">
        <f>IF(patch[[#This Row],[reviewer]]=patch[[#This Row],[tmp-owner.email]], "author", _xlfn.IFNA(VLOOKUP(patch[[#This Row],[reviewer]],OrgTree!$A:$K, 11, 0), "not ICG SWFW"))</f>
        <v>BJ And dev</v>
      </c>
      <c r="T2825" s="7" t="str">
        <f>IF(ISBLANK(patch[[#This Row],[mergeDate]]), "", MID(YEAR(patch[[#This Row],[mergeDate]]), 3,2)&amp;"'ww"&amp;WEEKNUM(patch[[#This Row],[mergeDate]]))</f>
        <v>16'ww36</v>
      </c>
      <c r="U2825" s="7" t="str">
        <f>IF(ISBLANK(patch[[#This Row],[mergeDate]]), U2824, MID(YEAR(patch[[#This Row],[mergeDate]]), 3,2)&amp;"'m"&amp;MONTH(patch[[#This Row],[mergeDate]]))</f>
        <v>16'm9</v>
      </c>
      <c r="V2825" s="7" t="str">
        <f>IF(ISBLANK(patch[[#This Row],[project]]), "",SUM(patch[[#This Row],[BJ -1 num]:[SH -1 num]]))</f>
        <v/>
      </c>
      <c r="W2825" s="7" t="str">
        <f>IF(ISBLANK(patch[[#This Row],[project]]), "",COUNTIFS($A:$A,patch[[#This Row],[number]],$S:$S, "BJ And dev",$AC:$AC, "Review-1"))</f>
        <v/>
      </c>
      <c r="X2825" s="7" t="str">
        <f>IF(ISBLANK(patch[[#This Row],[project]]), "",COUNTIFS($A:$A,patch[[#This Row],[number]],$S:$S, "FL And dev",$AC:$AC, "Review-1"))</f>
        <v/>
      </c>
      <c r="Y2825" s="7" t="str">
        <f>IF(ISBLANK(patch[[#This Row],[project]]), "",COUNTIFS($A:$A,patch[[#This Row],[number]],$S:$S, "SH And dev",$AC:$AC, "Review-1"))</f>
        <v/>
      </c>
      <c r="Z2825" s="7" t="str">
        <f>IF(ISBLANK(patch[[#This Row],[project]]), "",COUNTIFS($A:$A,patch[[#This Row],[number]],$S:$S, "BJ And dev",$AD:$AD, "&lt;&gt;IntegratorValidationComment"))</f>
        <v/>
      </c>
      <c r="AA2825" s="7" t="str">
        <f>IF(ISBLANK(patch[[#This Row],[project]]), "",COUNTIFS($A:$A,patch[[#This Row],[number]],$S:$S, "FL And dev",$AD:$AD, "&lt;&gt;IntegratorValidationComment"))</f>
        <v/>
      </c>
      <c r="AB2825" s="7" t="str">
        <f>IF(ISBLANK(patch[[#This Row],[project]]), "",COUNTIFS($A:$A,patch[[#This Row],[number]],$S:$S, "SH And dev",$AD:$AD, "&lt;&gt;IntegratorValidationComment"))</f>
        <v/>
      </c>
      <c r="AC2825" s="7" t="str">
        <f>IF(OR(ISNUMBER(FIND("Review-1", patch[[#This Row],[comments]])), ISNUMBER(FIND("Approver-1", patch[[#This Row],[comments]]))), "Review-1", "")</f>
        <v/>
      </c>
      <c r="AD282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25" s="7">
        <f>IF(ISBLANK(patch[[#This Row],[number]]),AE2824,patch[[#This Row],[ifCommon]])</f>
        <v>0</v>
      </c>
    </row>
    <row r="2826" spans="1:31">
      <c r="A2826" s="151">
        <v>138848</v>
      </c>
      <c r="B2826" s="151"/>
      <c r="C2826" s="151"/>
      <c r="D2826" s="151"/>
      <c r="E2826" s="151"/>
      <c r="F2826" s="151"/>
      <c r="G2826" s="151"/>
      <c r="H2826" s="151"/>
      <c r="I2826" s="151"/>
      <c r="J2826" s="152">
        <v>42614.74962962963</v>
      </c>
      <c r="K2826" s="151"/>
      <c r="L2826" s="151" t="s">
        <v>59</v>
      </c>
      <c r="M2826" s="152">
        <v>42606.598379629628</v>
      </c>
      <c r="N2826" s="151" t="s">
        <v>4007</v>
      </c>
      <c r="O2826" s="151"/>
      <c r="P2826" s="151"/>
      <c r="Q2826" s="7" t="str">
        <f>IF(ISBLANK(patch[[#This Row],[OwnerEmail]]),Q2825,patch[[#This Row],[OwnerEmail]])</f>
        <v>jie.j.zhang@intel.com</v>
      </c>
      <c r="R2826" s="7" t="str">
        <f>_xlfn.IFNA(VLOOKUP(patch[[#This Row],[tmp-owner.email]],OrgTree!$A:$K, 11, 0), "not ICG SWFW")</f>
        <v>BJ And dev</v>
      </c>
      <c r="S2826" s="7" t="str">
        <f>IF(patch[[#This Row],[reviewer]]=patch[[#This Row],[tmp-owner.email]], "author", _xlfn.IFNA(VLOOKUP(patch[[#This Row],[reviewer]],OrgTree!$A:$K, 11, 0), "not ICG SWFW"))</f>
        <v>BJ And dev</v>
      </c>
      <c r="T2826" s="7" t="str">
        <f>IF(ISBLANK(patch[[#This Row],[mergeDate]]), "", MID(YEAR(patch[[#This Row],[mergeDate]]), 3,2)&amp;"'ww"&amp;WEEKNUM(patch[[#This Row],[mergeDate]]))</f>
        <v>16'ww36</v>
      </c>
      <c r="U2826" s="7" t="str">
        <f>IF(ISBLANK(patch[[#This Row],[mergeDate]]), U2825, MID(YEAR(patch[[#This Row],[mergeDate]]), 3,2)&amp;"'m"&amp;MONTH(patch[[#This Row],[mergeDate]]))</f>
        <v>16'm9</v>
      </c>
      <c r="V2826" s="7" t="str">
        <f>IF(ISBLANK(patch[[#This Row],[project]]), "",SUM(patch[[#This Row],[BJ -1 num]:[SH -1 num]]))</f>
        <v/>
      </c>
      <c r="W2826" s="7" t="str">
        <f>IF(ISBLANK(patch[[#This Row],[project]]), "",COUNTIFS($A:$A,patch[[#This Row],[number]],$S:$S, "BJ And dev",$AC:$AC, "Review-1"))</f>
        <v/>
      </c>
      <c r="X2826" s="7" t="str">
        <f>IF(ISBLANK(patch[[#This Row],[project]]), "",COUNTIFS($A:$A,patch[[#This Row],[number]],$S:$S, "FL And dev",$AC:$AC, "Review-1"))</f>
        <v/>
      </c>
      <c r="Y2826" s="7" t="str">
        <f>IF(ISBLANK(patch[[#This Row],[project]]), "",COUNTIFS($A:$A,patch[[#This Row],[number]],$S:$S, "SH And dev",$AC:$AC, "Review-1"))</f>
        <v/>
      </c>
      <c r="Z2826" s="7" t="str">
        <f>IF(ISBLANK(patch[[#This Row],[project]]), "",COUNTIFS($A:$A,patch[[#This Row],[number]],$S:$S, "BJ And dev",$AD:$AD, "&lt;&gt;IntegratorValidationComment"))</f>
        <v/>
      </c>
      <c r="AA2826" s="7" t="str">
        <f>IF(ISBLANK(patch[[#This Row],[project]]), "",COUNTIFS($A:$A,patch[[#This Row],[number]],$S:$S, "FL And dev",$AD:$AD, "&lt;&gt;IntegratorValidationComment"))</f>
        <v/>
      </c>
      <c r="AB2826" s="7" t="str">
        <f>IF(ISBLANK(patch[[#This Row],[project]]), "",COUNTIFS($A:$A,patch[[#This Row],[number]],$S:$S, "SH And dev",$AD:$AD, "&lt;&gt;IntegratorValidationComment"))</f>
        <v/>
      </c>
      <c r="AC2826" s="7" t="str">
        <f>IF(OR(ISNUMBER(FIND("Review-1", patch[[#This Row],[comments]])), ISNUMBER(FIND("Approver-1", patch[[#This Row],[comments]]))), "Review-1", "")</f>
        <v/>
      </c>
      <c r="AD282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26" s="7">
        <f>IF(ISBLANK(patch[[#This Row],[number]]),AE2825,patch[[#This Row],[ifCommon]])</f>
        <v>0</v>
      </c>
    </row>
    <row r="2827" spans="1:31">
      <c r="A2827" s="151">
        <v>138848</v>
      </c>
      <c r="B2827" s="151"/>
      <c r="C2827" s="151"/>
      <c r="D2827" s="151"/>
      <c r="E2827" s="151"/>
      <c r="F2827" s="151"/>
      <c r="G2827" s="151"/>
      <c r="H2827" s="151"/>
      <c r="I2827" s="151"/>
      <c r="J2827" s="152">
        <v>42614.74962962963</v>
      </c>
      <c r="K2827" s="151"/>
      <c r="L2827" s="151" t="s">
        <v>59</v>
      </c>
      <c r="M2827" s="152">
        <v>42606.602141203701</v>
      </c>
      <c r="N2827" s="151" t="s">
        <v>4008</v>
      </c>
      <c r="O2827" s="151"/>
      <c r="P2827" s="151"/>
      <c r="Q2827" s="7" t="str">
        <f>IF(ISBLANK(patch[[#This Row],[OwnerEmail]]),Q2826,patch[[#This Row],[OwnerEmail]])</f>
        <v>jie.j.zhang@intel.com</v>
      </c>
      <c r="R2827" s="7" t="str">
        <f>_xlfn.IFNA(VLOOKUP(patch[[#This Row],[tmp-owner.email]],OrgTree!$A:$K, 11, 0), "not ICG SWFW")</f>
        <v>BJ And dev</v>
      </c>
      <c r="S2827" s="7" t="str">
        <f>IF(patch[[#This Row],[reviewer]]=patch[[#This Row],[tmp-owner.email]], "author", _xlfn.IFNA(VLOOKUP(patch[[#This Row],[reviewer]],OrgTree!$A:$K, 11, 0), "not ICG SWFW"))</f>
        <v>BJ And dev</v>
      </c>
      <c r="T2827" s="7" t="str">
        <f>IF(ISBLANK(patch[[#This Row],[mergeDate]]), "", MID(YEAR(patch[[#This Row],[mergeDate]]), 3,2)&amp;"'ww"&amp;WEEKNUM(patch[[#This Row],[mergeDate]]))</f>
        <v>16'ww36</v>
      </c>
      <c r="U2827" s="7" t="str">
        <f>IF(ISBLANK(patch[[#This Row],[mergeDate]]), U2826, MID(YEAR(patch[[#This Row],[mergeDate]]), 3,2)&amp;"'m"&amp;MONTH(patch[[#This Row],[mergeDate]]))</f>
        <v>16'm9</v>
      </c>
      <c r="V2827" s="7" t="str">
        <f>IF(ISBLANK(patch[[#This Row],[project]]), "",SUM(patch[[#This Row],[BJ -1 num]:[SH -1 num]]))</f>
        <v/>
      </c>
      <c r="W2827" s="7" t="str">
        <f>IF(ISBLANK(patch[[#This Row],[project]]), "",COUNTIFS($A:$A,patch[[#This Row],[number]],$S:$S, "BJ And dev",$AC:$AC, "Review-1"))</f>
        <v/>
      </c>
      <c r="X2827" s="7" t="str">
        <f>IF(ISBLANK(patch[[#This Row],[project]]), "",COUNTIFS($A:$A,patch[[#This Row],[number]],$S:$S, "FL And dev",$AC:$AC, "Review-1"))</f>
        <v/>
      </c>
      <c r="Y2827" s="7" t="str">
        <f>IF(ISBLANK(patch[[#This Row],[project]]), "",COUNTIFS($A:$A,patch[[#This Row],[number]],$S:$S, "SH And dev",$AC:$AC, "Review-1"))</f>
        <v/>
      </c>
      <c r="Z2827" s="7" t="str">
        <f>IF(ISBLANK(patch[[#This Row],[project]]), "",COUNTIFS($A:$A,patch[[#This Row],[number]],$S:$S, "BJ And dev",$AD:$AD, "&lt;&gt;IntegratorValidationComment"))</f>
        <v/>
      </c>
      <c r="AA2827" s="7" t="str">
        <f>IF(ISBLANK(patch[[#This Row],[project]]), "",COUNTIFS($A:$A,patch[[#This Row],[number]],$S:$S, "FL And dev",$AD:$AD, "&lt;&gt;IntegratorValidationComment"))</f>
        <v/>
      </c>
      <c r="AB2827" s="7" t="str">
        <f>IF(ISBLANK(patch[[#This Row],[project]]), "",COUNTIFS($A:$A,patch[[#This Row],[number]],$S:$S, "SH And dev",$AD:$AD, "&lt;&gt;IntegratorValidationComment"))</f>
        <v/>
      </c>
      <c r="AC2827" s="7" t="str">
        <f>IF(OR(ISNUMBER(FIND("Review-1", patch[[#This Row],[comments]])), ISNUMBER(FIND("Approver-1", patch[[#This Row],[comments]]))), "Review-1", "")</f>
        <v/>
      </c>
      <c r="AD282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27" s="7">
        <f>IF(ISBLANK(patch[[#This Row],[number]]),AE2826,patch[[#This Row],[ifCommon]])</f>
        <v>0</v>
      </c>
    </row>
    <row r="2828" spans="1:31">
      <c r="A2828" s="151">
        <v>138848</v>
      </c>
      <c r="B2828" s="151"/>
      <c r="C2828" s="151"/>
      <c r="D2828" s="151"/>
      <c r="E2828" s="151"/>
      <c r="F2828" s="151"/>
      <c r="G2828" s="151"/>
      <c r="H2828" s="151"/>
      <c r="I2828" s="151"/>
      <c r="J2828" s="152">
        <v>42614.74962962963</v>
      </c>
      <c r="K2828" s="151"/>
      <c r="L2828" s="151" t="s">
        <v>1292</v>
      </c>
      <c r="M2828" s="152">
        <v>42606.606678240743</v>
      </c>
      <c r="N2828" s="151" t="s">
        <v>2453</v>
      </c>
      <c r="O2828" s="151"/>
      <c r="P2828" s="151"/>
      <c r="Q2828" s="7" t="str">
        <f>IF(ISBLANK(patch[[#This Row],[OwnerEmail]]),Q2827,patch[[#This Row],[OwnerEmail]])</f>
        <v>jie.j.zhang@intel.com</v>
      </c>
      <c r="R2828" s="7" t="str">
        <f>_xlfn.IFNA(VLOOKUP(patch[[#This Row],[tmp-owner.email]],OrgTree!$A:$K, 11, 0), "not ICG SWFW")</f>
        <v>BJ And dev</v>
      </c>
      <c r="S2828" s="7" t="str">
        <f>IF(patch[[#This Row],[reviewer]]=patch[[#This Row],[tmp-owner.email]], "author", _xlfn.IFNA(VLOOKUP(patch[[#This Row],[reviewer]],OrgTree!$A:$K, 11, 0), "not ICG SWFW"))</f>
        <v>BJ And dev</v>
      </c>
      <c r="T2828" s="7" t="str">
        <f>IF(ISBLANK(patch[[#This Row],[mergeDate]]), "", MID(YEAR(patch[[#This Row],[mergeDate]]), 3,2)&amp;"'ww"&amp;WEEKNUM(patch[[#This Row],[mergeDate]]))</f>
        <v>16'ww36</v>
      </c>
      <c r="U2828" s="7" t="str">
        <f>IF(ISBLANK(patch[[#This Row],[mergeDate]]), U2827, MID(YEAR(patch[[#This Row],[mergeDate]]), 3,2)&amp;"'m"&amp;MONTH(patch[[#This Row],[mergeDate]]))</f>
        <v>16'm9</v>
      </c>
      <c r="V2828" s="7" t="str">
        <f>IF(ISBLANK(patch[[#This Row],[project]]), "",SUM(patch[[#This Row],[BJ -1 num]:[SH -1 num]]))</f>
        <v/>
      </c>
      <c r="W2828" s="7" t="str">
        <f>IF(ISBLANK(patch[[#This Row],[project]]), "",COUNTIFS($A:$A,patch[[#This Row],[number]],$S:$S, "BJ And dev",$AC:$AC, "Review-1"))</f>
        <v/>
      </c>
      <c r="X2828" s="7" t="str">
        <f>IF(ISBLANK(patch[[#This Row],[project]]), "",COUNTIFS($A:$A,patch[[#This Row],[number]],$S:$S, "FL And dev",$AC:$AC, "Review-1"))</f>
        <v/>
      </c>
      <c r="Y2828" s="7" t="str">
        <f>IF(ISBLANK(patch[[#This Row],[project]]), "",COUNTIFS($A:$A,patch[[#This Row],[number]],$S:$S, "SH And dev",$AC:$AC, "Review-1"))</f>
        <v/>
      </c>
      <c r="Z2828" s="7" t="str">
        <f>IF(ISBLANK(patch[[#This Row],[project]]), "",COUNTIFS($A:$A,patch[[#This Row],[number]],$S:$S, "BJ And dev",$AD:$AD, "&lt;&gt;IntegratorValidationComment"))</f>
        <v/>
      </c>
      <c r="AA2828" s="7" t="str">
        <f>IF(ISBLANK(patch[[#This Row],[project]]), "",COUNTIFS($A:$A,patch[[#This Row],[number]],$S:$S, "FL And dev",$AD:$AD, "&lt;&gt;IntegratorValidationComment"))</f>
        <v/>
      </c>
      <c r="AB2828" s="7" t="str">
        <f>IF(ISBLANK(patch[[#This Row],[project]]), "",COUNTIFS($A:$A,patch[[#This Row],[number]],$S:$S, "SH And dev",$AD:$AD, "&lt;&gt;IntegratorValidationComment"))</f>
        <v/>
      </c>
      <c r="AC2828" s="7" t="str">
        <f>IF(OR(ISNUMBER(FIND("Review-1", patch[[#This Row],[comments]])), ISNUMBER(FIND("Approver-1", patch[[#This Row],[comments]]))), "Review-1", "")</f>
        <v/>
      </c>
      <c r="AD282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28" s="7">
        <f>IF(ISBLANK(patch[[#This Row],[number]]),AE2827,patch[[#This Row],[ifCommon]])</f>
        <v>0</v>
      </c>
    </row>
    <row r="2829" spans="1:31">
      <c r="A2829" s="151">
        <v>138848</v>
      </c>
      <c r="B2829" s="151"/>
      <c r="C2829" s="151"/>
      <c r="D2829" s="151"/>
      <c r="E2829" s="151"/>
      <c r="F2829" s="151"/>
      <c r="G2829" s="151"/>
      <c r="H2829" s="151"/>
      <c r="I2829" s="151"/>
      <c r="J2829" s="152">
        <v>42614.74962962963</v>
      </c>
      <c r="K2829" s="151"/>
      <c r="L2829" s="151" t="s">
        <v>1292</v>
      </c>
      <c r="M2829" s="152">
        <v>42606.606678240743</v>
      </c>
      <c r="N2829" s="151" t="s">
        <v>1855</v>
      </c>
      <c r="O2829" s="151"/>
      <c r="P2829" s="151"/>
      <c r="Q2829" s="7" t="str">
        <f>IF(ISBLANK(patch[[#This Row],[OwnerEmail]]),Q2828,patch[[#This Row],[OwnerEmail]])</f>
        <v>jie.j.zhang@intel.com</v>
      </c>
      <c r="R2829" s="7" t="str">
        <f>_xlfn.IFNA(VLOOKUP(patch[[#This Row],[tmp-owner.email]],OrgTree!$A:$K, 11, 0), "not ICG SWFW")</f>
        <v>BJ And dev</v>
      </c>
      <c r="S2829" s="7" t="str">
        <f>IF(patch[[#This Row],[reviewer]]=patch[[#This Row],[tmp-owner.email]], "author", _xlfn.IFNA(VLOOKUP(patch[[#This Row],[reviewer]],OrgTree!$A:$K, 11, 0), "not ICG SWFW"))</f>
        <v>BJ And dev</v>
      </c>
      <c r="T2829" s="7" t="str">
        <f>IF(ISBLANK(patch[[#This Row],[mergeDate]]), "", MID(YEAR(patch[[#This Row],[mergeDate]]), 3,2)&amp;"'ww"&amp;WEEKNUM(patch[[#This Row],[mergeDate]]))</f>
        <v>16'ww36</v>
      </c>
      <c r="U2829" s="7" t="str">
        <f>IF(ISBLANK(patch[[#This Row],[mergeDate]]), U2828, MID(YEAR(patch[[#This Row],[mergeDate]]), 3,2)&amp;"'m"&amp;MONTH(patch[[#This Row],[mergeDate]]))</f>
        <v>16'm9</v>
      </c>
      <c r="V2829" s="7" t="str">
        <f>IF(ISBLANK(patch[[#This Row],[project]]), "",SUM(patch[[#This Row],[BJ -1 num]:[SH -1 num]]))</f>
        <v/>
      </c>
      <c r="W2829" s="7" t="str">
        <f>IF(ISBLANK(patch[[#This Row],[project]]), "",COUNTIFS($A:$A,patch[[#This Row],[number]],$S:$S, "BJ And dev",$AC:$AC, "Review-1"))</f>
        <v/>
      </c>
      <c r="X2829" s="7" t="str">
        <f>IF(ISBLANK(patch[[#This Row],[project]]), "",COUNTIFS($A:$A,patch[[#This Row],[number]],$S:$S, "FL And dev",$AC:$AC, "Review-1"))</f>
        <v/>
      </c>
      <c r="Y2829" s="7" t="str">
        <f>IF(ISBLANK(patch[[#This Row],[project]]), "",COUNTIFS($A:$A,patch[[#This Row],[number]],$S:$S, "SH And dev",$AC:$AC, "Review-1"))</f>
        <v/>
      </c>
      <c r="Z2829" s="7" t="str">
        <f>IF(ISBLANK(patch[[#This Row],[project]]), "",COUNTIFS($A:$A,patch[[#This Row],[number]],$S:$S, "BJ And dev",$AD:$AD, "&lt;&gt;IntegratorValidationComment"))</f>
        <v/>
      </c>
      <c r="AA2829" s="7" t="str">
        <f>IF(ISBLANK(patch[[#This Row],[project]]), "",COUNTIFS($A:$A,patch[[#This Row],[number]],$S:$S, "FL And dev",$AD:$AD, "&lt;&gt;IntegratorValidationComment"))</f>
        <v/>
      </c>
      <c r="AB2829" s="7" t="str">
        <f>IF(ISBLANK(patch[[#This Row],[project]]), "",COUNTIFS($A:$A,patch[[#This Row],[number]],$S:$S, "SH And dev",$AD:$AD, "&lt;&gt;IntegratorValidationComment"))</f>
        <v/>
      </c>
      <c r="AC2829" s="7" t="str">
        <f>IF(OR(ISNUMBER(FIND("Review-1", patch[[#This Row],[comments]])), ISNUMBER(FIND("Approver-1", patch[[#This Row],[comments]]))), "Review-1", "")</f>
        <v/>
      </c>
      <c r="AD282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29" s="7">
        <f>IF(ISBLANK(patch[[#This Row],[number]]),AE2828,patch[[#This Row],[ifCommon]])</f>
        <v>0</v>
      </c>
    </row>
    <row r="2830" spans="1:31">
      <c r="A2830" s="151">
        <v>138848</v>
      </c>
      <c r="B2830" s="151"/>
      <c r="C2830" s="151"/>
      <c r="D2830" s="151"/>
      <c r="E2830" s="151"/>
      <c r="F2830" s="151"/>
      <c r="G2830" s="151"/>
      <c r="H2830" s="151"/>
      <c r="I2830" s="151"/>
      <c r="J2830" s="152">
        <v>42614.74962962963</v>
      </c>
      <c r="K2830" s="151"/>
      <c r="L2830" s="151" t="s">
        <v>1292</v>
      </c>
      <c r="M2830" s="152">
        <v>42606.60696759259</v>
      </c>
      <c r="N2830" s="151" t="s">
        <v>1853</v>
      </c>
      <c r="O2830" s="151"/>
      <c r="P2830" s="151"/>
      <c r="Q2830" s="7" t="str">
        <f>IF(ISBLANK(patch[[#This Row],[OwnerEmail]]),Q2829,patch[[#This Row],[OwnerEmail]])</f>
        <v>jie.j.zhang@intel.com</v>
      </c>
      <c r="R2830" s="7" t="str">
        <f>_xlfn.IFNA(VLOOKUP(patch[[#This Row],[tmp-owner.email]],OrgTree!$A:$K, 11, 0), "not ICG SWFW")</f>
        <v>BJ And dev</v>
      </c>
      <c r="S2830" s="7" t="str">
        <f>IF(patch[[#This Row],[reviewer]]=patch[[#This Row],[tmp-owner.email]], "author", _xlfn.IFNA(VLOOKUP(patch[[#This Row],[reviewer]],OrgTree!$A:$K, 11, 0), "not ICG SWFW"))</f>
        <v>BJ And dev</v>
      </c>
      <c r="T2830" s="7" t="str">
        <f>IF(ISBLANK(patch[[#This Row],[mergeDate]]), "", MID(YEAR(patch[[#This Row],[mergeDate]]), 3,2)&amp;"'ww"&amp;WEEKNUM(patch[[#This Row],[mergeDate]]))</f>
        <v>16'ww36</v>
      </c>
      <c r="U2830" s="7" t="str">
        <f>IF(ISBLANK(patch[[#This Row],[mergeDate]]), U2829, MID(YEAR(patch[[#This Row],[mergeDate]]), 3,2)&amp;"'m"&amp;MONTH(patch[[#This Row],[mergeDate]]))</f>
        <v>16'm9</v>
      </c>
      <c r="V2830" s="7" t="str">
        <f>IF(ISBLANK(patch[[#This Row],[project]]), "",SUM(patch[[#This Row],[BJ -1 num]:[SH -1 num]]))</f>
        <v/>
      </c>
      <c r="W2830" s="7" t="str">
        <f>IF(ISBLANK(patch[[#This Row],[project]]), "",COUNTIFS($A:$A,patch[[#This Row],[number]],$S:$S, "BJ And dev",$AC:$AC, "Review-1"))</f>
        <v/>
      </c>
      <c r="X2830" s="7" t="str">
        <f>IF(ISBLANK(patch[[#This Row],[project]]), "",COUNTIFS($A:$A,patch[[#This Row],[number]],$S:$S, "FL And dev",$AC:$AC, "Review-1"))</f>
        <v/>
      </c>
      <c r="Y2830" s="7" t="str">
        <f>IF(ISBLANK(patch[[#This Row],[project]]), "",COUNTIFS($A:$A,patch[[#This Row],[number]],$S:$S, "SH And dev",$AC:$AC, "Review-1"))</f>
        <v/>
      </c>
      <c r="Z2830" s="7" t="str">
        <f>IF(ISBLANK(patch[[#This Row],[project]]), "",COUNTIFS($A:$A,patch[[#This Row],[number]],$S:$S, "BJ And dev",$AD:$AD, "&lt;&gt;IntegratorValidationComment"))</f>
        <v/>
      </c>
      <c r="AA2830" s="7" t="str">
        <f>IF(ISBLANK(patch[[#This Row],[project]]), "",COUNTIFS($A:$A,patch[[#This Row],[number]],$S:$S, "FL And dev",$AD:$AD, "&lt;&gt;IntegratorValidationComment"))</f>
        <v/>
      </c>
      <c r="AB2830" s="7" t="str">
        <f>IF(ISBLANK(patch[[#This Row],[project]]), "",COUNTIFS($A:$A,patch[[#This Row],[number]],$S:$S, "SH And dev",$AD:$AD, "&lt;&gt;IntegratorValidationComment"))</f>
        <v/>
      </c>
      <c r="AC2830" s="7" t="str">
        <f>IF(OR(ISNUMBER(FIND("Review-1", patch[[#This Row],[comments]])), ISNUMBER(FIND("Approver-1", patch[[#This Row],[comments]]))), "Review-1", "")</f>
        <v/>
      </c>
      <c r="AD283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30" s="7">
        <f>IF(ISBLANK(patch[[#This Row],[number]]),AE2829,patch[[#This Row],[ifCommon]])</f>
        <v>0</v>
      </c>
    </row>
    <row r="2831" spans="1:31">
      <c r="A2831" s="151">
        <v>138848</v>
      </c>
      <c r="B2831" s="151"/>
      <c r="C2831" s="151"/>
      <c r="D2831" s="151"/>
      <c r="E2831" s="151"/>
      <c r="F2831" s="151"/>
      <c r="G2831" s="151"/>
      <c r="H2831" s="151"/>
      <c r="I2831" s="151"/>
      <c r="J2831" s="152">
        <v>42614.74962962963</v>
      </c>
      <c r="K2831" s="151"/>
      <c r="L2831" s="151" t="s">
        <v>59</v>
      </c>
      <c r="M2831" s="152">
        <v>42606.612557870372</v>
      </c>
      <c r="N2831" s="151" t="s">
        <v>4009</v>
      </c>
      <c r="O2831" s="151"/>
      <c r="P2831" s="151"/>
      <c r="Q2831" s="7" t="str">
        <f>IF(ISBLANK(patch[[#This Row],[OwnerEmail]]),Q2830,patch[[#This Row],[OwnerEmail]])</f>
        <v>jie.j.zhang@intel.com</v>
      </c>
      <c r="R2831" s="7" t="str">
        <f>_xlfn.IFNA(VLOOKUP(patch[[#This Row],[tmp-owner.email]],OrgTree!$A:$K, 11, 0), "not ICG SWFW")</f>
        <v>BJ And dev</v>
      </c>
      <c r="S2831" s="7" t="str">
        <f>IF(patch[[#This Row],[reviewer]]=patch[[#This Row],[tmp-owner.email]], "author", _xlfn.IFNA(VLOOKUP(patch[[#This Row],[reviewer]],OrgTree!$A:$K, 11, 0), "not ICG SWFW"))</f>
        <v>BJ And dev</v>
      </c>
      <c r="T2831" s="7" t="str">
        <f>IF(ISBLANK(patch[[#This Row],[mergeDate]]), "", MID(YEAR(patch[[#This Row],[mergeDate]]), 3,2)&amp;"'ww"&amp;WEEKNUM(patch[[#This Row],[mergeDate]]))</f>
        <v>16'ww36</v>
      </c>
      <c r="U2831" s="7" t="str">
        <f>IF(ISBLANK(patch[[#This Row],[mergeDate]]), U2830, MID(YEAR(patch[[#This Row],[mergeDate]]), 3,2)&amp;"'m"&amp;MONTH(patch[[#This Row],[mergeDate]]))</f>
        <v>16'm9</v>
      </c>
      <c r="V2831" s="7" t="str">
        <f>IF(ISBLANK(patch[[#This Row],[project]]), "",SUM(patch[[#This Row],[BJ -1 num]:[SH -1 num]]))</f>
        <v/>
      </c>
      <c r="W2831" s="7" t="str">
        <f>IF(ISBLANK(patch[[#This Row],[project]]), "",COUNTIFS($A:$A,patch[[#This Row],[number]],$S:$S, "BJ And dev",$AC:$AC, "Review-1"))</f>
        <v/>
      </c>
      <c r="X2831" s="7" t="str">
        <f>IF(ISBLANK(patch[[#This Row],[project]]), "",COUNTIFS($A:$A,patch[[#This Row],[number]],$S:$S, "FL And dev",$AC:$AC, "Review-1"))</f>
        <v/>
      </c>
      <c r="Y2831" s="7" t="str">
        <f>IF(ISBLANK(patch[[#This Row],[project]]), "",COUNTIFS($A:$A,patch[[#This Row],[number]],$S:$S, "SH And dev",$AC:$AC, "Review-1"))</f>
        <v/>
      </c>
      <c r="Z2831" s="7" t="str">
        <f>IF(ISBLANK(patch[[#This Row],[project]]), "",COUNTIFS($A:$A,patch[[#This Row],[number]],$S:$S, "BJ And dev",$AD:$AD, "&lt;&gt;IntegratorValidationComment"))</f>
        <v/>
      </c>
      <c r="AA2831" s="7" t="str">
        <f>IF(ISBLANK(patch[[#This Row],[project]]), "",COUNTIFS($A:$A,patch[[#This Row],[number]],$S:$S, "FL And dev",$AD:$AD, "&lt;&gt;IntegratorValidationComment"))</f>
        <v/>
      </c>
      <c r="AB2831" s="7" t="str">
        <f>IF(ISBLANK(patch[[#This Row],[project]]), "",COUNTIFS($A:$A,patch[[#This Row],[number]],$S:$S, "SH And dev",$AD:$AD, "&lt;&gt;IntegratorValidationComment"))</f>
        <v/>
      </c>
      <c r="AC2831" s="7" t="str">
        <f>IF(OR(ISNUMBER(FIND("Review-1", patch[[#This Row],[comments]])), ISNUMBER(FIND("Approver-1", patch[[#This Row],[comments]]))), "Review-1", "")</f>
        <v/>
      </c>
      <c r="AD283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31" s="7">
        <f>IF(ISBLANK(patch[[#This Row],[number]]),AE2830,patch[[#This Row],[ifCommon]])</f>
        <v>0</v>
      </c>
    </row>
    <row r="2832" spans="1:31">
      <c r="A2832" s="151">
        <v>138848</v>
      </c>
      <c r="B2832" s="151"/>
      <c r="C2832" s="151"/>
      <c r="D2832" s="151"/>
      <c r="E2832" s="151"/>
      <c r="F2832" s="151"/>
      <c r="G2832" s="151"/>
      <c r="H2832" s="151"/>
      <c r="I2832" s="151"/>
      <c r="J2832" s="152">
        <v>42614.74962962963</v>
      </c>
      <c r="K2832" s="151"/>
      <c r="L2832" s="151" t="s">
        <v>59</v>
      </c>
      <c r="M2832" s="152">
        <v>42606.616643518522</v>
      </c>
      <c r="N2832" s="151" t="s">
        <v>4010</v>
      </c>
      <c r="O2832" s="151"/>
      <c r="P2832" s="151"/>
      <c r="Q2832" s="7" t="str">
        <f>IF(ISBLANK(patch[[#This Row],[OwnerEmail]]),Q2831,patch[[#This Row],[OwnerEmail]])</f>
        <v>jie.j.zhang@intel.com</v>
      </c>
      <c r="R2832" s="7" t="str">
        <f>_xlfn.IFNA(VLOOKUP(patch[[#This Row],[tmp-owner.email]],OrgTree!$A:$K, 11, 0), "not ICG SWFW")</f>
        <v>BJ And dev</v>
      </c>
      <c r="S2832" s="7" t="str">
        <f>IF(patch[[#This Row],[reviewer]]=patch[[#This Row],[tmp-owner.email]], "author", _xlfn.IFNA(VLOOKUP(patch[[#This Row],[reviewer]],OrgTree!$A:$K, 11, 0), "not ICG SWFW"))</f>
        <v>BJ And dev</v>
      </c>
      <c r="T2832" s="7" t="str">
        <f>IF(ISBLANK(patch[[#This Row],[mergeDate]]), "", MID(YEAR(patch[[#This Row],[mergeDate]]), 3,2)&amp;"'ww"&amp;WEEKNUM(patch[[#This Row],[mergeDate]]))</f>
        <v>16'ww36</v>
      </c>
      <c r="U2832" s="7" t="str">
        <f>IF(ISBLANK(patch[[#This Row],[mergeDate]]), U2831, MID(YEAR(patch[[#This Row],[mergeDate]]), 3,2)&amp;"'m"&amp;MONTH(patch[[#This Row],[mergeDate]]))</f>
        <v>16'm9</v>
      </c>
      <c r="V2832" s="7" t="str">
        <f>IF(ISBLANK(patch[[#This Row],[project]]), "",SUM(patch[[#This Row],[BJ -1 num]:[SH -1 num]]))</f>
        <v/>
      </c>
      <c r="W2832" s="7" t="str">
        <f>IF(ISBLANK(patch[[#This Row],[project]]), "",COUNTIFS($A:$A,patch[[#This Row],[number]],$S:$S, "BJ And dev",$AC:$AC, "Review-1"))</f>
        <v/>
      </c>
      <c r="X2832" s="7" t="str">
        <f>IF(ISBLANK(patch[[#This Row],[project]]), "",COUNTIFS($A:$A,patch[[#This Row],[number]],$S:$S, "FL And dev",$AC:$AC, "Review-1"))</f>
        <v/>
      </c>
      <c r="Y2832" s="7" t="str">
        <f>IF(ISBLANK(patch[[#This Row],[project]]), "",COUNTIFS($A:$A,patch[[#This Row],[number]],$S:$S, "SH And dev",$AC:$AC, "Review-1"))</f>
        <v/>
      </c>
      <c r="Z2832" s="7" t="str">
        <f>IF(ISBLANK(patch[[#This Row],[project]]), "",COUNTIFS($A:$A,patch[[#This Row],[number]],$S:$S, "BJ And dev",$AD:$AD, "&lt;&gt;IntegratorValidationComment"))</f>
        <v/>
      </c>
      <c r="AA2832" s="7" t="str">
        <f>IF(ISBLANK(patch[[#This Row],[project]]), "",COUNTIFS($A:$A,patch[[#This Row],[number]],$S:$S, "FL And dev",$AD:$AD, "&lt;&gt;IntegratorValidationComment"))</f>
        <v/>
      </c>
      <c r="AB2832" s="7" t="str">
        <f>IF(ISBLANK(patch[[#This Row],[project]]), "",COUNTIFS($A:$A,patch[[#This Row],[number]],$S:$S, "SH And dev",$AD:$AD, "&lt;&gt;IntegratorValidationComment"))</f>
        <v/>
      </c>
      <c r="AC2832" s="7" t="str">
        <f>IF(OR(ISNUMBER(FIND("Review-1", patch[[#This Row],[comments]])), ISNUMBER(FIND("Approver-1", patch[[#This Row],[comments]]))), "Review-1", "")</f>
        <v/>
      </c>
      <c r="AD283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32" s="7">
        <f>IF(ISBLANK(patch[[#This Row],[number]]),AE2831,patch[[#This Row],[ifCommon]])</f>
        <v>0</v>
      </c>
    </row>
    <row r="2833" spans="1:31">
      <c r="A2833" s="151">
        <v>138848</v>
      </c>
      <c r="B2833" s="151"/>
      <c r="C2833" s="151"/>
      <c r="D2833" s="151"/>
      <c r="E2833" s="151"/>
      <c r="F2833" s="151"/>
      <c r="G2833" s="151"/>
      <c r="H2833" s="151"/>
      <c r="I2833" s="151"/>
      <c r="J2833" s="152">
        <v>42614.74962962963</v>
      </c>
      <c r="K2833" s="151"/>
      <c r="L2833" s="151" t="s">
        <v>1292</v>
      </c>
      <c r="M2833" s="152">
        <v>42607.423449074071</v>
      </c>
      <c r="N2833" s="151" t="s">
        <v>2465</v>
      </c>
      <c r="O2833" s="151"/>
      <c r="P2833" s="151"/>
      <c r="Q2833" s="7" t="str">
        <f>IF(ISBLANK(patch[[#This Row],[OwnerEmail]]),Q2832,patch[[#This Row],[OwnerEmail]])</f>
        <v>jie.j.zhang@intel.com</v>
      </c>
      <c r="R2833" s="7" t="str">
        <f>_xlfn.IFNA(VLOOKUP(patch[[#This Row],[tmp-owner.email]],OrgTree!$A:$K, 11, 0), "not ICG SWFW")</f>
        <v>BJ And dev</v>
      </c>
      <c r="S2833" s="7" t="str">
        <f>IF(patch[[#This Row],[reviewer]]=patch[[#This Row],[tmp-owner.email]], "author", _xlfn.IFNA(VLOOKUP(patch[[#This Row],[reviewer]],OrgTree!$A:$K, 11, 0), "not ICG SWFW"))</f>
        <v>BJ And dev</v>
      </c>
      <c r="T2833" s="7" t="str">
        <f>IF(ISBLANK(patch[[#This Row],[mergeDate]]), "", MID(YEAR(patch[[#This Row],[mergeDate]]), 3,2)&amp;"'ww"&amp;WEEKNUM(patch[[#This Row],[mergeDate]]))</f>
        <v>16'ww36</v>
      </c>
      <c r="U2833" s="7" t="str">
        <f>IF(ISBLANK(patch[[#This Row],[mergeDate]]), U2832, MID(YEAR(patch[[#This Row],[mergeDate]]), 3,2)&amp;"'m"&amp;MONTH(patch[[#This Row],[mergeDate]]))</f>
        <v>16'm9</v>
      </c>
      <c r="V2833" s="7" t="str">
        <f>IF(ISBLANK(patch[[#This Row],[project]]), "",SUM(patch[[#This Row],[BJ -1 num]:[SH -1 num]]))</f>
        <v/>
      </c>
      <c r="W2833" s="7" t="str">
        <f>IF(ISBLANK(patch[[#This Row],[project]]), "",COUNTIFS($A:$A,patch[[#This Row],[number]],$S:$S, "BJ And dev",$AC:$AC, "Review-1"))</f>
        <v/>
      </c>
      <c r="X2833" s="7" t="str">
        <f>IF(ISBLANK(patch[[#This Row],[project]]), "",COUNTIFS($A:$A,patch[[#This Row],[number]],$S:$S, "FL And dev",$AC:$AC, "Review-1"))</f>
        <v/>
      </c>
      <c r="Y2833" s="7" t="str">
        <f>IF(ISBLANK(patch[[#This Row],[project]]), "",COUNTIFS($A:$A,patch[[#This Row],[number]],$S:$S, "SH And dev",$AC:$AC, "Review-1"))</f>
        <v/>
      </c>
      <c r="Z2833" s="7" t="str">
        <f>IF(ISBLANK(patch[[#This Row],[project]]), "",COUNTIFS($A:$A,patch[[#This Row],[number]],$S:$S, "BJ And dev",$AD:$AD, "&lt;&gt;IntegratorValidationComment"))</f>
        <v/>
      </c>
      <c r="AA2833" s="7" t="str">
        <f>IF(ISBLANK(patch[[#This Row],[project]]), "",COUNTIFS($A:$A,patch[[#This Row],[number]],$S:$S, "FL And dev",$AD:$AD, "&lt;&gt;IntegratorValidationComment"))</f>
        <v/>
      </c>
      <c r="AB2833" s="7" t="str">
        <f>IF(ISBLANK(patch[[#This Row],[project]]), "",COUNTIFS($A:$A,patch[[#This Row],[number]],$S:$S, "SH And dev",$AD:$AD, "&lt;&gt;IntegratorValidationComment"))</f>
        <v/>
      </c>
      <c r="AC2833" s="7" t="str">
        <f>IF(OR(ISNUMBER(FIND("Review-1", patch[[#This Row],[comments]])), ISNUMBER(FIND("Approver-1", patch[[#This Row],[comments]]))), "Review-1", "")</f>
        <v/>
      </c>
      <c r="AD283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33" s="7">
        <f>IF(ISBLANK(patch[[#This Row],[number]]),AE2832,patch[[#This Row],[ifCommon]])</f>
        <v>0</v>
      </c>
    </row>
    <row r="2834" spans="1:31">
      <c r="A2834" s="151">
        <v>138848</v>
      </c>
      <c r="B2834" s="151"/>
      <c r="C2834" s="151"/>
      <c r="D2834" s="151"/>
      <c r="E2834" s="151"/>
      <c r="F2834" s="151"/>
      <c r="G2834" s="151"/>
      <c r="H2834" s="151"/>
      <c r="I2834" s="151"/>
      <c r="J2834" s="152">
        <v>42614.74962962963</v>
      </c>
      <c r="K2834" s="151"/>
      <c r="L2834" s="151" t="s">
        <v>1292</v>
      </c>
      <c r="M2834" s="152">
        <v>42607.423449074071</v>
      </c>
      <c r="N2834" s="151" t="s">
        <v>1842</v>
      </c>
      <c r="O2834" s="151"/>
      <c r="P2834" s="151"/>
      <c r="Q2834" s="7" t="str">
        <f>IF(ISBLANK(patch[[#This Row],[OwnerEmail]]),Q2833,patch[[#This Row],[OwnerEmail]])</f>
        <v>jie.j.zhang@intel.com</v>
      </c>
      <c r="R2834" s="7" t="str">
        <f>_xlfn.IFNA(VLOOKUP(patch[[#This Row],[tmp-owner.email]],OrgTree!$A:$K, 11, 0), "not ICG SWFW")</f>
        <v>BJ And dev</v>
      </c>
      <c r="S2834" s="7" t="str">
        <f>IF(patch[[#This Row],[reviewer]]=patch[[#This Row],[tmp-owner.email]], "author", _xlfn.IFNA(VLOOKUP(patch[[#This Row],[reviewer]],OrgTree!$A:$K, 11, 0), "not ICG SWFW"))</f>
        <v>BJ And dev</v>
      </c>
      <c r="T2834" s="7" t="str">
        <f>IF(ISBLANK(patch[[#This Row],[mergeDate]]), "", MID(YEAR(patch[[#This Row],[mergeDate]]), 3,2)&amp;"'ww"&amp;WEEKNUM(patch[[#This Row],[mergeDate]]))</f>
        <v>16'ww36</v>
      </c>
      <c r="U2834" s="7" t="str">
        <f>IF(ISBLANK(patch[[#This Row],[mergeDate]]), U2833, MID(YEAR(patch[[#This Row],[mergeDate]]), 3,2)&amp;"'m"&amp;MONTH(patch[[#This Row],[mergeDate]]))</f>
        <v>16'm9</v>
      </c>
      <c r="V2834" s="7" t="str">
        <f>IF(ISBLANK(patch[[#This Row],[project]]), "",SUM(patch[[#This Row],[BJ -1 num]:[SH -1 num]]))</f>
        <v/>
      </c>
      <c r="W2834" s="7" t="str">
        <f>IF(ISBLANK(patch[[#This Row],[project]]), "",COUNTIFS($A:$A,patch[[#This Row],[number]],$S:$S, "BJ And dev",$AC:$AC, "Review-1"))</f>
        <v/>
      </c>
      <c r="X2834" s="7" t="str">
        <f>IF(ISBLANK(patch[[#This Row],[project]]), "",COUNTIFS($A:$A,patch[[#This Row],[number]],$S:$S, "FL And dev",$AC:$AC, "Review-1"))</f>
        <v/>
      </c>
      <c r="Y2834" s="7" t="str">
        <f>IF(ISBLANK(patch[[#This Row],[project]]), "",COUNTIFS($A:$A,patch[[#This Row],[number]],$S:$S, "SH And dev",$AC:$AC, "Review-1"))</f>
        <v/>
      </c>
      <c r="Z2834" s="7" t="str">
        <f>IF(ISBLANK(patch[[#This Row],[project]]), "",COUNTIFS($A:$A,patch[[#This Row],[number]],$S:$S, "BJ And dev",$AD:$AD, "&lt;&gt;IntegratorValidationComment"))</f>
        <v/>
      </c>
      <c r="AA2834" s="7" t="str">
        <f>IF(ISBLANK(patch[[#This Row],[project]]), "",COUNTIFS($A:$A,patch[[#This Row],[number]],$S:$S, "FL And dev",$AD:$AD, "&lt;&gt;IntegratorValidationComment"))</f>
        <v/>
      </c>
      <c r="AB2834" s="7" t="str">
        <f>IF(ISBLANK(patch[[#This Row],[project]]), "",COUNTIFS($A:$A,patch[[#This Row],[number]],$S:$S, "SH And dev",$AD:$AD, "&lt;&gt;IntegratorValidationComment"))</f>
        <v/>
      </c>
      <c r="AC2834" s="7" t="str">
        <f>IF(OR(ISNUMBER(FIND("Review-1", patch[[#This Row],[comments]])), ISNUMBER(FIND("Approver-1", patch[[#This Row],[comments]]))), "Review-1", "")</f>
        <v/>
      </c>
      <c r="AD283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34" s="7">
        <f>IF(ISBLANK(patch[[#This Row],[number]]),AE2833,patch[[#This Row],[ifCommon]])</f>
        <v>0</v>
      </c>
    </row>
    <row r="2835" spans="1:31">
      <c r="A2835" s="151">
        <v>138848</v>
      </c>
      <c r="B2835" s="151"/>
      <c r="C2835" s="151"/>
      <c r="D2835" s="151"/>
      <c r="E2835" s="151"/>
      <c r="F2835" s="151"/>
      <c r="G2835" s="151"/>
      <c r="H2835" s="151"/>
      <c r="I2835" s="151"/>
      <c r="J2835" s="152">
        <v>42614.74962962963</v>
      </c>
      <c r="K2835" s="151"/>
      <c r="L2835" s="151" t="s">
        <v>1292</v>
      </c>
      <c r="M2835" s="152">
        <v>42607.424351851849</v>
      </c>
      <c r="N2835" s="151" t="s">
        <v>4011</v>
      </c>
      <c r="O2835" s="151"/>
      <c r="P2835" s="151"/>
      <c r="Q2835" s="7" t="str">
        <f>IF(ISBLANK(patch[[#This Row],[OwnerEmail]]),Q2834,patch[[#This Row],[OwnerEmail]])</f>
        <v>jie.j.zhang@intel.com</v>
      </c>
      <c r="R2835" s="7" t="str">
        <f>_xlfn.IFNA(VLOOKUP(patch[[#This Row],[tmp-owner.email]],OrgTree!$A:$K, 11, 0), "not ICG SWFW")</f>
        <v>BJ And dev</v>
      </c>
      <c r="S2835" s="7" t="str">
        <f>IF(patch[[#This Row],[reviewer]]=patch[[#This Row],[tmp-owner.email]], "author", _xlfn.IFNA(VLOOKUP(patch[[#This Row],[reviewer]],OrgTree!$A:$K, 11, 0), "not ICG SWFW"))</f>
        <v>BJ And dev</v>
      </c>
      <c r="T2835" s="7" t="str">
        <f>IF(ISBLANK(patch[[#This Row],[mergeDate]]), "", MID(YEAR(patch[[#This Row],[mergeDate]]), 3,2)&amp;"'ww"&amp;WEEKNUM(patch[[#This Row],[mergeDate]]))</f>
        <v>16'ww36</v>
      </c>
      <c r="U2835" s="7" t="str">
        <f>IF(ISBLANK(patch[[#This Row],[mergeDate]]), U2834, MID(YEAR(patch[[#This Row],[mergeDate]]), 3,2)&amp;"'m"&amp;MONTH(patch[[#This Row],[mergeDate]]))</f>
        <v>16'm9</v>
      </c>
      <c r="V2835" s="7" t="str">
        <f>IF(ISBLANK(patch[[#This Row],[project]]), "",SUM(patch[[#This Row],[BJ -1 num]:[SH -1 num]]))</f>
        <v/>
      </c>
      <c r="W2835" s="7" t="str">
        <f>IF(ISBLANK(patch[[#This Row],[project]]), "",COUNTIFS($A:$A,patch[[#This Row],[number]],$S:$S, "BJ And dev",$AC:$AC, "Review-1"))</f>
        <v/>
      </c>
      <c r="X2835" s="7" t="str">
        <f>IF(ISBLANK(patch[[#This Row],[project]]), "",COUNTIFS($A:$A,patch[[#This Row],[number]],$S:$S, "FL And dev",$AC:$AC, "Review-1"))</f>
        <v/>
      </c>
      <c r="Y2835" s="7" t="str">
        <f>IF(ISBLANK(patch[[#This Row],[project]]), "",COUNTIFS($A:$A,patch[[#This Row],[number]],$S:$S, "SH And dev",$AC:$AC, "Review-1"))</f>
        <v/>
      </c>
      <c r="Z2835" s="7" t="str">
        <f>IF(ISBLANK(patch[[#This Row],[project]]), "",COUNTIFS($A:$A,patch[[#This Row],[number]],$S:$S, "BJ And dev",$AD:$AD, "&lt;&gt;IntegratorValidationComment"))</f>
        <v/>
      </c>
      <c r="AA2835" s="7" t="str">
        <f>IF(ISBLANK(patch[[#This Row],[project]]), "",COUNTIFS($A:$A,patch[[#This Row],[number]],$S:$S, "FL And dev",$AD:$AD, "&lt;&gt;IntegratorValidationComment"))</f>
        <v/>
      </c>
      <c r="AB2835" s="7" t="str">
        <f>IF(ISBLANK(patch[[#This Row],[project]]), "",COUNTIFS($A:$A,patch[[#This Row],[number]],$S:$S, "SH And dev",$AD:$AD, "&lt;&gt;IntegratorValidationComment"))</f>
        <v/>
      </c>
      <c r="AC2835" s="7" t="str">
        <f>IF(OR(ISNUMBER(FIND("Review-1", patch[[#This Row],[comments]])), ISNUMBER(FIND("Approver-1", patch[[#This Row],[comments]]))), "Review-1", "")</f>
        <v/>
      </c>
      <c r="AD283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35" s="7">
        <f>IF(ISBLANK(patch[[#This Row],[number]]),AE2834,patch[[#This Row],[ifCommon]])</f>
        <v>0</v>
      </c>
    </row>
    <row r="2836" spans="1:31">
      <c r="A2836" s="151">
        <v>138848</v>
      </c>
      <c r="B2836" s="151"/>
      <c r="C2836" s="151"/>
      <c r="D2836" s="151"/>
      <c r="E2836" s="151"/>
      <c r="F2836" s="151"/>
      <c r="G2836" s="151"/>
      <c r="H2836" s="151"/>
      <c r="I2836" s="151"/>
      <c r="J2836" s="152">
        <v>42614.74962962963</v>
      </c>
      <c r="K2836" s="151"/>
      <c r="L2836" s="151" t="s">
        <v>59</v>
      </c>
      <c r="M2836" s="152">
        <v>42607.431875000002</v>
      </c>
      <c r="N2836" s="151" t="s">
        <v>4012</v>
      </c>
      <c r="O2836" s="151"/>
      <c r="P2836" s="151"/>
      <c r="Q2836" s="7" t="str">
        <f>IF(ISBLANK(patch[[#This Row],[OwnerEmail]]),Q2835,patch[[#This Row],[OwnerEmail]])</f>
        <v>jie.j.zhang@intel.com</v>
      </c>
      <c r="R2836" s="7" t="str">
        <f>_xlfn.IFNA(VLOOKUP(patch[[#This Row],[tmp-owner.email]],OrgTree!$A:$K, 11, 0), "not ICG SWFW")</f>
        <v>BJ And dev</v>
      </c>
      <c r="S2836" s="7" t="str">
        <f>IF(patch[[#This Row],[reviewer]]=patch[[#This Row],[tmp-owner.email]], "author", _xlfn.IFNA(VLOOKUP(patch[[#This Row],[reviewer]],OrgTree!$A:$K, 11, 0), "not ICG SWFW"))</f>
        <v>BJ And dev</v>
      </c>
      <c r="T2836" s="7" t="str">
        <f>IF(ISBLANK(patch[[#This Row],[mergeDate]]), "", MID(YEAR(patch[[#This Row],[mergeDate]]), 3,2)&amp;"'ww"&amp;WEEKNUM(patch[[#This Row],[mergeDate]]))</f>
        <v>16'ww36</v>
      </c>
      <c r="U2836" s="7" t="str">
        <f>IF(ISBLANK(patch[[#This Row],[mergeDate]]), U2835, MID(YEAR(patch[[#This Row],[mergeDate]]), 3,2)&amp;"'m"&amp;MONTH(patch[[#This Row],[mergeDate]]))</f>
        <v>16'm9</v>
      </c>
      <c r="V2836" s="7" t="str">
        <f>IF(ISBLANK(patch[[#This Row],[project]]), "",SUM(patch[[#This Row],[BJ -1 num]:[SH -1 num]]))</f>
        <v/>
      </c>
      <c r="W2836" s="7" t="str">
        <f>IF(ISBLANK(patch[[#This Row],[project]]), "",COUNTIFS($A:$A,patch[[#This Row],[number]],$S:$S, "BJ And dev",$AC:$AC, "Review-1"))</f>
        <v/>
      </c>
      <c r="X2836" s="7" t="str">
        <f>IF(ISBLANK(patch[[#This Row],[project]]), "",COUNTIFS($A:$A,patch[[#This Row],[number]],$S:$S, "FL And dev",$AC:$AC, "Review-1"))</f>
        <v/>
      </c>
      <c r="Y2836" s="7" t="str">
        <f>IF(ISBLANK(patch[[#This Row],[project]]), "",COUNTIFS($A:$A,patch[[#This Row],[number]],$S:$S, "SH And dev",$AC:$AC, "Review-1"))</f>
        <v/>
      </c>
      <c r="Z2836" s="7" t="str">
        <f>IF(ISBLANK(patch[[#This Row],[project]]), "",COUNTIFS($A:$A,patch[[#This Row],[number]],$S:$S, "BJ And dev",$AD:$AD, "&lt;&gt;IntegratorValidationComment"))</f>
        <v/>
      </c>
      <c r="AA2836" s="7" t="str">
        <f>IF(ISBLANK(patch[[#This Row],[project]]), "",COUNTIFS($A:$A,patch[[#This Row],[number]],$S:$S, "FL And dev",$AD:$AD, "&lt;&gt;IntegratorValidationComment"))</f>
        <v/>
      </c>
      <c r="AB2836" s="7" t="str">
        <f>IF(ISBLANK(patch[[#This Row],[project]]), "",COUNTIFS($A:$A,patch[[#This Row],[number]],$S:$S, "SH And dev",$AD:$AD, "&lt;&gt;IntegratorValidationComment"))</f>
        <v/>
      </c>
      <c r="AC2836" s="7" t="str">
        <f>IF(OR(ISNUMBER(FIND("Review-1", patch[[#This Row],[comments]])), ISNUMBER(FIND("Approver-1", patch[[#This Row],[comments]]))), "Review-1", "")</f>
        <v/>
      </c>
      <c r="AD283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36" s="7">
        <f>IF(ISBLANK(patch[[#This Row],[number]]),AE2835,patch[[#This Row],[ifCommon]])</f>
        <v>0</v>
      </c>
    </row>
    <row r="2837" spans="1:31">
      <c r="A2837" s="151">
        <v>138848</v>
      </c>
      <c r="B2837" s="151"/>
      <c r="C2837" s="151"/>
      <c r="D2837" s="151"/>
      <c r="E2837" s="151"/>
      <c r="F2837" s="151"/>
      <c r="G2837" s="151"/>
      <c r="H2837" s="151"/>
      <c r="I2837" s="151"/>
      <c r="J2837" s="152">
        <v>42614.74962962963</v>
      </c>
      <c r="K2837" s="151"/>
      <c r="L2837" s="151" t="s">
        <v>59</v>
      </c>
      <c r="M2837" s="152">
        <v>42607.434849537043</v>
      </c>
      <c r="N2837" s="151" t="s">
        <v>4013</v>
      </c>
      <c r="O2837" s="151"/>
      <c r="P2837" s="151"/>
      <c r="Q2837" s="7" t="str">
        <f>IF(ISBLANK(patch[[#This Row],[OwnerEmail]]),Q2836,patch[[#This Row],[OwnerEmail]])</f>
        <v>jie.j.zhang@intel.com</v>
      </c>
      <c r="R2837" s="7" t="str">
        <f>_xlfn.IFNA(VLOOKUP(patch[[#This Row],[tmp-owner.email]],OrgTree!$A:$K, 11, 0), "not ICG SWFW")</f>
        <v>BJ And dev</v>
      </c>
      <c r="S2837" s="7" t="str">
        <f>IF(patch[[#This Row],[reviewer]]=patch[[#This Row],[tmp-owner.email]], "author", _xlfn.IFNA(VLOOKUP(patch[[#This Row],[reviewer]],OrgTree!$A:$K, 11, 0), "not ICG SWFW"))</f>
        <v>BJ And dev</v>
      </c>
      <c r="T2837" s="7" t="str">
        <f>IF(ISBLANK(patch[[#This Row],[mergeDate]]), "", MID(YEAR(patch[[#This Row],[mergeDate]]), 3,2)&amp;"'ww"&amp;WEEKNUM(patch[[#This Row],[mergeDate]]))</f>
        <v>16'ww36</v>
      </c>
      <c r="U2837" s="7" t="str">
        <f>IF(ISBLANK(patch[[#This Row],[mergeDate]]), U2836, MID(YEAR(patch[[#This Row],[mergeDate]]), 3,2)&amp;"'m"&amp;MONTH(patch[[#This Row],[mergeDate]]))</f>
        <v>16'm9</v>
      </c>
      <c r="V2837" s="7" t="str">
        <f>IF(ISBLANK(patch[[#This Row],[project]]), "",SUM(patch[[#This Row],[BJ -1 num]:[SH -1 num]]))</f>
        <v/>
      </c>
      <c r="W2837" s="7" t="str">
        <f>IF(ISBLANK(patch[[#This Row],[project]]), "",COUNTIFS($A:$A,patch[[#This Row],[number]],$S:$S, "BJ And dev",$AC:$AC, "Review-1"))</f>
        <v/>
      </c>
      <c r="X2837" s="7" t="str">
        <f>IF(ISBLANK(patch[[#This Row],[project]]), "",COUNTIFS($A:$A,patch[[#This Row],[number]],$S:$S, "FL And dev",$AC:$AC, "Review-1"))</f>
        <v/>
      </c>
      <c r="Y2837" s="7" t="str">
        <f>IF(ISBLANK(patch[[#This Row],[project]]), "",COUNTIFS($A:$A,patch[[#This Row],[number]],$S:$S, "SH And dev",$AC:$AC, "Review-1"))</f>
        <v/>
      </c>
      <c r="Z2837" s="7" t="str">
        <f>IF(ISBLANK(patch[[#This Row],[project]]), "",COUNTIFS($A:$A,patch[[#This Row],[number]],$S:$S, "BJ And dev",$AD:$AD, "&lt;&gt;IntegratorValidationComment"))</f>
        <v/>
      </c>
      <c r="AA2837" s="7" t="str">
        <f>IF(ISBLANK(patch[[#This Row],[project]]), "",COUNTIFS($A:$A,patch[[#This Row],[number]],$S:$S, "FL And dev",$AD:$AD, "&lt;&gt;IntegratorValidationComment"))</f>
        <v/>
      </c>
      <c r="AB2837" s="7" t="str">
        <f>IF(ISBLANK(patch[[#This Row],[project]]), "",COUNTIFS($A:$A,patch[[#This Row],[number]],$S:$S, "SH And dev",$AD:$AD, "&lt;&gt;IntegratorValidationComment"))</f>
        <v/>
      </c>
      <c r="AC2837" s="7" t="str">
        <f>IF(OR(ISNUMBER(FIND("Review-1", patch[[#This Row],[comments]])), ISNUMBER(FIND("Approver-1", patch[[#This Row],[comments]]))), "Review-1", "")</f>
        <v/>
      </c>
      <c r="AD283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37" s="7">
        <f>IF(ISBLANK(patch[[#This Row],[number]]),AE2836,patch[[#This Row],[ifCommon]])</f>
        <v>0</v>
      </c>
    </row>
    <row r="2838" spans="1:31">
      <c r="A2838" s="151">
        <v>138848</v>
      </c>
      <c r="B2838" s="151"/>
      <c r="C2838" s="151"/>
      <c r="D2838" s="151"/>
      <c r="E2838" s="151"/>
      <c r="F2838" s="151"/>
      <c r="G2838" s="151"/>
      <c r="H2838" s="151"/>
      <c r="I2838" s="151"/>
      <c r="J2838" s="152">
        <v>42614.74962962963</v>
      </c>
      <c r="K2838" s="151"/>
      <c r="L2838" s="151" t="s">
        <v>75</v>
      </c>
      <c r="M2838" s="152">
        <v>42608.695671296293</v>
      </c>
      <c r="N2838" s="151" t="s">
        <v>2466</v>
      </c>
      <c r="O2838" s="151"/>
      <c r="P2838" s="151"/>
      <c r="Q2838" s="7" t="str">
        <f>IF(ISBLANK(patch[[#This Row],[OwnerEmail]]),Q2837,patch[[#This Row],[OwnerEmail]])</f>
        <v>jie.j.zhang@intel.com</v>
      </c>
      <c r="R2838" s="7" t="str">
        <f>_xlfn.IFNA(VLOOKUP(patch[[#This Row],[tmp-owner.email]],OrgTree!$A:$K, 11, 0), "not ICG SWFW")</f>
        <v>BJ And dev</v>
      </c>
      <c r="S2838" s="7" t="str">
        <f>IF(patch[[#This Row],[reviewer]]=patch[[#This Row],[tmp-owner.email]], "author", _xlfn.IFNA(VLOOKUP(patch[[#This Row],[reviewer]],OrgTree!$A:$K, 11, 0), "not ICG SWFW"))</f>
        <v>author</v>
      </c>
      <c r="T2838" s="7" t="str">
        <f>IF(ISBLANK(patch[[#This Row],[mergeDate]]), "", MID(YEAR(patch[[#This Row],[mergeDate]]), 3,2)&amp;"'ww"&amp;WEEKNUM(patch[[#This Row],[mergeDate]]))</f>
        <v>16'ww36</v>
      </c>
      <c r="U2838" s="7" t="str">
        <f>IF(ISBLANK(patch[[#This Row],[mergeDate]]), U2837, MID(YEAR(patch[[#This Row],[mergeDate]]), 3,2)&amp;"'m"&amp;MONTH(patch[[#This Row],[mergeDate]]))</f>
        <v>16'm9</v>
      </c>
      <c r="V2838" s="7" t="str">
        <f>IF(ISBLANK(patch[[#This Row],[project]]), "",SUM(patch[[#This Row],[BJ -1 num]:[SH -1 num]]))</f>
        <v/>
      </c>
      <c r="W2838" s="7" t="str">
        <f>IF(ISBLANK(patch[[#This Row],[project]]), "",COUNTIFS($A:$A,patch[[#This Row],[number]],$S:$S, "BJ And dev",$AC:$AC, "Review-1"))</f>
        <v/>
      </c>
      <c r="X2838" s="7" t="str">
        <f>IF(ISBLANK(patch[[#This Row],[project]]), "",COUNTIFS($A:$A,patch[[#This Row],[number]],$S:$S, "FL And dev",$AC:$AC, "Review-1"))</f>
        <v/>
      </c>
      <c r="Y2838" s="7" t="str">
        <f>IF(ISBLANK(patch[[#This Row],[project]]), "",COUNTIFS($A:$A,patch[[#This Row],[number]],$S:$S, "SH And dev",$AC:$AC, "Review-1"))</f>
        <v/>
      </c>
      <c r="Z2838" s="7" t="str">
        <f>IF(ISBLANK(patch[[#This Row],[project]]), "",COUNTIFS($A:$A,patch[[#This Row],[number]],$S:$S, "BJ And dev",$AD:$AD, "&lt;&gt;IntegratorValidationComment"))</f>
        <v/>
      </c>
      <c r="AA2838" s="7" t="str">
        <f>IF(ISBLANK(patch[[#This Row],[project]]), "",COUNTIFS($A:$A,patch[[#This Row],[number]],$S:$S, "FL And dev",$AD:$AD, "&lt;&gt;IntegratorValidationComment"))</f>
        <v/>
      </c>
      <c r="AB2838" s="7" t="str">
        <f>IF(ISBLANK(patch[[#This Row],[project]]), "",COUNTIFS($A:$A,patch[[#This Row],[number]],$S:$S, "SH And dev",$AD:$AD, "&lt;&gt;IntegratorValidationComment"))</f>
        <v/>
      </c>
      <c r="AC2838" s="7" t="str">
        <f>IF(OR(ISNUMBER(FIND("Review-1", patch[[#This Row],[comments]])), ISNUMBER(FIND("Approver-1", patch[[#This Row],[comments]]))), "Review-1", "")</f>
        <v/>
      </c>
      <c r="AD283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38" s="7">
        <f>IF(ISBLANK(patch[[#This Row],[number]]),AE2837,patch[[#This Row],[ifCommon]])</f>
        <v>0</v>
      </c>
    </row>
    <row r="2839" spans="1:31">
      <c r="A2839" s="151">
        <v>138848</v>
      </c>
      <c r="B2839" s="151"/>
      <c r="C2839" s="151"/>
      <c r="D2839" s="151"/>
      <c r="E2839" s="151"/>
      <c r="F2839" s="151"/>
      <c r="G2839" s="151"/>
      <c r="H2839" s="151"/>
      <c r="I2839" s="151"/>
      <c r="J2839" s="152">
        <v>42614.74962962963</v>
      </c>
      <c r="K2839" s="151"/>
      <c r="L2839" s="151" t="s">
        <v>75</v>
      </c>
      <c r="M2839" s="152">
        <v>42608.695671296293</v>
      </c>
      <c r="N2839" s="151" t="s">
        <v>1862</v>
      </c>
      <c r="O2839" s="151"/>
      <c r="P2839" s="151"/>
      <c r="Q2839" s="7" t="str">
        <f>IF(ISBLANK(patch[[#This Row],[OwnerEmail]]),Q2838,patch[[#This Row],[OwnerEmail]])</f>
        <v>jie.j.zhang@intel.com</v>
      </c>
      <c r="R2839" s="7" t="str">
        <f>_xlfn.IFNA(VLOOKUP(patch[[#This Row],[tmp-owner.email]],OrgTree!$A:$K, 11, 0), "not ICG SWFW")</f>
        <v>BJ And dev</v>
      </c>
      <c r="S2839" s="7" t="str">
        <f>IF(patch[[#This Row],[reviewer]]=patch[[#This Row],[tmp-owner.email]], "author", _xlfn.IFNA(VLOOKUP(patch[[#This Row],[reviewer]],OrgTree!$A:$K, 11, 0), "not ICG SWFW"))</f>
        <v>author</v>
      </c>
      <c r="T2839" s="7" t="str">
        <f>IF(ISBLANK(patch[[#This Row],[mergeDate]]), "", MID(YEAR(patch[[#This Row],[mergeDate]]), 3,2)&amp;"'ww"&amp;WEEKNUM(patch[[#This Row],[mergeDate]]))</f>
        <v>16'ww36</v>
      </c>
      <c r="U2839" s="7" t="str">
        <f>IF(ISBLANK(patch[[#This Row],[mergeDate]]), U2838, MID(YEAR(patch[[#This Row],[mergeDate]]), 3,2)&amp;"'m"&amp;MONTH(patch[[#This Row],[mergeDate]]))</f>
        <v>16'm9</v>
      </c>
      <c r="V2839" s="7" t="str">
        <f>IF(ISBLANK(patch[[#This Row],[project]]), "",SUM(patch[[#This Row],[BJ -1 num]:[SH -1 num]]))</f>
        <v/>
      </c>
      <c r="W2839" s="7" t="str">
        <f>IF(ISBLANK(patch[[#This Row],[project]]), "",COUNTIFS($A:$A,patch[[#This Row],[number]],$S:$S, "BJ And dev",$AC:$AC, "Review-1"))</f>
        <v/>
      </c>
      <c r="X2839" s="7" t="str">
        <f>IF(ISBLANK(patch[[#This Row],[project]]), "",COUNTIFS($A:$A,patch[[#This Row],[number]],$S:$S, "FL And dev",$AC:$AC, "Review-1"))</f>
        <v/>
      </c>
      <c r="Y2839" s="7" t="str">
        <f>IF(ISBLANK(patch[[#This Row],[project]]), "",COUNTIFS($A:$A,patch[[#This Row],[number]],$S:$S, "SH And dev",$AC:$AC, "Review-1"))</f>
        <v/>
      </c>
      <c r="Z2839" s="7" t="str">
        <f>IF(ISBLANK(patch[[#This Row],[project]]), "",COUNTIFS($A:$A,patch[[#This Row],[number]],$S:$S, "BJ And dev",$AD:$AD, "&lt;&gt;IntegratorValidationComment"))</f>
        <v/>
      </c>
      <c r="AA2839" s="7" t="str">
        <f>IF(ISBLANK(patch[[#This Row],[project]]), "",COUNTIFS($A:$A,patch[[#This Row],[number]],$S:$S, "FL And dev",$AD:$AD, "&lt;&gt;IntegratorValidationComment"))</f>
        <v/>
      </c>
      <c r="AB2839" s="7" t="str">
        <f>IF(ISBLANK(patch[[#This Row],[project]]), "",COUNTIFS($A:$A,patch[[#This Row],[number]],$S:$S, "SH And dev",$AD:$AD, "&lt;&gt;IntegratorValidationComment"))</f>
        <v/>
      </c>
      <c r="AC2839" s="7" t="str">
        <f>IF(OR(ISNUMBER(FIND("Review-1", patch[[#This Row],[comments]])), ISNUMBER(FIND("Approver-1", patch[[#This Row],[comments]]))), "Review-1", "")</f>
        <v/>
      </c>
      <c r="AD283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39" s="7">
        <f>IF(ISBLANK(patch[[#This Row],[number]]),AE2838,patch[[#This Row],[ifCommon]])</f>
        <v>0</v>
      </c>
    </row>
    <row r="2840" spans="1:31">
      <c r="A2840" s="151">
        <v>138848</v>
      </c>
      <c r="B2840" s="151"/>
      <c r="C2840" s="151"/>
      <c r="D2840" s="151"/>
      <c r="E2840" s="151"/>
      <c r="F2840" s="151"/>
      <c r="G2840" s="151"/>
      <c r="H2840" s="151"/>
      <c r="I2840" s="151"/>
      <c r="J2840" s="152">
        <v>42614.74962962963</v>
      </c>
      <c r="K2840" s="151"/>
      <c r="L2840" s="151" t="s">
        <v>59</v>
      </c>
      <c r="M2840" s="152">
        <v>42608.703912037039</v>
      </c>
      <c r="N2840" s="151" t="s">
        <v>4014</v>
      </c>
      <c r="O2840" s="151"/>
      <c r="P2840" s="151"/>
      <c r="Q2840" s="7" t="str">
        <f>IF(ISBLANK(patch[[#This Row],[OwnerEmail]]),Q2839,patch[[#This Row],[OwnerEmail]])</f>
        <v>jie.j.zhang@intel.com</v>
      </c>
      <c r="R2840" s="7" t="str">
        <f>_xlfn.IFNA(VLOOKUP(patch[[#This Row],[tmp-owner.email]],OrgTree!$A:$K, 11, 0), "not ICG SWFW")</f>
        <v>BJ And dev</v>
      </c>
      <c r="S2840" s="7" t="str">
        <f>IF(patch[[#This Row],[reviewer]]=patch[[#This Row],[tmp-owner.email]], "author", _xlfn.IFNA(VLOOKUP(patch[[#This Row],[reviewer]],OrgTree!$A:$K, 11, 0), "not ICG SWFW"))</f>
        <v>BJ And dev</v>
      </c>
      <c r="T2840" s="7" t="str">
        <f>IF(ISBLANK(patch[[#This Row],[mergeDate]]), "", MID(YEAR(patch[[#This Row],[mergeDate]]), 3,2)&amp;"'ww"&amp;WEEKNUM(patch[[#This Row],[mergeDate]]))</f>
        <v>16'ww36</v>
      </c>
      <c r="U2840" s="7" t="str">
        <f>IF(ISBLANK(patch[[#This Row],[mergeDate]]), U2839, MID(YEAR(patch[[#This Row],[mergeDate]]), 3,2)&amp;"'m"&amp;MONTH(patch[[#This Row],[mergeDate]]))</f>
        <v>16'm9</v>
      </c>
      <c r="V2840" s="7" t="str">
        <f>IF(ISBLANK(patch[[#This Row],[project]]), "",SUM(patch[[#This Row],[BJ -1 num]:[SH -1 num]]))</f>
        <v/>
      </c>
      <c r="W2840" s="7" t="str">
        <f>IF(ISBLANK(patch[[#This Row],[project]]), "",COUNTIFS($A:$A,patch[[#This Row],[number]],$S:$S, "BJ And dev",$AC:$AC, "Review-1"))</f>
        <v/>
      </c>
      <c r="X2840" s="7" t="str">
        <f>IF(ISBLANK(patch[[#This Row],[project]]), "",COUNTIFS($A:$A,patch[[#This Row],[number]],$S:$S, "FL And dev",$AC:$AC, "Review-1"))</f>
        <v/>
      </c>
      <c r="Y2840" s="7" t="str">
        <f>IF(ISBLANK(patch[[#This Row],[project]]), "",COUNTIFS($A:$A,patch[[#This Row],[number]],$S:$S, "SH And dev",$AC:$AC, "Review-1"))</f>
        <v/>
      </c>
      <c r="Z2840" s="7" t="str">
        <f>IF(ISBLANK(patch[[#This Row],[project]]), "",COUNTIFS($A:$A,patch[[#This Row],[number]],$S:$S, "BJ And dev",$AD:$AD, "&lt;&gt;IntegratorValidationComment"))</f>
        <v/>
      </c>
      <c r="AA2840" s="7" t="str">
        <f>IF(ISBLANK(patch[[#This Row],[project]]), "",COUNTIFS($A:$A,patch[[#This Row],[number]],$S:$S, "FL And dev",$AD:$AD, "&lt;&gt;IntegratorValidationComment"))</f>
        <v/>
      </c>
      <c r="AB2840" s="7" t="str">
        <f>IF(ISBLANK(patch[[#This Row],[project]]), "",COUNTIFS($A:$A,patch[[#This Row],[number]],$S:$S, "SH And dev",$AD:$AD, "&lt;&gt;IntegratorValidationComment"))</f>
        <v/>
      </c>
      <c r="AC2840" s="7" t="str">
        <f>IF(OR(ISNUMBER(FIND("Review-1", patch[[#This Row],[comments]])), ISNUMBER(FIND("Approver-1", patch[[#This Row],[comments]]))), "Review-1", "")</f>
        <v/>
      </c>
      <c r="AD284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40" s="7">
        <f>IF(ISBLANK(patch[[#This Row],[number]]),AE2839,patch[[#This Row],[ifCommon]])</f>
        <v>0</v>
      </c>
    </row>
    <row r="2841" spans="1:31">
      <c r="A2841" s="151">
        <v>138848</v>
      </c>
      <c r="B2841" s="151"/>
      <c r="C2841" s="151"/>
      <c r="D2841" s="151"/>
      <c r="E2841" s="151"/>
      <c r="F2841" s="151"/>
      <c r="G2841" s="151"/>
      <c r="H2841" s="151"/>
      <c r="I2841" s="151"/>
      <c r="J2841" s="152">
        <v>42614.74962962963</v>
      </c>
      <c r="K2841" s="151"/>
      <c r="L2841" s="151" t="s">
        <v>59</v>
      </c>
      <c r="M2841" s="152">
        <v>42608.70894675926</v>
      </c>
      <c r="N2841" s="151" t="s">
        <v>4015</v>
      </c>
      <c r="O2841" s="151"/>
      <c r="P2841" s="151"/>
      <c r="Q2841" s="7" t="str">
        <f>IF(ISBLANK(patch[[#This Row],[OwnerEmail]]),Q2840,patch[[#This Row],[OwnerEmail]])</f>
        <v>jie.j.zhang@intel.com</v>
      </c>
      <c r="R2841" s="7" t="str">
        <f>_xlfn.IFNA(VLOOKUP(patch[[#This Row],[tmp-owner.email]],OrgTree!$A:$K, 11, 0), "not ICG SWFW")</f>
        <v>BJ And dev</v>
      </c>
      <c r="S2841" s="7" t="str">
        <f>IF(patch[[#This Row],[reviewer]]=patch[[#This Row],[tmp-owner.email]], "author", _xlfn.IFNA(VLOOKUP(patch[[#This Row],[reviewer]],OrgTree!$A:$K, 11, 0), "not ICG SWFW"))</f>
        <v>BJ And dev</v>
      </c>
      <c r="T2841" s="7" t="str">
        <f>IF(ISBLANK(patch[[#This Row],[mergeDate]]), "", MID(YEAR(patch[[#This Row],[mergeDate]]), 3,2)&amp;"'ww"&amp;WEEKNUM(patch[[#This Row],[mergeDate]]))</f>
        <v>16'ww36</v>
      </c>
      <c r="U2841" s="7" t="str">
        <f>IF(ISBLANK(patch[[#This Row],[mergeDate]]), U2840, MID(YEAR(patch[[#This Row],[mergeDate]]), 3,2)&amp;"'m"&amp;MONTH(patch[[#This Row],[mergeDate]]))</f>
        <v>16'm9</v>
      </c>
      <c r="V2841" s="7" t="str">
        <f>IF(ISBLANK(patch[[#This Row],[project]]), "",SUM(patch[[#This Row],[BJ -1 num]:[SH -1 num]]))</f>
        <v/>
      </c>
      <c r="W2841" s="7" t="str">
        <f>IF(ISBLANK(patch[[#This Row],[project]]), "",COUNTIFS($A:$A,patch[[#This Row],[number]],$S:$S, "BJ And dev",$AC:$AC, "Review-1"))</f>
        <v/>
      </c>
      <c r="X2841" s="7" t="str">
        <f>IF(ISBLANK(patch[[#This Row],[project]]), "",COUNTIFS($A:$A,patch[[#This Row],[number]],$S:$S, "FL And dev",$AC:$AC, "Review-1"))</f>
        <v/>
      </c>
      <c r="Y2841" s="7" t="str">
        <f>IF(ISBLANK(patch[[#This Row],[project]]), "",COUNTIFS($A:$A,patch[[#This Row],[number]],$S:$S, "SH And dev",$AC:$AC, "Review-1"))</f>
        <v/>
      </c>
      <c r="Z2841" s="7" t="str">
        <f>IF(ISBLANK(patch[[#This Row],[project]]), "",COUNTIFS($A:$A,patch[[#This Row],[number]],$S:$S, "BJ And dev",$AD:$AD, "&lt;&gt;IntegratorValidationComment"))</f>
        <v/>
      </c>
      <c r="AA2841" s="7" t="str">
        <f>IF(ISBLANK(patch[[#This Row],[project]]), "",COUNTIFS($A:$A,patch[[#This Row],[number]],$S:$S, "FL And dev",$AD:$AD, "&lt;&gt;IntegratorValidationComment"))</f>
        <v/>
      </c>
      <c r="AB2841" s="7" t="str">
        <f>IF(ISBLANK(patch[[#This Row],[project]]), "",COUNTIFS($A:$A,patch[[#This Row],[number]],$S:$S, "SH And dev",$AD:$AD, "&lt;&gt;IntegratorValidationComment"))</f>
        <v/>
      </c>
      <c r="AC2841" s="7" t="str">
        <f>IF(OR(ISNUMBER(FIND("Review-1", patch[[#This Row],[comments]])), ISNUMBER(FIND("Approver-1", patch[[#This Row],[comments]]))), "Review-1", "")</f>
        <v/>
      </c>
      <c r="AD284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41" s="7">
        <f>IF(ISBLANK(patch[[#This Row],[number]]),AE2840,patch[[#This Row],[ifCommon]])</f>
        <v>0</v>
      </c>
    </row>
    <row r="2842" spans="1:31">
      <c r="A2842" s="151">
        <v>138848</v>
      </c>
      <c r="B2842" s="151"/>
      <c r="C2842" s="151"/>
      <c r="D2842" s="151"/>
      <c r="E2842" s="151"/>
      <c r="F2842" s="151"/>
      <c r="G2842" s="151"/>
      <c r="H2842" s="151"/>
      <c r="I2842" s="151"/>
      <c r="J2842" s="152">
        <v>42614.74962962963</v>
      </c>
      <c r="K2842" s="151"/>
      <c r="L2842" s="151" t="s">
        <v>75</v>
      </c>
      <c r="M2842" s="152">
        <v>42611.405416666668</v>
      </c>
      <c r="N2842" s="151" t="s">
        <v>1854</v>
      </c>
      <c r="O2842" s="151"/>
      <c r="P2842" s="151"/>
      <c r="Q2842" s="7" t="str">
        <f>IF(ISBLANK(patch[[#This Row],[OwnerEmail]]),Q2841,patch[[#This Row],[OwnerEmail]])</f>
        <v>jie.j.zhang@intel.com</v>
      </c>
      <c r="R2842" s="7" t="str">
        <f>_xlfn.IFNA(VLOOKUP(patch[[#This Row],[tmp-owner.email]],OrgTree!$A:$K, 11, 0), "not ICG SWFW")</f>
        <v>BJ And dev</v>
      </c>
      <c r="S2842" s="7" t="str">
        <f>IF(patch[[#This Row],[reviewer]]=patch[[#This Row],[tmp-owner.email]], "author", _xlfn.IFNA(VLOOKUP(patch[[#This Row],[reviewer]],OrgTree!$A:$K, 11, 0), "not ICG SWFW"))</f>
        <v>author</v>
      </c>
      <c r="T2842" s="7" t="str">
        <f>IF(ISBLANK(patch[[#This Row],[mergeDate]]), "", MID(YEAR(patch[[#This Row],[mergeDate]]), 3,2)&amp;"'ww"&amp;WEEKNUM(patch[[#This Row],[mergeDate]]))</f>
        <v>16'ww36</v>
      </c>
      <c r="U2842" s="7" t="str">
        <f>IF(ISBLANK(patch[[#This Row],[mergeDate]]), U2841, MID(YEAR(patch[[#This Row],[mergeDate]]), 3,2)&amp;"'m"&amp;MONTH(patch[[#This Row],[mergeDate]]))</f>
        <v>16'm9</v>
      </c>
      <c r="V2842" s="7" t="str">
        <f>IF(ISBLANK(patch[[#This Row],[project]]), "",SUM(patch[[#This Row],[BJ -1 num]:[SH -1 num]]))</f>
        <v/>
      </c>
      <c r="W2842" s="7" t="str">
        <f>IF(ISBLANK(patch[[#This Row],[project]]), "",COUNTIFS($A:$A,patch[[#This Row],[number]],$S:$S, "BJ And dev",$AC:$AC, "Review-1"))</f>
        <v/>
      </c>
      <c r="X2842" s="7" t="str">
        <f>IF(ISBLANK(patch[[#This Row],[project]]), "",COUNTIFS($A:$A,patch[[#This Row],[number]],$S:$S, "FL And dev",$AC:$AC, "Review-1"))</f>
        <v/>
      </c>
      <c r="Y2842" s="7" t="str">
        <f>IF(ISBLANK(patch[[#This Row],[project]]), "",COUNTIFS($A:$A,patch[[#This Row],[number]],$S:$S, "SH And dev",$AC:$AC, "Review-1"))</f>
        <v/>
      </c>
      <c r="Z2842" s="7" t="str">
        <f>IF(ISBLANK(patch[[#This Row],[project]]), "",COUNTIFS($A:$A,patch[[#This Row],[number]],$S:$S, "BJ And dev",$AD:$AD, "&lt;&gt;IntegratorValidationComment"))</f>
        <v/>
      </c>
      <c r="AA2842" s="7" t="str">
        <f>IF(ISBLANK(patch[[#This Row],[project]]), "",COUNTIFS($A:$A,patch[[#This Row],[number]],$S:$S, "FL And dev",$AD:$AD, "&lt;&gt;IntegratorValidationComment"))</f>
        <v/>
      </c>
      <c r="AB2842" s="7" t="str">
        <f>IF(ISBLANK(patch[[#This Row],[project]]), "",COUNTIFS($A:$A,patch[[#This Row],[number]],$S:$S, "SH And dev",$AD:$AD, "&lt;&gt;IntegratorValidationComment"))</f>
        <v/>
      </c>
      <c r="AC2842" s="7" t="str">
        <f>IF(OR(ISNUMBER(FIND("Review-1", patch[[#This Row],[comments]])), ISNUMBER(FIND("Approver-1", patch[[#This Row],[comments]]))), "Review-1", "")</f>
        <v/>
      </c>
      <c r="AD284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42" s="7">
        <f>IF(ISBLANK(patch[[#This Row],[number]]),AE2841,patch[[#This Row],[ifCommon]])</f>
        <v>0</v>
      </c>
    </row>
    <row r="2843" spans="1:31">
      <c r="A2843" s="151">
        <v>138848</v>
      </c>
      <c r="B2843" s="151"/>
      <c r="C2843" s="151"/>
      <c r="D2843" s="151"/>
      <c r="E2843" s="151"/>
      <c r="F2843" s="151"/>
      <c r="G2843" s="151"/>
      <c r="H2843" s="151"/>
      <c r="I2843" s="151"/>
      <c r="J2843" s="152">
        <v>42614.74962962963</v>
      </c>
      <c r="K2843" s="151"/>
      <c r="L2843" s="151" t="s">
        <v>32</v>
      </c>
      <c r="M2843" s="152">
        <v>42612.443541666667</v>
      </c>
      <c r="N2843" s="151" t="s">
        <v>1854</v>
      </c>
      <c r="O2843" s="151"/>
      <c r="P2843" s="151"/>
      <c r="Q2843" s="7" t="str">
        <f>IF(ISBLANK(patch[[#This Row],[OwnerEmail]]),Q2842,patch[[#This Row],[OwnerEmail]])</f>
        <v>jie.j.zhang@intel.com</v>
      </c>
      <c r="R2843" s="7" t="str">
        <f>_xlfn.IFNA(VLOOKUP(patch[[#This Row],[tmp-owner.email]],OrgTree!$A:$K, 11, 0), "not ICG SWFW")</f>
        <v>BJ And dev</v>
      </c>
      <c r="S2843" s="7" t="str">
        <f>IF(patch[[#This Row],[reviewer]]=patch[[#This Row],[tmp-owner.email]], "author", _xlfn.IFNA(VLOOKUP(patch[[#This Row],[reviewer]],OrgTree!$A:$K, 11, 0), "not ICG SWFW"))</f>
        <v>BJ And dev</v>
      </c>
      <c r="T2843" s="7" t="str">
        <f>IF(ISBLANK(patch[[#This Row],[mergeDate]]), "", MID(YEAR(patch[[#This Row],[mergeDate]]), 3,2)&amp;"'ww"&amp;WEEKNUM(patch[[#This Row],[mergeDate]]))</f>
        <v>16'ww36</v>
      </c>
      <c r="U2843" s="7" t="str">
        <f>IF(ISBLANK(patch[[#This Row],[mergeDate]]), U2842, MID(YEAR(patch[[#This Row],[mergeDate]]), 3,2)&amp;"'m"&amp;MONTH(patch[[#This Row],[mergeDate]]))</f>
        <v>16'm9</v>
      </c>
      <c r="V2843" s="7" t="str">
        <f>IF(ISBLANK(patch[[#This Row],[project]]), "",SUM(patch[[#This Row],[BJ -1 num]:[SH -1 num]]))</f>
        <v/>
      </c>
      <c r="W2843" s="7" t="str">
        <f>IF(ISBLANK(patch[[#This Row],[project]]), "",COUNTIFS($A:$A,patch[[#This Row],[number]],$S:$S, "BJ And dev",$AC:$AC, "Review-1"))</f>
        <v/>
      </c>
      <c r="X2843" s="7" t="str">
        <f>IF(ISBLANK(patch[[#This Row],[project]]), "",COUNTIFS($A:$A,patch[[#This Row],[number]],$S:$S, "FL And dev",$AC:$AC, "Review-1"))</f>
        <v/>
      </c>
      <c r="Y2843" s="7" t="str">
        <f>IF(ISBLANK(patch[[#This Row],[project]]), "",COUNTIFS($A:$A,patch[[#This Row],[number]],$S:$S, "SH And dev",$AC:$AC, "Review-1"))</f>
        <v/>
      </c>
      <c r="Z2843" s="7" t="str">
        <f>IF(ISBLANK(patch[[#This Row],[project]]), "",COUNTIFS($A:$A,patch[[#This Row],[number]],$S:$S, "BJ And dev",$AD:$AD, "&lt;&gt;IntegratorValidationComment"))</f>
        <v/>
      </c>
      <c r="AA2843" s="7" t="str">
        <f>IF(ISBLANK(patch[[#This Row],[project]]), "",COUNTIFS($A:$A,patch[[#This Row],[number]],$S:$S, "FL And dev",$AD:$AD, "&lt;&gt;IntegratorValidationComment"))</f>
        <v/>
      </c>
      <c r="AB2843" s="7" t="str">
        <f>IF(ISBLANK(patch[[#This Row],[project]]), "",COUNTIFS($A:$A,patch[[#This Row],[number]],$S:$S, "SH And dev",$AD:$AD, "&lt;&gt;IntegratorValidationComment"))</f>
        <v/>
      </c>
      <c r="AC2843" s="7" t="str">
        <f>IF(OR(ISNUMBER(FIND("Review-1", patch[[#This Row],[comments]])), ISNUMBER(FIND("Approver-1", patch[[#This Row],[comments]]))), "Review-1", "")</f>
        <v/>
      </c>
      <c r="AD284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43" s="7">
        <f>IF(ISBLANK(patch[[#This Row],[number]]),AE2842,patch[[#This Row],[ifCommon]])</f>
        <v>0</v>
      </c>
    </row>
    <row r="2844" spans="1:31">
      <c r="A2844" s="151">
        <v>138848</v>
      </c>
      <c r="B2844" s="151"/>
      <c r="C2844" s="151"/>
      <c r="D2844" s="151"/>
      <c r="E2844" s="151"/>
      <c r="F2844" s="151"/>
      <c r="G2844" s="151"/>
      <c r="H2844" s="151"/>
      <c r="I2844" s="151"/>
      <c r="J2844" s="152">
        <v>42614.74962962963</v>
      </c>
      <c r="K2844" s="151"/>
      <c r="L2844" s="151" t="s">
        <v>59</v>
      </c>
      <c r="M2844" s="152">
        <v>42612.632708333331</v>
      </c>
      <c r="N2844" s="151" t="s">
        <v>4016</v>
      </c>
      <c r="O2844" s="151" t="s">
        <v>4017</v>
      </c>
      <c r="P2844" s="151"/>
      <c r="Q2844" s="7" t="str">
        <f>IF(ISBLANK(patch[[#This Row],[OwnerEmail]]),Q2843,patch[[#This Row],[OwnerEmail]])</f>
        <v>jie.j.zhang@intel.com</v>
      </c>
      <c r="R2844" s="7" t="str">
        <f>_xlfn.IFNA(VLOOKUP(patch[[#This Row],[tmp-owner.email]],OrgTree!$A:$K, 11, 0), "not ICG SWFW")</f>
        <v>BJ And dev</v>
      </c>
      <c r="S2844" s="7" t="str">
        <f>IF(patch[[#This Row],[reviewer]]=patch[[#This Row],[tmp-owner.email]], "author", _xlfn.IFNA(VLOOKUP(patch[[#This Row],[reviewer]],OrgTree!$A:$K, 11, 0), "not ICG SWFW"))</f>
        <v>BJ And dev</v>
      </c>
      <c r="T2844" s="7" t="str">
        <f>IF(ISBLANK(patch[[#This Row],[mergeDate]]), "", MID(YEAR(patch[[#This Row],[mergeDate]]), 3,2)&amp;"'ww"&amp;WEEKNUM(patch[[#This Row],[mergeDate]]))</f>
        <v>16'ww36</v>
      </c>
      <c r="U2844" s="7" t="str">
        <f>IF(ISBLANK(patch[[#This Row],[mergeDate]]), U2843, MID(YEAR(patch[[#This Row],[mergeDate]]), 3,2)&amp;"'m"&amp;MONTH(patch[[#This Row],[mergeDate]]))</f>
        <v>16'm9</v>
      </c>
      <c r="V2844" s="7" t="str">
        <f>IF(ISBLANK(patch[[#This Row],[project]]), "",SUM(patch[[#This Row],[BJ -1 num]:[SH -1 num]]))</f>
        <v/>
      </c>
      <c r="W2844" s="7" t="str">
        <f>IF(ISBLANK(patch[[#This Row],[project]]), "",COUNTIFS($A:$A,patch[[#This Row],[number]],$S:$S, "BJ And dev",$AC:$AC, "Review-1"))</f>
        <v/>
      </c>
      <c r="X2844" s="7" t="str">
        <f>IF(ISBLANK(patch[[#This Row],[project]]), "",COUNTIFS($A:$A,patch[[#This Row],[number]],$S:$S, "FL And dev",$AC:$AC, "Review-1"))</f>
        <v/>
      </c>
      <c r="Y2844" s="7" t="str">
        <f>IF(ISBLANK(patch[[#This Row],[project]]), "",COUNTIFS($A:$A,patch[[#This Row],[number]],$S:$S, "SH And dev",$AC:$AC, "Review-1"))</f>
        <v/>
      </c>
      <c r="Z2844" s="7" t="str">
        <f>IF(ISBLANK(patch[[#This Row],[project]]), "",COUNTIFS($A:$A,patch[[#This Row],[number]],$S:$S, "BJ And dev",$AD:$AD, "&lt;&gt;IntegratorValidationComment"))</f>
        <v/>
      </c>
      <c r="AA2844" s="7" t="str">
        <f>IF(ISBLANK(patch[[#This Row],[project]]), "",COUNTIFS($A:$A,patch[[#This Row],[number]],$S:$S, "FL And dev",$AD:$AD, "&lt;&gt;IntegratorValidationComment"))</f>
        <v/>
      </c>
      <c r="AB2844" s="7" t="str">
        <f>IF(ISBLANK(patch[[#This Row],[project]]), "",COUNTIFS($A:$A,patch[[#This Row],[number]],$S:$S, "SH And dev",$AD:$AD, "&lt;&gt;IntegratorValidationComment"))</f>
        <v/>
      </c>
      <c r="AC2844" s="7" t="str">
        <f>IF(OR(ISNUMBER(FIND("Review-1", patch[[#This Row],[comments]])), ISNUMBER(FIND("Approver-1", patch[[#This Row],[comments]]))), "Review-1", "")</f>
        <v/>
      </c>
      <c r="AD284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44" s="7">
        <f>IF(ISBLANK(patch[[#This Row],[number]]),AE2843,patch[[#This Row],[ifCommon]])</f>
        <v>0</v>
      </c>
    </row>
    <row r="2845" spans="1:31">
      <c r="A2845" s="151">
        <v>138848</v>
      </c>
      <c r="B2845" s="151"/>
      <c r="C2845" s="151"/>
      <c r="D2845" s="151"/>
      <c r="E2845" s="151"/>
      <c r="F2845" s="151"/>
      <c r="G2845" s="151"/>
      <c r="H2845" s="151"/>
      <c r="I2845" s="151"/>
      <c r="J2845" s="152">
        <v>42614.74962962963</v>
      </c>
      <c r="K2845" s="151"/>
      <c r="L2845" s="151" t="s">
        <v>75</v>
      </c>
      <c r="M2845" s="152">
        <v>42613.419479166667</v>
      </c>
      <c r="N2845" s="151" t="s">
        <v>2519</v>
      </c>
      <c r="O2845" s="151"/>
      <c r="P2845" s="151"/>
      <c r="Q2845" s="7" t="str">
        <f>IF(ISBLANK(patch[[#This Row],[OwnerEmail]]),Q2844,patch[[#This Row],[OwnerEmail]])</f>
        <v>jie.j.zhang@intel.com</v>
      </c>
      <c r="R2845" s="7" t="str">
        <f>_xlfn.IFNA(VLOOKUP(patch[[#This Row],[tmp-owner.email]],OrgTree!$A:$K, 11, 0), "not ICG SWFW")</f>
        <v>BJ And dev</v>
      </c>
      <c r="S2845" s="7" t="str">
        <f>IF(patch[[#This Row],[reviewer]]=patch[[#This Row],[tmp-owner.email]], "author", _xlfn.IFNA(VLOOKUP(patch[[#This Row],[reviewer]],OrgTree!$A:$K, 11, 0), "not ICG SWFW"))</f>
        <v>author</v>
      </c>
      <c r="T2845" s="7" t="str">
        <f>IF(ISBLANK(patch[[#This Row],[mergeDate]]), "", MID(YEAR(patch[[#This Row],[mergeDate]]), 3,2)&amp;"'ww"&amp;WEEKNUM(patch[[#This Row],[mergeDate]]))</f>
        <v>16'ww36</v>
      </c>
      <c r="U2845" s="7" t="str">
        <f>IF(ISBLANK(patch[[#This Row],[mergeDate]]), U2844, MID(YEAR(patch[[#This Row],[mergeDate]]), 3,2)&amp;"'m"&amp;MONTH(patch[[#This Row],[mergeDate]]))</f>
        <v>16'm9</v>
      </c>
      <c r="V2845" s="7" t="str">
        <f>IF(ISBLANK(patch[[#This Row],[project]]), "",SUM(patch[[#This Row],[BJ -1 num]:[SH -1 num]]))</f>
        <v/>
      </c>
      <c r="W2845" s="7" t="str">
        <f>IF(ISBLANK(patch[[#This Row],[project]]), "",COUNTIFS($A:$A,patch[[#This Row],[number]],$S:$S, "BJ And dev",$AC:$AC, "Review-1"))</f>
        <v/>
      </c>
      <c r="X2845" s="7" t="str">
        <f>IF(ISBLANK(patch[[#This Row],[project]]), "",COUNTIFS($A:$A,patch[[#This Row],[number]],$S:$S, "FL And dev",$AC:$AC, "Review-1"))</f>
        <v/>
      </c>
      <c r="Y2845" s="7" t="str">
        <f>IF(ISBLANK(patch[[#This Row],[project]]), "",COUNTIFS($A:$A,patch[[#This Row],[number]],$S:$S, "SH And dev",$AC:$AC, "Review-1"))</f>
        <v/>
      </c>
      <c r="Z2845" s="7" t="str">
        <f>IF(ISBLANK(patch[[#This Row],[project]]), "",COUNTIFS($A:$A,patch[[#This Row],[number]],$S:$S, "BJ And dev",$AD:$AD, "&lt;&gt;IntegratorValidationComment"))</f>
        <v/>
      </c>
      <c r="AA2845" s="7" t="str">
        <f>IF(ISBLANK(patch[[#This Row],[project]]), "",COUNTIFS($A:$A,patch[[#This Row],[number]],$S:$S, "FL And dev",$AD:$AD, "&lt;&gt;IntegratorValidationComment"))</f>
        <v/>
      </c>
      <c r="AB2845" s="7" t="str">
        <f>IF(ISBLANK(patch[[#This Row],[project]]), "",COUNTIFS($A:$A,patch[[#This Row],[number]],$S:$S, "SH And dev",$AD:$AD, "&lt;&gt;IntegratorValidationComment"))</f>
        <v/>
      </c>
      <c r="AC2845" s="7" t="str">
        <f>IF(OR(ISNUMBER(FIND("Review-1", patch[[#This Row],[comments]])), ISNUMBER(FIND("Approver-1", patch[[#This Row],[comments]]))), "Review-1", "")</f>
        <v/>
      </c>
      <c r="AD284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45" s="7">
        <f>IF(ISBLANK(patch[[#This Row],[number]]),AE2844,patch[[#This Row],[ifCommon]])</f>
        <v>0</v>
      </c>
    </row>
    <row r="2846" spans="1:31">
      <c r="A2846" s="151">
        <v>138848</v>
      </c>
      <c r="B2846" s="151"/>
      <c r="C2846" s="151"/>
      <c r="D2846" s="151"/>
      <c r="E2846" s="151"/>
      <c r="F2846" s="151"/>
      <c r="G2846" s="151"/>
      <c r="H2846" s="151"/>
      <c r="I2846" s="151"/>
      <c r="J2846" s="152">
        <v>42614.74962962963</v>
      </c>
      <c r="K2846" s="151"/>
      <c r="L2846" s="151" t="s">
        <v>75</v>
      </c>
      <c r="M2846" s="152">
        <v>42613.419629629629</v>
      </c>
      <c r="N2846" s="151" t="s">
        <v>2518</v>
      </c>
      <c r="O2846" s="151"/>
      <c r="P2846" s="151"/>
      <c r="Q2846" s="7" t="str">
        <f>IF(ISBLANK(patch[[#This Row],[OwnerEmail]]),Q2845,patch[[#This Row],[OwnerEmail]])</f>
        <v>jie.j.zhang@intel.com</v>
      </c>
      <c r="R2846" s="7" t="str">
        <f>_xlfn.IFNA(VLOOKUP(patch[[#This Row],[tmp-owner.email]],OrgTree!$A:$K, 11, 0), "not ICG SWFW")</f>
        <v>BJ And dev</v>
      </c>
      <c r="S2846" s="7" t="str">
        <f>IF(patch[[#This Row],[reviewer]]=patch[[#This Row],[tmp-owner.email]], "author", _xlfn.IFNA(VLOOKUP(patch[[#This Row],[reviewer]],OrgTree!$A:$K, 11, 0), "not ICG SWFW"))</f>
        <v>author</v>
      </c>
      <c r="T2846" s="7" t="str">
        <f>IF(ISBLANK(patch[[#This Row],[mergeDate]]), "", MID(YEAR(patch[[#This Row],[mergeDate]]), 3,2)&amp;"'ww"&amp;WEEKNUM(patch[[#This Row],[mergeDate]]))</f>
        <v>16'ww36</v>
      </c>
      <c r="U2846" s="7" t="str">
        <f>IF(ISBLANK(patch[[#This Row],[mergeDate]]), U2845, MID(YEAR(patch[[#This Row],[mergeDate]]), 3,2)&amp;"'m"&amp;MONTH(patch[[#This Row],[mergeDate]]))</f>
        <v>16'm9</v>
      </c>
      <c r="V2846" s="7" t="str">
        <f>IF(ISBLANK(patch[[#This Row],[project]]), "",SUM(patch[[#This Row],[BJ -1 num]:[SH -1 num]]))</f>
        <v/>
      </c>
      <c r="W2846" s="7" t="str">
        <f>IF(ISBLANK(patch[[#This Row],[project]]), "",COUNTIFS($A:$A,patch[[#This Row],[number]],$S:$S, "BJ And dev",$AC:$AC, "Review-1"))</f>
        <v/>
      </c>
      <c r="X2846" s="7" t="str">
        <f>IF(ISBLANK(patch[[#This Row],[project]]), "",COUNTIFS($A:$A,patch[[#This Row],[number]],$S:$S, "FL And dev",$AC:$AC, "Review-1"))</f>
        <v/>
      </c>
      <c r="Y2846" s="7" t="str">
        <f>IF(ISBLANK(patch[[#This Row],[project]]), "",COUNTIFS($A:$A,patch[[#This Row],[number]],$S:$S, "SH And dev",$AC:$AC, "Review-1"))</f>
        <v/>
      </c>
      <c r="Z2846" s="7" t="str">
        <f>IF(ISBLANK(patch[[#This Row],[project]]), "",COUNTIFS($A:$A,patch[[#This Row],[number]],$S:$S, "BJ And dev",$AD:$AD, "&lt;&gt;IntegratorValidationComment"))</f>
        <v/>
      </c>
      <c r="AA2846" s="7" t="str">
        <f>IF(ISBLANK(patch[[#This Row],[project]]), "",COUNTIFS($A:$A,patch[[#This Row],[number]],$S:$S, "FL And dev",$AD:$AD, "&lt;&gt;IntegratorValidationComment"))</f>
        <v/>
      </c>
      <c r="AB2846" s="7" t="str">
        <f>IF(ISBLANK(patch[[#This Row],[project]]), "",COUNTIFS($A:$A,patch[[#This Row],[number]],$S:$S, "SH And dev",$AD:$AD, "&lt;&gt;IntegratorValidationComment"))</f>
        <v/>
      </c>
      <c r="AC2846" s="7" t="str">
        <f>IF(OR(ISNUMBER(FIND("Review-1", patch[[#This Row],[comments]])), ISNUMBER(FIND("Approver-1", patch[[#This Row],[comments]]))), "Review-1", "")</f>
        <v/>
      </c>
      <c r="AD284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46" s="7">
        <f>IF(ISBLANK(patch[[#This Row],[number]]),AE2845,patch[[#This Row],[ifCommon]])</f>
        <v>0</v>
      </c>
    </row>
    <row r="2847" spans="1:31">
      <c r="A2847" s="151">
        <v>138848</v>
      </c>
      <c r="B2847" s="151"/>
      <c r="C2847" s="151"/>
      <c r="D2847" s="151"/>
      <c r="E2847" s="151"/>
      <c r="F2847" s="151"/>
      <c r="G2847" s="151"/>
      <c r="H2847" s="151"/>
      <c r="I2847" s="151"/>
      <c r="J2847" s="152">
        <v>42614.74962962963</v>
      </c>
      <c r="K2847" s="151"/>
      <c r="L2847" s="151" t="s">
        <v>32</v>
      </c>
      <c r="M2847" s="152">
        <v>42613.429849537039</v>
      </c>
      <c r="N2847" s="151" t="s">
        <v>2519</v>
      </c>
      <c r="O2847" s="151"/>
      <c r="P2847" s="151"/>
      <c r="Q2847" s="7" t="str">
        <f>IF(ISBLANK(patch[[#This Row],[OwnerEmail]]),Q2846,patch[[#This Row],[OwnerEmail]])</f>
        <v>jie.j.zhang@intel.com</v>
      </c>
      <c r="R2847" s="7" t="str">
        <f>_xlfn.IFNA(VLOOKUP(patch[[#This Row],[tmp-owner.email]],OrgTree!$A:$K, 11, 0), "not ICG SWFW")</f>
        <v>BJ And dev</v>
      </c>
      <c r="S2847" s="7" t="str">
        <f>IF(patch[[#This Row],[reviewer]]=patch[[#This Row],[tmp-owner.email]], "author", _xlfn.IFNA(VLOOKUP(patch[[#This Row],[reviewer]],OrgTree!$A:$K, 11, 0), "not ICG SWFW"))</f>
        <v>BJ And dev</v>
      </c>
      <c r="T2847" s="7" t="str">
        <f>IF(ISBLANK(patch[[#This Row],[mergeDate]]), "", MID(YEAR(patch[[#This Row],[mergeDate]]), 3,2)&amp;"'ww"&amp;WEEKNUM(patch[[#This Row],[mergeDate]]))</f>
        <v>16'ww36</v>
      </c>
      <c r="U2847" s="7" t="str">
        <f>IF(ISBLANK(patch[[#This Row],[mergeDate]]), U2846, MID(YEAR(patch[[#This Row],[mergeDate]]), 3,2)&amp;"'m"&amp;MONTH(patch[[#This Row],[mergeDate]]))</f>
        <v>16'm9</v>
      </c>
      <c r="V2847" s="7" t="str">
        <f>IF(ISBLANK(patch[[#This Row],[project]]), "",SUM(patch[[#This Row],[BJ -1 num]:[SH -1 num]]))</f>
        <v/>
      </c>
      <c r="W2847" s="7" t="str">
        <f>IF(ISBLANK(patch[[#This Row],[project]]), "",COUNTIFS($A:$A,patch[[#This Row],[number]],$S:$S, "BJ And dev",$AC:$AC, "Review-1"))</f>
        <v/>
      </c>
      <c r="X2847" s="7" t="str">
        <f>IF(ISBLANK(patch[[#This Row],[project]]), "",COUNTIFS($A:$A,patch[[#This Row],[number]],$S:$S, "FL And dev",$AC:$AC, "Review-1"))</f>
        <v/>
      </c>
      <c r="Y2847" s="7" t="str">
        <f>IF(ISBLANK(patch[[#This Row],[project]]), "",COUNTIFS($A:$A,patch[[#This Row],[number]],$S:$S, "SH And dev",$AC:$AC, "Review-1"))</f>
        <v/>
      </c>
      <c r="Z2847" s="7" t="str">
        <f>IF(ISBLANK(patch[[#This Row],[project]]), "",COUNTIFS($A:$A,patch[[#This Row],[number]],$S:$S, "BJ And dev",$AD:$AD, "&lt;&gt;IntegratorValidationComment"))</f>
        <v/>
      </c>
      <c r="AA2847" s="7" t="str">
        <f>IF(ISBLANK(patch[[#This Row],[project]]), "",COUNTIFS($A:$A,patch[[#This Row],[number]],$S:$S, "FL And dev",$AD:$AD, "&lt;&gt;IntegratorValidationComment"))</f>
        <v/>
      </c>
      <c r="AB2847" s="7" t="str">
        <f>IF(ISBLANK(patch[[#This Row],[project]]), "",COUNTIFS($A:$A,patch[[#This Row],[number]],$S:$S, "SH And dev",$AD:$AD, "&lt;&gt;IntegratorValidationComment"))</f>
        <v/>
      </c>
      <c r="AC2847" s="7" t="str">
        <f>IF(OR(ISNUMBER(FIND("Review-1", patch[[#This Row],[comments]])), ISNUMBER(FIND("Approver-1", patch[[#This Row],[comments]]))), "Review-1", "")</f>
        <v/>
      </c>
      <c r="AD284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47" s="7">
        <f>IF(ISBLANK(patch[[#This Row],[number]]),AE2846,patch[[#This Row],[ifCommon]])</f>
        <v>0</v>
      </c>
    </row>
    <row r="2848" spans="1:31">
      <c r="A2848" s="151">
        <v>138848</v>
      </c>
      <c r="B2848" s="151"/>
      <c r="C2848" s="151"/>
      <c r="D2848" s="151"/>
      <c r="E2848" s="151"/>
      <c r="F2848" s="151"/>
      <c r="G2848" s="151"/>
      <c r="H2848" s="151"/>
      <c r="I2848" s="151"/>
      <c r="J2848" s="152">
        <v>42614.74962962963</v>
      </c>
      <c r="K2848" s="151"/>
      <c r="L2848" s="151" t="s">
        <v>59</v>
      </c>
      <c r="M2848" s="152">
        <v>42613.756006944437</v>
      </c>
      <c r="N2848" s="151" t="s">
        <v>4018</v>
      </c>
      <c r="O2848" s="151"/>
      <c r="P2848" s="151"/>
      <c r="Q2848" s="7" t="str">
        <f>IF(ISBLANK(patch[[#This Row],[OwnerEmail]]),Q2847,patch[[#This Row],[OwnerEmail]])</f>
        <v>jie.j.zhang@intel.com</v>
      </c>
      <c r="R2848" s="7" t="str">
        <f>_xlfn.IFNA(VLOOKUP(patch[[#This Row],[tmp-owner.email]],OrgTree!$A:$K, 11, 0), "not ICG SWFW")</f>
        <v>BJ And dev</v>
      </c>
      <c r="S2848" s="7" t="str">
        <f>IF(patch[[#This Row],[reviewer]]=patch[[#This Row],[tmp-owner.email]], "author", _xlfn.IFNA(VLOOKUP(patch[[#This Row],[reviewer]],OrgTree!$A:$K, 11, 0), "not ICG SWFW"))</f>
        <v>BJ And dev</v>
      </c>
      <c r="T2848" s="7" t="str">
        <f>IF(ISBLANK(patch[[#This Row],[mergeDate]]), "", MID(YEAR(patch[[#This Row],[mergeDate]]), 3,2)&amp;"'ww"&amp;WEEKNUM(patch[[#This Row],[mergeDate]]))</f>
        <v>16'ww36</v>
      </c>
      <c r="U2848" s="7" t="str">
        <f>IF(ISBLANK(patch[[#This Row],[mergeDate]]), U2847, MID(YEAR(patch[[#This Row],[mergeDate]]), 3,2)&amp;"'m"&amp;MONTH(patch[[#This Row],[mergeDate]]))</f>
        <v>16'm9</v>
      </c>
      <c r="V2848" s="7" t="str">
        <f>IF(ISBLANK(patch[[#This Row],[project]]), "",SUM(patch[[#This Row],[BJ -1 num]:[SH -1 num]]))</f>
        <v/>
      </c>
      <c r="W2848" s="7" t="str">
        <f>IF(ISBLANK(patch[[#This Row],[project]]), "",COUNTIFS($A:$A,patch[[#This Row],[number]],$S:$S, "BJ And dev",$AC:$AC, "Review-1"))</f>
        <v/>
      </c>
      <c r="X2848" s="7" t="str">
        <f>IF(ISBLANK(patch[[#This Row],[project]]), "",COUNTIFS($A:$A,patch[[#This Row],[number]],$S:$S, "FL And dev",$AC:$AC, "Review-1"))</f>
        <v/>
      </c>
      <c r="Y2848" s="7" t="str">
        <f>IF(ISBLANK(patch[[#This Row],[project]]), "",COUNTIFS($A:$A,patch[[#This Row],[number]],$S:$S, "SH And dev",$AC:$AC, "Review-1"))</f>
        <v/>
      </c>
      <c r="Z2848" s="7" t="str">
        <f>IF(ISBLANK(patch[[#This Row],[project]]), "",COUNTIFS($A:$A,patch[[#This Row],[number]],$S:$S, "BJ And dev",$AD:$AD, "&lt;&gt;IntegratorValidationComment"))</f>
        <v/>
      </c>
      <c r="AA2848" s="7" t="str">
        <f>IF(ISBLANK(patch[[#This Row],[project]]), "",COUNTIFS($A:$A,patch[[#This Row],[number]],$S:$S, "FL And dev",$AD:$AD, "&lt;&gt;IntegratorValidationComment"))</f>
        <v/>
      </c>
      <c r="AB2848" s="7" t="str">
        <f>IF(ISBLANK(patch[[#This Row],[project]]), "",COUNTIFS($A:$A,patch[[#This Row],[number]],$S:$S, "SH And dev",$AD:$AD, "&lt;&gt;IntegratorValidationComment"))</f>
        <v/>
      </c>
      <c r="AC2848" s="7" t="str">
        <f>IF(OR(ISNUMBER(FIND("Review-1", patch[[#This Row],[comments]])), ISNUMBER(FIND("Approver-1", patch[[#This Row],[comments]]))), "Review-1", "")</f>
        <v/>
      </c>
      <c r="AD284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48" s="7">
        <f>IF(ISBLANK(patch[[#This Row],[number]]),AE2847,patch[[#This Row],[ifCommon]])</f>
        <v>0</v>
      </c>
    </row>
    <row r="2849" spans="1:31">
      <c r="A2849" s="151">
        <v>138848</v>
      </c>
      <c r="B2849" s="151"/>
      <c r="C2849" s="151"/>
      <c r="D2849" s="151"/>
      <c r="E2849" s="151"/>
      <c r="F2849" s="151"/>
      <c r="G2849" s="151"/>
      <c r="H2849" s="151"/>
      <c r="I2849" s="151"/>
      <c r="J2849" s="152">
        <v>42614.74962962963</v>
      </c>
      <c r="K2849" s="151"/>
      <c r="L2849" s="151" t="s">
        <v>115</v>
      </c>
      <c r="M2849" s="152">
        <v>42614.419224537043</v>
      </c>
      <c r="N2849" s="151" t="s">
        <v>2489</v>
      </c>
      <c r="O2849" s="151"/>
      <c r="P2849" s="151"/>
      <c r="Q2849" s="7" t="str">
        <f>IF(ISBLANK(patch[[#This Row],[OwnerEmail]]),Q2848,patch[[#This Row],[OwnerEmail]])</f>
        <v>jie.j.zhang@intel.com</v>
      </c>
      <c r="R2849" s="7" t="str">
        <f>_xlfn.IFNA(VLOOKUP(patch[[#This Row],[tmp-owner.email]],OrgTree!$A:$K, 11, 0), "not ICG SWFW")</f>
        <v>BJ And dev</v>
      </c>
      <c r="S2849" s="7" t="str">
        <f>IF(patch[[#This Row],[reviewer]]=patch[[#This Row],[tmp-owner.email]], "author", _xlfn.IFNA(VLOOKUP(patch[[#This Row],[reviewer]],OrgTree!$A:$K, 11, 0), "not ICG SWFW"))</f>
        <v>Val</v>
      </c>
      <c r="T2849" s="7" t="str">
        <f>IF(ISBLANK(patch[[#This Row],[mergeDate]]), "", MID(YEAR(patch[[#This Row],[mergeDate]]), 3,2)&amp;"'ww"&amp;WEEKNUM(patch[[#This Row],[mergeDate]]))</f>
        <v>16'ww36</v>
      </c>
      <c r="U2849" s="7" t="str">
        <f>IF(ISBLANK(patch[[#This Row],[mergeDate]]), U2848, MID(YEAR(patch[[#This Row],[mergeDate]]), 3,2)&amp;"'m"&amp;MONTH(patch[[#This Row],[mergeDate]]))</f>
        <v>16'm9</v>
      </c>
      <c r="V2849" s="7" t="str">
        <f>IF(ISBLANK(patch[[#This Row],[project]]), "",SUM(patch[[#This Row],[BJ -1 num]:[SH -1 num]]))</f>
        <v/>
      </c>
      <c r="W2849" s="7" t="str">
        <f>IF(ISBLANK(patch[[#This Row],[project]]), "",COUNTIFS($A:$A,patch[[#This Row],[number]],$S:$S, "BJ And dev",$AC:$AC, "Review-1"))</f>
        <v/>
      </c>
      <c r="X2849" s="7" t="str">
        <f>IF(ISBLANK(patch[[#This Row],[project]]), "",COUNTIFS($A:$A,patch[[#This Row],[number]],$S:$S, "FL And dev",$AC:$AC, "Review-1"))</f>
        <v/>
      </c>
      <c r="Y2849" s="7" t="str">
        <f>IF(ISBLANK(patch[[#This Row],[project]]), "",COUNTIFS($A:$A,patch[[#This Row],[number]],$S:$S, "SH And dev",$AC:$AC, "Review-1"))</f>
        <v/>
      </c>
      <c r="Z2849" s="7" t="str">
        <f>IF(ISBLANK(patch[[#This Row],[project]]), "",COUNTIFS($A:$A,patch[[#This Row],[number]],$S:$S, "BJ And dev",$AD:$AD, "&lt;&gt;IntegratorValidationComment"))</f>
        <v/>
      </c>
      <c r="AA2849" s="7" t="str">
        <f>IF(ISBLANK(patch[[#This Row],[project]]), "",COUNTIFS($A:$A,patch[[#This Row],[number]],$S:$S, "FL And dev",$AD:$AD, "&lt;&gt;IntegratorValidationComment"))</f>
        <v/>
      </c>
      <c r="AB2849" s="7" t="str">
        <f>IF(ISBLANK(patch[[#This Row],[project]]), "",COUNTIFS($A:$A,patch[[#This Row],[number]],$S:$S, "SH And dev",$AD:$AD, "&lt;&gt;IntegratorValidationComment"))</f>
        <v/>
      </c>
      <c r="AC2849" s="7" t="str">
        <f>IF(OR(ISNUMBER(FIND("Review-1", patch[[#This Row],[comments]])), ISNUMBER(FIND("Approver-1", patch[[#This Row],[comments]]))), "Review-1", "")</f>
        <v/>
      </c>
      <c r="AD284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849" s="7">
        <f>IF(ISBLANK(patch[[#This Row],[number]]),AE2848,patch[[#This Row],[ifCommon]])</f>
        <v>0</v>
      </c>
    </row>
    <row r="2850" spans="1:31">
      <c r="A2850" s="151">
        <v>142253</v>
      </c>
      <c r="B2850" s="151" t="s">
        <v>2490</v>
      </c>
      <c r="C2850" s="151" t="s">
        <v>2491</v>
      </c>
      <c r="D2850" s="151" t="s">
        <v>4019</v>
      </c>
      <c r="E2850" s="151" t="s">
        <v>24</v>
      </c>
      <c r="F2850" s="151" t="s">
        <v>23</v>
      </c>
      <c r="G2850" s="151" t="s">
        <v>4020</v>
      </c>
      <c r="H2850" s="151" t="s">
        <v>4021</v>
      </c>
      <c r="I2850" s="152">
        <v>42612.534479166658</v>
      </c>
      <c r="J2850" s="152">
        <v>42614.749479166669</v>
      </c>
      <c r="K2850" s="151" t="s">
        <v>2445</v>
      </c>
      <c r="L2850" s="151" t="s">
        <v>24</v>
      </c>
      <c r="M2850" s="152">
        <v>42612.534479166658</v>
      </c>
      <c r="N2850" s="151" t="s">
        <v>25</v>
      </c>
      <c r="O2850" s="151"/>
      <c r="P2850" s="151" t="s">
        <v>4022</v>
      </c>
      <c r="Q2850" s="7" t="str">
        <f>IF(ISBLANK(patch[[#This Row],[OwnerEmail]]),Q2849,patch[[#This Row],[OwnerEmail]])</f>
        <v>qingwu.zhang@intel.com</v>
      </c>
      <c r="R2850" s="7" t="str">
        <f>_xlfn.IFNA(VLOOKUP(patch[[#This Row],[tmp-owner.email]],OrgTree!$A:$K, 11, 0), "not ICG SWFW")</f>
        <v>BJ And dev</v>
      </c>
      <c r="S2850" s="7" t="str">
        <f>IF(patch[[#This Row],[reviewer]]=patch[[#This Row],[tmp-owner.email]], "author", _xlfn.IFNA(VLOOKUP(patch[[#This Row],[reviewer]],OrgTree!$A:$K, 11, 0), "not ICG SWFW"))</f>
        <v>author</v>
      </c>
      <c r="T2850" s="7" t="str">
        <f>IF(ISBLANK(patch[[#This Row],[mergeDate]]), "", MID(YEAR(patch[[#This Row],[mergeDate]]), 3,2)&amp;"'ww"&amp;WEEKNUM(patch[[#This Row],[mergeDate]]))</f>
        <v>16'ww36</v>
      </c>
      <c r="U2850" s="7" t="str">
        <f>IF(ISBLANK(patch[[#This Row],[mergeDate]]), U2849, MID(YEAR(patch[[#This Row],[mergeDate]]), 3,2)&amp;"'m"&amp;MONTH(patch[[#This Row],[mergeDate]]))</f>
        <v>16'm9</v>
      </c>
      <c r="V2850" s="7">
        <f>IF(ISBLANK(patch[[#This Row],[project]]), "",SUM(patch[[#This Row],[BJ -1 num]:[SH -1 num]]))</f>
        <v>0</v>
      </c>
      <c r="W2850" s="7">
        <f>IF(ISBLANK(patch[[#This Row],[project]]), "",COUNTIFS($A:$A,patch[[#This Row],[number]],$S:$S, "BJ And dev",$AC:$AC, "Review-1"))</f>
        <v>0</v>
      </c>
      <c r="X2850" s="7">
        <f>IF(ISBLANK(patch[[#This Row],[project]]), "",COUNTIFS($A:$A,patch[[#This Row],[number]],$S:$S, "FL And dev",$AC:$AC, "Review-1"))</f>
        <v>0</v>
      </c>
      <c r="Y2850" s="7">
        <f>IF(ISBLANK(patch[[#This Row],[project]]), "",COUNTIFS($A:$A,patch[[#This Row],[number]],$S:$S, "SH And dev",$AC:$AC, "Review-1"))</f>
        <v>0</v>
      </c>
      <c r="Z2850" s="7">
        <f>IF(ISBLANK(patch[[#This Row],[project]]), "",COUNTIFS($A:$A,patch[[#This Row],[number]],$S:$S, "BJ And dev",$AD:$AD, "&lt;&gt;IntegratorValidationComment"))</f>
        <v>18</v>
      </c>
      <c r="AA2850" s="7">
        <f>IF(ISBLANK(patch[[#This Row],[project]]), "",COUNTIFS($A:$A,patch[[#This Row],[number]],$S:$S, "FL And dev",$AD:$AD, "&lt;&gt;IntegratorValidationComment"))</f>
        <v>0</v>
      </c>
      <c r="AB2850" s="7">
        <f>IF(ISBLANK(patch[[#This Row],[project]]), "",COUNTIFS($A:$A,patch[[#This Row],[number]],$S:$S, "SH And dev",$AD:$AD, "&lt;&gt;IntegratorValidationComment"))</f>
        <v>0</v>
      </c>
      <c r="AC2850" s="7" t="str">
        <f>IF(OR(ISNUMBER(FIND("Review-1", patch[[#This Row],[comments]])), ISNUMBER(FIND("Approver-1", patch[[#This Row],[comments]]))), "Review-1", "")</f>
        <v/>
      </c>
      <c r="AD285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50" s="7" t="str">
        <f>IF(ISBLANK(patch[[#This Row],[number]]),AE2849,patch[[#This Row],[ifCommon]])</f>
        <v>not AndrHAL</v>
      </c>
    </row>
    <row r="2851" spans="1:31">
      <c r="A2851" s="151">
        <v>142253</v>
      </c>
      <c r="B2851" s="151"/>
      <c r="C2851" s="151"/>
      <c r="D2851" s="151"/>
      <c r="E2851" s="151"/>
      <c r="F2851" s="151"/>
      <c r="G2851" s="151"/>
      <c r="H2851" s="151"/>
      <c r="I2851" s="151"/>
      <c r="J2851" s="152">
        <v>42614.749479166669</v>
      </c>
      <c r="K2851" s="151"/>
      <c r="L2851" s="151" t="s">
        <v>24</v>
      </c>
      <c r="M2851" s="152">
        <v>42612.534479166658</v>
      </c>
      <c r="N2851" s="151" t="s">
        <v>2458</v>
      </c>
      <c r="O2851" s="151"/>
      <c r="P2851" s="151"/>
      <c r="Q2851" s="7" t="str">
        <f>IF(ISBLANK(patch[[#This Row],[OwnerEmail]]),Q2850,patch[[#This Row],[OwnerEmail]])</f>
        <v>qingwu.zhang@intel.com</v>
      </c>
      <c r="R2851" s="7" t="str">
        <f>_xlfn.IFNA(VLOOKUP(patch[[#This Row],[tmp-owner.email]],OrgTree!$A:$K, 11, 0), "not ICG SWFW")</f>
        <v>BJ And dev</v>
      </c>
      <c r="S2851" s="7" t="str">
        <f>IF(patch[[#This Row],[reviewer]]=patch[[#This Row],[tmp-owner.email]], "author", _xlfn.IFNA(VLOOKUP(patch[[#This Row],[reviewer]],OrgTree!$A:$K, 11, 0), "not ICG SWFW"))</f>
        <v>author</v>
      </c>
      <c r="T2851" s="7" t="str">
        <f>IF(ISBLANK(patch[[#This Row],[mergeDate]]), "", MID(YEAR(patch[[#This Row],[mergeDate]]), 3,2)&amp;"'ww"&amp;WEEKNUM(patch[[#This Row],[mergeDate]]))</f>
        <v>16'ww36</v>
      </c>
      <c r="U2851" s="7" t="str">
        <f>IF(ISBLANK(patch[[#This Row],[mergeDate]]), U2850, MID(YEAR(patch[[#This Row],[mergeDate]]), 3,2)&amp;"'m"&amp;MONTH(patch[[#This Row],[mergeDate]]))</f>
        <v>16'm9</v>
      </c>
      <c r="V2851" s="7" t="str">
        <f>IF(ISBLANK(patch[[#This Row],[project]]), "",SUM(patch[[#This Row],[BJ -1 num]:[SH -1 num]]))</f>
        <v/>
      </c>
      <c r="W2851" s="7" t="str">
        <f>IF(ISBLANK(patch[[#This Row],[project]]), "",COUNTIFS($A:$A,patch[[#This Row],[number]],$S:$S, "BJ And dev",$AC:$AC, "Review-1"))</f>
        <v/>
      </c>
      <c r="X2851" s="7" t="str">
        <f>IF(ISBLANK(patch[[#This Row],[project]]), "",COUNTIFS($A:$A,patch[[#This Row],[number]],$S:$S, "FL And dev",$AC:$AC, "Review-1"))</f>
        <v/>
      </c>
      <c r="Y2851" s="7" t="str">
        <f>IF(ISBLANK(patch[[#This Row],[project]]), "",COUNTIFS($A:$A,patch[[#This Row],[number]],$S:$S, "SH And dev",$AC:$AC, "Review-1"))</f>
        <v/>
      </c>
      <c r="Z2851" s="7" t="str">
        <f>IF(ISBLANK(patch[[#This Row],[project]]), "",COUNTIFS($A:$A,patch[[#This Row],[number]],$S:$S, "BJ And dev",$AD:$AD, "&lt;&gt;IntegratorValidationComment"))</f>
        <v/>
      </c>
      <c r="AA2851" s="7" t="str">
        <f>IF(ISBLANK(patch[[#This Row],[project]]), "",COUNTIFS($A:$A,patch[[#This Row],[number]],$S:$S, "FL And dev",$AD:$AD, "&lt;&gt;IntegratorValidationComment"))</f>
        <v/>
      </c>
      <c r="AB2851" s="7" t="str">
        <f>IF(ISBLANK(patch[[#This Row],[project]]), "",COUNTIFS($A:$A,patch[[#This Row],[number]],$S:$S, "SH And dev",$AD:$AD, "&lt;&gt;IntegratorValidationComment"))</f>
        <v/>
      </c>
      <c r="AC2851" s="7" t="str">
        <f>IF(OR(ISNUMBER(FIND("Review-1", patch[[#This Row],[comments]])), ISNUMBER(FIND("Approver-1", patch[[#This Row],[comments]]))), "Review-1", "")</f>
        <v/>
      </c>
      <c r="AD285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51" s="7">
        <f>IF(ISBLANK(patch[[#This Row],[number]]),AE2850,patch[[#This Row],[ifCommon]])</f>
        <v>0</v>
      </c>
    </row>
    <row r="2852" spans="1:31">
      <c r="A2852" s="151">
        <v>142253</v>
      </c>
      <c r="B2852" s="151"/>
      <c r="C2852" s="151"/>
      <c r="D2852" s="151"/>
      <c r="E2852" s="151"/>
      <c r="F2852" s="151"/>
      <c r="G2852" s="151"/>
      <c r="H2852" s="151"/>
      <c r="I2852" s="151"/>
      <c r="J2852" s="152">
        <v>42614.749479166669</v>
      </c>
      <c r="K2852" s="151"/>
      <c r="L2852" s="151" t="s">
        <v>24</v>
      </c>
      <c r="M2852" s="152">
        <v>42612.560219907413</v>
      </c>
      <c r="N2852" s="151" t="s">
        <v>29</v>
      </c>
      <c r="O2852" s="151"/>
      <c r="P2852" s="151"/>
      <c r="Q2852" s="7" t="str">
        <f>IF(ISBLANK(patch[[#This Row],[OwnerEmail]]),Q2851,patch[[#This Row],[OwnerEmail]])</f>
        <v>qingwu.zhang@intel.com</v>
      </c>
      <c r="R2852" s="7" t="str">
        <f>_xlfn.IFNA(VLOOKUP(patch[[#This Row],[tmp-owner.email]],OrgTree!$A:$K, 11, 0), "not ICG SWFW")</f>
        <v>BJ And dev</v>
      </c>
      <c r="S2852" s="7" t="str">
        <f>IF(patch[[#This Row],[reviewer]]=patch[[#This Row],[tmp-owner.email]], "author", _xlfn.IFNA(VLOOKUP(patch[[#This Row],[reviewer]],OrgTree!$A:$K, 11, 0), "not ICG SWFW"))</f>
        <v>author</v>
      </c>
      <c r="T2852" s="7" t="str">
        <f>IF(ISBLANK(patch[[#This Row],[mergeDate]]), "", MID(YEAR(patch[[#This Row],[mergeDate]]), 3,2)&amp;"'ww"&amp;WEEKNUM(patch[[#This Row],[mergeDate]]))</f>
        <v>16'ww36</v>
      </c>
      <c r="U2852" s="7" t="str">
        <f>IF(ISBLANK(patch[[#This Row],[mergeDate]]), U2851, MID(YEAR(patch[[#This Row],[mergeDate]]), 3,2)&amp;"'m"&amp;MONTH(patch[[#This Row],[mergeDate]]))</f>
        <v>16'm9</v>
      </c>
      <c r="V2852" s="7" t="str">
        <f>IF(ISBLANK(patch[[#This Row],[project]]), "",SUM(patch[[#This Row],[BJ -1 num]:[SH -1 num]]))</f>
        <v/>
      </c>
      <c r="W2852" s="7" t="str">
        <f>IF(ISBLANK(patch[[#This Row],[project]]), "",COUNTIFS($A:$A,patch[[#This Row],[number]],$S:$S, "BJ And dev",$AC:$AC, "Review-1"))</f>
        <v/>
      </c>
      <c r="X2852" s="7" t="str">
        <f>IF(ISBLANK(patch[[#This Row],[project]]), "",COUNTIFS($A:$A,patch[[#This Row],[number]],$S:$S, "FL And dev",$AC:$AC, "Review-1"))</f>
        <v/>
      </c>
      <c r="Y2852" s="7" t="str">
        <f>IF(ISBLANK(patch[[#This Row],[project]]), "",COUNTIFS($A:$A,patch[[#This Row],[number]],$S:$S, "SH And dev",$AC:$AC, "Review-1"))</f>
        <v/>
      </c>
      <c r="Z2852" s="7" t="str">
        <f>IF(ISBLANK(patch[[#This Row],[project]]), "",COUNTIFS($A:$A,patch[[#This Row],[number]],$S:$S, "BJ And dev",$AD:$AD, "&lt;&gt;IntegratorValidationComment"))</f>
        <v/>
      </c>
      <c r="AA2852" s="7" t="str">
        <f>IF(ISBLANK(patch[[#This Row],[project]]), "",COUNTIFS($A:$A,patch[[#This Row],[number]],$S:$S, "FL And dev",$AD:$AD, "&lt;&gt;IntegratorValidationComment"))</f>
        <v/>
      </c>
      <c r="AB2852" s="7" t="str">
        <f>IF(ISBLANK(patch[[#This Row],[project]]), "",COUNTIFS($A:$A,patch[[#This Row],[number]],$S:$S, "SH And dev",$AD:$AD, "&lt;&gt;IntegratorValidationComment"))</f>
        <v/>
      </c>
      <c r="AC2852" s="7" t="str">
        <f>IF(OR(ISNUMBER(FIND("Review-1", patch[[#This Row],[comments]])), ISNUMBER(FIND("Approver-1", patch[[#This Row],[comments]]))), "Review-1", "")</f>
        <v/>
      </c>
      <c r="AD285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52" s="7">
        <f>IF(ISBLANK(patch[[#This Row],[number]]),AE2851,patch[[#This Row],[ifCommon]])</f>
        <v>0</v>
      </c>
    </row>
    <row r="2853" spans="1:31">
      <c r="A2853" s="151">
        <v>142253</v>
      </c>
      <c r="B2853" s="151"/>
      <c r="C2853" s="151"/>
      <c r="D2853" s="151"/>
      <c r="E2853" s="151"/>
      <c r="F2853" s="151"/>
      <c r="G2853" s="151"/>
      <c r="H2853" s="151"/>
      <c r="I2853" s="151"/>
      <c r="J2853" s="152">
        <v>42614.749479166669</v>
      </c>
      <c r="K2853" s="151"/>
      <c r="L2853" s="151" t="s">
        <v>24</v>
      </c>
      <c r="M2853" s="152">
        <v>42612.560231481482</v>
      </c>
      <c r="N2853" s="151" t="s">
        <v>2429</v>
      </c>
      <c r="O2853" s="151"/>
      <c r="P2853" s="151"/>
      <c r="Q2853" s="7" t="str">
        <f>IF(ISBLANK(patch[[#This Row],[OwnerEmail]]),Q2852,patch[[#This Row],[OwnerEmail]])</f>
        <v>qingwu.zhang@intel.com</v>
      </c>
      <c r="R2853" s="7" t="str">
        <f>_xlfn.IFNA(VLOOKUP(patch[[#This Row],[tmp-owner.email]],OrgTree!$A:$K, 11, 0), "not ICG SWFW")</f>
        <v>BJ And dev</v>
      </c>
      <c r="S2853" s="7" t="str">
        <f>IF(patch[[#This Row],[reviewer]]=patch[[#This Row],[tmp-owner.email]], "author", _xlfn.IFNA(VLOOKUP(patch[[#This Row],[reviewer]],OrgTree!$A:$K, 11, 0), "not ICG SWFW"))</f>
        <v>author</v>
      </c>
      <c r="T2853" s="7" t="str">
        <f>IF(ISBLANK(patch[[#This Row],[mergeDate]]), "", MID(YEAR(patch[[#This Row],[mergeDate]]), 3,2)&amp;"'ww"&amp;WEEKNUM(patch[[#This Row],[mergeDate]]))</f>
        <v>16'ww36</v>
      </c>
      <c r="U2853" s="7" t="str">
        <f>IF(ISBLANK(patch[[#This Row],[mergeDate]]), U2852, MID(YEAR(patch[[#This Row],[mergeDate]]), 3,2)&amp;"'m"&amp;MONTH(patch[[#This Row],[mergeDate]]))</f>
        <v>16'm9</v>
      </c>
      <c r="V2853" s="7" t="str">
        <f>IF(ISBLANK(patch[[#This Row],[project]]), "",SUM(patch[[#This Row],[BJ -1 num]:[SH -1 num]]))</f>
        <v/>
      </c>
      <c r="W2853" s="7" t="str">
        <f>IF(ISBLANK(patch[[#This Row],[project]]), "",COUNTIFS($A:$A,patch[[#This Row],[number]],$S:$S, "BJ And dev",$AC:$AC, "Review-1"))</f>
        <v/>
      </c>
      <c r="X2853" s="7" t="str">
        <f>IF(ISBLANK(patch[[#This Row],[project]]), "",COUNTIFS($A:$A,patch[[#This Row],[number]],$S:$S, "FL And dev",$AC:$AC, "Review-1"))</f>
        <v/>
      </c>
      <c r="Y2853" s="7" t="str">
        <f>IF(ISBLANK(patch[[#This Row],[project]]), "",COUNTIFS($A:$A,patch[[#This Row],[number]],$S:$S, "SH And dev",$AC:$AC, "Review-1"))</f>
        <v/>
      </c>
      <c r="Z2853" s="7" t="str">
        <f>IF(ISBLANK(patch[[#This Row],[project]]), "",COUNTIFS($A:$A,patch[[#This Row],[number]],$S:$S, "BJ And dev",$AD:$AD, "&lt;&gt;IntegratorValidationComment"))</f>
        <v/>
      </c>
      <c r="AA2853" s="7" t="str">
        <f>IF(ISBLANK(patch[[#This Row],[project]]), "",COUNTIFS($A:$A,patch[[#This Row],[number]],$S:$S, "FL And dev",$AD:$AD, "&lt;&gt;IntegratorValidationComment"))</f>
        <v/>
      </c>
      <c r="AB2853" s="7" t="str">
        <f>IF(ISBLANK(patch[[#This Row],[project]]), "",COUNTIFS($A:$A,patch[[#This Row],[number]],$S:$S, "SH And dev",$AD:$AD, "&lt;&gt;IntegratorValidationComment"))</f>
        <v/>
      </c>
      <c r="AC2853" s="7" t="str">
        <f>IF(OR(ISNUMBER(FIND("Review-1", patch[[#This Row],[comments]])), ISNUMBER(FIND("Approver-1", patch[[#This Row],[comments]]))), "Review-1", "")</f>
        <v/>
      </c>
      <c r="AD285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53" s="7">
        <f>IF(ISBLANK(patch[[#This Row],[number]]),AE2852,patch[[#This Row],[ifCommon]])</f>
        <v>0</v>
      </c>
    </row>
    <row r="2854" spans="1:31">
      <c r="A2854" s="151">
        <v>142253</v>
      </c>
      <c r="B2854" s="151"/>
      <c r="C2854" s="151"/>
      <c r="D2854" s="151"/>
      <c r="E2854" s="151"/>
      <c r="F2854" s="151"/>
      <c r="G2854" s="151"/>
      <c r="H2854" s="151"/>
      <c r="I2854" s="151"/>
      <c r="J2854" s="152">
        <v>42614.749479166669</v>
      </c>
      <c r="K2854" s="151"/>
      <c r="L2854" s="151" t="s">
        <v>59</v>
      </c>
      <c r="M2854" s="152">
        <v>42612.562581018523</v>
      </c>
      <c r="N2854" s="151" t="s">
        <v>2846</v>
      </c>
      <c r="O2854" s="151"/>
      <c r="P2854" s="151"/>
      <c r="Q2854" s="7" t="str">
        <f>IF(ISBLANK(patch[[#This Row],[OwnerEmail]]),Q2853,patch[[#This Row],[OwnerEmail]])</f>
        <v>qingwu.zhang@intel.com</v>
      </c>
      <c r="R2854" s="7" t="str">
        <f>_xlfn.IFNA(VLOOKUP(patch[[#This Row],[tmp-owner.email]],OrgTree!$A:$K, 11, 0), "not ICG SWFW")</f>
        <v>BJ And dev</v>
      </c>
      <c r="S2854" s="7" t="str">
        <f>IF(patch[[#This Row],[reviewer]]=patch[[#This Row],[tmp-owner.email]], "author", _xlfn.IFNA(VLOOKUP(patch[[#This Row],[reviewer]],OrgTree!$A:$K, 11, 0), "not ICG SWFW"))</f>
        <v>BJ And dev</v>
      </c>
      <c r="T2854" s="7" t="str">
        <f>IF(ISBLANK(patch[[#This Row],[mergeDate]]), "", MID(YEAR(patch[[#This Row],[mergeDate]]), 3,2)&amp;"'ww"&amp;WEEKNUM(patch[[#This Row],[mergeDate]]))</f>
        <v>16'ww36</v>
      </c>
      <c r="U2854" s="7" t="str">
        <f>IF(ISBLANK(patch[[#This Row],[mergeDate]]), U2853, MID(YEAR(patch[[#This Row],[mergeDate]]), 3,2)&amp;"'m"&amp;MONTH(patch[[#This Row],[mergeDate]]))</f>
        <v>16'm9</v>
      </c>
      <c r="V2854" s="7" t="str">
        <f>IF(ISBLANK(patch[[#This Row],[project]]), "",SUM(patch[[#This Row],[BJ -1 num]:[SH -1 num]]))</f>
        <v/>
      </c>
      <c r="W2854" s="7" t="str">
        <f>IF(ISBLANK(patch[[#This Row],[project]]), "",COUNTIFS($A:$A,patch[[#This Row],[number]],$S:$S, "BJ And dev",$AC:$AC, "Review-1"))</f>
        <v/>
      </c>
      <c r="X2854" s="7" t="str">
        <f>IF(ISBLANK(patch[[#This Row],[project]]), "",COUNTIFS($A:$A,patch[[#This Row],[number]],$S:$S, "FL And dev",$AC:$AC, "Review-1"))</f>
        <v/>
      </c>
      <c r="Y2854" s="7" t="str">
        <f>IF(ISBLANK(patch[[#This Row],[project]]), "",COUNTIFS($A:$A,patch[[#This Row],[number]],$S:$S, "SH And dev",$AC:$AC, "Review-1"))</f>
        <v/>
      </c>
      <c r="Z2854" s="7" t="str">
        <f>IF(ISBLANK(patch[[#This Row],[project]]), "",COUNTIFS($A:$A,patch[[#This Row],[number]],$S:$S, "BJ And dev",$AD:$AD, "&lt;&gt;IntegratorValidationComment"))</f>
        <v/>
      </c>
      <c r="AA2854" s="7" t="str">
        <f>IF(ISBLANK(patch[[#This Row],[project]]), "",COUNTIFS($A:$A,patch[[#This Row],[number]],$S:$S, "FL And dev",$AD:$AD, "&lt;&gt;IntegratorValidationComment"))</f>
        <v/>
      </c>
      <c r="AB2854" s="7" t="str">
        <f>IF(ISBLANK(patch[[#This Row],[project]]), "",COUNTIFS($A:$A,patch[[#This Row],[number]],$S:$S, "SH And dev",$AD:$AD, "&lt;&gt;IntegratorValidationComment"))</f>
        <v/>
      </c>
      <c r="AC2854" s="7" t="str">
        <f>IF(OR(ISNUMBER(FIND("Review-1", patch[[#This Row],[comments]])), ISNUMBER(FIND("Approver-1", patch[[#This Row],[comments]]))), "Review-1", "")</f>
        <v/>
      </c>
      <c r="AD285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54" s="7">
        <f>IF(ISBLANK(patch[[#This Row],[number]]),AE2853,patch[[#This Row],[ifCommon]])</f>
        <v>0</v>
      </c>
    </row>
    <row r="2855" spans="1:31">
      <c r="A2855" s="151">
        <v>142253</v>
      </c>
      <c r="B2855" s="151"/>
      <c r="C2855" s="151"/>
      <c r="D2855" s="151"/>
      <c r="E2855" s="151"/>
      <c r="F2855" s="151"/>
      <c r="G2855" s="151"/>
      <c r="H2855" s="151"/>
      <c r="I2855" s="151"/>
      <c r="J2855" s="152">
        <v>42614.749479166669</v>
      </c>
      <c r="K2855" s="151"/>
      <c r="L2855" s="151" t="s">
        <v>59</v>
      </c>
      <c r="M2855" s="152">
        <v>42612.563136574077</v>
      </c>
      <c r="N2855" s="151" t="s">
        <v>4023</v>
      </c>
      <c r="O2855" s="151"/>
      <c r="P2855" s="151"/>
      <c r="Q2855" s="7" t="str">
        <f>IF(ISBLANK(patch[[#This Row],[OwnerEmail]]),Q2854,patch[[#This Row],[OwnerEmail]])</f>
        <v>qingwu.zhang@intel.com</v>
      </c>
      <c r="R2855" s="7" t="str">
        <f>_xlfn.IFNA(VLOOKUP(patch[[#This Row],[tmp-owner.email]],OrgTree!$A:$K, 11, 0), "not ICG SWFW")</f>
        <v>BJ And dev</v>
      </c>
      <c r="S2855" s="7" t="str">
        <f>IF(patch[[#This Row],[reviewer]]=patch[[#This Row],[tmp-owner.email]], "author", _xlfn.IFNA(VLOOKUP(patch[[#This Row],[reviewer]],OrgTree!$A:$K, 11, 0), "not ICG SWFW"))</f>
        <v>BJ And dev</v>
      </c>
      <c r="T2855" s="7" t="str">
        <f>IF(ISBLANK(patch[[#This Row],[mergeDate]]), "", MID(YEAR(patch[[#This Row],[mergeDate]]), 3,2)&amp;"'ww"&amp;WEEKNUM(patch[[#This Row],[mergeDate]]))</f>
        <v>16'ww36</v>
      </c>
      <c r="U2855" s="7" t="str">
        <f>IF(ISBLANK(patch[[#This Row],[mergeDate]]), U2854, MID(YEAR(patch[[#This Row],[mergeDate]]), 3,2)&amp;"'m"&amp;MONTH(patch[[#This Row],[mergeDate]]))</f>
        <v>16'm9</v>
      </c>
      <c r="V2855" s="7" t="str">
        <f>IF(ISBLANK(patch[[#This Row],[project]]), "",SUM(patch[[#This Row],[BJ -1 num]:[SH -1 num]]))</f>
        <v/>
      </c>
      <c r="W2855" s="7" t="str">
        <f>IF(ISBLANK(patch[[#This Row],[project]]), "",COUNTIFS($A:$A,patch[[#This Row],[number]],$S:$S, "BJ And dev",$AC:$AC, "Review-1"))</f>
        <v/>
      </c>
      <c r="X2855" s="7" t="str">
        <f>IF(ISBLANK(patch[[#This Row],[project]]), "",COUNTIFS($A:$A,patch[[#This Row],[number]],$S:$S, "FL And dev",$AC:$AC, "Review-1"))</f>
        <v/>
      </c>
      <c r="Y2855" s="7" t="str">
        <f>IF(ISBLANK(patch[[#This Row],[project]]), "",COUNTIFS($A:$A,patch[[#This Row],[number]],$S:$S, "SH And dev",$AC:$AC, "Review-1"))</f>
        <v/>
      </c>
      <c r="Z2855" s="7" t="str">
        <f>IF(ISBLANK(patch[[#This Row],[project]]), "",COUNTIFS($A:$A,patch[[#This Row],[number]],$S:$S, "BJ And dev",$AD:$AD, "&lt;&gt;IntegratorValidationComment"))</f>
        <v/>
      </c>
      <c r="AA2855" s="7" t="str">
        <f>IF(ISBLANK(patch[[#This Row],[project]]), "",COUNTIFS($A:$A,patch[[#This Row],[number]],$S:$S, "FL And dev",$AD:$AD, "&lt;&gt;IntegratorValidationComment"))</f>
        <v/>
      </c>
      <c r="AB2855" s="7" t="str">
        <f>IF(ISBLANK(patch[[#This Row],[project]]), "",COUNTIFS($A:$A,patch[[#This Row],[number]],$S:$S, "SH And dev",$AD:$AD, "&lt;&gt;IntegratorValidationComment"))</f>
        <v/>
      </c>
      <c r="AC2855" s="7" t="str">
        <f>IF(OR(ISNUMBER(FIND("Review-1", patch[[#This Row],[comments]])), ISNUMBER(FIND("Approver-1", patch[[#This Row],[comments]]))), "Review-1", "")</f>
        <v/>
      </c>
      <c r="AD285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55" s="7">
        <f>IF(ISBLANK(patch[[#This Row],[number]]),AE2854,patch[[#This Row],[ifCommon]])</f>
        <v>0</v>
      </c>
    </row>
    <row r="2856" spans="1:31">
      <c r="A2856" s="151">
        <v>142253</v>
      </c>
      <c r="B2856" s="151"/>
      <c r="C2856" s="151"/>
      <c r="D2856" s="151"/>
      <c r="E2856" s="151"/>
      <c r="F2856" s="151"/>
      <c r="G2856" s="151"/>
      <c r="H2856" s="151"/>
      <c r="I2856" s="151"/>
      <c r="J2856" s="152">
        <v>42614.749479166669</v>
      </c>
      <c r="K2856" s="151"/>
      <c r="L2856" s="151" t="s">
        <v>59</v>
      </c>
      <c r="M2856" s="152">
        <v>42612.563784722217</v>
      </c>
      <c r="N2856" s="151" t="s">
        <v>4024</v>
      </c>
      <c r="O2856" s="151"/>
      <c r="P2856" s="151"/>
      <c r="Q2856" s="7" t="str">
        <f>IF(ISBLANK(patch[[#This Row],[OwnerEmail]]),Q2855,patch[[#This Row],[OwnerEmail]])</f>
        <v>qingwu.zhang@intel.com</v>
      </c>
      <c r="R2856" s="7" t="str">
        <f>_xlfn.IFNA(VLOOKUP(patch[[#This Row],[tmp-owner.email]],OrgTree!$A:$K, 11, 0), "not ICG SWFW")</f>
        <v>BJ And dev</v>
      </c>
      <c r="S2856" s="7" t="str">
        <f>IF(patch[[#This Row],[reviewer]]=patch[[#This Row],[tmp-owner.email]], "author", _xlfn.IFNA(VLOOKUP(patch[[#This Row],[reviewer]],OrgTree!$A:$K, 11, 0), "not ICG SWFW"))</f>
        <v>BJ And dev</v>
      </c>
      <c r="T2856" s="7" t="str">
        <f>IF(ISBLANK(patch[[#This Row],[mergeDate]]), "", MID(YEAR(patch[[#This Row],[mergeDate]]), 3,2)&amp;"'ww"&amp;WEEKNUM(patch[[#This Row],[mergeDate]]))</f>
        <v>16'ww36</v>
      </c>
      <c r="U2856" s="7" t="str">
        <f>IF(ISBLANK(patch[[#This Row],[mergeDate]]), U2855, MID(YEAR(patch[[#This Row],[mergeDate]]), 3,2)&amp;"'m"&amp;MONTH(patch[[#This Row],[mergeDate]]))</f>
        <v>16'm9</v>
      </c>
      <c r="V2856" s="7" t="str">
        <f>IF(ISBLANK(patch[[#This Row],[project]]), "",SUM(patch[[#This Row],[BJ -1 num]:[SH -1 num]]))</f>
        <v/>
      </c>
      <c r="W2856" s="7" t="str">
        <f>IF(ISBLANK(patch[[#This Row],[project]]), "",COUNTIFS($A:$A,patch[[#This Row],[number]],$S:$S, "BJ And dev",$AC:$AC, "Review-1"))</f>
        <v/>
      </c>
      <c r="X2856" s="7" t="str">
        <f>IF(ISBLANK(patch[[#This Row],[project]]), "",COUNTIFS($A:$A,patch[[#This Row],[number]],$S:$S, "FL And dev",$AC:$AC, "Review-1"))</f>
        <v/>
      </c>
      <c r="Y2856" s="7" t="str">
        <f>IF(ISBLANK(patch[[#This Row],[project]]), "",COUNTIFS($A:$A,patch[[#This Row],[number]],$S:$S, "SH And dev",$AC:$AC, "Review-1"))</f>
        <v/>
      </c>
      <c r="Z2856" s="7" t="str">
        <f>IF(ISBLANK(patch[[#This Row],[project]]), "",COUNTIFS($A:$A,patch[[#This Row],[number]],$S:$S, "BJ And dev",$AD:$AD, "&lt;&gt;IntegratorValidationComment"))</f>
        <v/>
      </c>
      <c r="AA2856" s="7" t="str">
        <f>IF(ISBLANK(patch[[#This Row],[project]]), "",COUNTIFS($A:$A,patch[[#This Row],[number]],$S:$S, "FL And dev",$AD:$AD, "&lt;&gt;IntegratorValidationComment"))</f>
        <v/>
      </c>
      <c r="AB2856" s="7" t="str">
        <f>IF(ISBLANK(patch[[#This Row],[project]]), "",COUNTIFS($A:$A,patch[[#This Row],[number]],$S:$S, "SH And dev",$AD:$AD, "&lt;&gt;IntegratorValidationComment"))</f>
        <v/>
      </c>
      <c r="AC2856" s="7" t="str">
        <f>IF(OR(ISNUMBER(FIND("Review-1", patch[[#This Row],[comments]])), ISNUMBER(FIND("Approver-1", patch[[#This Row],[comments]]))), "Review-1", "")</f>
        <v/>
      </c>
      <c r="AD285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56" s="7">
        <f>IF(ISBLANK(patch[[#This Row],[number]]),AE2855,patch[[#This Row],[ifCommon]])</f>
        <v>0</v>
      </c>
    </row>
    <row r="2857" spans="1:31">
      <c r="A2857" s="151">
        <v>142253</v>
      </c>
      <c r="B2857" s="151"/>
      <c r="C2857" s="151"/>
      <c r="D2857" s="151"/>
      <c r="E2857" s="151"/>
      <c r="F2857" s="151"/>
      <c r="G2857" s="151"/>
      <c r="H2857" s="151"/>
      <c r="I2857" s="151"/>
      <c r="J2857" s="152">
        <v>42614.749479166669</v>
      </c>
      <c r="K2857" s="151"/>
      <c r="L2857" s="151" t="s">
        <v>24</v>
      </c>
      <c r="M2857" s="152">
        <v>42612.692916666667</v>
      </c>
      <c r="N2857" s="151" t="s">
        <v>2509</v>
      </c>
      <c r="O2857" s="151"/>
      <c r="P2857" s="151"/>
      <c r="Q2857" s="7" t="str">
        <f>IF(ISBLANK(patch[[#This Row],[OwnerEmail]]),Q2856,patch[[#This Row],[OwnerEmail]])</f>
        <v>qingwu.zhang@intel.com</v>
      </c>
      <c r="R2857" s="7" t="str">
        <f>_xlfn.IFNA(VLOOKUP(patch[[#This Row],[tmp-owner.email]],OrgTree!$A:$K, 11, 0), "not ICG SWFW")</f>
        <v>BJ And dev</v>
      </c>
      <c r="S2857" s="7" t="str">
        <f>IF(patch[[#This Row],[reviewer]]=patch[[#This Row],[tmp-owner.email]], "author", _xlfn.IFNA(VLOOKUP(patch[[#This Row],[reviewer]],OrgTree!$A:$K, 11, 0), "not ICG SWFW"))</f>
        <v>author</v>
      </c>
      <c r="T2857" s="7" t="str">
        <f>IF(ISBLANK(patch[[#This Row],[mergeDate]]), "", MID(YEAR(patch[[#This Row],[mergeDate]]), 3,2)&amp;"'ww"&amp;WEEKNUM(patch[[#This Row],[mergeDate]]))</f>
        <v>16'ww36</v>
      </c>
      <c r="U2857" s="7" t="str">
        <f>IF(ISBLANK(patch[[#This Row],[mergeDate]]), U2856, MID(YEAR(patch[[#This Row],[mergeDate]]), 3,2)&amp;"'m"&amp;MONTH(patch[[#This Row],[mergeDate]]))</f>
        <v>16'm9</v>
      </c>
      <c r="V2857" s="7" t="str">
        <f>IF(ISBLANK(patch[[#This Row],[project]]), "",SUM(patch[[#This Row],[BJ -1 num]:[SH -1 num]]))</f>
        <v/>
      </c>
      <c r="W2857" s="7" t="str">
        <f>IF(ISBLANK(patch[[#This Row],[project]]), "",COUNTIFS($A:$A,patch[[#This Row],[number]],$S:$S, "BJ And dev",$AC:$AC, "Review-1"))</f>
        <v/>
      </c>
      <c r="X2857" s="7" t="str">
        <f>IF(ISBLANK(patch[[#This Row],[project]]), "",COUNTIFS($A:$A,patch[[#This Row],[number]],$S:$S, "FL And dev",$AC:$AC, "Review-1"))</f>
        <v/>
      </c>
      <c r="Y2857" s="7" t="str">
        <f>IF(ISBLANK(patch[[#This Row],[project]]), "",COUNTIFS($A:$A,patch[[#This Row],[number]],$S:$S, "SH And dev",$AC:$AC, "Review-1"))</f>
        <v/>
      </c>
      <c r="Z2857" s="7" t="str">
        <f>IF(ISBLANK(patch[[#This Row],[project]]), "",COUNTIFS($A:$A,patch[[#This Row],[number]],$S:$S, "BJ And dev",$AD:$AD, "&lt;&gt;IntegratorValidationComment"))</f>
        <v/>
      </c>
      <c r="AA2857" s="7" t="str">
        <f>IF(ISBLANK(patch[[#This Row],[project]]), "",COUNTIFS($A:$A,patch[[#This Row],[number]],$S:$S, "FL And dev",$AD:$AD, "&lt;&gt;IntegratorValidationComment"))</f>
        <v/>
      </c>
      <c r="AB2857" s="7" t="str">
        <f>IF(ISBLANK(patch[[#This Row],[project]]), "",COUNTIFS($A:$A,patch[[#This Row],[number]],$S:$S, "SH And dev",$AD:$AD, "&lt;&gt;IntegratorValidationComment"))</f>
        <v/>
      </c>
      <c r="AC2857" s="7" t="str">
        <f>IF(OR(ISNUMBER(FIND("Review-1", patch[[#This Row],[comments]])), ISNUMBER(FIND("Approver-1", patch[[#This Row],[comments]]))), "Review-1", "")</f>
        <v/>
      </c>
      <c r="AD285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57" s="7">
        <f>IF(ISBLANK(patch[[#This Row],[number]]),AE2856,patch[[#This Row],[ifCommon]])</f>
        <v>0</v>
      </c>
    </row>
    <row r="2858" spans="1:31">
      <c r="A2858" s="151">
        <v>142253</v>
      </c>
      <c r="B2858" s="151"/>
      <c r="C2858" s="151"/>
      <c r="D2858" s="151"/>
      <c r="E2858" s="151"/>
      <c r="F2858" s="151"/>
      <c r="G2858" s="151"/>
      <c r="H2858" s="151"/>
      <c r="I2858" s="151"/>
      <c r="J2858" s="152">
        <v>42614.749479166669</v>
      </c>
      <c r="K2858" s="151"/>
      <c r="L2858" s="151" t="s">
        <v>24</v>
      </c>
      <c r="M2858" s="152">
        <v>42612.692916666667</v>
      </c>
      <c r="N2858" s="151" t="s">
        <v>2450</v>
      </c>
      <c r="O2858" s="151"/>
      <c r="P2858" s="151"/>
      <c r="Q2858" s="7" t="str">
        <f>IF(ISBLANK(patch[[#This Row],[OwnerEmail]]),Q2857,patch[[#This Row],[OwnerEmail]])</f>
        <v>qingwu.zhang@intel.com</v>
      </c>
      <c r="R2858" s="7" t="str">
        <f>_xlfn.IFNA(VLOOKUP(patch[[#This Row],[tmp-owner.email]],OrgTree!$A:$K, 11, 0), "not ICG SWFW")</f>
        <v>BJ And dev</v>
      </c>
      <c r="S2858" s="7" t="str">
        <f>IF(patch[[#This Row],[reviewer]]=patch[[#This Row],[tmp-owner.email]], "author", _xlfn.IFNA(VLOOKUP(patch[[#This Row],[reviewer]],OrgTree!$A:$K, 11, 0), "not ICG SWFW"))</f>
        <v>author</v>
      </c>
      <c r="T2858" s="7" t="str">
        <f>IF(ISBLANK(patch[[#This Row],[mergeDate]]), "", MID(YEAR(patch[[#This Row],[mergeDate]]), 3,2)&amp;"'ww"&amp;WEEKNUM(patch[[#This Row],[mergeDate]]))</f>
        <v>16'ww36</v>
      </c>
      <c r="U2858" s="7" t="str">
        <f>IF(ISBLANK(patch[[#This Row],[mergeDate]]), U2857, MID(YEAR(patch[[#This Row],[mergeDate]]), 3,2)&amp;"'m"&amp;MONTH(patch[[#This Row],[mergeDate]]))</f>
        <v>16'm9</v>
      </c>
      <c r="V2858" s="7" t="str">
        <f>IF(ISBLANK(patch[[#This Row],[project]]), "",SUM(patch[[#This Row],[BJ -1 num]:[SH -1 num]]))</f>
        <v/>
      </c>
      <c r="W2858" s="7" t="str">
        <f>IF(ISBLANK(patch[[#This Row],[project]]), "",COUNTIFS($A:$A,patch[[#This Row],[number]],$S:$S, "BJ And dev",$AC:$AC, "Review-1"))</f>
        <v/>
      </c>
      <c r="X2858" s="7" t="str">
        <f>IF(ISBLANK(patch[[#This Row],[project]]), "",COUNTIFS($A:$A,patch[[#This Row],[number]],$S:$S, "FL And dev",$AC:$AC, "Review-1"))</f>
        <v/>
      </c>
      <c r="Y2858" s="7" t="str">
        <f>IF(ISBLANK(patch[[#This Row],[project]]), "",COUNTIFS($A:$A,patch[[#This Row],[number]],$S:$S, "SH And dev",$AC:$AC, "Review-1"))</f>
        <v/>
      </c>
      <c r="Z2858" s="7" t="str">
        <f>IF(ISBLANK(patch[[#This Row],[project]]), "",COUNTIFS($A:$A,patch[[#This Row],[number]],$S:$S, "BJ And dev",$AD:$AD, "&lt;&gt;IntegratorValidationComment"))</f>
        <v/>
      </c>
      <c r="AA2858" s="7" t="str">
        <f>IF(ISBLANK(patch[[#This Row],[project]]), "",COUNTIFS($A:$A,patch[[#This Row],[number]],$S:$S, "FL And dev",$AD:$AD, "&lt;&gt;IntegratorValidationComment"))</f>
        <v/>
      </c>
      <c r="AB2858" s="7" t="str">
        <f>IF(ISBLANK(patch[[#This Row],[project]]), "",COUNTIFS($A:$A,patch[[#This Row],[number]],$S:$S, "SH And dev",$AD:$AD, "&lt;&gt;IntegratorValidationComment"))</f>
        <v/>
      </c>
      <c r="AC2858" s="7" t="str">
        <f>IF(OR(ISNUMBER(FIND("Review-1", patch[[#This Row],[comments]])), ISNUMBER(FIND("Approver-1", patch[[#This Row],[comments]]))), "Review-1", "")</f>
        <v/>
      </c>
      <c r="AD285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58" s="7">
        <f>IF(ISBLANK(patch[[#This Row],[number]]),AE2857,patch[[#This Row],[ifCommon]])</f>
        <v>0</v>
      </c>
    </row>
    <row r="2859" spans="1:31">
      <c r="A2859" s="151">
        <v>142253</v>
      </c>
      <c r="B2859" s="151"/>
      <c r="C2859" s="151"/>
      <c r="D2859" s="151"/>
      <c r="E2859" s="151"/>
      <c r="F2859" s="151"/>
      <c r="G2859" s="151"/>
      <c r="H2859" s="151"/>
      <c r="I2859" s="151"/>
      <c r="J2859" s="152">
        <v>42614.749479166669</v>
      </c>
      <c r="K2859" s="151"/>
      <c r="L2859" s="151" t="s">
        <v>59</v>
      </c>
      <c r="M2859" s="152">
        <v>42612.6952662037</v>
      </c>
      <c r="N2859" s="151" t="s">
        <v>4025</v>
      </c>
      <c r="O2859" s="151"/>
      <c r="P2859" s="151"/>
      <c r="Q2859" s="7" t="str">
        <f>IF(ISBLANK(patch[[#This Row],[OwnerEmail]]),Q2858,patch[[#This Row],[OwnerEmail]])</f>
        <v>qingwu.zhang@intel.com</v>
      </c>
      <c r="R2859" s="7" t="str">
        <f>_xlfn.IFNA(VLOOKUP(patch[[#This Row],[tmp-owner.email]],OrgTree!$A:$K, 11, 0), "not ICG SWFW")</f>
        <v>BJ And dev</v>
      </c>
      <c r="S2859" s="7" t="str">
        <f>IF(patch[[#This Row],[reviewer]]=patch[[#This Row],[tmp-owner.email]], "author", _xlfn.IFNA(VLOOKUP(patch[[#This Row],[reviewer]],OrgTree!$A:$K, 11, 0), "not ICG SWFW"))</f>
        <v>BJ And dev</v>
      </c>
      <c r="T2859" s="7" t="str">
        <f>IF(ISBLANK(patch[[#This Row],[mergeDate]]), "", MID(YEAR(patch[[#This Row],[mergeDate]]), 3,2)&amp;"'ww"&amp;WEEKNUM(patch[[#This Row],[mergeDate]]))</f>
        <v>16'ww36</v>
      </c>
      <c r="U2859" s="7" t="str">
        <f>IF(ISBLANK(patch[[#This Row],[mergeDate]]), U2858, MID(YEAR(patch[[#This Row],[mergeDate]]), 3,2)&amp;"'m"&amp;MONTH(patch[[#This Row],[mergeDate]]))</f>
        <v>16'm9</v>
      </c>
      <c r="V2859" s="7" t="str">
        <f>IF(ISBLANK(patch[[#This Row],[project]]), "",SUM(patch[[#This Row],[BJ -1 num]:[SH -1 num]]))</f>
        <v/>
      </c>
      <c r="W2859" s="7" t="str">
        <f>IF(ISBLANK(patch[[#This Row],[project]]), "",COUNTIFS($A:$A,patch[[#This Row],[number]],$S:$S, "BJ And dev",$AC:$AC, "Review-1"))</f>
        <v/>
      </c>
      <c r="X2859" s="7" t="str">
        <f>IF(ISBLANK(patch[[#This Row],[project]]), "",COUNTIFS($A:$A,patch[[#This Row],[number]],$S:$S, "FL And dev",$AC:$AC, "Review-1"))</f>
        <v/>
      </c>
      <c r="Y2859" s="7" t="str">
        <f>IF(ISBLANK(patch[[#This Row],[project]]), "",COUNTIFS($A:$A,patch[[#This Row],[number]],$S:$S, "SH And dev",$AC:$AC, "Review-1"))</f>
        <v/>
      </c>
      <c r="Z2859" s="7" t="str">
        <f>IF(ISBLANK(patch[[#This Row],[project]]), "",COUNTIFS($A:$A,patch[[#This Row],[number]],$S:$S, "BJ And dev",$AD:$AD, "&lt;&gt;IntegratorValidationComment"))</f>
        <v/>
      </c>
      <c r="AA2859" s="7" t="str">
        <f>IF(ISBLANK(patch[[#This Row],[project]]), "",COUNTIFS($A:$A,patch[[#This Row],[number]],$S:$S, "FL And dev",$AD:$AD, "&lt;&gt;IntegratorValidationComment"))</f>
        <v/>
      </c>
      <c r="AB2859" s="7" t="str">
        <f>IF(ISBLANK(patch[[#This Row],[project]]), "",COUNTIFS($A:$A,patch[[#This Row],[number]],$S:$S, "SH And dev",$AD:$AD, "&lt;&gt;IntegratorValidationComment"))</f>
        <v/>
      </c>
      <c r="AC2859" s="7" t="str">
        <f>IF(OR(ISNUMBER(FIND("Review-1", patch[[#This Row],[comments]])), ISNUMBER(FIND("Approver-1", patch[[#This Row],[comments]]))), "Review-1", "")</f>
        <v/>
      </c>
      <c r="AD285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59" s="7">
        <f>IF(ISBLANK(patch[[#This Row],[number]]),AE2858,patch[[#This Row],[ifCommon]])</f>
        <v>0</v>
      </c>
    </row>
    <row r="2860" spans="1:31">
      <c r="A2860" s="151">
        <v>142253</v>
      </c>
      <c r="B2860" s="151"/>
      <c r="C2860" s="151"/>
      <c r="D2860" s="151"/>
      <c r="E2860" s="151"/>
      <c r="F2860" s="151"/>
      <c r="G2860" s="151"/>
      <c r="H2860" s="151"/>
      <c r="I2860" s="151"/>
      <c r="J2860" s="152">
        <v>42614.749479166669</v>
      </c>
      <c r="K2860" s="151"/>
      <c r="L2860" s="151" t="s">
        <v>59</v>
      </c>
      <c r="M2860" s="152">
        <v>42612.69740740741</v>
      </c>
      <c r="N2860" s="151" t="s">
        <v>4026</v>
      </c>
      <c r="O2860" s="151"/>
      <c r="P2860" s="151"/>
      <c r="Q2860" s="7" t="str">
        <f>IF(ISBLANK(patch[[#This Row],[OwnerEmail]]),Q2859,patch[[#This Row],[OwnerEmail]])</f>
        <v>qingwu.zhang@intel.com</v>
      </c>
      <c r="R2860" s="7" t="str">
        <f>_xlfn.IFNA(VLOOKUP(patch[[#This Row],[tmp-owner.email]],OrgTree!$A:$K, 11, 0), "not ICG SWFW")</f>
        <v>BJ And dev</v>
      </c>
      <c r="S2860" s="7" t="str">
        <f>IF(patch[[#This Row],[reviewer]]=patch[[#This Row],[tmp-owner.email]], "author", _xlfn.IFNA(VLOOKUP(patch[[#This Row],[reviewer]],OrgTree!$A:$K, 11, 0), "not ICG SWFW"))</f>
        <v>BJ And dev</v>
      </c>
      <c r="T2860" s="7" t="str">
        <f>IF(ISBLANK(patch[[#This Row],[mergeDate]]), "", MID(YEAR(patch[[#This Row],[mergeDate]]), 3,2)&amp;"'ww"&amp;WEEKNUM(patch[[#This Row],[mergeDate]]))</f>
        <v>16'ww36</v>
      </c>
      <c r="U2860" s="7" t="str">
        <f>IF(ISBLANK(patch[[#This Row],[mergeDate]]), U2859, MID(YEAR(patch[[#This Row],[mergeDate]]), 3,2)&amp;"'m"&amp;MONTH(patch[[#This Row],[mergeDate]]))</f>
        <v>16'm9</v>
      </c>
      <c r="V2860" s="7" t="str">
        <f>IF(ISBLANK(patch[[#This Row],[project]]), "",SUM(patch[[#This Row],[BJ -1 num]:[SH -1 num]]))</f>
        <v/>
      </c>
      <c r="W2860" s="7" t="str">
        <f>IF(ISBLANK(patch[[#This Row],[project]]), "",COUNTIFS($A:$A,patch[[#This Row],[number]],$S:$S, "BJ And dev",$AC:$AC, "Review-1"))</f>
        <v/>
      </c>
      <c r="X2860" s="7" t="str">
        <f>IF(ISBLANK(patch[[#This Row],[project]]), "",COUNTIFS($A:$A,patch[[#This Row],[number]],$S:$S, "FL And dev",$AC:$AC, "Review-1"))</f>
        <v/>
      </c>
      <c r="Y2860" s="7" t="str">
        <f>IF(ISBLANK(patch[[#This Row],[project]]), "",COUNTIFS($A:$A,patch[[#This Row],[number]],$S:$S, "SH And dev",$AC:$AC, "Review-1"))</f>
        <v/>
      </c>
      <c r="Z2860" s="7" t="str">
        <f>IF(ISBLANK(patch[[#This Row],[project]]), "",COUNTIFS($A:$A,patch[[#This Row],[number]],$S:$S, "BJ And dev",$AD:$AD, "&lt;&gt;IntegratorValidationComment"))</f>
        <v/>
      </c>
      <c r="AA2860" s="7" t="str">
        <f>IF(ISBLANK(patch[[#This Row],[project]]), "",COUNTIFS($A:$A,patch[[#This Row],[number]],$S:$S, "FL And dev",$AD:$AD, "&lt;&gt;IntegratorValidationComment"))</f>
        <v/>
      </c>
      <c r="AB2860" s="7" t="str">
        <f>IF(ISBLANK(patch[[#This Row],[project]]), "",COUNTIFS($A:$A,patch[[#This Row],[number]],$S:$S, "SH And dev",$AD:$AD, "&lt;&gt;IntegratorValidationComment"))</f>
        <v/>
      </c>
      <c r="AC2860" s="7" t="str">
        <f>IF(OR(ISNUMBER(FIND("Review-1", patch[[#This Row],[comments]])), ISNUMBER(FIND("Approver-1", patch[[#This Row],[comments]]))), "Review-1", "")</f>
        <v/>
      </c>
      <c r="AD286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60" s="7">
        <f>IF(ISBLANK(patch[[#This Row],[number]]),AE2859,patch[[#This Row],[ifCommon]])</f>
        <v>0</v>
      </c>
    </row>
    <row r="2861" spans="1:31">
      <c r="A2861" s="151">
        <v>142253</v>
      </c>
      <c r="B2861" s="151"/>
      <c r="C2861" s="151"/>
      <c r="D2861" s="151"/>
      <c r="E2861" s="151"/>
      <c r="F2861" s="151"/>
      <c r="G2861" s="151"/>
      <c r="H2861" s="151"/>
      <c r="I2861" s="151"/>
      <c r="J2861" s="152">
        <v>42614.749479166669</v>
      </c>
      <c r="K2861" s="151"/>
      <c r="L2861" s="151" t="s">
        <v>24</v>
      </c>
      <c r="M2861" s="152">
        <v>42612.761956018519</v>
      </c>
      <c r="N2861" s="151" t="s">
        <v>4027</v>
      </c>
      <c r="O2861" s="151"/>
      <c r="P2861" s="151"/>
      <c r="Q2861" s="7" t="str">
        <f>IF(ISBLANK(patch[[#This Row],[OwnerEmail]]),Q2860,patch[[#This Row],[OwnerEmail]])</f>
        <v>qingwu.zhang@intel.com</v>
      </c>
      <c r="R2861" s="7" t="str">
        <f>_xlfn.IFNA(VLOOKUP(patch[[#This Row],[tmp-owner.email]],OrgTree!$A:$K, 11, 0), "not ICG SWFW")</f>
        <v>BJ And dev</v>
      </c>
      <c r="S2861" s="7" t="str">
        <f>IF(patch[[#This Row],[reviewer]]=patch[[#This Row],[tmp-owner.email]], "author", _xlfn.IFNA(VLOOKUP(patch[[#This Row],[reviewer]],OrgTree!$A:$K, 11, 0), "not ICG SWFW"))</f>
        <v>author</v>
      </c>
      <c r="T2861" s="7" t="str">
        <f>IF(ISBLANK(patch[[#This Row],[mergeDate]]), "", MID(YEAR(patch[[#This Row],[mergeDate]]), 3,2)&amp;"'ww"&amp;WEEKNUM(patch[[#This Row],[mergeDate]]))</f>
        <v>16'ww36</v>
      </c>
      <c r="U2861" s="7" t="str">
        <f>IF(ISBLANK(patch[[#This Row],[mergeDate]]), U2860, MID(YEAR(patch[[#This Row],[mergeDate]]), 3,2)&amp;"'m"&amp;MONTH(patch[[#This Row],[mergeDate]]))</f>
        <v>16'm9</v>
      </c>
      <c r="V2861" s="7" t="str">
        <f>IF(ISBLANK(patch[[#This Row],[project]]), "",SUM(patch[[#This Row],[BJ -1 num]:[SH -1 num]]))</f>
        <v/>
      </c>
      <c r="W2861" s="7" t="str">
        <f>IF(ISBLANK(patch[[#This Row],[project]]), "",COUNTIFS($A:$A,patch[[#This Row],[number]],$S:$S, "BJ And dev",$AC:$AC, "Review-1"))</f>
        <v/>
      </c>
      <c r="X2861" s="7" t="str">
        <f>IF(ISBLANK(patch[[#This Row],[project]]), "",COUNTIFS($A:$A,patch[[#This Row],[number]],$S:$S, "FL And dev",$AC:$AC, "Review-1"))</f>
        <v/>
      </c>
      <c r="Y2861" s="7" t="str">
        <f>IF(ISBLANK(patch[[#This Row],[project]]), "",COUNTIFS($A:$A,patch[[#This Row],[number]],$S:$S, "SH And dev",$AC:$AC, "Review-1"))</f>
        <v/>
      </c>
      <c r="Z2861" s="7" t="str">
        <f>IF(ISBLANK(patch[[#This Row],[project]]), "",COUNTIFS($A:$A,patch[[#This Row],[number]],$S:$S, "BJ And dev",$AD:$AD, "&lt;&gt;IntegratorValidationComment"))</f>
        <v/>
      </c>
      <c r="AA2861" s="7" t="str">
        <f>IF(ISBLANK(patch[[#This Row],[project]]), "",COUNTIFS($A:$A,patch[[#This Row],[number]],$S:$S, "FL And dev",$AD:$AD, "&lt;&gt;IntegratorValidationComment"))</f>
        <v/>
      </c>
      <c r="AB2861" s="7" t="str">
        <f>IF(ISBLANK(patch[[#This Row],[project]]), "",COUNTIFS($A:$A,patch[[#This Row],[number]],$S:$S, "SH And dev",$AD:$AD, "&lt;&gt;IntegratorValidationComment"))</f>
        <v/>
      </c>
      <c r="AC2861" s="7" t="str">
        <f>IF(OR(ISNUMBER(FIND("Review-1", patch[[#This Row],[comments]])), ISNUMBER(FIND("Approver-1", patch[[#This Row],[comments]]))), "Review-1", "")</f>
        <v/>
      </c>
      <c r="AD286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61" s="7">
        <f>IF(ISBLANK(patch[[#This Row],[number]]),AE2860,patch[[#This Row],[ifCommon]])</f>
        <v>0</v>
      </c>
    </row>
    <row r="2862" spans="1:31">
      <c r="A2862" s="151">
        <v>142253</v>
      </c>
      <c r="B2862" s="151"/>
      <c r="C2862" s="151"/>
      <c r="D2862" s="151"/>
      <c r="E2862" s="151"/>
      <c r="F2862" s="151"/>
      <c r="G2862" s="151"/>
      <c r="H2862" s="151"/>
      <c r="I2862" s="151"/>
      <c r="J2862" s="152">
        <v>42614.749479166669</v>
      </c>
      <c r="K2862" s="151"/>
      <c r="L2862" s="151" t="s">
        <v>24</v>
      </c>
      <c r="M2862" s="152">
        <v>42613.521828703713</v>
      </c>
      <c r="N2862" s="151" t="s">
        <v>4028</v>
      </c>
      <c r="O2862" s="151"/>
      <c r="P2862" s="151"/>
      <c r="Q2862" s="7" t="str">
        <f>IF(ISBLANK(patch[[#This Row],[OwnerEmail]]),Q2861,patch[[#This Row],[OwnerEmail]])</f>
        <v>qingwu.zhang@intel.com</v>
      </c>
      <c r="R2862" s="7" t="str">
        <f>_xlfn.IFNA(VLOOKUP(patch[[#This Row],[tmp-owner.email]],OrgTree!$A:$K, 11, 0), "not ICG SWFW")</f>
        <v>BJ And dev</v>
      </c>
      <c r="S2862" s="7" t="str">
        <f>IF(patch[[#This Row],[reviewer]]=patch[[#This Row],[tmp-owner.email]], "author", _xlfn.IFNA(VLOOKUP(patch[[#This Row],[reviewer]],OrgTree!$A:$K, 11, 0), "not ICG SWFW"))</f>
        <v>author</v>
      </c>
      <c r="T2862" s="7" t="str">
        <f>IF(ISBLANK(patch[[#This Row],[mergeDate]]), "", MID(YEAR(patch[[#This Row],[mergeDate]]), 3,2)&amp;"'ww"&amp;WEEKNUM(patch[[#This Row],[mergeDate]]))</f>
        <v>16'ww36</v>
      </c>
      <c r="U2862" s="7" t="str">
        <f>IF(ISBLANK(patch[[#This Row],[mergeDate]]), U2861, MID(YEAR(patch[[#This Row],[mergeDate]]), 3,2)&amp;"'m"&amp;MONTH(patch[[#This Row],[mergeDate]]))</f>
        <v>16'm9</v>
      </c>
      <c r="V2862" s="7" t="str">
        <f>IF(ISBLANK(patch[[#This Row],[project]]), "",SUM(patch[[#This Row],[BJ -1 num]:[SH -1 num]]))</f>
        <v/>
      </c>
      <c r="W2862" s="7" t="str">
        <f>IF(ISBLANK(patch[[#This Row],[project]]), "",COUNTIFS($A:$A,patch[[#This Row],[number]],$S:$S, "BJ And dev",$AC:$AC, "Review-1"))</f>
        <v/>
      </c>
      <c r="X2862" s="7" t="str">
        <f>IF(ISBLANK(patch[[#This Row],[project]]), "",COUNTIFS($A:$A,patch[[#This Row],[number]],$S:$S, "FL And dev",$AC:$AC, "Review-1"))</f>
        <v/>
      </c>
      <c r="Y2862" s="7" t="str">
        <f>IF(ISBLANK(patch[[#This Row],[project]]), "",COUNTIFS($A:$A,patch[[#This Row],[number]],$S:$S, "SH And dev",$AC:$AC, "Review-1"))</f>
        <v/>
      </c>
      <c r="Z2862" s="7" t="str">
        <f>IF(ISBLANK(patch[[#This Row],[project]]), "",COUNTIFS($A:$A,patch[[#This Row],[number]],$S:$S, "BJ And dev",$AD:$AD, "&lt;&gt;IntegratorValidationComment"))</f>
        <v/>
      </c>
      <c r="AA2862" s="7" t="str">
        <f>IF(ISBLANK(patch[[#This Row],[project]]), "",COUNTIFS($A:$A,patch[[#This Row],[number]],$S:$S, "FL And dev",$AD:$AD, "&lt;&gt;IntegratorValidationComment"))</f>
        <v/>
      </c>
      <c r="AB2862" s="7" t="str">
        <f>IF(ISBLANK(patch[[#This Row],[project]]), "",COUNTIFS($A:$A,patch[[#This Row],[number]],$S:$S, "SH And dev",$AD:$AD, "&lt;&gt;IntegratorValidationComment"))</f>
        <v/>
      </c>
      <c r="AC2862" s="7" t="str">
        <f>IF(OR(ISNUMBER(FIND("Review-1", patch[[#This Row],[comments]])), ISNUMBER(FIND("Approver-1", patch[[#This Row],[comments]]))), "Review-1", "")</f>
        <v/>
      </c>
      <c r="AD286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62" s="7">
        <f>IF(ISBLANK(patch[[#This Row],[number]]),AE2861,patch[[#This Row],[ifCommon]])</f>
        <v>0</v>
      </c>
    </row>
    <row r="2863" spans="1:31">
      <c r="A2863" s="151">
        <v>142253</v>
      </c>
      <c r="B2863" s="151"/>
      <c r="C2863" s="151"/>
      <c r="D2863" s="151"/>
      <c r="E2863" s="151"/>
      <c r="F2863" s="151"/>
      <c r="G2863" s="151"/>
      <c r="H2863" s="151"/>
      <c r="I2863" s="151"/>
      <c r="J2863" s="152">
        <v>42614.749479166669</v>
      </c>
      <c r="K2863" s="151"/>
      <c r="L2863" s="151" t="s">
        <v>59</v>
      </c>
      <c r="M2863" s="152">
        <v>42613.528379629628</v>
      </c>
      <c r="N2863" s="151" t="s">
        <v>4029</v>
      </c>
      <c r="O2863" s="151"/>
      <c r="P2863" s="151"/>
      <c r="Q2863" s="7" t="str">
        <f>IF(ISBLANK(patch[[#This Row],[OwnerEmail]]),Q2862,patch[[#This Row],[OwnerEmail]])</f>
        <v>qingwu.zhang@intel.com</v>
      </c>
      <c r="R2863" s="7" t="str">
        <f>_xlfn.IFNA(VLOOKUP(patch[[#This Row],[tmp-owner.email]],OrgTree!$A:$K, 11, 0), "not ICG SWFW")</f>
        <v>BJ And dev</v>
      </c>
      <c r="S2863" s="7" t="str">
        <f>IF(patch[[#This Row],[reviewer]]=patch[[#This Row],[tmp-owner.email]], "author", _xlfn.IFNA(VLOOKUP(patch[[#This Row],[reviewer]],OrgTree!$A:$K, 11, 0), "not ICG SWFW"))</f>
        <v>BJ And dev</v>
      </c>
      <c r="T2863" s="7" t="str">
        <f>IF(ISBLANK(patch[[#This Row],[mergeDate]]), "", MID(YEAR(patch[[#This Row],[mergeDate]]), 3,2)&amp;"'ww"&amp;WEEKNUM(patch[[#This Row],[mergeDate]]))</f>
        <v>16'ww36</v>
      </c>
      <c r="U2863" s="7" t="str">
        <f>IF(ISBLANK(patch[[#This Row],[mergeDate]]), U2862, MID(YEAR(patch[[#This Row],[mergeDate]]), 3,2)&amp;"'m"&amp;MONTH(patch[[#This Row],[mergeDate]]))</f>
        <v>16'm9</v>
      </c>
      <c r="V2863" s="7" t="str">
        <f>IF(ISBLANK(patch[[#This Row],[project]]), "",SUM(patch[[#This Row],[BJ -1 num]:[SH -1 num]]))</f>
        <v/>
      </c>
      <c r="W2863" s="7" t="str">
        <f>IF(ISBLANK(patch[[#This Row],[project]]), "",COUNTIFS($A:$A,patch[[#This Row],[number]],$S:$S, "BJ And dev",$AC:$AC, "Review-1"))</f>
        <v/>
      </c>
      <c r="X2863" s="7" t="str">
        <f>IF(ISBLANK(patch[[#This Row],[project]]), "",COUNTIFS($A:$A,patch[[#This Row],[number]],$S:$S, "FL And dev",$AC:$AC, "Review-1"))</f>
        <v/>
      </c>
      <c r="Y2863" s="7" t="str">
        <f>IF(ISBLANK(patch[[#This Row],[project]]), "",COUNTIFS($A:$A,patch[[#This Row],[number]],$S:$S, "SH And dev",$AC:$AC, "Review-1"))</f>
        <v/>
      </c>
      <c r="Z2863" s="7" t="str">
        <f>IF(ISBLANK(patch[[#This Row],[project]]), "",COUNTIFS($A:$A,patch[[#This Row],[number]],$S:$S, "BJ And dev",$AD:$AD, "&lt;&gt;IntegratorValidationComment"))</f>
        <v/>
      </c>
      <c r="AA2863" s="7" t="str">
        <f>IF(ISBLANK(patch[[#This Row],[project]]), "",COUNTIFS($A:$A,patch[[#This Row],[number]],$S:$S, "FL And dev",$AD:$AD, "&lt;&gt;IntegratorValidationComment"))</f>
        <v/>
      </c>
      <c r="AB2863" s="7" t="str">
        <f>IF(ISBLANK(patch[[#This Row],[project]]), "",COUNTIFS($A:$A,patch[[#This Row],[number]],$S:$S, "SH And dev",$AD:$AD, "&lt;&gt;IntegratorValidationComment"))</f>
        <v/>
      </c>
      <c r="AC2863" s="7" t="str">
        <f>IF(OR(ISNUMBER(FIND("Review-1", patch[[#This Row],[comments]])), ISNUMBER(FIND("Approver-1", patch[[#This Row],[comments]]))), "Review-1", "")</f>
        <v/>
      </c>
      <c r="AD286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63" s="7">
        <f>IF(ISBLANK(patch[[#This Row],[number]]),AE2862,patch[[#This Row],[ifCommon]])</f>
        <v>0</v>
      </c>
    </row>
    <row r="2864" spans="1:31">
      <c r="A2864" s="151">
        <v>142253</v>
      </c>
      <c r="B2864" s="151"/>
      <c r="C2864" s="151"/>
      <c r="D2864" s="151"/>
      <c r="E2864" s="151"/>
      <c r="F2864" s="151"/>
      <c r="G2864" s="151"/>
      <c r="H2864" s="151"/>
      <c r="I2864" s="151"/>
      <c r="J2864" s="152">
        <v>42614.749479166669</v>
      </c>
      <c r="K2864" s="151"/>
      <c r="L2864" s="151" t="s">
        <v>59</v>
      </c>
      <c r="M2864" s="152">
        <v>42613.529039351852</v>
      </c>
      <c r="N2864" s="151" t="s">
        <v>4030</v>
      </c>
      <c r="O2864" s="151"/>
      <c r="P2864" s="151"/>
      <c r="Q2864" s="7" t="str">
        <f>IF(ISBLANK(patch[[#This Row],[OwnerEmail]]),Q2863,patch[[#This Row],[OwnerEmail]])</f>
        <v>qingwu.zhang@intel.com</v>
      </c>
      <c r="R2864" s="7" t="str">
        <f>_xlfn.IFNA(VLOOKUP(patch[[#This Row],[tmp-owner.email]],OrgTree!$A:$K, 11, 0), "not ICG SWFW")</f>
        <v>BJ And dev</v>
      </c>
      <c r="S2864" s="7" t="str">
        <f>IF(patch[[#This Row],[reviewer]]=patch[[#This Row],[tmp-owner.email]], "author", _xlfn.IFNA(VLOOKUP(patch[[#This Row],[reviewer]],OrgTree!$A:$K, 11, 0), "not ICG SWFW"))</f>
        <v>BJ And dev</v>
      </c>
      <c r="T2864" s="7" t="str">
        <f>IF(ISBLANK(patch[[#This Row],[mergeDate]]), "", MID(YEAR(patch[[#This Row],[mergeDate]]), 3,2)&amp;"'ww"&amp;WEEKNUM(patch[[#This Row],[mergeDate]]))</f>
        <v>16'ww36</v>
      </c>
      <c r="U2864" s="7" t="str">
        <f>IF(ISBLANK(patch[[#This Row],[mergeDate]]), U2863, MID(YEAR(patch[[#This Row],[mergeDate]]), 3,2)&amp;"'m"&amp;MONTH(patch[[#This Row],[mergeDate]]))</f>
        <v>16'm9</v>
      </c>
      <c r="V2864" s="7" t="str">
        <f>IF(ISBLANK(patch[[#This Row],[project]]), "",SUM(patch[[#This Row],[BJ -1 num]:[SH -1 num]]))</f>
        <v/>
      </c>
      <c r="W2864" s="7" t="str">
        <f>IF(ISBLANK(patch[[#This Row],[project]]), "",COUNTIFS($A:$A,patch[[#This Row],[number]],$S:$S, "BJ And dev",$AC:$AC, "Review-1"))</f>
        <v/>
      </c>
      <c r="X2864" s="7" t="str">
        <f>IF(ISBLANK(patch[[#This Row],[project]]), "",COUNTIFS($A:$A,patch[[#This Row],[number]],$S:$S, "FL And dev",$AC:$AC, "Review-1"))</f>
        <v/>
      </c>
      <c r="Y2864" s="7" t="str">
        <f>IF(ISBLANK(patch[[#This Row],[project]]), "",COUNTIFS($A:$A,patch[[#This Row],[number]],$S:$S, "SH And dev",$AC:$AC, "Review-1"))</f>
        <v/>
      </c>
      <c r="Z2864" s="7" t="str">
        <f>IF(ISBLANK(patch[[#This Row],[project]]), "",COUNTIFS($A:$A,patch[[#This Row],[number]],$S:$S, "BJ And dev",$AD:$AD, "&lt;&gt;IntegratorValidationComment"))</f>
        <v/>
      </c>
      <c r="AA2864" s="7" t="str">
        <f>IF(ISBLANK(patch[[#This Row],[project]]), "",COUNTIFS($A:$A,patch[[#This Row],[number]],$S:$S, "FL And dev",$AD:$AD, "&lt;&gt;IntegratorValidationComment"))</f>
        <v/>
      </c>
      <c r="AB2864" s="7" t="str">
        <f>IF(ISBLANK(patch[[#This Row],[project]]), "",COUNTIFS($A:$A,patch[[#This Row],[number]],$S:$S, "SH And dev",$AD:$AD, "&lt;&gt;IntegratorValidationComment"))</f>
        <v/>
      </c>
      <c r="AC2864" s="7" t="str">
        <f>IF(OR(ISNUMBER(FIND("Review-1", patch[[#This Row],[comments]])), ISNUMBER(FIND("Approver-1", patch[[#This Row],[comments]]))), "Review-1", "")</f>
        <v/>
      </c>
      <c r="AD286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64" s="7">
        <f>IF(ISBLANK(patch[[#This Row],[number]]),AE2863,patch[[#This Row],[ifCommon]])</f>
        <v>0</v>
      </c>
    </row>
    <row r="2865" spans="1:31">
      <c r="A2865" s="151">
        <v>142253</v>
      </c>
      <c r="B2865" s="151"/>
      <c r="C2865" s="151"/>
      <c r="D2865" s="151"/>
      <c r="E2865" s="151"/>
      <c r="F2865" s="151"/>
      <c r="G2865" s="151"/>
      <c r="H2865" s="151"/>
      <c r="I2865" s="151"/>
      <c r="J2865" s="152">
        <v>42614.749479166669</v>
      </c>
      <c r="K2865" s="151"/>
      <c r="L2865" s="151" t="s">
        <v>24</v>
      </c>
      <c r="M2865" s="152">
        <v>42613.575069444443</v>
      </c>
      <c r="N2865" s="151" t="s">
        <v>49</v>
      </c>
      <c r="O2865" s="151"/>
      <c r="P2865" s="151"/>
      <c r="Q2865" s="7" t="str">
        <f>IF(ISBLANK(patch[[#This Row],[OwnerEmail]]),Q2864,patch[[#This Row],[OwnerEmail]])</f>
        <v>qingwu.zhang@intel.com</v>
      </c>
      <c r="R2865" s="7" t="str">
        <f>_xlfn.IFNA(VLOOKUP(patch[[#This Row],[tmp-owner.email]],OrgTree!$A:$K, 11, 0), "not ICG SWFW")</f>
        <v>BJ And dev</v>
      </c>
      <c r="S2865" s="7" t="str">
        <f>IF(patch[[#This Row],[reviewer]]=patch[[#This Row],[tmp-owner.email]], "author", _xlfn.IFNA(VLOOKUP(patch[[#This Row],[reviewer]],OrgTree!$A:$K, 11, 0), "not ICG SWFW"))</f>
        <v>author</v>
      </c>
      <c r="T2865" s="7" t="str">
        <f>IF(ISBLANK(patch[[#This Row],[mergeDate]]), "", MID(YEAR(patch[[#This Row],[mergeDate]]), 3,2)&amp;"'ww"&amp;WEEKNUM(patch[[#This Row],[mergeDate]]))</f>
        <v>16'ww36</v>
      </c>
      <c r="U2865" s="7" t="str">
        <f>IF(ISBLANK(patch[[#This Row],[mergeDate]]), U2864, MID(YEAR(patch[[#This Row],[mergeDate]]), 3,2)&amp;"'m"&amp;MONTH(patch[[#This Row],[mergeDate]]))</f>
        <v>16'm9</v>
      </c>
      <c r="V2865" s="7" t="str">
        <f>IF(ISBLANK(patch[[#This Row],[project]]), "",SUM(patch[[#This Row],[BJ -1 num]:[SH -1 num]]))</f>
        <v/>
      </c>
      <c r="W2865" s="7" t="str">
        <f>IF(ISBLANK(patch[[#This Row],[project]]), "",COUNTIFS($A:$A,patch[[#This Row],[number]],$S:$S, "BJ And dev",$AC:$AC, "Review-1"))</f>
        <v/>
      </c>
      <c r="X2865" s="7" t="str">
        <f>IF(ISBLANK(patch[[#This Row],[project]]), "",COUNTIFS($A:$A,patch[[#This Row],[number]],$S:$S, "FL And dev",$AC:$AC, "Review-1"))</f>
        <v/>
      </c>
      <c r="Y2865" s="7" t="str">
        <f>IF(ISBLANK(patch[[#This Row],[project]]), "",COUNTIFS($A:$A,patch[[#This Row],[number]],$S:$S, "SH And dev",$AC:$AC, "Review-1"))</f>
        <v/>
      </c>
      <c r="Z2865" s="7" t="str">
        <f>IF(ISBLANK(patch[[#This Row],[project]]), "",COUNTIFS($A:$A,patch[[#This Row],[number]],$S:$S, "BJ And dev",$AD:$AD, "&lt;&gt;IntegratorValidationComment"))</f>
        <v/>
      </c>
      <c r="AA2865" s="7" t="str">
        <f>IF(ISBLANK(patch[[#This Row],[project]]), "",COUNTIFS($A:$A,patch[[#This Row],[number]],$S:$S, "FL And dev",$AD:$AD, "&lt;&gt;IntegratorValidationComment"))</f>
        <v/>
      </c>
      <c r="AB2865" s="7" t="str">
        <f>IF(ISBLANK(patch[[#This Row],[project]]), "",COUNTIFS($A:$A,patch[[#This Row],[number]],$S:$S, "SH And dev",$AD:$AD, "&lt;&gt;IntegratorValidationComment"))</f>
        <v/>
      </c>
      <c r="AC2865" s="7" t="str">
        <f>IF(OR(ISNUMBER(FIND("Review-1", patch[[#This Row],[comments]])), ISNUMBER(FIND("Approver-1", patch[[#This Row],[comments]]))), "Review-1", "")</f>
        <v/>
      </c>
      <c r="AD286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65" s="7">
        <f>IF(ISBLANK(patch[[#This Row],[number]]),AE2864,patch[[#This Row],[ifCommon]])</f>
        <v>0</v>
      </c>
    </row>
    <row r="2866" spans="1:31">
      <c r="A2866" s="151">
        <v>142253</v>
      </c>
      <c r="B2866" s="151"/>
      <c r="C2866" s="151"/>
      <c r="D2866" s="151"/>
      <c r="E2866" s="151"/>
      <c r="F2866" s="151"/>
      <c r="G2866" s="151"/>
      <c r="H2866" s="151"/>
      <c r="I2866" s="151"/>
      <c r="J2866" s="152">
        <v>42614.749479166669</v>
      </c>
      <c r="K2866" s="151"/>
      <c r="L2866" s="151" t="s">
        <v>24</v>
      </c>
      <c r="M2866" s="152">
        <v>42613.575069444443</v>
      </c>
      <c r="N2866" s="151" t="s">
        <v>2451</v>
      </c>
      <c r="O2866" s="151"/>
      <c r="P2866" s="151"/>
      <c r="Q2866" s="7" t="str">
        <f>IF(ISBLANK(patch[[#This Row],[OwnerEmail]]),Q2865,patch[[#This Row],[OwnerEmail]])</f>
        <v>qingwu.zhang@intel.com</v>
      </c>
      <c r="R2866" s="7" t="str">
        <f>_xlfn.IFNA(VLOOKUP(patch[[#This Row],[tmp-owner.email]],OrgTree!$A:$K, 11, 0), "not ICG SWFW")</f>
        <v>BJ And dev</v>
      </c>
      <c r="S2866" s="7" t="str">
        <f>IF(patch[[#This Row],[reviewer]]=patch[[#This Row],[tmp-owner.email]], "author", _xlfn.IFNA(VLOOKUP(patch[[#This Row],[reviewer]],OrgTree!$A:$K, 11, 0), "not ICG SWFW"))</f>
        <v>author</v>
      </c>
      <c r="T2866" s="7" t="str">
        <f>IF(ISBLANK(patch[[#This Row],[mergeDate]]), "", MID(YEAR(patch[[#This Row],[mergeDate]]), 3,2)&amp;"'ww"&amp;WEEKNUM(patch[[#This Row],[mergeDate]]))</f>
        <v>16'ww36</v>
      </c>
      <c r="U2866" s="7" t="str">
        <f>IF(ISBLANK(patch[[#This Row],[mergeDate]]), U2865, MID(YEAR(patch[[#This Row],[mergeDate]]), 3,2)&amp;"'m"&amp;MONTH(patch[[#This Row],[mergeDate]]))</f>
        <v>16'm9</v>
      </c>
      <c r="V2866" s="7" t="str">
        <f>IF(ISBLANK(patch[[#This Row],[project]]), "",SUM(patch[[#This Row],[BJ -1 num]:[SH -1 num]]))</f>
        <v/>
      </c>
      <c r="W2866" s="7" t="str">
        <f>IF(ISBLANK(patch[[#This Row],[project]]), "",COUNTIFS($A:$A,patch[[#This Row],[number]],$S:$S, "BJ And dev",$AC:$AC, "Review-1"))</f>
        <v/>
      </c>
      <c r="X2866" s="7" t="str">
        <f>IF(ISBLANK(patch[[#This Row],[project]]), "",COUNTIFS($A:$A,patch[[#This Row],[number]],$S:$S, "FL And dev",$AC:$AC, "Review-1"))</f>
        <v/>
      </c>
      <c r="Y2866" s="7" t="str">
        <f>IF(ISBLANK(patch[[#This Row],[project]]), "",COUNTIFS($A:$A,patch[[#This Row],[number]],$S:$S, "SH And dev",$AC:$AC, "Review-1"))</f>
        <v/>
      </c>
      <c r="Z2866" s="7" t="str">
        <f>IF(ISBLANK(patch[[#This Row],[project]]), "",COUNTIFS($A:$A,patch[[#This Row],[number]],$S:$S, "BJ And dev",$AD:$AD, "&lt;&gt;IntegratorValidationComment"))</f>
        <v/>
      </c>
      <c r="AA2866" s="7" t="str">
        <f>IF(ISBLANK(patch[[#This Row],[project]]), "",COUNTIFS($A:$A,patch[[#This Row],[number]],$S:$S, "FL And dev",$AD:$AD, "&lt;&gt;IntegratorValidationComment"))</f>
        <v/>
      </c>
      <c r="AB2866" s="7" t="str">
        <f>IF(ISBLANK(patch[[#This Row],[project]]), "",COUNTIFS($A:$A,patch[[#This Row],[number]],$S:$S, "SH And dev",$AD:$AD, "&lt;&gt;IntegratorValidationComment"))</f>
        <v/>
      </c>
      <c r="AC2866" s="7" t="str">
        <f>IF(OR(ISNUMBER(FIND("Review-1", patch[[#This Row],[comments]])), ISNUMBER(FIND("Approver-1", patch[[#This Row],[comments]]))), "Review-1", "")</f>
        <v/>
      </c>
      <c r="AD286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66" s="7">
        <f>IF(ISBLANK(patch[[#This Row],[number]]),AE2865,patch[[#This Row],[ifCommon]])</f>
        <v>0</v>
      </c>
    </row>
    <row r="2867" spans="1:31">
      <c r="A2867" s="151">
        <v>142253</v>
      </c>
      <c r="B2867" s="151"/>
      <c r="C2867" s="151"/>
      <c r="D2867" s="151"/>
      <c r="E2867" s="151"/>
      <c r="F2867" s="151"/>
      <c r="G2867" s="151"/>
      <c r="H2867" s="151"/>
      <c r="I2867" s="151"/>
      <c r="J2867" s="152">
        <v>42614.749479166669</v>
      </c>
      <c r="K2867" s="151"/>
      <c r="L2867" s="151" t="s">
        <v>59</v>
      </c>
      <c r="M2867" s="152">
        <v>42613.577013888891</v>
      </c>
      <c r="N2867" s="151" t="s">
        <v>4031</v>
      </c>
      <c r="O2867" s="151"/>
      <c r="P2867" s="151"/>
      <c r="Q2867" s="7" t="str">
        <f>IF(ISBLANK(patch[[#This Row],[OwnerEmail]]),Q2866,patch[[#This Row],[OwnerEmail]])</f>
        <v>qingwu.zhang@intel.com</v>
      </c>
      <c r="R2867" s="7" t="str">
        <f>_xlfn.IFNA(VLOOKUP(patch[[#This Row],[tmp-owner.email]],OrgTree!$A:$K, 11, 0), "not ICG SWFW")</f>
        <v>BJ And dev</v>
      </c>
      <c r="S2867" s="7" t="str">
        <f>IF(patch[[#This Row],[reviewer]]=patch[[#This Row],[tmp-owner.email]], "author", _xlfn.IFNA(VLOOKUP(patch[[#This Row],[reviewer]],OrgTree!$A:$K, 11, 0), "not ICG SWFW"))</f>
        <v>BJ And dev</v>
      </c>
      <c r="T2867" s="7" t="str">
        <f>IF(ISBLANK(patch[[#This Row],[mergeDate]]), "", MID(YEAR(patch[[#This Row],[mergeDate]]), 3,2)&amp;"'ww"&amp;WEEKNUM(patch[[#This Row],[mergeDate]]))</f>
        <v>16'ww36</v>
      </c>
      <c r="U2867" s="7" t="str">
        <f>IF(ISBLANK(patch[[#This Row],[mergeDate]]), U2866, MID(YEAR(patch[[#This Row],[mergeDate]]), 3,2)&amp;"'m"&amp;MONTH(patch[[#This Row],[mergeDate]]))</f>
        <v>16'm9</v>
      </c>
      <c r="V2867" s="7" t="str">
        <f>IF(ISBLANK(patch[[#This Row],[project]]), "",SUM(patch[[#This Row],[BJ -1 num]:[SH -1 num]]))</f>
        <v/>
      </c>
      <c r="W2867" s="7" t="str">
        <f>IF(ISBLANK(patch[[#This Row],[project]]), "",COUNTIFS($A:$A,patch[[#This Row],[number]],$S:$S, "BJ And dev",$AC:$AC, "Review-1"))</f>
        <v/>
      </c>
      <c r="X2867" s="7" t="str">
        <f>IF(ISBLANK(patch[[#This Row],[project]]), "",COUNTIFS($A:$A,patch[[#This Row],[number]],$S:$S, "FL And dev",$AC:$AC, "Review-1"))</f>
        <v/>
      </c>
      <c r="Y2867" s="7" t="str">
        <f>IF(ISBLANK(patch[[#This Row],[project]]), "",COUNTIFS($A:$A,patch[[#This Row],[number]],$S:$S, "SH And dev",$AC:$AC, "Review-1"))</f>
        <v/>
      </c>
      <c r="Z2867" s="7" t="str">
        <f>IF(ISBLANK(patch[[#This Row],[project]]), "",COUNTIFS($A:$A,patch[[#This Row],[number]],$S:$S, "BJ And dev",$AD:$AD, "&lt;&gt;IntegratorValidationComment"))</f>
        <v/>
      </c>
      <c r="AA2867" s="7" t="str">
        <f>IF(ISBLANK(patch[[#This Row],[project]]), "",COUNTIFS($A:$A,patch[[#This Row],[number]],$S:$S, "FL And dev",$AD:$AD, "&lt;&gt;IntegratorValidationComment"))</f>
        <v/>
      </c>
      <c r="AB2867" s="7" t="str">
        <f>IF(ISBLANK(patch[[#This Row],[project]]), "",COUNTIFS($A:$A,patch[[#This Row],[number]],$S:$S, "SH And dev",$AD:$AD, "&lt;&gt;IntegratorValidationComment"))</f>
        <v/>
      </c>
      <c r="AC2867" s="7" t="str">
        <f>IF(OR(ISNUMBER(FIND("Review-1", patch[[#This Row],[comments]])), ISNUMBER(FIND("Approver-1", patch[[#This Row],[comments]]))), "Review-1", "")</f>
        <v/>
      </c>
      <c r="AD286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67" s="7">
        <f>IF(ISBLANK(patch[[#This Row],[number]]),AE2866,patch[[#This Row],[ifCommon]])</f>
        <v>0</v>
      </c>
    </row>
    <row r="2868" spans="1:31">
      <c r="A2868" s="151">
        <v>142253</v>
      </c>
      <c r="B2868" s="151"/>
      <c r="C2868" s="151"/>
      <c r="D2868" s="151"/>
      <c r="E2868" s="151"/>
      <c r="F2868" s="151"/>
      <c r="G2868" s="151"/>
      <c r="H2868" s="151"/>
      <c r="I2868" s="151"/>
      <c r="J2868" s="152">
        <v>42614.749479166669</v>
      </c>
      <c r="K2868" s="151"/>
      <c r="L2868" s="151" t="s">
        <v>59</v>
      </c>
      <c r="M2868" s="152">
        <v>42613.580393518518</v>
      </c>
      <c r="N2868" s="151" t="s">
        <v>4032</v>
      </c>
      <c r="O2868" s="151"/>
      <c r="P2868" s="151"/>
      <c r="Q2868" s="7" t="str">
        <f>IF(ISBLANK(patch[[#This Row],[OwnerEmail]]),Q2867,patch[[#This Row],[OwnerEmail]])</f>
        <v>qingwu.zhang@intel.com</v>
      </c>
      <c r="R2868" s="7" t="str">
        <f>_xlfn.IFNA(VLOOKUP(patch[[#This Row],[tmp-owner.email]],OrgTree!$A:$K, 11, 0), "not ICG SWFW")</f>
        <v>BJ And dev</v>
      </c>
      <c r="S2868" s="7" t="str">
        <f>IF(patch[[#This Row],[reviewer]]=patch[[#This Row],[tmp-owner.email]], "author", _xlfn.IFNA(VLOOKUP(patch[[#This Row],[reviewer]],OrgTree!$A:$K, 11, 0), "not ICG SWFW"))</f>
        <v>BJ And dev</v>
      </c>
      <c r="T2868" s="7" t="str">
        <f>IF(ISBLANK(patch[[#This Row],[mergeDate]]), "", MID(YEAR(patch[[#This Row],[mergeDate]]), 3,2)&amp;"'ww"&amp;WEEKNUM(patch[[#This Row],[mergeDate]]))</f>
        <v>16'ww36</v>
      </c>
      <c r="U2868" s="7" t="str">
        <f>IF(ISBLANK(patch[[#This Row],[mergeDate]]), U2867, MID(YEAR(patch[[#This Row],[mergeDate]]), 3,2)&amp;"'m"&amp;MONTH(patch[[#This Row],[mergeDate]]))</f>
        <v>16'm9</v>
      </c>
      <c r="V2868" s="7" t="str">
        <f>IF(ISBLANK(patch[[#This Row],[project]]), "",SUM(patch[[#This Row],[BJ -1 num]:[SH -1 num]]))</f>
        <v/>
      </c>
      <c r="W2868" s="7" t="str">
        <f>IF(ISBLANK(patch[[#This Row],[project]]), "",COUNTIFS($A:$A,patch[[#This Row],[number]],$S:$S, "BJ And dev",$AC:$AC, "Review-1"))</f>
        <v/>
      </c>
      <c r="X2868" s="7" t="str">
        <f>IF(ISBLANK(patch[[#This Row],[project]]), "",COUNTIFS($A:$A,patch[[#This Row],[number]],$S:$S, "FL And dev",$AC:$AC, "Review-1"))</f>
        <v/>
      </c>
      <c r="Y2868" s="7" t="str">
        <f>IF(ISBLANK(patch[[#This Row],[project]]), "",COUNTIFS($A:$A,patch[[#This Row],[number]],$S:$S, "SH And dev",$AC:$AC, "Review-1"))</f>
        <v/>
      </c>
      <c r="Z2868" s="7" t="str">
        <f>IF(ISBLANK(patch[[#This Row],[project]]), "",COUNTIFS($A:$A,patch[[#This Row],[number]],$S:$S, "BJ And dev",$AD:$AD, "&lt;&gt;IntegratorValidationComment"))</f>
        <v/>
      </c>
      <c r="AA2868" s="7" t="str">
        <f>IF(ISBLANK(patch[[#This Row],[project]]), "",COUNTIFS($A:$A,patch[[#This Row],[number]],$S:$S, "FL And dev",$AD:$AD, "&lt;&gt;IntegratorValidationComment"))</f>
        <v/>
      </c>
      <c r="AB2868" s="7" t="str">
        <f>IF(ISBLANK(patch[[#This Row],[project]]), "",COUNTIFS($A:$A,patch[[#This Row],[number]],$S:$S, "SH And dev",$AD:$AD, "&lt;&gt;IntegratorValidationComment"))</f>
        <v/>
      </c>
      <c r="AC2868" s="7" t="str">
        <f>IF(OR(ISNUMBER(FIND("Review-1", patch[[#This Row],[comments]])), ISNUMBER(FIND("Approver-1", patch[[#This Row],[comments]]))), "Review-1", "")</f>
        <v/>
      </c>
      <c r="AD286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68" s="7">
        <f>IF(ISBLANK(patch[[#This Row],[number]]),AE2867,patch[[#This Row],[ifCommon]])</f>
        <v>0</v>
      </c>
    </row>
    <row r="2869" spans="1:31">
      <c r="A2869" s="151">
        <v>142253</v>
      </c>
      <c r="B2869" s="151"/>
      <c r="C2869" s="151"/>
      <c r="D2869" s="151"/>
      <c r="E2869" s="151"/>
      <c r="F2869" s="151"/>
      <c r="G2869" s="151"/>
      <c r="H2869" s="151"/>
      <c r="I2869" s="151"/>
      <c r="J2869" s="152">
        <v>42614.749479166669</v>
      </c>
      <c r="K2869" s="151"/>
      <c r="L2869" s="151" t="s">
        <v>24</v>
      </c>
      <c r="M2869" s="152">
        <v>42613.62091435185</v>
      </c>
      <c r="N2869" s="151" t="s">
        <v>31</v>
      </c>
      <c r="O2869" s="151"/>
      <c r="P2869" s="151"/>
      <c r="Q2869" s="7" t="str">
        <f>IF(ISBLANK(patch[[#This Row],[OwnerEmail]]),Q2868,patch[[#This Row],[OwnerEmail]])</f>
        <v>qingwu.zhang@intel.com</v>
      </c>
      <c r="R2869" s="7" t="str">
        <f>_xlfn.IFNA(VLOOKUP(patch[[#This Row],[tmp-owner.email]],OrgTree!$A:$K, 11, 0), "not ICG SWFW")</f>
        <v>BJ And dev</v>
      </c>
      <c r="S2869" s="7" t="str">
        <f>IF(patch[[#This Row],[reviewer]]=patch[[#This Row],[tmp-owner.email]], "author", _xlfn.IFNA(VLOOKUP(patch[[#This Row],[reviewer]],OrgTree!$A:$K, 11, 0), "not ICG SWFW"))</f>
        <v>author</v>
      </c>
      <c r="T2869" s="7" t="str">
        <f>IF(ISBLANK(patch[[#This Row],[mergeDate]]), "", MID(YEAR(patch[[#This Row],[mergeDate]]), 3,2)&amp;"'ww"&amp;WEEKNUM(patch[[#This Row],[mergeDate]]))</f>
        <v>16'ww36</v>
      </c>
      <c r="U2869" s="7" t="str">
        <f>IF(ISBLANK(patch[[#This Row],[mergeDate]]), U2868, MID(YEAR(patch[[#This Row],[mergeDate]]), 3,2)&amp;"'m"&amp;MONTH(patch[[#This Row],[mergeDate]]))</f>
        <v>16'm9</v>
      </c>
      <c r="V2869" s="7" t="str">
        <f>IF(ISBLANK(patch[[#This Row],[project]]), "",SUM(patch[[#This Row],[BJ -1 num]:[SH -1 num]]))</f>
        <v/>
      </c>
      <c r="W2869" s="7" t="str">
        <f>IF(ISBLANK(patch[[#This Row],[project]]), "",COUNTIFS($A:$A,patch[[#This Row],[number]],$S:$S, "BJ And dev",$AC:$AC, "Review-1"))</f>
        <v/>
      </c>
      <c r="X2869" s="7" t="str">
        <f>IF(ISBLANK(patch[[#This Row],[project]]), "",COUNTIFS($A:$A,patch[[#This Row],[number]],$S:$S, "FL And dev",$AC:$AC, "Review-1"))</f>
        <v/>
      </c>
      <c r="Y2869" s="7" t="str">
        <f>IF(ISBLANK(patch[[#This Row],[project]]), "",COUNTIFS($A:$A,patch[[#This Row],[number]],$S:$S, "SH And dev",$AC:$AC, "Review-1"))</f>
        <v/>
      </c>
      <c r="Z2869" s="7" t="str">
        <f>IF(ISBLANK(patch[[#This Row],[project]]), "",COUNTIFS($A:$A,patch[[#This Row],[number]],$S:$S, "BJ And dev",$AD:$AD, "&lt;&gt;IntegratorValidationComment"))</f>
        <v/>
      </c>
      <c r="AA2869" s="7" t="str">
        <f>IF(ISBLANK(patch[[#This Row],[project]]), "",COUNTIFS($A:$A,patch[[#This Row],[number]],$S:$S, "FL And dev",$AD:$AD, "&lt;&gt;IntegratorValidationComment"))</f>
        <v/>
      </c>
      <c r="AB2869" s="7" t="str">
        <f>IF(ISBLANK(patch[[#This Row],[project]]), "",COUNTIFS($A:$A,patch[[#This Row],[number]],$S:$S, "SH And dev",$AD:$AD, "&lt;&gt;IntegratorValidationComment"))</f>
        <v/>
      </c>
      <c r="AC2869" s="7" t="str">
        <f>IF(OR(ISNUMBER(FIND("Review-1", patch[[#This Row],[comments]])), ISNUMBER(FIND("Approver-1", patch[[#This Row],[comments]]))), "Review-1", "")</f>
        <v/>
      </c>
      <c r="AD286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69" s="7">
        <f>IF(ISBLANK(patch[[#This Row],[number]]),AE2868,patch[[#This Row],[ifCommon]])</f>
        <v>0</v>
      </c>
    </row>
    <row r="2870" spans="1:31">
      <c r="A2870" s="151">
        <v>142253</v>
      </c>
      <c r="B2870" s="151"/>
      <c r="C2870" s="151"/>
      <c r="D2870" s="151"/>
      <c r="E2870" s="151"/>
      <c r="F2870" s="151"/>
      <c r="G2870" s="151"/>
      <c r="H2870" s="151"/>
      <c r="I2870" s="151"/>
      <c r="J2870" s="152">
        <v>42614.749479166669</v>
      </c>
      <c r="K2870" s="151"/>
      <c r="L2870" s="151" t="s">
        <v>24</v>
      </c>
      <c r="M2870" s="152">
        <v>42613.623935185176</v>
      </c>
      <c r="N2870" s="151" t="s">
        <v>1855</v>
      </c>
      <c r="O2870" s="151"/>
      <c r="P2870" s="151"/>
      <c r="Q2870" s="7" t="str">
        <f>IF(ISBLANK(patch[[#This Row],[OwnerEmail]]),Q2869,patch[[#This Row],[OwnerEmail]])</f>
        <v>qingwu.zhang@intel.com</v>
      </c>
      <c r="R2870" s="7" t="str">
        <f>_xlfn.IFNA(VLOOKUP(patch[[#This Row],[tmp-owner.email]],OrgTree!$A:$K, 11, 0), "not ICG SWFW")</f>
        <v>BJ And dev</v>
      </c>
      <c r="S2870" s="7" t="str">
        <f>IF(patch[[#This Row],[reviewer]]=patch[[#This Row],[tmp-owner.email]], "author", _xlfn.IFNA(VLOOKUP(patch[[#This Row],[reviewer]],OrgTree!$A:$K, 11, 0), "not ICG SWFW"))</f>
        <v>author</v>
      </c>
      <c r="T2870" s="7" t="str">
        <f>IF(ISBLANK(patch[[#This Row],[mergeDate]]), "", MID(YEAR(patch[[#This Row],[mergeDate]]), 3,2)&amp;"'ww"&amp;WEEKNUM(patch[[#This Row],[mergeDate]]))</f>
        <v>16'ww36</v>
      </c>
      <c r="U2870" s="7" t="str">
        <f>IF(ISBLANK(patch[[#This Row],[mergeDate]]), U2869, MID(YEAR(patch[[#This Row],[mergeDate]]), 3,2)&amp;"'m"&amp;MONTH(patch[[#This Row],[mergeDate]]))</f>
        <v>16'm9</v>
      </c>
      <c r="V2870" s="7" t="str">
        <f>IF(ISBLANK(patch[[#This Row],[project]]), "",SUM(patch[[#This Row],[BJ -1 num]:[SH -1 num]]))</f>
        <v/>
      </c>
      <c r="W2870" s="7" t="str">
        <f>IF(ISBLANK(patch[[#This Row],[project]]), "",COUNTIFS($A:$A,patch[[#This Row],[number]],$S:$S, "BJ And dev",$AC:$AC, "Review-1"))</f>
        <v/>
      </c>
      <c r="X2870" s="7" t="str">
        <f>IF(ISBLANK(patch[[#This Row],[project]]), "",COUNTIFS($A:$A,patch[[#This Row],[number]],$S:$S, "FL And dev",$AC:$AC, "Review-1"))</f>
        <v/>
      </c>
      <c r="Y2870" s="7" t="str">
        <f>IF(ISBLANK(patch[[#This Row],[project]]), "",COUNTIFS($A:$A,patch[[#This Row],[number]],$S:$S, "SH And dev",$AC:$AC, "Review-1"))</f>
        <v/>
      </c>
      <c r="Z2870" s="7" t="str">
        <f>IF(ISBLANK(patch[[#This Row],[project]]), "",COUNTIFS($A:$A,patch[[#This Row],[number]],$S:$S, "BJ And dev",$AD:$AD, "&lt;&gt;IntegratorValidationComment"))</f>
        <v/>
      </c>
      <c r="AA2870" s="7" t="str">
        <f>IF(ISBLANK(patch[[#This Row],[project]]), "",COUNTIFS($A:$A,patch[[#This Row],[number]],$S:$S, "FL And dev",$AD:$AD, "&lt;&gt;IntegratorValidationComment"))</f>
        <v/>
      </c>
      <c r="AB2870" s="7" t="str">
        <f>IF(ISBLANK(patch[[#This Row],[project]]), "",COUNTIFS($A:$A,patch[[#This Row],[number]],$S:$S, "SH And dev",$AD:$AD, "&lt;&gt;IntegratorValidationComment"))</f>
        <v/>
      </c>
      <c r="AC2870" s="7" t="str">
        <f>IF(OR(ISNUMBER(FIND("Review-1", patch[[#This Row],[comments]])), ISNUMBER(FIND("Approver-1", patch[[#This Row],[comments]]))), "Review-1", "")</f>
        <v/>
      </c>
      <c r="AD287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70" s="7">
        <f>IF(ISBLANK(patch[[#This Row],[number]]),AE2869,patch[[#This Row],[ifCommon]])</f>
        <v>0</v>
      </c>
    </row>
    <row r="2871" spans="1:31">
      <c r="A2871" s="151">
        <v>142253</v>
      </c>
      <c r="B2871" s="151"/>
      <c r="C2871" s="151"/>
      <c r="D2871" s="151"/>
      <c r="E2871" s="151"/>
      <c r="F2871" s="151"/>
      <c r="G2871" s="151"/>
      <c r="H2871" s="151"/>
      <c r="I2871" s="151"/>
      <c r="J2871" s="152">
        <v>42614.749479166669</v>
      </c>
      <c r="K2871" s="151"/>
      <c r="L2871" s="151" t="s">
        <v>24</v>
      </c>
      <c r="M2871" s="152">
        <v>42613.623935185176</v>
      </c>
      <c r="N2871" s="151" t="s">
        <v>2453</v>
      </c>
      <c r="O2871" s="151"/>
      <c r="P2871" s="151"/>
      <c r="Q2871" s="7" t="str">
        <f>IF(ISBLANK(patch[[#This Row],[OwnerEmail]]),Q2870,patch[[#This Row],[OwnerEmail]])</f>
        <v>qingwu.zhang@intel.com</v>
      </c>
      <c r="R2871" s="7" t="str">
        <f>_xlfn.IFNA(VLOOKUP(patch[[#This Row],[tmp-owner.email]],OrgTree!$A:$K, 11, 0), "not ICG SWFW")</f>
        <v>BJ And dev</v>
      </c>
      <c r="S2871" s="7" t="str">
        <f>IF(patch[[#This Row],[reviewer]]=patch[[#This Row],[tmp-owner.email]], "author", _xlfn.IFNA(VLOOKUP(patch[[#This Row],[reviewer]],OrgTree!$A:$K, 11, 0), "not ICG SWFW"))</f>
        <v>author</v>
      </c>
      <c r="T2871" s="7" t="str">
        <f>IF(ISBLANK(patch[[#This Row],[mergeDate]]), "", MID(YEAR(patch[[#This Row],[mergeDate]]), 3,2)&amp;"'ww"&amp;WEEKNUM(patch[[#This Row],[mergeDate]]))</f>
        <v>16'ww36</v>
      </c>
      <c r="U2871" s="7" t="str">
        <f>IF(ISBLANK(patch[[#This Row],[mergeDate]]), U2870, MID(YEAR(patch[[#This Row],[mergeDate]]), 3,2)&amp;"'m"&amp;MONTH(patch[[#This Row],[mergeDate]]))</f>
        <v>16'm9</v>
      </c>
      <c r="V2871" s="7" t="str">
        <f>IF(ISBLANK(patch[[#This Row],[project]]), "",SUM(patch[[#This Row],[BJ -1 num]:[SH -1 num]]))</f>
        <v/>
      </c>
      <c r="W2871" s="7" t="str">
        <f>IF(ISBLANK(patch[[#This Row],[project]]), "",COUNTIFS($A:$A,patch[[#This Row],[number]],$S:$S, "BJ And dev",$AC:$AC, "Review-1"))</f>
        <v/>
      </c>
      <c r="X2871" s="7" t="str">
        <f>IF(ISBLANK(patch[[#This Row],[project]]), "",COUNTIFS($A:$A,patch[[#This Row],[number]],$S:$S, "FL And dev",$AC:$AC, "Review-1"))</f>
        <v/>
      </c>
      <c r="Y2871" s="7" t="str">
        <f>IF(ISBLANK(patch[[#This Row],[project]]), "",COUNTIFS($A:$A,patch[[#This Row],[number]],$S:$S, "SH And dev",$AC:$AC, "Review-1"))</f>
        <v/>
      </c>
      <c r="Z2871" s="7" t="str">
        <f>IF(ISBLANK(patch[[#This Row],[project]]), "",COUNTIFS($A:$A,patch[[#This Row],[number]],$S:$S, "BJ And dev",$AD:$AD, "&lt;&gt;IntegratorValidationComment"))</f>
        <v/>
      </c>
      <c r="AA2871" s="7" t="str">
        <f>IF(ISBLANK(patch[[#This Row],[project]]), "",COUNTIFS($A:$A,patch[[#This Row],[number]],$S:$S, "FL And dev",$AD:$AD, "&lt;&gt;IntegratorValidationComment"))</f>
        <v/>
      </c>
      <c r="AB2871" s="7" t="str">
        <f>IF(ISBLANK(patch[[#This Row],[project]]), "",COUNTIFS($A:$A,patch[[#This Row],[number]],$S:$S, "SH And dev",$AD:$AD, "&lt;&gt;IntegratorValidationComment"))</f>
        <v/>
      </c>
      <c r="AC2871" s="7" t="str">
        <f>IF(OR(ISNUMBER(FIND("Review-1", patch[[#This Row],[comments]])), ISNUMBER(FIND("Approver-1", patch[[#This Row],[comments]]))), "Review-1", "")</f>
        <v/>
      </c>
      <c r="AD287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71" s="7">
        <f>IF(ISBLANK(patch[[#This Row],[number]]),AE2870,patch[[#This Row],[ifCommon]])</f>
        <v>0</v>
      </c>
    </row>
    <row r="2872" spans="1:31">
      <c r="A2872" s="151">
        <v>142253</v>
      </c>
      <c r="B2872" s="151"/>
      <c r="C2872" s="151"/>
      <c r="D2872" s="151"/>
      <c r="E2872" s="151"/>
      <c r="F2872" s="151"/>
      <c r="G2872" s="151"/>
      <c r="H2872" s="151"/>
      <c r="I2872" s="151"/>
      <c r="J2872" s="152">
        <v>42614.749479166669</v>
      </c>
      <c r="K2872" s="151"/>
      <c r="L2872" s="151" t="s">
        <v>24</v>
      </c>
      <c r="M2872" s="152">
        <v>42613.624699074076</v>
      </c>
      <c r="N2872" s="151" t="s">
        <v>1853</v>
      </c>
      <c r="O2872" s="151"/>
      <c r="P2872" s="151"/>
      <c r="Q2872" s="7" t="str">
        <f>IF(ISBLANK(patch[[#This Row],[OwnerEmail]]),Q2871,patch[[#This Row],[OwnerEmail]])</f>
        <v>qingwu.zhang@intel.com</v>
      </c>
      <c r="R2872" s="7" t="str">
        <f>_xlfn.IFNA(VLOOKUP(patch[[#This Row],[tmp-owner.email]],OrgTree!$A:$K, 11, 0), "not ICG SWFW")</f>
        <v>BJ And dev</v>
      </c>
      <c r="S2872" s="7" t="str">
        <f>IF(patch[[#This Row],[reviewer]]=patch[[#This Row],[tmp-owner.email]], "author", _xlfn.IFNA(VLOOKUP(patch[[#This Row],[reviewer]],OrgTree!$A:$K, 11, 0), "not ICG SWFW"))</f>
        <v>author</v>
      </c>
      <c r="T2872" s="7" t="str">
        <f>IF(ISBLANK(patch[[#This Row],[mergeDate]]), "", MID(YEAR(patch[[#This Row],[mergeDate]]), 3,2)&amp;"'ww"&amp;WEEKNUM(patch[[#This Row],[mergeDate]]))</f>
        <v>16'ww36</v>
      </c>
      <c r="U2872" s="7" t="str">
        <f>IF(ISBLANK(patch[[#This Row],[mergeDate]]), U2871, MID(YEAR(patch[[#This Row],[mergeDate]]), 3,2)&amp;"'m"&amp;MONTH(patch[[#This Row],[mergeDate]]))</f>
        <v>16'm9</v>
      </c>
      <c r="V2872" s="7" t="str">
        <f>IF(ISBLANK(patch[[#This Row],[project]]), "",SUM(patch[[#This Row],[BJ -1 num]:[SH -1 num]]))</f>
        <v/>
      </c>
      <c r="W2872" s="7" t="str">
        <f>IF(ISBLANK(patch[[#This Row],[project]]), "",COUNTIFS($A:$A,patch[[#This Row],[number]],$S:$S, "BJ And dev",$AC:$AC, "Review-1"))</f>
        <v/>
      </c>
      <c r="X2872" s="7" t="str">
        <f>IF(ISBLANK(patch[[#This Row],[project]]), "",COUNTIFS($A:$A,patch[[#This Row],[number]],$S:$S, "FL And dev",$AC:$AC, "Review-1"))</f>
        <v/>
      </c>
      <c r="Y2872" s="7" t="str">
        <f>IF(ISBLANK(patch[[#This Row],[project]]), "",COUNTIFS($A:$A,patch[[#This Row],[number]],$S:$S, "SH And dev",$AC:$AC, "Review-1"))</f>
        <v/>
      </c>
      <c r="Z2872" s="7" t="str">
        <f>IF(ISBLANK(patch[[#This Row],[project]]), "",COUNTIFS($A:$A,patch[[#This Row],[number]],$S:$S, "BJ And dev",$AD:$AD, "&lt;&gt;IntegratorValidationComment"))</f>
        <v/>
      </c>
      <c r="AA2872" s="7" t="str">
        <f>IF(ISBLANK(patch[[#This Row],[project]]), "",COUNTIFS($A:$A,patch[[#This Row],[number]],$S:$S, "FL And dev",$AD:$AD, "&lt;&gt;IntegratorValidationComment"))</f>
        <v/>
      </c>
      <c r="AB2872" s="7" t="str">
        <f>IF(ISBLANK(patch[[#This Row],[project]]), "",COUNTIFS($A:$A,patch[[#This Row],[number]],$S:$S, "SH And dev",$AD:$AD, "&lt;&gt;IntegratorValidationComment"))</f>
        <v/>
      </c>
      <c r="AC2872" s="7" t="str">
        <f>IF(OR(ISNUMBER(FIND("Review-1", patch[[#This Row],[comments]])), ISNUMBER(FIND("Approver-1", patch[[#This Row],[comments]]))), "Review-1", "")</f>
        <v/>
      </c>
      <c r="AD287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72" s="7">
        <f>IF(ISBLANK(patch[[#This Row],[number]]),AE2871,patch[[#This Row],[ifCommon]])</f>
        <v>0</v>
      </c>
    </row>
    <row r="2873" spans="1:31">
      <c r="A2873" s="151">
        <v>142253</v>
      </c>
      <c r="B2873" s="151"/>
      <c r="C2873" s="151"/>
      <c r="D2873" s="151"/>
      <c r="E2873" s="151"/>
      <c r="F2873" s="151"/>
      <c r="G2873" s="151"/>
      <c r="H2873" s="151"/>
      <c r="I2873" s="151"/>
      <c r="J2873" s="152">
        <v>42614.749479166669</v>
      </c>
      <c r="K2873" s="151"/>
      <c r="L2873" s="151" t="s">
        <v>59</v>
      </c>
      <c r="M2873" s="152">
        <v>42613.625902777778</v>
      </c>
      <c r="N2873" s="151" t="s">
        <v>4033</v>
      </c>
      <c r="O2873" s="151"/>
      <c r="P2873" s="151"/>
      <c r="Q2873" s="7" t="str">
        <f>IF(ISBLANK(patch[[#This Row],[OwnerEmail]]),Q2872,patch[[#This Row],[OwnerEmail]])</f>
        <v>qingwu.zhang@intel.com</v>
      </c>
      <c r="R2873" s="7" t="str">
        <f>_xlfn.IFNA(VLOOKUP(patch[[#This Row],[tmp-owner.email]],OrgTree!$A:$K, 11, 0), "not ICG SWFW")</f>
        <v>BJ And dev</v>
      </c>
      <c r="S2873" s="7" t="str">
        <f>IF(patch[[#This Row],[reviewer]]=patch[[#This Row],[tmp-owner.email]], "author", _xlfn.IFNA(VLOOKUP(patch[[#This Row],[reviewer]],OrgTree!$A:$K, 11, 0), "not ICG SWFW"))</f>
        <v>BJ And dev</v>
      </c>
      <c r="T2873" s="7" t="str">
        <f>IF(ISBLANK(patch[[#This Row],[mergeDate]]), "", MID(YEAR(patch[[#This Row],[mergeDate]]), 3,2)&amp;"'ww"&amp;WEEKNUM(patch[[#This Row],[mergeDate]]))</f>
        <v>16'ww36</v>
      </c>
      <c r="U2873" s="7" t="str">
        <f>IF(ISBLANK(patch[[#This Row],[mergeDate]]), U2872, MID(YEAR(patch[[#This Row],[mergeDate]]), 3,2)&amp;"'m"&amp;MONTH(patch[[#This Row],[mergeDate]]))</f>
        <v>16'm9</v>
      </c>
      <c r="V2873" s="7" t="str">
        <f>IF(ISBLANK(patch[[#This Row],[project]]), "",SUM(patch[[#This Row],[BJ -1 num]:[SH -1 num]]))</f>
        <v/>
      </c>
      <c r="W2873" s="7" t="str">
        <f>IF(ISBLANK(patch[[#This Row],[project]]), "",COUNTIFS($A:$A,patch[[#This Row],[number]],$S:$S, "BJ And dev",$AC:$AC, "Review-1"))</f>
        <v/>
      </c>
      <c r="X2873" s="7" t="str">
        <f>IF(ISBLANK(patch[[#This Row],[project]]), "",COUNTIFS($A:$A,patch[[#This Row],[number]],$S:$S, "FL And dev",$AC:$AC, "Review-1"))</f>
        <v/>
      </c>
      <c r="Y2873" s="7" t="str">
        <f>IF(ISBLANK(patch[[#This Row],[project]]), "",COUNTIFS($A:$A,patch[[#This Row],[number]],$S:$S, "SH And dev",$AC:$AC, "Review-1"))</f>
        <v/>
      </c>
      <c r="Z2873" s="7" t="str">
        <f>IF(ISBLANK(patch[[#This Row],[project]]), "",COUNTIFS($A:$A,patch[[#This Row],[number]],$S:$S, "BJ And dev",$AD:$AD, "&lt;&gt;IntegratorValidationComment"))</f>
        <v/>
      </c>
      <c r="AA2873" s="7" t="str">
        <f>IF(ISBLANK(patch[[#This Row],[project]]), "",COUNTIFS($A:$A,patch[[#This Row],[number]],$S:$S, "FL And dev",$AD:$AD, "&lt;&gt;IntegratorValidationComment"))</f>
        <v/>
      </c>
      <c r="AB2873" s="7" t="str">
        <f>IF(ISBLANK(patch[[#This Row],[project]]), "",COUNTIFS($A:$A,patch[[#This Row],[number]],$S:$S, "SH And dev",$AD:$AD, "&lt;&gt;IntegratorValidationComment"))</f>
        <v/>
      </c>
      <c r="AC2873" s="7" t="str">
        <f>IF(OR(ISNUMBER(FIND("Review-1", patch[[#This Row],[comments]])), ISNUMBER(FIND("Approver-1", patch[[#This Row],[comments]]))), "Review-1", "")</f>
        <v/>
      </c>
      <c r="AD287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73" s="7">
        <f>IF(ISBLANK(patch[[#This Row],[number]]),AE2872,patch[[#This Row],[ifCommon]])</f>
        <v>0</v>
      </c>
    </row>
    <row r="2874" spans="1:31">
      <c r="A2874" s="151">
        <v>142253</v>
      </c>
      <c r="B2874" s="151"/>
      <c r="C2874" s="151"/>
      <c r="D2874" s="151"/>
      <c r="E2874" s="151"/>
      <c r="F2874" s="151"/>
      <c r="G2874" s="151"/>
      <c r="H2874" s="151"/>
      <c r="I2874" s="151"/>
      <c r="J2874" s="152">
        <v>42614.749479166669</v>
      </c>
      <c r="K2874" s="151"/>
      <c r="L2874" s="151" t="s">
        <v>32</v>
      </c>
      <c r="M2874" s="152">
        <v>42613.626377314817</v>
      </c>
      <c r="N2874" s="151" t="s">
        <v>1853</v>
      </c>
      <c r="O2874" s="151"/>
      <c r="P2874" s="151"/>
      <c r="Q2874" s="7" t="str">
        <f>IF(ISBLANK(patch[[#This Row],[OwnerEmail]]),Q2873,patch[[#This Row],[OwnerEmail]])</f>
        <v>qingwu.zhang@intel.com</v>
      </c>
      <c r="R2874" s="7" t="str">
        <f>_xlfn.IFNA(VLOOKUP(patch[[#This Row],[tmp-owner.email]],OrgTree!$A:$K, 11, 0), "not ICG SWFW")</f>
        <v>BJ And dev</v>
      </c>
      <c r="S2874" s="7" t="str">
        <f>IF(patch[[#This Row],[reviewer]]=patch[[#This Row],[tmp-owner.email]], "author", _xlfn.IFNA(VLOOKUP(patch[[#This Row],[reviewer]],OrgTree!$A:$K, 11, 0), "not ICG SWFW"))</f>
        <v>BJ And dev</v>
      </c>
      <c r="T2874" s="7" t="str">
        <f>IF(ISBLANK(patch[[#This Row],[mergeDate]]), "", MID(YEAR(patch[[#This Row],[mergeDate]]), 3,2)&amp;"'ww"&amp;WEEKNUM(patch[[#This Row],[mergeDate]]))</f>
        <v>16'ww36</v>
      </c>
      <c r="U2874" s="7" t="str">
        <f>IF(ISBLANK(patch[[#This Row],[mergeDate]]), U2873, MID(YEAR(patch[[#This Row],[mergeDate]]), 3,2)&amp;"'m"&amp;MONTH(patch[[#This Row],[mergeDate]]))</f>
        <v>16'm9</v>
      </c>
      <c r="V2874" s="7" t="str">
        <f>IF(ISBLANK(patch[[#This Row],[project]]), "",SUM(patch[[#This Row],[BJ -1 num]:[SH -1 num]]))</f>
        <v/>
      </c>
      <c r="W2874" s="7" t="str">
        <f>IF(ISBLANK(patch[[#This Row],[project]]), "",COUNTIFS($A:$A,patch[[#This Row],[number]],$S:$S, "BJ And dev",$AC:$AC, "Review-1"))</f>
        <v/>
      </c>
      <c r="X2874" s="7" t="str">
        <f>IF(ISBLANK(patch[[#This Row],[project]]), "",COUNTIFS($A:$A,patch[[#This Row],[number]],$S:$S, "FL And dev",$AC:$AC, "Review-1"))</f>
        <v/>
      </c>
      <c r="Y2874" s="7" t="str">
        <f>IF(ISBLANK(patch[[#This Row],[project]]), "",COUNTIFS($A:$A,patch[[#This Row],[number]],$S:$S, "SH And dev",$AC:$AC, "Review-1"))</f>
        <v/>
      </c>
      <c r="Z2874" s="7" t="str">
        <f>IF(ISBLANK(patch[[#This Row],[project]]), "",COUNTIFS($A:$A,patch[[#This Row],[number]],$S:$S, "BJ And dev",$AD:$AD, "&lt;&gt;IntegratorValidationComment"))</f>
        <v/>
      </c>
      <c r="AA2874" s="7" t="str">
        <f>IF(ISBLANK(patch[[#This Row],[project]]), "",COUNTIFS($A:$A,patch[[#This Row],[number]],$S:$S, "FL And dev",$AD:$AD, "&lt;&gt;IntegratorValidationComment"))</f>
        <v/>
      </c>
      <c r="AB2874" s="7" t="str">
        <f>IF(ISBLANK(patch[[#This Row],[project]]), "",COUNTIFS($A:$A,patch[[#This Row],[number]],$S:$S, "SH And dev",$AD:$AD, "&lt;&gt;IntegratorValidationComment"))</f>
        <v/>
      </c>
      <c r="AC2874" s="7" t="str">
        <f>IF(OR(ISNUMBER(FIND("Review-1", patch[[#This Row],[comments]])), ISNUMBER(FIND("Approver-1", patch[[#This Row],[comments]]))), "Review-1", "")</f>
        <v/>
      </c>
      <c r="AD287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74" s="7">
        <f>IF(ISBLANK(patch[[#This Row],[number]]),AE2873,patch[[#This Row],[ifCommon]])</f>
        <v>0</v>
      </c>
    </row>
    <row r="2875" spans="1:31">
      <c r="A2875" s="151">
        <v>142253</v>
      </c>
      <c r="B2875" s="151"/>
      <c r="C2875" s="151"/>
      <c r="D2875" s="151"/>
      <c r="E2875" s="151"/>
      <c r="F2875" s="151"/>
      <c r="G2875" s="151"/>
      <c r="H2875" s="151"/>
      <c r="I2875" s="151"/>
      <c r="J2875" s="152">
        <v>42614.749479166669</v>
      </c>
      <c r="K2875" s="151"/>
      <c r="L2875" s="151" t="s">
        <v>59</v>
      </c>
      <c r="M2875" s="152">
        <v>42613.631377314807</v>
      </c>
      <c r="N2875" s="151" t="s">
        <v>4034</v>
      </c>
      <c r="O2875" s="151"/>
      <c r="P2875" s="151"/>
      <c r="Q2875" s="7" t="str">
        <f>IF(ISBLANK(patch[[#This Row],[OwnerEmail]]),Q2874,patch[[#This Row],[OwnerEmail]])</f>
        <v>qingwu.zhang@intel.com</v>
      </c>
      <c r="R2875" s="7" t="str">
        <f>_xlfn.IFNA(VLOOKUP(patch[[#This Row],[tmp-owner.email]],OrgTree!$A:$K, 11, 0), "not ICG SWFW")</f>
        <v>BJ And dev</v>
      </c>
      <c r="S2875" s="7" t="str">
        <f>IF(patch[[#This Row],[reviewer]]=patch[[#This Row],[tmp-owner.email]], "author", _xlfn.IFNA(VLOOKUP(patch[[#This Row],[reviewer]],OrgTree!$A:$K, 11, 0), "not ICG SWFW"))</f>
        <v>BJ And dev</v>
      </c>
      <c r="T2875" s="7" t="str">
        <f>IF(ISBLANK(patch[[#This Row],[mergeDate]]), "", MID(YEAR(patch[[#This Row],[mergeDate]]), 3,2)&amp;"'ww"&amp;WEEKNUM(patch[[#This Row],[mergeDate]]))</f>
        <v>16'ww36</v>
      </c>
      <c r="U2875" s="7" t="str">
        <f>IF(ISBLANK(patch[[#This Row],[mergeDate]]), U2874, MID(YEAR(patch[[#This Row],[mergeDate]]), 3,2)&amp;"'m"&amp;MONTH(patch[[#This Row],[mergeDate]]))</f>
        <v>16'm9</v>
      </c>
      <c r="V2875" s="7" t="str">
        <f>IF(ISBLANK(patch[[#This Row],[project]]), "",SUM(patch[[#This Row],[BJ -1 num]:[SH -1 num]]))</f>
        <v/>
      </c>
      <c r="W2875" s="7" t="str">
        <f>IF(ISBLANK(patch[[#This Row],[project]]), "",COUNTIFS($A:$A,patch[[#This Row],[number]],$S:$S, "BJ And dev",$AC:$AC, "Review-1"))</f>
        <v/>
      </c>
      <c r="X2875" s="7" t="str">
        <f>IF(ISBLANK(patch[[#This Row],[project]]), "",COUNTIFS($A:$A,patch[[#This Row],[number]],$S:$S, "FL And dev",$AC:$AC, "Review-1"))</f>
        <v/>
      </c>
      <c r="Y2875" s="7" t="str">
        <f>IF(ISBLANK(patch[[#This Row],[project]]), "",COUNTIFS($A:$A,patch[[#This Row],[number]],$S:$S, "SH And dev",$AC:$AC, "Review-1"))</f>
        <v/>
      </c>
      <c r="Z2875" s="7" t="str">
        <f>IF(ISBLANK(patch[[#This Row],[project]]), "",COUNTIFS($A:$A,patch[[#This Row],[number]],$S:$S, "BJ And dev",$AD:$AD, "&lt;&gt;IntegratorValidationComment"))</f>
        <v/>
      </c>
      <c r="AA2875" s="7" t="str">
        <f>IF(ISBLANK(patch[[#This Row],[project]]), "",COUNTIFS($A:$A,patch[[#This Row],[number]],$S:$S, "FL And dev",$AD:$AD, "&lt;&gt;IntegratorValidationComment"))</f>
        <v/>
      </c>
      <c r="AB2875" s="7" t="str">
        <f>IF(ISBLANK(patch[[#This Row],[project]]), "",COUNTIFS($A:$A,patch[[#This Row],[number]],$S:$S, "SH And dev",$AD:$AD, "&lt;&gt;IntegratorValidationComment"))</f>
        <v/>
      </c>
      <c r="AC2875" s="7" t="str">
        <f>IF(OR(ISNUMBER(FIND("Review-1", patch[[#This Row],[comments]])), ISNUMBER(FIND("Approver-1", patch[[#This Row],[comments]]))), "Review-1", "")</f>
        <v/>
      </c>
      <c r="AD287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75" s="7">
        <f>IF(ISBLANK(patch[[#This Row],[number]]),AE2874,patch[[#This Row],[ifCommon]])</f>
        <v>0</v>
      </c>
    </row>
    <row r="2876" spans="1:31">
      <c r="A2876" s="151">
        <v>142253</v>
      </c>
      <c r="B2876" s="151"/>
      <c r="C2876" s="151"/>
      <c r="D2876" s="151"/>
      <c r="E2876" s="151"/>
      <c r="F2876" s="151"/>
      <c r="G2876" s="151"/>
      <c r="H2876" s="151"/>
      <c r="I2876" s="151"/>
      <c r="J2876" s="152">
        <v>42614.749479166669</v>
      </c>
      <c r="K2876" s="151"/>
      <c r="L2876" s="151" t="s">
        <v>1237</v>
      </c>
      <c r="M2876" s="152">
        <v>42613.633263888893</v>
      </c>
      <c r="N2876" s="151" t="s">
        <v>1853</v>
      </c>
      <c r="O2876" s="151"/>
      <c r="P2876" s="151"/>
      <c r="Q2876" s="7" t="str">
        <f>IF(ISBLANK(patch[[#This Row],[OwnerEmail]]),Q2875,patch[[#This Row],[OwnerEmail]])</f>
        <v>qingwu.zhang@intel.com</v>
      </c>
      <c r="R2876" s="7" t="str">
        <f>_xlfn.IFNA(VLOOKUP(patch[[#This Row],[tmp-owner.email]],OrgTree!$A:$K, 11, 0), "not ICG SWFW")</f>
        <v>BJ And dev</v>
      </c>
      <c r="S2876" s="7" t="str">
        <f>IF(patch[[#This Row],[reviewer]]=patch[[#This Row],[tmp-owner.email]], "author", _xlfn.IFNA(VLOOKUP(patch[[#This Row],[reviewer]],OrgTree!$A:$K, 11, 0), "not ICG SWFW"))</f>
        <v>BJ And dev</v>
      </c>
      <c r="T2876" s="7" t="str">
        <f>IF(ISBLANK(patch[[#This Row],[mergeDate]]), "", MID(YEAR(patch[[#This Row],[mergeDate]]), 3,2)&amp;"'ww"&amp;WEEKNUM(patch[[#This Row],[mergeDate]]))</f>
        <v>16'ww36</v>
      </c>
      <c r="U2876" s="7" t="str">
        <f>IF(ISBLANK(patch[[#This Row],[mergeDate]]), U2875, MID(YEAR(patch[[#This Row],[mergeDate]]), 3,2)&amp;"'m"&amp;MONTH(patch[[#This Row],[mergeDate]]))</f>
        <v>16'm9</v>
      </c>
      <c r="V2876" s="7" t="str">
        <f>IF(ISBLANK(patch[[#This Row],[project]]), "",SUM(patch[[#This Row],[BJ -1 num]:[SH -1 num]]))</f>
        <v/>
      </c>
      <c r="W2876" s="7" t="str">
        <f>IF(ISBLANK(patch[[#This Row],[project]]), "",COUNTIFS($A:$A,patch[[#This Row],[number]],$S:$S, "BJ And dev",$AC:$AC, "Review-1"))</f>
        <v/>
      </c>
      <c r="X2876" s="7" t="str">
        <f>IF(ISBLANK(patch[[#This Row],[project]]), "",COUNTIFS($A:$A,patch[[#This Row],[number]],$S:$S, "FL And dev",$AC:$AC, "Review-1"))</f>
        <v/>
      </c>
      <c r="Y2876" s="7" t="str">
        <f>IF(ISBLANK(patch[[#This Row],[project]]), "",COUNTIFS($A:$A,patch[[#This Row],[number]],$S:$S, "SH And dev",$AC:$AC, "Review-1"))</f>
        <v/>
      </c>
      <c r="Z2876" s="7" t="str">
        <f>IF(ISBLANK(patch[[#This Row],[project]]), "",COUNTIFS($A:$A,patch[[#This Row],[number]],$S:$S, "BJ And dev",$AD:$AD, "&lt;&gt;IntegratorValidationComment"))</f>
        <v/>
      </c>
      <c r="AA2876" s="7" t="str">
        <f>IF(ISBLANK(patch[[#This Row],[project]]), "",COUNTIFS($A:$A,patch[[#This Row],[number]],$S:$S, "FL And dev",$AD:$AD, "&lt;&gt;IntegratorValidationComment"))</f>
        <v/>
      </c>
      <c r="AB2876" s="7" t="str">
        <f>IF(ISBLANK(patch[[#This Row],[project]]), "",COUNTIFS($A:$A,patch[[#This Row],[number]],$S:$S, "SH And dev",$AD:$AD, "&lt;&gt;IntegratorValidationComment"))</f>
        <v/>
      </c>
      <c r="AC2876" s="7" t="str">
        <f>IF(OR(ISNUMBER(FIND("Review-1", patch[[#This Row],[comments]])), ISNUMBER(FIND("Approver-1", patch[[#This Row],[comments]]))), "Review-1", "")</f>
        <v/>
      </c>
      <c r="AD287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76" s="7">
        <f>IF(ISBLANK(patch[[#This Row],[number]]),AE2875,patch[[#This Row],[ifCommon]])</f>
        <v>0</v>
      </c>
    </row>
    <row r="2877" spans="1:31">
      <c r="A2877" s="151">
        <v>142253</v>
      </c>
      <c r="B2877" s="151"/>
      <c r="C2877" s="151"/>
      <c r="D2877" s="151"/>
      <c r="E2877" s="151"/>
      <c r="F2877" s="151"/>
      <c r="G2877" s="151"/>
      <c r="H2877" s="151"/>
      <c r="I2877" s="151"/>
      <c r="J2877" s="152">
        <v>42614.749479166669</v>
      </c>
      <c r="K2877" s="151"/>
      <c r="L2877" s="151" t="s">
        <v>75</v>
      </c>
      <c r="M2877" s="152">
        <v>42613.63484953704</v>
      </c>
      <c r="N2877" s="151" t="s">
        <v>1853</v>
      </c>
      <c r="O2877" s="151"/>
      <c r="P2877" s="151"/>
      <c r="Q2877" s="7" t="str">
        <f>IF(ISBLANK(patch[[#This Row],[OwnerEmail]]),Q2876,patch[[#This Row],[OwnerEmail]])</f>
        <v>qingwu.zhang@intel.com</v>
      </c>
      <c r="R2877" s="7" t="str">
        <f>_xlfn.IFNA(VLOOKUP(patch[[#This Row],[tmp-owner.email]],OrgTree!$A:$K, 11, 0), "not ICG SWFW")</f>
        <v>BJ And dev</v>
      </c>
      <c r="S2877" s="7" t="str">
        <f>IF(patch[[#This Row],[reviewer]]=patch[[#This Row],[tmp-owner.email]], "author", _xlfn.IFNA(VLOOKUP(patch[[#This Row],[reviewer]],OrgTree!$A:$K, 11, 0), "not ICG SWFW"))</f>
        <v>BJ And dev</v>
      </c>
      <c r="T2877" s="7" t="str">
        <f>IF(ISBLANK(patch[[#This Row],[mergeDate]]), "", MID(YEAR(patch[[#This Row],[mergeDate]]), 3,2)&amp;"'ww"&amp;WEEKNUM(patch[[#This Row],[mergeDate]]))</f>
        <v>16'ww36</v>
      </c>
      <c r="U2877" s="7" t="str">
        <f>IF(ISBLANK(patch[[#This Row],[mergeDate]]), U2876, MID(YEAR(patch[[#This Row],[mergeDate]]), 3,2)&amp;"'m"&amp;MONTH(patch[[#This Row],[mergeDate]]))</f>
        <v>16'm9</v>
      </c>
      <c r="V2877" s="7" t="str">
        <f>IF(ISBLANK(patch[[#This Row],[project]]), "",SUM(patch[[#This Row],[BJ -1 num]:[SH -1 num]]))</f>
        <v/>
      </c>
      <c r="W2877" s="7" t="str">
        <f>IF(ISBLANK(patch[[#This Row],[project]]), "",COUNTIFS($A:$A,patch[[#This Row],[number]],$S:$S, "BJ And dev",$AC:$AC, "Review-1"))</f>
        <v/>
      </c>
      <c r="X2877" s="7" t="str">
        <f>IF(ISBLANK(patch[[#This Row],[project]]), "",COUNTIFS($A:$A,patch[[#This Row],[number]],$S:$S, "FL And dev",$AC:$AC, "Review-1"))</f>
        <v/>
      </c>
      <c r="Y2877" s="7" t="str">
        <f>IF(ISBLANK(patch[[#This Row],[project]]), "",COUNTIFS($A:$A,patch[[#This Row],[number]],$S:$S, "SH And dev",$AC:$AC, "Review-1"))</f>
        <v/>
      </c>
      <c r="Z2877" s="7" t="str">
        <f>IF(ISBLANK(patch[[#This Row],[project]]), "",COUNTIFS($A:$A,patch[[#This Row],[number]],$S:$S, "BJ And dev",$AD:$AD, "&lt;&gt;IntegratorValidationComment"))</f>
        <v/>
      </c>
      <c r="AA2877" s="7" t="str">
        <f>IF(ISBLANK(patch[[#This Row],[project]]), "",COUNTIFS($A:$A,patch[[#This Row],[number]],$S:$S, "FL And dev",$AD:$AD, "&lt;&gt;IntegratorValidationComment"))</f>
        <v/>
      </c>
      <c r="AB2877" s="7" t="str">
        <f>IF(ISBLANK(patch[[#This Row],[project]]), "",COUNTIFS($A:$A,patch[[#This Row],[number]],$S:$S, "SH And dev",$AD:$AD, "&lt;&gt;IntegratorValidationComment"))</f>
        <v/>
      </c>
      <c r="AC2877" s="7" t="str">
        <f>IF(OR(ISNUMBER(FIND("Review-1", patch[[#This Row],[comments]])), ISNUMBER(FIND("Approver-1", patch[[#This Row],[comments]]))), "Review-1", "")</f>
        <v/>
      </c>
      <c r="AD287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77" s="7">
        <f>IF(ISBLANK(patch[[#This Row],[number]]),AE2876,patch[[#This Row],[ifCommon]])</f>
        <v>0</v>
      </c>
    </row>
    <row r="2878" spans="1:31">
      <c r="A2878" s="151">
        <v>142253</v>
      </c>
      <c r="B2878" s="151"/>
      <c r="C2878" s="151"/>
      <c r="D2878" s="151"/>
      <c r="E2878" s="151"/>
      <c r="F2878" s="151"/>
      <c r="G2878" s="151"/>
      <c r="H2878" s="151"/>
      <c r="I2878" s="151"/>
      <c r="J2878" s="152">
        <v>42614.749479166669</v>
      </c>
      <c r="K2878" s="151"/>
      <c r="L2878" s="151" t="s">
        <v>59</v>
      </c>
      <c r="M2878" s="152">
        <v>42613.638738425929</v>
      </c>
      <c r="N2878" s="151" t="s">
        <v>2486</v>
      </c>
      <c r="O2878" s="151"/>
      <c r="P2878" s="151"/>
      <c r="Q2878" s="7" t="str">
        <f>IF(ISBLANK(patch[[#This Row],[OwnerEmail]]),Q2877,patch[[#This Row],[OwnerEmail]])</f>
        <v>qingwu.zhang@intel.com</v>
      </c>
      <c r="R2878" s="7" t="str">
        <f>_xlfn.IFNA(VLOOKUP(patch[[#This Row],[tmp-owner.email]],OrgTree!$A:$K, 11, 0), "not ICG SWFW")</f>
        <v>BJ And dev</v>
      </c>
      <c r="S2878" s="7" t="str">
        <f>IF(patch[[#This Row],[reviewer]]=patch[[#This Row],[tmp-owner.email]], "author", _xlfn.IFNA(VLOOKUP(patch[[#This Row],[reviewer]],OrgTree!$A:$K, 11, 0), "not ICG SWFW"))</f>
        <v>BJ And dev</v>
      </c>
      <c r="T2878" s="7" t="str">
        <f>IF(ISBLANK(patch[[#This Row],[mergeDate]]), "", MID(YEAR(patch[[#This Row],[mergeDate]]), 3,2)&amp;"'ww"&amp;WEEKNUM(patch[[#This Row],[mergeDate]]))</f>
        <v>16'ww36</v>
      </c>
      <c r="U2878" s="7" t="str">
        <f>IF(ISBLANK(patch[[#This Row],[mergeDate]]), U2877, MID(YEAR(patch[[#This Row],[mergeDate]]), 3,2)&amp;"'m"&amp;MONTH(patch[[#This Row],[mergeDate]]))</f>
        <v>16'm9</v>
      </c>
      <c r="V2878" s="7" t="str">
        <f>IF(ISBLANK(patch[[#This Row],[project]]), "",SUM(patch[[#This Row],[BJ -1 num]:[SH -1 num]]))</f>
        <v/>
      </c>
      <c r="W2878" s="7" t="str">
        <f>IF(ISBLANK(patch[[#This Row],[project]]), "",COUNTIFS($A:$A,patch[[#This Row],[number]],$S:$S, "BJ And dev",$AC:$AC, "Review-1"))</f>
        <v/>
      </c>
      <c r="X2878" s="7" t="str">
        <f>IF(ISBLANK(patch[[#This Row],[project]]), "",COUNTIFS($A:$A,patch[[#This Row],[number]],$S:$S, "FL And dev",$AC:$AC, "Review-1"))</f>
        <v/>
      </c>
      <c r="Y2878" s="7" t="str">
        <f>IF(ISBLANK(patch[[#This Row],[project]]), "",COUNTIFS($A:$A,patch[[#This Row],[number]],$S:$S, "SH And dev",$AC:$AC, "Review-1"))</f>
        <v/>
      </c>
      <c r="Z2878" s="7" t="str">
        <f>IF(ISBLANK(patch[[#This Row],[project]]), "",COUNTIFS($A:$A,patch[[#This Row],[number]],$S:$S, "BJ And dev",$AD:$AD, "&lt;&gt;IntegratorValidationComment"))</f>
        <v/>
      </c>
      <c r="AA2878" s="7" t="str">
        <f>IF(ISBLANK(patch[[#This Row],[project]]), "",COUNTIFS($A:$A,patch[[#This Row],[number]],$S:$S, "FL And dev",$AD:$AD, "&lt;&gt;IntegratorValidationComment"))</f>
        <v/>
      </c>
      <c r="AB2878" s="7" t="str">
        <f>IF(ISBLANK(patch[[#This Row],[project]]), "",COUNTIFS($A:$A,patch[[#This Row],[number]],$S:$S, "SH And dev",$AD:$AD, "&lt;&gt;IntegratorValidationComment"))</f>
        <v/>
      </c>
      <c r="AC2878" s="7" t="str">
        <f>IF(OR(ISNUMBER(FIND("Review-1", patch[[#This Row],[comments]])), ISNUMBER(FIND("Approver-1", patch[[#This Row],[comments]]))), "Review-1", "")</f>
        <v/>
      </c>
      <c r="AD287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78" s="7">
        <f>IF(ISBLANK(patch[[#This Row],[number]]),AE2877,patch[[#This Row],[ifCommon]])</f>
        <v>0</v>
      </c>
    </row>
    <row r="2879" spans="1:31">
      <c r="A2879" s="151">
        <v>142253</v>
      </c>
      <c r="B2879" s="151"/>
      <c r="C2879" s="151"/>
      <c r="D2879" s="151"/>
      <c r="E2879" s="151"/>
      <c r="F2879" s="151"/>
      <c r="G2879" s="151"/>
      <c r="H2879" s="151"/>
      <c r="I2879" s="151"/>
      <c r="J2879" s="152">
        <v>42614.749479166669</v>
      </c>
      <c r="K2879" s="151"/>
      <c r="L2879" s="151" t="s">
        <v>72</v>
      </c>
      <c r="M2879" s="152">
        <v>42613.712673611109</v>
      </c>
      <c r="N2879" s="151" t="s">
        <v>1853</v>
      </c>
      <c r="O2879" s="151"/>
      <c r="P2879" s="151"/>
      <c r="Q2879" s="7" t="str">
        <f>IF(ISBLANK(patch[[#This Row],[OwnerEmail]]),Q2878,patch[[#This Row],[OwnerEmail]])</f>
        <v>qingwu.zhang@intel.com</v>
      </c>
      <c r="R2879" s="7" t="str">
        <f>_xlfn.IFNA(VLOOKUP(patch[[#This Row],[tmp-owner.email]],OrgTree!$A:$K, 11, 0), "not ICG SWFW")</f>
        <v>BJ And dev</v>
      </c>
      <c r="S2879" s="7" t="str">
        <f>IF(patch[[#This Row],[reviewer]]=patch[[#This Row],[tmp-owner.email]], "author", _xlfn.IFNA(VLOOKUP(patch[[#This Row],[reviewer]],OrgTree!$A:$K, 11, 0), "not ICG SWFW"))</f>
        <v>BJ And dev</v>
      </c>
      <c r="T2879" s="7" t="str">
        <f>IF(ISBLANK(patch[[#This Row],[mergeDate]]), "", MID(YEAR(patch[[#This Row],[mergeDate]]), 3,2)&amp;"'ww"&amp;WEEKNUM(patch[[#This Row],[mergeDate]]))</f>
        <v>16'ww36</v>
      </c>
      <c r="U2879" s="7" t="str">
        <f>IF(ISBLANK(patch[[#This Row],[mergeDate]]), U2878, MID(YEAR(patch[[#This Row],[mergeDate]]), 3,2)&amp;"'m"&amp;MONTH(patch[[#This Row],[mergeDate]]))</f>
        <v>16'm9</v>
      </c>
      <c r="V2879" s="7" t="str">
        <f>IF(ISBLANK(patch[[#This Row],[project]]), "",SUM(patch[[#This Row],[BJ -1 num]:[SH -1 num]]))</f>
        <v/>
      </c>
      <c r="W2879" s="7" t="str">
        <f>IF(ISBLANK(patch[[#This Row],[project]]), "",COUNTIFS($A:$A,patch[[#This Row],[number]],$S:$S, "BJ And dev",$AC:$AC, "Review-1"))</f>
        <v/>
      </c>
      <c r="X2879" s="7" t="str">
        <f>IF(ISBLANK(patch[[#This Row],[project]]), "",COUNTIFS($A:$A,patch[[#This Row],[number]],$S:$S, "FL And dev",$AC:$AC, "Review-1"))</f>
        <v/>
      </c>
      <c r="Y2879" s="7" t="str">
        <f>IF(ISBLANK(patch[[#This Row],[project]]), "",COUNTIFS($A:$A,patch[[#This Row],[number]],$S:$S, "SH And dev",$AC:$AC, "Review-1"))</f>
        <v/>
      </c>
      <c r="Z2879" s="7" t="str">
        <f>IF(ISBLANK(patch[[#This Row],[project]]), "",COUNTIFS($A:$A,patch[[#This Row],[number]],$S:$S, "BJ And dev",$AD:$AD, "&lt;&gt;IntegratorValidationComment"))</f>
        <v/>
      </c>
      <c r="AA2879" s="7" t="str">
        <f>IF(ISBLANK(patch[[#This Row],[project]]), "",COUNTIFS($A:$A,patch[[#This Row],[number]],$S:$S, "FL And dev",$AD:$AD, "&lt;&gt;IntegratorValidationComment"))</f>
        <v/>
      </c>
      <c r="AB2879" s="7" t="str">
        <f>IF(ISBLANK(patch[[#This Row],[project]]), "",COUNTIFS($A:$A,patch[[#This Row],[number]],$S:$S, "SH And dev",$AD:$AD, "&lt;&gt;IntegratorValidationComment"))</f>
        <v/>
      </c>
      <c r="AC2879" s="7" t="str">
        <f>IF(OR(ISNUMBER(FIND("Review-1", patch[[#This Row],[comments]])), ISNUMBER(FIND("Approver-1", patch[[#This Row],[comments]]))), "Review-1", "")</f>
        <v/>
      </c>
      <c r="AD287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79" s="7">
        <f>IF(ISBLANK(patch[[#This Row],[number]]),AE2878,patch[[#This Row],[ifCommon]])</f>
        <v>0</v>
      </c>
    </row>
    <row r="2880" spans="1:31">
      <c r="A2880" s="151">
        <v>142253</v>
      </c>
      <c r="B2880" s="151"/>
      <c r="C2880" s="151"/>
      <c r="D2880" s="151"/>
      <c r="E2880" s="151"/>
      <c r="F2880" s="151"/>
      <c r="G2880" s="151"/>
      <c r="H2880" s="151"/>
      <c r="I2880" s="151"/>
      <c r="J2880" s="152">
        <v>42614.749479166669</v>
      </c>
      <c r="K2880" s="151"/>
      <c r="L2880" s="151" t="s">
        <v>59</v>
      </c>
      <c r="M2880" s="152">
        <v>42613.750231481477</v>
      </c>
      <c r="N2880" s="151" t="s">
        <v>4035</v>
      </c>
      <c r="O2880" s="151"/>
      <c r="P2880" s="151"/>
      <c r="Q2880" s="7" t="str">
        <f>IF(ISBLANK(patch[[#This Row],[OwnerEmail]]),Q2879,patch[[#This Row],[OwnerEmail]])</f>
        <v>qingwu.zhang@intel.com</v>
      </c>
      <c r="R2880" s="7" t="str">
        <f>_xlfn.IFNA(VLOOKUP(patch[[#This Row],[tmp-owner.email]],OrgTree!$A:$K, 11, 0), "not ICG SWFW")</f>
        <v>BJ And dev</v>
      </c>
      <c r="S2880" s="7" t="str">
        <f>IF(patch[[#This Row],[reviewer]]=patch[[#This Row],[tmp-owner.email]], "author", _xlfn.IFNA(VLOOKUP(patch[[#This Row],[reviewer]],OrgTree!$A:$K, 11, 0), "not ICG SWFW"))</f>
        <v>BJ And dev</v>
      </c>
      <c r="T2880" s="7" t="str">
        <f>IF(ISBLANK(patch[[#This Row],[mergeDate]]), "", MID(YEAR(patch[[#This Row],[mergeDate]]), 3,2)&amp;"'ww"&amp;WEEKNUM(patch[[#This Row],[mergeDate]]))</f>
        <v>16'ww36</v>
      </c>
      <c r="U2880" s="7" t="str">
        <f>IF(ISBLANK(patch[[#This Row],[mergeDate]]), U2879, MID(YEAR(patch[[#This Row],[mergeDate]]), 3,2)&amp;"'m"&amp;MONTH(patch[[#This Row],[mergeDate]]))</f>
        <v>16'm9</v>
      </c>
      <c r="V2880" s="7" t="str">
        <f>IF(ISBLANK(patch[[#This Row],[project]]), "",SUM(patch[[#This Row],[BJ -1 num]:[SH -1 num]]))</f>
        <v/>
      </c>
      <c r="W2880" s="7" t="str">
        <f>IF(ISBLANK(patch[[#This Row],[project]]), "",COUNTIFS($A:$A,patch[[#This Row],[number]],$S:$S, "BJ And dev",$AC:$AC, "Review-1"))</f>
        <v/>
      </c>
      <c r="X2880" s="7" t="str">
        <f>IF(ISBLANK(patch[[#This Row],[project]]), "",COUNTIFS($A:$A,patch[[#This Row],[number]],$S:$S, "FL And dev",$AC:$AC, "Review-1"))</f>
        <v/>
      </c>
      <c r="Y2880" s="7" t="str">
        <f>IF(ISBLANK(patch[[#This Row],[project]]), "",COUNTIFS($A:$A,patch[[#This Row],[number]],$S:$S, "SH And dev",$AC:$AC, "Review-1"))</f>
        <v/>
      </c>
      <c r="Z2880" s="7" t="str">
        <f>IF(ISBLANK(patch[[#This Row],[project]]), "",COUNTIFS($A:$A,patch[[#This Row],[number]],$S:$S, "BJ And dev",$AD:$AD, "&lt;&gt;IntegratorValidationComment"))</f>
        <v/>
      </c>
      <c r="AA2880" s="7" t="str">
        <f>IF(ISBLANK(patch[[#This Row],[project]]), "",COUNTIFS($A:$A,patch[[#This Row],[number]],$S:$S, "FL And dev",$AD:$AD, "&lt;&gt;IntegratorValidationComment"))</f>
        <v/>
      </c>
      <c r="AB2880" s="7" t="str">
        <f>IF(ISBLANK(patch[[#This Row],[project]]), "",COUNTIFS($A:$A,patch[[#This Row],[number]],$S:$S, "SH And dev",$AD:$AD, "&lt;&gt;IntegratorValidationComment"))</f>
        <v/>
      </c>
      <c r="AC2880" s="7" t="str">
        <f>IF(OR(ISNUMBER(FIND("Review-1", patch[[#This Row],[comments]])), ISNUMBER(FIND("Approver-1", patch[[#This Row],[comments]]))), "Review-1", "")</f>
        <v/>
      </c>
      <c r="AD288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80" s="7">
        <f>IF(ISBLANK(patch[[#This Row],[number]]),AE2879,patch[[#This Row],[ifCommon]])</f>
        <v>0</v>
      </c>
    </row>
    <row r="2881" spans="1:31">
      <c r="A2881" s="151">
        <v>142253</v>
      </c>
      <c r="B2881" s="151"/>
      <c r="C2881" s="151"/>
      <c r="D2881" s="151"/>
      <c r="E2881" s="151"/>
      <c r="F2881" s="151"/>
      <c r="G2881" s="151"/>
      <c r="H2881" s="151"/>
      <c r="I2881" s="151"/>
      <c r="J2881" s="152">
        <v>42614.749479166669</v>
      </c>
      <c r="K2881" s="151"/>
      <c r="L2881" s="151" t="s">
        <v>59</v>
      </c>
      <c r="M2881" s="152">
        <v>42613.756018518521</v>
      </c>
      <c r="N2881" s="151" t="s">
        <v>3987</v>
      </c>
      <c r="O2881" s="151"/>
      <c r="P2881" s="151"/>
      <c r="Q2881" s="7" t="str">
        <f>IF(ISBLANK(patch[[#This Row],[OwnerEmail]]),Q2880,patch[[#This Row],[OwnerEmail]])</f>
        <v>qingwu.zhang@intel.com</v>
      </c>
      <c r="R2881" s="7" t="str">
        <f>_xlfn.IFNA(VLOOKUP(patch[[#This Row],[tmp-owner.email]],OrgTree!$A:$K, 11, 0), "not ICG SWFW")</f>
        <v>BJ And dev</v>
      </c>
      <c r="S2881" s="7" t="str">
        <f>IF(patch[[#This Row],[reviewer]]=patch[[#This Row],[tmp-owner.email]], "author", _xlfn.IFNA(VLOOKUP(patch[[#This Row],[reviewer]],OrgTree!$A:$K, 11, 0), "not ICG SWFW"))</f>
        <v>BJ And dev</v>
      </c>
      <c r="T2881" s="7" t="str">
        <f>IF(ISBLANK(patch[[#This Row],[mergeDate]]), "", MID(YEAR(patch[[#This Row],[mergeDate]]), 3,2)&amp;"'ww"&amp;WEEKNUM(patch[[#This Row],[mergeDate]]))</f>
        <v>16'ww36</v>
      </c>
      <c r="U2881" s="7" t="str">
        <f>IF(ISBLANK(patch[[#This Row],[mergeDate]]), U2880, MID(YEAR(patch[[#This Row],[mergeDate]]), 3,2)&amp;"'m"&amp;MONTH(patch[[#This Row],[mergeDate]]))</f>
        <v>16'm9</v>
      </c>
      <c r="V2881" s="7" t="str">
        <f>IF(ISBLANK(patch[[#This Row],[project]]), "",SUM(patch[[#This Row],[BJ -1 num]:[SH -1 num]]))</f>
        <v/>
      </c>
      <c r="W2881" s="7" t="str">
        <f>IF(ISBLANK(patch[[#This Row],[project]]), "",COUNTIFS($A:$A,patch[[#This Row],[number]],$S:$S, "BJ And dev",$AC:$AC, "Review-1"))</f>
        <v/>
      </c>
      <c r="X2881" s="7" t="str">
        <f>IF(ISBLANK(patch[[#This Row],[project]]), "",COUNTIFS($A:$A,patch[[#This Row],[number]],$S:$S, "FL And dev",$AC:$AC, "Review-1"))</f>
        <v/>
      </c>
      <c r="Y2881" s="7" t="str">
        <f>IF(ISBLANK(patch[[#This Row],[project]]), "",COUNTIFS($A:$A,patch[[#This Row],[number]],$S:$S, "SH And dev",$AC:$AC, "Review-1"))</f>
        <v/>
      </c>
      <c r="Z2881" s="7" t="str">
        <f>IF(ISBLANK(patch[[#This Row],[project]]), "",COUNTIFS($A:$A,patch[[#This Row],[number]],$S:$S, "BJ And dev",$AD:$AD, "&lt;&gt;IntegratorValidationComment"))</f>
        <v/>
      </c>
      <c r="AA2881" s="7" t="str">
        <f>IF(ISBLANK(patch[[#This Row],[project]]), "",COUNTIFS($A:$A,patch[[#This Row],[number]],$S:$S, "FL And dev",$AD:$AD, "&lt;&gt;IntegratorValidationComment"))</f>
        <v/>
      </c>
      <c r="AB2881" s="7" t="str">
        <f>IF(ISBLANK(patch[[#This Row],[project]]), "",COUNTIFS($A:$A,patch[[#This Row],[number]],$S:$S, "SH And dev",$AD:$AD, "&lt;&gt;IntegratorValidationComment"))</f>
        <v/>
      </c>
      <c r="AC2881" s="7" t="str">
        <f>IF(OR(ISNUMBER(FIND("Review-1", patch[[#This Row],[comments]])), ISNUMBER(FIND("Approver-1", patch[[#This Row],[comments]]))), "Review-1", "")</f>
        <v/>
      </c>
      <c r="AD288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81" s="7">
        <f>IF(ISBLANK(patch[[#This Row],[number]]),AE2880,patch[[#This Row],[ifCommon]])</f>
        <v>0</v>
      </c>
    </row>
    <row r="2882" spans="1:31">
      <c r="A2882" s="151">
        <v>142253</v>
      </c>
      <c r="B2882" s="151"/>
      <c r="C2882" s="151"/>
      <c r="D2882" s="151"/>
      <c r="E2882" s="151"/>
      <c r="F2882" s="151"/>
      <c r="G2882" s="151"/>
      <c r="H2882" s="151"/>
      <c r="I2882" s="151"/>
      <c r="J2882" s="152">
        <v>42614.749479166669</v>
      </c>
      <c r="K2882" s="151"/>
      <c r="L2882" s="151" t="s">
        <v>115</v>
      </c>
      <c r="M2882" s="152">
        <v>42614.418900462973</v>
      </c>
      <c r="N2882" s="151" t="s">
        <v>2492</v>
      </c>
      <c r="O2882" s="151"/>
      <c r="P2882" s="151"/>
      <c r="Q2882" s="7" t="str">
        <f>IF(ISBLANK(patch[[#This Row],[OwnerEmail]]),Q2881,patch[[#This Row],[OwnerEmail]])</f>
        <v>qingwu.zhang@intel.com</v>
      </c>
      <c r="R2882" s="7" t="str">
        <f>_xlfn.IFNA(VLOOKUP(patch[[#This Row],[tmp-owner.email]],OrgTree!$A:$K, 11, 0), "not ICG SWFW")</f>
        <v>BJ And dev</v>
      </c>
      <c r="S2882" s="7" t="str">
        <f>IF(patch[[#This Row],[reviewer]]=patch[[#This Row],[tmp-owner.email]], "author", _xlfn.IFNA(VLOOKUP(patch[[#This Row],[reviewer]],OrgTree!$A:$K, 11, 0), "not ICG SWFW"))</f>
        <v>Val</v>
      </c>
      <c r="T2882" s="7" t="str">
        <f>IF(ISBLANK(patch[[#This Row],[mergeDate]]), "", MID(YEAR(patch[[#This Row],[mergeDate]]), 3,2)&amp;"'ww"&amp;WEEKNUM(patch[[#This Row],[mergeDate]]))</f>
        <v>16'ww36</v>
      </c>
      <c r="U2882" s="7" t="str">
        <f>IF(ISBLANK(patch[[#This Row],[mergeDate]]), U2881, MID(YEAR(patch[[#This Row],[mergeDate]]), 3,2)&amp;"'m"&amp;MONTH(patch[[#This Row],[mergeDate]]))</f>
        <v>16'm9</v>
      </c>
      <c r="V2882" s="7" t="str">
        <f>IF(ISBLANK(patch[[#This Row],[project]]), "",SUM(patch[[#This Row],[BJ -1 num]:[SH -1 num]]))</f>
        <v/>
      </c>
      <c r="W2882" s="7" t="str">
        <f>IF(ISBLANK(patch[[#This Row],[project]]), "",COUNTIFS($A:$A,patch[[#This Row],[number]],$S:$S, "BJ And dev",$AC:$AC, "Review-1"))</f>
        <v/>
      </c>
      <c r="X2882" s="7" t="str">
        <f>IF(ISBLANK(patch[[#This Row],[project]]), "",COUNTIFS($A:$A,patch[[#This Row],[number]],$S:$S, "FL And dev",$AC:$AC, "Review-1"))</f>
        <v/>
      </c>
      <c r="Y2882" s="7" t="str">
        <f>IF(ISBLANK(patch[[#This Row],[project]]), "",COUNTIFS($A:$A,patch[[#This Row],[number]],$S:$S, "SH And dev",$AC:$AC, "Review-1"))</f>
        <v/>
      </c>
      <c r="Z2882" s="7" t="str">
        <f>IF(ISBLANK(patch[[#This Row],[project]]), "",COUNTIFS($A:$A,patch[[#This Row],[number]],$S:$S, "BJ And dev",$AD:$AD, "&lt;&gt;IntegratorValidationComment"))</f>
        <v/>
      </c>
      <c r="AA2882" s="7" t="str">
        <f>IF(ISBLANK(patch[[#This Row],[project]]), "",COUNTIFS($A:$A,patch[[#This Row],[number]],$S:$S, "FL And dev",$AD:$AD, "&lt;&gt;IntegratorValidationComment"))</f>
        <v/>
      </c>
      <c r="AB2882" s="7" t="str">
        <f>IF(ISBLANK(patch[[#This Row],[project]]), "",COUNTIFS($A:$A,patch[[#This Row],[number]],$S:$S, "SH And dev",$AD:$AD, "&lt;&gt;IntegratorValidationComment"))</f>
        <v/>
      </c>
      <c r="AC2882" s="7" t="str">
        <f>IF(OR(ISNUMBER(FIND("Review-1", patch[[#This Row],[comments]])), ISNUMBER(FIND("Approver-1", patch[[#This Row],[comments]]))), "Review-1", "")</f>
        <v/>
      </c>
      <c r="AD288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882" s="7">
        <f>IF(ISBLANK(patch[[#This Row],[number]]),AE2881,patch[[#This Row],[ifCommon]])</f>
        <v>0</v>
      </c>
    </row>
    <row r="2883" spans="1:31">
      <c r="A2883" s="151">
        <v>142253</v>
      </c>
      <c r="B2883" s="151"/>
      <c r="C2883" s="151"/>
      <c r="D2883" s="151"/>
      <c r="E2883" s="151"/>
      <c r="F2883" s="151"/>
      <c r="G2883" s="151"/>
      <c r="H2883" s="151"/>
      <c r="I2883" s="151"/>
      <c r="J2883" s="152">
        <v>42614.749479166669</v>
      </c>
      <c r="K2883" s="151"/>
      <c r="L2883" s="151" t="s">
        <v>115</v>
      </c>
      <c r="M2883" s="152">
        <v>42614.699918981481</v>
      </c>
      <c r="N2883" s="151" t="s">
        <v>2563</v>
      </c>
      <c r="O2883" s="151"/>
      <c r="P2883" s="151"/>
      <c r="Q2883" s="7" t="str">
        <f>IF(ISBLANK(patch[[#This Row],[OwnerEmail]]),Q2882,patch[[#This Row],[OwnerEmail]])</f>
        <v>qingwu.zhang@intel.com</v>
      </c>
      <c r="R2883" s="7" t="str">
        <f>_xlfn.IFNA(VLOOKUP(patch[[#This Row],[tmp-owner.email]],OrgTree!$A:$K, 11, 0), "not ICG SWFW")</f>
        <v>BJ And dev</v>
      </c>
      <c r="S2883" s="7" t="str">
        <f>IF(patch[[#This Row],[reviewer]]=patch[[#This Row],[tmp-owner.email]], "author", _xlfn.IFNA(VLOOKUP(patch[[#This Row],[reviewer]],OrgTree!$A:$K, 11, 0), "not ICG SWFW"))</f>
        <v>Val</v>
      </c>
      <c r="T2883" s="7" t="str">
        <f>IF(ISBLANK(patch[[#This Row],[mergeDate]]), "", MID(YEAR(patch[[#This Row],[mergeDate]]), 3,2)&amp;"'ww"&amp;WEEKNUM(patch[[#This Row],[mergeDate]]))</f>
        <v>16'ww36</v>
      </c>
      <c r="U2883" s="7" t="str">
        <f>IF(ISBLANK(patch[[#This Row],[mergeDate]]), U2882, MID(YEAR(patch[[#This Row],[mergeDate]]), 3,2)&amp;"'m"&amp;MONTH(patch[[#This Row],[mergeDate]]))</f>
        <v>16'm9</v>
      </c>
      <c r="V2883" s="7" t="str">
        <f>IF(ISBLANK(patch[[#This Row],[project]]), "",SUM(patch[[#This Row],[BJ -1 num]:[SH -1 num]]))</f>
        <v/>
      </c>
      <c r="W2883" s="7" t="str">
        <f>IF(ISBLANK(patch[[#This Row],[project]]), "",COUNTIFS($A:$A,patch[[#This Row],[number]],$S:$S, "BJ And dev",$AC:$AC, "Review-1"))</f>
        <v/>
      </c>
      <c r="X2883" s="7" t="str">
        <f>IF(ISBLANK(patch[[#This Row],[project]]), "",COUNTIFS($A:$A,patch[[#This Row],[number]],$S:$S, "FL And dev",$AC:$AC, "Review-1"))</f>
        <v/>
      </c>
      <c r="Y2883" s="7" t="str">
        <f>IF(ISBLANK(patch[[#This Row],[project]]), "",COUNTIFS($A:$A,patch[[#This Row],[number]],$S:$S, "SH And dev",$AC:$AC, "Review-1"))</f>
        <v/>
      </c>
      <c r="Z2883" s="7" t="str">
        <f>IF(ISBLANK(patch[[#This Row],[project]]), "",COUNTIFS($A:$A,patch[[#This Row],[number]],$S:$S, "BJ And dev",$AD:$AD, "&lt;&gt;IntegratorValidationComment"))</f>
        <v/>
      </c>
      <c r="AA2883" s="7" t="str">
        <f>IF(ISBLANK(patch[[#This Row],[project]]), "",COUNTIFS($A:$A,patch[[#This Row],[number]],$S:$S, "FL And dev",$AD:$AD, "&lt;&gt;IntegratorValidationComment"))</f>
        <v/>
      </c>
      <c r="AB2883" s="7" t="str">
        <f>IF(ISBLANK(patch[[#This Row],[project]]), "",COUNTIFS($A:$A,patch[[#This Row],[number]],$S:$S, "SH And dev",$AD:$AD, "&lt;&gt;IntegratorValidationComment"))</f>
        <v/>
      </c>
      <c r="AC2883" s="7" t="str">
        <f>IF(OR(ISNUMBER(FIND("Review-1", patch[[#This Row],[comments]])), ISNUMBER(FIND("Approver-1", patch[[#This Row],[comments]]))), "Review-1", "")</f>
        <v/>
      </c>
      <c r="AD288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83" s="7">
        <f>IF(ISBLANK(patch[[#This Row],[number]]),AE2882,patch[[#This Row],[ifCommon]])</f>
        <v>0</v>
      </c>
    </row>
    <row r="2884" spans="1:31">
      <c r="A2884" s="151">
        <v>142348</v>
      </c>
      <c r="B2884" s="151" t="s">
        <v>2490</v>
      </c>
      <c r="C2884" s="151" t="s">
        <v>2491</v>
      </c>
      <c r="D2884" s="151" t="s">
        <v>4036</v>
      </c>
      <c r="E2884" s="151" t="s">
        <v>61</v>
      </c>
      <c r="F2884" s="151" t="s">
        <v>23</v>
      </c>
      <c r="G2884" s="151" t="s">
        <v>4037</v>
      </c>
      <c r="H2884" s="151" t="s">
        <v>4038</v>
      </c>
      <c r="I2884" s="152">
        <v>42612.925439814811</v>
      </c>
      <c r="J2884" s="152">
        <v>42614.749456018522</v>
      </c>
      <c r="K2884" s="151" t="s">
        <v>2445</v>
      </c>
      <c r="L2884" s="151" t="s">
        <v>61</v>
      </c>
      <c r="M2884" s="152">
        <v>42612.925439814811</v>
      </c>
      <c r="N2884" s="151" t="s">
        <v>2428</v>
      </c>
      <c r="O2884" s="151"/>
      <c r="P2884" s="151" t="s">
        <v>4039</v>
      </c>
      <c r="Q2884" s="7" t="str">
        <f>IF(ISBLANK(patch[[#This Row],[OwnerEmail]]),Q2883,patch[[#This Row],[OwnerEmail]])</f>
        <v>john.mathew@intel.com</v>
      </c>
      <c r="R2884" s="7" t="str">
        <f>_xlfn.IFNA(VLOOKUP(patch[[#This Row],[tmp-owner.email]],OrgTree!$A:$K, 11, 0), "not ICG SWFW")</f>
        <v>FL And dev</v>
      </c>
      <c r="S2884" s="7" t="str">
        <f>IF(patch[[#This Row],[reviewer]]=patch[[#This Row],[tmp-owner.email]], "author", _xlfn.IFNA(VLOOKUP(patch[[#This Row],[reviewer]],OrgTree!$A:$K, 11, 0), "not ICG SWFW"))</f>
        <v>author</v>
      </c>
      <c r="T2884" s="7" t="str">
        <f>IF(ISBLANK(patch[[#This Row],[mergeDate]]), "", MID(YEAR(patch[[#This Row],[mergeDate]]), 3,2)&amp;"'ww"&amp;WEEKNUM(patch[[#This Row],[mergeDate]]))</f>
        <v>16'ww36</v>
      </c>
      <c r="U2884" s="7" t="str">
        <f>IF(ISBLANK(patch[[#This Row],[mergeDate]]), U2883, MID(YEAR(patch[[#This Row],[mergeDate]]), 3,2)&amp;"'m"&amp;MONTH(patch[[#This Row],[mergeDate]]))</f>
        <v>16'm9</v>
      </c>
      <c r="V2884" s="7">
        <f>IF(ISBLANK(patch[[#This Row],[project]]), "",SUM(patch[[#This Row],[BJ -1 num]:[SH -1 num]]))</f>
        <v>0</v>
      </c>
      <c r="W2884" s="7">
        <f>IF(ISBLANK(patch[[#This Row],[project]]), "",COUNTIFS($A:$A,patch[[#This Row],[number]],$S:$S, "BJ And dev",$AC:$AC, "Review-1"))</f>
        <v>0</v>
      </c>
      <c r="X2884" s="7">
        <f>IF(ISBLANK(patch[[#This Row],[project]]), "",COUNTIFS($A:$A,patch[[#This Row],[number]],$S:$S, "FL And dev",$AC:$AC, "Review-1"))</f>
        <v>0</v>
      </c>
      <c r="Y2884" s="7">
        <f>IF(ISBLANK(patch[[#This Row],[project]]), "",COUNTIFS($A:$A,patch[[#This Row],[number]],$S:$S, "SH And dev",$AC:$AC, "Review-1"))</f>
        <v>0</v>
      </c>
      <c r="Z2884" s="7">
        <f>IF(ISBLANK(patch[[#This Row],[project]]), "",COUNTIFS($A:$A,patch[[#This Row],[number]],$S:$S, "BJ And dev",$AD:$AD, "&lt;&gt;IntegratorValidationComment"))</f>
        <v>5</v>
      </c>
      <c r="AA2884" s="7">
        <f>IF(ISBLANK(patch[[#This Row],[project]]), "",COUNTIFS($A:$A,patch[[#This Row],[number]],$S:$S, "FL And dev",$AD:$AD, "&lt;&gt;IntegratorValidationComment"))</f>
        <v>0</v>
      </c>
      <c r="AB2884" s="7">
        <f>IF(ISBLANK(patch[[#This Row],[project]]), "",COUNTIFS($A:$A,patch[[#This Row],[number]],$S:$S, "SH And dev",$AD:$AD, "&lt;&gt;IntegratorValidationComment"))</f>
        <v>0</v>
      </c>
      <c r="AC2884" s="7" t="str">
        <f>IF(OR(ISNUMBER(FIND("Review-1", patch[[#This Row],[comments]])), ISNUMBER(FIND("Approver-1", patch[[#This Row],[comments]]))), "Review-1", "")</f>
        <v/>
      </c>
      <c r="AD288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84" s="7" t="str">
        <f>IF(ISBLANK(patch[[#This Row],[number]]),AE2883,patch[[#This Row],[ifCommon]])</f>
        <v>not AndrHAL</v>
      </c>
    </row>
    <row r="2885" spans="1:31">
      <c r="A2885" s="151">
        <v>142348</v>
      </c>
      <c r="B2885" s="151"/>
      <c r="C2885" s="151"/>
      <c r="D2885" s="151"/>
      <c r="E2885" s="151"/>
      <c r="F2885" s="151"/>
      <c r="G2885" s="151"/>
      <c r="H2885" s="151"/>
      <c r="I2885" s="151"/>
      <c r="J2885" s="152">
        <v>42614.749456018522</v>
      </c>
      <c r="K2885" s="151"/>
      <c r="L2885" s="151" t="s">
        <v>61</v>
      </c>
      <c r="M2885" s="152">
        <v>42612.925439814811</v>
      </c>
      <c r="N2885" s="151" t="s">
        <v>25</v>
      </c>
      <c r="O2885" s="151"/>
      <c r="P2885" s="151"/>
      <c r="Q2885" s="7" t="str">
        <f>IF(ISBLANK(patch[[#This Row],[OwnerEmail]]),Q2884,patch[[#This Row],[OwnerEmail]])</f>
        <v>john.mathew@intel.com</v>
      </c>
      <c r="R2885" s="7" t="str">
        <f>_xlfn.IFNA(VLOOKUP(patch[[#This Row],[tmp-owner.email]],OrgTree!$A:$K, 11, 0), "not ICG SWFW")</f>
        <v>FL And dev</v>
      </c>
      <c r="S2885" s="7" t="str">
        <f>IF(patch[[#This Row],[reviewer]]=patch[[#This Row],[tmp-owner.email]], "author", _xlfn.IFNA(VLOOKUP(patch[[#This Row],[reviewer]],OrgTree!$A:$K, 11, 0), "not ICG SWFW"))</f>
        <v>author</v>
      </c>
      <c r="T2885" s="7" t="str">
        <f>IF(ISBLANK(patch[[#This Row],[mergeDate]]), "", MID(YEAR(patch[[#This Row],[mergeDate]]), 3,2)&amp;"'ww"&amp;WEEKNUM(patch[[#This Row],[mergeDate]]))</f>
        <v>16'ww36</v>
      </c>
      <c r="U2885" s="7" t="str">
        <f>IF(ISBLANK(patch[[#This Row],[mergeDate]]), U2884, MID(YEAR(patch[[#This Row],[mergeDate]]), 3,2)&amp;"'m"&amp;MONTH(patch[[#This Row],[mergeDate]]))</f>
        <v>16'm9</v>
      </c>
      <c r="V2885" s="7" t="str">
        <f>IF(ISBLANK(patch[[#This Row],[project]]), "",SUM(patch[[#This Row],[BJ -1 num]:[SH -1 num]]))</f>
        <v/>
      </c>
      <c r="W2885" s="7" t="str">
        <f>IF(ISBLANK(patch[[#This Row],[project]]), "",COUNTIFS($A:$A,patch[[#This Row],[number]],$S:$S, "BJ And dev",$AC:$AC, "Review-1"))</f>
        <v/>
      </c>
      <c r="X2885" s="7" t="str">
        <f>IF(ISBLANK(patch[[#This Row],[project]]), "",COUNTIFS($A:$A,patch[[#This Row],[number]],$S:$S, "FL And dev",$AC:$AC, "Review-1"))</f>
        <v/>
      </c>
      <c r="Y2885" s="7" t="str">
        <f>IF(ISBLANK(patch[[#This Row],[project]]), "",COUNTIFS($A:$A,patch[[#This Row],[number]],$S:$S, "SH And dev",$AC:$AC, "Review-1"))</f>
        <v/>
      </c>
      <c r="Z2885" s="7" t="str">
        <f>IF(ISBLANK(patch[[#This Row],[project]]), "",COUNTIFS($A:$A,patch[[#This Row],[number]],$S:$S, "BJ And dev",$AD:$AD, "&lt;&gt;IntegratorValidationComment"))</f>
        <v/>
      </c>
      <c r="AA2885" s="7" t="str">
        <f>IF(ISBLANK(patch[[#This Row],[project]]), "",COUNTIFS($A:$A,patch[[#This Row],[number]],$S:$S, "FL And dev",$AD:$AD, "&lt;&gt;IntegratorValidationComment"))</f>
        <v/>
      </c>
      <c r="AB2885" s="7" t="str">
        <f>IF(ISBLANK(patch[[#This Row],[project]]), "",COUNTIFS($A:$A,patch[[#This Row],[number]],$S:$S, "SH And dev",$AD:$AD, "&lt;&gt;IntegratorValidationComment"))</f>
        <v/>
      </c>
      <c r="AC2885" s="7" t="str">
        <f>IF(OR(ISNUMBER(FIND("Review-1", patch[[#This Row],[comments]])), ISNUMBER(FIND("Approver-1", patch[[#This Row],[comments]]))), "Review-1", "")</f>
        <v/>
      </c>
      <c r="AD2885"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85" s="7">
        <f>IF(ISBLANK(patch[[#This Row],[number]]),AE2884,patch[[#This Row],[ifCommon]])</f>
        <v>0</v>
      </c>
    </row>
    <row r="2886" spans="1:31">
      <c r="A2886" s="151">
        <v>142348</v>
      </c>
      <c r="B2886" s="151"/>
      <c r="C2886" s="151"/>
      <c r="D2886" s="151"/>
      <c r="E2886" s="151"/>
      <c r="F2886" s="151"/>
      <c r="G2886" s="151"/>
      <c r="H2886" s="151"/>
      <c r="I2886" s="151"/>
      <c r="J2886" s="152">
        <v>42614.749456018522</v>
      </c>
      <c r="K2886" s="151"/>
      <c r="L2886" s="151" t="s">
        <v>61</v>
      </c>
      <c r="M2886" s="152">
        <v>42612.925543981481</v>
      </c>
      <c r="N2886" s="151" t="s">
        <v>40</v>
      </c>
      <c r="O2886" s="151"/>
      <c r="P2886" s="151"/>
      <c r="Q2886" s="7" t="str">
        <f>IF(ISBLANK(patch[[#This Row],[OwnerEmail]]),Q2885,patch[[#This Row],[OwnerEmail]])</f>
        <v>john.mathew@intel.com</v>
      </c>
      <c r="R2886" s="7" t="str">
        <f>_xlfn.IFNA(VLOOKUP(patch[[#This Row],[tmp-owner.email]],OrgTree!$A:$K, 11, 0), "not ICG SWFW")</f>
        <v>FL And dev</v>
      </c>
      <c r="S2886" s="7" t="str">
        <f>IF(patch[[#This Row],[reviewer]]=patch[[#This Row],[tmp-owner.email]], "author", _xlfn.IFNA(VLOOKUP(patch[[#This Row],[reviewer]],OrgTree!$A:$K, 11, 0), "not ICG SWFW"))</f>
        <v>author</v>
      </c>
      <c r="T2886" s="7" t="str">
        <f>IF(ISBLANK(patch[[#This Row],[mergeDate]]), "", MID(YEAR(patch[[#This Row],[mergeDate]]), 3,2)&amp;"'ww"&amp;WEEKNUM(patch[[#This Row],[mergeDate]]))</f>
        <v>16'ww36</v>
      </c>
      <c r="U2886" s="7" t="str">
        <f>IF(ISBLANK(patch[[#This Row],[mergeDate]]), U2885, MID(YEAR(patch[[#This Row],[mergeDate]]), 3,2)&amp;"'m"&amp;MONTH(patch[[#This Row],[mergeDate]]))</f>
        <v>16'm9</v>
      </c>
      <c r="V2886" s="7" t="str">
        <f>IF(ISBLANK(patch[[#This Row],[project]]), "",SUM(patch[[#This Row],[BJ -1 num]:[SH -1 num]]))</f>
        <v/>
      </c>
      <c r="W2886" s="7" t="str">
        <f>IF(ISBLANK(patch[[#This Row],[project]]), "",COUNTIFS($A:$A,patch[[#This Row],[number]],$S:$S, "BJ And dev",$AC:$AC, "Review-1"))</f>
        <v/>
      </c>
      <c r="X2886" s="7" t="str">
        <f>IF(ISBLANK(patch[[#This Row],[project]]), "",COUNTIFS($A:$A,patch[[#This Row],[number]],$S:$S, "FL And dev",$AC:$AC, "Review-1"))</f>
        <v/>
      </c>
      <c r="Y2886" s="7" t="str">
        <f>IF(ISBLANK(patch[[#This Row],[project]]), "",COUNTIFS($A:$A,patch[[#This Row],[number]],$S:$S, "SH And dev",$AC:$AC, "Review-1"))</f>
        <v/>
      </c>
      <c r="Z2886" s="7" t="str">
        <f>IF(ISBLANK(patch[[#This Row],[project]]), "",COUNTIFS($A:$A,patch[[#This Row],[number]],$S:$S, "BJ And dev",$AD:$AD, "&lt;&gt;IntegratorValidationComment"))</f>
        <v/>
      </c>
      <c r="AA2886" s="7" t="str">
        <f>IF(ISBLANK(patch[[#This Row],[project]]), "",COUNTIFS($A:$A,patch[[#This Row],[number]],$S:$S, "FL And dev",$AD:$AD, "&lt;&gt;IntegratorValidationComment"))</f>
        <v/>
      </c>
      <c r="AB2886" s="7" t="str">
        <f>IF(ISBLANK(patch[[#This Row],[project]]), "",COUNTIFS($A:$A,patch[[#This Row],[number]],$S:$S, "SH And dev",$AD:$AD, "&lt;&gt;IntegratorValidationComment"))</f>
        <v/>
      </c>
      <c r="AC2886" s="7" t="str">
        <f>IF(OR(ISNUMBER(FIND("Review-1", patch[[#This Row],[comments]])), ISNUMBER(FIND("Approver-1", patch[[#This Row],[comments]]))), "Review-1", "")</f>
        <v/>
      </c>
      <c r="AD2886"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86" s="7">
        <f>IF(ISBLANK(patch[[#This Row],[number]]),AE2885,patch[[#This Row],[ifCommon]])</f>
        <v>0</v>
      </c>
    </row>
    <row r="2887" spans="1:31">
      <c r="A2887" s="151">
        <v>142348</v>
      </c>
      <c r="B2887" s="151"/>
      <c r="C2887" s="151"/>
      <c r="D2887" s="151"/>
      <c r="E2887" s="151"/>
      <c r="F2887" s="151"/>
      <c r="G2887" s="151"/>
      <c r="H2887" s="151"/>
      <c r="I2887" s="151"/>
      <c r="J2887" s="152">
        <v>42614.749456018522</v>
      </c>
      <c r="K2887" s="151"/>
      <c r="L2887" s="151" t="s">
        <v>32</v>
      </c>
      <c r="M2887" s="152">
        <v>42613.354953703703</v>
      </c>
      <c r="N2887" s="151" t="s">
        <v>40</v>
      </c>
      <c r="O2887" s="151"/>
      <c r="P2887" s="151"/>
      <c r="Q2887" s="7" t="str">
        <f>IF(ISBLANK(patch[[#This Row],[OwnerEmail]]),Q2886,patch[[#This Row],[OwnerEmail]])</f>
        <v>john.mathew@intel.com</v>
      </c>
      <c r="R2887" s="7" t="str">
        <f>_xlfn.IFNA(VLOOKUP(patch[[#This Row],[tmp-owner.email]],OrgTree!$A:$K, 11, 0), "not ICG SWFW")</f>
        <v>FL And dev</v>
      </c>
      <c r="S2887" s="7" t="str">
        <f>IF(patch[[#This Row],[reviewer]]=patch[[#This Row],[tmp-owner.email]], "author", _xlfn.IFNA(VLOOKUP(patch[[#This Row],[reviewer]],OrgTree!$A:$K, 11, 0), "not ICG SWFW"))</f>
        <v>BJ And dev</v>
      </c>
      <c r="T2887" s="7" t="str">
        <f>IF(ISBLANK(patch[[#This Row],[mergeDate]]), "", MID(YEAR(patch[[#This Row],[mergeDate]]), 3,2)&amp;"'ww"&amp;WEEKNUM(patch[[#This Row],[mergeDate]]))</f>
        <v>16'ww36</v>
      </c>
      <c r="U2887" s="7" t="str">
        <f>IF(ISBLANK(patch[[#This Row],[mergeDate]]), U2886, MID(YEAR(patch[[#This Row],[mergeDate]]), 3,2)&amp;"'m"&amp;MONTH(patch[[#This Row],[mergeDate]]))</f>
        <v>16'm9</v>
      </c>
      <c r="V2887" s="7" t="str">
        <f>IF(ISBLANK(patch[[#This Row],[project]]), "",SUM(patch[[#This Row],[BJ -1 num]:[SH -1 num]]))</f>
        <v/>
      </c>
      <c r="W2887" s="7" t="str">
        <f>IF(ISBLANK(patch[[#This Row],[project]]), "",COUNTIFS($A:$A,patch[[#This Row],[number]],$S:$S, "BJ And dev",$AC:$AC, "Review-1"))</f>
        <v/>
      </c>
      <c r="X2887" s="7" t="str">
        <f>IF(ISBLANK(patch[[#This Row],[project]]), "",COUNTIFS($A:$A,patch[[#This Row],[number]],$S:$S, "FL And dev",$AC:$AC, "Review-1"))</f>
        <v/>
      </c>
      <c r="Y2887" s="7" t="str">
        <f>IF(ISBLANK(patch[[#This Row],[project]]), "",COUNTIFS($A:$A,patch[[#This Row],[number]],$S:$S, "SH And dev",$AC:$AC, "Review-1"))</f>
        <v/>
      </c>
      <c r="Z2887" s="7" t="str">
        <f>IF(ISBLANK(patch[[#This Row],[project]]), "",COUNTIFS($A:$A,patch[[#This Row],[number]],$S:$S, "BJ And dev",$AD:$AD, "&lt;&gt;IntegratorValidationComment"))</f>
        <v/>
      </c>
      <c r="AA2887" s="7" t="str">
        <f>IF(ISBLANK(patch[[#This Row],[project]]), "",COUNTIFS($A:$A,patch[[#This Row],[number]],$S:$S, "FL And dev",$AD:$AD, "&lt;&gt;IntegratorValidationComment"))</f>
        <v/>
      </c>
      <c r="AB2887" s="7" t="str">
        <f>IF(ISBLANK(patch[[#This Row],[project]]), "",COUNTIFS($A:$A,patch[[#This Row],[number]],$S:$S, "SH And dev",$AD:$AD, "&lt;&gt;IntegratorValidationComment"))</f>
        <v/>
      </c>
      <c r="AC2887" s="7" t="str">
        <f>IF(OR(ISNUMBER(FIND("Review-1", patch[[#This Row],[comments]])), ISNUMBER(FIND("Approver-1", patch[[#This Row],[comments]]))), "Review-1", "")</f>
        <v/>
      </c>
      <c r="AD2887"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87" s="7">
        <f>IF(ISBLANK(patch[[#This Row],[number]]),AE2886,patch[[#This Row],[ifCommon]])</f>
        <v>0</v>
      </c>
    </row>
    <row r="2888" spans="1:31">
      <c r="A2888" s="151">
        <v>142348</v>
      </c>
      <c r="B2888" s="151"/>
      <c r="C2888" s="151"/>
      <c r="D2888" s="151"/>
      <c r="E2888" s="151"/>
      <c r="F2888" s="151"/>
      <c r="G2888" s="151"/>
      <c r="H2888" s="151"/>
      <c r="I2888" s="151"/>
      <c r="J2888" s="152">
        <v>42614.749456018522</v>
      </c>
      <c r="K2888" s="151"/>
      <c r="L2888" s="151" t="s">
        <v>59</v>
      </c>
      <c r="M2888" s="152">
        <v>42613.376307870371</v>
      </c>
      <c r="N2888" s="151" t="s">
        <v>4040</v>
      </c>
      <c r="O2888" s="151"/>
      <c r="P2888" s="151"/>
      <c r="Q2888" s="7" t="str">
        <f>IF(ISBLANK(patch[[#This Row],[OwnerEmail]]),Q2887,patch[[#This Row],[OwnerEmail]])</f>
        <v>john.mathew@intel.com</v>
      </c>
      <c r="R2888" s="7" t="str">
        <f>_xlfn.IFNA(VLOOKUP(patch[[#This Row],[tmp-owner.email]],OrgTree!$A:$K, 11, 0), "not ICG SWFW")</f>
        <v>FL And dev</v>
      </c>
      <c r="S2888" s="7" t="str">
        <f>IF(patch[[#This Row],[reviewer]]=patch[[#This Row],[tmp-owner.email]], "author", _xlfn.IFNA(VLOOKUP(patch[[#This Row],[reviewer]],OrgTree!$A:$K, 11, 0), "not ICG SWFW"))</f>
        <v>BJ And dev</v>
      </c>
      <c r="T2888" s="7" t="str">
        <f>IF(ISBLANK(patch[[#This Row],[mergeDate]]), "", MID(YEAR(patch[[#This Row],[mergeDate]]), 3,2)&amp;"'ww"&amp;WEEKNUM(patch[[#This Row],[mergeDate]]))</f>
        <v>16'ww36</v>
      </c>
      <c r="U2888" s="7" t="str">
        <f>IF(ISBLANK(patch[[#This Row],[mergeDate]]), U2887, MID(YEAR(patch[[#This Row],[mergeDate]]), 3,2)&amp;"'m"&amp;MONTH(patch[[#This Row],[mergeDate]]))</f>
        <v>16'm9</v>
      </c>
      <c r="V2888" s="7" t="str">
        <f>IF(ISBLANK(patch[[#This Row],[project]]), "",SUM(patch[[#This Row],[BJ -1 num]:[SH -1 num]]))</f>
        <v/>
      </c>
      <c r="W2888" s="7" t="str">
        <f>IF(ISBLANK(patch[[#This Row],[project]]), "",COUNTIFS($A:$A,patch[[#This Row],[number]],$S:$S, "BJ And dev",$AC:$AC, "Review-1"))</f>
        <v/>
      </c>
      <c r="X2888" s="7" t="str">
        <f>IF(ISBLANK(patch[[#This Row],[project]]), "",COUNTIFS($A:$A,patch[[#This Row],[number]],$S:$S, "FL And dev",$AC:$AC, "Review-1"))</f>
        <v/>
      </c>
      <c r="Y2888" s="7" t="str">
        <f>IF(ISBLANK(patch[[#This Row],[project]]), "",COUNTIFS($A:$A,patch[[#This Row],[number]],$S:$S, "SH And dev",$AC:$AC, "Review-1"))</f>
        <v/>
      </c>
      <c r="Z2888" s="7" t="str">
        <f>IF(ISBLANK(patch[[#This Row],[project]]), "",COUNTIFS($A:$A,patch[[#This Row],[number]],$S:$S, "BJ And dev",$AD:$AD, "&lt;&gt;IntegratorValidationComment"))</f>
        <v/>
      </c>
      <c r="AA2888" s="7" t="str">
        <f>IF(ISBLANK(patch[[#This Row],[project]]), "",COUNTIFS($A:$A,patch[[#This Row],[number]],$S:$S, "FL And dev",$AD:$AD, "&lt;&gt;IntegratorValidationComment"))</f>
        <v/>
      </c>
      <c r="AB2888" s="7" t="str">
        <f>IF(ISBLANK(patch[[#This Row],[project]]), "",COUNTIFS($A:$A,patch[[#This Row],[number]],$S:$S, "SH And dev",$AD:$AD, "&lt;&gt;IntegratorValidationComment"))</f>
        <v/>
      </c>
      <c r="AC2888" s="7" t="str">
        <f>IF(OR(ISNUMBER(FIND("Review-1", patch[[#This Row],[comments]])), ISNUMBER(FIND("Approver-1", patch[[#This Row],[comments]]))), "Review-1", "")</f>
        <v/>
      </c>
      <c r="AD2888"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88" s="7">
        <f>IF(ISBLANK(patch[[#This Row],[number]]),AE2887,patch[[#This Row],[ifCommon]])</f>
        <v>0</v>
      </c>
    </row>
    <row r="2889" spans="1:31">
      <c r="A2889" s="151">
        <v>142348</v>
      </c>
      <c r="B2889" s="151"/>
      <c r="C2889" s="151"/>
      <c r="D2889" s="151"/>
      <c r="E2889" s="151"/>
      <c r="F2889" s="151"/>
      <c r="G2889" s="151"/>
      <c r="H2889" s="151"/>
      <c r="I2889" s="151"/>
      <c r="J2889" s="152">
        <v>42614.749456018522</v>
      </c>
      <c r="K2889" s="151"/>
      <c r="L2889" s="151" t="s">
        <v>59</v>
      </c>
      <c r="M2889" s="152">
        <v>42613.379143518519</v>
      </c>
      <c r="N2889" s="151" t="s">
        <v>4041</v>
      </c>
      <c r="O2889" s="151"/>
      <c r="P2889" s="151"/>
      <c r="Q2889" s="7" t="str">
        <f>IF(ISBLANK(patch[[#This Row],[OwnerEmail]]),Q2888,patch[[#This Row],[OwnerEmail]])</f>
        <v>john.mathew@intel.com</v>
      </c>
      <c r="R2889" s="7" t="str">
        <f>_xlfn.IFNA(VLOOKUP(patch[[#This Row],[tmp-owner.email]],OrgTree!$A:$K, 11, 0), "not ICG SWFW")</f>
        <v>FL And dev</v>
      </c>
      <c r="S2889" s="7" t="str">
        <f>IF(patch[[#This Row],[reviewer]]=patch[[#This Row],[tmp-owner.email]], "author", _xlfn.IFNA(VLOOKUP(patch[[#This Row],[reviewer]],OrgTree!$A:$K, 11, 0), "not ICG SWFW"))</f>
        <v>BJ And dev</v>
      </c>
      <c r="T2889" s="7" t="str">
        <f>IF(ISBLANK(patch[[#This Row],[mergeDate]]), "", MID(YEAR(patch[[#This Row],[mergeDate]]), 3,2)&amp;"'ww"&amp;WEEKNUM(patch[[#This Row],[mergeDate]]))</f>
        <v>16'ww36</v>
      </c>
      <c r="U2889" s="7" t="str">
        <f>IF(ISBLANK(patch[[#This Row],[mergeDate]]), U2888, MID(YEAR(patch[[#This Row],[mergeDate]]), 3,2)&amp;"'m"&amp;MONTH(patch[[#This Row],[mergeDate]]))</f>
        <v>16'm9</v>
      </c>
      <c r="V2889" s="7" t="str">
        <f>IF(ISBLANK(patch[[#This Row],[project]]), "",SUM(patch[[#This Row],[BJ -1 num]:[SH -1 num]]))</f>
        <v/>
      </c>
      <c r="W2889" s="7" t="str">
        <f>IF(ISBLANK(patch[[#This Row],[project]]), "",COUNTIFS($A:$A,patch[[#This Row],[number]],$S:$S, "BJ And dev",$AC:$AC, "Review-1"))</f>
        <v/>
      </c>
      <c r="X2889" s="7" t="str">
        <f>IF(ISBLANK(patch[[#This Row],[project]]), "",COUNTIFS($A:$A,patch[[#This Row],[number]],$S:$S, "FL And dev",$AC:$AC, "Review-1"))</f>
        <v/>
      </c>
      <c r="Y2889" s="7" t="str">
        <f>IF(ISBLANK(patch[[#This Row],[project]]), "",COUNTIFS($A:$A,patch[[#This Row],[number]],$S:$S, "SH And dev",$AC:$AC, "Review-1"))</f>
        <v/>
      </c>
      <c r="Z2889" s="7" t="str">
        <f>IF(ISBLANK(patch[[#This Row],[project]]), "",COUNTIFS($A:$A,patch[[#This Row],[number]],$S:$S, "BJ And dev",$AD:$AD, "&lt;&gt;IntegratorValidationComment"))</f>
        <v/>
      </c>
      <c r="AA2889" s="7" t="str">
        <f>IF(ISBLANK(patch[[#This Row],[project]]), "",COUNTIFS($A:$A,patch[[#This Row],[number]],$S:$S, "FL And dev",$AD:$AD, "&lt;&gt;IntegratorValidationComment"))</f>
        <v/>
      </c>
      <c r="AB2889" s="7" t="str">
        <f>IF(ISBLANK(patch[[#This Row],[project]]), "",COUNTIFS($A:$A,patch[[#This Row],[number]],$S:$S, "SH And dev",$AD:$AD, "&lt;&gt;IntegratorValidationComment"))</f>
        <v/>
      </c>
      <c r="AC2889" s="7" t="str">
        <f>IF(OR(ISNUMBER(FIND("Review-1", patch[[#This Row],[comments]])), ISNUMBER(FIND("Approver-1", patch[[#This Row],[comments]]))), "Review-1", "")</f>
        <v/>
      </c>
      <c r="AD2889"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89" s="7">
        <f>IF(ISBLANK(patch[[#This Row],[number]]),AE2888,patch[[#This Row],[ifCommon]])</f>
        <v>0</v>
      </c>
    </row>
    <row r="2890" spans="1:31">
      <c r="A2890" s="151">
        <v>142348</v>
      </c>
      <c r="B2890" s="151"/>
      <c r="C2890" s="151"/>
      <c r="D2890" s="151"/>
      <c r="E2890" s="151"/>
      <c r="F2890" s="151"/>
      <c r="G2890" s="151"/>
      <c r="H2890" s="151"/>
      <c r="I2890" s="151"/>
      <c r="J2890" s="152">
        <v>42614.749456018522</v>
      </c>
      <c r="K2890" s="151"/>
      <c r="L2890" s="151" t="s">
        <v>24</v>
      </c>
      <c r="M2890" s="152">
        <v>42613.467685185176</v>
      </c>
      <c r="N2890" s="151" t="s">
        <v>1880</v>
      </c>
      <c r="O2890" s="151"/>
      <c r="P2890" s="151"/>
      <c r="Q2890" s="7" t="str">
        <f>IF(ISBLANK(patch[[#This Row],[OwnerEmail]]),Q2889,patch[[#This Row],[OwnerEmail]])</f>
        <v>john.mathew@intel.com</v>
      </c>
      <c r="R2890" s="7" t="str">
        <f>_xlfn.IFNA(VLOOKUP(patch[[#This Row],[tmp-owner.email]],OrgTree!$A:$K, 11, 0), "not ICG SWFW")</f>
        <v>FL And dev</v>
      </c>
      <c r="S2890" s="7" t="str">
        <f>IF(patch[[#This Row],[reviewer]]=patch[[#This Row],[tmp-owner.email]], "author", _xlfn.IFNA(VLOOKUP(patch[[#This Row],[reviewer]],OrgTree!$A:$K, 11, 0), "not ICG SWFW"))</f>
        <v>BJ And dev</v>
      </c>
      <c r="T2890" s="7" t="str">
        <f>IF(ISBLANK(patch[[#This Row],[mergeDate]]), "", MID(YEAR(patch[[#This Row],[mergeDate]]), 3,2)&amp;"'ww"&amp;WEEKNUM(patch[[#This Row],[mergeDate]]))</f>
        <v>16'ww36</v>
      </c>
      <c r="U2890" s="7" t="str">
        <f>IF(ISBLANK(patch[[#This Row],[mergeDate]]), U2889, MID(YEAR(patch[[#This Row],[mergeDate]]), 3,2)&amp;"'m"&amp;MONTH(patch[[#This Row],[mergeDate]]))</f>
        <v>16'm9</v>
      </c>
      <c r="V2890" s="7" t="str">
        <f>IF(ISBLANK(patch[[#This Row],[project]]), "",SUM(patch[[#This Row],[BJ -1 num]:[SH -1 num]]))</f>
        <v/>
      </c>
      <c r="W2890" s="7" t="str">
        <f>IF(ISBLANK(patch[[#This Row],[project]]), "",COUNTIFS($A:$A,patch[[#This Row],[number]],$S:$S, "BJ And dev",$AC:$AC, "Review-1"))</f>
        <v/>
      </c>
      <c r="X2890" s="7" t="str">
        <f>IF(ISBLANK(patch[[#This Row],[project]]), "",COUNTIFS($A:$A,patch[[#This Row],[number]],$S:$S, "FL And dev",$AC:$AC, "Review-1"))</f>
        <v/>
      </c>
      <c r="Y2890" s="7" t="str">
        <f>IF(ISBLANK(patch[[#This Row],[project]]), "",COUNTIFS($A:$A,patch[[#This Row],[number]],$S:$S, "SH And dev",$AC:$AC, "Review-1"))</f>
        <v/>
      </c>
      <c r="Z2890" s="7" t="str">
        <f>IF(ISBLANK(patch[[#This Row],[project]]), "",COUNTIFS($A:$A,patch[[#This Row],[number]],$S:$S, "BJ And dev",$AD:$AD, "&lt;&gt;IntegratorValidationComment"))</f>
        <v/>
      </c>
      <c r="AA2890" s="7" t="str">
        <f>IF(ISBLANK(patch[[#This Row],[project]]), "",COUNTIFS($A:$A,patch[[#This Row],[number]],$S:$S, "FL And dev",$AD:$AD, "&lt;&gt;IntegratorValidationComment"))</f>
        <v/>
      </c>
      <c r="AB2890" s="7" t="str">
        <f>IF(ISBLANK(patch[[#This Row],[project]]), "",COUNTIFS($A:$A,patch[[#This Row],[number]],$S:$S, "SH And dev",$AD:$AD, "&lt;&gt;IntegratorValidationComment"))</f>
        <v/>
      </c>
      <c r="AC2890" s="7" t="str">
        <f>IF(OR(ISNUMBER(FIND("Review-1", patch[[#This Row],[comments]])), ISNUMBER(FIND("Approver-1", patch[[#This Row],[comments]]))), "Review-1", "")</f>
        <v/>
      </c>
      <c r="AD2890"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90" s="7">
        <f>IF(ISBLANK(patch[[#This Row],[number]]),AE2889,patch[[#This Row],[ifCommon]])</f>
        <v>0</v>
      </c>
    </row>
    <row r="2891" spans="1:31">
      <c r="A2891" s="151">
        <v>142348</v>
      </c>
      <c r="B2891" s="151"/>
      <c r="C2891" s="151"/>
      <c r="D2891" s="151"/>
      <c r="E2891" s="151"/>
      <c r="F2891" s="151"/>
      <c r="G2891" s="151"/>
      <c r="H2891" s="151"/>
      <c r="I2891" s="151"/>
      <c r="J2891" s="152">
        <v>42614.749456018522</v>
      </c>
      <c r="K2891" s="151"/>
      <c r="L2891" s="151" t="s">
        <v>59</v>
      </c>
      <c r="M2891" s="152">
        <v>42613.756018518521</v>
      </c>
      <c r="N2891" s="151" t="s">
        <v>3681</v>
      </c>
      <c r="O2891" s="151"/>
      <c r="P2891" s="151"/>
      <c r="Q2891" s="7" t="str">
        <f>IF(ISBLANK(patch[[#This Row],[OwnerEmail]]),Q2890,patch[[#This Row],[OwnerEmail]])</f>
        <v>john.mathew@intel.com</v>
      </c>
      <c r="R2891" s="7" t="str">
        <f>_xlfn.IFNA(VLOOKUP(patch[[#This Row],[tmp-owner.email]],OrgTree!$A:$K, 11, 0), "not ICG SWFW")</f>
        <v>FL And dev</v>
      </c>
      <c r="S2891" s="7" t="str">
        <f>IF(patch[[#This Row],[reviewer]]=patch[[#This Row],[tmp-owner.email]], "author", _xlfn.IFNA(VLOOKUP(patch[[#This Row],[reviewer]],OrgTree!$A:$K, 11, 0), "not ICG SWFW"))</f>
        <v>BJ And dev</v>
      </c>
      <c r="T2891" s="7" t="str">
        <f>IF(ISBLANK(patch[[#This Row],[mergeDate]]), "", MID(YEAR(patch[[#This Row],[mergeDate]]), 3,2)&amp;"'ww"&amp;WEEKNUM(patch[[#This Row],[mergeDate]]))</f>
        <v>16'ww36</v>
      </c>
      <c r="U2891" s="7" t="str">
        <f>IF(ISBLANK(patch[[#This Row],[mergeDate]]), U2890, MID(YEAR(patch[[#This Row],[mergeDate]]), 3,2)&amp;"'m"&amp;MONTH(patch[[#This Row],[mergeDate]]))</f>
        <v>16'm9</v>
      </c>
      <c r="V2891" s="7" t="str">
        <f>IF(ISBLANK(patch[[#This Row],[project]]), "",SUM(patch[[#This Row],[BJ -1 num]:[SH -1 num]]))</f>
        <v/>
      </c>
      <c r="W2891" s="7" t="str">
        <f>IF(ISBLANK(patch[[#This Row],[project]]), "",COUNTIFS($A:$A,patch[[#This Row],[number]],$S:$S, "BJ And dev",$AC:$AC, "Review-1"))</f>
        <v/>
      </c>
      <c r="X2891" s="7" t="str">
        <f>IF(ISBLANK(patch[[#This Row],[project]]), "",COUNTIFS($A:$A,patch[[#This Row],[number]],$S:$S, "FL And dev",$AC:$AC, "Review-1"))</f>
        <v/>
      </c>
      <c r="Y2891" s="7" t="str">
        <f>IF(ISBLANK(patch[[#This Row],[project]]), "",COUNTIFS($A:$A,patch[[#This Row],[number]],$S:$S, "SH And dev",$AC:$AC, "Review-1"))</f>
        <v/>
      </c>
      <c r="Z2891" s="7" t="str">
        <f>IF(ISBLANK(patch[[#This Row],[project]]), "",COUNTIFS($A:$A,patch[[#This Row],[number]],$S:$S, "BJ And dev",$AD:$AD, "&lt;&gt;IntegratorValidationComment"))</f>
        <v/>
      </c>
      <c r="AA2891" s="7" t="str">
        <f>IF(ISBLANK(patch[[#This Row],[project]]), "",COUNTIFS($A:$A,patch[[#This Row],[number]],$S:$S, "FL And dev",$AD:$AD, "&lt;&gt;IntegratorValidationComment"))</f>
        <v/>
      </c>
      <c r="AB2891" s="7" t="str">
        <f>IF(ISBLANK(patch[[#This Row],[project]]), "",COUNTIFS($A:$A,patch[[#This Row],[number]],$S:$S, "SH And dev",$AD:$AD, "&lt;&gt;IntegratorValidationComment"))</f>
        <v/>
      </c>
      <c r="AC2891" s="7" t="str">
        <f>IF(OR(ISNUMBER(FIND("Review-1", patch[[#This Row],[comments]])), ISNUMBER(FIND("Approver-1", patch[[#This Row],[comments]]))), "Review-1", "")</f>
        <v/>
      </c>
      <c r="AD2891"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91" s="7">
        <f>IF(ISBLANK(patch[[#This Row],[number]]),AE2890,patch[[#This Row],[ifCommon]])</f>
        <v>0</v>
      </c>
    </row>
    <row r="2892" spans="1:31">
      <c r="A2892" s="151">
        <v>142348</v>
      </c>
      <c r="B2892" s="151"/>
      <c r="C2892" s="151"/>
      <c r="D2892" s="151"/>
      <c r="E2892" s="151"/>
      <c r="F2892" s="151"/>
      <c r="G2892" s="151"/>
      <c r="H2892" s="151"/>
      <c r="I2892" s="151"/>
      <c r="J2892" s="152">
        <v>42614.749456018522</v>
      </c>
      <c r="K2892" s="151"/>
      <c r="L2892" s="151" t="s">
        <v>61</v>
      </c>
      <c r="M2892" s="152">
        <v>42613.773738425924</v>
      </c>
      <c r="N2892" s="151" t="s">
        <v>4042</v>
      </c>
      <c r="O2892" s="151"/>
      <c r="P2892" s="151"/>
      <c r="Q2892" s="7" t="str">
        <f>IF(ISBLANK(patch[[#This Row],[OwnerEmail]]),Q2891,patch[[#This Row],[OwnerEmail]])</f>
        <v>john.mathew@intel.com</v>
      </c>
      <c r="R2892" s="7" t="str">
        <f>_xlfn.IFNA(VLOOKUP(patch[[#This Row],[tmp-owner.email]],OrgTree!$A:$K, 11, 0), "not ICG SWFW")</f>
        <v>FL And dev</v>
      </c>
      <c r="S2892" s="7" t="str">
        <f>IF(patch[[#This Row],[reviewer]]=patch[[#This Row],[tmp-owner.email]], "author", _xlfn.IFNA(VLOOKUP(patch[[#This Row],[reviewer]],OrgTree!$A:$K, 11, 0), "not ICG SWFW"))</f>
        <v>author</v>
      </c>
      <c r="T2892" s="7" t="str">
        <f>IF(ISBLANK(patch[[#This Row],[mergeDate]]), "", MID(YEAR(patch[[#This Row],[mergeDate]]), 3,2)&amp;"'ww"&amp;WEEKNUM(patch[[#This Row],[mergeDate]]))</f>
        <v>16'ww36</v>
      </c>
      <c r="U2892" s="7" t="str">
        <f>IF(ISBLANK(patch[[#This Row],[mergeDate]]), U2891, MID(YEAR(patch[[#This Row],[mergeDate]]), 3,2)&amp;"'m"&amp;MONTH(patch[[#This Row],[mergeDate]]))</f>
        <v>16'm9</v>
      </c>
      <c r="V2892" s="7" t="str">
        <f>IF(ISBLANK(patch[[#This Row],[project]]), "",SUM(patch[[#This Row],[BJ -1 num]:[SH -1 num]]))</f>
        <v/>
      </c>
      <c r="W2892" s="7" t="str">
        <f>IF(ISBLANK(patch[[#This Row],[project]]), "",COUNTIFS($A:$A,patch[[#This Row],[number]],$S:$S, "BJ And dev",$AC:$AC, "Review-1"))</f>
        <v/>
      </c>
      <c r="X2892" s="7" t="str">
        <f>IF(ISBLANK(patch[[#This Row],[project]]), "",COUNTIFS($A:$A,patch[[#This Row],[number]],$S:$S, "FL And dev",$AC:$AC, "Review-1"))</f>
        <v/>
      </c>
      <c r="Y2892" s="7" t="str">
        <f>IF(ISBLANK(patch[[#This Row],[project]]), "",COUNTIFS($A:$A,patch[[#This Row],[number]],$S:$S, "SH And dev",$AC:$AC, "Review-1"))</f>
        <v/>
      </c>
      <c r="Z2892" s="7" t="str">
        <f>IF(ISBLANK(patch[[#This Row],[project]]), "",COUNTIFS($A:$A,patch[[#This Row],[number]],$S:$S, "BJ And dev",$AD:$AD, "&lt;&gt;IntegratorValidationComment"))</f>
        <v/>
      </c>
      <c r="AA2892" s="7" t="str">
        <f>IF(ISBLANK(patch[[#This Row],[project]]), "",COUNTIFS($A:$A,patch[[#This Row],[number]],$S:$S, "FL And dev",$AD:$AD, "&lt;&gt;IntegratorValidationComment"))</f>
        <v/>
      </c>
      <c r="AB2892" s="7" t="str">
        <f>IF(ISBLANK(patch[[#This Row],[project]]), "",COUNTIFS($A:$A,patch[[#This Row],[number]],$S:$S, "SH And dev",$AD:$AD, "&lt;&gt;IntegratorValidationComment"))</f>
        <v/>
      </c>
      <c r="AC2892" s="7" t="str">
        <f>IF(OR(ISNUMBER(FIND("Review-1", patch[[#This Row],[comments]])), ISNUMBER(FIND("Approver-1", patch[[#This Row],[comments]]))), "Review-1", "")</f>
        <v/>
      </c>
      <c r="AD2892"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92" s="7">
        <f>IF(ISBLANK(patch[[#This Row],[number]]),AE2891,patch[[#This Row],[ifCommon]])</f>
        <v>0</v>
      </c>
    </row>
    <row r="2893" spans="1:31">
      <c r="A2893" s="151">
        <v>142348</v>
      </c>
      <c r="B2893" s="151"/>
      <c r="C2893" s="151"/>
      <c r="D2893" s="151"/>
      <c r="E2893" s="151"/>
      <c r="F2893" s="151"/>
      <c r="G2893" s="151"/>
      <c r="H2893" s="151"/>
      <c r="I2893" s="151"/>
      <c r="J2893" s="152">
        <v>42614.749456018522</v>
      </c>
      <c r="K2893" s="151"/>
      <c r="L2893" s="151" t="s">
        <v>115</v>
      </c>
      <c r="M2893" s="152">
        <v>42614.418761574067</v>
      </c>
      <c r="N2893" s="151" t="s">
        <v>2494</v>
      </c>
      <c r="O2893" s="151"/>
      <c r="P2893" s="151"/>
      <c r="Q2893" s="7" t="str">
        <f>IF(ISBLANK(patch[[#This Row],[OwnerEmail]]),Q2892,patch[[#This Row],[OwnerEmail]])</f>
        <v>john.mathew@intel.com</v>
      </c>
      <c r="R2893" s="7" t="str">
        <f>_xlfn.IFNA(VLOOKUP(patch[[#This Row],[tmp-owner.email]],OrgTree!$A:$K, 11, 0), "not ICG SWFW")</f>
        <v>FL And dev</v>
      </c>
      <c r="S2893" s="7" t="str">
        <f>IF(patch[[#This Row],[reviewer]]=patch[[#This Row],[tmp-owner.email]], "author", _xlfn.IFNA(VLOOKUP(patch[[#This Row],[reviewer]],OrgTree!$A:$K, 11, 0), "not ICG SWFW"))</f>
        <v>Val</v>
      </c>
      <c r="T2893" s="7" t="str">
        <f>IF(ISBLANK(patch[[#This Row],[mergeDate]]), "", MID(YEAR(patch[[#This Row],[mergeDate]]), 3,2)&amp;"'ww"&amp;WEEKNUM(patch[[#This Row],[mergeDate]]))</f>
        <v>16'ww36</v>
      </c>
      <c r="U2893" s="7" t="str">
        <f>IF(ISBLANK(patch[[#This Row],[mergeDate]]), U2892, MID(YEAR(patch[[#This Row],[mergeDate]]), 3,2)&amp;"'m"&amp;MONTH(patch[[#This Row],[mergeDate]]))</f>
        <v>16'm9</v>
      </c>
      <c r="V2893" s="7" t="str">
        <f>IF(ISBLANK(patch[[#This Row],[project]]), "",SUM(patch[[#This Row],[BJ -1 num]:[SH -1 num]]))</f>
        <v/>
      </c>
      <c r="W2893" s="7" t="str">
        <f>IF(ISBLANK(patch[[#This Row],[project]]), "",COUNTIFS($A:$A,patch[[#This Row],[number]],$S:$S, "BJ And dev",$AC:$AC, "Review-1"))</f>
        <v/>
      </c>
      <c r="X2893" s="7" t="str">
        <f>IF(ISBLANK(patch[[#This Row],[project]]), "",COUNTIFS($A:$A,patch[[#This Row],[number]],$S:$S, "FL And dev",$AC:$AC, "Review-1"))</f>
        <v/>
      </c>
      <c r="Y2893" s="7" t="str">
        <f>IF(ISBLANK(patch[[#This Row],[project]]), "",COUNTIFS($A:$A,patch[[#This Row],[number]],$S:$S, "SH And dev",$AC:$AC, "Review-1"))</f>
        <v/>
      </c>
      <c r="Z2893" s="7" t="str">
        <f>IF(ISBLANK(patch[[#This Row],[project]]), "",COUNTIFS($A:$A,patch[[#This Row],[number]],$S:$S, "BJ And dev",$AD:$AD, "&lt;&gt;IntegratorValidationComment"))</f>
        <v/>
      </c>
      <c r="AA2893" s="7" t="str">
        <f>IF(ISBLANK(patch[[#This Row],[project]]), "",COUNTIFS($A:$A,patch[[#This Row],[number]],$S:$S, "FL And dev",$AD:$AD, "&lt;&gt;IntegratorValidationComment"))</f>
        <v/>
      </c>
      <c r="AB2893" s="7" t="str">
        <f>IF(ISBLANK(patch[[#This Row],[project]]), "",COUNTIFS($A:$A,patch[[#This Row],[number]],$S:$S, "SH And dev",$AD:$AD, "&lt;&gt;IntegratorValidationComment"))</f>
        <v/>
      </c>
      <c r="AC2893" s="7" t="str">
        <f>IF(OR(ISNUMBER(FIND("Review-1", patch[[#This Row],[comments]])), ISNUMBER(FIND("Approver-1", patch[[#This Row],[comments]]))), "Review-1", "")</f>
        <v/>
      </c>
      <c r="AD2893"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IntegratorValidationComment</v>
      </c>
      <c r="AE2893" s="7">
        <f>IF(ISBLANK(patch[[#This Row],[number]]),AE2892,patch[[#This Row],[ifCommon]])</f>
        <v>0</v>
      </c>
    </row>
    <row r="2894" spans="1:31">
      <c r="A2894" s="151">
        <v>142348</v>
      </c>
      <c r="B2894" s="151"/>
      <c r="C2894" s="151"/>
      <c r="D2894" s="151"/>
      <c r="E2894" s="151"/>
      <c r="F2894" s="151"/>
      <c r="G2894" s="151"/>
      <c r="H2894" s="151"/>
      <c r="I2894" s="153"/>
      <c r="J2894" s="152">
        <v>42614.749456018522</v>
      </c>
      <c r="K2894" s="153"/>
      <c r="L2894" s="151" t="s">
        <v>115</v>
      </c>
      <c r="M2894" s="152">
        <v>42615.448263888888</v>
      </c>
      <c r="N2894" s="151" t="s">
        <v>4043</v>
      </c>
      <c r="O2894" s="151"/>
      <c r="P2894" s="151"/>
      <c r="Q2894" s="7" t="str">
        <f>IF(ISBLANK(patch[[#This Row],[OwnerEmail]]),Q2893,patch[[#This Row],[OwnerEmail]])</f>
        <v>john.mathew@intel.com</v>
      </c>
      <c r="R2894" s="7" t="str">
        <f>_xlfn.IFNA(VLOOKUP(patch[[#This Row],[tmp-owner.email]],OrgTree!$A:$K, 11, 0), "not ICG SWFW")</f>
        <v>FL And dev</v>
      </c>
      <c r="S2894" s="7" t="str">
        <f>IF(patch[[#This Row],[reviewer]]=patch[[#This Row],[tmp-owner.email]], "author", _xlfn.IFNA(VLOOKUP(patch[[#This Row],[reviewer]],OrgTree!$A:$K, 11, 0), "not ICG SWFW"))</f>
        <v>Val</v>
      </c>
      <c r="T2894" s="7" t="str">
        <f>IF(ISBLANK(patch[[#This Row],[mergeDate]]), "", MID(YEAR(patch[[#This Row],[mergeDate]]), 3,2)&amp;"'ww"&amp;WEEKNUM(patch[[#This Row],[mergeDate]]))</f>
        <v>16'ww36</v>
      </c>
      <c r="U2894" s="7" t="str">
        <f>IF(ISBLANK(patch[[#This Row],[mergeDate]]), U2893, MID(YEAR(patch[[#This Row],[mergeDate]]), 3,2)&amp;"'m"&amp;MONTH(patch[[#This Row],[mergeDate]]))</f>
        <v>16'm9</v>
      </c>
      <c r="V2894" s="7" t="str">
        <f>IF(ISBLANK(patch[[#This Row],[project]]), "",SUM(patch[[#This Row],[BJ -1 num]:[SH -1 num]]))</f>
        <v/>
      </c>
      <c r="W2894" s="7" t="str">
        <f>IF(ISBLANK(patch[[#This Row],[project]]), "",COUNTIFS($A:$A,patch[[#This Row],[number]],$S:$S, "BJ And dev",$AC:$AC, "Review-1"))</f>
        <v/>
      </c>
      <c r="X2894" s="7" t="str">
        <f>IF(ISBLANK(patch[[#This Row],[project]]), "",COUNTIFS($A:$A,patch[[#This Row],[number]],$S:$S, "FL And dev",$AC:$AC, "Review-1"))</f>
        <v/>
      </c>
      <c r="Y2894" s="7" t="str">
        <f>IF(ISBLANK(patch[[#This Row],[project]]), "",COUNTIFS($A:$A,patch[[#This Row],[number]],$S:$S, "SH And dev",$AC:$AC, "Review-1"))</f>
        <v/>
      </c>
      <c r="Z2894" s="7" t="str">
        <f>IF(ISBLANK(patch[[#This Row],[project]]), "",COUNTIFS($A:$A,patch[[#This Row],[number]],$S:$S, "BJ And dev",$AD:$AD, "&lt;&gt;IntegratorValidationComment"))</f>
        <v/>
      </c>
      <c r="AA2894" s="7" t="str">
        <f>IF(ISBLANK(patch[[#This Row],[project]]), "",COUNTIFS($A:$A,patch[[#This Row],[number]],$S:$S, "FL And dev",$AD:$AD, "&lt;&gt;IntegratorValidationComment"))</f>
        <v/>
      </c>
      <c r="AB2894" s="7" t="str">
        <f>IF(ISBLANK(patch[[#This Row],[project]]), "",COUNTIFS($A:$A,patch[[#This Row],[number]],$S:$S, "SH And dev",$AD:$AD, "&lt;&gt;IntegratorValidationComment"))</f>
        <v/>
      </c>
      <c r="AC2894" s="7" t="str">
        <f>IF(OR(ISNUMBER(FIND("Review-1", patch[[#This Row],[comments]])), ISNUMBER(FIND("Approver-1", patch[[#This Row],[comments]]))), "Review-1", "")</f>
        <v/>
      </c>
      <c r="AD2894" s="7" t="str">
        <f>IF(AND(ISERR(FIND("Code-Review", patch[[#This Row],[comments]])), ISERR(FIND("Approver", patch[[#This Row],[comments]])), OR(ISNUMBER(FIND(": Integrator", patch[[#This Row],[comments]])), ISNUMBER(FIND(":\n\nIntegrator", patch[[#This Row],[comments]])), ISNUMBER(FIND("-Integrator", patch[[#This Row],[comments]])), ISNUMBER(FIND("Validation-Android", patch[[#This Row],[comments]])))), "IntegratorValidationComment", "")</f>
        <v/>
      </c>
      <c r="AE2894" s="7">
        <f>IF(ISBLANK(patch[[#This Row],[number]]),AE2893,patch[[#This Row],[ifCommon]])</f>
        <v>0</v>
      </c>
    </row>
  </sheetData>
  <phoneticPr fontId="5" type="noConversion"/>
  <conditionalFormatting sqref="A2:A2894">
    <cfRule type="duplicateValues" dxfId="16" priority="24"/>
  </conditionalFormatting>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W383"/>
  <sheetViews>
    <sheetView zoomScale="90" zoomScaleNormal="90" workbookViewId="0">
      <selection activeCell="H24" sqref="H24"/>
    </sheetView>
  </sheetViews>
  <sheetFormatPr defaultRowHeight="15"/>
  <cols>
    <col min="1" max="1" width="7.140625" customWidth="1"/>
    <col min="2" max="2" width="6.5703125" customWidth="1"/>
    <col min="3" max="3" width="9.42578125" customWidth="1"/>
    <col min="4" max="4" width="13.85546875" customWidth="1"/>
    <col min="6" max="6" width="9.5703125" customWidth="1"/>
    <col min="7" max="7" width="17.7109375" customWidth="1"/>
    <col min="8" max="8" width="19.7109375" customWidth="1"/>
    <col min="9" max="9" width="21.28515625" customWidth="1"/>
    <col min="10" max="10" width="11.140625" customWidth="1"/>
    <col min="11" max="11" width="14.140625" customWidth="1"/>
    <col min="12" max="12" width="19.5703125" customWidth="1"/>
    <col min="13" max="13" width="15" customWidth="1"/>
    <col min="14" max="14" width="11.85546875" customWidth="1"/>
    <col min="15" max="15" width="11.5703125" customWidth="1"/>
    <col min="16" max="20" width="13.140625" customWidth="1"/>
    <col min="21" max="21" width="9" customWidth="1"/>
    <col min="22" max="22" width="11.42578125" customWidth="1"/>
    <col min="23" max="23" width="9.42578125" customWidth="1"/>
  </cols>
  <sheetData>
    <row r="1" spans="1:23">
      <c r="A1" s="23" t="s">
        <v>1810</v>
      </c>
      <c r="B1" t="s">
        <v>20</v>
      </c>
      <c r="C1" t="s">
        <v>1813</v>
      </c>
      <c r="D1" t="s">
        <v>1814</v>
      </c>
      <c r="E1" t="s">
        <v>1815</v>
      </c>
      <c r="F1" t="s">
        <v>1816</v>
      </c>
      <c r="G1" t="s">
        <v>1817</v>
      </c>
      <c r="H1" t="s">
        <v>1818</v>
      </c>
      <c r="I1" t="s">
        <v>1823</v>
      </c>
      <c r="J1" t="s">
        <v>1819</v>
      </c>
      <c r="K1" t="s">
        <v>1820</v>
      </c>
      <c r="L1" t="s">
        <v>1821</v>
      </c>
      <c r="M1" s="22" t="s">
        <v>1809</v>
      </c>
      <c r="N1" s="6" t="s">
        <v>21</v>
      </c>
      <c r="O1" s="6" t="s">
        <v>22</v>
      </c>
      <c r="P1" s="24" t="s">
        <v>1812</v>
      </c>
      <c r="Q1" s="24" t="s">
        <v>1824</v>
      </c>
      <c r="R1" s="25" t="s">
        <v>1825</v>
      </c>
      <c r="S1" s="24" t="s">
        <v>1826</v>
      </c>
      <c r="T1" s="24" t="s">
        <v>2012</v>
      </c>
      <c r="U1" s="24" t="s">
        <v>1811</v>
      </c>
      <c r="V1" s="24" t="s">
        <v>1827</v>
      </c>
      <c r="W1" t="s">
        <v>1822</v>
      </c>
    </row>
    <row r="2" spans="1:23">
      <c r="A2">
        <f>IF(ISBLANK(drvlst[[#This Row],[number]]),A1,drvlst[[#This Row],[number]])</f>
        <v>96755</v>
      </c>
      <c r="B2">
        <v>96755</v>
      </c>
      <c r="C2" t="s">
        <v>84</v>
      </c>
      <c r="D2" t="s">
        <v>91</v>
      </c>
      <c r="E2" t="s">
        <v>23</v>
      </c>
      <c r="F2" t="s">
        <v>1904</v>
      </c>
      <c r="G2" t="s">
        <v>1905</v>
      </c>
      <c r="H2" s="8">
        <v>42389.969664351855</v>
      </c>
      <c r="I2" s="8">
        <v>42396.777291666665</v>
      </c>
      <c r="J2" t="s">
        <v>91</v>
      </c>
      <c r="K2" s="8">
        <v>42389.969664351855</v>
      </c>
      <c r="L2" t="s">
        <v>25</v>
      </c>
      <c r="M2" t="str">
        <f>IF(ISBLANK(drvlst[[#This Row],[owner.emal]]),M1,drvlst[[#This Row],[owner.emal]])</f>
        <v>sakari.ailus@intel.com</v>
      </c>
      <c r="N2">
        <f>_xlfn.IFNA(VLOOKUP(drvlst[[#This Row],[tmp-owner.email]],OrgTree!$A:$J, 10, 0), "not ICG SWFW")</f>
        <v>0</v>
      </c>
      <c r="O2" t="str">
        <f>IF(drvlst[[#This Row],[reviewer]]=drvlst[[#This Row],[tmp-owner.email]], "author", _xlfn.IFNA(VLOOKUP(drvlst[[#This Row],[reviewer]],OrgTree!$A:$J, 10, 0), "not ICG SWFW"))</f>
        <v>author</v>
      </c>
      <c r="P2">
        <f>IF(ISBLANK(drvlst[[#This Row],[number]]), "",SUM(drvlst[[#This Row],[BJ -1 num]],drvlst[[#This Row],[FI -1 num]]))</f>
        <v>0</v>
      </c>
      <c r="Q2">
        <f>IF(ISBLANK(drvlst[[#This Row],[number]]), "",COUNTIFS($A:$A,drvlst[[#This Row],[tmp-number]],$O:$O, "BJ And dev",$U:$U, "Review-1"))</f>
        <v>0</v>
      </c>
      <c r="R2">
        <f>IF(ISBLANK(drvlst[[#This Row],[number]]), "",COUNTIFS($A:$A,drvlst[[#This Row],[tmp-number]],$O:$O, "FL And dev",$U:$U, "Review-1"))</f>
        <v>0</v>
      </c>
      <c r="S2">
        <f>IF(ISBLANK(drvlst[[#This Row],[number]]), "",COUNTIFS($A:$A,drvlst[[#This Row],[tmp-number]],$O:$O, "BJ And dev",$V:$V, "&lt;&gt;IntegratorComment"))</f>
        <v>0</v>
      </c>
      <c r="T2">
        <f>IF(ISBLANK(drvlst[[#This Row],[number]]), "",COUNTIFS($A:$A,drvlst[[#This Row],[tmp-number]],$O:$O, "FL And dev",$V:$V, "&lt;&gt;IntegratorComment"))</f>
        <v>0</v>
      </c>
      <c r="U2" t="str">
        <f>IF(OR(ISNUMBER(FIND("Review-1", drvlst[[#This Row],[comments]])), ISNUMBER(FIND("Approver-1", drvlst[[#This Row],[comments]]))), "Review-1", "")</f>
        <v/>
      </c>
      <c r="V2" t="str">
        <f>IF(OR(ISNUMBER(FIND(": Integrator", drvlst[[#This Row],[comments]])), ISNUMBER(FIND(":\n\nIntegrator", drvlst[[#This Row],[comments]])), ISNUMBER(FIND("-Integrator", drvlst[[#This Row],[comments]]))), "IntegratorComment", "")</f>
        <v/>
      </c>
      <c r="W2" t="str">
        <f>IF(ISBLANK(drvlst[[#This Row],[status]]),W1,drvlst[[#This Row],[status]])</f>
        <v>MERGED</v>
      </c>
    </row>
    <row r="3" spans="1:23">
      <c r="A3">
        <f>IF(ISBLANK(drvlst[[#This Row],[number]]),A2,drvlst[[#This Row],[number]])</f>
        <v>96755</v>
      </c>
      <c r="J3" t="s">
        <v>91</v>
      </c>
      <c r="K3" s="8">
        <v>42389.969675925924</v>
      </c>
      <c r="L3" t="s">
        <v>85</v>
      </c>
      <c r="M3" s="7" t="str">
        <f>IF(ISBLANK(drvlst[[#This Row],[owner.emal]]),M2,drvlst[[#This Row],[owner.emal]])</f>
        <v>sakari.ailus@intel.com</v>
      </c>
      <c r="N3">
        <f>_xlfn.IFNA(VLOOKUP(drvlst[[#This Row],[tmp-owner.email]],OrgTree!$A:$J, 10, 0), "not ICG SWFW")</f>
        <v>0</v>
      </c>
      <c r="O3" t="str">
        <f>IF(drvlst[[#This Row],[reviewer]]=drvlst[[#This Row],[tmp-owner.email]], "author", _xlfn.IFNA(VLOOKUP(drvlst[[#This Row],[reviewer]],OrgTree!$A:$J, 10, 0), "not ICG SWFW"))</f>
        <v>author</v>
      </c>
      <c r="P3" t="str">
        <f>IF(ISBLANK(drvlst[[#This Row],[number]]), "",SUM(drvlst[[#This Row],[BJ -1 num]],drvlst[[#This Row],[FI -1 num]]))</f>
        <v/>
      </c>
      <c r="Q3" t="str">
        <f>IF(ISBLANK(drvlst[[#This Row],[number]]), "",COUNTIFS($A:$A,drvlst[[#This Row],[tmp-number]],$O:$O, "BJ And dev",$U:$U, "Review-1"))</f>
        <v/>
      </c>
      <c r="R3" t="str">
        <f>IF(ISBLANK(drvlst[[#This Row],[number]]), "",COUNTIFS($A:$A,drvlst[[#This Row],[tmp-number]],$O:$O, "FL And dev",$U:$U, "Review-1"))</f>
        <v/>
      </c>
      <c r="S3" t="str">
        <f>IF(ISBLANK(drvlst[[#This Row],[number]]), "",COUNTIFS($A:$A,drvlst[[#This Row],[tmp-number]],$O:$O, "BJ And dev",$V:$V, "&lt;&gt;IntegratorComment"))</f>
        <v/>
      </c>
      <c r="T3" t="str">
        <f>IF(ISBLANK(drvlst[[#This Row],[number]]), "",COUNTIFS($A:$A,drvlst[[#This Row],[tmp-number]],$O:$O, "FL And dev",$V:$V, "&lt;&gt;IntegratorComment"))</f>
        <v/>
      </c>
      <c r="U3" t="str">
        <f>IF(OR(ISNUMBER(FIND("Review-1", drvlst[[#This Row],[comments]])), ISNUMBER(FIND("Approver-1", drvlst[[#This Row],[comments]]))), "Review-1", "")</f>
        <v/>
      </c>
      <c r="V3" t="str">
        <f>IF(OR(ISNUMBER(FIND(": Integrator", drvlst[[#This Row],[comments]])), ISNUMBER(FIND(":\n\nIntegrator", drvlst[[#This Row],[comments]])), ISNUMBER(FIND("-Integrator", drvlst[[#This Row],[comments]]))), "IntegratorComment", "")</f>
        <v/>
      </c>
      <c r="W3" t="str">
        <f>IF(ISBLANK(drvlst[[#This Row],[status]]),W2,drvlst[[#This Row],[status]])</f>
        <v>MERGED</v>
      </c>
    </row>
    <row r="4" spans="1:23">
      <c r="A4">
        <f>IF(ISBLANK(drvlst[[#This Row],[number]]),A3,drvlst[[#This Row],[number]])</f>
        <v>96755</v>
      </c>
      <c r="J4" t="s">
        <v>91</v>
      </c>
      <c r="K4" s="8">
        <v>42389.970023148147</v>
      </c>
      <c r="L4" t="s">
        <v>40</v>
      </c>
      <c r="M4" s="7" t="str">
        <f>IF(ISBLANK(drvlst[[#This Row],[owner.emal]]),M3,drvlst[[#This Row],[owner.emal]])</f>
        <v>sakari.ailus@intel.com</v>
      </c>
      <c r="N4">
        <f>_xlfn.IFNA(VLOOKUP(drvlst[[#This Row],[tmp-owner.email]],OrgTree!$A:$J, 10, 0), "not ICG SWFW")</f>
        <v>0</v>
      </c>
      <c r="O4" t="str">
        <f>IF(drvlst[[#This Row],[reviewer]]=drvlst[[#This Row],[tmp-owner.email]], "author", _xlfn.IFNA(VLOOKUP(drvlst[[#This Row],[reviewer]],OrgTree!$A:$J, 10, 0), "not ICG SWFW"))</f>
        <v>author</v>
      </c>
      <c r="P4" t="str">
        <f>IF(ISBLANK(drvlst[[#This Row],[number]]), "",SUM(drvlst[[#This Row],[BJ -1 num]],drvlst[[#This Row],[FI -1 num]]))</f>
        <v/>
      </c>
      <c r="Q4" t="str">
        <f>IF(ISBLANK(drvlst[[#This Row],[number]]), "",COUNTIFS($A:$A,drvlst[[#This Row],[tmp-number]],$O:$O, "BJ And dev",$U:$U, "Review-1"))</f>
        <v/>
      </c>
      <c r="R4" t="str">
        <f>IF(ISBLANK(drvlst[[#This Row],[number]]), "",COUNTIFS($A:$A,drvlst[[#This Row],[tmp-number]],$O:$O, "FL And dev",$U:$U, "Review-1"))</f>
        <v/>
      </c>
      <c r="S4" t="str">
        <f>IF(ISBLANK(drvlst[[#This Row],[number]]), "",COUNTIFS($A:$A,drvlst[[#This Row],[tmp-number]],$O:$O, "BJ And dev",$V:$V, "&lt;&gt;IntegratorComment"))</f>
        <v/>
      </c>
      <c r="T4" t="str">
        <f>IF(ISBLANK(drvlst[[#This Row],[number]]), "",COUNTIFS($A:$A,drvlst[[#This Row],[tmp-number]],$O:$O, "FL And dev",$V:$V, "&lt;&gt;IntegratorComment"))</f>
        <v/>
      </c>
      <c r="U4" t="str">
        <f>IF(OR(ISNUMBER(FIND("Review-1", drvlst[[#This Row],[comments]])), ISNUMBER(FIND("Approver-1", drvlst[[#This Row],[comments]]))), "Review-1", "")</f>
        <v/>
      </c>
      <c r="V4" t="str">
        <f>IF(OR(ISNUMBER(FIND(": Integrator", drvlst[[#This Row],[comments]])), ISNUMBER(FIND(":\n\nIntegrator", drvlst[[#This Row],[comments]])), ISNUMBER(FIND("-Integrator", drvlst[[#This Row],[comments]]))), "IntegratorComment", "")</f>
        <v/>
      </c>
      <c r="W4" t="str">
        <f>IF(ISBLANK(drvlst[[#This Row],[status]]),W3,drvlst[[#This Row],[status]])</f>
        <v>MERGED</v>
      </c>
    </row>
    <row r="5" spans="1:23">
      <c r="A5">
        <f>IF(ISBLANK(drvlst[[#This Row],[number]]),A4,drvlst[[#This Row],[number]])</f>
        <v>96755</v>
      </c>
      <c r="J5" t="s">
        <v>30</v>
      </c>
      <c r="K5" s="8">
        <v>42389.970694444448</v>
      </c>
      <c r="L5" t="s">
        <v>46</v>
      </c>
      <c r="M5" s="7" t="str">
        <f>IF(ISBLANK(drvlst[[#This Row],[owner.emal]]),M4,drvlst[[#This Row],[owner.emal]])</f>
        <v>sakari.ailus@intel.com</v>
      </c>
      <c r="N5">
        <f>_xlfn.IFNA(VLOOKUP(drvlst[[#This Row],[tmp-owner.email]],OrgTree!$A:$J, 10, 0), "not ICG SWFW")</f>
        <v>0</v>
      </c>
      <c r="O5">
        <f>IF(drvlst[[#This Row],[reviewer]]=drvlst[[#This Row],[tmp-owner.email]], "author", _xlfn.IFNA(VLOOKUP(drvlst[[#This Row],[reviewer]],OrgTree!$A:$J, 10, 0), "not ICG SWFW"))</f>
        <v>0</v>
      </c>
      <c r="P5" t="str">
        <f>IF(ISBLANK(drvlst[[#This Row],[number]]), "",SUM(drvlst[[#This Row],[BJ -1 num]],drvlst[[#This Row],[FI -1 num]]))</f>
        <v/>
      </c>
      <c r="Q5" t="str">
        <f>IF(ISBLANK(drvlst[[#This Row],[number]]), "",COUNTIFS($A:$A,drvlst[[#This Row],[tmp-number]],$O:$O, "BJ And dev",$U:$U, "Review-1"))</f>
        <v/>
      </c>
      <c r="R5" t="str">
        <f>IF(ISBLANK(drvlst[[#This Row],[number]]), "",COUNTIFS($A:$A,drvlst[[#This Row],[tmp-number]],$O:$O, "FL And dev",$U:$U, "Review-1"))</f>
        <v/>
      </c>
      <c r="S5" t="str">
        <f>IF(ISBLANK(drvlst[[#This Row],[number]]), "",COUNTIFS($A:$A,drvlst[[#This Row],[tmp-number]],$O:$O, "BJ And dev",$V:$V, "&lt;&gt;IntegratorComment"))</f>
        <v/>
      </c>
      <c r="T5" t="str">
        <f>IF(ISBLANK(drvlst[[#This Row],[number]]), "",COUNTIFS($A:$A,drvlst[[#This Row],[tmp-number]],$O:$O, "FL And dev",$V:$V, "&lt;&gt;IntegratorComment"))</f>
        <v/>
      </c>
      <c r="U5" t="str">
        <f>IF(OR(ISNUMBER(FIND("Review-1", drvlst[[#This Row],[comments]])), ISNUMBER(FIND("Approver-1", drvlst[[#This Row],[comments]]))), "Review-1", "")</f>
        <v/>
      </c>
      <c r="V5" t="str">
        <f>IF(OR(ISNUMBER(FIND(": Integrator", drvlst[[#This Row],[comments]])), ISNUMBER(FIND(":\n\nIntegrator", drvlst[[#This Row],[comments]])), ISNUMBER(FIND("-Integrator", drvlst[[#This Row],[comments]]))), "IntegratorComment", "")</f>
        <v/>
      </c>
      <c r="W5" t="str">
        <f>IF(ISBLANK(drvlst[[#This Row],[status]]),W4,drvlst[[#This Row],[status]])</f>
        <v>MERGED</v>
      </c>
    </row>
    <row r="6" spans="1:23">
      <c r="A6">
        <f>IF(ISBLANK(drvlst[[#This Row],[number]]),A5,drvlst[[#This Row],[number]])</f>
        <v>96755</v>
      </c>
      <c r="J6" t="s">
        <v>74</v>
      </c>
      <c r="K6" s="8">
        <v>42390.455497685187</v>
      </c>
      <c r="L6" t="s">
        <v>40</v>
      </c>
      <c r="M6" s="7" t="str">
        <f>IF(ISBLANK(drvlst[[#This Row],[owner.emal]]),M5,drvlst[[#This Row],[owner.emal]])</f>
        <v>sakari.ailus@intel.com</v>
      </c>
      <c r="N6">
        <f>_xlfn.IFNA(VLOOKUP(drvlst[[#This Row],[tmp-owner.email]],OrgTree!$A:$J, 10, 0), "not ICG SWFW")</f>
        <v>0</v>
      </c>
      <c r="O6">
        <f>IF(drvlst[[#This Row],[reviewer]]=drvlst[[#This Row],[tmp-owner.email]], "author", _xlfn.IFNA(VLOOKUP(drvlst[[#This Row],[reviewer]],OrgTree!$A:$J, 10, 0), "not ICG SWFW"))</f>
        <v>0</v>
      </c>
      <c r="P6" t="str">
        <f>IF(ISBLANK(drvlst[[#This Row],[number]]), "",SUM(drvlst[[#This Row],[BJ -1 num]],drvlst[[#This Row],[FI -1 num]]))</f>
        <v/>
      </c>
      <c r="Q6" t="str">
        <f>IF(ISBLANK(drvlst[[#This Row],[number]]), "",COUNTIFS($A:$A,drvlst[[#This Row],[tmp-number]],$O:$O, "BJ And dev",$U:$U, "Review-1"))</f>
        <v/>
      </c>
      <c r="R6" t="str">
        <f>IF(ISBLANK(drvlst[[#This Row],[number]]), "",COUNTIFS($A:$A,drvlst[[#This Row],[tmp-number]],$O:$O, "FL And dev",$U:$U, "Review-1"))</f>
        <v/>
      </c>
      <c r="S6" t="str">
        <f>IF(ISBLANK(drvlst[[#This Row],[number]]), "",COUNTIFS($A:$A,drvlst[[#This Row],[tmp-number]],$O:$O, "BJ And dev",$V:$V, "&lt;&gt;IntegratorComment"))</f>
        <v/>
      </c>
      <c r="T6" t="str">
        <f>IF(ISBLANK(drvlst[[#This Row],[number]]), "",COUNTIFS($A:$A,drvlst[[#This Row],[tmp-number]],$O:$O, "FL And dev",$V:$V, "&lt;&gt;IntegratorComment"))</f>
        <v/>
      </c>
      <c r="U6" t="str">
        <f>IF(OR(ISNUMBER(FIND("Review-1", drvlst[[#This Row],[comments]])), ISNUMBER(FIND("Approver-1", drvlst[[#This Row],[comments]]))), "Review-1", "")</f>
        <v/>
      </c>
      <c r="V6" t="str">
        <f>IF(OR(ISNUMBER(FIND(": Integrator", drvlst[[#This Row],[comments]])), ISNUMBER(FIND(":\n\nIntegrator", drvlst[[#This Row],[comments]])), ISNUMBER(FIND("-Integrator", drvlst[[#This Row],[comments]]))), "IntegratorComment", "")</f>
        <v/>
      </c>
      <c r="W6" t="str">
        <f>IF(ISBLANK(drvlst[[#This Row],[status]]),W5,drvlst[[#This Row],[status]])</f>
        <v>MERGED</v>
      </c>
    </row>
    <row r="7" spans="1:23">
      <c r="A7">
        <f>IF(ISBLANK(drvlst[[#This Row],[number]]),A6,drvlst[[#This Row],[number]])</f>
        <v>96755</v>
      </c>
      <c r="J7" t="s">
        <v>99</v>
      </c>
      <c r="K7" s="8">
        <v>42390.829351851855</v>
      </c>
      <c r="L7" t="s">
        <v>40</v>
      </c>
      <c r="M7" s="7" t="str">
        <f>IF(ISBLANK(drvlst[[#This Row],[owner.emal]]),M6,drvlst[[#This Row],[owner.emal]])</f>
        <v>sakari.ailus@intel.com</v>
      </c>
      <c r="N7">
        <f>_xlfn.IFNA(VLOOKUP(drvlst[[#This Row],[tmp-owner.email]],OrgTree!$A:$J, 10, 0), "not ICG SWFW")</f>
        <v>0</v>
      </c>
      <c r="O7">
        <f>IF(drvlst[[#This Row],[reviewer]]=drvlst[[#This Row],[tmp-owner.email]], "author", _xlfn.IFNA(VLOOKUP(drvlst[[#This Row],[reviewer]],OrgTree!$A:$J, 10, 0), "not ICG SWFW"))</f>
        <v>0</v>
      </c>
      <c r="P7" t="str">
        <f>IF(ISBLANK(drvlst[[#This Row],[number]]), "",SUM(drvlst[[#This Row],[BJ -1 num]],drvlst[[#This Row],[FI -1 num]]))</f>
        <v/>
      </c>
      <c r="Q7" t="str">
        <f>IF(ISBLANK(drvlst[[#This Row],[number]]), "",COUNTIFS($A:$A,drvlst[[#This Row],[tmp-number]],$O:$O, "BJ And dev",$U:$U, "Review-1"))</f>
        <v/>
      </c>
      <c r="R7" t="str">
        <f>IF(ISBLANK(drvlst[[#This Row],[number]]), "",COUNTIFS($A:$A,drvlst[[#This Row],[tmp-number]],$O:$O, "FL And dev",$U:$U, "Review-1"))</f>
        <v/>
      </c>
      <c r="S7" t="str">
        <f>IF(ISBLANK(drvlst[[#This Row],[number]]), "",COUNTIFS($A:$A,drvlst[[#This Row],[tmp-number]],$O:$O, "BJ And dev",$V:$V, "&lt;&gt;IntegratorComment"))</f>
        <v/>
      </c>
      <c r="T7" t="str">
        <f>IF(ISBLANK(drvlst[[#This Row],[number]]), "",COUNTIFS($A:$A,drvlst[[#This Row],[tmp-number]],$O:$O, "FL And dev",$V:$V, "&lt;&gt;IntegratorComment"))</f>
        <v/>
      </c>
      <c r="U7" t="str">
        <f>IF(OR(ISNUMBER(FIND("Review-1", drvlst[[#This Row],[comments]])), ISNUMBER(FIND("Approver-1", drvlst[[#This Row],[comments]]))), "Review-1", "")</f>
        <v/>
      </c>
      <c r="V7" t="str">
        <f>IF(OR(ISNUMBER(FIND(": Integrator", drvlst[[#This Row],[comments]])), ISNUMBER(FIND(":\n\nIntegrator", drvlst[[#This Row],[comments]])), ISNUMBER(FIND("-Integrator", drvlst[[#This Row],[comments]]))), "IntegratorComment", "")</f>
        <v/>
      </c>
      <c r="W7" t="str">
        <f>IF(ISBLANK(drvlst[[#This Row],[status]]),W6,drvlst[[#This Row],[status]])</f>
        <v>MERGED</v>
      </c>
    </row>
    <row r="8" spans="1:23">
      <c r="A8">
        <f>IF(ISBLANK(drvlst[[#This Row],[number]]),A7,drvlst[[#This Row],[number]])</f>
        <v>96755</v>
      </c>
      <c r="J8" t="s">
        <v>86</v>
      </c>
      <c r="K8" s="8">
        <v>42394.644166666665</v>
      </c>
      <c r="L8" t="s">
        <v>1880</v>
      </c>
      <c r="M8" s="7" t="str">
        <f>IF(ISBLANK(drvlst[[#This Row],[owner.emal]]),M7,drvlst[[#This Row],[owner.emal]])</f>
        <v>sakari.ailus@intel.com</v>
      </c>
      <c r="N8">
        <f>_xlfn.IFNA(VLOOKUP(drvlst[[#This Row],[tmp-owner.email]],OrgTree!$A:$J, 10, 0), "not ICG SWFW")</f>
        <v>0</v>
      </c>
      <c r="O8">
        <f>IF(drvlst[[#This Row],[reviewer]]=drvlst[[#This Row],[tmp-owner.email]], "author", _xlfn.IFNA(VLOOKUP(drvlst[[#This Row],[reviewer]],OrgTree!$A:$J, 10, 0), "not ICG SWFW"))</f>
        <v>0</v>
      </c>
      <c r="P8" t="str">
        <f>IF(ISBLANK(drvlst[[#This Row],[number]]), "",SUM(drvlst[[#This Row],[BJ -1 num]],drvlst[[#This Row],[FI -1 num]]))</f>
        <v/>
      </c>
      <c r="Q8" t="str">
        <f>IF(ISBLANK(drvlst[[#This Row],[number]]), "",COUNTIFS($A:$A,drvlst[[#This Row],[tmp-number]],$O:$O, "BJ And dev",$U:$U, "Review-1"))</f>
        <v/>
      </c>
      <c r="R8" t="str">
        <f>IF(ISBLANK(drvlst[[#This Row],[number]]), "",COUNTIFS($A:$A,drvlst[[#This Row],[tmp-number]],$O:$O, "FL And dev",$U:$U, "Review-1"))</f>
        <v/>
      </c>
      <c r="S8" t="str">
        <f>IF(ISBLANK(drvlst[[#This Row],[number]]), "",COUNTIFS($A:$A,drvlst[[#This Row],[tmp-number]],$O:$O, "BJ And dev",$V:$V, "&lt;&gt;IntegratorComment"))</f>
        <v/>
      </c>
      <c r="T8" t="str">
        <f>IF(ISBLANK(drvlst[[#This Row],[number]]), "",COUNTIFS($A:$A,drvlst[[#This Row],[tmp-number]],$O:$O, "FL And dev",$V:$V, "&lt;&gt;IntegratorComment"))</f>
        <v/>
      </c>
      <c r="U8" t="str">
        <f>IF(OR(ISNUMBER(FIND("Review-1", drvlst[[#This Row],[comments]])), ISNUMBER(FIND("Approver-1", drvlst[[#This Row],[comments]]))), "Review-1", "")</f>
        <v/>
      </c>
      <c r="V8" t="str">
        <f>IF(OR(ISNUMBER(FIND(": Integrator", drvlst[[#This Row],[comments]])), ISNUMBER(FIND(":\n\nIntegrator", drvlst[[#This Row],[comments]])), ISNUMBER(FIND("-Integrator", drvlst[[#This Row],[comments]]))), "IntegratorComment", "")</f>
        <v/>
      </c>
      <c r="W8" t="str">
        <f>IF(ISBLANK(drvlst[[#This Row],[status]]),W7,drvlst[[#This Row],[status]])</f>
        <v>MERGED</v>
      </c>
    </row>
    <row r="9" spans="1:23">
      <c r="A9">
        <f>IF(ISBLANK(drvlst[[#This Row],[number]]),A8,drvlst[[#This Row],[number]])</f>
        <v>96755</v>
      </c>
      <c r="J9" t="s">
        <v>34</v>
      </c>
      <c r="K9" s="8">
        <v>42395.602523148147</v>
      </c>
      <c r="L9" t="s">
        <v>87</v>
      </c>
      <c r="M9" s="7" t="str">
        <f>IF(ISBLANK(drvlst[[#This Row],[owner.emal]]),M8,drvlst[[#This Row],[owner.emal]])</f>
        <v>sakari.ailus@intel.com</v>
      </c>
      <c r="N9">
        <f>_xlfn.IFNA(VLOOKUP(drvlst[[#This Row],[tmp-owner.email]],OrgTree!$A:$J, 10, 0), "not ICG SWFW")</f>
        <v>0</v>
      </c>
      <c r="O9">
        <f>IF(drvlst[[#This Row],[reviewer]]=drvlst[[#This Row],[tmp-owner.email]], "author", _xlfn.IFNA(VLOOKUP(drvlst[[#This Row],[reviewer]],OrgTree!$A:$J, 10, 0), "not ICG SWFW"))</f>
        <v>0</v>
      </c>
      <c r="P9" t="str">
        <f>IF(ISBLANK(drvlst[[#This Row],[number]]), "",SUM(drvlst[[#This Row],[BJ -1 num]],drvlst[[#This Row],[FI -1 num]]))</f>
        <v/>
      </c>
      <c r="Q9" t="str">
        <f>IF(ISBLANK(drvlst[[#This Row],[number]]), "",COUNTIFS($A:$A,drvlst[[#This Row],[tmp-number]],$O:$O, "BJ And dev",$U:$U, "Review-1"))</f>
        <v/>
      </c>
      <c r="R9" t="str">
        <f>IF(ISBLANK(drvlst[[#This Row],[number]]), "",COUNTIFS($A:$A,drvlst[[#This Row],[tmp-number]],$O:$O, "FL And dev",$U:$U, "Review-1"))</f>
        <v/>
      </c>
      <c r="S9" t="str">
        <f>IF(ISBLANK(drvlst[[#This Row],[number]]), "",COUNTIFS($A:$A,drvlst[[#This Row],[tmp-number]],$O:$O, "BJ And dev",$V:$V, "&lt;&gt;IntegratorComment"))</f>
        <v/>
      </c>
      <c r="T9" t="str">
        <f>IF(ISBLANK(drvlst[[#This Row],[number]]), "",COUNTIFS($A:$A,drvlst[[#This Row],[tmp-number]],$O:$O, "FL And dev",$V:$V, "&lt;&gt;IntegratorComment"))</f>
        <v/>
      </c>
      <c r="U9" t="str">
        <f>IF(OR(ISNUMBER(FIND("Review-1", drvlst[[#This Row],[comments]])), ISNUMBER(FIND("Approver-1", drvlst[[#This Row],[comments]]))), "Review-1", "")</f>
        <v/>
      </c>
      <c r="V9" t="str">
        <f>IF(OR(ISNUMBER(FIND(": Integrator", drvlst[[#This Row],[comments]])), ISNUMBER(FIND(":\n\nIntegrator", drvlst[[#This Row],[comments]])), ISNUMBER(FIND("-Integrator", drvlst[[#This Row],[comments]]))), "IntegratorComment", "")</f>
        <v>IntegratorComment</v>
      </c>
      <c r="W9" t="str">
        <f>IF(ISBLANK(drvlst[[#This Row],[status]]),W8,drvlst[[#This Row],[status]])</f>
        <v>MERGED</v>
      </c>
    </row>
    <row r="10" spans="1:23">
      <c r="A10">
        <f>IF(ISBLANK(drvlst[[#This Row],[number]]),A9,drvlst[[#This Row],[number]])</f>
        <v>96755</v>
      </c>
      <c r="J10" t="s">
        <v>34</v>
      </c>
      <c r="K10" s="8">
        <v>42395.763472222221</v>
      </c>
      <c r="L10" t="s">
        <v>67</v>
      </c>
      <c r="M10" s="7" t="str">
        <f>IF(ISBLANK(drvlst[[#This Row],[owner.emal]]),M9,drvlst[[#This Row],[owner.emal]])</f>
        <v>sakari.ailus@intel.com</v>
      </c>
      <c r="N10">
        <f>_xlfn.IFNA(VLOOKUP(drvlst[[#This Row],[tmp-owner.email]],OrgTree!$A:$J, 10, 0), "not ICG SWFW")</f>
        <v>0</v>
      </c>
      <c r="O10">
        <f>IF(drvlst[[#This Row],[reviewer]]=drvlst[[#This Row],[tmp-owner.email]], "author", _xlfn.IFNA(VLOOKUP(drvlst[[#This Row],[reviewer]],OrgTree!$A:$J, 10, 0), "not ICG SWFW"))</f>
        <v>0</v>
      </c>
      <c r="P10" t="str">
        <f>IF(ISBLANK(drvlst[[#This Row],[number]]), "",SUM(drvlst[[#This Row],[BJ -1 num]],drvlst[[#This Row],[FI -1 num]]))</f>
        <v/>
      </c>
      <c r="Q10" t="str">
        <f>IF(ISBLANK(drvlst[[#This Row],[number]]), "",COUNTIFS($A:$A,drvlst[[#This Row],[tmp-number]],$O:$O, "BJ And dev",$U:$U, "Review-1"))</f>
        <v/>
      </c>
      <c r="R10" t="str">
        <f>IF(ISBLANK(drvlst[[#This Row],[number]]), "",COUNTIFS($A:$A,drvlst[[#This Row],[tmp-number]],$O:$O, "FL And dev",$U:$U, "Review-1"))</f>
        <v/>
      </c>
      <c r="S10" t="str">
        <f>IF(ISBLANK(drvlst[[#This Row],[number]]), "",COUNTIFS($A:$A,drvlst[[#This Row],[tmp-number]],$O:$O, "BJ And dev",$V:$V, "&lt;&gt;IntegratorComment"))</f>
        <v/>
      </c>
      <c r="T10" t="str">
        <f>IF(ISBLANK(drvlst[[#This Row],[number]]), "",COUNTIFS($A:$A,drvlst[[#This Row],[tmp-number]],$O:$O, "FL And dev",$V:$V, "&lt;&gt;IntegratorComment"))</f>
        <v/>
      </c>
      <c r="U10" t="str">
        <f>IF(OR(ISNUMBER(FIND("Review-1", drvlst[[#This Row],[comments]])), ISNUMBER(FIND("Approver-1", drvlst[[#This Row],[comments]]))), "Review-1", "")</f>
        <v/>
      </c>
      <c r="V10" t="str">
        <f>IF(OR(ISNUMBER(FIND(": Integrator", drvlst[[#This Row],[comments]])), ISNUMBER(FIND(":\n\nIntegrator", drvlst[[#This Row],[comments]])), ISNUMBER(FIND("-Integrator", drvlst[[#This Row],[comments]]))), "IntegratorComment", "")</f>
        <v/>
      </c>
      <c r="W10" t="str">
        <f>IF(ISBLANK(drvlst[[#This Row],[status]]),W9,drvlst[[#This Row],[status]])</f>
        <v>MERGED</v>
      </c>
    </row>
    <row r="11" spans="1:23">
      <c r="A11">
        <f>IF(ISBLANK(drvlst[[#This Row],[number]]),A10,drvlst[[#This Row],[number]])</f>
        <v>96755</v>
      </c>
      <c r="J11" t="s">
        <v>34</v>
      </c>
      <c r="K11" s="8">
        <v>42395.806296296294</v>
      </c>
      <c r="L11" t="s">
        <v>89</v>
      </c>
      <c r="M11" s="7" t="str">
        <f>IF(ISBLANK(drvlst[[#This Row],[owner.emal]]),M10,drvlst[[#This Row],[owner.emal]])</f>
        <v>sakari.ailus@intel.com</v>
      </c>
      <c r="N11">
        <f>_xlfn.IFNA(VLOOKUP(drvlst[[#This Row],[tmp-owner.email]],OrgTree!$A:$J, 10, 0), "not ICG SWFW")</f>
        <v>0</v>
      </c>
      <c r="O11">
        <f>IF(drvlst[[#This Row],[reviewer]]=drvlst[[#This Row],[tmp-owner.email]], "author", _xlfn.IFNA(VLOOKUP(drvlst[[#This Row],[reviewer]],OrgTree!$A:$J, 10, 0), "not ICG SWFW"))</f>
        <v>0</v>
      </c>
      <c r="P11" t="str">
        <f>IF(ISBLANK(drvlst[[#This Row],[number]]), "",SUM(drvlst[[#This Row],[BJ -1 num]],drvlst[[#This Row],[FI -1 num]]))</f>
        <v/>
      </c>
      <c r="Q11" t="str">
        <f>IF(ISBLANK(drvlst[[#This Row],[number]]), "",COUNTIFS($A:$A,drvlst[[#This Row],[tmp-number]],$O:$O, "BJ And dev",$U:$U, "Review-1"))</f>
        <v/>
      </c>
      <c r="R11" t="str">
        <f>IF(ISBLANK(drvlst[[#This Row],[number]]), "",COUNTIFS($A:$A,drvlst[[#This Row],[tmp-number]],$O:$O, "FL And dev",$U:$U, "Review-1"))</f>
        <v/>
      </c>
      <c r="S11" t="str">
        <f>IF(ISBLANK(drvlst[[#This Row],[number]]), "",COUNTIFS($A:$A,drvlst[[#This Row],[tmp-number]],$O:$O, "BJ And dev",$V:$V, "&lt;&gt;IntegratorComment"))</f>
        <v/>
      </c>
      <c r="T11" t="str">
        <f>IF(ISBLANK(drvlst[[#This Row],[number]]), "",COUNTIFS($A:$A,drvlst[[#This Row],[tmp-number]],$O:$O, "FL And dev",$V:$V, "&lt;&gt;IntegratorComment"))</f>
        <v/>
      </c>
      <c r="U11" t="str">
        <f>IF(OR(ISNUMBER(FIND("Review-1", drvlst[[#This Row],[comments]])), ISNUMBER(FIND("Approver-1", drvlst[[#This Row],[comments]]))), "Review-1", "")</f>
        <v/>
      </c>
      <c r="V11" t="str">
        <f>IF(OR(ISNUMBER(FIND(": Integrator", drvlst[[#This Row],[comments]])), ISNUMBER(FIND(":\n\nIntegrator", drvlst[[#This Row],[comments]])), ISNUMBER(FIND("-Integrator", drvlst[[#This Row],[comments]]))), "IntegratorComment", "")</f>
        <v/>
      </c>
      <c r="W11" t="str">
        <f>IF(ISBLANK(drvlst[[#This Row],[status]]),W10,drvlst[[#This Row],[status]])</f>
        <v>MERGED</v>
      </c>
    </row>
    <row r="12" spans="1:23">
      <c r="A12">
        <f>IF(ISBLANK(drvlst[[#This Row],[number]]),A11,drvlst[[#This Row],[number]])</f>
        <v>96755</v>
      </c>
      <c r="J12" t="s">
        <v>34</v>
      </c>
      <c r="K12" s="8">
        <v>42395.845266203702</v>
      </c>
      <c r="L12" t="s">
        <v>88</v>
      </c>
      <c r="M12" s="7" t="str">
        <f>IF(ISBLANK(drvlst[[#This Row],[owner.emal]]),M11,drvlst[[#This Row],[owner.emal]])</f>
        <v>sakari.ailus@intel.com</v>
      </c>
      <c r="N12">
        <f>_xlfn.IFNA(VLOOKUP(drvlst[[#This Row],[tmp-owner.email]],OrgTree!$A:$J, 10, 0), "not ICG SWFW")</f>
        <v>0</v>
      </c>
      <c r="O12">
        <f>IF(drvlst[[#This Row],[reviewer]]=drvlst[[#This Row],[tmp-owner.email]], "author", _xlfn.IFNA(VLOOKUP(drvlst[[#This Row],[reviewer]],OrgTree!$A:$J, 10, 0), "not ICG SWFW"))</f>
        <v>0</v>
      </c>
      <c r="P12" t="str">
        <f>IF(ISBLANK(drvlst[[#This Row],[number]]), "",SUM(drvlst[[#This Row],[BJ -1 num]],drvlst[[#This Row],[FI -1 num]]))</f>
        <v/>
      </c>
      <c r="Q12" t="str">
        <f>IF(ISBLANK(drvlst[[#This Row],[number]]), "",COUNTIFS($A:$A,drvlst[[#This Row],[tmp-number]],$O:$O, "BJ And dev",$U:$U, "Review-1"))</f>
        <v/>
      </c>
      <c r="R12" t="str">
        <f>IF(ISBLANK(drvlst[[#This Row],[number]]), "",COUNTIFS($A:$A,drvlst[[#This Row],[tmp-number]],$O:$O, "FL And dev",$U:$U, "Review-1"))</f>
        <v/>
      </c>
      <c r="S12" t="str">
        <f>IF(ISBLANK(drvlst[[#This Row],[number]]), "",COUNTIFS($A:$A,drvlst[[#This Row],[tmp-number]],$O:$O, "BJ And dev",$V:$V, "&lt;&gt;IntegratorComment"))</f>
        <v/>
      </c>
      <c r="T12" t="str">
        <f>IF(ISBLANK(drvlst[[#This Row],[number]]), "",COUNTIFS($A:$A,drvlst[[#This Row],[tmp-number]],$O:$O, "FL And dev",$V:$V, "&lt;&gt;IntegratorComment"))</f>
        <v/>
      </c>
      <c r="U12" t="str">
        <f>IF(OR(ISNUMBER(FIND("Review-1", drvlst[[#This Row],[comments]])), ISNUMBER(FIND("Approver-1", drvlst[[#This Row],[comments]]))), "Review-1", "")</f>
        <v/>
      </c>
      <c r="V12" t="str">
        <f>IF(OR(ISNUMBER(FIND(": Integrator", drvlst[[#This Row],[comments]])), ISNUMBER(FIND(":\n\nIntegrator", drvlst[[#This Row],[comments]])), ISNUMBER(FIND("-Integrator", drvlst[[#This Row],[comments]]))), "IntegratorComment", "")</f>
        <v/>
      </c>
      <c r="W12" t="str">
        <f>IF(ISBLANK(drvlst[[#This Row],[status]]),W11,drvlst[[#This Row],[status]])</f>
        <v>MERGED</v>
      </c>
    </row>
    <row r="13" spans="1:23">
      <c r="A13">
        <f>IF(ISBLANK(drvlst[[#This Row],[number]]),A12,drvlst[[#This Row],[number]])</f>
        <v>96755</v>
      </c>
      <c r="J13" t="s">
        <v>34</v>
      </c>
      <c r="K13" s="8">
        <v>42396.071574074071</v>
      </c>
      <c r="L13" t="s">
        <v>88</v>
      </c>
      <c r="M13" s="7" t="str">
        <f>IF(ISBLANK(drvlst[[#This Row],[owner.emal]]),M12,drvlst[[#This Row],[owner.emal]])</f>
        <v>sakari.ailus@intel.com</v>
      </c>
      <c r="N13">
        <f>_xlfn.IFNA(VLOOKUP(drvlst[[#This Row],[tmp-owner.email]],OrgTree!$A:$J, 10, 0), "not ICG SWFW")</f>
        <v>0</v>
      </c>
      <c r="O13">
        <f>IF(drvlst[[#This Row],[reviewer]]=drvlst[[#This Row],[tmp-owner.email]], "author", _xlfn.IFNA(VLOOKUP(drvlst[[#This Row],[reviewer]],OrgTree!$A:$J, 10, 0), "not ICG SWFW"))</f>
        <v>0</v>
      </c>
      <c r="P13" t="str">
        <f>IF(ISBLANK(drvlst[[#This Row],[number]]), "",SUM(drvlst[[#This Row],[BJ -1 num]],drvlst[[#This Row],[FI -1 num]]))</f>
        <v/>
      </c>
      <c r="Q13" t="str">
        <f>IF(ISBLANK(drvlst[[#This Row],[number]]), "",COUNTIFS($A:$A,drvlst[[#This Row],[tmp-number]],$O:$O, "BJ And dev",$U:$U, "Review-1"))</f>
        <v/>
      </c>
      <c r="R13" t="str">
        <f>IF(ISBLANK(drvlst[[#This Row],[number]]), "",COUNTIFS($A:$A,drvlst[[#This Row],[tmp-number]],$O:$O, "FL And dev",$U:$U, "Review-1"))</f>
        <v/>
      </c>
      <c r="S13" t="str">
        <f>IF(ISBLANK(drvlst[[#This Row],[number]]), "",COUNTIFS($A:$A,drvlst[[#This Row],[tmp-number]],$O:$O, "BJ And dev",$V:$V, "&lt;&gt;IntegratorComment"))</f>
        <v/>
      </c>
      <c r="T13" t="str">
        <f>IF(ISBLANK(drvlst[[#This Row],[number]]), "",COUNTIFS($A:$A,drvlst[[#This Row],[tmp-number]],$O:$O, "FL And dev",$V:$V, "&lt;&gt;IntegratorComment"))</f>
        <v/>
      </c>
      <c r="U13" t="str">
        <f>IF(OR(ISNUMBER(FIND("Review-1", drvlst[[#This Row],[comments]])), ISNUMBER(FIND("Approver-1", drvlst[[#This Row],[comments]]))), "Review-1", "")</f>
        <v/>
      </c>
      <c r="V13" t="str">
        <f>IF(OR(ISNUMBER(FIND(": Integrator", drvlst[[#This Row],[comments]])), ISNUMBER(FIND(":\n\nIntegrator", drvlst[[#This Row],[comments]])), ISNUMBER(FIND("-Integrator", drvlst[[#This Row],[comments]]))), "IntegratorComment", "")</f>
        <v/>
      </c>
      <c r="W13" t="str">
        <f>IF(ISBLANK(drvlst[[#This Row],[status]]),W12,drvlst[[#This Row],[status]])</f>
        <v>MERGED</v>
      </c>
    </row>
    <row r="14" spans="1:23">
      <c r="A14">
        <f>IF(ISBLANK(drvlst[[#This Row],[number]]),A13,drvlst[[#This Row],[number]])</f>
        <v>96755</v>
      </c>
      <c r="J14" t="s">
        <v>34</v>
      </c>
      <c r="K14" s="8">
        <v>42396.768240740741</v>
      </c>
      <c r="L14" t="s">
        <v>90</v>
      </c>
      <c r="M14" s="7" t="str">
        <f>IF(ISBLANK(drvlst[[#This Row],[owner.emal]]),M13,drvlst[[#This Row],[owner.emal]])</f>
        <v>sakari.ailus@intel.com</v>
      </c>
      <c r="N14">
        <f>_xlfn.IFNA(VLOOKUP(drvlst[[#This Row],[tmp-owner.email]],OrgTree!$A:$J, 10, 0), "not ICG SWFW")</f>
        <v>0</v>
      </c>
      <c r="O14">
        <f>IF(drvlst[[#This Row],[reviewer]]=drvlst[[#This Row],[tmp-owner.email]], "author", _xlfn.IFNA(VLOOKUP(drvlst[[#This Row],[reviewer]],OrgTree!$A:$J, 10, 0), "not ICG SWFW"))</f>
        <v>0</v>
      </c>
      <c r="P14" t="str">
        <f>IF(ISBLANK(drvlst[[#This Row],[number]]), "",SUM(drvlst[[#This Row],[BJ -1 num]],drvlst[[#This Row],[FI -1 num]]))</f>
        <v/>
      </c>
      <c r="Q14" t="str">
        <f>IF(ISBLANK(drvlst[[#This Row],[number]]), "",COUNTIFS($A:$A,drvlst[[#This Row],[tmp-number]],$O:$O, "BJ And dev",$U:$U, "Review-1"))</f>
        <v/>
      </c>
      <c r="R14" t="str">
        <f>IF(ISBLANK(drvlst[[#This Row],[number]]), "",COUNTIFS($A:$A,drvlst[[#This Row],[tmp-number]],$O:$O, "FL And dev",$U:$U, "Review-1"))</f>
        <v/>
      </c>
      <c r="S14" t="str">
        <f>IF(ISBLANK(drvlst[[#This Row],[number]]), "",COUNTIFS($A:$A,drvlst[[#This Row],[tmp-number]],$O:$O, "BJ And dev",$V:$V, "&lt;&gt;IntegratorComment"))</f>
        <v/>
      </c>
      <c r="T14" t="str">
        <f>IF(ISBLANK(drvlst[[#This Row],[number]]), "",COUNTIFS($A:$A,drvlst[[#This Row],[tmp-number]],$O:$O, "FL And dev",$V:$V, "&lt;&gt;IntegratorComment"))</f>
        <v/>
      </c>
      <c r="U14" t="str">
        <f>IF(OR(ISNUMBER(FIND("Review-1", drvlst[[#This Row],[comments]])), ISNUMBER(FIND("Approver-1", drvlst[[#This Row],[comments]]))), "Review-1", "")</f>
        <v/>
      </c>
      <c r="V14" t="str">
        <f>IF(OR(ISNUMBER(FIND(": Integrator", drvlst[[#This Row],[comments]])), ISNUMBER(FIND(":\n\nIntegrator", drvlst[[#This Row],[comments]])), ISNUMBER(FIND("-Integrator", drvlst[[#This Row],[comments]]))), "IntegratorComment", "")</f>
        <v/>
      </c>
      <c r="W14" t="str">
        <f>IF(ISBLANK(drvlst[[#This Row],[status]]),W13,drvlst[[#This Row],[status]])</f>
        <v>MERGED</v>
      </c>
    </row>
    <row r="15" spans="1:23">
      <c r="A15">
        <f>IF(ISBLANK(drvlst[[#This Row],[number]]),A14,drvlst[[#This Row],[number]])</f>
        <v>96755</v>
      </c>
      <c r="J15" t="s">
        <v>34</v>
      </c>
      <c r="K15" s="8">
        <v>42396.77065972222</v>
      </c>
      <c r="L15" t="s">
        <v>1906</v>
      </c>
      <c r="M15" s="7" t="str">
        <f>IF(ISBLANK(drvlst[[#This Row],[owner.emal]]),M14,drvlst[[#This Row],[owner.emal]])</f>
        <v>sakari.ailus@intel.com</v>
      </c>
      <c r="N15">
        <f>_xlfn.IFNA(VLOOKUP(drvlst[[#This Row],[tmp-owner.email]],OrgTree!$A:$J, 10, 0), "not ICG SWFW")</f>
        <v>0</v>
      </c>
      <c r="O15">
        <f>IF(drvlst[[#This Row],[reviewer]]=drvlst[[#This Row],[tmp-owner.email]], "author", _xlfn.IFNA(VLOOKUP(drvlst[[#This Row],[reviewer]],OrgTree!$A:$J, 10, 0), "not ICG SWFW"))</f>
        <v>0</v>
      </c>
      <c r="P15" t="str">
        <f>IF(ISBLANK(drvlst[[#This Row],[number]]), "",SUM(drvlst[[#This Row],[BJ -1 num]],drvlst[[#This Row],[FI -1 num]]))</f>
        <v/>
      </c>
      <c r="Q15" t="str">
        <f>IF(ISBLANK(drvlst[[#This Row],[number]]), "",COUNTIFS($A:$A,drvlst[[#This Row],[tmp-number]],$O:$O, "BJ And dev",$U:$U, "Review-1"))</f>
        <v/>
      </c>
      <c r="R15" t="str">
        <f>IF(ISBLANK(drvlst[[#This Row],[number]]), "",COUNTIFS($A:$A,drvlst[[#This Row],[tmp-number]],$O:$O, "FL And dev",$U:$U, "Review-1"))</f>
        <v/>
      </c>
      <c r="S15" t="str">
        <f>IF(ISBLANK(drvlst[[#This Row],[number]]), "",COUNTIFS($A:$A,drvlst[[#This Row],[tmp-number]],$O:$O, "BJ And dev",$V:$V, "&lt;&gt;IntegratorComment"))</f>
        <v/>
      </c>
      <c r="T15" t="str">
        <f>IF(ISBLANK(drvlst[[#This Row],[number]]), "",COUNTIFS($A:$A,drvlst[[#This Row],[tmp-number]],$O:$O, "FL And dev",$V:$V, "&lt;&gt;IntegratorComment"))</f>
        <v/>
      </c>
      <c r="U15" t="str">
        <f>IF(OR(ISNUMBER(FIND("Review-1", drvlst[[#This Row],[comments]])), ISNUMBER(FIND("Approver-1", drvlst[[#This Row],[comments]]))), "Review-1", "")</f>
        <v/>
      </c>
      <c r="V15" t="str">
        <f>IF(OR(ISNUMBER(FIND(": Integrator", drvlst[[#This Row],[comments]])), ISNUMBER(FIND(":\n\nIntegrator", drvlst[[#This Row],[comments]])), ISNUMBER(FIND("-Integrator", drvlst[[#This Row],[comments]]))), "IntegratorComment", "")</f>
        <v/>
      </c>
      <c r="W15" t="str">
        <f>IF(ISBLANK(drvlst[[#This Row],[status]]),W14,drvlst[[#This Row],[status]])</f>
        <v>MERGED</v>
      </c>
    </row>
    <row r="16" spans="1:23">
      <c r="A16">
        <f>IF(ISBLANK(drvlst[[#This Row],[number]]),A15,drvlst[[#This Row],[number]])</f>
        <v>92516</v>
      </c>
      <c r="B16">
        <v>92516</v>
      </c>
      <c r="C16" t="s">
        <v>84</v>
      </c>
      <c r="D16" t="s">
        <v>91</v>
      </c>
      <c r="E16" t="s">
        <v>23</v>
      </c>
      <c r="F16" t="s">
        <v>1907</v>
      </c>
      <c r="G16" t="s">
        <v>1908</v>
      </c>
      <c r="H16" s="8">
        <v>42367.752824074072</v>
      </c>
      <c r="I16" s="8">
        <v>42396.777094907404</v>
      </c>
      <c r="J16" t="s">
        <v>91</v>
      </c>
      <c r="K16" s="8">
        <v>42367.752824074072</v>
      </c>
      <c r="L16" t="s">
        <v>85</v>
      </c>
      <c r="M16" s="7" t="str">
        <f>IF(ISBLANK(drvlst[[#This Row],[owner.emal]]),M15,drvlst[[#This Row],[owner.emal]])</f>
        <v>sakari.ailus@intel.com</v>
      </c>
      <c r="N16">
        <f>_xlfn.IFNA(VLOOKUP(drvlst[[#This Row],[tmp-owner.email]],OrgTree!$A:$J, 10, 0), "not ICG SWFW")</f>
        <v>0</v>
      </c>
      <c r="O16" t="str">
        <f>IF(drvlst[[#This Row],[reviewer]]=drvlst[[#This Row],[tmp-owner.email]], "author", _xlfn.IFNA(VLOOKUP(drvlst[[#This Row],[reviewer]],OrgTree!$A:$J, 10, 0), "not ICG SWFW"))</f>
        <v>author</v>
      </c>
      <c r="P16">
        <f>IF(ISBLANK(drvlst[[#This Row],[number]]), "",SUM(drvlst[[#This Row],[BJ -1 num]],drvlst[[#This Row],[FI -1 num]]))</f>
        <v>0</v>
      </c>
      <c r="Q16">
        <f>IF(ISBLANK(drvlst[[#This Row],[number]]), "",COUNTIFS($A:$A,drvlst[[#This Row],[tmp-number]],$O:$O, "BJ And dev",$U:$U, "Review-1"))</f>
        <v>0</v>
      </c>
      <c r="R16">
        <f>IF(ISBLANK(drvlst[[#This Row],[number]]), "",COUNTIFS($A:$A,drvlst[[#This Row],[tmp-number]],$O:$O, "FL And dev",$U:$U, "Review-1"))</f>
        <v>0</v>
      </c>
      <c r="S16">
        <f>IF(ISBLANK(drvlst[[#This Row],[number]]), "",COUNTIFS($A:$A,drvlst[[#This Row],[tmp-number]],$O:$O, "BJ And dev",$V:$V, "&lt;&gt;IntegratorComment"))</f>
        <v>0</v>
      </c>
      <c r="T16">
        <f>IF(ISBLANK(drvlst[[#This Row],[number]]), "",COUNTIFS($A:$A,drvlst[[#This Row],[tmp-number]],$O:$O, "FL And dev",$V:$V, "&lt;&gt;IntegratorComment"))</f>
        <v>0</v>
      </c>
      <c r="U16" t="str">
        <f>IF(OR(ISNUMBER(FIND("Review-1", drvlst[[#This Row],[comments]])), ISNUMBER(FIND("Approver-1", drvlst[[#This Row],[comments]]))), "Review-1", "")</f>
        <v/>
      </c>
      <c r="V16" t="str">
        <f>IF(OR(ISNUMBER(FIND(": Integrator", drvlst[[#This Row],[comments]])), ISNUMBER(FIND(":\n\nIntegrator", drvlst[[#This Row],[comments]])), ISNUMBER(FIND("-Integrator", drvlst[[#This Row],[comments]]))), "IntegratorComment", "")</f>
        <v/>
      </c>
      <c r="W16" t="str">
        <f>IF(ISBLANK(drvlst[[#This Row],[status]]),W15,drvlst[[#This Row],[status]])</f>
        <v>MERGED</v>
      </c>
    </row>
    <row r="17" spans="1:23">
      <c r="A17">
        <f>IF(ISBLANK(drvlst[[#This Row],[number]]),A16,drvlst[[#This Row],[number]])</f>
        <v>92516</v>
      </c>
      <c r="J17" t="s">
        <v>91</v>
      </c>
      <c r="K17" s="8">
        <v>42367.752824074072</v>
      </c>
      <c r="L17" t="s">
        <v>25</v>
      </c>
      <c r="M17" s="7" t="str">
        <f>IF(ISBLANK(drvlst[[#This Row],[owner.emal]]),M16,drvlst[[#This Row],[owner.emal]])</f>
        <v>sakari.ailus@intel.com</v>
      </c>
      <c r="N17">
        <f>_xlfn.IFNA(VLOOKUP(drvlst[[#This Row],[tmp-owner.email]],OrgTree!$A:$J, 10, 0), "not ICG SWFW")</f>
        <v>0</v>
      </c>
      <c r="O17" t="str">
        <f>IF(drvlst[[#This Row],[reviewer]]=drvlst[[#This Row],[tmp-owner.email]], "author", _xlfn.IFNA(VLOOKUP(drvlst[[#This Row],[reviewer]],OrgTree!$A:$J, 10, 0), "not ICG SWFW"))</f>
        <v>author</v>
      </c>
      <c r="P17" t="str">
        <f>IF(ISBLANK(drvlst[[#This Row],[number]]), "",SUM(drvlst[[#This Row],[BJ -1 num]],drvlst[[#This Row],[FI -1 num]]))</f>
        <v/>
      </c>
      <c r="Q17" t="str">
        <f>IF(ISBLANK(drvlst[[#This Row],[number]]), "",COUNTIFS($A:$A,drvlst[[#This Row],[tmp-number]],$O:$O, "BJ And dev",$U:$U, "Review-1"))</f>
        <v/>
      </c>
      <c r="R17" t="str">
        <f>IF(ISBLANK(drvlst[[#This Row],[number]]), "",COUNTIFS($A:$A,drvlst[[#This Row],[tmp-number]],$O:$O, "FL And dev",$U:$U, "Review-1"))</f>
        <v/>
      </c>
      <c r="S17" t="str">
        <f>IF(ISBLANK(drvlst[[#This Row],[number]]), "",COUNTIFS($A:$A,drvlst[[#This Row],[tmp-number]],$O:$O, "BJ And dev",$V:$V, "&lt;&gt;IntegratorComment"))</f>
        <v/>
      </c>
      <c r="T17" t="str">
        <f>IF(ISBLANK(drvlst[[#This Row],[number]]), "",COUNTIFS($A:$A,drvlst[[#This Row],[tmp-number]],$O:$O, "FL And dev",$V:$V, "&lt;&gt;IntegratorComment"))</f>
        <v/>
      </c>
      <c r="U17" t="str">
        <f>IF(OR(ISNUMBER(FIND("Review-1", drvlst[[#This Row],[comments]])), ISNUMBER(FIND("Approver-1", drvlst[[#This Row],[comments]]))), "Review-1", "")</f>
        <v/>
      </c>
      <c r="V17" t="str">
        <f>IF(OR(ISNUMBER(FIND(": Integrator", drvlst[[#This Row],[comments]])), ISNUMBER(FIND(":\n\nIntegrator", drvlst[[#This Row],[comments]])), ISNUMBER(FIND("-Integrator", drvlst[[#This Row],[comments]]))), "IntegratorComment", "")</f>
        <v/>
      </c>
      <c r="W17" t="str">
        <f>IF(ISBLANK(drvlst[[#This Row],[status]]),W16,drvlst[[#This Row],[status]])</f>
        <v>MERGED</v>
      </c>
    </row>
    <row r="18" spans="1:23">
      <c r="A18">
        <f>IF(ISBLANK(drvlst[[#This Row],[number]]),A17,drvlst[[#This Row],[number]])</f>
        <v>92516</v>
      </c>
      <c r="J18" t="s">
        <v>91</v>
      </c>
      <c r="K18" s="8">
        <v>42367.755624999998</v>
      </c>
      <c r="L18" t="s">
        <v>65</v>
      </c>
      <c r="M18" s="7" t="str">
        <f>IF(ISBLANK(drvlst[[#This Row],[owner.emal]]),M17,drvlst[[#This Row],[owner.emal]])</f>
        <v>sakari.ailus@intel.com</v>
      </c>
      <c r="N18">
        <f>_xlfn.IFNA(VLOOKUP(drvlst[[#This Row],[tmp-owner.email]],OrgTree!$A:$J, 10, 0), "not ICG SWFW")</f>
        <v>0</v>
      </c>
      <c r="O18" t="str">
        <f>IF(drvlst[[#This Row],[reviewer]]=drvlst[[#This Row],[tmp-owner.email]], "author", _xlfn.IFNA(VLOOKUP(drvlst[[#This Row],[reviewer]],OrgTree!$A:$J, 10, 0), "not ICG SWFW"))</f>
        <v>author</v>
      </c>
      <c r="P18" t="str">
        <f>IF(ISBLANK(drvlst[[#This Row],[number]]), "",SUM(drvlst[[#This Row],[BJ -1 num]],drvlst[[#This Row],[FI -1 num]]))</f>
        <v/>
      </c>
      <c r="Q18" t="str">
        <f>IF(ISBLANK(drvlst[[#This Row],[number]]), "",COUNTIFS($A:$A,drvlst[[#This Row],[tmp-number]],$O:$O, "BJ And dev",$U:$U, "Review-1"))</f>
        <v/>
      </c>
      <c r="R18" t="str">
        <f>IF(ISBLANK(drvlst[[#This Row],[number]]), "",COUNTIFS($A:$A,drvlst[[#This Row],[tmp-number]],$O:$O, "FL And dev",$U:$U, "Review-1"))</f>
        <v/>
      </c>
      <c r="S18" t="str">
        <f>IF(ISBLANK(drvlst[[#This Row],[number]]), "",COUNTIFS($A:$A,drvlst[[#This Row],[tmp-number]],$O:$O, "BJ And dev",$V:$V, "&lt;&gt;IntegratorComment"))</f>
        <v/>
      </c>
      <c r="T18" t="str">
        <f>IF(ISBLANK(drvlst[[#This Row],[number]]), "",COUNTIFS($A:$A,drvlst[[#This Row],[tmp-number]],$O:$O, "FL And dev",$V:$V, "&lt;&gt;IntegratorComment"))</f>
        <v/>
      </c>
      <c r="U18" t="str">
        <f>IF(OR(ISNUMBER(FIND("Review-1", drvlst[[#This Row],[comments]])), ISNUMBER(FIND("Approver-1", drvlst[[#This Row],[comments]]))), "Review-1", "")</f>
        <v/>
      </c>
      <c r="V18" t="str">
        <f>IF(OR(ISNUMBER(FIND(": Integrator", drvlst[[#This Row],[comments]])), ISNUMBER(FIND(":\n\nIntegrator", drvlst[[#This Row],[comments]])), ISNUMBER(FIND("-Integrator", drvlst[[#This Row],[comments]]))), "IntegratorComment", "")</f>
        <v/>
      </c>
      <c r="W18" t="str">
        <f>IF(ISBLANK(drvlst[[#This Row],[status]]),W17,drvlst[[#This Row],[status]])</f>
        <v>MERGED</v>
      </c>
    </row>
    <row r="19" spans="1:23">
      <c r="A19">
        <f>IF(ISBLANK(drvlst[[#This Row],[number]]),A18,drvlst[[#This Row],[number]])</f>
        <v>92516</v>
      </c>
      <c r="J19" t="s">
        <v>91</v>
      </c>
      <c r="K19" s="8">
        <v>42367.755729166667</v>
      </c>
      <c r="L19" t="s">
        <v>92</v>
      </c>
      <c r="M19" s="7" t="str">
        <f>IF(ISBLANK(drvlst[[#This Row],[owner.emal]]),M18,drvlst[[#This Row],[owner.emal]])</f>
        <v>sakari.ailus@intel.com</v>
      </c>
      <c r="N19">
        <f>_xlfn.IFNA(VLOOKUP(drvlst[[#This Row],[tmp-owner.email]],OrgTree!$A:$J, 10, 0), "not ICG SWFW")</f>
        <v>0</v>
      </c>
      <c r="O19" t="str">
        <f>IF(drvlst[[#This Row],[reviewer]]=drvlst[[#This Row],[tmp-owner.email]], "author", _xlfn.IFNA(VLOOKUP(drvlst[[#This Row],[reviewer]],OrgTree!$A:$J, 10, 0), "not ICG SWFW"))</f>
        <v>author</v>
      </c>
      <c r="P19" t="str">
        <f>IF(ISBLANK(drvlst[[#This Row],[number]]), "",SUM(drvlst[[#This Row],[BJ -1 num]],drvlst[[#This Row],[FI -1 num]]))</f>
        <v/>
      </c>
      <c r="Q19" t="str">
        <f>IF(ISBLANK(drvlst[[#This Row],[number]]), "",COUNTIFS($A:$A,drvlst[[#This Row],[tmp-number]],$O:$O, "BJ And dev",$U:$U, "Review-1"))</f>
        <v/>
      </c>
      <c r="R19" t="str">
        <f>IF(ISBLANK(drvlst[[#This Row],[number]]), "",COUNTIFS($A:$A,drvlst[[#This Row],[tmp-number]],$O:$O, "FL And dev",$U:$U, "Review-1"))</f>
        <v/>
      </c>
      <c r="S19" t="str">
        <f>IF(ISBLANK(drvlst[[#This Row],[number]]), "",COUNTIFS($A:$A,drvlst[[#This Row],[tmp-number]],$O:$O, "BJ And dev",$V:$V, "&lt;&gt;IntegratorComment"))</f>
        <v/>
      </c>
      <c r="T19" t="str">
        <f>IF(ISBLANK(drvlst[[#This Row],[number]]), "",COUNTIFS($A:$A,drvlst[[#This Row],[tmp-number]],$O:$O, "FL And dev",$V:$V, "&lt;&gt;IntegratorComment"))</f>
        <v/>
      </c>
      <c r="U19" t="str">
        <f>IF(OR(ISNUMBER(FIND("Review-1", drvlst[[#This Row],[comments]])), ISNUMBER(FIND("Approver-1", drvlst[[#This Row],[comments]]))), "Review-1", "")</f>
        <v/>
      </c>
      <c r="V19" t="str">
        <f>IF(OR(ISNUMBER(FIND(": Integrator", drvlst[[#This Row],[comments]])), ISNUMBER(FIND(":\n\nIntegrator", drvlst[[#This Row],[comments]])), ISNUMBER(FIND("-Integrator", drvlst[[#This Row],[comments]]))), "IntegratorComment", "")</f>
        <v/>
      </c>
      <c r="W19" t="str">
        <f>IF(ISBLANK(drvlst[[#This Row],[status]]),W18,drvlst[[#This Row],[status]])</f>
        <v>MERGED</v>
      </c>
    </row>
    <row r="20" spans="1:23">
      <c r="A20">
        <f>IF(ISBLANK(drvlst[[#This Row],[number]]),A19,drvlst[[#This Row],[number]])</f>
        <v>92516</v>
      </c>
      <c r="J20" t="s">
        <v>91</v>
      </c>
      <c r="K20" s="8">
        <v>42367.909270833334</v>
      </c>
      <c r="L20" t="s">
        <v>47</v>
      </c>
      <c r="M20" s="7" t="str">
        <f>IF(ISBLANK(drvlst[[#This Row],[owner.emal]]),M19,drvlst[[#This Row],[owner.emal]])</f>
        <v>sakari.ailus@intel.com</v>
      </c>
      <c r="N20">
        <f>_xlfn.IFNA(VLOOKUP(drvlst[[#This Row],[tmp-owner.email]],OrgTree!$A:$J, 10, 0), "not ICG SWFW")</f>
        <v>0</v>
      </c>
      <c r="O20" t="str">
        <f>IF(drvlst[[#This Row],[reviewer]]=drvlst[[#This Row],[tmp-owner.email]], "author", _xlfn.IFNA(VLOOKUP(drvlst[[#This Row],[reviewer]],OrgTree!$A:$J, 10, 0), "not ICG SWFW"))</f>
        <v>author</v>
      </c>
      <c r="P20" t="str">
        <f>IF(ISBLANK(drvlst[[#This Row],[number]]), "",SUM(drvlst[[#This Row],[BJ -1 num]],drvlst[[#This Row],[FI -1 num]]))</f>
        <v/>
      </c>
      <c r="Q20" t="str">
        <f>IF(ISBLANK(drvlst[[#This Row],[number]]), "",COUNTIFS($A:$A,drvlst[[#This Row],[tmp-number]],$O:$O, "BJ And dev",$U:$U, "Review-1"))</f>
        <v/>
      </c>
      <c r="R20" t="str">
        <f>IF(ISBLANK(drvlst[[#This Row],[number]]), "",COUNTIFS($A:$A,drvlst[[#This Row],[tmp-number]],$O:$O, "FL And dev",$U:$U, "Review-1"))</f>
        <v/>
      </c>
      <c r="S20" t="str">
        <f>IF(ISBLANK(drvlst[[#This Row],[number]]), "",COUNTIFS($A:$A,drvlst[[#This Row],[tmp-number]],$O:$O, "BJ And dev",$V:$V, "&lt;&gt;IntegratorComment"))</f>
        <v/>
      </c>
      <c r="T20" t="str">
        <f>IF(ISBLANK(drvlst[[#This Row],[number]]), "",COUNTIFS($A:$A,drvlst[[#This Row],[tmp-number]],$O:$O, "FL And dev",$V:$V, "&lt;&gt;IntegratorComment"))</f>
        <v/>
      </c>
      <c r="U20" t="str">
        <f>IF(OR(ISNUMBER(FIND("Review-1", drvlst[[#This Row],[comments]])), ISNUMBER(FIND("Approver-1", drvlst[[#This Row],[comments]]))), "Review-1", "")</f>
        <v/>
      </c>
      <c r="V20" t="str">
        <f>IF(OR(ISNUMBER(FIND(": Integrator", drvlst[[#This Row],[comments]])), ISNUMBER(FIND(":\n\nIntegrator", drvlst[[#This Row],[comments]])), ISNUMBER(FIND("-Integrator", drvlst[[#This Row],[comments]]))), "IntegratorComment", "")</f>
        <v/>
      </c>
      <c r="W20" t="str">
        <f>IF(ISBLANK(drvlst[[#This Row],[status]]),W19,drvlst[[#This Row],[status]])</f>
        <v>MERGED</v>
      </c>
    </row>
    <row r="21" spans="1:23">
      <c r="A21">
        <f>IF(ISBLANK(drvlst[[#This Row],[number]]),A20,drvlst[[#This Row],[number]])</f>
        <v>92516</v>
      </c>
      <c r="J21" t="s">
        <v>91</v>
      </c>
      <c r="K21" s="8">
        <v>42367.90934027778</v>
      </c>
      <c r="L21" t="s">
        <v>98</v>
      </c>
      <c r="M21" s="7" t="str">
        <f>IF(ISBLANK(drvlst[[#This Row],[owner.emal]]),M20,drvlst[[#This Row],[owner.emal]])</f>
        <v>sakari.ailus@intel.com</v>
      </c>
      <c r="N21">
        <f>_xlfn.IFNA(VLOOKUP(drvlst[[#This Row],[tmp-owner.email]],OrgTree!$A:$J, 10, 0), "not ICG SWFW")</f>
        <v>0</v>
      </c>
      <c r="O21" t="str">
        <f>IF(drvlst[[#This Row],[reviewer]]=drvlst[[#This Row],[tmp-owner.email]], "author", _xlfn.IFNA(VLOOKUP(drvlst[[#This Row],[reviewer]],OrgTree!$A:$J, 10, 0), "not ICG SWFW"))</f>
        <v>author</v>
      </c>
      <c r="P21" t="str">
        <f>IF(ISBLANK(drvlst[[#This Row],[number]]), "",SUM(drvlst[[#This Row],[BJ -1 num]],drvlst[[#This Row],[FI -1 num]]))</f>
        <v/>
      </c>
      <c r="Q21" t="str">
        <f>IF(ISBLANK(drvlst[[#This Row],[number]]), "",COUNTIFS($A:$A,drvlst[[#This Row],[tmp-number]],$O:$O, "BJ And dev",$U:$U, "Review-1"))</f>
        <v/>
      </c>
      <c r="R21" t="str">
        <f>IF(ISBLANK(drvlst[[#This Row],[number]]), "",COUNTIFS($A:$A,drvlst[[#This Row],[tmp-number]],$O:$O, "FL And dev",$U:$U, "Review-1"))</f>
        <v/>
      </c>
      <c r="S21" t="str">
        <f>IF(ISBLANK(drvlst[[#This Row],[number]]), "",COUNTIFS($A:$A,drvlst[[#This Row],[tmp-number]],$O:$O, "BJ And dev",$V:$V, "&lt;&gt;IntegratorComment"))</f>
        <v/>
      </c>
      <c r="T21" t="str">
        <f>IF(ISBLANK(drvlst[[#This Row],[number]]), "",COUNTIFS($A:$A,drvlst[[#This Row],[tmp-number]],$O:$O, "FL And dev",$V:$V, "&lt;&gt;IntegratorComment"))</f>
        <v/>
      </c>
      <c r="U21" t="str">
        <f>IF(OR(ISNUMBER(FIND("Review-1", drvlst[[#This Row],[comments]])), ISNUMBER(FIND("Approver-1", drvlst[[#This Row],[comments]]))), "Review-1", "")</f>
        <v/>
      </c>
      <c r="V21" t="str">
        <f>IF(OR(ISNUMBER(FIND(": Integrator", drvlst[[#This Row],[comments]])), ISNUMBER(FIND(":\n\nIntegrator", drvlst[[#This Row],[comments]])), ISNUMBER(FIND("-Integrator", drvlst[[#This Row],[comments]]))), "IntegratorComment", "")</f>
        <v/>
      </c>
      <c r="W21" t="str">
        <f>IF(ISBLANK(drvlst[[#This Row],[status]]),W20,drvlst[[#This Row],[status]])</f>
        <v>MERGED</v>
      </c>
    </row>
    <row r="22" spans="1:23">
      <c r="A22">
        <f>IF(ISBLANK(drvlst[[#This Row],[number]]),A21,drvlst[[#This Row],[number]])</f>
        <v>92516</v>
      </c>
      <c r="J22" t="s">
        <v>91</v>
      </c>
      <c r="K22" s="8">
        <v>42367.909814814811</v>
      </c>
      <c r="L22" t="s">
        <v>1841</v>
      </c>
      <c r="M22" s="7" t="str">
        <f>IF(ISBLANK(drvlst[[#This Row],[owner.emal]]),M21,drvlst[[#This Row],[owner.emal]])</f>
        <v>sakari.ailus@intel.com</v>
      </c>
      <c r="N22">
        <f>_xlfn.IFNA(VLOOKUP(drvlst[[#This Row],[tmp-owner.email]],OrgTree!$A:$J, 10, 0), "not ICG SWFW")</f>
        <v>0</v>
      </c>
      <c r="O22" t="str">
        <f>IF(drvlst[[#This Row],[reviewer]]=drvlst[[#This Row],[tmp-owner.email]], "author", _xlfn.IFNA(VLOOKUP(drvlst[[#This Row],[reviewer]],OrgTree!$A:$J, 10, 0), "not ICG SWFW"))</f>
        <v>author</v>
      </c>
      <c r="P22" t="str">
        <f>IF(ISBLANK(drvlst[[#This Row],[number]]), "",SUM(drvlst[[#This Row],[BJ -1 num]],drvlst[[#This Row],[FI -1 num]]))</f>
        <v/>
      </c>
      <c r="Q22" t="str">
        <f>IF(ISBLANK(drvlst[[#This Row],[number]]), "",COUNTIFS($A:$A,drvlst[[#This Row],[tmp-number]],$O:$O, "BJ And dev",$U:$U, "Review-1"))</f>
        <v/>
      </c>
      <c r="R22" t="str">
        <f>IF(ISBLANK(drvlst[[#This Row],[number]]), "",COUNTIFS($A:$A,drvlst[[#This Row],[tmp-number]],$O:$O, "FL And dev",$U:$U, "Review-1"))</f>
        <v/>
      </c>
      <c r="S22" t="str">
        <f>IF(ISBLANK(drvlst[[#This Row],[number]]), "",COUNTIFS($A:$A,drvlst[[#This Row],[tmp-number]],$O:$O, "BJ And dev",$V:$V, "&lt;&gt;IntegratorComment"))</f>
        <v/>
      </c>
      <c r="T22" t="str">
        <f>IF(ISBLANK(drvlst[[#This Row],[number]]), "",COUNTIFS($A:$A,drvlst[[#This Row],[tmp-number]],$O:$O, "FL And dev",$V:$V, "&lt;&gt;IntegratorComment"))</f>
        <v/>
      </c>
      <c r="U22" t="str">
        <f>IF(OR(ISNUMBER(FIND("Review-1", drvlst[[#This Row],[comments]])), ISNUMBER(FIND("Approver-1", drvlst[[#This Row],[comments]]))), "Review-1", "")</f>
        <v/>
      </c>
      <c r="V22" t="str">
        <f>IF(OR(ISNUMBER(FIND(": Integrator", drvlst[[#This Row],[comments]])), ISNUMBER(FIND(":\n\nIntegrator", drvlst[[#This Row],[comments]])), ISNUMBER(FIND("-Integrator", drvlst[[#This Row],[comments]]))), "IntegratorComment", "")</f>
        <v/>
      </c>
      <c r="W22" t="str">
        <f>IF(ISBLANK(drvlst[[#This Row],[status]]),W21,drvlst[[#This Row],[status]])</f>
        <v>MERGED</v>
      </c>
    </row>
    <row r="23" spans="1:23">
      <c r="A23">
        <f>IF(ISBLANK(drvlst[[#This Row],[number]]),A22,drvlst[[#This Row],[number]])</f>
        <v>92516</v>
      </c>
      <c r="J23" t="s">
        <v>91</v>
      </c>
      <c r="K23" s="8">
        <v>42367.909849537034</v>
      </c>
      <c r="L23" t="s">
        <v>100</v>
      </c>
      <c r="M23" s="7" t="str">
        <f>IF(ISBLANK(drvlst[[#This Row],[owner.emal]]),M22,drvlst[[#This Row],[owner.emal]])</f>
        <v>sakari.ailus@intel.com</v>
      </c>
      <c r="N23">
        <f>_xlfn.IFNA(VLOOKUP(drvlst[[#This Row],[tmp-owner.email]],OrgTree!$A:$J, 10, 0), "not ICG SWFW")</f>
        <v>0</v>
      </c>
      <c r="O23" t="str">
        <f>IF(drvlst[[#This Row],[reviewer]]=drvlst[[#This Row],[tmp-owner.email]], "author", _xlfn.IFNA(VLOOKUP(drvlst[[#This Row],[reviewer]],OrgTree!$A:$J, 10, 0), "not ICG SWFW"))</f>
        <v>author</v>
      </c>
      <c r="P23" t="str">
        <f>IF(ISBLANK(drvlst[[#This Row],[number]]), "",SUM(drvlst[[#This Row],[BJ -1 num]],drvlst[[#This Row],[FI -1 num]]))</f>
        <v/>
      </c>
      <c r="Q23" t="str">
        <f>IF(ISBLANK(drvlst[[#This Row],[number]]), "",COUNTIFS($A:$A,drvlst[[#This Row],[tmp-number]],$O:$O, "BJ And dev",$U:$U, "Review-1"))</f>
        <v/>
      </c>
      <c r="R23" t="str">
        <f>IF(ISBLANK(drvlst[[#This Row],[number]]), "",COUNTIFS($A:$A,drvlst[[#This Row],[tmp-number]],$O:$O, "FL And dev",$U:$U, "Review-1"))</f>
        <v/>
      </c>
      <c r="S23" t="str">
        <f>IF(ISBLANK(drvlst[[#This Row],[number]]), "",COUNTIFS($A:$A,drvlst[[#This Row],[tmp-number]],$O:$O, "BJ And dev",$V:$V, "&lt;&gt;IntegratorComment"))</f>
        <v/>
      </c>
      <c r="T23" t="str">
        <f>IF(ISBLANK(drvlst[[#This Row],[number]]), "",COUNTIFS($A:$A,drvlst[[#This Row],[tmp-number]],$O:$O, "FL And dev",$V:$V, "&lt;&gt;IntegratorComment"))</f>
        <v/>
      </c>
      <c r="U23" t="str">
        <f>IF(OR(ISNUMBER(FIND("Review-1", drvlst[[#This Row],[comments]])), ISNUMBER(FIND("Approver-1", drvlst[[#This Row],[comments]]))), "Review-1", "")</f>
        <v/>
      </c>
      <c r="V23" t="str">
        <f>IF(OR(ISNUMBER(FIND(": Integrator", drvlst[[#This Row],[comments]])), ISNUMBER(FIND(":\n\nIntegrator", drvlst[[#This Row],[comments]])), ISNUMBER(FIND("-Integrator", drvlst[[#This Row],[comments]]))), "IntegratorComment", "")</f>
        <v/>
      </c>
      <c r="W23" t="str">
        <f>IF(ISBLANK(drvlst[[#This Row],[status]]),W22,drvlst[[#This Row],[status]])</f>
        <v>MERGED</v>
      </c>
    </row>
    <row r="24" spans="1:23">
      <c r="A24">
        <f>IF(ISBLANK(drvlst[[#This Row],[number]]),A23,drvlst[[#This Row],[number]])</f>
        <v>92516</v>
      </c>
      <c r="J24" t="s">
        <v>91</v>
      </c>
      <c r="K24" s="8">
        <v>42367.910613425927</v>
      </c>
      <c r="L24" t="s">
        <v>31</v>
      </c>
      <c r="M24" s="7" t="str">
        <f>IF(ISBLANK(drvlst[[#This Row],[owner.emal]]),M23,drvlst[[#This Row],[owner.emal]])</f>
        <v>sakari.ailus@intel.com</v>
      </c>
      <c r="N24">
        <f>_xlfn.IFNA(VLOOKUP(drvlst[[#This Row],[tmp-owner.email]],OrgTree!$A:$J, 10, 0), "not ICG SWFW")</f>
        <v>0</v>
      </c>
      <c r="O24" t="str">
        <f>IF(drvlst[[#This Row],[reviewer]]=drvlst[[#This Row],[tmp-owner.email]], "author", _xlfn.IFNA(VLOOKUP(drvlst[[#This Row],[reviewer]],OrgTree!$A:$J, 10, 0), "not ICG SWFW"))</f>
        <v>author</v>
      </c>
      <c r="P24" t="str">
        <f>IF(ISBLANK(drvlst[[#This Row],[number]]), "",SUM(drvlst[[#This Row],[BJ -1 num]],drvlst[[#This Row],[FI -1 num]]))</f>
        <v/>
      </c>
      <c r="Q24" t="str">
        <f>IF(ISBLANK(drvlst[[#This Row],[number]]), "",COUNTIFS($A:$A,drvlst[[#This Row],[tmp-number]],$O:$O, "BJ And dev",$U:$U, "Review-1"))</f>
        <v/>
      </c>
      <c r="R24" t="str">
        <f>IF(ISBLANK(drvlst[[#This Row],[number]]), "",COUNTIFS($A:$A,drvlst[[#This Row],[tmp-number]],$O:$O, "FL And dev",$U:$U, "Review-1"))</f>
        <v/>
      </c>
      <c r="S24" t="str">
        <f>IF(ISBLANK(drvlst[[#This Row],[number]]), "",COUNTIFS($A:$A,drvlst[[#This Row],[tmp-number]],$O:$O, "BJ And dev",$V:$V, "&lt;&gt;IntegratorComment"))</f>
        <v/>
      </c>
      <c r="T24" t="str">
        <f>IF(ISBLANK(drvlst[[#This Row],[number]]), "",COUNTIFS($A:$A,drvlst[[#This Row],[tmp-number]],$O:$O, "FL And dev",$V:$V, "&lt;&gt;IntegratorComment"))</f>
        <v/>
      </c>
      <c r="U24" t="str">
        <f>IF(OR(ISNUMBER(FIND("Review-1", drvlst[[#This Row],[comments]])), ISNUMBER(FIND("Approver-1", drvlst[[#This Row],[comments]]))), "Review-1", "")</f>
        <v/>
      </c>
      <c r="V24" t="str">
        <f>IF(OR(ISNUMBER(FIND(": Integrator", drvlst[[#This Row],[comments]])), ISNUMBER(FIND(":\n\nIntegrator", drvlst[[#This Row],[comments]])), ISNUMBER(FIND("-Integrator", drvlst[[#This Row],[comments]]))), "IntegratorComment", "")</f>
        <v/>
      </c>
      <c r="W24" t="str">
        <f>IF(ISBLANK(drvlst[[#This Row],[status]]),W23,drvlst[[#This Row],[status]])</f>
        <v>MERGED</v>
      </c>
    </row>
    <row r="25" spans="1:23">
      <c r="A25">
        <f>IF(ISBLANK(drvlst[[#This Row],[number]]),A24,drvlst[[#This Row],[number]])</f>
        <v>92516</v>
      </c>
      <c r="J25" t="s">
        <v>91</v>
      </c>
      <c r="K25" s="8">
        <v>42367.929282407407</v>
      </c>
      <c r="L25" t="s">
        <v>1836</v>
      </c>
      <c r="M25" s="7" t="str">
        <f>IF(ISBLANK(drvlst[[#This Row],[owner.emal]]),M24,drvlst[[#This Row],[owner.emal]])</f>
        <v>sakari.ailus@intel.com</v>
      </c>
      <c r="N25">
        <f>_xlfn.IFNA(VLOOKUP(drvlst[[#This Row],[tmp-owner.email]],OrgTree!$A:$J, 10, 0), "not ICG SWFW")</f>
        <v>0</v>
      </c>
      <c r="O25" t="str">
        <f>IF(drvlst[[#This Row],[reviewer]]=drvlst[[#This Row],[tmp-owner.email]], "author", _xlfn.IFNA(VLOOKUP(drvlst[[#This Row],[reviewer]],OrgTree!$A:$J, 10, 0), "not ICG SWFW"))</f>
        <v>author</v>
      </c>
      <c r="P25" t="str">
        <f>IF(ISBLANK(drvlst[[#This Row],[number]]), "",SUM(drvlst[[#This Row],[BJ -1 num]],drvlst[[#This Row],[FI -1 num]]))</f>
        <v/>
      </c>
      <c r="Q25" t="str">
        <f>IF(ISBLANK(drvlst[[#This Row],[number]]), "",COUNTIFS($A:$A,drvlst[[#This Row],[tmp-number]],$O:$O, "BJ And dev",$U:$U, "Review-1"))</f>
        <v/>
      </c>
      <c r="R25" t="str">
        <f>IF(ISBLANK(drvlst[[#This Row],[number]]), "",COUNTIFS($A:$A,drvlst[[#This Row],[tmp-number]],$O:$O, "FL And dev",$U:$U, "Review-1"))</f>
        <v/>
      </c>
      <c r="S25" t="str">
        <f>IF(ISBLANK(drvlst[[#This Row],[number]]), "",COUNTIFS($A:$A,drvlst[[#This Row],[tmp-number]],$O:$O, "BJ And dev",$V:$V, "&lt;&gt;IntegratorComment"))</f>
        <v/>
      </c>
      <c r="T25" t="str">
        <f>IF(ISBLANK(drvlst[[#This Row],[number]]), "",COUNTIFS($A:$A,drvlst[[#This Row],[tmp-number]],$O:$O, "FL And dev",$V:$V, "&lt;&gt;IntegratorComment"))</f>
        <v/>
      </c>
      <c r="U25" t="str">
        <f>IF(OR(ISNUMBER(FIND("Review-1", drvlst[[#This Row],[comments]])), ISNUMBER(FIND("Approver-1", drvlst[[#This Row],[comments]]))), "Review-1", "")</f>
        <v/>
      </c>
      <c r="V25" t="str">
        <f>IF(OR(ISNUMBER(FIND(": Integrator", drvlst[[#This Row],[comments]])), ISNUMBER(FIND(":\n\nIntegrator", drvlst[[#This Row],[comments]])), ISNUMBER(FIND("-Integrator", drvlst[[#This Row],[comments]]))), "IntegratorComment", "")</f>
        <v/>
      </c>
      <c r="W25" t="str">
        <f>IF(ISBLANK(drvlst[[#This Row],[status]]),W24,drvlst[[#This Row],[status]])</f>
        <v>MERGED</v>
      </c>
    </row>
    <row r="26" spans="1:23">
      <c r="A26">
        <f>IF(ISBLANK(drvlst[[#This Row],[number]]),A25,drvlst[[#This Row],[number]])</f>
        <v>92516</v>
      </c>
      <c r="J26" t="s">
        <v>91</v>
      </c>
      <c r="K26" s="8">
        <v>42367.929351851853</v>
      </c>
      <c r="L26" t="s">
        <v>1837</v>
      </c>
      <c r="M26" s="7" t="str">
        <f>IF(ISBLANK(drvlst[[#This Row],[owner.emal]]),M25,drvlst[[#This Row],[owner.emal]])</f>
        <v>sakari.ailus@intel.com</v>
      </c>
      <c r="N26">
        <f>_xlfn.IFNA(VLOOKUP(drvlst[[#This Row],[tmp-owner.email]],OrgTree!$A:$J, 10, 0), "not ICG SWFW")</f>
        <v>0</v>
      </c>
      <c r="O26" t="str">
        <f>IF(drvlst[[#This Row],[reviewer]]=drvlst[[#This Row],[tmp-owner.email]], "author", _xlfn.IFNA(VLOOKUP(drvlst[[#This Row],[reviewer]],OrgTree!$A:$J, 10, 0), "not ICG SWFW"))</f>
        <v>author</v>
      </c>
      <c r="P26" t="str">
        <f>IF(ISBLANK(drvlst[[#This Row],[number]]), "",SUM(drvlst[[#This Row],[BJ -1 num]],drvlst[[#This Row],[FI -1 num]]))</f>
        <v/>
      </c>
      <c r="Q26" t="str">
        <f>IF(ISBLANK(drvlst[[#This Row],[number]]), "",COUNTIFS($A:$A,drvlst[[#This Row],[tmp-number]],$O:$O, "BJ And dev",$U:$U, "Review-1"))</f>
        <v/>
      </c>
      <c r="R26" t="str">
        <f>IF(ISBLANK(drvlst[[#This Row],[number]]), "",COUNTIFS($A:$A,drvlst[[#This Row],[tmp-number]],$O:$O, "FL And dev",$U:$U, "Review-1"))</f>
        <v/>
      </c>
      <c r="S26" t="str">
        <f>IF(ISBLANK(drvlst[[#This Row],[number]]), "",COUNTIFS($A:$A,drvlst[[#This Row],[tmp-number]],$O:$O, "BJ And dev",$V:$V, "&lt;&gt;IntegratorComment"))</f>
        <v/>
      </c>
      <c r="T26" t="str">
        <f>IF(ISBLANK(drvlst[[#This Row],[number]]), "",COUNTIFS($A:$A,drvlst[[#This Row],[tmp-number]],$O:$O, "FL And dev",$V:$V, "&lt;&gt;IntegratorComment"))</f>
        <v/>
      </c>
      <c r="U26" t="str">
        <f>IF(OR(ISNUMBER(FIND("Review-1", drvlst[[#This Row],[comments]])), ISNUMBER(FIND("Approver-1", drvlst[[#This Row],[comments]]))), "Review-1", "")</f>
        <v/>
      </c>
      <c r="V26" t="str">
        <f>IF(OR(ISNUMBER(FIND(": Integrator", drvlst[[#This Row],[comments]])), ISNUMBER(FIND(":\n\nIntegrator", drvlst[[#This Row],[comments]])), ISNUMBER(FIND("-Integrator", drvlst[[#This Row],[comments]]))), "IntegratorComment", "")</f>
        <v/>
      </c>
      <c r="W26" t="str">
        <f>IF(ISBLANK(drvlst[[#This Row],[status]]),W25,drvlst[[#This Row],[status]])</f>
        <v>MERGED</v>
      </c>
    </row>
    <row r="27" spans="1:23">
      <c r="A27">
        <f>IF(ISBLANK(drvlst[[#This Row],[number]]),A26,drvlst[[#This Row],[number]])</f>
        <v>92516</v>
      </c>
      <c r="J27" t="s">
        <v>43</v>
      </c>
      <c r="K27" s="8">
        <v>42368.855185185188</v>
      </c>
      <c r="L27" t="s">
        <v>1853</v>
      </c>
      <c r="M27" s="7" t="str">
        <f>IF(ISBLANK(drvlst[[#This Row],[owner.emal]]),M26,drvlst[[#This Row],[owner.emal]])</f>
        <v>sakari.ailus@intel.com</v>
      </c>
      <c r="N27">
        <f>_xlfn.IFNA(VLOOKUP(drvlst[[#This Row],[tmp-owner.email]],OrgTree!$A:$J, 10, 0), "not ICG SWFW")</f>
        <v>0</v>
      </c>
      <c r="O27">
        <f>IF(drvlst[[#This Row],[reviewer]]=drvlst[[#This Row],[tmp-owner.email]], "author", _xlfn.IFNA(VLOOKUP(drvlst[[#This Row],[reviewer]],OrgTree!$A:$J, 10, 0), "not ICG SWFW"))</f>
        <v>0</v>
      </c>
      <c r="P27" t="str">
        <f>IF(ISBLANK(drvlst[[#This Row],[number]]), "",SUM(drvlst[[#This Row],[BJ -1 num]],drvlst[[#This Row],[FI -1 num]]))</f>
        <v/>
      </c>
      <c r="Q27" t="str">
        <f>IF(ISBLANK(drvlst[[#This Row],[number]]), "",COUNTIFS($A:$A,drvlst[[#This Row],[tmp-number]],$O:$O, "BJ And dev",$U:$U, "Review-1"))</f>
        <v/>
      </c>
      <c r="R27" t="str">
        <f>IF(ISBLANK(drvlst[[#This Row],[number]]), "",COUNTIFS($A:$A,drvlst[[#This Row],[tmp-number]],$O:$O, "FL And dev",$U:$U, "Review-1"))</f>
        <v/>
      </c>
      <c r="S27" t="str">
        <f>IF(ISBLANK(drvlst[[#This Row],[number]]), "",COUNTIFS($A:$A,drvlst[[#This Row],[tmp-number]],$O:$O, "BJ And dev",$V:$V, "&lt;&gt;IntegratorComment"))</f>
        <v/>
      </c>
      <c r="T27" t="str">
        <f>IF(ISBLANK(drvlst[[#This Row],[number]]), "",COUNTIFS($A:$A,drvlst[[#This Row],[tmp-number]],$O:$O, "FL And dev",$V:$V, "&lt;&gt;IntegratorComment"))</f>
        <v/>
      </c>
      <c r="U27" t="str">
        <f>IF(OR(ISNUMBER(FIND("Review-1", drvlst[[#This Row],[comments]])), ISNUMBER(FIND("Approver-1", drvlst[[#This Row],[comments]]))), "Review-1", "")</f>
        <v/>
      </c>
      <c r="V27" t="str">
        <f>IF(OR(ISNUMBER(FIND(": Integrator", drvlst[[#This Row],[comments]])), ISNUMBER(FIND(":\n\nIntegrator", drvlst[[#This Row],[comments]])), ISNUMBER(FIND("-Integrator", drvlst[[#This Row],[comments]]))), "IntegratorComment", "")</f>
        <v/>
      </c>
      <c r="W27" t="str">
        <f>IF(ISBLANK(drvlst[[#This Row],[status]]),W26,drvlst[[#This Row],[status]])</f>
        <v>MERGED</v>
      </c>
    </row>
    <row r="28" spans="1:23">
      <c r="A28">
        <f>IF(ISBLANK(drvlst[[#This Row],[number]]),A27,drvlst[[#This Row],[number]])</f>
        <v>92516</v>
      </c>
      <c r="J28" t="s">
        <v>91</v>
      </c>
      <c r="K28" s="8">
        <v>42368.906689814816</v>
      </c>
      <c r="L28" t="s">
        <v>1838</v>
      </c>
      <c r="M28" s="7" t="str">
        <f>IF(ISBLANK(drvlst[[#This Row],[owner.emal]]),M27,drvlst[[#This Row],[owner.emal]])</f>
        <v>sakari.ailus@intel.com</v>
      </c>
      <c r="N28">
        <f>_xlfn.IFNA(VLOOKUP(drvlst[[#This Row],[tmp-owner.email]],OrgTree!$A:$J, 10, 0), "not ICG SWFW")</f>
        <v>0</v>
      </c>
      <c r="O28" t="str">
        <f>IF(drvlst[[#This Row],[reviewer]]=drvlst[[#This Row],[tmp-owner.email]], "author", _xlfn.IFNA(VLOOKUP(drvlst[[#This Row],[reviewer]],OrgTree!$A:$J, 10, 0), "not ICG SWFW"))</f>
        <v>author</v>
      </c>
      <c r="P28" t="str">
        <f>IF(ISBLANK(drvlst[[#This Row],[number]]), "",SUM(drvlst[[#This Row],[BJ -1 num]],drvlst[[#This Row],[FI -1 num]]))</f>
        <v/>
      </c>
      <c r="Q28" t="str">
        <f>IF(ISBLANK(drvlst[[#This Row],[number]]), "",COUNTIFS($A:$A,drvlst[[#This Row],[tmp-number]],$O:$O, "BJ And dev",$U:$U, "Review-1"))</f>
        <v/>
      </c>
      <c r="R28" t="str">
        <f>IF(ISBLANK(drvlst[[#This Row],[number]]), "",COUNTIFS($A:$A,drvlst[[#This Row],[tmp-number]],$O:$O, "FL And dev",$U:$U, "Review-1"))</f>
        <v/>
      </c>
      <c r="S28" t="str">
        <f>IF(ISBLANK(drvlst[[#This Row],[number]]), "",COUNTIFS($A:$A,drvlst[[#This Row],[tmp-number]],$O:$O, "BJ And dev",$V:$V, "&lt;&gt;IntegratorComment"))</f>
        <v/>
      </c>
      <c r="T28" t="str">
        <f>IF(ISBLANK(drvlst[[#This Row],[number]]), "",COUNTIFS($A:$A,drvlst[[#This Row],[tmp-number]],$O:$O, "FL And dev",$V:$V, "&lt;&gt;IntegratorComment"))</f>
        <v/>
      </c>
      <c r="U28" t="str">
        <f>IF(OR(ISNUMBER(FIND("Review-1", drvlst[[#This Row],[comments]])), ISNUMBER(FIND("Approver-1", drvlst[[#This Row],[comments]]))), "Review-1", "")</f>
        <v/>
      </c>
      <c r="V28" t="str">
        <f>IF(OR(ISNUMBER(FIND(": Integrator", drvlst[[#This Row],[comments]])), ISNUMBER(FIND(":\n\nIntegrator", drvlst[[#This Row],[comments]])), ISNUMBER(FIND("-Integrator", drvlst[[#This Row],[comments]]))), "IntegratorComment", "")</f>
        <v/>
      </c>
      <c r="W28" t="str">
        <f>IF(ISBLANK(drvlst[[#This Row],[status]]),W27,drvlst[[#This Row],[status]])</f>
        <v>MERGED</v>
      </c>
    </row>
    <row r="29" spans="1:23">
      <c r="A29">
        <f>IF(ISBLANK(drvlst[[#This Row],[number]]),A28,drvlst[[#This Row],[number]])</f>
        <v>92516</v>
      </c>
      <c r="J29" t="s">
        <v>91</v>
      </c>
      <c r="K29" s="8">
        <v>42368.906759259262</v>
      </c>
      <c r="L29" t="s">
        <v>1839</v>
      </c>
      <c r="M29" s="7" t="str">
        <f>IF(ISBLANK(drvlst[[#This Row],[owner.emal]]),M28,drvlst[[#This Row],[owner.emal]])</f>
        <v>sakari.ailus@intel.com</v>
      </c>
      <c r="N29">
        <f>_xlfn.IFNA(VLOOKUP(drvlst[[#This Row],[tmp-owner.email]],OrgTree!$A:$J, 10, 0), "not ICG SWFW")</f>
        <v>0</v>
      </c>
      <c r="O29" t="str">
        <f>IF(drvlst[[#This Row],[reviewer]]=drvlst[[#This Row],[tmp-owner.email]], "author", _xlfn.IFNA(VLOOKUP(drvlst[[#This Row],[reviewer]],OrgTree!$A:$J, 10, 0), "not ICG SWFW"))</f>
        <v>author</v>
      </c>
      <c r="P29" t="str">
        <f>IF(ISBLANK(drvlst[[#This Row],[number]]), "",SUM(drvlst[[#This Row],[BJ -1 num]],drvlst[[#This Row],[FI -1 num]]))</f>
        <v/>
      </c>
      <c r="Q29" t="str">
        <f>IF(ISBLANK(drvlst[[#This Row],[number]]), "",COUNTIFS($A:$A,drvlst[[#This Row],[tmp-number]],$O:$O, "BJ And dev",$U:$U, "Review-1"))</f>
        <v/>
      </c>
      <c r="R29" t="str">
        <f>IF(ISBLANK(drvlst[[#This Row],[number]]), "",COUNTIFS($A:$A,drvlst[[#This Row],[tmp-number]],$O:$O, "FL And dev",$U:$U, "Review-1"))</f>
        <v/>
      </c>
      <c r="S29" t="str">
        <f>IF(ISBLANK(drvlst[[#This Row],[number]]), "",COUNTIFS($A:$A,drvlst[[#This Row],[tmp-number]],$O:$O, "BJ And dev",$V:$V, "&lt;&gt;IntegratorComment"))</f>
        <v/>
      </c>
      <c r="T29" t="str">
        <f>IF(ISBLANK(drvlst[[#This Row],[number]]), "",COUNTIFS($A:$A,drvlst[[#This Row],[tmp-number]],$O:$O, "FL And dev",$V:$V, "&lt;&gt;IntegratorComment"))</f>
        <v/>
      </c>
      <c r="U29" t="str">
        <f>IF(OR(ISNUMBER(FIND("Review-1", drvlst[[#This Row],[comments]])), ISNUMBER(FIND("Approver-1", drvlst[[#This Row],[comments]]))), "Review-1", "")</f>
        <v/>
      </c>
      <c r="V29" t="str">
        <f>IF(OR(ISNUMBER(FIND(": Integrator", drvlst[[#This Row],[comments]])), ISNUMBER(FIND(":\n\nIntegrator", drvlst[[#This Row],[comments]])), ISNUMBER(FIND("-Integrator", drvlst[[#This Row],[comments]]))), "IntegratorComment", "")</f>
        <v/>
      </c>
      <c r="W29" t="str">
        <f>IF(ISBLANK(drvlst[[#This Row],[status]]),W28,drvlst[[#This Row],[status]])</f>
        <v>MERGED</v>
      </c>
    </row>
    <row r="30" spans="1:23">
      <c r="A30">
        <f>IF(ISBLANK(drvlst[[#This Row],[number]]),A29,drvlst[[#This Row],[number]])</f>
        <v>92516</v>
      </c>
      <c r="J30" t="s">
        <v>103</v>
      </c>
      <c r="K30" s="8">
        <v>42368.93577546296</v>
      </c>
      <c r="L30" t="s">
        <v>1843</v>
      </c>
      <c r="M30" s="7" t="str">
        <f>IF(ISBLANK(drvlst[[#This Row],[owner.emal]]),M29,drvlst[[#This Row],[owner.emal]])</f>
        <v>sakari.ailus@intel.com</v>
      </c>
      <c r="N30">
        <f>_xlfn.IFNA(VLOOKUP(drvlst[[#This Row],[tmp-owner.email]],OrgTree!$A:$J, 10, 0), "not ICG SWFW")</f>
        <v>0</v>
      </c>
      <c r="O30">
        <f>IF(drvlst[[#This Row],[reviewer]]=drvlst[[#This Row],[tmp-owner.email]], "author", _xlfn.IFNA(VLOOKUP(drvlst[[#This Row],[reviewer]],OrgTree!$A:$J, 10, 0), "not ICG SWFW"))</f>
        <v>0</v>
      </c>
      <c r="P30" t="str">
        <f>IF(ISBLANK(drvlst[[#This Row],[number]]), "",SUM(drvlst[[#This Row],[BJ -1 num]],drvlst[[#This Row],[FI -1 num]]))</f>
        <v/>
      </c>
      <c r="Q30" t="str">
        <f>IF(ISBLANK(drvlst[[#This Row],[number]]), "",COUNTIFS($A:$A,drvlst[[#This Row],[tmp-number]],$O:$O, "BJ And dev",$U:$U, "Review-1"))</f>
        <v/>
      </c>
      <c r="R30" t="str">
        <f>IF(ISBLANK(drvlst[[#This Row],[number]]), "",COUNTIFS($A:$A,drvlst[[#This Row],[tmp-number]],$O:$O, "FL And dev",$U:$U, "Review-1"))</f>
        <v/>
      </c>
      <c r="S30" t="str">
        <f>IF(ISBLANK(drvlst[[#This Row],[number]]), "",COUNTIFS($A:$A,drvlst[[#This Row],[tmp-number]],$O:$O, "BJ And dev",$V:$V, "&lt;&gt;IntegratorComment"))</f>
        <v/>
      </c>
      <c r="T30" t="str">
        <f>IF(ISBLANK(drvlst[[#This Row],[number]]), "",COUNTIFS($A:$A,drvlst[[#This Row],[tmp-number]],$O:$O, "FL And dev",$V:$V, "&lt;&gt;IntegratorComment"))</f>
        <v/>
      </c>
      <c r="U30" t="str">
        <f>IF(OR(ISNUMBER(FIND("Review-1", drvlst[[#This Row],[comments]])), ISNUMBER(FIND("Approver-1", drvlst[[#This Row],[comments]]))), "Review-1", "")</f>
        <v/>
      </c>
      <c r="V30" t="str">
        <f>IF(OR(ISNUMBER(FIND(": Integrator", drvlst[[#This Row],[comments]])), ISNUMBER(FIND(":\n\nIntegrator", drvlst[[#This Row],[comments]])), ISNUMBER(FIND("-Integrator", drvlst[[#This Row],[comments]]))), "IntegratorComment", "")</f>
        <v/>
      </c>
      <c r="W30" t="str">
        <f>IF(ISBLANK(drvlst[[#This Row],[status]]),W29,drvlst[[#This Row],[status]])</f>
        <v>MERGED</v>
      </c>
    </row>
    <row r="31" spans="1:23">
      <c r="A31">
        <f>IF(ISBLANK(drvlst[[#This Row],[number]]),A30,drvlst[[#This Row],[number]])</f>
        <v>92516</v>
      </c>
      <c r="J31" t="s">
        <v>30</v>
      </c>
      <c r="K31" s="8">
        <v>42369.731342592589</v>
      </c>
      <c r="L31" t="s">
        <v>1840</v>
      </c>
      <c r="M31" s="7" t="str">
        <f>IF(ISBLANK(drvlst[[#This Row],[owner.emal]]),M30,drvlst[[#This Row],[owner.emal]])</f>
        <v>sakari.ailus@intel.com</v>
      </c>
      <c r="N31">
        <f>_xlfn.IFNA(VLOOKUP(drvlst[[#This Row],[tmp-owner.email]],OrgTree!$A:$J, 10, 0), "not ICG SWFW")</f>
        <v>0</v>
      </c>
      <c r="O31">
        <f>IF(drvlst[[#This Row],[reviewer]]=drvlst[[#This Row],[tmp-owner.email]], "author", _xlfn.IFNA(VLOOKUP(drvlst[[#This Row],[reviewer]],OrgTree!$A:$J, 10, 0), "not ICG SWFW"))</f>
        <v>0</v>
      </c>
      <c r="P31" t="str">
        <f>IF(ISBLANK(drvlst[[#This Row],[number]]), "",SUM(drvlst[[#This Row],[BJ -1 num]],drvlst[[#This Row],[FI -1 num]]))</f>
        <v/>
      </c>
      <c r="Q31" t="str">
        <f>IF(ISBLANK(drvlst[[#This Row],[number]]), "",COUNTIFS($A:$A,drvlst[[#This Row],[tmp-number]],$O:$O, "BJ And dev",$U:$U, "Review-1"))</f>
        <v/>
      </c>
      <c r="R31" t="str">
        <f>IF(ISBLANK(drvlst[[#This Row],[number]]), "",COUNTIFS($A:$A,drvlst[[#This Row],[tmp-number]],$O:$O, "FL And dev",$U:$U, "Review-1"))</f>
        <v/>
      </c>
      <c r="S31" t="str">
        <f>IF(ISBLANK(drvlst[[#This Row],[number]]), "",COUNTIFS($A:$A,drvlst[[#This Row],[tmp-number]],$O:$O, "BJ And dev",$V:$V, "&lt;&gt;IntegratorComment"))</f>
        <v/>
      </c>
      <c r="T31" t="str">
        <f>IF(ISBLANK(drvlst[[#This Row],[number]]), "",COUNTIFS($A:$A,drvlst[[#This Row],[tmp-number]],$O:$O, "FL And dev",$V:$V, "&lt;&gt;IntegratorComment"))</f>
        <v/>
      </c>
      <c r="U31" t="str">
        <f>IF(OR(ISNUMBER(FIND("Review-1", drvlst[[#This Row],[comments]])), ISNUMBER(FIND("Approver-1", drvlst[[#This Row],[comments]]))), "Review-1", "")</f>
        <v/>
      </c>
      <c r="V31" t="str">
        <f>IF(OR(ISNUMBER(FIND(": Integrator", drvlst[[#This Row],[comments]])), ISNUMBER(FIND(":\n\nIntegrator", drvlst[[#This Row],[comments]])), ISNUMBER(FIND("-Integrator", drvlst[[#This Row],[comments]]))), "IntegratorComment", "")</f>
        <v/>
      </c>
      <c r="W31" t="str">
        <f>IF(ISBLANK(drvlst[[#This Row],[status]]),W30,drvlst[[#This Row],[status]])</f>
        <v>MERGED</v>
      </c>
    </row>
    <row r="32" spans="1:23">
      <c r="A32">
        <f>IF(ISBLANK(drvlst[[#This Row],[number]]),A31,drvlst[[#This Row],[number]])</f>
        <v>92516</v>
      </c>
      <c r="J32" t="s">
        <v>91</v>
      </c>
      <c r="K32" s="8">
        <v>42369.8044212963</v>
      </c>
      <c r="L32" t="s">
        <v>1844</v>
      </c>
      <c r="M32" s="7" t="str">
        <f>IF(ISBLANK(drvlst[[#This Row],[owner.emal]]),M31,drvlst[[#This Row],[owner.emal]])</f>
        <v>sakari.ailus@intel.com</v>
      </c>
      <c r="N32">
        <f>_xlfn.IFNA(VLOOKUP(drvlst[[#This Row],[tmp-owner.email]],OrgTree!$A:$J, 10, 0), "not ICG SWFW")</f>
        <v>0</v>
      </c>
      <c r="O32" t="str">
        <f>IF(drvlst[[#This Row],[reviewer]]=drvlst[[#This Row],[tmp-owner.email]], "author", _xlfn.IFNA(VLOOKUP(drvlst[[#This Row],[reviewer]],OrgTree!$A:$J, 10, 0), "not ICG SWFW"))</f>
        <v>author</v>
      </c>
      <c r="P32" t="str">
        <f>IF(ISBLANK(drvlst[[#This Row],[number]]), "",SUM(drvlst[[#This Row],[BJ -1 num]],drvlst[[#This Row],[FI -1 num]]))</f>
        <v/>
      </c>
      <c r="Q32" t="str">
        <f>IF(ISBLANK(drvlst[[#This Row],[number]]), "",COUNTIFS($A:$A,drvlst[[#This Row],[tmp-number]],$O:$O, "BJ And dev",$U:$U, "Review-1"))</f>
        <v/>
      </c>
      <c r="R32" t="str">
        <f>IF(ISBLANK(drvlst[[#This Row],[number]]), "",COUNTIFS($A:$A,drvlst[[#This Row],[tmp-number]],$O:$O, "FL And dev",$U:$U, "Review-1"))</f>
        <v/>
      </c>
      <c r="S32" t="str">
        <f>IF(ISBLANK(drvlst[[#This Row],[number]]), "",COUNTIFS($A:$A,drvlst[[#This Row],[tmp-number]],$O:$O, "BJ And dev",$V:$V, "&lt;&gt;IntegratorComment"))</f>
        <v/>
      </c>
      <c r="T32" t="str">
        <f>IF(ISBLANK(drvlst[[#This Row],[number]]), "",COUNTIFS($A:$A,drvlst[[#This Row],[tmp-number]],$O:$O, "FL And dev",$V:$V, "&lt;&gt;IntegratorComment"))</f>
        <v/>
      </c>
      <c r="U32" t="str">
        <f>IF(OR(ISNUMBER(FIND("Review-1", drvlst[[#This Row],[comments]])), ISNUMBER(FIND("Approver-1", drvlst[[#This Row],[comments]]))), "Review-1", "")</f>
        <v/>
      </c>
      <c r="V32" t="str">
        <f>IF(OR(ISNUMBER(FIND(": Integrator", drvlst[[#This Row],[comments]])), ISNUMBER(FIND(":\n\nIntegrator", drvlst[[#This Row],[comments]])), ISNUMBER(FIND("-Integrator", drvlst[[#This Row],[comments]]))), "IntegratorComment", "")</f>
        <v/>
      </c>
      <c r="W32" t="str">
        <f>IF(ISBLANK(drvlst[[#This Row],[status]]),W31,drvlst[[#This Row],[status]])</f>
        <v>MERGED</v>
      </c>
    </row>
    <row r="33" spans="1:23">
      <c r="A33">
        <f>IF(ISBLANK(drvlst[[#This Row],[number]]),A32,drvlst[[#This Row],[number]])</f>
        <v>92516</v>
      </c>
      <c r="J33" t="s">
        <v>91</v>
      </c>
      <c r="K33" s="8">
        <v>42369.804502314815</v>
      </c>
      <c r="L33" t="s">
        <v>1845</v>
      </c>
      <c r="M33" s="7" t="str">
        <f>IF(ISBLANK(drvlst[[#This Row],[owner.emal]]),M32,drvlst[[#This Row],[owner.emal]])</f>
        <v>sakari.ailus@intel.com</v>
      </c>
      <c r="N33">
        <f>_xlfn.IFNA(VLOOKUP(drvlst[[#This Row],[tmp-owner.email]],OrgTree!$A:$J, 10, 0), "not ICG SWFW")</f>
        <v>0</v>
      </c>
      <c r="O33" t="str">
        <f>IF(drvlst[[#This Row],[reviewer]]=drvlst[[#This Row],[tmp-owner.email]], "author", _xlfn.IFNA(VLOOKUP(drvlst[[#This Row],[reviewer]],OrgTree!$A:$J, 10, 0), "not ICG SWFW"))</f>
        <v>author</v>
      </c>
      <c r="P33" t="str">
        <f>IF(ISBLANK(drvlst[[#This Row],[number]]), "",SUM(drvlst[[#This Row],[BJ -1 num]],drvlst[[#This Row],[FI -1 num]]))</f>
        <v/>
      </c>
      <c r="Q33" t="str">
        <f>IF(ISBLANK(drvlst[[#This Row],[number]]), "",COUNTIFS($A:$A,drvlst[[#This Row],[tmp-number]],$O:$O, "BJ And dev",$U:$U, "Review-1"))</f>
        <v/>
      </c>
      <c r="R33" t="str">
        <f>IF(ISBLANK(drvlst[[#This Row],[number]]), "",COUNTIFS($A:$A,drvlst[[#This Row],[tmp-number]],$O:$O, "FL And dev",$U:$U, "Review-1"))</f>
        <v/>
      </c>
      <c r="S33" t="str">
        <f>IF(ISBLANK(drvlst[[#This Row],[number]]), "",COUNTIFS($A:$A,drvlst[[#This Row],[tmp-number]],$O:$O, "BJ And dev",$V:$V, "&lt;&gt;IntegratorComment"))</f>
        <v/>
      </c>
      <c r="T33" t="str">
        <f>IF(ISBLANK(drvlst[[#This Row],[number]]), "",COUNTIFS($A:$A,drvlst[[#This Row],[tmp-number]],$O:$O, "FL And dev",$V:$V, "&lt;&gt;IntegratorComment"))</f>
        <v/>
      </c>
      <c r="U33" t="str">
        <f>IF(OR(ISNUMBER(FIND("Review-1", drvlst[[#This Row],[comments]])), ISNUMBER(FIND("Approver-1", drvlst[[#This Row],[comments]]))), "Review-1", "")</f>
        <v/>
      </c>
      <c r="V33" t="str">
        <f>IF(OR(ISNUMBER(FIND(": Integrator", drvlst[[#This Row],[comments]])), ISNUMBER(FIND(":\n\nIntegrator", drvlst[[#This Row],[comments]])), ISNUMBER(FIND("-Integrator", drvlst[[#This Row],[comments]]))), "IntegratorComment", "")</f>
        <v/>
      </c>
      <c r="W33" t="str">
        <f>IF(ISBLANK(drvlst[[#This Row],[status]]),W32,drvlst[[#This Row],[status]])</f>
        <v>MERGED</v>
      </c>
    </row>
    <row r="34" spans="1:23">
      <c r="A34">
        <f>IF(ISBLANK(drvlst[[#This Row],[number]]),A33,drvlst[[#This Row],[number]])</f>
        <v>92516</v>
      </c>
      <c r="J34" t="s">
        <v>45</v>
      </c>
      <c r="K34" s="8">
        <v>42374.036296296297</v>
      </c>
      <c r="L34" t="s">
        <v>1854</v>
      </c>
      <c r="M34" s="7" t="str">
        <f>IF(ISBLANK(drvlst[[#This Row],[owner.emal]]),M33,drvlst[[#This Row],[owner.emal]])</f>
        <v>sakari.ailus@intel.com</v>
      </c>
      <c r="N34">
        <f>_xlfn.IFNA(VLOOKUP(drvlst[[#This Row],[tmp-owner.email]],OrgTree!$A:$J, 10, 0), "not ICG SWFW")</f>
        <v>0</v>
      </c>
      <c r="O34">
        <f>IF(drvlst[[#This Row],[reviewer]]=drvlst[[#This Row],[tmp-owner.email]], "author", _xlfn.IFNA(VLOOKUP(drvlst[[#This Row],[reviewer]],OrgTree!$A:$J, 10, 0), "not ICG SWFW"))</f>
        <v>0</v>
      </c>
      <c r="P34" t="str">
        <f>IF(ISBLANK(drvlst[[#This Row],[number]]), "",SUM(drvlst[[#This Row],[BJ -1 num]],drvlst[[#This Row],[FI -1 num]]))</f>
        <v/>
      </c>
      <c r="Q34" t="str">
        <f>IF(ISBLANK(drvlst[[#This Row],[number]]), "",COUNTIFS($A:$A,drvlst[[#This Row],[tmp-number]],$O:$O, "BJ And dev",$U:$U, "Review-1"))</f>
        <v/>
      </c>
      <c r="R34" t="str">
        <f>IF(ISBLANK(drvlst[[#This Row],[number]]), "",COUNTIFS($A:$A,drvlst[[#This Row],[tmp-number]],$O:$O, "FL And dev",$U:$U, "Review-1"))</f>
        <v/>
      </c>
      <c r="S34" t="str">
        <f>IF(ISBLANK(drvlst[[#This Row],[number]]), "",COUNTIFS($A:$A,drvlst[[#This Row],[tmp-number]],$O:$O, "BJ And dev",$V:$V, "&lt;&gt;IntegratorComment"))</f>
        <v/>
      </c>
      <c r="T34" t="str">
        <f>IF(ISBLANK(drvlst[[#This Row],[number]]), "",COUNTIFS($A:$A,drvlst[[#This Row],[tmp-number]],$O:$O, "FL And dev",$V:$V, "&lt;&gt;IntegratorComment"))</f>
        <v/>
      </c>
      <c r="U34" t="str">
        <f>IF(OR(ISNUMBER(FIND("Review-1", drvlst[[#This Row],[comments]])), ISNUMBER(FIND("Approver-1", drvlst[[#This Row],[comments]]))), "Review-1", "")</f>
        <v/>
      </c>
      <c r="V34" t="str">
        <f>IF(OR(ISNUMBER(FIND(": Integrator", drvlst[[#This Row],[comments]])), ISNUMBER(FIND(":\n\nIntegrator", drvlst[[#This Row],[comments]])), ISNUMBER(FIND("-Integrator", drvlst[[#This Row],[comments]]))), "IntegratorComment", "")</f>
        <v/>
      </c>
      <c r="W34" t="str">
        <f>IF(ISBLANK(drvlst[[#This Row],[status]]),W33,drvlst[[#This Row],[status]])</f>
        <v>MERGED</v>
      </c>
    </row>
    <row r="35" spans="1:23">
      <c r="A35">
        <f>IF(ISBLANK(drvlst[[#This Row],[number]]),A34,drvlst[[#This Row],[number]])</f>
        <v>92516</v>
      </c>
      <c r="J35" t="s">
        <v>99</v>
      </c>
      <c r="K35" s="8">
        <v>42374.654861111114</v>
      </c>
      <c r="L35" t="s">
        <v>1854</v>
      </c>
      <c r="M35" s="7" t="str">
        <f>IF(ISBLANK(drvlst[[#This Row],[owner.emal]]),M34,drvlst[[#This Row],[owner.emal]])</f>
        <v>sakari.ailus@intel.com</v>
      </c>
      <c r="N35">
        <f>_xlfn.IFNA(VLOOKUP(drvlst[[#This Row],[tmp-owner.email]],OrgTree!$A:$J, 10, 0), "not ICG SWFW")</f>
        <v>0</v>
      </c>
      <c r="O35">
        <f>IF(drvlst[[#This Row],[reviewer]]=drvlst[[#This Row],[tmp-owner.email]], "author", _xlfn.IFNA(VLOOKUP(drvlst[[#This Row],[reviewer]],OrgTree!$A:$J, 10, 0), "not ICG SWFW"))</f>
        <v>0</v>
      </c>
      <c r="P35" t="str">
        <f>IF(ISBLANK(drvlst[[#This Row],[number]]), "",SUM(drvlst[[#This Row],[BJ -1 num]],drvlst[[#This Row],[FI -1 num]]))</f>
        <v/>
      </c>
      <c r="Q35" t="str">
        <f>IF(ISBLANK(drvlst[[#This Row],[number]]), "",COUNTIFS($A:$A,drvlst[[#This Row],[tmp-number]],$O:$O, "BJ And dev",$U:$U, "Review-1"))</f>
        <v/>
      </c>
      <c r="R35" t="str">
        <f>IF(ISBLANK(drvlst[[#This Row],[number]]), "",COUNTIFS($A:$A,drvlst[[#This Row],[tmp-number]],$O:$O, "FL And dev",$U:$U, "Review-1"))</f>
        <v/>
      </c>
      <c r="S35" t="str">
        <f>IF(ISBLANK(drvlst[[#This Row],[number]]), "",COUNTIFS($A:$A,drvlst[[#This Row],[tmp-number]],$O:$O, "BJ And dev",$V:$V, "&lt;&gt;IntegratorComment"))</f>
        <v/>
      </c>
      <c r="T35" t="str">
        <f>IF(ISBLANK(drvlst[[#This Row],[number]]), "",COUNTIFS($A:$A,drvlst[[#This Row],[tmp-number]],$O:$O, "FL And dev",$V:$V, "&lt;&gt;IntegratorComment"))</f>
        <v/>
      </c>
      <c r="U35" t="str">
        <f>IF(OR(ISNUMBER(FIND("Review-1", drvlst[[#This Row],[comments]])), ISNUMBER(FIND("Approver-1", drvlst[[#This Row],[comments]]))), "Review-1", "")</f>
        <v/>
      </c>
      <c r="V35" t="str">
        <f>IF(OR(ISNUMBER(FIND(": Integrator", drvlst[[#This Row],[comments]])), ISNUMBER(FIND(":\n\nIntegrator", drvlst[[#This Row],[comments]])), ISNUMBER(FIND("-Integrator", drvlst[[#This Row],[comments]]))), "IntegratorComment", "")</f>
        <v/>
      </c>
      <c r="W35" t="str">
        <f>IF(ISBLANK(drvlst[[#This Row],[status]]),W34,drvlst[[#This Row],[status]])</f>
        <v>MERGED</v>
      </c>
    </row>
    <row r="36" spans="1:23">
      <c r="A36">
        <f>IF(ISBLANK(drvlst[[#This Row],[number]]),A35,drvlst[[#This Row],[number]])</f>
        <v>92516</v>
      </c>
      <c r="J36" t="s">
        <v>91</v>
      </c>
      <c r="K36" s="8">
        <v>42377.647060185183</v>
      </c>
      <c r="L36" t="s">
        <v>1846</v>
      </c>
      <c r="M36" s="7" t="str">
        <f>IF(ISBLANK(drvlst[[#This Row],[owner.emal]]),M35,drvlst[[#This Row],[owner.emal]])</f>
        <v>sakari.ailus@intel.com</v>
      </c>
      <c r="N36">
        <f>_xlfn.IFNA(VLOOKUP(drvlst[[#This Row],[tmp-owner.email]],OrgTree!$A:$J, 10, 0), "not ICG SWFW")</f>
        <v>0</v>
      </c>
      <c r="O36" t="str">
        <f>IF(drvlst[[#This Row],[reviewer]]=drvlst[[#This Row],[tmp-owner.email]], "author", _xlfn.IFNA(VLOOKUP(drvlst[[#This Row],[reviewer]],OrgTree!$A:$J, 10, 0), "not ICG SWFW"))</f>
        <v>author</v>
      </c>
      <c r="P36" t="str">
        <f>IF(ISBLANK(drvlst[[#This Row],[number]]), "",SUM(drvlst[[#This Row],[BJ -1 num]],drvlst[[#This Row],[FI -1 num]]))</f>
        <v/>
      </c>
      <c r="Q36" t="str">
        <f>IF(ISBLANK(drvlst[[#This Row],[number]]), "",COUNTIFS($A:$A,drvlst[[#This Row],[tmp-number]],$O:$O, "BJ And dev",$U:$U, "Review-1"))</f>
        <v/>
      </c>
      <c r="R36" t="str">
        <f>IF(ISBLANK(drvlst[[#This Row],[number]]), "",COUNTIFS($A:$A,drvlst[[#This Row],[tmp-number]],$O:$O, "FL And dev",$U:$U, "Review-1"))</f>
        <v/>
      </c>
      <c r="S36" t="str">
        <f>IF(ISBLANK(drvlst[[#This Row],[number]]), "",COUNTIFS($A:$A,drvlst[[#This Row],[tmp-number]],$O:$O, "BJ And dev",$V:$V, "&lt;&gt;IntegratorComment"))</f>
        <v/>
      </c>
      <c r="T36" t="str">
        <f>IF(ISBLANK(drvlst[[#This Row],[number]]), "",COUNTIFS($A:$A,drvlst[[#This Row],[tmp-number]],$O:$O, "FL And dev",$V:$V, "&lt;&gt;IntegratorComment"))</f>
        <v/>
      </c>
      <c r="U36" t="str">
        <f>IF(OR(ISNUMBER(FIND("Review-1", drvlst[[#This Row],[comments]])), ISNUMBER(FIND("Approver-1", drvlst[[#This Row],[comments]]))), "Review-1", "")</f>
        <v/>
      </c>
      <c r="V36" t="str">
        <f>IF(OR(ISNUMBER(FIND(": Integrator", drvlst[[#This Row],[comments]])), ISNUMBER(FIND(":\n\nIntegrator", drvlst[[#This Row],[comments]])), ISNUMBER(FIND("-Integrator", drvlst[[#This Row],[comments]]))), "IntegratorComment", "")</f>
        <v/>
      </c>
      <c r="W36" t="str">
        <f>IF(ISBLANK(drvlst[[#This Row],[status]]),W35,drvlst[[#This Row],[status]])</f>
        <v>MERGED</v>
      </c>
    </row>
    <row r="37" spans="1:23">
      <c r="A37">
        <f>IF(ISBLANK(drvlst[[#This Row],[number]]),A36,drvlst[[#This Row],[number]])</f>
        <v>92516</v>
      </c>
      <c r="J37" t="s">
        <v>91</v>
      </c>
      <c r="K37" s="8">
        <v>42377.647152777776</v>
      </c>
      <c r="L37" t="s">
        <v>1847</v>
      </c>
      <c r="M37" s="7" t="str">
        <f>IF(ISBLANK(drvlst[[#This Row],[owner.emal]]),M36,drvlst[[#This Row],[owner.emal]])</f>
        <v>sakari.ailus@intel.com</v>
      </c>
      <c r="N37">
        <f>_xlfn.IFNA(VLOOKUP(drvlst[[#This Row],[tmp-owner.email]],OrgTree!$A:$J, 10, 0), "not ICG SWFW")</f>
        <v>0</v>
      </c>
      <c r="O37" t="str">
        <f>IF(drvlst[[#This Row],[reviewer]]=drvlst[[#This Row],[tmp-owner.email]], "author", _xlfn.IFNA(VLOOKUP(drvlst[[#This Row],[reviewer]],OrgTree!$A:$J, 10, 0), "not ICG SWFW"))</f>
        <v>author</v>
      </c>
      <c r="P37" t="str">
        <f>IF(ISBLANK(drvlst[[#This Row],[number]]), "",SUM(drvlst[[#This Row],[BJ -1 num]],drvlst[[#This Row],[FI -1 num]]))</f>
        <v/>
      </c>
      <c r="Q37" t="str">
        <f>IF(ISBLANK(drvlst[[#This Row],[number]]), "",COUNTIFS($A:$A,drvlst[[#This Row],[tmp-number]],$O:$O, "BJ And dev",$U:$U, "Review-1"))</f>
        <v/>
      </c>
      <c r="R37" t="str">
        <f>IF(ISBLANK(drvlst[[#This Row],[number]]), "",COUNTIFS($A:$A,drvlst[[#This Row],[tmp-number]],$O:$O, "FL And dev",$U:$U, "Review-1"))</f>
        <v/>
      </c>
      <c r="S37" t="str">
        <f>IF(ISBLANK(drvlst[[#This Row],[number]]), "",COUNTIFS($A:$A,drvlst[[#This Row],[tmp-number]],$O:$O, "BJ And dev",$V:$V, "&lt;&gt;IntegratorComment"))</f>
        <v/>
      </c>
      <c r="T37" t="str">
        <f>IF(ISBLANK(drvlst[[#This Row],[number]]), "",COUNTIFS($A:$A,drvlst[[#This Row],[tmp-number]],$O:$O, "FL And dev",$V:$V, "&lt;&gt;IntegratorComment"))</f>
        <v/>
      </c>
      <c r="U37" t="str">
        <f>IF(OR(ISNUMBER(FIND("Review-1", drvlst[[#This Row],[comments]])), ISNUMBER(FIND("Approver-1", drvlst[[#This Row],[comments]]))), "Review-1", "")</f>
        <v/>
      </c>
      <c r="V37" t="str">
        <f>IF(OR(ISNUMBER(FIND(": Integrator", drvlst[[#This Row],[comments]])), ISNUMBER(FIND(":\n\nIntegrator", drvlst[[#This Row],[comments]])), ISNUMBER(FIND("-Integrator", drvlst[[#This Row],[comments]]))), "IntegratorComment", "")</f>
        <v/>
      </c>
      <c r="W37" t="str">
        <f>IF(ISBLANK(drvlst[[#This Row],[status]]),W36,drvlst[[#This Row],[status]])</f>
        <v>MERGED</v>
      </c>
    </row>
    <row r="38" spans="1:23">
      <c r="A38">
        <f>IF(ISBLANK(drvlst[[#This Row],[number]]),A37,drvlst[[#This Row],[number]])</f>
        <v>92516</v>
      </c>
      <c r="J38" t="s">
        <v>70</v>
      </c>
      <c r="K38" s="8">
        <v>42377.651134259257</v>
      </c>
      <c r="L38" t="s">
        <v>1849</v>
      </c>
      <c r="M38" s="7" t="str">
        <f>IF(ISBLANK(drvlst[[#This Row],[owner.emal]]),M37,drvlst[[#This Row],[owner.emal]])</f>
        <v>sakari.ailus@intel.com</v>
      </c>
      <c r="N38">
        <f>_xlfn.IFNA(VLOOKUP(drvlst[[#This Row],[tmp-owner.email]],OrgTree!$A:$J, 10, 0), "not ICG SWFW")</f>
        <v>0</v>
      </c>
      <c r="O38">
        <f>IF(drvlst[[#This Row],[reviewer]]=drvlst[[#This Row],[tmp-owner.email]], "author", _xlfn.IFNA(VLOOKUP(drvlst[[#This Row],[reviewer]],OrgTree!$A:$J, 10, 0), "not ICG SWFW"))</f>
        <v>0</v>
      </c>
      <c r="P38" t="str">
        <f>IF(ISBLANK(drvlst[[#This Row],[number]]), "",SUM(drvlst[[#This Row],[BJ -1 num]],drvlst[[#This Row],[FI -1 num]]))</f>
        <v/>
      </c>
      <c r="Q38" t="str">
        <f>IF(ISBLANK(drvlst[[#This Row],[number]]), "",COUNTIFS($A:$A,drvlst[[#This Row],[tmp-number]],$O:$O, "BJ And dev",$U:$U, "Review-1"))</f>
        <v/>
      </c>
      <c r="R38" t="str">
        <f>IF(ISBLANK(drvlst[[#This Row],[number]]), "",COUNTIFS($A:$A,drvlst[[#This Row],[tmp-number]],$O:$O, "FL And dev",$U:$U, "Review-1"))</f>
        <v/>
      </c>
      <c r="S38" t="str">
        <f>IF(ISBLANK(drvlst[[#This Row],[number]]), "",COUNTIFS($A:$A,drvlst[[#This Row],[tmp-number]],$O:$O, "BJ And dev",$V:$V, "&lt;&gt;IntegratorComment"))</f>
        <v/>
      </c>
      <c r="T38" t="str">
        <f>IF(ISBLANK(drvlst[[#This Row],[number]]), "",COUNTIFS($A:$A,drvlst[[#This Row],[tmp-number]],$O:$O, "FL And dev",$V:$V, "&lt;&gt;IntegratorComment"))</f>
        <v/>
      </c>
      <c r="U38" t="str">
        <f>IF(OR(ISNUMBER(FIND("Review-1", drvlst[[#This Row],[comments]])), ISNUMBER(FIND("Approver-1", drvlst[[#This Row],[comments]]))), "Review-1", "")</f>
        <v/>
      </c>
      <c r="V38" t="str">
        <f>IF(OR(ISNUMBER(FIND(": Integrator", drvlst[[#This Row],[comments]])), ISNUMBER(FIND(":\n\nIntegrator", drvlst[[#This Row],[comments]])), ISNUMBER(FIND("-Integrator", drvlst[[#This Row],[comments]]))), "IntegratorComment", "")</f>
        <v/>
      </c>
      <c r="W38" t="str">
        <f>IF(ISBLANK(drvlst[[#This Row],[status]]),W37,drvlst[[#This Row],[status]])</f>
        <v>MERGED</v>
      </c>
    </row>
    <row r="39" spans="1:23">
      <c r="A39">
        <f>IF(ISBLANK(drvlst[[#This Row],[number]]),A38,drvlst[[#This Row],[number]])</f>
        <v>92516</v>
      </c>
      <c r="J39" t="s">
        <v>70</v>
      </c>
      <c r="K39" s="8">
        <v>42377.672766203701</v>
      </c>
      <c r="L39" t="s">
        <v>1848</v>
      </c>
      <c r="M39" s="7" t="str">
        <f>IF(ISBLANK(drvlst[[#This Row],[owner.emal]]),M38,drvlst[[#This Row],[owner.emal]])</f>
        <v>sakari.ailus@intel.com</v>
      </c>
      <c r="N39">
        <f>_xlfn.IFNA(VLOOKUP(drvlst[[#This Row],[tmp-owner.email]],OrgTree!$A:$J, 10, 0), "not ICG SWFW")</f>
        <v>0</v>
      </c>
      <c r="O39">
        <f>IF(drvlst[[#This Row],[reviewer]]=drvlst[[#This Row],[tmp-owner.email]], "author", _xlfn.IFNA(VLOOKUP(drvlst[[#This Row],[reviewer]],OrgTree!$A:$J, 10, 0), "not ICG SWFW"))</f>
        <v>0</v>
      </c>
      <c r="P39" t="str">
        <f>IF(ISBLANK(drvlst[[#This Row],[number]]), "",SUM(drvlst[[#This Row],[BJ -1 num]],drvlst[[#This Row],[FI -1 num]]))</f>
        <v/>
      </c>
      <c r="Q39" t="str">
        <f>IF(ISBLANK(drvlst[[#This Row],[number]]), "",COUNTIFS($A:$A,drvlst[[#This Row],[tmp-number]],$O:$O, "BJ And dev",$U:$U, "Review-1"))</f>
        <v/>
      </c>
      <c r="R39" t="str">
        <f>IF(ISBLANK(drvlst[[#This Row],[number]]), "",COUNTIFS($A:$A,drvlst[[#This Row],[tmp-number]],$O:$O, "FL And dev",$U:$U, "Review-1"))</f>
        <v/>
      </c>
      <c r="S39" t="str">
        <f>IF(ISBLANK(drvlst[[#This Row],[number]]), "",COUNTIFS($A:$A,drvlst[[#This Row],[tmp-number]],$O:$O, "BJ And dev",$V:$V, "&lt;&gt;IntegratorComment"))</f>
        <v/>
      </c>
      <c r="T39" t="str">
        <f>IF(ISBLANK(drvlst[[#This Row],[number]]), "",COUNTIFS($A:$A,drvlst[[#This Row],[tmp-number]],$O:$O, "FL And dev",$V:$V, "&lt;&gt;IntegratorComment"))</f>
        <v/>
      </c>
      <c r="U39" t="str">
        <f>IF(OR(ISNUMBER(FIND("Review-1", drvlst[[#This Row],[comments]])), ISNUMBER(FIND("Approver-1", drvlst[[#This Row],[comments]]))), "Review-1", "")</f>
        <v/>
      </c>
      <c r="V39" t="str">
        <f>IF(OR(ISNUMBER(FIND(": Integrator", drvlst[[#This Row],[comments]])), ISNUMBER(FIND(":\n\nIntegrator", drvlst[[#This Row],[comments]])), ISNUMBER(FIND("-Integrator", drvlst[[#This Row],[comments]]))), "IntegratorComment", "")</f>
        <v/>
      </c>
      <c r="W39" t="str">
        <f>IF(ISBLANK(drvlst[[#This Row],[status]]),W38,drvlst[[#This Row],[status]])</f>
        <v>MERGED</v>
      </c>
    </row>
    <row r="40" spans="1:23">
      <c r="A40">
        <f>IF(ISBLANK(drvlst[[#This Row],[number]]),A39,drvlst[[#This Row],[number]])</f>
        <v>92516</v>
      </c>
      <c r="J40" t="s">
        <v>30</v>
      </c>
      <c r="K40" s="8">
        <v>42377.706469907411</v>
      </c>
      <c r="L40" t="s">
        <v>1887</v>
      </c>
      <c r="M40" s="7" t="str">
        <f>IF(ISBLANK(drvlst[[#This Row],[owner.emal]]),M39,drvlst[[#This Row],[owner.emal]])</f>
        <v>sakari.ailus@intel.com</v>
      </c>
      <c r="N40">
        <f>_xlfn.IFNA(VLOOKUP(drvlst[[#This Row],[tmp-owner.email]],OrgTree!$A:$J, 10, 0), "not ICG SWFW")</f>
        <v>0</v>
      </c>
      <c r="O40">
        <f>IF(drvlst[[#This Row],[reviewer]]=drvlst[[#This Row],[tmp-owner.email]], "author", _xlfn.IFNA(VLOOKUP(drvlst[[#This Row],[reviewer]],OrgTree!$A:$J, 10, 0), "not ICG SWFW"))</f>
        <v>0</v>
      </c>
      <c r="P40" t="str">
        <f>IF(ISBLANK(drvlst[[#This Row],[number]]), "",SUM(drvlst[[#This Row],[BJ -1 num]],drvlst[[#This Row],[FI -1 num]]))</f>
        <v/>
      </c>
      <c r="Q40" t="str">
        <f>IF(ISBLANK(drvlst[[#This Row],[number]]), "",COUNTIFS($A:$A,drvlst[[#This Row],[tmp-number]],$O:$O, "BJ And dev",$U:$U, "Review-1"))</f>
        <v/>
      </c>
      <c r="R40" t="str">
        <f>IF(ISBLANK(drvlst[[#This Row],[number]]), "",COUNTIFS($A:$A,drvlst[[#This Row],[tmp-number]],$O:$O, "FL And dev",$U:$U, "Review-1"))</f>
        <v/>
      </c>
      <c r="S40" t="str">
        <f>IF(ISBLANK(drvlst[[#This Row],[number]]), "",COUNTIFS($A:$A,drvlst[[#This Row],[tmp-number]],$O:$O, "BJ And dev",$V:$V, "&lt;&gt;IntegratorComment"))</f>
        <v/>
      </c>
      <c r="T40" t="str">
        <f>IF(ISBLANK(drvlst[[#This Row],[number]]), "",COUNTIFS($A:$A,drvlst[[#This Row],[tmp-number]],$O:$O, "FL And dev",$V:$V, "&lt;&gt;IntegratorComment"))</f>
        <v/>
      </c>
      <c r="U40" t="str">
        <f>IF(OR(ISNUMBER(FIND("Review-1", drvlst[[#This Row],[comments]])), ISNUMBER(FIND("Approver-1", drvlst[[#This Row],[comments]]))), "Review-1", "")</f>
        <v/>
      </c>
      <c r="V40" t="str">
        <f>IF(OR(ISNUMBER(FIND(": Integrator", drvlst[[#This Row],[comments]])), ISNUMBER(FIND(":\n\nIntegrator", drvlst[[#This Row],[comments]])), ISNUMBER(FIND("-Integrator", drvlst[[#This Row],[comments]]))), "IntegratorComment", "")</f>
        <v/>
      </c>
      <c r="W40" t="str">
        <f>IF(ISBLANK(drvlst[[#This Row],[status]]),W39,drvlst[[#This Row],[status]])</f>
        <v>MERGED</v>
      </c>
    </row>
    <row r="41" spans="1:23">
      <c r="A41">
        <f>IF(ISBLANK(drvlst[[#This Row],[number]]),A40,drvlst[[#This Row],[number]])</f>
        <v>92516</v>
      </c>
      <c r="J41" t="s">
        <v>34</v>
      </c>
      <c r="K41" s="8">
        <v>42380.60328703704</v>
      </c>
      <c r="L41" t="s">
        <v>1850</v>
      </c>
      <c r="M41" s="7" t="str">
        <f>IF(ISBLANK(drvlst[[#This Row],[owner.emal]]),M40,drvlst[[#This Row],[owner.emal]])</f>
        <v>sakari.ailus@intel.com</v>
      </c>
      <c r="N41">
        <f>_xlfn.IFNA(VLOOKUP(drvlst[[#This Row],[tmp-owner.email]],OrgTree!$A:$J, 10, 0), "not ICG SWFW")</f>
        <v>0</v>
      </c>
      <c r="O41">
        <f>IF(drvlst[[#This Row],[reviewer]]=drvlst[[#This Row],[tmp-owner.email]], "author", _xlfn.IFNA(VLOOKUP(drvlst[[#This Row],[reviewer]],OrgTree!$A:$J, 10, 0), "not ICG SWFW"))</f>
        <v>0</v>
      </c>
      <c r="P41" t="str">
        <f>IF(ISBLANK(drvlst[[#This Row],[number]]), "",SUM(drvlst[[#This Row],[BJ -1 num]],drvlst[[#This Row],[FI -1 num]]))</f>
        <v/>
      </c>
      <c r="Q41" t="str">
        <f>IF(ISBLANK(drvlst[[#This Row],[number]]), "",COUNTIFS($A:$A,drvlst[[#This Row],[tmp-number]],$O:$O, "BJ And dev",$U:$U, "Review-1"))</f>
        <v/>
      </c>
      <c r="R41" t="str">
        <f>IF(ISBLANK(drvlst[[#This Row],[number]]), "",COUNTIFS($A:$A,drvlst[[#This Row],[tmp-number]],$O:$O, "FL And dev",$U:$U, "Review-1"))</f>
        <v/>
      </c>
      <c r="S41" t="str">
        <f>IF(ISBLANK(drvlst[[#This Row],[number]]), "",COUNTIFS($A:$A,drvlst[[#This Row],[tmp-number]],$O:$O, "BJ And dev",$V:$V, "&lt;&gt;IntegratorComment"))</f>
        <v/>
      </c>
      <c r="T41" t="str">
        <f>IF(ISBLANK(drvlst[[#This Row],[number]]), "",COUNTIFS($A:$A,drvlst[[#This Row],[tmp-number]],$O:$O, "FL And dev",$V:$V, "&lt;&gt;IntegratorComment"))</f>
        <v/>
      </c>
      <c r="U41" t="str">
        <f>IF(OR(ISNUMBER(FIND("Review-1", drvlst[[#This Row],[comments]])), ISNUMBER(FIND("Approver-1", drvlst[[#This Row],[comments]]))), "Review-1", "")</f>
        <v/>
      </c>
      <c r="V41" t="str">
        <f>IF(OR(ISNUMBER(FIND(": Integrator", drvlst[[#This Row],[comments]])), ISNUMBER(FIND(":\n\nIntegrator", drvlst[[#This Row],[comments]])), ISNUMBER(FIND("-Integrator", drvlst[[#This Row],[comments]]))), "IntegratorComment", "")</f>
        <v>IntegratorComment</v>
      </c>
      <c r="W41" t="str">
        <f>IF(ISBLANK(drvlst[[#This Row],[status]]),W40,drvlst[[#This Row],[status]])</f>
        <v>MERGED</v>
      </c>
    </row>
    <row r="42" spans="1:23">
      <c r="A42">
        <f>IF(ISBLANK(drvlst[[#This Row],[number]]),A41,drvlst[[#This Row],[number]])</f>
        <v>92516</v>
      </c>
      <c r="J42" t="s">
        <v>34</v>
      </c>
      <c r="K42" s="8">
        <v>42380.617835648147</v>
      </c>
      <c r="L42" t="s">
        <v>1909</v>
      </c>
      <c r="M42" s="7" t="str">
        <f>IF(ISBLANK(drvlst[[#This Row],[owner.emal]]),M41,drvlst[[#This Row],[owner.emal]])</f>
        <v>sakari.ailus@intel.com</v>
      </c>
      <c r="N42">
        <f>_xlfn.IFNA(VLOOKUP(drvlst[[#This Row],[tmp-owner.email]],OrgTree!$A:$J, 10, 0), "not ICG SWFW")</f>
        <v>0</v>
      </c>
      <c r="O42">
        <f>IF(drvlst[[#This Row],[reviewer]]=drvlst[[#This Row],[tmp-owner.email]], "author", _xlfn.IFNA(VLOOKUP(drvlst[[#This Row],[reviewer]],OrgTree!$A:$J, 10, 0), "not ICG SWFW"))</f>
        <v>0</v>
      </c>
      <c r="P42" t="str">
        <f>IF(ISBLANK(drvlst[[#This Row],[number]]), "",SUM(drvlst[[#This Row],[BJ -1 num]],drvlst[[#This Row],[FI -1 num]]))</f>
        <v/>
      </c>
      <c r="Q42" t="str">
        <f>IF(ISBLANK(drvlst[[#This Row],[number]]), "",COUNTIFS($A:$A,drvlst[[#This Row],[tmp-number]],$O:$O, "BJ And dev",$U:$U, "Review-1"))</f>
        <v/>
      </c>
      <c r="R42" t="str">
        <f>IF(ISBLANK(drvlst[[#This Row],[number]]), "",COUNTIFS($A:$A,drvlst[[#This Row],[tmp-number]],$O:$O, "FL And dev",$U:$U, "Review-1"))</f>
        <v/>
      </c>
      <c r="S42" t="str">
        <f>IF(ISBLANK(drvlst[[#This Row],[number]]), "",COUNTIFS($A:$A,drvlst[[#This Row],[tmp-number]],$O:$O, "BJ And dev",$V:$V, "&lt;&gt;IntegratorComment"))</f>
        <v/>
      </c>
      <c r="T42" t="str">
        <f>IF(ISBLANK(drvlst[[#This Row],[number]]), "",COUNTIFS($A:$A,drvlst[[#This Row],[tmp-number]],$O:$O, "FL And dev",$V:$V, "&lt;&gt;IntegratorComment"))</f>
        <v/>
      </c>
      <c r="U42" t="str">
        <f>IF(OR(ISNUMBER(FIND("Review-1", drvlst[[#This Row],[comments]])), ISNUMBER(FIND("Approver-1", drvlst[[#This Row],[comments]]))), "Review-1", "")</f>
        <v/>
      </c>
      <c r="V42" t="str">
        <f>IF(OR(ISNUMBER(FIND(": Integrator", drvlst[[#This Row],[comments]])), ISNUMBER(FIND(":\n\nIntegrator", drvlst[[#This Row],[comments]])), ISNUMBER(FIND("-Integrator", drvlst[[#This Row],[comments]]))), "IntegratorComment", "")</f>
        <v>IntegratorComment</v>
      </c>
      <c r="W42" t="str">
        <f>IF(ISBLANK(drvlst[[#This Row],[status]]),W41,drvlst[[#This Row],[status]])</f>
        <v>MERGED</v>
      </c>
    </row>
    <row r="43" spans="1:23">
      <c r="A43">
        <f>IF(ISBLANK(drvlst[[#This Row],[number]]),A42,drvlst[[#This Row],[number]])</f>
        <v>92516</v>
      </c>
      <c r="J43" t="s">
        <v>91</v>
      </c>
      <c r="K43" s="8">
        <v>42383.808657407404</v>
      </c>
      <c r="L43" t="s">
        <v>1896</v>
      </c>
      <c r="M43" s="7" t="str">
        <f>IF(ISBLANK(drvlst[[#This Row],[owner.emal]]),M42,drvlst[[#This Row],[owner.emal]])</f>
        <v>sakari.ailus@intel.com</v>
      </c>
      <c r="N43">
        <f>_xlfn.IFNA(VLOOKUP(drvlst[[#This Row],[tmp-owner.email]],OrgTree!$A:$J, 10, 0), "not ICG SWFW")</f>
        <v>0</v>
      </c>
      <c r="O43" t="str">
        <f>IF(drvlst[[#This Row],[reviewer]]=drvlst[[#This Row],[tmp-owner.email]], "author", _xlfn.IFNA(VLOOKUP(drvlst[[#This Row],[reviewer]],OrgTree!$A:$J, 10, 0), "not ICG SWFW"))</f>
        <v>author</v>
      </c>
      <c r="P43" t="str">
        <f>IF(ISBLANK(drvlst[[#This Row],[number]]), "",SUM(drvlst[[#This Row],[BJ -1 num]],drvlst[[#This Row],[FI -1 num]]))</f>
        <v/>
      </c>
      <c r="Q43" t="str">
        <f>IF(ISBLANK(drvlst[[#This Row],[number]]), "",COUNTIFS($A:$A,drvlst[[#This Row],[tmp-number]],$O:$O, "BJ And dev",$U:$U, "Review-1"))</f>
        <v/>
      </c>
      <c r="R43" t="str">
        <f>IF(ISBLANK(drvlst[[#This Row],[number]]), "",COUNTIFS($A:$A,drvlst[[#This Row],[tmp-number]],$O:$O, "FL And dev",$U:$U, "Review-1"))</f>
        <v/>
      </c>
      <c r="S43" t="str">
        <f>IF(ISBLANK(drvlst[[#This Row],[number]]), "",COUNTIFS($A:$A,drvlst[[#This Row],[tmp-number]],$O:$O, "BJ And dev",$V:$V, "&lt;&gt;IntegratorComment"))</f>
        <v/>
      </c>
      <c r="T43" t="str">
        <f>IF(ISBLANK(drvlst[[#This Row],[number]]), "",COUNTIFS($A:$A,drvlst[[#This Row],[tmp-number]],$O:$O, "FL And dev",$V:$V, "&lt;&gt;IntegratorComment"))</f>
        <v/>
      </c>
      <c r="U43" t="str">
        <f>IF(OR(ISNUMBER(FIND("Review-1", drvlst[[#This Row],[comments]])), ISNUMBER(FIND("Approver-1", drvlst[[#This Row],[comments]]))), "Review-1", "")</f>
        <v/>
      </c>
      <c r="V43" t="str">
        <f>IF(OR(ISNUMBER(FIND(": Integrator", drvlst[[#This Row],[comments]])), ISNUMBER(FIND(":\n\nIntegrator", drvlst[[#This Row],[comments]])), ISNUMBER(FIND("-Integrator", drvlst[[#This Row],[comments]]))), "IntegratorComment", "")</f>
        <v/>
      </c>
      <c r="W43" t="str">
        <f>IF(ISBLANK(drvlst[[#This Row],[status]]),W42,drvlst[[#This Row],[status]])</f>
        <v>MERGED</v>
      </c>
    </row>
    <row r="44" spans="1:23">
      <c r="A44">
        <f>IF(ISBLANK(drvlst[[#This Row],[number]]),A43,drvlst[[#This Row],[number]])</f>
        <v>92516</v>
      </c>
      <c r="J44" t="s">
        <v>91</v>
      </c>
      <c r="K44" s="8">
        <v>42383.808680555558</v>
      </c>
      <c r="L44" t="s">
        <v>1856</v>
      </c>
      <c r="M44" s="7" t="str">
        <f>IF(ISBLANK(drvlst[[#This Row],[owner.emal]]),M43,drvlst[[#This Row],[owner.emal]])</f>
        <v>sakari.ailus@intel.com</v>
      </c>
      <c r="N44">
        <f>_xlfn.IFNA(VLOOKUP(drvlst[[#This Row],[tmp-owner.email]],OrgTree!$A:$J, 10, 0), "not ICG SWFW")</f>
        <v>0</v>
      </c>
      <c r="O44" t="str">
        <f>IF(drvlst[[#This Row],[reviewer]]=drvlst[[#This Row],[tmp-owner.email]], "author", _xlfn.IFNA(VLOOKUP(drvlst[[#This Row],[reviewer]],OrgTree!$A:$J, 10, 0), "not ICG SWFW"))</f>
        <v>author</v>
      </c>
      <c r="P44" t="str">
        <f>IF(ISBLANK(drvlst[[#This Row],[number]]), "",SUM(drvlst[[#This Row],[BJ -1 num]],drvlst[[#This Row],[FI -1 num]]))</f>
        <v/>
      </c>
      <c r="Q44" t="str">
        <f>IF(ISBLANK(drvlst[[#This Row],[number]]), "",COUNTIFS($A:$A,drvlst[[#This Row],[tmp-number]],$O:$O, "BJ And dev",$U:$U, "Review-1"))</f>
        <v/>
      </c>
      <c r="R44" t="str">
        <f>IF(ISBLANK(drvlst[[#This Row],[number]]), "",COUNTIFS($A:$A,drvlst[[#This Row],[tmp-number]],$O:$O, "FL And dev",$U:$U, "Review-1"))</f>
        <v/>
      </c>
      <c r="S44" t="str">
        <f>IF(ISBLANK(drvlst[[#This Row],[number]]), "",COUNTIFS($A:$A,drvlst[[#This Row],[tmp-number]],$O:$O, "BJ And dev",$V:$V, "&lt;&gt;IntegratorComment"))</f>
        <v/>
      </c>
      <c r="T44" t="str">
        <f>IF(ISBLANK(drvlst[[#This Row],[number]]), "",COUNTIFS($A:$A,drvlst[[#This Row],[tmp-number]],$O:$O, "FL And dev",$V:$V, "&lt;&gt;IntegratorComment"))</f>
        <v/>
      </c>
      <c r="U44" t="str">
        <f>IF(OR(ISNUMBER(FIND("Review-1", drvlst[[#This Row],[comments]])), ISNUMBER(FIND("Approver-1", drvlst[[#This Row],[comments]]))), "Review-1", "")</f>
        <v/>
      </c>
      <c r="V44" t="str">
        <f>IF(OR(ISNUMBER(FIND(": Integrator", drvlst[[#This Row],[comments]])), ISNUMBER(FIND(":\n\nIntegrator", drvlst[[#This Row],[comments]])), ISNUMBER(FIND("-Integrator", drvlst[[#This Row],[comments]]))), "IntegratorComment", "")</f>
        <v/>
      </c>
      <c r="W44" t="str">
        <f>IF(ISBLANK(drvlst[[#This Row],[status]]),W43,drvlst[[#This Row],[status]])</f>
        <v>MERGED</v>
      </c>
    </row>
    <row r="45" spans="1:23">
      <c r="A45">
        <f>IF(ISBLANK(drvlst[[#This Row],[number]]),A44,drvlst[[#This Row],[number]])</f>
        <v>92516</v>
      </c>
      <c r="J45" t="s">
        <v>91</v>
      </c>
      <c r="K45" s="8">
        <v>42383.808749999997</v>
      </c>
      <c r="L45" t="s">
        <v>1867</v>
      </c>
      <c r="M45" s="7" t="str">
        <f>IF(ISBLANK(drvlst[[#This Row],[owner.emal]]),M44,drvlst[[#This Row],[owner.emal]])</f>
        <v>sakari.ailus@intel.com</v>
      </c>
      <c r="N45">
        <f>_xlfn.IFNA(VLOOKUP(drvlst[[#This Row],[tmp-owner.email]],OrgTree!$A:$J, 10, 0), "not ICG SWFW")</f>
        <v>0</v>
      </c>
      <c r="O45" t="str">
        <f>IF(drvlst[[#This Row],[reviewer]]=drvlst[[#This Row],[tmp-owner.email]], "author", _xlfn.IFNA(VLOOKUP(drvlst[[#This Row],[reviewer]],OrgTree!$A:$J, 10, 0), "not ICG SWFW"))</f>
        <v>author</v>
      </c>
      <c r="P45" t="str">
        <f>IF(ISBLANK(drvlst[[#This Row],[number]]), "",SUM(drvlst[[#This Row],[BJ -1 num]],drvlst[[#This Row],[FI -1 num]]))</f>
        <v/>
      </c>
      <c r="Q45" t="str">
        <f>IF(ISBLANK(drvlst[[#This Row],[number]]), "",COUNTIFS($A:$A,drvlst[[#This Row],[tmp-number]],$O:$O, "BJ And dev",$U:$U, "Review-1"))</f>
        <v/>
      </c>
      <c r="R45" t="str">
        <f>IF(ISBLANK(drvlst[[#This Row],[number]]), "",COUNTIFS($A:$A,drvlst[[#This Row],[tmp-number]],$O:$O, "FL And dev",$U:$U, "Review-1"))</f>
        <v/>
      </c>
      <c r="S45" t="str">
        <f>IF(ISBLANK(drvlst[[#This Row],[number]]), "",COUNTIFS($A:$A,drvlst[[#This Row],[tmp-number]],$O:$O, "BJ And dev",$V:$V, "&lt;&gt;IntegratorComment"))</f>
        <v/>
      </c>
      <c r="T45" t="str">
        <f>IF(ISBLANK(drvlst[[#This Row],[number]]), "",COUNTIFS($A:$A,drvlst[[#This Row],[tmp-number]],$O:$O, "FL And dev",$V:$V, "&lt;&gt;IntegratorComment"))</f>
        <v/>
      </c>
      <c r="U45" t="str">
        <f>IF(OR(ISNUMBER(FIND("Review-1", drvlst[[#This Row],[comments]])), ISNUMBER(FIND("Approver-1", drvlst[[#This Row],[comments]]))), "Review-1", "")</f>
        <v/>
      </c>
      <c r="V45" t="str">
        <f>IF(OR(ISNUMBER(FIND(": Integrator", drvlst[[#This Row],[comments]])), ISNUMBER(FIND(":\n\nIntegrator", drvlst[[#This Row],[comments]])), ISNUMBER(FIND("-Integrator", drvlst[[#This Row],[comments]]))), "IntegratorComment", "")</f>
        <v/>
      </c>
      <c r="W45" t="str">
        <f>IF(ISBLANK(drvlst[[#This Row],[status]]),W44,drvlst[[#This Row],[status]])</f>
        <v>MERGED</v>
      </c>
    </row>
    <row r="46" spans="1:23">
      <c r="A46">
        <f>IF(ISBLANK(drvlst[[#This Row],[number]]),A45,drvlst[[#This Row],[number]])</f>
        <v>92516</v>
      </c>
      <c r="J46" t="s">
        <v>30</v>
      </c>
      <c r="K46" s="8">
        <v>42383.809108796297</v>
      </c>
      <c r="L46" t="s">
        <v>1910</v>
      </c>
      <c r="M46" s="7" t="str">
        <f>IF(ISBLANK(drvlst[[#This Row],[owner.emal]]),M45,drvlst[[#This Row],[owner.emal]])</f>
        <v>sakari.ailus@intel.com</v>
      </c>
      <c r="N46">
        <f>_xlfn.IFNA(VLOOKUP(drvlst[[#This Row],[tmp-owner.email]],OrgTree!$A:$J, 10, 0), "not ICG SWFW")</f>
        <v>0</v>
      </c>
      <c r="O46">
        <f>IF(drvlst[[#This Row],[reviewer]]=drvlst[[#This Row],[tmp-owner.email]], "author", _xlfn.IFNA(VLOOKUP(drvlst[[#This Row],[reviewer]],OrgTree!$A:$J, 10, 0), "not ICG SWFW"))</f>
        <v>0</v>
      </c>
      <c r="P46" t="str">
        <f>IF(ISBLANK(drvlst[[#This Row],[number]]), "",SUM(drvlst[[#This Row],[BJ -1 num]],drvlst[[#This Row],[FI -1 num]]))</f>
        <v/>
      </c>
      <c r="Q46" t="str">
        <f>IF(ISBLANK(drvlst[[#This Row],[number]]), "",COUNTIFS($A:$A,drvlst[[#This Row],[tmp-number]],$O:$O, "BJ And dev",$U:$U, "Review-1"))</f>
        <v/>
      </c>
      <c r="R46" t="str">
        <f>IF(ISBLANK(drvlst[[#This Row],[number]]), "",COUNTIFS($A:$A,drvlst[[#This Row],[tmp-number]],$O:$O, "FL And dev",$U:$U, "Review-1"))</f>
        <v/>
      </c>
      <c r="S46" t="str">
        <f>IF(ISBLANK(drvlst[[#This Row],[number]]), "",COUNTIFS($A:$A,drvlst[[#This Row],[tmp-number]],$O:$O, "BJ And dev",$V:$V, "&lt;&gt;IntegratorComment"))</f>
        <v/>
      </c>
      <c r="T46" t="str">
        <f>IF(ISBLANK(drvlst[[#This Row],[number]]), "",COUNTIFS($A:$A,drvlst[[#This Row],[tmp-number]],$O:$O, "FL And dev",$V:$V, "&lt;&gt;IntegratorComment"))</f>
        <v/>
      </c>
      <c r="U46" t="str">
        <f>IF(OR(ISNUMBER(FIND("Review-1", drvlst[[#This Row],[comments]])), ISNUMBER(FIND("Approver-1", drvlst[[#This Row],[comments]]))), "Review-1", "")</f>
        <v/>
      </c>
      <c r="V46" t="str">
        <f>IF(OR(ISNUMBER(FIND(": Integrator", drvlst[[#This Row],[comments]])), ISNUMBER(FIND(":\n\nIntegrator", drvlst[[#This Row],[comments]])), ISNUMBER(FIND("-Integrator", drvlst[[#This Row],[comments]]))), "IntegratorComment", "")</f>
        <v/>
      </c>
      <c r="W46" t="str">
        <f>IF(ISBLANK(drvlst[[#This Row],[status]]),W45,drvlst[[#This Row],[status]])</f>
        <v>MERGED</v>
      </c>
    </row>
    <row r="47" spans="1:23">
      <c r="A47">
        <f>IF(ISBLANK(drvlst[[#This Row],[number]]),A46,drvlst[[#This Row],[number]])</f>
        <v>92516</v>
      </c>
      <c r="J47" t="s">
        <v>97</v>
      </c>
      <c r="K47" s="8">
        <v>42389.5153125</v>
      </c>
      <c r="L47" t="s">
        <v>1911</v>
      </c>
      <c r="M47" s="7" t="str">
        <f>IF(ISBLANK(drvlst[[#This Row],[owner.emal]]),M46,drvlst[[#This Row],[owner.emal]])</f>
        <v>sakari.ailus@intel.com</v>
      </c>
      <c r="N47">
        <f>_xlfn.IFNA(VLOOKUP(drvlst[[#This Row],[tmp-owner.email]],OrgTree!$A:$J, 10, 0), "not ICG SWFW")</f>
        <v>0</v>
      </c>
      <c r="O47">
        <f>IF(drvlst[[#This Row],[reviewer]]=drvlst[[#This Row],[tmp-owner.email]], "author", _xlfn.IFNA(VLOOKUP(drvlst[[#This Row],[reviewer]],OrgTree!$A:$J, 10, 0), "not ICG SWFW"))</f>
        <v>0</v>
      </c>
      <c r="P47" t="str">
        <f>IF(ISBLANK(drvlst[[#This Row],[number]]), "",SUM(drvlst[[#This Row],[BJ -1 num]],drvlst[[#This Row],[FI -1 num]]))</f>
        <v/>
      </c>
      <c r="Q47" t="str">
        <f>IF(ISBLANK(drvlst[[#This Row],[number]]), "",COUNTIFS($A:$A,drvlst[[#This Row],[tmp-number]],$O:$O, "BJ And dev",$U:$U, "Review-1"))</f>
        <v/>
      </c>
      <c r="R47" t="str">
        <f>IF(ISBLANK(drvlst[[#This Row],[number]]), "",COUNTIFS($A:$A,drvlst[[#This Row],[tmp-number]],$O:$O, "FL And dev",$U:$U, "Review-1"))</f>
        <v/>
      </c>
      <c r="S47" t="str">
        <f>IF(ISBLANK(drvlst[[#This Row],[number]]), "",COUNTIFS($A:$A,drvlst[[#This Row],[tmp-number]],$O:$O, "BJ And dev",$V:$V, "&lt;&gt;IntegratorComment"))</f>
        <v/>
      </c>
      <c r="T47" t="str">
        <f>IF(ISBLANK(drvlst[[#This Row],[number]]), "",COUNTIFS($A:$A,drvlst[[#This Row],[tmp-number]],$O:$O, "FL And dev",$V:$V, "&lt;&gt;IntegratorComment"))</f>
        <v/>
      </c>
      <c r="U47" t="str">
        <f>IF(OR(ISNUMBER(FIND("Review-1", drvlst[[#This Row],[comments]])), ISNUMBER(FIND("Approver-1", drvlst[[#This Row],[comments]]))), "Review-1", "")</f>
        <v/>
      </c>
      <c r="V47" t="str">
        <f>IF(OR(ISNUMBER(FIND(": Integrator", drvlst[[#This Row],[comments]])), ISNUMBER(FIND(":\n\nIntegrator", drvlst[[#This Row],[comments]])), ISNUMBER(FIND("-Integrator", drvlst[[#This Row],[comments]]))), "IntegratorComment", "")</f>
        <v/>
      </c>
      <c r="W47" t="str">
        <f>IF(ISBLANK(drvlst[[#This Row],[status]]),W46,drvlst[[#This Row],[status]])</f>
        <v>MERGED</v>
      </c>
    </row>
    <row r="48" spans="1:23">
      <c r="A48">
        <f>IF(ISBLANK(drvlst[[#This Row],[number]]),A47,drvlst[[#This Row],[number]])</f>
        <v>92516</v>
      </c>
      <c r="J48" t="s">
        <v>91</v>
      </c>
      <c r="K48" s="8">
        <v>42389.969664351855</v>
      </c>
      <c r="L48" t="s">
        <v>1912</v>
      </c>
      <c r="M48" s="7" t="str">
        <f>IF(ISBLANK(drvlst[[#This Row],[owner.emal]]),M47,drvlst[[#This Row],[owner.emal]])</f>
        <v>sakari.ailus@intel.com</v>
      </c>
      <c r="N48">
        <f>_xlfn.IFNA(VLOOKUP(drvlst[[#This Row],[tmp-owner.email]],OrgTree!$A:$J, 10, 0), "not ICG SWFW")</f>
        <v>0</v>
      </c>
      <c r="O48" t="str">
        <f>IF(drvlst[[#This Row],[reviewer]]=drvlst[[#This Row],[tmp-owner.email]], "author", _xlfn.IFNA(VLOOKUP(drvlst[[#This Row],[reviewer]],OrgTree!$A:$J, 10, 0), "not ICG SWFW"))</f>
        <v>author</v>
      </c>
      <c r="P48" t="str">
        <f>IF(ISBLANK(drvlst[[#This Row],[number]]), "",SUM(drvlst[[#This Row],[BJ -1 num]],drvlst[[#This Row],[FI -1 num]]))</f>
        <v/>
      </c>
      <c r="Q48" t="str">
        <f>IF(ISBLANK(drvlst[[#This Row],[number]]), "",COUNTIFS($A:$A,drvlst[[#This Row],[tmp-number]],$O:$O, "BJ And dev",$U:$U, "Review-1"))</f>
        <v/>
      </c>
      <c r="R48" t="str">
        <f>IF(ISBLANK(drvlst[[#This Row],[number]]), "",COUNTIFS($A:$A,drvlst[[#This Row],[tmp-number]],$O:$O, "FL And dev",$U:$U, "Review-1"))</f>
        <v/>
      </c>
      <c r="S48" t="str">
        <f>IF(ISBLANK(drvlst[[#This Row],[number]]), "",COUNTIFS($A:$A,drvlst[[#This Row],[tmp-number]],$O:$O, "BJ And dev",$V:$V, "&lt;&gt;IntegratorComment"))</f>
        <v/>
      </c>
      <c r="T48" t="str">
        <f>IF(ISBLANK(drvlst[[#This Row],[number]]), "",COUNTIFS($A:$A,drvlst[[#This Row],[tmp-number]],$O:$O, "FL And dev",$V:$V, "&lt;&gt;IntegratorComment"))</f>
        <v/>
      </c>
      <c r="U48" t="str">
        <f>IF(OR(ISNUMBER(FIND("Review-1", drvlst[[#This Row],[comments]])), ISNUMBER(FIND("Approver-1", drvlst[[#This Row],[comments]]))), "Review-1", "")</f>
        <v/>
      </c>
      <c r="V48" t="str">
        <f>IF(OR(ISNUMBER(FIND(": Integrator", drvlst[[#This Row],[comments]])), ISNUMBER(FIND(":\n\nIntegrator", drvlst[[#This Row],[comments]])), ISNUMBER(FIND("-Integrator", drvlst[[#This Row],[comments]]))), "IntegratorComment", "")</f>
        <v/>
      </c>
      <c r="W48" t="str">
        <f>IF(ISBLANK(drvlst[[#This Row],[status]]),W47,drvlst[[#This Row],[status]])</f>
        <v>MERGED</v>
      </c>
    </row>
    <row r="49" spans="1:23">
      <c r="A49">
        <f>IF(ISBLANK(drvlst[[#This Row],[number]]),A48,drvlst[[#This Row],[number]])</f>
        <v>92516</v>
      </c>
      <c r="J49" t="s">
        <v>91</v>
      </c>
      <c r="K49" s="8">
        <v>42389.969664351855</v>
      </c>
      <c r="L49" t="s">
        <v>1857</v>
      </c>
      <c r="M49" s="7" t="str">
        <f>IF(ISBLANK(drvlst[[#This Row],[owner.emal]]),M48,drvlst[[#This Row],[owner.emal]])</f>
        <v>sakari.ailus@intel.com</v>
      </c>
      <c r="N49">
        <f>_xlfn.IFNA(VLOOKUP(drvlst[[#This Row],[tmp-owner.email]],OrgTree!$A:$J, 10, 0), "not ICG SWFW")</f>
        <v>0</v>
      </c>
      <c r="O49" t="str">
        <f>IF(drvlst[[#This Row],[reviewer]]=drvlst[[#This Row],[tmp-owner.email]], "author", _xlfn.IFNA(VLOOKUP(drvlst[[#This Row],[reviewer]],OrgTree!$A:$J, 10, 0), "not ICG SWFW"))</f>
        <v>author</v>
      </c>
      <c r="P49" t="str">
        <f>IF(ISBLANK(drvlst[[#This Row],[number]]), "",SUM(drvlst[[#This Row],[BJ -1 num]],drvlst[[#This Row],[FI -1 num]]))</f>
        <v/>
      </c>
      <c r="Q49" t="str">
        <f>IF(ISBLANK(drvlst[[#This Row],[number]]), "",COUNTIFS($A:$A,drvlst[[#This Row],[tmp-number]],$O:$O, "BJ And dev",$U:$U, "Review-1"))</f>
        <v/>
      </c>
      <c r="R49" t="str">
        <f>IF(ISBLANK(drvlst[[#This Row],[number]]), "",COUNTIFS($A:$A,drvlst[[#This Row],[tmp-number]],$O:$O, "FL And dev",$U:$U, "Review-1"))</f>
        <v/>
      </c>
      <c r="S49" t="str">
        <f>IF(ISBLANK(drvlst[[#This Row],[number]]), "",COUNTIFS($A:$A,drvlst[[#This Row],[tmp-number]],$O:$O, "BJ And dev",$V:$V, "&lt;&gt;IntegratorComment"))</f>
        <v/>
      </c>
      <c r="T49" t="str">
        <f>IF(ISBLANK(drvlst[[#This Row],[number]]), "",COUNTIFS($A:$A,drvlst[[#This Row],[tmp-number]],$O:$O, "FL And dev",$V:$V, "&lt;&gt;IntegratorComment"))</f>
        <v/>
      </c>
      <c r="U49" t="str">
        <f>IF(OR(ISNUMBER(FIND("Review-1", drvlst[[#This Row],[comments]])), ISNUMBER(FIND("Approver-1", drvlst[[#This Row],[comments]]))), "Review-1", "")</f>
        <v/>
      </c>
      <c r="V49" t="str">
        <f>IF(OR(ISNUMBER(FIND(": Integrator", drvlst[[#This Row],[comments]])), ISNUMBER(FIND(":\n\nIntegrator", drvlst[[#This Row],[comments]])), ISNUMBER(FIND("-Integrator", drvlst[[#This Row],[comments]]))), "IntegratorComment", "")</f>
        <v/>
      </c>
      <c r="W49" t="str">
        <f>IF(ISBLANK(drvlst[[#This Row],[status]]),W48,drvlst[[#This Row],[status]])</f>
        <v>MERGED</v>
      </c>
    </row>
    <row r="50" spans="1:23">
      <c r="A50">
        <f>IF(ISBLANK(drvlst[[#This Row],[number]]),A49,drvlst[[#This Row],[number]])</f>
        <v>92516</v>
      </c>
      <c r="J50" t="s">
        <v>91</v>
      </c>
      <c r="K50" s="8">
        <v>42389.970011574071</v>
      </c>
      <c r="L50" t="s">
        <v>1859</v>
      </c>
      <c r="M50" s="7" t="str">
        <f>IF(ISBLANK(drvlst[[#This Row],[owner.emal]]),M49,drvlst[[#This Row],[owner.emal]])</f>
        <v>sakari.ailus@intel.com</v>
      </c>
      <c r="N50">
        <f>_xlfn.IFNA(VLOOKUP(drvlst[[#This Row],[tmp-owner.email]],OrgTree!$A:$J, 10, 0), "not ICG SWFW")</f>
        <v>0</v>
      </c>
      <c r="O50" t="str">
        <f>IF(drvlst[[#This Row],[reviewer]]=drvlst[[#This Row],[tmp-owner.email]], "author", _xlfn.IFNA(VLOOKUP(drvlst[[#This Row],[reviewer]],OrgTree!$A:$J, 10, 0), "not ICG SWFW"))</f>
        <v>author</v>
      </c>
      <c r="P50" t="str">
        <f>IF(ISBLANK(drvlst[[#This Row],[number]]), "",SUM(drvlst[[#This Row],[BJ -1 num]],drvlst[[#This Row],[FI -1 num]]))</f>
        <v/>
      </c>
      <c r="Q50" t="str">
        <f>IF(ISBLANK(drvlst[[#This Row],[number]]), "",COUNTIFS($A:$A,drvlst[[#This Row],[tmp-number]],$O:$O, "BJ And dev",$U:$U, "Review-1"))</f>
        <v/>
      </c>
      <c r="R50" t="str">
        <f>IF(ISBLANK(drvlst[[#This Row],[number]]), "",COUNTIFS($A:$A,drvlst[[#This Row],[tmp-number]],$O:$O, "FL And dev",$U:$U, "Review-1"))</f>
        <v/>
      </c>
      <c r="S50" t="str">
        <f>IF(ISBLANK(drvlst[[#This Row],[number]]), "",COUNTIFS($A:$A,drvlst[[#This Row],[tmp-number]],$O:$O, "BJ And dev",$V:$V, "&lt;&gt;IntegratorComment"))</f>
        <v/>
      </c>
      <c r="T50" t="str">
        <f>IF(ISBLANK(drvlst[[#This Row],[number]]), "",COUNTIFS($A:$A,drvlst[[#This Row],[tmp-number]],$O:$O, "FL And dev",$V:$V, "&lt;&gt;IntegratorComment"))</f>
        <v/>
      </c>
      <c r="U50" t="str">
        <f>IF(OR(ISNUMBER(FIND("Review-1", drvlst[[#This Row],[comments]])), ISNUMBER(FIND("Approver-1", drvlst[[#This Row],[comments]]))), "Review-1", "")</f>
        <v/>
      </c>
      <c r="V50" t="str">
        <f>IF(OR(ISNUMBER(FIND(": Integrator", drvlst[[#This Row],[comments]])), ISNUMBER(FIND(":\n\nIntegrator", drvlst[[#This Row],[comments]])), ISNUMBER(FIND("-Integrator", drvlst[[#This Row],[comments]]))), "IntegratorComment", "")</f>
        <v/>
      </c>
      <c r="W50" t="str">
        <f>IF(ISBLANK(drvlst[[#This Row],[status]]),W49,drvlst[[#This Row],[status]])</f>
        <v>MERGED</v>
      </c>
    </row>
    <row r="51" spans="1:23">
      <c r="A51">
        <f>IF(ISBLANK(drvlst[[#This Row],[number]]),A50,drvlst[[#This Row],[number]])</f>
        <v>92516</v>
      </c>
      <c r="J51" t="s">
        <v>30</v>
      </c>
      <c r="K51" s="8">
        <v>42389.970636574071</v>
      </c>
      <c r="L51" t="s">
        <v>1913</v>
      </c>
      <c r="M51" s="7" t="str">
        <f>IF(ISBLANK(drvlst[[#This Row],[owner.emal]]),M50,drvlst[[#This Row],[owner.emal]])</f>
        <v>sakari.ailus@intel.com</v>
      </c>
      <c r="N51">
        <f>_xlfn.IFNA(VLOOKUP(drvlst[[#This Row],[tmp-owner.email]],OrgTree!$A:$J, 10, 0), "not ICG SWFW")</f>
        <v>0</v>
      </c>
      <c r="O51">
        <f>IF(drvlst[[#This Row],[reviewer]]=drvlst[[#This Row],[tmp-owner.email]], "author", _xlfn.IFNA(VLOOKUP(drvlst[[#This Row],[reviewer]],OrgTree!$A:$J, 10, 0), "not ICG SWFW"))</f>
        <v>0</v>
      </c>
      <c r="P51" t="str">
        <f>IF(ISBLANK(drvlst[[#This Row],[number]]), "",SUM(drvlst[[#This Row],[BJ -1 num]],drvlst[[#This Row],[FI -1 num]]))</f>
        <v/>
      </c>
      <c r="Q51" t="str">
        <f>IF(ISBLANK(drvlst[[#This Row],[number]]), "",COUNTIFS($A:$A,drvlst[[#This Row],[tmp-number]],$O:$O, "BJ And dev",$U:$U, "Review-1"))</f>
        <v/>
      </c>
      <c r="R51" t="str">
        <f>IF(ISBLANK(drvlst[[#This Row],[number]]), "",COUNTIFS($A:$A,drvlst[[#This Row],[tmp-number]],$O:$O, "FL And dev",$U:$U, "Review-1"))</f>
        <v/>
      </c>
      <c r="S51" t="str">
        <f>IF(ISBLANK(drvlst[[#This Row],[number]]), "",COUNTIFS($A:$A,drvlst[[#This Row],[tmp-number]],$O:$O, "BJ And dev",$V:$V, "&lt;&gt;IntegratorComment"))</f>
        <v/>
      </c>
      <c r="T51" t="str">
        <f>IF(ISBLANK(drvlst[[#This Row],[number]]), "",COUNTIFS($A:$A,drvlst[[#This Row],[tmp-number]],$O:$O, "FL And dev",$V:$V, "&lt;&gt;IntegratorComment"))</f>
        <v/>
      </c>
      <c r="U51" t="str">
        <f>IF(OR(ISNUMBER(FIND("Review-1", drvlst[[#This Row],[comments]])), ISNUMBER(FIND("Approver-1", drvlst[[#This Row],[comments]]))), "Review-1", "")</f>
        <v/>
      </c>
      <c r="V51" t="str">
        <f>IF(OR(ISNUMBER(FIND(": Integrator", drvlst[[#This Row],[comments]])), ISNUMBER(FIND(":\n\nIntegrator", drvlst[[#This Row],[comments]])), ISNUMBER(FIND("-Integrator", drvlst[[#This Row],[comments]]))), "IntegratorComment", "")</f>
        <v/>
      </c>
      <c r="W51" t="str">
        <f>IF(ISBLANK(drvlst[[#This Row],[status]]),W50,drvlst[[#This Row],[status]])</f>
        <v>MERGED</v>
      </c>
    </row>
    <row r="52" spans="1:23">
      <c r="A52">
        <f>IF(ISBLANK(drvlst[[#This Row],[number]]),A51,drvlst[[#This Row],[number]])</f>
        <v>92516</v>
      </c>
      <c r="J52" t="s">
        <v>97</v>
      </c>
      <c r="K52" s="8">
        <v>42390.437777777777</v>
      </c>
      <c r="L52" t="s">
        <v>1859</v>
      </c>
      <c r="M52" s="7" t="str">
        <f>IF(ISBLANK(drvlst[[#This Row],[owner.emal]]),M51,drvlst[[#This Row],[owner.emal]])</f>
        <v>sakari.ailus@intel.com</v>
      </c>
      <c r="N52">
        <f>_xlfn.IFNA(VLOOKUP(drvlst[[#This Row],[tmp-owner.email]],OrgTree!$A:$J, 10, 0), "not ICG SWFW")</f>
        <v>0</v>
      </c>
      <c r="O52">
        <f>IF(drvlst[[#This Row],[reviewer]]=drvlst[[#This Row],[tmp-owner.email]], "author", _xlfn.IFNA(VLOOKUP(drvlst[[#This Row],[reviewer]],OrgTree!$A:$J, 10, 0), "not ICG SWFW"))</f>
        <v>0</v>
      </c>
      <c r="P52" t="str">
        <f>IF(ISBLANK(drvlst[[#This Row],[number]]), "",SUM(drvlst[[#This Row],[BJ -1 num]],drvlst[[#This Row],[FI -1 num]]))</f>
        <v/>
      </c>
      <c r="Q52" t="str">
        <f>IF(ISBLANK(drvlst[[#This Row],[number]]), "",COUNTIFS($A:$A,drvlst[[#This Row],[tmp-number]],$O:$O, "BJ And dev",$U:$U, "Review-1"))</f>
        <v/>
      </c>
      <c r="R52" t="str">
        <f>IF(ISBLANK(drvlst[[#This Row],[number]]), "",COUNTIFS($A:$A,drvlst[[#This Row],[tmp-number]],$O:$O, "FL And dev",$U:$U, "Review-1"))</f>
        <v/>
      </c>
      <c r="S52" t="str">
        <f>IF(ISBLANK(drvlst[[#This Row],[number]]), "",COUNTIFS($A:$A,drvlst[[#This Row],[tmp-number]],$O:$O, "BJ And dev",$V:$V, "&lt;&gt;IntegratorComment"))</f>
        <v/>
      </c>
      <c r="T52" t="str">
        <f>IF(ISBLANK(drvlst[[#This Row],[number]]), "",COUNTIFS($A:$A,drvlst[[#This Row],[tmp-number]],$O:$O, "FL And dev",$V:$V, "&lt;&gt;IntegratorComment"))</f>
        <v/>
      </c>
      <c r="U52" t="str">
        <f>IF(OR(ISNUMBER(FIND("Review-1", drvlst[[#This Row],[comments]])), ISNUMBER(FIND("Approver-1", drvlst[[#This Row],[comments]]))), "Review-1", "")</f>
        <v/>
      </c>
      <c r="V52" t="str">
        <f>IF(OR(ISNUMBER(FIND(": Integrator", drvlst[[#This Row],[comments]])), ISNUMBER(FIND(":\n\nIntegrator", drvlst[[#This Row],[comments]])), ISNUMBER(FIND("-Integrator", drvlst[[#This Row],[comments]]))), "IntegratorComment", "")</f>
        <v/>
      </c>
      <c r="W52" t="str">
        <f>IF(ISBLANK(drvlst[[#This Row],[status]]),W51,drvlst[[#This Row],[status]])</f>
        <v>MERGED</v>
      </c>
    </row>
    <row r="53" spans="1:23">
      <c r="A53">
        <f>IF(ISBLANK(drvlst[[#This Row],[number]]),A52,drvlst[[#This Row],[number]])</f>
        <v>92516</v>
      </c>
      <c r="J53" t="s">
        <v>99</v>
      </c>
      <c r="K53" s="8">
        <v>42390.829062500001</v>
      </c>
      <c r="L53" t="s">
        <v>1859</v>
      </c>
      <c r="M53" s="7" t="str">
        <f>IF(ISBLANK(drvlst[[#This Row],[owner.emal]]),M52,drvlst[[#This Row],[owner.emal]])</f>
        <v>sakari.ailus@intel.com</v>
      </c>
      <c r="N53">
        <f>_xlfn.IFNA(VLOOKUP(drvlst[[#This Row],[tmp-owner.email]],OrgTree!$A:$J, 10, 0), "not ICG SWFW")</f>
        <v>0</v>
      </c>
      <c r="O53">
        <f>IF(drvlst[[#This Row],[reviewer]]=drvlst[[#This Row],[tmp-owner.email]], "author", _xlfn.IFNA(VLOOKUP(drvlst[[#This Row],[reviewer]],OrgTree!$A:$J, 10, 0), "not ICG SWFW"))</f>
        <v>0</v>
      </c>
      <c r="P53" t="str">
        <f>IF(ISBLANK(drvlst[[#This Row],[number]]), "",SUM(drvlst[[#This Row],[BJ -1 num]],drvlst[[#This Row],[FI -1 num]]))</f>
        <v/>
      </c>
      <c r="Q53" t="str">
        <f>IF(ISBLANK(drvlst[[#This Row],[number]]), "",COUNTIFS($A:$A,drvlst[[#This Row],[tmp-number]],$O:$O, "BJ And dev",$U:$U, "Review-1"))</f>
        <v/>
      </c>
      <c r="R53" t="str">
        <f>IF(ISBLANK(drvlst[[#This Row],[number]]), "",COUNTIFS($A:$A,drvlst[[#This Row],[tmp-number]],$O:$O, "FL And dev",$U:$U, "Review-1"))</f>
        <v/>
      </c>
      <c r="S53" t="str">
        <f>IF(ISBLANK(drvlst[[#This Row],[number]]), "",COUNTIFS($A:$A,drvlst[[#This Row],[tmp-number]],$O:$O, "BJ And dev",$V:$V, "&lt;&gt;IntegratorComment"))</f>
        <v/>
      </c>
      <c r="T53" t="str">
        <f>IF(ISBLANK(drvlst[[#This Row],[number]]), "",COUNTIFS($A:$A,drvlst[[#This Row],[tmp-number]],$O:$O, "FL And dev",$V:$V, "&lt;&gt;IntegratorComment"))</f>
        <v/>
      </c>
      <c r="U53" t="str">
        <f>IF(OR(ISNUMBER(FIND("Review-1", drvlst[[#This Row],[comments]])), ISNUMBER(FIND("Approver-1", drvlst[[#This Row],[comments]]))), "Review-1", "")</f>
        <v/>
      </c>
      <c r="V53" t="str">
        <f>IF(OR(ISNUMBER(FIND(": Integrator", drvlst[[#This Row],[comments]])), ISNUMBER(FIND(":\n\nIntegrator", drvlst[[#This Row],[comments]])), ISNUMBER(FIND("-Integrator", drvlst[[#This Row],[comments]]))), "IntegratorComment", "")</f>
        <v/>
      </c>
      <c r="W53" t="str">
        <f>IF(ISBLANK(drvlst[[#This Row],[status]]),W52,drvlst[[#This Row],[status]])</f>
        <v>MERGED</v>
      </c>
    </row>
    <row r="54" spans="1:23">
      <c r="A54">
        <f>IF(ISBLANK(drvlst[[#This Row],[number]]),A53,drvlst[[#This Row],[number]])</f>
        <v>92516</v>
      </c>
      <c r="J54" t="s">
        <v>86</v>
      </c>
      <c r="K54" s="8">
        <v>42394.643750000003</v>
      </c>
      <c r="L54" t="s">
        <v>1914</v>
      </c>
      <c r="M54" s="7" t="str">
        <f>IF(ISBLANK(drvlst[[#This Row],[owner.emal]]),M53,drvlst[[#This Row],[owner.emal]])</f>
        <v>sakari.ailus@intel.com</v>
      </c>
      <c r="N54">
        <f>_xlfn.IFNA(VLOOKUP(drvlst[[#This Row],[tmp-owner.email]],OrgTree!$A:$J, 10, 0), "not ICG SWFW")</f>
        <v>0</v>
      </c>
      <c r="O54">
        <f>IF(drvlst[[#This Row],[reviewer]]=drvlst[[#This Row],[tmp-owner.email]], "author", _xlfn.IFNA(VLOOKUP(drvlst[[#This Row],[reviewer]],OrgTree!$A:$J, 10, 0), "not ICG SWFW"))</f>
        <v>0</v>
      </c>
      <c r="P54" t="str">
        <f>IF(ISBLANK(drvlst[[#This Row],[number]]), "",SUM(drvlst[[#This Row],[BJ -1 num]],drvlst[[#This Row],[FI -1 num]]))</f>
        <v/>
      </c>
      <c r="Q54" t="str">
        <f>IF(ISBLANK(drvlst[[#This Row],[number]]), "",COUNTIFS($A:$A,drvlst[[#This Row],[tmp-number]],$O:$O, "BJ And dev",$U:$U, "Review-1"))</f>
        <v/>
      </c>
      <c r="R54" t="str">
        <f>IF(ISBLANK(drvlst[[#This Row],[number]]), "",COUNTIFS($A:$A,drvlst[[#This Row],[tmp-number]],$O:$O, "FL And dev",$U:$U, "Review-1"))</f>
        <v/>
      </c>
      <c r="S54" t="str">
        <f>IF(ISBLANK(drvlst[[#This Row],[number]]), "",COUNTIFS($A:$A,drvlst[[#This Row],[tmp-number]],$O:$O, "BJ And dev",$V:$V, "&lt;&gt;IntegratorComment"))</f>
        <v/>
      </c>
      <c r="T54" t="str">
        <f>IF(ISBLANK(drvlst[[#This Row],[number]]), "",COUNTIFS($A:$A,drvlst[[#This Row],[tmp-number]],$O:$O, "FL And dev",$V:$V, "&lt;&gt;IntegratorComment"))</f>
        <v/>
      </c>
      <c r="U54" t="str">
        <f>IF(OR(ISNUMBER(FIND("Review-1", drvlst[[#This Row],[comments]])), ISNUMBER(FIND("Approver-1", drvlst[[#This Row],[comments]]))), "Review-1", "")</f>
        <v/>
      </c>
      <c r="V54" t="str">
        <f>IF(OR(ISNUMBER(FIND(": Integrator", drvlst[[#This Row],[comments]])), ISNUMBER(FIND(":\n\nIntegrator", drvlst[[#This Row],[comments]])), ISNUMBER(FIND("-Integrator", drvlst[[#This Row],[comments]]))), "IntegratorComment", "")</f>
        <v/>
      </c>
      <c r="W54" t="str">
        <f>IF(ISBLANK(drvlst[[#This Row],[status]]),W53,drvlst[[#This Row],[status]])</f>
        <v>MERGED</v>
      </c>
    </row>
    <row r="55" spans="1:23">
      <c r="A55">
        <f>IF(ISBLANK(drvlst[[#This Row],[number]]),A54,drvlst[[#This Row],[number]])</f>
        <v>92516</v>
      </c>
      <c r="J55" t="s">
        <v>34</v>
      </c>
      <c r="K55" s="8">
        <v>42395.602326388886</v>
      </c>
      <c r="L55" t="s">
        <v>1858</v>
      </c>
      <c r="M55" s="7" t="str">
        <f>IF(ISBLANK(drvlst[[#This Row],[owner.emal]]),M54,drvlst[[#This Row],[owner.emal]])</f>
        <v>sakari.ailus@intel.com</v>
      </c>
      <c r="N55">
        <f>_xlfn.IFNA(VLOOKUP(drvlst[[#This Row],[tmp-owner.email]],OrgTree!$A:$J, 10, 0), "not ICG SWFW")</f>
        <v>0</v>
      </c>
      <c r="O55">
        <f>IF(drvlst[[#This Row],[reviewer]]=drvlst[[#This Row],[tmp-owner.email]], "author", _xlfn.IFNA(VLOOKUP(drvlst[[#This Row],[reviewer]],OrgTree!$A:$J, 10, 0), "not ICG SWFW"))</f>
        <v>0</v>
      </c>
      <c r="P55" t="str">
        <f>IF(ISBLANK(drvlst[[#This Row],[number]]), "",SUM(drvlst[[#This Row],[BJ -1 num]],drvlst[[#This Row],[FI -1 num]]))</f>
        <v/>
      </c>
      <c r="Q55" t="str">
        <f>IF(ISBLANK(drvlst[[#This Row],[number]]), "",COUNTIFS($A:$A,drvlst[[#This Row],[tmp-number]],$O:$O, "BJ And dev",$U:$U, "Review-1"))</f>
        <v/>
      </c>
      <c r="R55" t="str">
        <f>IF(ISBLANK(drvlst[[#This Row],[number]]), "",COUNTIFS($A:$A,drvlst[[#This Row],[tmp-number]],$O:$O, "FL And dev",$U:$U, "Review-1"))</f>
        <v/>
      </c>
      <c r="S55" t="str">
        <f>IF(ISBLANK(drvlst[[#This Row],[number]]), "",COUNTIFS($A:$A,drvlst[[#This Row],[tmp-number]],$O:$O, "BJ And dev",$V:$V, "&lt;&gt;IntegratorComment"))</f>
        <v/>
      </c>
      <c r="T55" t="str">
        <f>IF(ISBLANK(drvlst[[#This Row],[number]]), "",COUNTIFS($A:$A,drvlst[[#This Row],[tmp-number]],$O:$O, "FL And dev",$V:$V, "&lt;&gt;IntegratorComment"))</f>
        <v/>
      </c>
      <c r="U55" t="str">
        <f>IF(OR(ISNUMBER(FIND("Review-1", drvlst[[#This Row],[comments]])), ISNUMBER(FIND("Approver-1", drvlst[[#This Row],[comments]]))), "Review-1", "")</f>
        <v/>
      </c>
      <c r="V55" t="str">
        <f>IF(OR(ISNUMBER(FIND(": Integrator", drvlst[[#This Row],[comments]])), ISNUMBER(FIND(":\n\nIntegrator", drvlst[[#This Row],[comments]])), ISNUMBER(FIND("-Integrator", drvlst[[#This Row],[comments]]))), "IntegratorComment", "")</f>
        <v>IntegratorComment</v>
      </c>
      <c r="W55" t="str">
        <f>IF(ISBLANK(drvlst[[#This Row],[status]]),W54,drvlst[[#This Row],[status]])</f>
        <v>MERGED</v>
      </c>
    </row>
    <row r="56" spans="1:23">
      <c r="A56">
        <f>IF(ISBLANK(drvlst[[#This Row],[number]]),A55,drvlst[[#This Row],[number]])</f>
        <v>92516</v>
      </c>
      <c r="J56" t="s">
        <v>34</v>
      </c>
      <c r="K56" s="8">
        <v>42395.763368055559</v>
      </c>
      <c r="L56" t="s">
        <v>1915</v>
      </c>
      <c r="M56" s="7" t="str">
        <f>IF(ISBLANK(drvlst[[#This Row],[owner.emal]]),M55,drvlst[[#This Row],[owner.emal]])</f>
        <v>sakari.ailus@intel.com</v>
      </c>
      <c r="N56">
        <f>_xlfn.IFNA(VLOOKUP(drvlst[[#This Row],[tmp-owner.email]],OrgTree!$A:$J, 10, 0), "not ICG SWFW")</f>
        <v>0</v>
      </c>
      <c r="O56">
        <f>IF(drvlst[[#This Row],[reviewer]]=drvlst[[#This Row],[tmp-owner.email]], "author", _xlfn.IFNA(VLOOKUP(drvlst[[#This Row],[reviewer]],OrgTree!$A:$J, 10, 0), "not ICG SWFW"))</f>
        <v>0</v>
      </c>
      <c r="P56" t="str">
        <f>IF(ISBLANK(drvlst[[#This Row],[number]]), "",SUM(drvlst[[#This Row],[BJ -1 num]],drvlst[[#This Row],[FI -1 num]]))</f>
        <v/>
      </c>
      <c r="Q56" t="str">
        <f>IF(ISBLANK(drvlst[[#This Row],[number]]), "",COUNTIFS($A:$A,drvlst[[#This Row],[tmp-number]],$O:$O, "BJ And dev",$U:$U, "Review-1"))</f>
        <v/>
      </c>
      <c r="R56" t="str">
        <f>IF(ISBLANK(drvlst[[#This Row],[number]]), "",COUNTIFS($A:$A,drvlst[[#This Row],[tmp-number]],$O:$O, "FL And dev",$U:$U, "Review-1"))</f>
        <v/>
      </c>
      <c r="S56" t="str">
        <f>IF(ISBLANK(drvlst[[#This Row],[number]]), "",COUNTIFS($A:$A,drvlst[[#This Row],[tmp-number]],$O:$O, "BJ And dev",$V:$V, "&lt;&gt;IntegratorComment"))</f>
        <v/>
      </c>
      <c r="T56" t="str">
        <f>IF(ISBLANK(drvlst[[#This Row],[number]]), "",COUNTIFS($A:$A,drvlst[[#This Row],[tmp-number]],$O:$O, "FL And dev",$V:$V, "&lt;&gt;IntegratorComment"))</f>
        <v/>
      </c>
      <c r="U56" t="str">
        <f>IF(OR(ISNUMBER(FIND("Review-1", drvlst[[#This Row],[comments]])), ISNUMBER(FIND("Approver-1", drvlst[[#This Row],[comments]]))), "Review-1", "")</f>
        <v/>
      </c>
      <c r="V56" t="str">
        <f>IF(OR(ISNUMBER(FIND(": Integrator", drvlst[[#This Row],[comments]])), ISNUMBER(FIND(":\n\nIntegrator", drvlst[[#This Row],[comments]])), ISNUMBER(FIND("-Integrator", drvlst[[#This Row],[comments]]))), "IntegratorComment", "")</f>
        <v/>
      </c>
      <c r="W56" t="str">
        <f>IF(ISBLANK(drvlst[[#This Row],[status]]),W55,drvlst[[#This Row],[status]])</f>
        <v>MERGED</v>
      </c>
    </row>
    <row r="57" spans="1:23">
      <c r="A57" s="7">
        <f>IF(ISBLANK(drvlst[[#This Row],[number]]),A56,drvlst[[#This Row],[number]])</f>
        <v>92516</v>
      </c>
      <c r="J57" t="s">
        <v>34</v>
      </c>
      <c r="K57" s="8">
        <v>42395.806203703702</v>
      </c>
      <c r="L57" t="s">
        <v>1916</v>
      </c>
      <c r="M57" s="7" t="str">
        <f>IF(ISBLANK(drvlst[[#This Row],[owner.emal]]),M56,drvlst[[#This Row],[owner.emal]])</f>
        <v>sakari.ailus@intel.com</v>
      </c>
      <c r="N57">
        <f>_xlfn.IFNA(VLOOKUP(drvlst[[#This Row],[tmp-owner.email]],OrgTree!$A:$J, 10, 0), "not ICG SWFW")</f>
        <v>0</v>
      </c>
      <c r="O57" s="7">
        <f>IF(drvlst[[#This Row],[reviewer]]=drvlst[[#This Row],[tmp-owner.email]], "author", _xlfn.IFNA(VLOOKUP(drvlst[[#This Row],[reviewer]],OrgTree!$A:$J, 10, 0), "not ICG SWFW"))</f>
        <v>0</v>
      </c>
      <c r="P57" s="7" t="str">
        <f>IF(ISBLANK(drvlst[[#This Row],[number]]), "",SUM(drvlst[[#This Row],[BJ -1 num]],drvlst[[#This Row],[FI -1 num]]))</f>
        <v/>
      </c>
      <c r="Q57" s="7" t="str">
        <f>IF(ISBLANK(drvlst[[#This Row],[number]]), "",COUNTIFS($A:$A,drvlst[[#This Row],[tmp-number]],$O:$O, "BJ And dev",$U:$U, "Review-1"))</f>
        <v/>
      </c>
      <c r="R57" s="7" t="str">
        <f>IF(ISBLANK(drvlst[[#This Row],[number]]), "",COUNTIFS($A:$A,drvlst[[#This Row],[tmp-number]],$O:$O, "FL And dev",$U:$U, "Review-1"))</f>
        <v/>
      </c>
      <c r="S57" t="str">
        <f>IF(ISBLANK(drvlst[[#This Row],[number]]), "",COUNTIFS($A:$A,drvlst[[#This Row],[tmp-number]],$O:$O, "BJ And dev",$V:$V, "&lt;&gt;IntegratorComment"))</f>
        <v/>
      </c>
      <c r="T57" t="str">
        <f>IF(ISBLANK(drvlst[[#This Row],[number]]), "",COUNTIFS($A:$A,drvlst[[#This Row],[tmp-number]],$O:$O, "FL And dev",$V:$V, "&lt;&gt;IntegratorComment"))</f>
        <v/>
      </c>
      <c r="U57" t="str">
        <f>IF(OR(ISNUMBER(FIND("Review-1", drvlst[[#This Row],[comments]])), ISNUMBER(FIND("Approver-1", drvlst[[#This Row],[comments]]))), "Review-1", "")</f>
        <v/>
      </c>
      <c r="V57" s="7" t="str">
        <f>IF(OR(ISNUMBER(FIND(": Integrator", drvlst[[#This Row],[comments]])), ISNUMBER(FIND(":\n\nIntegrator", drvlst[[#This Row],[comments]])), ISNUMBER(FIND("-Integrator", drvlst[[#This Row],[comments]]))), "IntegratorComment", "")</f>
        <v/>
      </c>
      <c r="W57" s="7" t="str">
        <f>IF(ISBLANK(drvlst[[#This Row],[status]]),W56,drvlst[[#This Row],[status]])</f>
        <v>MERGED</v>
      </c>
    </row>
    <row r="58" spans="1:23">
      <c r="A58" s="7">
        <f>IF(ISBLANK(drvlst[[#This Row],[number]]),A57,drvlst[[#This Row],[number]])</f>
        <v>92516</v>
      </c>
      <c r="J58" t="s">
        <v>34</v>
      </c>
      <c r="K58" s="8">
        <v>42395.845173611109</v>
      </c>
      <c r="L58" t="s">
        <v>1860</v>
      </c>
      <c r="M58" s="7" t="str">
        <f>IF(ISBLANK(drvlst[[#This Row],[owner.emal]]),M57,drvlst[[#This Row],[owner.emal]])</f>
        <v>sakari.ailus@intel.com</v>
      </c>
      <c r="N58">
        <f>_xlfn.IFNA(VLOOKUP(drvlst[[#This Row],[tmp-owner.email]],OrgTree!$A:$J, 10, 0), "not ICG SWFW")</f>
        <v>0</v>
      </c>
      <c r="O58" s="7">
        <f>IF(drvlst[[#This Row],[reviewer]]=drvlst[[#This Row],[tmp-owner.email]], "author", _xlfn.IFNA(VLOOKUP(drvlst[[#This Row],[reviewer]],OrgTree!$A:$J, 10, 0), "not ICG SWFW"))</f>
        <v>0</v>
      </c>
      <c r="P58" s="7" t="str">
        <f>IF(ISBLANK(drvlst[[#This Row],[number]]), "",SUM(drvlst[[#This Row],[BJ -1 num]],drvlst[[#This Row],[FI -1 num]]))</f>
        <v/>
      </c>
      <c r="Q58" s="7" t="str">
        <f>IF(ISBLANK(drvlst[[#This Row],[number]]), "",COUNTIFS($A:$A,drvlst[[#This Row],[tmp-number]],$O:$O, "BJ And dev",$U:$U, "Review-1"))</f>
        <v/>
      </c>
      <c r="R58" s="7" t="str">
        <f>IF(ISBLANK(drvlst[[#This Row],[number]]), "",COUNTIFS($A:$A,drvlst[[#This Row],[tmp-number]],$O:$O, "FL And dev",$U:$U, "Review-1"))</f>
        <v/>
      </c>
      <c r="S58" t="str">
        <f>IF(ISBLANK(drvlst[[#This Row],[number]]), "",COUNTIFS($A:$A,drvlst[[#This Row],[tmp-number]],$O:$O, "BJ And dev",$V:$V, "&lt;&gt;IntegratorComment"))</f>
        <v/>
      </c>
      <c r="T58" t="str">
        <f>IF(ISBLANK(drvlst[[#This Row],[number]]), "",COUNTIFS($A:$A,drvlst[[#This Row],[tmp-number]],$O:$O, "FL And dev",$V:$V, "&lt;&gt;IntegratorComment"))</f>
        <v/>
      </c>
      <c r="U58" t="str">
        <f>IF(OR(ISNUMBER(FIND("Review-1", drvlst[[#This Row],[comments]])), ISNUMBER(FIND("Approver-1", drvlst[[#This Row],[comments]]))), "Review-1", "")</f>
        <v/>
      </c>
      <c r="V58" s="7" t="str">
        <f>IF(OR(ISNUMBER(FIND(": Integrator", drvlst[[#This Row],[comments]])), ISNUMBER(FIND(":\n\nIntegrator", drvlst[[#This Row],[comments]])), ISNUMBER(FIND("-Integrator", drvlst[[#This Row],[comments]]))), "IntegratorComment", "")</f>
        <v/>
      </c>
      <c r="W58" s="7" t="str">
        <f>IF(ISBLANK(drvlst[[#This Row],[status]]),W57,drvlst[[#This Row],[status]])</f>
        <v>MERGED</v>
      </c>
    </row>
    <row r="59" spans="1:23">
      <c r="A59" s="7">
        <f>IF(ISBLANK(drvlst[[#This Row],[number]]),A58,drvlst[[#This Row],[number]])</f>
        <v>92516</v>
      </c>
      <c r="J59" t="s">
        <v>34</v>
      </c>
      <c r="K59" s="8">
        <v>42396.071481481478</v>
      </c>
      <c r="L59" t="s">
        <v>1860</v>
      </c>
      <c r="M59" s="7" t="str">
        <f>IF(ISBLANK(drvlst[[#This Row],[owner.emal]]),M58,drvlst[[#This Row],[owner.emal]])</f>
        <v>sakari.ailus@intel.com</v>
      </c>
      <c r="N59">
        <f>_xlfn.IFNA(VLOOKUP(drvlst[[#This Row],[tmp-owner.email]],OrgTree!$A:$J, 10, 0), "not ICG SWFW")</f>
        <v>0</v>
      </c>
      <c r="O59" s="7">
        <f>IF(drvlst[[#This Row],[reviewer]]=drvlst[[#This Row],[tmp-owner.email]], "author", _xlfn.IFNA(VLOOKUP(drvlst[[#This Row],[reviewer]],OrgTree!$A:$J, 10, 0), "not ICG SWFW"))</f>
        <v>0</v>
      </c>
      <c r="P59" s="7" t="str">
        <f>IF(ISBLANK(drvlst[[#This Row],[number]]), "",SUM(drvlst[[#This Row],[BJ -1 num]],drvlst[[#This Row],[FI -1 num]]))</f>
        <v/>
      </c>
      <c r="Q59" s="7" t="str">
        <f>IF(ISBLANK(drvlst[[#This Row],[number]]), "",COUNTIFS($A:$A,drvlst[[#This Row],[tmp-number]],$O:$O, "BJ And dev",$U:$U, "Review-1"))</f>
        <v/>
      </c>
      <c r="R59" s="7" t="str">
        <f>IF(ISBLANK(drvlst[[#This Row],[number]]), "",COUNTIFS($A:$A,drvlst[[#This Row],[tmp-number]],$O:$O, "FL And dev",$U:$U, "Review-1"))</f>
        <v/>
      </c>
      <c r="S59" t="str">
        <f>IF(ISBLANK(drvlst[[#This Row],[number]]), "",COUNTIFS($A:$A,drvlst[[#This Row],[tmp-number]],$O:$O, "BJ And dev",$V:$V, "&lt;&gt;IntegratorComment"))</f>
        <v/>
      </c>
      <c r="T59" t="str">
        <f>IF(ISBLANK(drvlst[[#This Row],[number]]), "",COUNTIFS($A:$A,drvlst[[#This Row],[tmp-number]],$O:$O, "FL And dev",$V:$V, "&lt;&gt;IntegratorComment"))</f>
        <v/>
      </c>
      <c r="U59" t="str">
        <f>IF(OR(ISNUMBER(FIND("Review-1", drvlst[[#This Row],[comments]])), ISNUMBER(FIND("Approver-1", drvlst[[#This Row],[comments]]))), "Review-1", "")</f>
        <v/>
      </c>
      <c r="V59" s="7" t="str">
        <f>IF(OR(ISNUMBER(FIND(": Integrator", drvlst[[#This Row],[comments]])), ISNUMBER(FIND(":\n\nIntegrator", drvlst[[#This Row],[comments]])), ISNUMBER(FIND("-Integrator", drvlst[[#This Row],[comments]]))), "IntegratorComment", "")</f>
        <v/>
      </c>
      <c r="W59" s="7" t="str">
        <f>IF(ISBLANK(drvlst[[#This Row],[status]]),W58,drvlst[[#This Row],[status]])</f>
        <v>MERGED</v>
      </c>
    </row>
    <row r="60" spans="1:23">
      <c r="A60" s="7">
        <f>IF(ISBLANK(drvlst[[#This Row],[number]]),A59,drvlst[[#This Row],[number]])</f>
        <v>92516</v>
      </c>
      <c r="J60" t="s">
        <v>34</v>
      </c>
      <c r="K60" s="8">
        <v>42396.768055555556</v>
      </c>
      <c r="L60" t="s">
        <v>1861</v>
      </c>
      <c r="M60" s="7" t="str">
        <f>IF(ISBLANK(drvlst[[#This Row],[owner.emal]]),M59,drvlst[[#This Row],[owner.emal]])</f>
        <v>sakari.ailus@intel.com</v>
      </c>
      <c r="N60">
        <f>_xlfn.IFNA(VLOOKUP(drvlst[[#This Row],[tmp-owner.email]],OrgTree!$A:$J, 10, 0), "not ICG SWFW")</f>
        <v>0</v>
      </c>
      <c r="O60" s="7">
        <f>IF(drvlst[[#This Row],[reviewer]]=drvlst[[#This Row],[tmp-owner.email]], "author", _xlfn.IFNA(VLOOKUP(drvlst[[#This Row],[reviewer]],OrgTree!$A:$J, 10, 0), "not ICG SWFW"))</f>
        <v>0</v>
      </c>
      <c r="P60" s="7" t="str">
        <f>IF(ISBLANK(drvlst[[#This Row],[number]]), "",SUM(drvlst[[#This Row],[BJ -1 num]],drvlst[[#This Row],[FI -1 num]]))</f>
        <v/>
      </c>
      <c r="Q60" s="7" t="str">
        <f>IF(ISBLANK(drvlst[[#This Row],[number]]), "",COUNTIFS($A:$A,drvlst[[#This Row],[tmp-number]],$O:$O, "BJ And dev",$U:$U, "Review-1"))</f>
        <v/>
      </c>
      <c r="R60" s="7" t="str">
        <f>IF(ISBLANK(drvlst[[#This Row],[number]]), "",COUNTIFS($A:$A,drvlst[[#This Row],[tmp-number]],$O:$O, "FL And dev",$U:$U, "Review-1"))</f>
        <v/>
      </c>
      <c r="S60" t="str">
        <f>IF(ISBLANK(drvlst[[#This Row],[number]]), "",COUNTIFS($A:$A,drvlst[[#This Row],[tmp-number]],$O:$O, "BJ And dev",$V:$V, "&lt;&gt;IntegratorComment"))</f>
        <v/>
      </c>
      <c r="T60" t="str">
        <f>IF(ISBLANK(drvlst[[#This Row],[number]]), "",COUNTIFS($A:$A,drvlst[[#This Row],[tmp-number]],$O:$O, "FL And dev",$V:$V, "&lt;&gt;IntegratorComment"))</f>
        <v/>
      </c>
      <c r="U60" t="str">
        <f>IF(OR(ISNUMBER(FIND("Review-1", drvlst[[#This Row],[comments]])), ISNUMBER(FIND("Approver-1", drvlst[[#This Row],[comments]]))), "Review-1", "")</f>
        <v/>
      </c>
      <c r="V60" s="7" t="str">
        <f>IF(OR(ISNUMBER(FIND(": Integrator", drvlst[[#This Row],[comments]])), ISNUMBER(FIND(":\n\nIntegrator", drvlst[[#This Row],[comments]])), ISNUMBER(FIND("-Integrator", drvlst[[#This Row],[comments]]))), "IntegratorComment", "")</f>
        <v/>
      </c>
      <c r="W60" s="7" t="str">
        <f>IF(ISBLANK(drvlst[[#This Row],[status]]),W59,drvlst[[#This Row],[status]])</f>
        <v>MERGED</v>
      </c>
    </row>
    <row r="61" spans="1:23">
      <c r="A61" s="7">
        <f>IF(ISBLANK(drvlst[[#This Row],[number]]),A60,drvlst[[#This Row],[number]])</f>
        <v>92516</v>
      </c>
      <c r="J61" t="s">
        <v>34</v>
      </c>
      <c r="K61" s="8">
        <v>42396.770474537036</v>
      </c>
      <c r="L61" t="s">
        <v>1917</v>
      </c>
      <c r="M61" s="7" t="str">
        <f>IF(ISBLANK(drvlst[[#This Row],[owner.emal]]),M60,drvlst[[#This Row],[owner.emal]])</f>
        <v>sakari.ailus@intel.com</v>
      </c>
      <c r="N61">
        <f>_xlfn.IFNA(VLOOKUP(drvlst[[#This Row],[tmp-owner.email]],OrgTree!$A:$J, 10, 0), "not ICG SWFW")</f>
        <v>0</v>
      </c>
      <c r="O61" s="7">
        <f>IF(drvlst[[#This Row],[reviewer]]=drvlst[[#This Row],[tmp-owner.email]], "author", _xlfn.IFNA(VLOOKUP(drvlst[[#This Row],[reviewer]],OrgTree!$A:$J, 10, 0), "not ICG SWFW"))</f>
        <v>0</v>
      </c>
      <c r="P61" s="7" t="str">
        <f>IF(ISBLANK(drvlst[[#This Row],[number]]), "",SUM(drvlst[[#This Row],[BJ -1 num]],drvlst[[#This Row],[FI -1 num]]))</f>
        <v/>
      </c>
      <c r="Q61" s="7" t="str">
        <f>IF(ISBLANK(drvlst[[#This Row],[number]]), "",COUNTIFS($A:$A,drvlst[[#This Row],[tmp-number]],$O:$O, "BJ And dev",$U:$U, "Review-1"))</f>
        <v/>
      </c>
      <c r="R61" s="7" t="str">
        <f>IF(ISBLANK(drvlst[[#This Row],[number]]), "",COUNTIFS($A:$A,drvlst[[#This Row],[tmp-number]],$O:$O, "FL And dev",$U:$U, "Review-1"))</f>
        <v/>
      </c>
      <c r="S61" t="str">
        <f>IF(ISBLANK(drvlst[[#This Row],[number]]), "",COUNTIFS($A:$A,drvlst[[#This Row],[tmp-number]],$O:$O, "BJ And dev",$V:$V, "&lt;&gt;IntegratorComment"))</f>
        <v/>
      </c>
      <c r="T61" t="str">
        <f>IF(ISBLANK(drvlst[[#This Row],[number]]), "",COUNTIFS($A:$A,drvlst[[#This Row],[tmp-number]],$O:$O, "FL And dev",$V:$V, "&lt;&gt;IntegratorComment"))</f>
        <v/>
      </c>
      <c r="U61" t="str">
        <f>IF(OR(ISNUMBER(FIND("Review-1", drvlst[[#This Row],[comments]])), ISNUMBER(FIND("Approver-1", drvlst[[#This Row],[comments]]))), "Review-1", "")</f>
        <v/>
      </c>
      <c r="V61" s="7" t="str">
        <f>IF(OR(ISNUMBER(FIND(": Integrator", drvlst[[#This Row],[comments]])), ISNUMBER(FIND(":\n\nIntegrator", drvlst[[#This Row],[comments]])), ISNUMBER(FIND("-Integrator", drvlst[[#This Row],[comments]]))), "IntegratorComment", "")</f>
        <v/>
      </c>
      <c r="W61" s="7" t="str">
        <f>IF(ISBLANK(drvlst[[#This Row],[status]]),W60,drvlst[[#This Row],[status]])</f>
        <v>MERGED</v>
      </c>
    </row>
    <row r="62" spans="1:23">
      <c r="A62" s="7">
        <f>IF(ISBLANK(drvlst[[#This Row],[number]]),A61,drvlst[[#This Row],[number]])</f>
        <v>96430</v>
      </c>
      <c r="B62">
        <v>96430</v>
      </c>
      <c r="C62" t="s">
        <v>84</v>
      </c>
      <c r="D62" t="s">
        <v>99</v>
      </c>
      <c r="E62" t="s">
        <v>23</v>
      </c>
      <c r="F62" t="s">
        <v>1918</v>
      </c>
      <c r="G62" t="s">
        <v>1919</v>
      </c>
      <c r="H62" s="8">
        <v>42388.762002314812</v>
      </c>
      <c r="I62" s="8">
        <v>42396.776932870373</v>
      </c>
      <c r="J62" t="s">
        <v>99</v>
      </c>
      <c r="K62" s="8">
        <v>42388.762002314812</v>
      </c>
      <c r="L62" t="s">
        <v>25</v>
      </c>
      <c r="M62" s="7" t="str">
        <f>IF(ISBLANK(drvlst[[#This Row],[owner.emal]]),M61,drvlst[[#This Row],[owner.emal]])</f>
        <v>jouni.hogander@intel.com</v>
      </c>
      <c r="N62">
        <f>_xlfn.IFNA(VLOOKUP(drvlst[[#This Row],[tmp-owner.email]],OrgTree!$A:$J, 10, 0), "not ICG SWFW")</f>
        <v>0</v>
      </c>
      <c r="O62" s="7" t="str">
        <f>IF(drvlst[[#This Row],[reviewer]]=drvlst[[#This Row],[tmp-owner.email]], "author", _xlfn.IFNA(VLOOKUP(drvlst[[#This Row],[reviewer]],OrgTree!$A:$J, 10, 0), "not ICG SWFW"))</f>
        <v>author</v>
      </c>
      <c r="P62" s="7">
        <f>IF(ISBLANK(drvlst[[#This Row],[number]]), "",SUM(drvlst[[#This Row],[BJ -1 num]],drvlst[[#This Row],[FI -1 num]]))</f>
        <v>0</v>
      </c>
      <c r="Q62" s="7">
        <f>IF(ISBLANK(drvlst[[#This Row],[number]]), "",COUNTIFS($A:$A,drvlst[[#This Row],[tmp-number]],$O:$O, "BJ And dev",$U:$U, "Review-1"))</f>
        <v>0</v>
      </c>
      <c r="R62" s="7">
        <f>IF(ISBLANK(drvlst[[#This Row],[number]]), "",COUNTIFS($A:$A,drvlst[[#This Row],[tmp-number]],$O:$O, "FL And dev",$U:$U, "Review-1"))</f>
        <v>0</v>
      </c>
      <c r="S62">
        <f>IF(ISBLANK(drvlst[[#This Row],[number]]), "",COUNTIFS($A:$A,drvlst[[#This Row],[tmp-number]],$O:$O, "BJ And dev",$V:$V, "&lt;&gt;IntegratorComment"))</f>
        <v>0</v>
      </c>
      <c r="T62">
        <f>IF(ISBLANK(drvlst[[#This Row],[number]]), "",COUNTIFS($A:$A,drvlst[[#This Row],[tmp-number]],$O:$O, "FL And dev",$V:$V, "&lt;&gt;IntegratorComment"))</f>
        <v>0</v>
      </c>
      <c r="U62" t="str">
        <f>IF(OR(ISNUMBER(FIND("Review-1", drvlst[[#This Row],[comments]])), ISNUMBER(FIND("Approver-1", drvlst[[#This Row],[comments]]))), "Review-1", "")</f>
        <v/>
      </c>
      <c r="V62" s="7" t="str">
        <f>IF(OR(ISNUMBER(FIND(": Integrator", drvlst[[#This Row],[comments]])), ISNUMBER(FIND(":\n\nIntegrator", drvlst[[#This Row],[comments]])), ISNUMBER(FIND("-Integrator", drvlst[[#This Row],[comments]]))), "IntegratorComment", "")</f>
        <v/>
      </c>
      <c r="W62" s="7" t="str">
        <f>IF(ISBLANK(drvlst[[#This Row],[status]]),W61,drvlst[[#This Row],[status]])</f>
        <v>MERGED</v>
      </c>
    </row>
    <row r="63" spans="1:23">
      <c r="A63" s="7">
        <f>IF(ISBLANK(drvlst[[#This Row],[number]]),A62,drvlst[[#This Row],[number]])</f>
        <v>96430</v>
      </c>
      <c r="J63" t="s">
        <v>99</v>
      </c>
      <c r="K63" s="8">
        <v>42388.762002314812</v>
      </c>
      <c r="L63" t="s">
        <v>85</v>
      </c>
      <c r="M63" s="7" t="str">
        <f>IF(ISBLANK(drvlst[[#This Row],[owner.emal]]),M62,drvlst[[#This Row],[owner.emal]])</f>
        <v>jouni.hogander@intel.com</v>
      </c>
      <c r="N63">
        <f>_xlfn.IFNA(VLOOKUP(drvlst[[#This Row],[tmp-owner.email]],OrgTree!$A:$J, 10, 0), "not ICG SWFW")</f>
        <v>0</v>
      </c>
      <c r="O63" s="7" t="str">
        <f>IF(drvlst[[#This Row],[reviewer]]=drvlst[[#This Row],[tmp-owner.email]], "author", _xlfn.IFNA(VLOOKUP(drvlst[[#This Row],[reviewer]],OrgTree!$A:$J, 10, 0), "not ICG SWFW"))</f>
        <v>author</v>
      </c>
      <c r="P63" s="7" t="str">
        <f>IF(ISBLANK(drvlst[[#This Row],[number]]), "",SUM(drvlst[[#This Row],[BJ -1 num]],drvlst[[#This Row],[FI -1 num]]))</f>
        <v/>
      </c>
      <c r="Q63" s="7" t="str">
        <f>IF(ISBLANK(drvlst[[#This Row],[number]]), "",COUNTIFS($A:$A,drvlst[[#This Row],[tmp-number]],$O:$O, "BJ And dev",$U:$U, "Review-1"))</f>
        <v/>
      </c>
      <c r="R63" s="7" t="str">
        <f>IF(ISBLANK(drvlst[[#This Row],[number]]), "",COUNTIFS($A:$A,drvlst[[#This Row],[tmp-number]],$O:$O, "FL And dev",$U:$U, "Review-1"))</f>
        <v/>
      </c>
      <c r="S63" t="str">
        <f>IF(ISBLANK(drvlst[[#This Row],[number]]), "",COUNTIFS($A:$A,drvlst[[#This Row],[tmp-number]],$O:$O, "BJ And dev",$V:$V, "&lt;&gt;IntegratorComment"))</f>
        <v/>
      </c>
      <c r="T63" t="str">
        <f>IF(ISBLANK(drvlst[[#This Row],[number]]), "",COUNTIFS($A:$A,drvlst[[#This Row],[tmp-number]],$O:$O, "FL And dev",$V:$V, "&lt;&gt;IntegratorComment"))</f>
        <v/>
      </c>
      <c r="U63" t="str">
        <f>IF(OR(ISNUMBER(FIND("Review-1", drvlst[[#This Row],[comments]])), ISNUMBER(FIND("Approver-1", drvlst[[#This Row],[comments]]))), "Review-1", "")</f>
        <v/>
      </c>
      <c r="V63" s="7" t="str">
        <f>IF(OR(ISNUMBER(FIND(": Integrator", drvlst[[#This Row],[comments]])), ISNUMBER(FIND(":\n\nIntegrator", drvlst[[#This Row],[comments]])), ISNUMBER(FIND("-Integrator", drvlst[[#This Row],[comments]]))), "IntegratorComment", "")</f>
        <v/>
      </c>
      <c r="W63" s="7" t="str">
        <f>IF(ISBLANK(drvlst[[#This Row],[status]]),W62,drvlst[[#This Row],[status]])</f>
        <v>MERGED</v>
      </c>
    </row>
    <row r="64" spans="1:23">
      <c r="A64" s="7">
        <f>IF(ISBLANK(drvlst[[#This Row],[number]]),A63,drvlst[[#This Row],[number]])</f>
        <v>96430</v>
      </c>
      <c r="J64" t="s">
        <v>99</v>
      </c>
      <c r="K64" s="8">
        <v>42388.817615740743</v>
      </c>
      <c r="L64" t="s">
        <v>40</v>
      </c>
      <c r="M64" s="7" t="str">
        <f>IF(ISBLANK(drvlst[[#This Row],[owner.emal]]),M63,drvlst[[#This Row],[owner.emal]])</f>
        <v>jouni.hogander@intel.com</v>
      </c>
      <c r="N64">
        <f>_xlfn.IFNA(VLOOKUP(drvlst[[#This Row],[tmp-owner.email]],OrgTree!$A:$J, 10, 0), "not ICG SWFW")</f>
        <v>0</v>
      </c>
      <c r="O64" s="7" t="str">
        <f>IF(drvlst[[#This Row],[reviewer]]=drvlst[[#This Row],[tmp-owner.email]], "author", _xlfn.IFNA(VLOOKUP(drvlst[[#This Row],[reviewer]],OrgTree!$A:$J, 10, 0), "not ICG SWFW"))</f>
        <v>author</v>
      </c>
      <c r="P64" s="7" t="str">
        <f>IF(ISBLANK(drvlst[[#This Row],[number]]), "",SUM(drvlst[[#This Row],[BJ -1 num]],drvlst[[#This Row],[FI -1 num]]))</f>
        <v/>
      </c>
      <c r="Q64" s="7" t="str">
        <f>IF(ISBLANK(drvlst[[#This Row],[number]]), "",COUNTIFS($A:$A,drvlst[[#This Row],[tmp-number]],$O:$O, "BJ And dev",$U:$U, "Review-1"))</f>
        <v/>
      </c>
      <c r="R64" s="7" t="str">
        <f>IF(ISBLANK(drvlst[[#This Row],[number]]), "",COUNTIFS($A:$A,drvlst[[#This Row],[tmp-number]],$O:$O, "FL And dev",$U:$U, "Review-1"))</f>
        <v/>
      </c>
      <c r="S64" t="str">
        <f>IF(ISBLANK(drvlst[[#This Row],[number]]), "",COUNTIFS($A:$A,drvlst[[#This Row],[tmp-number]],$O:$O, "BJ And dev",$V:$V, "&lt;&gt;IntegratorComment"))</f>
        <v/>
      </c>
      <c r="T64" t="str">
        <f>IF(ISBLANK(drvlst[[#This Row],[number]]), "",COUNTIFS($A:$A,drvlst[[#This Row],[tmp-number]],$O:$O, "FL And dev",$V:$V, "&lt;&gt;IntegratorComment"))</f>
        <v/>
      </c>
      <c r="U64" t="str">
        <f>IF(OR(ISNUMBER(FIND("Review-1", drvlst[[#This Row],[comments]])), ISNUMBER(FIND("Approver-1", drvlst[[#This Row],[comments]]))), "Review-1", "")</f>
        <v/>
      </c>
      <c r="V64" s="7" t="str">
        <f>IF(OR(ISNUMBER(FIND(": Integrator", drvlst[[#This Row],[comments]])), ISNUMBER(FIND(":\n\nIntegrator", drvlst[[#This Row],[comments]])), ISNUMBER(FIND("-Integrator", drvlst[[#This Row],[comments]]))), "IntegratorComment", "")</f>
        <v/>
      </c>
      <c r="W64" s="7" t="str">
        <f>IF(ISBLANK(drvlst[[#This Row],[status]]),W63,drvlst[[#This Row],[status]])</f>
        <v>MERGED</v>
      </c>
    </row>
    <row r="65" spans="1:23">
      <c r="A65" s="7">
        <f>IF(ISBLANK(drvlst[[#This Row],[number]]),A64,drvlst[[#This Row],[number]])</f>
        <v>96430</v>
      </c>
      <c r="J65" t="s">
        <v>97</v>
      </c>
      <c r="K65" s="8">
        <v>42389.514826388891</v>
      </c>
      <c r="L65" t="s">
        <v>1920</v>
      </c>
      <c r="M65" s="7" t="str">
        <f>IF(ISBLANK(drvlst[[#This Row],[owner.emal]]),M64,drvlst[[#This Row],[owner.emal]])</f>
        <v>jouni.hogander@intel.com</v>
      </c>
      <c r="N65">
        <f>_xlfn.IFNA(VLOOKUP(drvlst[[#This Row],[tmp-owner.email]],OrgTree!$A:$J, 10, 0), "not ICG SWFW")</f>
        <v>0</v>
      </c>
      <c r="O65" s="7">
        <f>IF(drvlst[[#This Row],[reviewer]]=drvlst[[#This Row],[tmp-owner.email]], "author", _xlfn.IFNA(VLOOKUP(drvlst[[#This Row],[reviewer]],OrgTree!$A:$J, 10, 0), "not ICG SWFW"))</f>
        <v>0</v>
      </c>
      <c r="P65" s="7" t="str">
        <f>IF(ISBLANK(drvlst[[#This Row],[number]]), "",SUM(drvlst[[#This Row],[BJ -1 num]],drvlst[[#This Row],[FI -1 num]]))</f>
        <v/>
      </c>
      <c r="Q65" s="7" t="str">
        <f>IF(ISBLANK(drvlst[[#This Row],[number]]), "",COUNTIFS($A:$A,drvlst[[#This Row],[tmp-number]],$O:$O, "BJ And dev",$U:$U, "Review-1"))</f>
        <v/>
      </c>
      <c r="R65" s="7" t="str">
        <f>IF(ISBLANK(drvlst[[#This Row],[number]]), "",COUNTIFS($A:$A,drvlst[[#This Row],[tmp-number]],$O:$O, "FL And dev",$U:$U, "Review-1"))</f>
        <v/>
      </c>
      <c r="S65" t="str">
        <f>IF(ISBLANK(drvlst[[#This Row],[number]]), "",COUNTIFS($A:$A,drvlst[[#This Row],[tmp-number]],$O:$O, "BJ And dev",$V:$V, "&lt;&gt;IntegratorComment"))</f>
        <v/>
      </c>
      <c r="T65" t="str">
        <f>IF(ISBLANK(drvlst[[#This Row],[number]]), "",COUNTIFS($A:$A,drvlst[[#This Row],[tmp-number]],$O:$O, "FL And dev",$V:$V, "&lt;&gt;IntegratorComment"))</f>
        <v/>
      </c>
      <c r="U65" t="str">
        <f>IF(OR(ISNUMBER(FIND("Review-1", drvlst[[#This Row],[comments]])), ISNUMBER(FIND("Approver-1", drvlst[[#This Row],[comments]]))), "Review-1", "")</f>
        <v>Review-1</v>
      </c>
      <c r="V65" s="7" t="str">
        <f>IF(OR(ISNUMBER(FIND(": Integrator", drvlst[[#This Row],[comments]])), ISNUMBER(FIND(":\n\nIntegrator", drvlst[[#This Row],[comments]])), ISNUMBER(FIND("-Integrator", drvlst[[#This Row],[comments]]))), "IntegratorComment", "")</f>
        <v/>
      </c>
      <c r="W65" s="7" t="str">
        <f>IF(ISBLANK(drvlst[[#This Row],[status]]),W64,drvlst[[#This Row],[status]])</f>
        <v>MERGED</v>
      </c>
    </row>
    <row r="66" spans="1:23">
      <c r="A66" s="7">
        <f>IF(ISBLANK(drvlst[[#This Row],[number]]),A65,drvlst[[#This Row],[number]])</f>
        <v>96430</v>
      </c>
      <c r="J66" t="s">
        <v>99</v>
      </c>
      <c r="K66" s="8">
        <v>42389.696620370371</v>
      </c>
      <c r="L66" t="s">
        <v>29</v>
      </c>
      <c r="M66" s="7" t="str">
        <f>IF(ISBLANK(drvlst[[#This Row],[owner.emal]]),M65,drvlst[[#This Row],[owner.emal]])</f>
        <v>jouni.hogander@intel.com</v>
      </c>
      <c r="N66">
        <f>_xlfn.IFNA(VLOOKUP(drvlst[[#This Row],[tmp-owner.email]],OrgTree!$A:$J, 10, 0), "not ICG SWFW")</f>
        <v>0</v>
      </c>
      <c r="O66" s="7" t="str">
        <f>IF(drvlst[[#This Row],[reviewer]]=drvlst[[#This Row],[tmp-owner.email]], "author", _xlfn.IFNA(VLOOKUP(drvlst[[#This Row],[reviewer]],OrgTree!$A:$J, 10, 0), "not ICG SWFW"))</f>
        <v>author</v>
      </c>
      <c r="P66" s="7" t="str">
        <f>IF(ISBLANK(drvlst[[#This Row],[number]]), "",SUM(drvlst[[#This Row],[BJ -1 num]],drvlst[[#This Row],[FI -1 num]]))</f>
        <v/>
      </c>
      <c r="Q66" s="7" t="str">
        <f>IF(ISBLANK(drvlst[[#This Row],[number]]), "",COUNTIFS($A:$A,drvlst[[#This Row],[tmp-number]],$O:$O, "BJ And dev",$U:$U, "Review-1"))</f>
        <v/>
      </c>
      <c r="R66" s="7" t="str">
        <f>IF(ISBLANK(drvlst[[#This Row],[number]]), "",COUNTIFS($A:$A,drvlst[[#This Row],[tmp-number]],$O:$O, "FL And dev",$U:$U, "Review-1"))</f>
        <v/>
      </c>
      <c r="S66" t="str">
        <f>IF(ISBLANK(drvlst[[#This Row],[number]]), "",COUNTIFS($A:$A,drvlst[[#This Row],[tmp-number]],$O:$O, "BJ And dev",$V:$V, "&lt;&gt;IntegratorComment"))</f>
        <v/>
      </c>
      <c r="T66" t="str">
        <f>IF(ISBLANK(drvlst[[#This Row],[number]]), "",COUNTIFS($A:$A,drvlst[[#This Row],[tmp-number]],$O:$O, "FL And dev",$V:$V, "&lt;&gt;IntegratorComment"))</f>
        <v/>
      </c>
      <c r="U66" t="str">
        <f>IF(OR(ISNUMBER(FIND("Review-1", drvlst[[#This Row],[comments]])), ISNUMBER(FIND("Approver-1", drvlst[[#This Row],[comments]]))), "Review-1", "")</f>
        <v/>
      </c>
      <c r="V66" s="7" t="str">
        <f>IF(OR(ISNUMBER(FIND(": Integrator", drvlst[[#This Row],[comments]])), ISNUMBER(FIND(":\n\nIntegrator", drvlst[[#This Row],[comments]])), ISNUMBER(FIND("-Integrator", drvlst[[#This Row],[comments]]))), "IntegratorComment", "")</f>
        <v/>
      </c>
      <c r="W66" s="7" t="str">
        <f>IF(ISBLANK(drvlst[[#This Row],[status]]),W65,drvlst[[#This Row],[status]])</f>
        <v>MERGED</v>
      </c>
    </row>
    <row r="67" spans="1:23">
      <c r="A67" s="7">
        <f>IF(ISBLANK(drvlst[[#This Row],[number]]),A66,drvlst[[#This Row],[number]])</f>
        <v>96430</v>
      </c>
      <c r="J67" t="s">
        <v>99</v>
      </c>
      <c r="K67" s="8">
        <v>42389.696620370371</v>
      </c>
      <c r="L67" t="s">
        <v>92</v>
      </c>
      <c r="M67" s="7" t="str">
        <f>IF(ISBLANK(drvlst[[#This Row],[owner.emal]]),M66,drvlst[[#This Row],[owner.emal]])</f>
        <v>jouni.hogander@intel.com</v>
      </c>
      <c r="N67">
        <f>_xlfn.IFNA(VLOOKUP(drvlst[[#This Row],[tmp-owner.email]],OrgTree!$A:$J, 10, 0), "not ICG SWFW")</f>
        <v>0</v>
      </c>
      <c r="O67" s="7" t="str">
        <f>IF(drvlst[[#This Row],[reviewer]]=drvlst[[#This Row],[tmp-owner.email]], "author", _xlfn.IFNA(VLOOKUP(drvlst[[#This Row],[reviewer]],OrgTree!$A:$J, 10, 0), "not ICG SWFW"))</f>
        <v>author</v>
      </c>
      <c r="P67" s="7" t="str">
        <f>IF(ISBLANK(drvlst[[#This Row],[number]]), "",SUM(drvlst[[#This Row],[BJ -1 num]],drvlst[[#This Row],[FI -1 num]]))</f>
        <v/>
      </c>
      <c r="Q67" s="7" t="str">
        <f>IF(ISBLANK(drvlst[[#This Row],[number]]), "",COUNTIFS($A:$A,drvlst[[#This Row],[tmp-number]],$O:$O, "BJ And dev",$U:$U, "Review-1"))</f>
        <v/>
      </c>
      <c r="R67" s="7" t="str">
        <f>IF(ISBLANK(drvlst[[#This Row],[number]]), "",COUNTIFS($A:$A,drvlst[[#This Row],[tmp-number]],$O:$O, "FL And dev",$U:$U, "Review-1"))</f>
        <v/>
      </c>
      <c r="S67" t="str">
        <f>IF(ISBLANK(drvlst[[#This Row],[number]]), "",COUNTIFS($A:$A,drvlst[[#This Row],[tmp-number]],$O:$O, "BJ And dev",$V:$V, "&lt;&gt;IntegratorComment"))</f>
        <v/>
      </c>
      <c r="T67" t="str">
        <f>IF(ISBLANK(drvlst[[#This Row],[number]]), "",COUNTIFS($A:$A,drvlst[[#This Row],[tmp-number]],$O:$O, "FL And dev",$V:$V, "&lt;&gt;IntegratorComment"))</f>
        <v/>
      </c>
      <c r="U67" t="str">
        <f>IF(OR(ISNUMBER(FIND("Review-1", drvlst[[#This Row],[comments]])), ISNUMBER(FIND("Approver-1", drvlst[[#This Row],[comments]]))), "Review-1", "")</f>
        <v/>
      </c>
      <c r="V67" s="7" t="str">
        <f>IF(OR(ISNUMBER(FIND(": Integrator", drvlst[[#This Row],[comments]])), ISNUMBER(FIND(":\n\nIntegrator", drvlst[[#This Row],[comments]])), ISNUMBER(FIND("-Integrator", drvlst[[#This Row],[comments]]))), "IntegratorComment", "")</f>
        <v/>
      </c>
      <c r="W67" s="7" t="str">
        <f>IF(ISBLANK(drvlst[[#This Row],[status]]),W66,drvlst[[#This Row],[status]])</f>
        <v>MERGED</v>
      </c>
    </row>
    <row r="68" spans="1:23">
      <c r="A68" s="7">
        <f>IF(ISBLANK(drvlst[[#This Row],[number]]),A67,drvlst[[#This Row],[number]])</f>
        <v>96430</v>
      </c>
      <c r="J68" t="s">
        <v>99</v>
      </c>
      <c r="K68" s="8">
        <v>42389.697002314817</v>
      </c>
      <c r="L68" t="s">
        <v>1921</v>
      </c>
      <c r="M68" s="7" t="str">
        <f>IF(ISBLANK(drvlst[[#This Row],[owner.emal]]),M67,drvlst[[#This Row],[owner.emal]])</f>
        <v>jouni.hogander@intel.com</v>
      </c>
      <c r="N68">
        <f>_xlfn.IFNA(VLOOKUP(drvlst[[#This Row],[tmp-owner.email]],OrgTree!$A:$J, 10, 0), "not ICG SWFW")</f>
        <v>0</v>
      </c>
      <c r="O68" s="7" t="str">
        <f>IF(drvlst[[#This Row],[reviewer]]=drvlst[[#This Row],[tmp-owner.email]], "author", _xlfn.IFNA(VLOOKUP(drvlst[[#This Row],[reviewer]],OrgTree!$A:$J, 10, 0), "not ICG SWFW"))</f>
        <v>author</v>
      </c>
      <c r="P68" s="7" t="str">
        <f>IF(ISBLANK(drvlst[[#This Row],[number]]), "",SUM(drvlst[[#This Row],[BJ -1 num]],drvlst[[#This Row],[FI -1 num]]))</f>
        <v/>
      </c>
      <c r="Q68" s="7" t="str">
        <f>IF(ISBLANK(drvlst[[#This Row],[number]]), "",COUNTIFS($A:$A,drvlst[[#This Row],[tmp-number]],$O:$O, "BJ And dev",$U:$U, "Review-1"))</f>
        <v/>
      </c>
      <c r="R68" s="7" t="str">
        <f>IF(ISBLANK(drvlst[[#This Row],[number]]), "",COUNTIFS($A:$A,drvlst[[#This Row],[tmp-number]],$O:$O, "FL And dev",$U:$U, "Review-1"))</f>
        <v/>
      </c>
      <c r="S68" t="str">
        <f>IF(ISBLANK(drvlst[[#This Row],[number]]), "",COUNTIFS($A:$A,drvlst[[#This Row],[tmp-number]],$O:$O, "BJ And dev",$V:$V, "&lt;&gt;IntegratorComment"))</f>
        <v/>
      </c>
      <c r="T68" t="str">
        <f>IF(ISBLANK(drvlst[[#This Row],[number]]), "",COUNTIFS($A:$A,drvlst[[#This Row],[tmp-number]],$O:$O, "FL And dev",$V:$V, "&lt;&gt;IntegratorComment"))</f>
        <v/>
      </c>
      <c r="U68" t="str">
        <f>IF(OR(ISNUMBER(FIND("Review-1", drvlst[[#This Row],[comments]])), ISNUMBER(FIND("Approver-1", drvlst[[#This Row],[comments]]))), "Review-1", "")</f>
        <v/>
      </c>
      <c r="V68" s="7" t="str">
        <f>IF(OR(ISNUMBER(FIND(": Integrator", drvlst[[#This Row],[comments]])), ISNUMBER(FIND(":\n\nIntegrator", drvlst[[#This Row],[comments]])), ISNUMBER(FIND("-Integrator", drvlst[[#This Row],[comments]]))), "IntegratorComment", "")</f>
        <v/>
      </c>
      <c r="W68" s="7" t="str">
        <f>IF(ISBLANK(drvlst[[#This Row],[status]]),W67,drvlst[[#This Row],[status]])</f>
        <v>MERGED</v>
      </c>
    </row>
    <row r="69" spans="1:23">
      <c r="A69" s="7">
        <f>IF(ISBLANK(drvlst[[#This Row],[number]]),A68,drvlst[[#This Row],[number]])</f>
        <v>96430</v>
      </c>
      <c r="J69" t="s">
        <v>97</v>
      </c>
      <c r="K69" s="8">
        <v>42389.700902777775</v>
      </c>
      <c r="L69" t="s">
        <v>1828</v>
      </c>
      <c r="M69" s="7" t="str">
        <f>IF(ISBLANK(drvlst[[#This Row],[owner.emal]]),M68,drvlst[[#This Row],[owner.emal]])</f>
        <v>jouni.hogander@intel.com</v>
      </c>
      <c r="N69">
        <f>_xlfn.IFNA(VLOOKUP(drvlst[[#This Row],[tmp-owner.email]],OrgTree!$A:$J, 10, 0), "not ICG SWFW")</f>
        <v>0</v>
      </c>
      <c r="O69" s="7">
        <f>IF(drvlst[[#This Row],[reviewer]]=drvlst[[#This Row],[tmp-owner.email]], "author", _xlfn.IFNA(VLOOKUP(drvlst[[#This Row],[reviewer]],OrgTree!$A:$J, 10, 0), "not ICG SWFW"))</f>
        <v>0</v>
      </c>
      <c r="P69" s="7" t="str">
        <f>IF(ISBLANK(drvlst[[#This Row],[number]]), "",SUM(drvlst[[#This Row],[BJ -1 num]],drvlst[[#This Row],[FI -1 num]]))</f>
        <v/>
      </c>
      <c r="Q69" s="7" t="str">
        <f>IF(ISBLANK(drvlst[[#This Row],[number]]), "",COUNTIFS($A:$A,drvlst[[#This Row],[tmp-number]],$O:$O, "BJ And dev",$U:$U, "Review-1"))</f>
        <v/>
      </c>
      <c r="R69" s="7" t="str">
        <f>IF(ISBLANK(drvlst[[#This Row],[number]]), "",COUNTIFS($A:$A,drvlst[[#This Row],[tmp-number]],$O:$O, "FL And dev",$U:$U, "Review-1"))</f>
        <v/>
      </c>
      <c r="S69" t="str">
        <f>IF(ISBLANK(drvlst[[#This Row],[number]]), "",COUNTIFS($A:$A,drvlst[[#This Row],[tmp-number]],$O:$O, "BJ And dev",$V:$V, "&lt;&gt;IntegratorComment"))</f>
        <v/>
      </c>
      <c r="T69" t="str">
        <f>IF(ISBLANK(drvlst[[#This Row],[number]]), "",COUNTIFS($A:$A,drvlst[[#This Row],[tmp-number]],$O:$O, "FL And dev",$V:$V, "&lt;&gt;IntegratorComment"))</f>
        <v/>
      </c>
      <c r="U69" t="str">
        <f>IF(OR(ISNUMBER(FIND("Review-1", drvlst[[#This Row],[comments]])), ISNUMBER(FIND("Approver-1", drvlst[[#This Row],[comments]]))), "Review-1", "")</f>
        <v/>
      </c>
      <c r="V69" s="7" t="str">
        <f>IF(OR(ISNUMBER(FIND(": Integrator", drvlst[[#This Row],[comments]])), ISNUMBER(FIND(":\n\nIntegrator", drvlst[[#This Row],[comments]])), ISNUMBER(FIND("-Integrator", drvlst[[#This Row],[comments]]))), "IntegratorComment", "")</f>
        <v/>
      </c>
      <c r="W69" s="7" t="str">
        <f>IF(ISBLANK(drvlst[[#This Row],[status]]),W68,drvlst[[#This Row],[status]])</f>
        <v>MERGED</v>
      </c>
    </row>
    <row r="70" spans="1:23">
      <c r="A70" s="7">
        <f>IF(ISBLANK(drvlst[[#This Row],[number]]),A69,drvlst[[#This Row],[number]])</f>
        <v>96430</v>
      </c>
      <c r="J70" t="s">
        <v>97</v>
      </c>
      <c r="K70" s="8">
        <v>42389.701226851852</v>
      </c>
      <c r="L70" t="s">
        <v>27</v>
      </c>
      <c r="M70" s="7" t="str">
        <f>IF(ISBLANK(drvlst[[#This Row],[owner.emal]]),M69,drvlst[[#This Row],[owner.emal]])</f>
        <v>jouni.hogander@intel.com</v>
      </c>
      <c r="N70">
        <f>_xlfn.IFNA(VLOOKUP(drvlst[[#This Row],[tmp-owner.email]],OrgTree!$A:$J, 10, 0), "not ICG SWFW")</f>
        <v>0</v>
      </c>
      <c r="O70" s="7">
        <f>IF(drvlst[[#This Row],[reviewer]]=drvlst[[#This Row],[tmp-owner.email]], "author", _xlfn.IFNA(VLOOKUP(drvlst[[#This Row],[reviewer]],OrgTree!$A:$J, 10, 0), "not ICG SWFW"))</f>
        <v>0</v>
      </c>
      <c r="P70" s="7" t="str">
        <f>IF(ISBLANK(drvlst[[#This Row],[number]]), "",SUM(drvlst[[#This Row],[BJ -1 num]],drvlst[[#This Row],[FI -1 num]]))</f>
        <v/>
      </c>
      <c r="Q70" s="7" t="str">
        <f>IF(ISBLANK(drvlst[[#This Row],[number]]), "",COUNTIFS($A:$A,drvlst[[#This Row],[tmp-number]],$O:$O, "BJ And dev",$U:$U, "Review-1"))</f>
        <v/>
      </c>
      <c r="R70" s="7" t="str">
        <f>IF(ISBLANK(drvlst[[#This Row],[number]]), "",COUNTIFS($A:$A,drvlst[[#This Row],[tmp-number]],$O:$O, "FL And dev",$U:$U, "Review-1"))</f>
        <v/>
      </c>
      <c r="S70" t="str">
        <f>IF(ISBLANK(drvlst[[#This Row],[number]]), "",COUNTIFS($A:$A,drvlst[[#This Row],[tmp-number]],$O:$O, "BJ And dev",$V:$V, "&lt;&gt;IntegratorComment"))</f>
        <v/>
      </c>
      <c r="T70" t="str">
        <f>IF(ISBLANK(drvlst[[#This Row],[number]]), "",COUNTIFS($A:$A,drvlst[[#This Row],[tmp-number]],$O:$O, "FL And dev",$V:$V, "&lt;&gt;IntegratorComment"))</f>
        <v/>
      </c>
      <c r="U70" t="str">
        <f>IF(OR(ISNUMBER(FIND("Review-1", drvlst[[#This Row],[comments]])), ISNUMBER(FIND("Approver-1", drvlst[[#This Row],[comments]]))), "Review-1", "")</f>
        <v/>
      </c>
      <c r="V70" s="7" t="str">
        <f>IF(OR(ISNUMBER(FIND(": Integrator", drvlst[[#This Row],[comments]])), ISNUMBER(FIND(":\n\nIntegrator", drvlst[[#This Row],[comments]])), ISNUMBER(FIND("-Integrator", drvlst[[#This Row],[comments]]))), "IntegratorComment", "")</f>
        <v/>
      </c>
      <c r="W70" s="7" t="str">
        <f>IF(ISBLANK(drvlst[[#This Row],[status]]),W69,drvlst[[#This Row],[status]])</f>
        <v>MERGED</v>
      </c>
    </row>
    <row r="71" spans="1:23">
      <c r="A71" s="7">
        <f>IF(ISBLANK(drvlst[[#This Row],[number]]),A70,drvlst[[#This Row],[number]])</f>
        <v>96430</v>
      </c>
      <c r="J71" t="s">
        <v>99</v>
      </c>
      <c r="K71" s="8">
        <v>42389.702835648146</v>
      </c>
      <c r="L71" t="s">
        <v>27</v>
      </c>
      <c r="M71" s="7" t="str">
        <f>IF(ISBLANK(drvlst[[#This Row],[owner.emal]]),M70,drvlst[[#This Row],[owner.emal]])</f>
        <v>jouni.hogander@intel.com</v>
      </c>
      <c r="N71">
        <f>_xlfn.IFNA(VLOOKUP(drvlst[[#This Row],[tmp-owner.email]],OrgTree!$A:$J, 10, 0), "not ICG SWFW")</f>
        <v>0</v>
      </c>
      <c r="O71" s="7" t="str">
        <f>IF(drvlst[[#This Row],[reviewer]]=drvlst[[#This Row],[tmp-owner.email]], "author", _xlfn.IFNA(VLOOKUP(drvlst[[#This Row],[reviewer]],OrgTree!$A:$J, 10, 0), "not ICG SWFW"))</f>
        <v>author</v>
      </c>
      <c r="P71" s="7" t="str">
        <f>IF(ISBLANK(drvlst[[#This Row],[number]]), "",SUM(drvlst[[#This Row],[BJ -1 num]],drvlst[[#This Row],[FI -1 num]]))</f>
        <v/>
      </c>
      <c r="Q71" s="7" t="str">
        <f>IF(ISBLANK(drvlst[[#This Row],[number]]), "",COUNTIFS($A:$A,drvlst[[#This Row],[tmp-number]],$O:$O, "BJ And dev",$U:$U, "Review-1"))</f>
        <v/>
      </c>
      <c r="R71" s="7" t="str">
        <f>IF(ISBLANK(drvlst[[#This Row],[number]]), "",COUNTIFS($A:$A,drvlst[[#This Row],[tmp-number]],$O:$O, "FL And dev",$U:$U, "Review-1"))</f>
        <v/>
      </c>
      <c r="S71" t="str">
        <f>IF(ISBLANK(drvlst[[#This Row],[number]]), "",COUNTIFS($A:$A,drvlst[[#This Row],[tmp-number]],$O:$O, "BJ And dev",$V:$V, "&lt;&gt;IntegratorComment"))</f>
        <v/>
      </c>
      <c r="T71" t="str">
        <f>IF(ISBLANK(drvlst[[#This Row],[number]]), "",COUNTIFS($A:$A,drvlst[[#This Row],[tmp-number]],$O:$O, "FL And dev",$V:$V, "&lt;&gt;IntegratorComment"))</f>
        <v/>
      </c>
      <c r="U71" t="str">
        <f>IF(OR(ISNUMBER(FIND("Review-1", drvlst[[#This Row],[comments]])), ISNUMBER(FIND("Approver-1", drvlst[[#This Row],[comments]]))), "Review-1", "")</f>
        <v/>
      </c>
      <c r="V71" s="7" t="str">
        <f>IF(OR(ISNUMBER(FIND(": Integrator", drvlst[[#This Row],[comments]])), ISNUMBER(FIND(":\n\nIntegrator", drvlst[[#This Row],[comments]])), ISNUMBER(FIND("-Integrator", drvlst[[#This Row],[comments]]))), "IntegratorComment", "")</f>
        <v/>
      </c>
      <c r="W71" s="7" t="str">
        <f>IF(ISBLANK(drvlst[[#This Row],[status]]),W70,drvlst[[#This Row],[status]])</f>
        <v>MERGED</v>
      </c>
    </row>
    <row r="72" spans="1:23">
      <c r="A72" s="7">
        <f>IF(ISBLANK(drvlst[[#This Row],[number]]),A71,drvlst[[#This Row],[number]])</f>
        <v>96430</v>
      </c>
      <c r="J72" t="s">
        <v>91</v>
      </c>
      <c r="K72" s="8">
        <v>42390.021180555559</v>
      </c>
      <c r="L72" t="s">
        <v>1922</v>
      </c>
      <c r="M72" s="7" t="str">
        <f>IF(ISBLANK(drvlst[[#This Row],[owner.emal]]),M71,drvlst[[#This Row],[owner.emal]])</f>
        <v>jouni.hogander@intel.com</v>
      </c>
      <c r="N72">
        <f>_xlfn.IFNA(VLOOKUP(drvlst[[#This Row],[tmp-owner.email]],OrgTree!$A:$J, 10, 0), "not ICG SWFW")</f>
        <v>0</v>
      </c>
      <c r="O72" s="7">
        <f>IF(drvlst[[#This Row],[reviewer]]=drvlst[[#This Row],[tmp-owner.email]], "author", _xlfn.IFNA(VLOOKUP(drvlst[[#This Row],[reviewer]],OrgTree!$A:$J, 10, 0), "not ICG SWFW"))</f>
        <v>0</v>
      </c>
      <c r="P72" s="7" t="str">
        <f>IF(ISBLANK(drvlst[[#This Row],[number]]), "",SUM(drvlst[[#This Row],[BJ -1 num]],drvlst[[#This Row],[FI -1 num]]))</f>
        <v/>
      </c>
      <c r="Q72" s="7" t="str">
        <f>IF(ISBLANK(drvlst[[#This Row],[number]]), "",COUNTIFS($A:$A,drvlst[[#This Row],[tmp-number]],$O:$O, "BJ And dev",$U:$U, "Review-1"))</f>
        <v/>
      </c>
      <c r="R72" s="7" t="str">
        <f>IF(ISBLANK(drvlst[[#This Row],[number]]), "",COUNTIFS($A:$A,drvlst[[#This Row],[tmp-number]],$O:$O, "FL And dev",$U:$U, "Review-1"))</f>
        <v/>
      </c>
      <c r="S72" t="str">
        <f>IF(ISBLANK(drvlst[[#This Row],[number]]), "",COUNTIFS($A:$A,drvlst[[#This Row],[tmp-number]],$O:$O, "BJ And dev",$V:$V, "&lt;&gt;IntegratorComment"))</f>
        <v/>
      </c>
      <c r="T72" t="str">
        <f>IF(ISBLANK(drvlst[[#This Row],[number]]), "",COUNTIFS($A:$A,drvlst[[#This Row],[tmp-number]],$O:$O, "FL And dev",$V:$V, "&lt;&gt;IntegratorComment"))</f>
        <v/>
      </c>
      <c r="U72" t="str">
        <f>IF(OR(ISNUMBER(FIND("Review-1", drvlst[[#This Row],[comments]])), ISNUMBER(FIND("Approver-1", drvlst[[#This Row],[comments]]))), "Review-1", "")</f>
        <v>Review-1</v>
      </c>
      <c r="V72" s="7" t="str">
        <f>IF(OR(ISNUMBER(FIND(": Integrator", drvlst[[#This Row],[comments]])), ISNUMBER(FIND(":\n\nIntegrator", drvlst[[#This Row],[comments]])), ISNUMBER(FIND("-Integrator", drvlst[[#This Row],[comments]]))), "IntegratorComment", "")</f>
        <v/>
      </c>
      <c r="W72" s="7" t="str">
        <f>IF(ISBLANK(drvlst[[#This Row],[status]]),W71,drvlst[[#This Row],[status]])</f>
        <v>MERGED</v>
      </c>
    </row>
    <row r="73" spans="1:23">
      <c r="A73" s="7">
        <f>IF(ISBLANK(drvlst[[#This Row],[number]]),A72,drvlst[[#This Row],[number]])</f>
        <v>96430</v>
      </c>
      <c r="J73" t="s">
        <v>30</v>
      </c>
      <c r="K73" s="8">
        <v>42390.041180555556</v>
      </c>
      <c r="L73" t="s">
        <v>1872</v>
      </c>
      <c r="M73" s="7" t="str">
        <f>IF(ISBLANK(drvlst[[#This Row],[owner.emal]]),M72,drvlst[[#This Row],[owner.emal]])</f>
        <v>jouni.hogander@intel.com</v>
      </c>
      <c r="N73">
        <f>_xlfn.IFNA(VLOOKUP(drvlst[[#This Row],[tmp-owner.email]],OrgTree!$A:$J, 10, 0), "not ICG SWFW")</f>
        <v>0</v>
      </c>
      <c r="O73" s="7">
        <f>IF(drvlst[[#This Row],[reviewer]]=drvlst[[#This Row],[tmp-owner.email]], "author", _xlfn.IFNA(VLOOKUP(drvlst[[#This Row],[reviewer]],OrgTree!$A:$J, 10, 0), "not ICG SWFW"))</f>
        <v>0</v>
      </c>
      <c r="P73" s="7" t="str">
        <f>IF(ISBLANK(drvlst[[#This Row],[number]]), "",SUM(drvlst[[#This Row],[BJ -1 num]],drvlst[[#This Row],[FI -1 num]]))</f>
        <v/>
      </c>
      <c r="Q73" s="7" t="str">
        <f>IF(ISBLANK(drvlst[[#This Row],[number]]), "",COUNTIFS($A:$A,drvlst[[#This Row],[tmp-number]],$O:$O, "BJ And dev",$U:$U, "Review-1"))</f>
        <v/>
      </c>
      <c r="R73" s="7" t="str">
        <f>IF(ISBLANK(drvlst[[#This Row],[number]]), "",COUNTIFS($A:$A,drvlst[[#This Row],[tmp-number]],$O:$O, "FL And dev",$U:$U, "Review-1"))</f>
        <v/>
      </c>
      <c r="S73" t="str">
        <f>IF(ISBLANK(drvlst[[#This Row],[number]]), "",COUNTIFS($A:$A,drvlst[[#This Row],[tmp-number]],$O:$O, "BJ And dev",$V:$V, "&lt;&gt;IntegratorComment"))</f>
        <v/>
      </c>
      <c r="T73" t="str">
        <f>IF(ISBLANK(drvlst[[#This Row],[number]]), "",COUNTIFS($A:$A,drvlst[[#This Row],[tmp-number]],$O:$O, "FL And dev",$V:$V, "&lt;&gt;IntegratorComment"))</f>
        <v/>
      </c>
      <c r="U73" t="str">
        <f>IF(OR(ISNUMBER(FIND("Review-1", drvlst[[#This Row],[comments]])), ISNUMBER(FIND("Approver-1", drvlst[[#This Row],[comments]]))), "Review-1", "")</f>
        <v/>
      </c>
      <c r="V73" s="7" t="str">
        <f>IF(OR(ISNUMBER(FIND(": Integrator", drvlst[[#This Row],[comments]])), ISNUMBER(FIND(":\n\nIntegrator", drvlst[[#This Row],[comments]])), ISNUMBER(FIND("-Integrator", drvlst[[#This Row],[comments]]))), "IntegratorComment", "")</f>
        <v/>
      </c>
      <c r="W73" s="7" t="str">
        <f>IF(ISBLANK(drvlst[[#This Row],[status]]),W72,drvlst[[#This Row],[status]])</f>
        <v>MERGED</v>
      </c>
    </row>
    <row r="74" spans="1:23">
      <c r="A74" s="7">
        <f>IF(ISBLANK(drvlst[[#This Row],[number]]),A73,drvlst[[#This Row],[number]])</f>
        <v>96430</v>
      </c>
      <c r="J74" t="s">
        <v>74</v>
      </c>
      <c r="K74" s="8">
        <v>42390.45107638889</v>
      </c>
      <c r="L74" t="s">
        <v>1863</v>
      </c>
      <c r="M74" s="7" t="str">
        <f>IF(ISBLANK(drvlst[[#This Row],[owner.emal]]),M73,drvlst[[#This Row],[owner.emal]])</f>
        <v>jouni.hogander@intel.com</v>
      </c>
      <c r="N74">
        <f>_xlfn.IFNA(VLOOKUP(drvlst[[#This Row],[tmp-owner.email]],OrgTree!$A:$J, 10, 0), "not ICG SWFW")</f>
        <v>0</v>
      </c>
      <c r="O74" s="7">
        <f>IF(drvlst[[#This Row],[reviewer]]=drvlst[[#This Row],[tmp-owner.email]], "author", _xlfn.IFNA(VLOOKUP(drvlst[[#This Row],[reviewer]],OrgTree!$A:$J, 10, 0), "not ICG SWFW"))</f>
        <v>0</v>
      </c>
      <c r="P74" s="7" t="str">
        <f>IF(ISBLANK(drvlst[[#This Row],[number]]), "",SUM(drvlst[[#This Row],[BJ -1 num]],drvlst[[#This Row],[FI -1 num]]))</f>
        <v/>
      </c>
      <c r="Q74" s="7" t="str">
        <f>IF(ISBLANK(drvlst[[#This Row],[number]]), "",COUNTIFS($A:$A,drvlst[[#This Row],[tmp-number]],$O:$O, "BJ And dev",$U:$U, "Review-1"))</f>
        <v/>
      </c>
      <c r="R74" s="7" t="str">
        <f>IF(ISBLANK(drvlst[[#This Row],[number]]), "",COUNTIFS($A:$A,drvlst[[#This Row],[tmp-number]],$O:$O, "FL And dev",$U:$U, "Review-1"))</f>
        <v/>
      </c>
      <c r="S74" t="str">
        <f>IF(ISBLANK(drvlst[[#This Row],[number]]), "",COUNTIFS($A:$A,drvlst[[#This Row],[tmp-number]],$O:$O, "BJ And dev",$V:$V, "&lt;&gt;IntegratorComment"))</f>
        <v/>
      </c>
      <c r="T74" t="str">
        <f>IF(ISBLANK(drvlst[[#This Row],[number]]), "",COUNTIFS($A:$A,drvlst[[#This Row],[tmp-number]],$O:$O, "FL And dev",$V:$V, "&lt;&gt;IntegratorComment"))</f>
        <v/>
      </c>
      <c r="U74" t="str">
        <f>IF(OR(ISNUMBER(FIND("Review-1", drvlst[[#This Row],[comments]])), ISNUMBER(FIND("Approver-1", drvlst[[#This Row],[comments]]))), "Review-1", "")</f>
        <v/>
      </c>
      <c r="V74" s="7" t="str">
        <f>IF(OR(ISNUMBER(FIND(": Integrator", drvlst[[#This Row],[comments]])), ISNUMBER(FIND(":\n\nIntegrator", drvlst[[#This Row],[comments]])), ISNUMBER(FIND("-Integrator", drvlst[[#This Row],[comments]]))), "IntegratorComment", "")</f>
        <v/>
      </c>
      <c r="W74" s="7" t="str">
        <f>IF(ISBLANK(drvlst[[#This Row],[status]]),W73,drvlst[[#This Row],[status]])</f>
        <v>MERGED</v>
      </c>
    </row>
    <row r="75" spans="1:23">
      <c r="A75" s="7">
        <f>IF(ISBLANK(drvlst[[#This Row],[number]]),A74,drvlst[[#This Row],[number]])</f>
        <v>96430</v>
      </c>
      <c r="J75" t="s">
        <v>99</v>
      </c>
      <c r="K75" s="8">
        <v>42390.734456018516</v>
      </c>
      <c r="L75" t="s">
        <v>1922</v>
      </c>
      <c r="M75" s="7" t="str">
        <f>IF(ISBLANK(drvlst[[#This Row],[owner.emal]]),M74,drvlst[[#This Row],[owner.emal]])</f>
        <v>jouni.hogander@intel.com</v>
      </c>
      <c r="N75">
        <f>_xlfn.IFNA(VLOOKUP(drvlst[[#This Row],[tmp-owner.email]],OrgTree!$A:$J, 10, 0), "not ICG SWFW")</f>
        <v>0</v>
      </c>
      <c r="O75" s="7" t="str">
        <f>IF(drvlst[[#This Row],[reviewer]]=drvlst[[#This Row],[tmp-owner.email]], "author", _xlfn.IFNA(VLOOKUP(drvlst[[#This Row],[reviewer]],OrgTree!$A:$J, 10, 0), "not ICG SWFW"))</f>
        <v>author</v>
      </c>
      <c r="P75" s="7" t="str">
        <f>IF(ISBLANK(drvlst[[#This Row],[number]]), "",SUM(drvlst[[#This Row],[BJ -1 num]],drvlst[[#This Row],[FI -1 num]]))</f>
        <v/>
      </c>
      <c r="Q75" s="7" t="str">
        <f>IF(ISBLANK(drvlst[[#This Row],[number]]), "",COUNTIFS($A:$A,drvlst[[#This Row],[tmp-number]],$O:$O, "BJ And dev",$U:$U, "Review-1"))</f>
        <v/>
      </c>
      <c r="R75" s="7" t="str">
        <f>IF(ISBLANK(drvlst[[#This Row],[number]]), "",COUNTIFS($A:$A,drvlst[[#This Row],[tmp-number]],$O:$O, "FL And dev",$U:$U, "Review-1"))</f>
        <v/>
      </c>
      <c r="S75" t="str">
        <f>IF(ISBLANK(drvlst[[#This Row],[number]]), "",COUNTIFS($A:$A,drvlst[[#This Row],[tmp-number]],$O:$O, "BJ And dev",$V:$V, "&lt;&gt;IntegratorComment"))</f>
        <v/>
      </c>
      <c r="T75" t="str">
        <f>IF(ISBLANK(drvlst[[#This Row],[number]]), "",COUNTIFS($A:$A,drvlst[[#This Row],[tmp-number]],$O:$O, "FL And dev",$V:$V, "&lt;&gt;IntegratorComment"))</f>
        <v/>
      </c>
      <c r="U75" t="str">
        <f>IF(OR(ISNUMBER(FIND("Review-1", drvlst[[#This Row],[comments]])), ISNUMBER(FIND("Approver-1", drvlst[[#This Row],[comments]]))), "Review-1", "")</f>
        <v>Review-1</v>
      </c>
      <c r="V75" s="7" t="str">
        <f>IF(OR(ISNUMBER(FIND(": Integrator", drvlst[[#This Row],[comments]])), ISNUMBER(FIND(":\n\nIntegrator", drvlst[[#This Row],[comments]])), ISNUMBER(FIND("-Integrator", drvlst[[#This Row],[comments]]))), "IntegratorComment", "")</f>
        <v/>
      </c>
      <c r="W75" s="7" t="str">
        <f>IF(ISBLANK(drvlst[[#This Row],[status]]),W74,drvlst[[#This Row],[status]])</f>
        <v>MERGED</v>
      </c>
    </row>
    <row r="76" spans="1:23">
      <c r="A76" s="7">
        <f>IF(ISBLANK(drvlst[[#This Row],[number]]),A75,drvlst[[#This Row],[number]])</f>
        <v>96430</v>
      </c>
      <c r="J76" t="s">
        <v>99</v>
      </c>
      <c r="K76" s="8">
        <v>42390.794224537036</v>
      </c>
      <c r="L76" t="s">
        <v>1829</v>
      </c>
      <c r="M76" s="7" t="str">
        <f>IF(ISBLANK(drvlst[[#This Row],[owner.emal]]),M75,drvlst[[#This Row],[owner.emal]])</f>
        <v>jouni.hogander@intel.com</v>
      </c>
      <c r="N76">
        <f>_xlfn.IFNA(VLOOKUP(drvlst[[#This Row],[tmp-owner.email]],OrgTree!$A:$J, 10, 0), "not ICG SWFW")</f>
        <v>0</v>
      </c>
      <c r="O76" s="7" t="str">
        <f>IF(drvlst[[#This Row],[reviewer]]=drvlst[[#This Row],[tmp-owner.email]], "author", _xlfn.IFNA(VLOOKUP(drvlst[[#This Row],[reviewer]],OrgTree!$A:$J, 10, 0), "not ICG SWFW"))</f>
        <v>author</v>
      </c>
      <c r="P76" s="7" t="str">
        <f>IF(ISBLANK(drvlst[[#This Row],[number]]), "",SUM(drvlst[[#This Row],[BJ -1 num]],drvlst[[#This Row],[FI -1 num]]))</f>
        <v/>
      </c>
      <c r="Q76" s="7" t="str">
        <f>IF(ISBLANK(drvlst[[#This Row],[number]]), "",COUNTIFS($A:$A,drvlst[[#This Row],[tmp-number]],$O:$O, "BJ And dev",$U:$U, "Review-1"))</f>
        <v/>
      </c>
      <c r="R76" s="7" t="str">
        <f>IF(ISBLANK(drvlst[[#This Row],[number]]), "",COUNTIFS($A:$A,drvlst[[#This Row],[tmp-number]],$O:$O, "FL And dev",$U:$U, "Review-1"))</f>
        <v/>
      </c>
      <c r="S76" t="str">
        <f>IF(ISBLANK(drvlst[[#This Row],[number]]), "",COUNTIFS($A:$A,drvlst[[#This Row],[tmp-number]],$O:$O, "BJ And dev",$V:$V, "&lt;&gt;IntegratorComment"))</f>
        <v/>
      </c>
      <c r="T76" t="str">
        <f>IF(ISBLANK(drvlst[[#This Row],[number]]), "",COUNTIFS($A:$A,drvlst[[#This Row],[tmp-number]],$O:$O, "FL And dev",$V:$V, "&lt;&gt;IntegratorComment"))</f>
        <v/>
      </c>
      <c r="U76" t="str">
        <f>IF(OR(ISNUMBER(FIND("Review-1", drvlst[[#This Row],[comments]])), ISNUMBER(FIND("Approver-1", drvlst[[#This Row],[comments]]))), "Review-1", "")</f>
        <v/>
      </c>
      <c r="V76" s="7" t="str">
        <f>IF(OR(ISNUMBER(FIND(": Integrator", drvlst[[#This Row],[comments]])), ISNUMBER(FIND(":\n\nIntegrator", drvlst[[#This Row],[comments]])), ISNUMBER(FIND("-Integrator", drvlst[[#This Row],[comments]]))), "IntegratorComment", "")</f>
        <v/>
      </c>
      <c r="W76" s="7" t="str">
        <f>IF(ISBLANK(drvlst[[#This Row],[status]]),W75,drvlst[[#This Row],[status]])</f>
        <v>MERGED</v>
      </c>
    </row>
    <row r="77" spans="1:23">
      <c r="A77" s="7">
        <f>IF(ISBLANK(drvlst[[#This Row],[number]]),A76,drvlst[[#This Row],[number]])</f>
        <v>96430</v>
      </c>
      <c r="J77" t="s">
        <v>99</v>
      </c>
      <c r="K77" s="8">
        <v>42390.794224537036</v>
      </c>
      <c r="L77" t="s">
        <v>98</v>
      </c>
      <c r="M77" s="7" t="str">
        <f>IF(ISBLANK(drvlst[[#This Row],[owner.emal]]),M76,drvlst[[#This Row],[owner.emal]])</f>
        <v>jouni.hogander@intel.com</v>
      </c>
      <c r="N77">
        <f>_xlfn.IFNA(VLOOKUP(drvlst[[#This Row],[tmp-owner.email]],OrgTree!$A:$J, 10, 0), "not ICG SWFW")</f>
        <v>0</v>
      </c>
      <c r="O77" s="7" t="str">
        <f>IF(drvlst[[#This Row],[reviewer]]=drvlst[[#This Row],[tmp-owner.email]], "author", _xlfn.IFNA(VLOOKUP(drvlst[[#This Row],[reviewer]],OrgTree!$A:$J, 10, 0), "not ICG SWFW"))</f>
        <v>author</v>
      </c>
      <c r="P77" s="7" t="str">
        <f>IF(ISBLANK(drvlst[[#This Row],[number]]), "",SUM(drvlst[[#This Row],[BJ -1 num]],drvlst[[#This Row],[FI -1 num]]))</f>
        <v/>
      </c>
      <c r="Q77" s="7" t="str">
        <f>IF(ISBLANK(drvlst[[#This Row],[number]]), "",COUNTIFS($A:$A,drvlst[[#This Row],[tmp-number]],$O:$O, "BJ And dev",$U:$U, "Review-1"))</f>
        <v/>
      </c>
      <c r="R77" s="7" t="str">
        <f>IF(ISBLANK(drvlst[[#This Row],[number]]), "",COUNTIFS($A:$A,drvlst[[#This Row],[tmp-number]],$O:$O, "FL And dev",$U:$U, "Review-1"))</f>
        <v/>
      </c>
      <c r="S77" t="str">
        <f>IF(ISBLANK(drvlst[[#This Row],[number]]), "",COUNTIFS($A:$A,drvlst[[#This Row],[tmp-number]],$O:$O, "BJ And dev",$V:$V, "&lt;&gt;IntegratorComment"))</f>
        <v/>
      </c>
      <c r="T77" t="str">
        <f>IF(ISBLANK(drvlst[[#This Row],[number]]), "",COUNTIFS($A:$A,drvlst[[#This Row],[tmp-number]],$O:$O, "FL And dev",$V:$V, "&lt;&gt;IntegratorComment"))</f>
        <v/>
      </c>
      <c r="U77" t="str">
        <f>IF(OR(ISNUMBER(FIND("Review-1", drvlst[[#This Row],[comments]])), ISNUMBER(FIND("Approver-1", drvlst[[#This Row],[comments]]))), "Review-1", "")</f>
        <v/>
      </c>
      <c r="V77" s="7" t="str">
        <f>IF(OR(ISNUMBER(FIND(": Integrator", drvlst[[#This Row],[comments]])), ISNUMBER(FIND(":\n\nIntegrator", drvlst[[#This Row],[comments]])), ISNUMBER(FIND("-Integrator", drvlst[[#This Row],[comments]]))), "IntegratorComment", "")</f>
        <v/>
      </c>
      <c r="W77" s="7" t="str">
        <f>IF(ISBLANK(drvlst[[#This Row],[status]]),W76,drvlst[[#This Row],[status]])</f>
        <v>MERGED</v>
      </c>
    </row>
    <row r="78" spans="1:23">
      <c r="A78" s="7">
        <f>IF(ISBLANK(drvlst[[#This Row],[number]]),A77,drvlst[[#This Row],[number]])</f>
        <v>96430</v>
      </c>
      <c r="J78" t="s">
        <v>99</v>
      </c>
      <c r="K78" s="8">
        <v>42390.796111111114</v>
      </c>
      <c r="L78" t="s">
        <v>48</v>
      </c>
      <c r="M78" s="7" t="str">
        <f>IF(ISBLANK(drvlst[[#This Row],[owner.emal]]),M77,drvlst[[#This Row],[owner.emal]])</f>
        <v>jouni.hogander@intel.com</v>
      </c>
      <c r="N78">
        <f>_xlfn.IFNA(VLOOKUP(drvlst[[#This Row],[tmp-owner.email]],OrgTree!$A:$J, 10, 0), "not ICG SWFW")</f>
        <v>0</v>
      </c>
      <c r="O78" s="7" t="str">
        <f>IF(drvlst[[#This Row],[reviewer]]=drvlst[[#This Row],[tmp-owner.email]], "author", _xlfn.IFNA(VLOOKUP(drvlst[[#This Row],[reviewer]],OrgTree!$A:$J, 10, 0), "not ICG SWFW"))</f>
        <v>author</v>
      </c>
      <c r="P78" s="7" t="str">
        <f>IF(ISBLANK(drvlst[[#This Row],[number]]), "",SUM(drvlst[[#This Row],[BJ -1 num]],drvlst[[#This Row],[FI -1 num]]))</f>
        <v/>
      </c>
      <c r="Q78" s="7" t="str">
        <f>IF(ISBLANK(drvlst[[#This Row],[number]]), "",COUNTIFS($A:$A,drvlst[[#This Row],[tmp-number]],$O:$O, "BJ And dev",$U:$U, "Review-1"))</f>
        <v/>
      </c>
      <c r="R78" s="7" t="str">
        <f>IF(ISBLANK(drvlst[[#This Row],[number]]), "",COUNTIFS($A:$A,drvlst[[#This Row],[tmp-number]],$O:$O, "FL And dev",$U:$U, "Review-1"))</f>
        <v/>
      </c>
      <c r="S78" t="str">
        <f>IF(ISBLANK(drvlst[[#This Row],[number]]), "",COUNTIFS($A:$A,drvlst[[#This Row],[tmp-number]],$O:$O, "BJ And dev",$V:$V, "&lt;&gt;IntegratorComment"))</f>
        <v/>
      </c>
      <c r="T78" t="str">
        <f>IF(ISBLANK(drvlst[[#This Row],[number]]), "",COUNTIFS($A:$A,drvlst[[#This Row],[tmp-number]],$O:$O, "FL And dev",$V:$V, "&lt;&gt;IntegratorComment"))</f>
        <v/>
      </c>
      <c r="U78" t="str">
        <f>IF(OR(ISNUMBER(FIND("Review-1", drvlst[[#This Row],[comments]])), ISNUMBER(FIND("Approver-1", drvlst[[#This Row],[comments]]))), "Review-1", "")</f>
        <v/>
      </c>
      <c r="V78" s="7" t="str">
        <f>IF(OR(ISNUMBER(FIND(": Integrator", drvlst[[#This Row],[comments]])), ISNUMBER(FIND(":\n\nIntegrator", drvlst[[#This Row],[comments]])), ISNUMBER(FIND("-Integrator", drvlst[[#This Row],[comments]]))), "IntegratorComment", "")</f>
        <v/>
      </c>
      <c r="W78" s="7" t="str">
        <f>IF(ISBLANK(drvlst[[#This Row],[status]]),W77,drvlst[[#This Row],[status]])</f>
        <v>MERGED</v>
      </c>
    </row>
    <row r="79" spans="1:23">
      <c r="A79" s="7">
        <f>IF(ISBLANK(drvlst[[#This Row],[number]]),A78,drvlst[[#This Row],[number]])</f>
        <v>96430</v>
      </c>
      <c r="J79" t="s">
        <v>1923</v>
      </c>
      <c r="K79" s="8">
        <v>42390.80840277778</v>
      </c>
      <c r="L79" t="s">
        <v>1924</v>
      </c>
      <c r="M79" s="7" t="str">
        <f>IF(ISBLANK(drvlst[[#This Row],[owner.emal]]),M78,drvlst[[#This Row],[owner.emal]])</f>
        <v>jouni.hogander@intel.com</v>
      </c>
      <c r="N79">
        <f>_xlfn.IFNA(VLOOKUP(drvlst[[#This Row],[tmp-owner.email]],OrgTree!$A:$J, 10, 0), "not ICG SWFW")</f>
        <v>0</v>
      </c>
      <c r="O79" s="7" t="str">
        <f>IF(drvlst[[#This Row],[reviewer]]=drvlst[[#This Row],[tmp-owner.email]], "author", _xlfn.IFNA(VLOOKUP(drvlst[[#This Row],[reviewer]],OrgTree!$A:$J, 10, 0), "not ICG SWFW"))</f>
        <v>not ICG SWFW</v>
      </c>
      <c r="P79" s="7" t="str">
        <f>IF(ISBLANK(drvlst[[#This Row],[number]]), "",SUM(drvlst[[#This Row],[BJ -1 num]],drvlst[[#This Row],[FI -1 num]]))</f>
        <v/>
      </c>
      <c r="Q79" s="7" t="str">
        <f>IF(ISBLANK(drvlst[[#This Row],[number]]), "",COUNTIFS($A:$A,drvlst[[#This Row],[tmp-number]],$O:$O, "BJ And dev",$U:$U, "Review-1"))</f>
        <v/>
      </c>
      <c r="R79" s="7" t="str">
        <f>IF(ISBLANK(drvlst[[#This Row],[number]]), "",COUNTIFS($A:$A,drvlst[[#This Row],[tmp-number]],$O:$O, "FL And dev",$U:$U, "Review-1"))</f>
        <v/>
      </c>
      <c r="S79" t="str">
        <f>IF(ISBLANK(drvlst[[#This Row],[number]]), "",COUNTIFS($A:$A,drvlst[[#This Row],[tmp-number]],$O:$O, "BJ And dev",$V:$V, "&lt;&gt;IntegratorComment"))</f>
        <v/>
      </c>
      <c r="T79" t="str">
        <f>IF(ISBLANK(drvlst[[#This Row],[number]]), "",COUNTIFS($A:$A,drvlst[[#This Row],[tmp-number]],$O:$O, "FL And dev",$V:$V, "&lt;&gt;IntegratorComment"))</f>
        <v/>
      </c>
      <c r="U79" t="str">
        <f>IF(OR(ISNUMBER(FIND("Review-1", drvlst[[#This Row],[comments]])), ISNUMBER(FIND("Approver-1", drvlst[[#This Row],[comments]]))), "Review-1", "")</f>
        <v>Review-1</v>
      </c>
      <c r="V79" s="7" t="str">
        <f>IF(OR(ISNUMBER(FIND(": Integrator", drvlst[[#This Row],[comments]])), ISNUMBER(FIND(":\n\nIntegrator", drvlst[[#This Row],[comments]])), ISNUMBER(FIND("-Integrator", drvlst[[#This Row],[comments]]))), "IntegratorComment", "")</f>
        <v/>
      </c>
      <c r="W79" s="7" t="str">
        <f>IF(ISBLANK(drvlst[[#This Row],[status]]),W78,drvlst[[#This Row],[status]])</f>
        <v>MERGED</v>
      </c>
    </row>
    <row r="80" spans="1:23">
      <c r="A80" s="7">
        <f>IF(ISBLANK(drvlst[[#This Row],[number]]),A79,drvlst[[#This Row],[number]])</f>
        <v>96430</v>
      </c>
      <c r="J80" t="s">
        <v>1923</v>
      </c>
      <c r="K80" s="8">
        <v>42390.809236111112</v>
      </c>
      <c r="L80" t="s">
        <v>1925</v>
      </c>
      <c r="M80" s="7" t="str">
        <f>IF(ISBLANK(drvlst[[#This Row],[owner.emal]]),M79,drvlst[[#This Row],[owner.emal]])</f>
        <v>jouni.hogander@intel.com</v>
      </c>
      <c r="N80">
        <f>_xlfn.IFNA(VLOOKUP(drvlst[[#This Row],[tmp-owner.email]],OrgTree!$A:$J, 10, 0), "not ICG SWFW")</f>
        <v>0</v>
      </c>
      <c r="O80" s="7" t="str">
        <f>IF(drvlst[[#This Row],[reviewer]]=drvlst[[#This Row],[tmp-owner.email]], "author", _xlfn.IFNA(VLOOKUP(drvlst[[#This Row],[reviewer]],OrgTree!$A:$J, 10, 0), "not ICG SWFW"))</f>
        <v>not ICG SWFW</v>
      </c>
      <c r="P80" s="7" t="str">
        <f>IF(ISBLANK(drvlst[[#This Row],[number]]), "",SUM(drvlst[[#This Row],[BJ -1 num]],drvlst[[#This Row],[FI -1 num]]))</f>
        <v/>
      </c>
      <c r="Q80" s="7" t="str">
        <f>IF(ISBLANK(drvlst[[#This Row],[number]]), "",COUNTIFS($A:$A,drvlst[[#This Row],[tmp-number]],$O:$O, "BJ And dev",$U:$U, "Review-1"))</f>
        <v/>
      </c>
      <c r="R80" s="7" t="str">
        <f>IF(ISBLANK(drvlst[[#This Row],[number]]), "",COUNTIFS($A:$A,drvlst[[#This Row],[tmp-number]],$O:$O, "FL And dev",$U:$U, "Review-1"))</f>
        <v/>
      </c>
      <c r="S80" t="str">
        <f>IF(ISBLANK(drvlst[[#This Row],[number]]), "",COUNTIFS($A:$A,drvlst[[#This Row],[tmp-number]],$O:$O, "BJ And dev",$V:$V, "&lt;&gt;IntegratorComment"))</f>
        <v/>
      </c>
      <c r="T80" t="str">
        <f>IF(ISBLANK(drvlst[[#This Row],[number]]), "",COUNTIFS($A:$A,drvlst[[#This Row],[tmp-number]],$O:$O, "FL And dev",$V:$V, "&lt;&gt;IntegratorComment"))</f>
        <v/>
      </c>
      <c r="U80" t="str">
        <f>IF(OR(ISNUMBER(FIND("Review-1", drvlst[[#This Row],[comments]])), ISNUMBER(FIND("Approver-1", drvlst[[#This Row],[comments]]))), "Review-1", "")</f>
        <v/>
      </c>
      <c r="V80" s="7" t="str">
        <f>IF(OR(ISNUMBER(FIND(": Integrator", drvlst[[#This Row],[comments]])), ISNUMBER(FIND(":\n\nIntegrator", drvlst[[#This Row],[comments]])), ISNUMBER(FIND("-Integrator", drvlst[[#This Row],[comments]]))), "IntegratorComment", "")</f>
        <v/>
      </c>
      <c r="W80" s="7" t="str">
        <f>IF(ISBLANK(drvlst[[#This Row],[status]]),W79,drvlst[[#This Row],[status]])</f>
        <v>MERGED</v>
      </c>
    </row>
    <row r="81" spans="1:23">
      <c r="A81" s="7">
        <f>IF(ISBLANK(drvlst[[#This Row],[number]]),A80,drvlst[[#This Row],[number]])</f>
        <v>96430</v>
      </c>
      <c r="J81" t="s">
        <v>99</v>
      </c>
      <c r="K81" s="8">
        <v>42390.840011574073</v>
      </c>
      <c r="L81" t="s">
        <v>1926</v>
      </c>
      <c r="M81" s="7" t="str">
        <f>IF(ISBLANK(drvlst[[#This Row],[owner.emal]]),M80,drvlst[[#This Row],[owner.emal]])</f>
        <v>jouni.hogander@intel.com</v>
      </c>
      <c r="N81">
        <f>_xlfn.IFNA(VLOOKUP(drvlst[[#This Row],[tmp-owner.email]],OrgTree!$A:$J, 10, 0), "not ICG SWFW")</f>
        <v>0</v>
      </c>
      <c r="O81" s="7" t="str">
        <f>IF(drvlst[[#This Row],[reviewer]]=drvlst[[#This Row],[tmp-owner.email]], "author", _xlfn.IFNA(VLOOKUP(drvlst[[#This Row],[reviewer]],OrgTree!$A:$J, 10, 0), "not ICG SWFW"))</f>
        <v>author</v>
      </c>
      <c r="P81" s="7" t="str">
        <f>IF(ISBLANK(drvlst[[#This Row],[number]]), "",SUM(drvlst[[#This Row],[BJ -1 num]],drvlst[[#This Row],[FI -1 num]]))</f>
        <v/>
      </c>
      <c r="Q81" s="7" t="str">
        <f>IF(ISBLANK(drvlst[[#This Row],[number]]), "",COUNTIFS($A:$A,drvlst[[#This Row],[tmp-number]],$O:$O, "BJ And dev",$U:$U, "Review-1"))</f>
        <v/>
      </c>
      <c r="R81" s="7" t="str">
        <f>IF(ISBLANK(drvlst[[#This Row],[number]]), "",COUNTIFS($A:$A,drvlst[[#This Row],[tmp-number]],$O:$O, "FL And dev",$U:$U, "Review-1"))</f>
        <v/>
      </c>
      <c r="S81" t="str">
        <f>IF(ISBLANK(drvlst[[#This Row],[number]]), "",COUNTIFS($A:$A,drvlst[[#This Row],[tmp-number]],$O:$O, "BJ And dev",$V:$V, "&lt;&gt;IntegratorComment"))</f>
        <v/>
      </c>
      <c r="T81" t="str">
        <f>IF(ISBLANK(drvlst[[#This Row],[number]]), "",COUNTIFS($A:$A,drvlst[[#This Row],[tmp-number]],$O:$O, "FL And dev",$V:$V, "&lt;&gt;IntegratorComment"))</f>
        <v/>
      </c>
      <c r="U81" t="str">
        <f>IF(OR(ISNUMBER(FIND("Review-1", drvlst[[#This Row],[comments]])), ISNUMBER(FIND("Approver-1", drvlst[[#This Row],[comments]]))), "Review-1", "")</f>
        <v/>
      </c>
      <c r="V81" s="7" t="str">
        <f>IF(OR(ISNUMBER(FIND(": Integrator", drvlst[[#This Row],[comments]])), ISNUMBER(FIND(":\n\nIntegrator", drvlst[[#This Row],[comments]])), ISNUMBER(FIND("-Integrator", drvlst[[#This Row],[comments]]))), "IntegratorComment", "")</f>
        <v/>
      </c>
      <c r="W81" s="7" t="str">
        <f>IF(ISBLANK(drvlst[[#This Row],[status]]),W80,drvlst[[#This Row],[status]])</f>
        <v>MERGED</v>
      </c>
    </row>
    <row r="82" spans="1:23">
      <c r="A82" s="7">
        <f>IF(ISBLANK(drvlst[[#This Row],[number]]),A81,drvlst[[#This Row],[number]])</f>
        <v>96430</v>
      </c>
      <c r="J82" t="s">
        <v>91</v>
      </c>
      <c r="K82" s="8">
        <v>42390.908159722225</v>
      </c>
      <c r="L82" t="s">
        <v>1927</v>
      </c>
      <c r="M82" s="7" t="str">
        <f>IF(ISBLANK(drvlst[[#This Row],[owner.emal]]),M81,drvlst[[#This Row],[owner.emal]])</f>
        <v>jouni.hogander@intel.com</v>
      </c>
      <c r="N82">
        <f>_xlfn.IFNA(VLOOKUP(drvlst[[#This Row],[tmp-owner.email]],OrgTree!$A:$J, 10, 0), "not ICG SWFW")</f>
        <v>0</v>
      </c>
      <c r="O82" s="7">
        <f>IF(drvlst[[#This Row],[reviewer]]=drvlst[[#This Row],[tmp-owner.email]], "author", _xlfn.IFNA(VLOOKUP(drvlst[[#This Row],[reviewer]],OrgTree!$A:$J, 10, 0), "not ICG SWFW"))</f>
        <v>0</v>
      </c>
      <c r="P82" s="7" t="str">
        <f>IF(ISBLANK(drvlst[[#This Row],[number]]), "",SUM(drvlst[[#This Row],[BJ -1 num]],drvlst[[#This Row],[FI -1 num]]))</f>
        <v/>
      </c>
      <c r="Q82" s="7" t="str">
        <f>IF(ISBLANK(drvlst[[#This Row],[number]]), "",COUNTIFS($A:$A,drvlst[[#This Row],[tmp-number]],$O:$O, "BJ And dev",$U:$U, "Review-1"))</f>
        <v/>
      </c>
      <c r="R82" s="7" t="str">
        <f>IF(ISBLANK(drvlst[[#This Row],[number]]), "",COUNTIFS($A:$A,drvlst[[#This Row],[tmp-number]],$O:$O, "FL And dev",$U:$U, "Review-1"))</f>
        <v/>
      </c>
      <c r="S82" t="str">
        <f>IF(ISBLANK(drvlst[[#This Row],[number]]), "",COUNTIFS($A:$A,drvlst[[#This Row],[tmp-number]],$O:$O, "BJ And dev",$V:$V, "&lt;&gt;IntegratorComment"))</f>
        <v/>
      </c>
      <c r="T82" t="str">
        <f>IF(ISBLANK(drvlst[[#This Row],[number]]), "",COUNTIFS($A:$A,drvlst[[#This Row],[tmp-number]],$O:$O, "FL And dev",$V:$V, "&lt;&gt;IntegratorComment"))</f>
        <v/>
      </c>
      <c r="U82" t="str">
        <f>IF(OR(ISNUMBER(FIND("Review-1", drvlst[[#This Row],[comments]])), ISNUMBER(FIND("Approver-1", drvlst[[#This Row],[comments]]))), "Review-1", "")</f>
        <v/>
      </c>
      <c r="V82" s="7" t="str">
        <f>IF(OR(ISNUMBER(FIND(": Integrator", drvlst[[#This Row],[comments]])), ISNUMBER(FIND(":\n\nIntegrator", drvlst[[#This Row],[comments]])), ISNUMBER(FIND("-Integrator", drvlst[[#This Row],[comments]]))), "IntegratorComment", "")</f>
        <v/>
      </c>
      <c r="W82" s="7" t="str">
        <f>IF(ISBLANK(drvlst[[#This Row],[status]]),W81,drvlst[[#This Row],[status]])</f>
        <v>MERGED</v>
      </c>
    </row>
    <row r="83" spans="1:23">
      <c r="A83" s="7">
        <f>IF(ISBLANK(drvlst[[#This Row],[number]]),A82,drvlst[[#This Row],[number]])</f>
        <v>96430</v>
      </c>
      <c r="J83" t="s">
        <v>91</v>
      </c>
      <c r="K83" s="8">
        <v>42390.908310185187</v>
      </c>
      <c r="L83" t="s">
        <v>1928</v>
      </c>
      <c r="M83" s="7" t="str">
        <f>IF(ISBLANK(drvlst[[#This Row],[owner.emal]]),M82,drvlst[[#This Row],[owner.emal]])</f>
        <v>jouni.hogander@intel.com</v>
      </c>
      <c r="N83">
        <f>_xlfn.IFNA(VLOOKUP(drvlst[[#This Row],[tmp-owner.email]],OrgTree!$A:$J, 10, 0), "not ICG SWFW")</f>
        <v>0</v>
      </c>
      <c r="O83" s="7">
        <f>IF(drvlst[[#This Row],[reviewer]]=drvlst[[#This Row],[tmp-owner.email]], "author", _xlfn.IFNA(VLOOKUP(drvlst[[#This Row],[reviewer]],OrgTree!$A:$J, 10, 0), "not ICG SWFW"))</f>
        <v>0</v>
      </c>
      <c r="P83" s="7" t="str">
        <f>IF(ISBLANK(drvlst[[#This Row],[number]]), "",SUM(drvlst[[#This Row],[BJ -1 num]],drvlst[[#This Row],[FI -1 num]]))</f>
        <v/>
      </c>
      <c r="Q83" s="7" t="str">
        <f>IF(ISBLANK(drvlst[[#This Row],[number]]), "",COUNTIFS($A:$A,drvlst[[#This Row],[tmp-number]],$O:$O, "BJ And dev",$U:$U, "Review-1"))</f>
        <v/>
      </c>
      <c r="R83" s="7" t="str">
        <f>IF(ISBLANK(drvlst[[#This Row],[number]]), "",COUNTIFS($A:$A,drvlst[[#This Row],[tmp-number]],$O:$O, "FL And dev",$U:$U, "Review-1"))</f>
        <v/>
      </c>
      <c r="S83" t="str">
        <f>IF(ISBLANK(drvlst[[#This Row],[number]]), "",COUNTIFS($A:$A,drvlst[[#This Row],[tmp-number]],$O:$O, "BJ And dev",$V:$V, "&lt;&gt;IntegratorComment"))</f>
        <v/>
      </c>
      <c r="T83" t="str">
        <f>IF(ISBLANK(drvlst[[#This Row],[number]]), "",COUNTIFS($A:$A,drvlst[[#This Row],[tmp-number]],$O:$O, "FL And dev",$V:$V, "&lt;&gt;IntegratorComment"))</f>
        <v/>
      </c>
      <c r="U83" t="str">
        <f>IF(OR(ISNUMBER(FIND("Review-1", drvlst[[#This Row],[comments]])), ISNUMBER(FIND("Approver-1", drvlst[[#This Row],[comments]]))), "Review-1", "")</f>
        <v/>
      </c>
      <c r="V83" s="7" t="str">
        <f>IF(OR(ISNUMBER(FIND(": Integrator", drvlst[[#This Row],[comments]])), ISNUMBER(FIND(":\n\nIntegrator", drvlst[[#This Row],[comments]])), ISNUMBER(FIND("-Integrator", drvlst[[#This Row],[comments]]))), "IntegratorComment", "")</f>
        <v/>
      </c>
      <c r="W83" s="7" t="str">
        <f>IF(ISBLANK(drvlst[[#This Row],[status]]),W82,drvlst[[#This Row],[status]])</f>
        <v>MERGED</v>
      </c>
    </row>
    <row r="84" spans="1:23">
      <c r="A84" s="7">
        <f>IF(ISBLANK(drvlst[[#This Row],[number]]),A83,drvlst[[#This Row],[number]])</f>
        <v>96430</v>
      </c>
      <c r="J84" t="s">
        <v>99</v>
      </c>
      <c r="K84" s="8">
        <v>42391.000914351855</v>
      </c>
      <c r="L84" t="s">
        <v>49</v>
      </c>
      <c r="M84" s="7" t="str">
        <f>IF(ISBLANK(drvlst[[#This Row],[owner.emal]]),M83,drvlst[[#This Row],[owner.emal]])</f>
        <v>jouni.hogander@intel.com</v>
      </c>
      <c r="N84">
        <f>_xlfn.IFNA(VLOOKUP(drvlst[[#This Row],[tmp-owner.email]],OrgTree!$A:$J, 10, 0), "not ICG SWFW")</f>
        <v>0</v>
      </c>
      <c r="O84" s="7" t="str">
        <f>IF(drvlst[[#This Row],[reviewer]]=drvlst[[#This Row],[tmp-owner.email]], "author", _xlfn.IFNA(VLOOKUP(drvlst[[#This Row],[reviewer]],OrgTree!$A:$J, 10, 0), "not ICG SWFW"))</f>
        <v>author</v>
      </c>
      <c r="P84" s="7" t="str">
        <f>IF(ISBLANK(drvlst[[#This Row],[number]]), "",SUM(drvlst[[#This Row],[BJ -1 num]],drvlst[[#This Row],[FI -1 num]]))</f>
        <v/>
      </c>
      <c r="Q84" s="7" t="str">
        <f>IF(ISBLANK(drvlst[[#This Row],[number]]), "",COUNTIFS($A:$A,drvlst[[#This Row],[tmp-number]],$O:$O, "BJ And dev",$U:$U, "Review-1"))</f>
        <v/>
      </c>
      <c r="R84" s="7" t="str">
        <f>IF(ISBLANK(drvlst[[#This Row],[number]]), "",COUNTIFS($A:$A,drvlst[[#This Row],[tmp-number]],$O:$O, "FL And dev",$U:$U, "Review-1"))</f>
        <v/>
      </c>
      <c r="S84" t="str">
        <f>IF(ISBLANK(drvlst[[#This Row],[number]]), "",COUNTIFS($A:$A,drvlst[[#This Row],[tmp-number]],$O:$O, "BJ And dev",$V:$V, "&lt;&gt;IntegratorComment"))</f>
        <v/>
      </c>
      <c r="T84" t="str">
        <f>IF(ISBLANK(drvlst[[#This Row],[number]]), "",COUNTIFS($A:$A,drvlst[[#This Row],[tmp-number]],$O:$O, "FL And dev",$V:$V, "&lt;&gt;IntegratorComment"))</f>
        <v/>
      </c>
      <c r="U84" t="str">
        <f>IF(OR(ISNUMBER(FIND("Review-1", drvlst[[#This Row],[comments]])), ISNUMBER(FIND("Approver-1", drvlst[[#This Row],[comments]]))), "Review-1", "")</f>
        <v/>
      </c>
      <c r="V84" s="7" t="str">
        <f>IF(OR(ISNUMBER(FIND(": Integrator", drvlst[[#This Row],[comments]])), ISNUMBER(FIND(":\n\nIntegrator", drvlst[[#This Row],[comments]])), ISNUMBER(FIND("-Integrator", drvlst[[#This Row],[comments]]))), "IntegratorComment", "")</f>
        <v/>
      </c>
      <c r="W84" s="7" t="str">
        <f>IF(ISBLANK(drvlst[[#This Row],[status]]),W83,drvlst[[#This Row],[status]])</f>
        <v>MERGED</v>
      </c>
    </row>
    <row r="85" spans="1:23">
      <c r="A85" s="7">
        <f>IF(ISBLANK(drvlst[[#This Row],[number]]),A84,drvlst[[#This Row],[number]])</f>
        <v>96430</v>
      </c>
      <c r="J85" t="s">
        <v>99</v>
      </c>
      <c r="K85" s="8">
        <v>42391.000925925924</v>
      </c>
      <c r="L85" t="s">
        <v>100</v>
      </c>
      <c r="M85" s="7" t="str">
        <f>IF(ISBLANK(drvlst[[#This Row],[owner.emal]]),M84,drvlst[[#This Row],[owner.emal]])</f>
        <v>jouni.hogander@intel.com</v>
      </c>
      <c r="N85">
        <f>_xlfn.IFNA(VLOOKUP(drvlst[[#This Row],[tmp-owner.email]],OrgTree!$A:$J, 10, 0), "not ICG SWFW")</f>
        <v>0</v>
      </c>
      <c r="O85" s="7" t="str">
        <f>IF(drvlst[[#This Row],[reviewer]]=drvlst[[#This Row],[tmp-owner.email]], "author", _xlfn.IFNA(VLOOKUP(drvlst[[#This Row],[reviewer]],OrgTree!$A:$J, 10, 0), "not ICG SWFW"))</f>
        <v>author</v>
      </c>
      <c r="P85" s="7" t="str">
        <f>IF(ISBLANK(drvlst[[#This Row],[number]]), "",SUM(drvlst[[#This Row],[BJ -1 num]],drvlst[[#This Row],[FI -1 num]]))</f>
        <v/>
      </c>
      <c r="Q85" s="7" t="str">
        <f>IF(ISBLANK(drvlst[[#This Row],[number]]), "",COUNTIFS($A:$A,drvlst[[#This Row],[tmp-number]],$O:$O, "BJ And dev",$U:$U, "Review-1"))</f>
        <v/>
      </c>
      <c r="R85" s="7" t="str">
        <f>IF(ISBLANK(drvlst[[#This Row],[number]]), "",COUNTIFS($A:$A,drvlst[[#This Row],[tmp-number]],$O:$O, "FL And dev",$U:$U, "Review-1"))</f>
        <v/>
      </c>
      <c r="S85" t="str">
        <f>IF(ISBLANK(drvlst[[#This Row],[number]]), "",COUNTIFS($A:$A,drvlst[[#This Row],[tmp-number]],$O:$O, "BJ And dev",$V:$V, "&lt;&gt;IntegratorComment"))</f>
        <v/>
      </c>
      <c r="T85" t="str">
        <f>IF(ISBLANK(drvlst[[#This Row],[number]]), "",COUNTIFS($A:$A,drvlst[[#This Row],[tmp-number]],$O:$O, "FL And dev",$V:$V, "&lt;&gt;IntegratorComment"))</f>
        <v/>
      </c>
      <c r="U85" t="str">
        <f>IF(OR(ISNUMBER(FIND("Review-1", drvlst[[#This Row],[comments]])), ISNUMBER(FIND("Approver-1", drvlst[[#This Row],[comments]]))), "Review-1", "")</f>
        <v/>
      </c>
      <c r="V85" s="7" t="str">
        <f>IF(OR(ISNUMBER(FIND(": Integrator", drvlst[[#This Row],[comments]])), ISNUMBER(FIND(":\n\nIntegrator", drvlst[[#This Row],[comments]])), ISNUMBER(FIND("-Integrator", drvlst[[#This Row],[comments]]))), "IntegratorComment", "")</f>
        <v/>
      </c>
      <c r="W85" s="7" t="str">
        <f>IF(ISBLANK(drvlst[[#This Row],[status]]),W84,drvlst[[#This Row],[status]])</f>
        <v>MERGED</v>
      </c>
    </row>
    <row r="86" spans="1:23">
      <c r="A86" s="7">
        <f>IF(ISBLANK(drvlst[[#This Row],[number]]),A85,drvlst[[#This Row],[number]])</f>
        <v>96430</v>
      </c>
      <c r="J86" t="s">
        <v>99</v>
      </c>
      <c r="K86" s="8">
        <v>42391.001388888886</v>
      </c>
      <c r="L86" t="s">
        <v>31</v>
      </c>
      <c r="M86" s="7" t="str">
        <f>IF(ISBLANK(drvlst[[#This Row],[owner.emal]]),M85,drvlst[[#This Row],[owner.emal]])</f>
        <v>jouni.hogander@intel.com</v>
      </c>
      <c r="N86">
        <f>_xlfn.IFNA(VLOOKUP(drvlst[[#This Row],[tmp-owner.email]],OrgTree!$A:$J, 10, 0), "not ICG SWFW")</f>
        <v>0</v>
      </c>
      <c r="O86" s="7" t="str">
        <f>IF(drvlst[[#This Row],[reviewer]]=drvlst[[#This Row],[tmp-owner.email]], "author", _xlfn.IFNA(VLOOKUP(drvlst[[#This Row],[reviewer]],OrgTree!$A:$J, 10, 0), "not ICG SWFW"))</f>
        <v>author</v>
      </c>
      <c r="P86" s="7" t="str">
        <f>IF(ISBLANK(drvlst[[#This Row],[number]]), "",SUM(drvlst[[#This Row],[BJ -1 num]],drvlst[[#This Row],[FI -1 num]]))</f>
        <v/>
      </c>
      <c r="Q86" s="7" t="str">
        <f>IF(ISBLANK(drvlst[[#This Row],[number]]), "",COUNTIFS($A:$A,drvlst[[#This Row],[tmp-number]],$O:$O, "BJ And dev",$U:$U, "Review-1"))</f>
        <v/>
      </c>
      <c r="R86" s="7" t="str">
        <f>IF(ISBLANK(drvlst[[#This Row],[number]]), "",COUNTIFS($A:$A,drvlst[[#This Row],[tmp-number]],$O:$O, "FL And dev",$U:$U, "Review-1"))</f>
        <v/>
      </c>
      <c r="S86" t="str">
        <f>IF(ISBLANK(drvlst[[#This Row],[number]]), "",COUNTIFS($A:$A,drvlst[[#This Row],[tmp-number]],$O:$O, "BJ And dev",$V:$V, "&lt;&gt;IntegratorComment"))</f>
        <v/>
      </c>
      <c r="T86" t="str">
        <f>IF(ISBLANK(drvlst[[#This Row],[number]]), "",COUNTIFS($A:$A,drvlst[[#This Row],[tmp-number]],$O:$O, "FL And dev",$V:$V, "&lt;&gt;IntegratorComment"))</f>
        <v/>
      </c>
      <c r="U86" t="str">
        <f>IF(OR(ISNUMBER(FIND("Review-1", drvlst[[#This Row],[comments]])), ISNUMBER(FIND("Approver-1", drvlst[[#This Row],[comments]]))), "Review-1", "")</f>
        <v/>
      </c>
      <c r="V86" s="7" t="str">
        <f>IF(OR(ISNUMBER(FIND(": Integrator", drvlst[[#This Row],[comments]])), ISNUMBER(FIND(":\n\nIntegrator", drvlst[[#This Row],[comments]])), ISNUMBER(FIND("-Integrator", drvlst[[#This Row],[comments]]))), "IntegratorComment", "")</f>
        <v/>
      </c>
      <c r="W86" s="7" t="str">
        <f>IF(ISBLANK(drvlst[[#This Row],[status]]),W85,drvlst[[#This Row],[status]])</f>
        <v>MERGED</v>
      </c>
    </row>
    <row r="87" spans="1:23">
      <c r="A87" s="7">
        <f>IF(ISBLANK(drvlst[[#This Row],[number]]),A86,drvlst[[#This Row],[number]])</f>
        <v>96430</v>
      </c>
      <c r="J87" t="s">
        <v>74</v>
      </c>
      <c r="K87" s="8">
        <v>42391.441724537035</v>
      </c>
      <c r="L87" t="s">
        <v>1929</v>
      </c>
      <c r="M87" s="7" t="str">
        <f>IF(ISBLANK(drvlst[[#This Row],[owner.emal]]),M86,drvlst[[#This Row],[owner.emal]])</f>
        <v>jouni.hogander@intel.com</v>
      </c>
      <c r="N87">
        <f>_xlfn.IFNA(VLOOKUP(drvlst[[#This Row],[tmp-owner.email]],OrgTree!$A:$J, 10, 0), "not ICG SWFW")</f>
        <v>0</v>
      </c>
      <c r="O87" s="7">
        <f>IF(drvlst[[#This Row],[reviewer]]=drvlst[[#This Row],[tmp-owner.email]], "author", _xlfn.IFNA(VLOOKUP(drvlst[[#This Row],[reviewer]],OrgTree!$A:$J, 10, 0), "not ICG SWFW"))</f>
        <v>0</v>
      </c>
      <c r="P87" s="7" t="str">
        <f>IF(ISBLANK(drvlst[[#This Row],[number]]), "",SUM(drvlst[[#This Row],[BJ -1 num]],drvlst[[#This Row],[FI -1 num]]))</f>
        <v/>
      </c>
      <c r="Q87" s="7" t="str">
        <f>IF(ISBLANK(drvlst[[#This Row],[number]]), "",COUNTIFS($A:$A,drvlst[[#This Row],[tmp-number]],$O:$O, "BJ And dev",$U:$U, "Review-1"))</f>
        <v/>
      </c>
      <c r="R87" s="7" t="str">
        <f>IF(ISBLANK(drvlst[[#This Row],[number]]), "",COUNTIFS($A:$A,drvlst[[#This Row],[tmp-number]],$O:$O, "FL And dev",$U:$U, "Review-1"))</f>
        <v/>
      </c>
      <c r="S87" t="str">
        <f>IF(ISBLANK(drvlst[[#This Row],[number]]), "",COUNTIFS($A:$A,drvlst[[#This Row],[tmp-number]],$O:$O, "BJ And dev",$V:$V, "&lt;&gt;IntegratorComment"))</f>
        <v/>
      </c>
      <c r="T87" t="str">
        <f>IF(ISBLANK(drvlst[[#This Row],[number]]), "",COUNTIFS($A:$A,drvlst[[#This Row],[tmp-number]],$O:$O, "FL And dev",$V:$V, "&lt;&gt;IntegratorComment"))</f>
        <v/>
      </c>
      <c r="U87" t="str">
        <f>IF(OR(ISNUMBER(FIND("Review-1", drvlst[[#This Row],[comments]])), ISNUMBER(FIND("Approver-1", drvlst[[#This Row],[comments]]))), "Review-1", "")</f>
        <v>Review-1</v>
      </c>
      <c r="V87" s="7" t="str">
        <f>IF(OR(ISNUMBER(FIND(": Integrator", drvlst[[#This Row],[comments]])), ISNUMBER(FIND(":\n\nIntegrator", drvlst[[#This Row],[comments]])), ISNUMBER(FIND("-Integrator", drvlst[[#This Row],[comments]]))), "IntegratorComment", "")</f>
        <v/>
      </c>
      <c r="W87" s="7" t="str">
        <f>IF(ISBLANK(drvlst[[#This Row],[status]]),W86,drvlst[[#This Row],[status]])</f>
        <v>MERGED</v>
      </c>
    </row>
    <row r="88" spans="1:23">
      <c r="A88" s="7">
        <f>IF(ISBLANK(drvlst[[#This Row],[number]]),A87,drvlst[[#This Row],[number]])</f>
        <v>96430</v>
      </c>
      <c r="J88" t="s">
        <v>99</v>
      </c>
      <c r="K88" s="8">
        <v>42391.605833333335</v>
      </c>
      <c r="L88" t="s">
        <v>57</v>
      </c>
      <c r="M88" s="7" t="str">
        <f>IF(ISBLANK(drvlst[[#This Row],[owner.emal]]),M87,drvlst[[#This Row],[owner.emal]])</f>
        <v>jouni.hogander@intel.com</v>
      </c>
      <c r="N88">
        <f>_xlfn.IFNA(VLOOKUP(drvlst[[#This Row],[tmp-owner.email]],OrgTree!$A:$J, 10, 0), "not ICG SWFW")</f>
        <v>0</v>
      </c>
      <c r="O88" s="7" t="str">
        <f>IF(drvlst[[#This Row],[reviewer]]=drvlst[[#This Row],[tmp-owner.email]], "author", _xlfn.IFNA(VLOOKUP(drvlst[[#This Row],[reviewer]],OrgTree!$A:$J, 10, 0), "not ICG SWFW"))</f>
        <v>author</v>
      </c>
      <c r="P88" s="7" t="str">
        <f>IF(ISBLANK(drvlst[[#This Row],[number]]), "",SUM(drvlst[[#This Row],[BJ -1 num]],drvlst[[#This Row],[FI -1 num]]))</f>
        <v/>
      </c>
      <c r="Q88" s="7" t="str">
        <f>IF(ISBLANK(drvlst[[#This Row],[number]]), "",COUNTIFS($A:$A,drvlst[[#This Row],[tmp-number]],$O:$O, "BJ And dev",$U:$U, "Review-1"))</f>
        <v/>
      </c>
      <c r="R88" s="7" t="str">
        <f>IF(ISBLANK(drvlst[[#This Row],[number]]), "",COUNTIFS($A:$A,drvlst[[#This Row],[tmp-number]],$O:$O, "FL And dev",$U:$U, "Review-1"))</f>
        <v/>
      </c>
      <c r="S88" t="str">
        <f>IF(ISBLANK(drvlst[[#This Row],[number]]), "",COUNTIFS($A:$A,drvlst[[#This Row],[tmp-number]],$O:$O, "BJ And dev",$V:$V, "&lt;&gt;IntegratorComment"))</f>
        <v/>
      </c>
      <c r="T88" t="str">
        <f>IF(ISBLANK(drvlst[[#This Row],[number]]), "",COUNTIFS($A:$A,drvlst[[#This Row],[tmp-number]],$O:$O, "FL And dev",$V:$V, "&lt;&gt;IntegratorComment"))</f>
        <v/>
      </c>
      <c r="U88" t="str">
        <f>IF(OR(ISNUMBER(FIND("Review-1", drvlst[[#This Row],[comments]])), ISNUMBER(FIND("Approver-1", drvlst[[#This Row],[comments]]))), "Review-1", "")</f>
        <v/>
      </c>
      <c r="V88" s="7" t="str">
        <f>IF(OR(ISNUMBER(FIND(": Integrator", drvlst[[#This Row],[comments]])), ISNUMBER(FIND(":\n\nIntegrator", drvlst[[#This Row],[comments]])), ISNUMBER(FIND("-Integrator", drvlst[[#This Row],[comments]]))), "IntegratorComment", "")</f>
        <v/>
      </c>
      <c r="W88" s="7" t="str">
        <f>IF(ISBLANK(drvlst[[#This Row],[status]]),W87,drvlst[[#This Row],[status]])</f>
        <v>MERGED</v>
      </c>
    </row>
    <row r="89" spans="1:23">
      <c r="A89" s="7">
        <f>IF(ISBLANK(drvlst[[#This Row],[number]]),A88,drvlst[[#This Row],[number]])</f>
        <v>96430</v>
      </c>
      <c r="J89" t="s">
        <v>74</v>
      </c>
      <c r="K89" s="8">
        <v>42391.6090625</v>
      </c>
      <c r="L89" t="s">
        <v>1865</v>
      </c>
      <c r="M89" s="7" t="str">
        <f>IF(ISBLANK(drvlst[[#This Row],[owner.emal]]),M88,drvlst[[#This Row],[owner.emal]])</f>
        <v>jouni.hogander@intel.com</v>
      </c>
      <c r="N89">
        <f>_xlfn.IFNA(VLOOKUP(drvlst[[#This Row],[tmp-owner.email]],OrgTree!$A:$J, 10, 0), "not ICG SWFW")</f>
        <v>0</v>
      </c>
      <c r="O89" s="7">
        <f>IF(drvlst[[#This Row],[reviewer]]=drvlst[[#This Row],[tmp-owner.email]], "author", _xlfn.IFNA(VLOOKUP(drvlst[[#This Row],[reviewer]],OrgTree!$A:$J, 10, 0), "not ICG SWFW"))</f>
        <v>0</v>
      </c>
      <c r="P89" s="7" t="str">
        <f>IF(ISBLANK(drvlst[[#This Row],[number]]), "",SUM(drvlst[[#This Row],[BJ -1 num]],drvlst[[#This Row],[FI -1 num]]))</f>
        <v/>
      </c>
      <c r="Q89" s="7" t="str">
        <f>IF(ISBLANK(drvlst[[#This Row],[number]]), "",COUNTIFS($A:$A,drvlst[[#This Row],[tmp-number]],$O:$O, "BJ And dev",$U:$U, "Review-1"))</f>
        <v/>
      </c>
      <c r="R89" s="7" t="str">
        <f>IF(ISBLANK(drvlst[[#This Row],[number]]), "",COUNTIFS($A:$A,drvlst[[#This Row],[tmp-number]],$O:$O, "FL And dev",$U:$U, "Review-1"))</f>
        <v/>
      </c>
      <c r="S89" t="str">
        <f>IF(ISBLANK(drvlst[[#This Row],[number]]), "",COUNTIFS($A:$A,drvlst[[#This Row],[tmp-number]],$O:$O, "BJ And dev",$V:$V, "&lt;&gt;IntegratorComment"))</f>
        <v/>
      </c>
      <c r="T89" t="str">
        <f>IF(ISBLANK(drvlst[[#This Row],[number]]), "",COUNTIFS($A:$A,drvlst[[#This Row],[tmp-number]],$O:$O, "FL And dev",$V:$V, "&lt;&gt;IntegratorComment"))</f>
        <v/>
      </c>
      <c r="U89" t="str">
        <f>IF(OR(ISNUMBER(FIND("Review-1", drvlst[[#This Row],[comments]])), ISNUMBER(FIND("Approver-1", drvlst[[#This Row],[comments]]))), "Review-1", "")</f>
        <v/>
      </c>
      <c r="V89" s="7" t="str">
        <f>IF(OR(ISNUMBER(FIND(": Integrator", drvlst[[#This Row],[comments]])), ISNUMBER(FIND(":\n\nIntegrator", drvlst[[#This Row],[comments]])), ISNUMBER(FIND("-Integrator", drvlst[[#This Row],[comments]]))), "IntegratorComment", "")</f>
        <v/>
      </c>
      <c r="W89" s="7" t="str">
        <f>IF(ISBLANK(drvlst[[#This Row],[status]]),W88,drvlst[[#This Row],[status]])</f>
        <v>MERGED</v>
      </c>
    </row>
    <row r="90" spans="1:23">
      <c r="A90" s="7">
        <f>IF(ISBLANK(drvlst[[#This Row],[number]]),A89,drvlst[[#This Row],[number]])</f>
        <v>96430</v>
      </c>
      <c r="J90" t="s">
        <v>91</v>
      </c>
      <c r="K90" s="8">
        <v>42391.845972222225</v>
      </c>
      <c r="L90" t="s">
        <v>57</v>
      </c>
      <c r="M90" s="7" t="str">
        <f>IF(ISBLANK(drvlst[[#This Row],[owner.emal]]),M89,drvlst[[#This Row],[owner.emal]])</f>
        <v>jouni.hogander@intel.com</v>
      </c>
      <c r="N90">
        <f>_xlfn.IFNA(VLOOKUP(drvlst[[#This Row],[tmp-owner.email]],OrgTree!$A:$J, 10, 0), "not ICG SWFW")</f>
        <v>0</v>
      </c>
      <c r="O90" s="7">
        <f>IF(drvlst[[#This Row],[reviewer]]=drvlst[[#This Row],[tmp-owner.email]], "author", _xlfn.IFNA(VLOOKUP(drvlst[[#This Row],[reviewer]],OrgTree!$A:$J, 10, 0), "not ICG SWFW"))</f>
        <v>0</v>
      </c>
      <c r="P90" s="7" t="str">
        <f>IF(ISBLANK(drvlst[[#This Row],[number]]), "",SUM(drvlst[[#This Row],[BJ -1 num]],drvlst[[#This Row],[FI -1 num]]))</f>
        <v/>
      </c>
      <c r="Q90" s="7" t="str">
        <f>IF(ISBLANK(drvlst[[#This Row],[number]]), "",COUNTIFS($A:$A,drvlst[[#This Row],[tmp-number]],$O:$O, "BJ And dev",$U:$U, "Review-1"))</f>
        <v/>
      </c>
      <c r="R90" s="7" t="str">
        <f>IF(ISBLANK(drvlst[[#This Row],[number]]), "",COUNTIFS($A:$A,drvlst[[#This Row],[tmp-number]],$O:$O, "FL And dev",$U:$U, "Review-1"))</f>
        <v/>
      </c>
      <c r="S90" t="str">
        <f>IF(ISBLANK(drvlst[[#This Row],[number]]), "",COUNTIFS($A:$A,drvlst[[#This Row],[tmp-number]],$O:$O, "BJ And dev",$V:$V, "&lt;&gt;IntegratorComment"))</f>
        <v/>
      </c>
      <c r="T90" t="str">
        <f>IF(ISBLANK(drvlst[[#This Row],[number]]), "",COUNTIFS($A:$A,drvlst[[#This Row],[tmp-number]],$O:$O, "FL And dev",$V:$V, "&lt;&gt;IntegratorComment"))</f>
        <v/>
      </c>
      <c r="U90" t="str">
        <f>IF(OR(ISNUMBER(FIND("Review-1", drvlst[[#This Row],[comments]])), ISNUMBER(FIND("Approver-1", drvlst[[#This Row],[comments]]))), "Review-1", "")</f>
        <v/>
      </c>
      <c r="V90" s="7" t="str">
        <f>IF(OR(ISNUMBER(FIND(": Integrator", drvlst[[#This Row],[comments]])), ISNUMBER(FIND(":\n\nIntegrator", drvlst[[#This Row],[comments]])), ISNUMBER(FIND("-Integrator", drvlst[[#This Row],[comments]]))), "IntegratorComment", "")</f>
        <v/>
      </c>
      <c r="W90" s="7" t="str">
        <f>IF(ISBLANK(drvlst[[#This Row],[status]]),W89,drvlst[[#This Row],[status]])</f>
        <v>MERGED</v>
      </c>
    </row>
    <row r="91" spans="1:23">
      <c r="A91" s="7">
        <f>IF(ISBLANK(drvlst[[#This Row],[number]]),A90,drvlst[[#This Row],[number]])</f>
        <v>96430</v>
      </c>
      <c r="J91" t="s">
        <v>99</v>
      </c>
      <c r="K91" s="8">
        <v>42391.872581018521</v>
      </c>
      <c r="L91" t="s">
        <v>1855</v>
      </c>
      <c r="M91" s="7" t="str">
        <f>IF(ISBLANK(drvlst[[#This Row],[owner.emal]]),M90,drvlst[[#This Row],[owner.emal]])</f>
        <v>jouni.hogander@intel.com</v>
      </c>
      <c r="N91">
        <f>_xlfn.IFNA(VLOOKUP(drvlst[[#This Row],[tmp-owner.email]],OrgTree!$A:$J, 10, 0), "not ICG SWFW")</f>
        <v>0</v>
      </c>
      <c r="O91" s="7" t="str">
        <f>IF(drvlst[[#This Row],[reviewer]]=drvlst[[#This Row],[tmp-owner.email]], "author", _xlfn.IFNA(VLOOKUP(drvlst[[#This Row],[reviewer]],OrgTree!$A:$J, 10, 0), "not ICG SWFW"))</f>
        <v>author</v>
      </c>
      <c r="P91" s="7" t="str">
        <f>IF(ISBLANK(drvlst[[#This Row],[number]]), "",SUM(drvlst[[#This Row],[BJ -1 num]],drvlst[[#This Row],[FI -1 num]]))</f>
        <v/>
      </c>
      <c r="Q91" s="7" t="str">
        <f>IF(ISBLANK(drvlst[[#This Row],[number]]), "",COUNTIFS($A:$A,drvlst[[#This Row],[tmp-number]],$O:$O, "BJ And dev",$U:$U, "Review-1"))</f>
        <v/>
      </c>
      <c r="R91" s="7" t="str">
        <f>IF(ISBLANK(drvlst[[#This Row],[number]]), "",COUNTIFS($A:$A,drvlst[[#This Row],[tmp-number]],$O:$O, "FL And dev",$U:$U, "Review-1"))</f>
        <v/>
      </c>
      <c r="S91" t="str">
        <f>IF(ISBLANK(drvlst[[#This Row],[number]]), "",COUNTIFS($A:$A,drvlst[[#This Row],[tmp-number]],$O:$O, "BJ And dev",$V:$V, "&lt;&gt;IntegratorComment"))</f>
        <v/>
      </c>
      <c r="T91" t="str">
        <f>IF(ISBLANK(drvlst[[#This Row],[number]]), "",COUNTIFS($A:$A,drvlst[[#This Row],[tmp-number]],$O:$O, "FL And dev",$V:$V, "&lt;&gt;IntegratorComment"))</f>
        <v/>
      </c>
      <c r="U91" t="str">
        <f>IF(OR(ISNUMBER(FIND("Review-1", drvlst[[#This Row],[comments]])), ISNUMBER(FIND("Approver-1", drvlst[[#This Row],[comments]]))), "Review-1", "")</f>
        <v/>
      </c>
      <c r="V91" s="7" t="str">
        <f>IF(OR(ISNUMBER(FIND(": Integrator", drvlst[[#This Row],[comments]])), ISNUMBER(FIND(":\n\nIntegrator", drvlst[[#This Row],[comments]])), ISNUMBER(FIND("-Integrator", drvlst[[#This Row],[comments]]))), "IntegratorComment", "")</f>
        <v/>
      </c>
      <c r="W91" s="7" t="str">
        <f>IF(ISBLANK(drvlst[[#This Row],[status]]),W90,drvlst[[#This Row],[status]])</f>
        <v>MERGED</v>
      </c>
    </row>
    <row r="92" spans="1:23">
      <c r="A92" s="7">
        <f>IF(ISBLANK(drvlst[[#This Row],[number]]),A91,drvlst[[#This Row],[number]])</f>
        <v>96430</v>
      </c>
      <c r="J92" t="s">
        <v>99</v>
      </c>
      <c r="K92" s="8">
        <v>42391.872581018521</v>
      </c>
      <c r="L92" t="s">
        <v>1837</v>
      </c>
      <c r="M92" s="7" t="str">
        <f>IF(ISBLANK(drvlst[[#This Row],[owner.emal]]),M91,drvlst[[#This Row],[owner.emal]])</f>
        <v>jouni.hogander@intel.com</v>
      </c>
      <c r="N92">
        <f>_xlfn.IFNA(VLOOKUP(drvlst[[#This Row],[tmp-owner.email]],OrgTree!$A:$J, 10, 0), "not ICG SWFW")</f>
        <v>0</v>
      </c>
      <c r="O92" s="7" t="str">
        <f>IF(drvlst[[#This Row],[reviewer]]=drvlst[[#This Row],[tmp-owner.email]], "author", _xlfn.IFNA(VLOOKUP(drvlst[[#This Row],[reviewer]],OrgTree!$A:$J, 10, 0), "not ICG SWFW"))</f>
        <v>author</v>
      </c>
      <c r="P92" s="7" t="str">
        <f>IF(ISBLANK(drvlst[[#This Row],[number]]), "",SUM(drvlst[[#This Row],[BJ -1 num]],drvlst[[#This Row],[FI -1 num]]))</f>
        <v/>
      </c>
      <c r="Q92" s="7" t="str">
        <f>IF(ISBLANK(drvlst[[#This Row],[number]]), "",COUNTIFS($A:$A,drvlst[[#This Row],[tmp-number]],$O:$O, "BJ And dev",$U:$U, "Review-1"))</f>
        <v/>
      </c>
      <c r="R92" s="7" t="str">
        <f>IF(ISBLANK(drvlst[[#This Row],[number]]), "",COUNTIFS($A:$A,drvlst[[#This Row],[tmp-number]],$O:$O, "FL And dev",$U:$U, "Review-1"))</f>
        <v/>
      </c>
      <c r="S92" t="str">
        <f>IF(ISBLANK(drvlst[[#This Row],[number]]), "",COUNTIFS($A:$A,drvlst[[#This Row],[tmp-number]],$O:$O, "BJ And dev",$V:$V, "&lt;&gt;IntegratorComment"))</f>
        <v/>
      </c>
      <c r="T92" t="str">
        <f>IF(ISBLANK(drvlst[[#This Row],[number]]), "",COUNTIFS($A:$A,drvlst[[#This Row],[tmp-number]],$O:$O, "FL And dev",$V:$V, "&lt;&gt;IntegratorComment"))</f>
        <v/>
      </c>
      <c r="U92" t="str">
        <f>IF(OR(ISNUMBER(FIND("Review-1", drvlst[[#This Row],[comments]])), ISNUMBER(FIND("Approver-1", drvlst[[#This Row],[comments]]))), "Review-1", "")</f>
        <v/>
      </c>
      <c r="V92" s="7" t="str">
        <f>IF(OR(ISNUMBER(FIND(": Integrator", drvlst[[#This Row],[comments]])), ISNUMBER(FIND(":\n\nIntegrator", drvlst[[#This Row],[comments]])), ISNUMBER(FIND("-Integrator", drvlst[[#This Row],[comments]]))), "IntegratorComment", "")</f>
        <v/>
      </c>
      <c r="W92" s="7" t="str">
        <f>IF(ISBLANK(drvlst[[#This Row],[status]]),W91,drvlst[[#This Row],[status]])</f>
        <v>MERGED</v>
      </c>
    </row>
    <row r="93" spans="1:23">
      <c r="A93" s="7">
        <f>IF(ISBLANK(drvlst[[#This Row],[number]]),A92,drvlst[[#This Row],[number]])</f>
        <v>96430</v>
      </c>
      <c r="J93" t="s">
        <v>99</v>
      </c>
      <c r="K93" s="8">
        <v>42391.885937500003</v>
      </c>
      <c r="L93" t="s">
        <v>1853</v>
      </c>
      <c r="M93" s="7" t="str">
        <f>IF(ISBLANK(drvlst[[#This Row],[owner.emal]]),M92,drvlst[[#This Row],[owner.emal]])</f>
        <v>jouni.hogander@intel.com</v>
      </c>
      <c r="N93">
        <f>_xlfn.IFNA(VLOOKUP(drvlst[[#This Row],[tmp-owner.email]],OrgTree!$A:$J, 10, 0), "not ICG SWFW")</f>
        <v>0</v>
      </c>
      <c r="O93" s="7" t="str">
        <f>IF(drvlst[[#This Row],[reviewer]]=drvlst[[#This Row],[tmp-owner.email]], "author", _xlfn.IFNA(VLOOKUP(drvlst[[#This Row],[reviewer]],OrgTree!$A:$J, 10, 0), "not ICG SWFW"))</f>
        <v>author</v>
      </c>
      <c r="P93" s="7" t="str">
        <f>IF(ISBLANK(drvlst[[#This Row],[number]]), "",SUM(drvlst[[#This Row],[BJ -1 num]],drvlst[[#This Row],[FI -1 num]]))</f>
        <v/>
      </c>
      <c r="Q93" s="7" t="str">
        <f>IF(ISBLANK(drvlst[[#This Row],[number]]), "",COUNTIFS($A:$A,drvlst[[#This Row],[tmp-number]],$O:$O, "BJ And dev",$U:$U, "Review-1"))</f>
        <v/>
      </c>
      <c r="R93" s="7" t="str">
        <f>IF(ISBLANK(drvlst[[#This Row],[number]]), "",COUNTIFS($A:$A,drvlst[[#This Row],[tmp-number]],$O:$O, "FL And dev",$U:$U, "Review-1"))</f>
        <v/>
      </c>
      <c r="S93" t="str">
        <f>IF(ISBLANK(drvlst[[#This Row],[number]]), "",COUNTIFS($A:$A,drvlst[[#This Row],[tmp-number]],$O:$O, "BJ And dev",$V:$V, "&lt;&gt;IntegratorComment"))</f>
        <v/>
      </c>
      <c r="T93" t="str">
        <f>IF(ISBLANK(drvlst[[#This Row],[number]]), "",COUNTIFS($A:$A,drvlst[[#This Row],[tmp-number]],$O:$O, "FL And dev",$V:$V, "&lt;&gt;IntegratorComment"))</f>
        <v/>
      </c>
      <c r="U93" t="str">
        <f>IF(OR(ISNUMBER(FIND("Review-1", drvlst[[#This Row],[comments]])), ISNUMBER(FIND("Approver-1", drvlst[[#This Row],[comments]]))), "Review-1", "")</f>
        <v/>
      </c>
      <c r="V93" s="7" t="str">
        <f>IF(OR(ISNUMBER(FIND(": Integrator", drvlst[[#This Row],[comments]])), ISNUMBER(FIND(":\n\nIntegrator", drvlst[[#This Row],[comments]])), ISNUMBER(FIND("-Integrator", drvlst[[#This Row],[comments]]))), "IntegratorComment", "")</f>
        <v/>
      </c>
      <c r="W93" s="7" t="str">
        <f>IF(ISBLANK(drvlst[[#This Row],[status]]),W92,drvlst[[#This Row],[status]])</f>
        <v>MERGED</v>
      </c>
    </row>
    <row r="94" spans="1:23">
      <c r="A94" s="7">
        <f>IF(ISBLANK(drvlst[[#This Row],[number]]),A93,drvlst[[#This Row],[number]])</f>
        <v>96430</v>
      </c>
      <c r="J94" t="s">
        <v>91</v>
      </c>
      <c r="K94" s="8">
        <v>42393.161307870374</v>
      </c>
      <c r="L94" t="s">
        <v>1930</v>
      </c>
      <c r="M94" s="7" t="str">
        <f>IF(ISBLANK(drvlst[[#This Row],[owner.emal]]),M93,drvlst[[#This Row],[owner.emal]])</f>
        <v>jouni.hogander@intel.com</v>
      </c>
      <c r="N94">
        <f>_xlfn.IFNA(VLOOKUP(drvlst[[#This Row],[tmp-owner.email]],OrgTree!$A:$J, 10, 0), "not ICG SWFW")</f>
        <v>0</v>
      </c>
      <c r="O94" s="7">
        <f>IF(drvlst[[#This Row],[reviewer]]=drvlst[[#This Row],[tmp-owner.email]], "author", _xlfn.IFNA(VLOOKUP(drvlst[[#This Row],[reviewer]],OrgTree!$A:$J, 10, 0), "not ICG SWFW"))</f>
        <v>0</v>
      </c>
      <c r="P94" s="7" t="str">
        <f>IF(ISBLANK(drvlst[[#This Row],[number]]), "",SUM(drvlst[[#This Row],[BJ -1 num]],drvlst[[#This Row],[FI -1 num]]))</f>
        <v/>
      </c>
      <c r="Q94" s="7" t="str">
        <f>IF(ISBLANK(drvlst[[#This Row],[number]]), "",COUNTIFS($A:$A,drvlst[[#This Row],[tmp-number]],$O:$O, "BJ And dev",$U:$U, "Review-1"))</f>
        <v/>
      </c>
      <c r="R94" s="7" t="str">
        <f>IF(ISBLANK(drvlst[[#This Row],[number]]), "",COUNTIFS($A:$A,drvlst[[#This Row],[tmp-number]],$O:$O, "FL And dev",$U:$U, "Review-1"))</f>
        <v/>
      </c>
      <c r="S94" t="str">
        <f>IF(ISBLANK(drvlst[[#This Row],[number]]), "",COUNTIFS($A:$A,drvlst[[#This Row],[tmp-number]],$O:$O, "BJ And dev",$V:$V, "&lt;&gt;IntegratorComment"))</f>
        <v/>
      </c>
      <c r="T94" t="str">
        <f>IF(ISBLANK(drvlst[[#This Row],[number]]), "",COUNTIFS($A:$A,drvlst[[#This Row],[tmp-number]],$O:$O, "FL And dev",$V:$V, "&lt;&gt;IntegratorComment"))</f>
        <v/>
      </c>
      <c r="U94" t="str">
        <f>IF(OR(ISNUMBER(FIND("Review-1", drvlst[[#This Row],[comments]])), ISNUMBER(FIND("Approver-1", drvlst[[#This Row],[comments]]))), "Review-1", "")</f>
        <v/>
      </c>
      <c r="V94" s="7" t="str">
        <f>IF(OR(ISNUMBER(FIND(": Integrator", drvlst[[#This Row],[comments]])), ISNUMBER(FIND(":\n\nIntegrator", drvlst[[#This Row],[comments]])), ISNUMBER(FIND("-Integrator", drvlst[[#This Row],[comments]]))), "IntegratorComment", "")</f>
        <v/>
      </c>
      <c r="W94" s="7" t="str">
        <f>IF(ISBLANK(drvlst[[#This Row],[status]]),W93,drvlst[[#This Row],[status]])</f>
        <v>MERGED</v>
      </c>
    </row>
    <row r="95" spans="1:23">
      <c r="A95" s="7">
        <f>IF(ISBLANK(drvlst[[#This Row],[number]]),A94,drvlst[[#This Row],[number]])</f>
        <v>96430</v>
      </c>
      <c r="J95" t="s">
        <v>99</v>
      </c>
      <c r="K95" s="8">
        <v>42394.640868055554</v>
      </c>
      <c r="L95" t="s">
        <v>1839</v>
      </c>
      <c r="M95" s="7" t="str">
        <f>IF(ISBLANK(drvlst[[#This Row],[owner.emal]]),M94,drvlst[[#This Row],[owner.emal]])</f>
        <v>jouni.hogander@intel.com</v>
      </c>
      <c r="N95">
        <f>_xlfn.IFNA(VLOOKUP(drvlst[[#This Row],[tmp-owner.email]],OrgTree!$A:$J, 10, 0), "not ICG SWFW")</f>
        <v>0</v>
      </c>
      <c r="O95" s="7" t="str">
        <f>IF(drvlst[[#This Row],[reviewer]]=drvlst[[#This Row],[tmp-owner.email]], "author", _xlfn.IFNA(VLOOKUP(drvlst[[#This Row],[reviewer]],OrgTree!$A:$J, 10, 0), "not ICG SWFW"))</f>
        <v>author</v>
      </c>
      <c r="P95" s="7" t="str">
        <f>IF(ISBLANK(drvlst[[#This Row],[number]]), "",SUM(drvlst[[#This Row],[BJ -1 num]],drvlst[[#This Row],[FI -1 num]]))</f>
        <v/>
      </c>
      <c r="Q95" s="7" t="str">
        <f>IF(ISBLANK(drvlst[[#This Row],[number]]), "",COUNTIFS($A:$A,drvlst[[#This Row],[tmp-number]],$O:$O, "BJ And dev",$U:$U, "Review-1"))</f>
        <v/>
      </c>
      <c r="R95" s="7" t="str">
        <f>IF(ISBLANK(drvlst[[#This Row],[number]]), "",COUNTIFS($A:$A,drvlst[[#This Row],[tmp-number]],$O:$O, "FL And dev",$U:$U, "Review-1"))</f>
        <v/>
      </c>
      <c r="S95" t="str">
        <f>IF(ISBLANK(drvlst[[#This Row],[number]]), "",COUNTIFS($A:$A,drvlst[[#This Row],[tmp-number]],$O:$O, "BJ And dev",$V:$V, "&lt;&gt;IntegratorComment"))</f>
        <v/>
      </c>
      <c r="T95" t="str">
        <f>IF(ISBLANK(drvlst[[#This Row],[number]]), "",COUNTIFS($A:$A,drvlst[[#This Row],[tmp-number]],$O:$O, "FL And dev",$V:$V, "&lt;&gt;IntegratorComment"))</f>
        <v/>
      </c>
      <c r="U95" t="str">
        <f>IF(OR(ISNUMBER(FIND("Review-1", drvlst[[#This Row],[comments]])), ISNUMBER(FIND("Approver-1", drvlst[[#This Row],[comments]]))), "Review-1", "")</f>
        <v/>
      </c>
      <c r="V95" s="7" t="str">
        <f>IF(OR(ISNUMBER(FIND(": Integrator", drvlst[[#This Row],[comments]])), ISNUMBER(FIND(":\n\nIntegrator", drvlst[[#This Row],[comments]])), ISNUMBER(FIND("-Integrator", drvlst[[#This Row],[comments]]))), "IntegratorComment", "")</f>
        <v/>
      </c>
      <c r="W95" s="7" t="str">
        <f>IF(ISBLANK(drvlst[[#This Row],[status]]),W94,drvlst[[#This Row],[status]])</f>
        <v>MERGED</v>
      </c>
    </row>
    <row r="96" spans="1:23">
      <c r="A96" s="7">
        <f>IF(ISBLANK(drvlst[[#This Row],[number]]),A95,drvlst[[#This Row],[number]])</f>
        <v>96430</v>
      </c>
      <c r="J96" t="s">
        <v>99</v>
      </c>
      <c r="K96" s="8">
        <v>42394.640868055554</v>
      </c>
      <c r="L96" t="s">
        <v>1842</v>
      </c>
      <c r="M96" s="7" t="str">
        <f>IF(ISBLANK(drvlst[[#This Row],[owner.emal]]),M95,drvlst[[#This Row],[owner.emal]])</f>
        <v>jouni.hogander@intel.com</v>
      </c>
      <c r="N96">
        <f>_xlfn.IFNA(VLOOKUP(drvlst[[#This Row],[tmp-owner.email]],OrgTree!$A:$J, 10, 0), "not ICG SWFW")</f>
        <v>0</v>
      </c>
      <c r="O96" s="7" t="str">
        <f>IF(drvlst[[#This Row],[reviewer]]=drvlst[[#This Row],[tmp-owner.email]], "author", _xlfn.IFNA(VLOOKUP(drvlst[[#This Row],[reviewer]],OrgTree!$A:$J, 10, 0), "not ICG SWFW"))</f>
        <v>author</v>
      </c>
      <c r="P96" s="7" t="str">
        <f>IF(ISBLANK(drvlst[[#This Row],[number]]), "",SUM(drvlst[[#This Row],[BJ -1 num]],drvlst[[#This Row],[FI -1 num]]))</f>
        <v/>
      </c>
      <c r="Q96" s="7" t="str">
        <f>IF(ISBLANK(drvlst[[#This Row],[number]]), "",COUNTIFS($A:$A,drvlst[[#This Row],[tmp-number]],$O:$O, "BJ And dev",$U:$U, "Review-1"))</f>
        <v/>
      </c>
      <c r="R96" s="7" t="str">
        <f>IF(ISBLANK(drvlst[[#This Row],[number]]), "",COUNTIFS($A:$A,drvlst[[#This Row],[tmp-number]],$O:$O, "FL And dev",$U:$U, "Review-1"))</f>
        <v/>
      </c>
      <c r="S96" t="str">
        <f>IF(ISBLANK(drvlst[[#This Row],[number]]), "",COUNTIFS($A:$A,drvlst[[#This Row],[tmp-number]],$O:$O, "BJ And dev",$V:$V, "&lt;&gt;IntegratorComment"))</f>
        <v/>
      </c>
      <c r="T96" t="str">
        <f>IF(ISBLANK(drvlst[[#This Row],[number]]), "",COUNTIFS($A:$A,drvlst[[#This Row],[tmp-number]],$O:$O, "FL And dev",$V:$V, "&lt;&gt;IntegratorComment"))</f>
        <v/>
      </c>
      <c r="U96" t="str">
        <f>IF(OR(ISNUMBER(FIND("Review-1", drvlst[[#This Row],[comments]])), ISNUMBER(FIND("Approver-1", drvlst[[#This Row],[comments]]))), "Review-1", "")</f>
        <v/>
      </c>
      <c r="V96" s="7" t="str">
        <f>IF(OR(ISNUMBER(FIND(": Integrator", drvlst[[#This Row],[comments]])), ISNUMBER(FIND(":\n\nIntegrator", drvlst[[#This Row],[comments]])), ISNUMBER(FIND("-Integrator", drvlst[[#This Row],[comments]]))), "IntegratorComment", "")</f>
        <v/>
      </c>
      <c r="W96" s="7" t="str">
        <f>IF(ISBLANK(drvlst[[#This Row],[status]]),W95,drvlst[[#This Row],[status]])</f>
        <v>MERGED</v>
      </c>
    </row>
    <row r="97" spans="1:23">
      <c r="A97" s="7">
        <f>IF(ISBLANK(drvlst[[#This Row],[number]]),A96,drvlst[[#This Row],[number]])</f>
        <v>96430</v>
      </c>
      <c r="J97" t="s">
        <v>99</v>
      </c>
      <c r="K97" s="8">
        <v>42394.641145833331</v>
      </c>
      <c r="L97" t="s">
        <v>1930</v>
      </c>
      <c r="M97" s="7" t="str">
        <f>IF(ISBLANK(drvlst[[#This Row],[owner.emal]]),M96,drvlst[[#This Row],[owner.emal]])</f>
        <v>jouni.hogander@intel.com</v>
      </c>
      <c r="N97">
        <f>_xlfn.IFNA(VLOOKUP(drvlst[[#This Row],[tmp-owner.email]],OrgTree!$A:$J, 10, 0), "not ICG SWFW")</f>
        <v>0</v>
      </c>
      <c r="O97" s="7" t="str">
        <f>IF(drvlst[[#This Row],[reviewer]]=drvlst[[#This Row],[tmp-owner.email]], "author", _xlfn.IFNA(VLOOKUP(drvlst[[#This Row],[reviewer]],OrgTree!$A:$J, 10, 0), "not ICG SWFW"))</f>
        <v>author</v>
      </c>
      <c r="P97" s="7" t="str">
        <f>IF(ISBLANK(drvlst[[#This Row],[number]]), "",SUM(drvlst[[#This Row],[BJ -1 num]],drvlst[[#This Row],[FI -1 num]]))</f>
        <v/>
      </c>
      <c r="Q97" s="7" t="str">
        <f>IF(ISBLANK(drvlst[[#This Row],[number]]), "",COUNTIFS($A:$A,drvlst[[#This Row],[tmp-number]],$O:$O, "BJ And dev",$U:$U, "Review-1"))</f>
        <v/>
      </c>
      <c r="R97" s="7" t="str">
        <f>IF(ISBLANK(drvlst[[#This Row],[number]]), "",COUNTIFS($A:$A,drvlst[[#This Row],[tmp-number]],$O:$O, "FL And dev",$U:$U, "Review-1"))</f>
        <v/>
      </c>
      <c r="S97" t="str">
        <f>IF(ISBLANK(drvlst[[#This Row],[number]]), "",COUNTIFS($A:$A,drvlst[[#This Row],[tmp-number]],$O:$O, "BJ And dev",$V:$V, "&lt;&gt;IntegratorComment"))</f>
        <v/>
      </c>
      <c r="T97" t="str">
        <f>IF(ISBLANK(drvlst[[#This Row],[number]]), "",COUNTIFS($A:$A,drvlst[[#This Row],[tmp-number]],$O:$O, "FL And dev",$V:$V, "&lt;&gt;IntegratorComment"))</f>
        <v/>
      </c>
      <c r="U97" t="str">
        <f>IF(OR(ISNUMBER(FIND("Review-1", drvlst[[#This Row],[comments]])), ISNUMBER(FIND("Approver-1", drvlst[[#This Row],[comments]]))), "Review-1", "")</f>
        <v/>
      </c>
      <c r="V97" s="7" t="str">
        <f>IF(OR(ISNUMBER(FIND(": Integrator", drvlst[[#This Row],[comments]])), ISNUMBER(FIND(":\n\nIntegrator", drvlst[[#This Row],[comments]])), ISNUMBER(FIND("-Integrator", drvlst[[#This Row],[comments]]))), "IntegratorComment", "")</f>
        <v/>
      </c>
      <c r="W97" s="7" t="str">
        <f>IF(ISBLANK(drvlst[[#This Row],[status]]),W96,drvlst[[#This Row],[status]])</f>
        <v>MERGED</v>
      </c>
    </row>
    <row r="98" spans="1:23">
      <c r="A98" s="7">
        <f>IF(ISBLANK(drvlst[[#This Row],[number]]),A97,drvlst[[#This Row],[number]])</f>
        <v>96430</v>
      </c>
      <c r="J98" t="s">
        <v>99</v>
      </c>
      <c r="K98" s="8">
        <v>42394.641481481478</v>
      </c>
      <c r="L98" t="s">
        <v>1843</v>
      </c>
      <c r="M98" s="7" t="str">
        <f>IF(ISBLANK(drvlst[[#This Row],[owner.emal]]),M97,drvlst[[#This Row],[owner.emal]])</f>
        <v>jouni.hogander@intel.com</v>
      </c>
      <c r="N98">
        <f>_xlfn.IFNA(VLOOKUP(drvlst[[#This Row],[tmp-owner.email]],OrgTree!$A:$J, 10, 0), "not ICG SWFW")</f>
        <v>0</v>
      </c>
      <c r="O98" s="7" t="str">
        <f>IF(drvlst[[#This Row],[reviewer]]=drvlst[[#This Row],[tmp-owner.email]], "author", _xlfn.IFNA(VLOOKUP(drvlst[[#This Row],[reviewer]],OrgTree!$A:$J, 10, 0), "not ICG SWFW"))</f>
        <v>author</v>
      </c>
      <c r="P98" s="7" t="str">
        <f>IF(ISBLANK(drvlst[[#This Row],[number]]), "",SUM(drvlst[[#This Row],[BJ -1 num]],drvlst[[#This Row],[FI -1 num]]))</f>
        <v/>
      </c>
      <c r="Q98" s="7" t="str">
        <f>IF(ISBLANK(drvlst[[#This Row],[number]]), "",COUNTIFS($A:$A,drvlst[[#This Row],[tmp-number]],$O:$O, "BJ And dev",$U:$U, "Review-1"))</f>
        <v/>
      </c>
      <c r="R98" s="7" t="str">
        <f>IF(ISBLANK(drvlst[[#This Row],[number]]), "",COUNTIFS($A:$A,drvlst[[#This Row],[tmp-number]],$O:$O, "FL And dev",$U:$U, "Review-1"))</f>
        <v/>
      </c>
      <c r="S98" t="str">
        <f>IF(ISBLANK(drvlst[[#This Row],[number]]), "",COUNTIFS($A:$A,drvlst[[#This Row],[tmp-number]],$O:$O, "BJ And dev",$V:$V, "&lt;&gt;IntegratorComment"))</f>
        <v/>
      </c>
      <c r="T98" t="str">
        <f>IF(ISBLANK(drvlst[[#This Row],[number]]), "",COUNTIFS($A:$A,drvlst[[#This Row],[tmp-number]],$O:$O, "FL And dev",$V:$V, "&lt;&gt;IntegratorComment"))</f>
        <v/>
      </c>
      <c r="U98" t="str">
        <f>IF(OR(ISNUMBER(FIND("Review-1", drvlst[[#This Row],[comments]])), ISNUMBER(FIND("Approver-1", drvlst[[#This Row],[comments]]))), "Review-1", "")</f>
        <v/>
      </c>
      <c r="V98" s="7" t="str">
        <f>IF(OR(ISNUMBER(FIND(": Integrator", drvlst[[#This Row],[comments]])), ISNUMBER(FIND(":\n\nIntegrator", drvlst[[#This Row],[comments]])), ISNUMBER(FIND("-Integrator", drvlst[[#This Row],[comments]]))), "IntegratorComment", "")</f>
        <v/>
      </c>
      <c r="W98" s="7" t="str">
        <f>IF(ISBLANK(drvlst[[#This Row],[status]]),W97,drvlst[[#This Row],[status]])</f>
        <v>MERGED</v>
      </c>
    </row>
    <row r="99" spans="1:23">
      <c r="A99" s="7">
        <f>IF(ISBLANK(drvlst[[#This Row],[number]]),A98,drvlst[[#This Row],[number]])</f>
        <v>96430</v>
      </c>
      <c r="J99" t="s">
        <v>91</v>
      </c>
      <c r="K99" s="8">
        <v>42394.747060185182</v>
      </c>
      <c r="L99" t="s">
        <v>1931</v>
      </c>
      <c r="M99" s="7" t="str">
        <f>IF(ISBLANK(drvlst[[#This Row],[owner.emal]]),M98,drvlst[[#This Row],[owner.emal]])</f>
        <v>jouni.hogander@intel.com</v>
      </c>
      <c r="N99">
        <f>_xlfn.IFNA(VLOOKUP(drvlst[[#This Row],[tmp-owner.email]],OrgTree!$A:$J, 10, 0), "not ICG SWFW")</f>
        <v>0</v>
      </c>
      <c r="O99" s="7">
        <f>IF(drvlst[[#This Row],[reviewer]]=drvlst[[#This Row],[tmp-owner.email]], "author", _xlfn.IFNA(VLOOKUP(drvlst[[#This Row],[reviewer]],OrgTree!$A:$J, 10, 0), "not ICG SWFW"))</f>
        <v>0</v>
      </c>
      <c r="P99" s="7" t="str">
        <f>IF(ISBLANK(drvlst[[#This Row],[number]]), "",SUM(drvlst[[#This Row],[BJ -1 num]],drvlst[[#This Row],[FI -1 num]]))</f>
        <v/>
      </c>
      <c r="Q99" s="7" t="str">
        <f>IF(ISBLANK(drvlst[[#This Row],[number]]), "",COUNTIFS($A:$A,drvlst[[#This Row],[tmp-number]],$O:$O, "BJ And dev",$U:$U, "Review-1"))</f>
        <v/>
      </c>
      <c r="R99" s="7" t="str">
        <f>IF(ISBLANK(drvlst[[#This Row],[number]]), "",COUNTIFS($A:$A,drvlst[[#This Row],[tmp-number]],$O:$O, "FL And dev",$U:$U, "Review-1"))</f>
        <v/>
      </c>
      <c r="S99" t="str">
        <f>IF(ISBLANK(drvlst[[#This Row],[number]]), "",COUNTIFS($A:$A,drvlst[[#This Row],[tmp-number]],$O:$O, "BJ And dev",$V:$V, "&lt;&gt;IntegratorComment"))</f>
        <v/>
      </c>
      <c r="T99" t="str">
        <f>IF(ISBLANK(drvlst[[#This Row],[number]]), "",COUNTIFS($A:$A,drvlst[[#This Row],[tmp-number]],$O:$O, "FL And dev",$V:$V, "&lt;&gt;IntegratorComment"))</f>
        <v/>
      </c>
      <c r="U99" t="str">
        <f>IF(OR(ISNUMBER(FIND("Review-1", drvlst[[#This Row],[comments]])), ISNUMBER(FIND("Approver-1", drvlst[[#This Row],[comments]]))), "Review-1", "")</f>
        <v/>
      </c>
      <c r="V99" s="7" t="str">
        <f>IF(OR(ISNUMBER(FIND(": Integrator", drvlst[[#This Row],[comments]])), ISNUMBER(FIND(":\n\nIntegrator", drvlst[[#This Row],[comments]])), ISNUMBER(FIND("-Integrator", drvlst[[#This Row],[comments]]))), "IntegratorComment", "")</f>
        <v/>
      </c>
      <c r="W99" s="7" t="str">
        <f>IF(ISBLANK(drvlst[[#This Row],[status]]),W98,drvlst[[#This Row],[status]])</f>
        <v>MERGED</v>
      </c>
    </row>
    <row r="100" spans="1:23">
      <c r="A100" s="7">
        <f>IF(ISBLANK(drvlst[[#This Row],[number]]),A99,drvlst[[#This Row],[number]])</f>
        <v>96430</v>
      </c>
      <c r="J100" t="s">
        <v>34</v>
      </c>
      <c r="K100" s="8">
        <v>42395.602002314816</v>
      </c>
      <c r="L100" t="s">
        <v>1882</v>
      </c>
      <c r="M100" s="7" t="str">
        <f>IF(ISBLANK(drvlst[[#This Row],[owner.emal]]),M99,drvlst[[#This Row],[owner.emal]])</f>
        <v>jouni.hogander@intel.com</v>
      </c>
      <c r="N100">
        <f>_xlfn.IFNA(VLOOKUP(drvlst[[#This Row],[tmp-owner.email]],OrgTree!$A:$J, 10, 0), "not ICG SWFW")</f>
        <v>0</v>
      </c>
      <c r="O100" s="7">
        <f>IF(drvlst[[#This Row],[reviewer]]=drvlst[[#This Row],[tmp-owner.email]], "author", _xlfn.IFNA(VLOOKUP(drvlst[[#This Row],[reviewer]],OrgTree!$A:$J, 10, 0), "not ICG SWFW"))</f>
        <v>0</v>
      </c>
      <c r="P100" s="7" t="str">
        <f>IF(ISBLANK(drvlst[[#This Row],[number]]), "",SUM(drvlst[[#This Row],[BJ -1 num]],drvlst[[#This Row],[FI -1 num]]))</f>
        <v/>
      </c>
      <c r="Q100" s="7" t="str">
        <f>IF(ISBLANK(drvlst[[#This Row],[number]]), "",COUNTIFS($A:$A,drvlst[[#This Row],[tmp-number]],$O:$O, "BJ And dev",$U:$U, "Review-1"))</f>
        <v/>
      </c>
      <c r="R100" s="7" t="str">
        <f>IF(ISBLANK(drvlst[[#This Row],[number]]), "",COUNTIFS($A:$A,drvlst[[#This Row],[tmp-number]],$O:$O, "FL And dev",$U:$U, "Review-1"))</f>
        <v/>
      </c>
      <c r="S100" t="str">
        <f>IF(ISBLANK(drvlst[[#This Row],[number]]), "",COUNTIFS($A:$A,drvlst[[#This Row],[tmp-number]],$O:$O, "BJ And dev",$V:$V, "&lt;&gt;IntegratorComment"))</f>
        <v/>
      </c>
      <c r="T100" t="str">
        <f>IF(ISBLANK(drvlst[[#This Row],[number]]), "",COUNTIFS($A:$A,drvlst[[#This Row],[tmp-number]],$O:$O, "FL And dev",$V:$V, "&lt;&gt;IntegratorComment"))</f>
        <v/>
      </c>
      <c r="U100" t="str">
        <f>IF(OR(ISNUMBER(FIND("Review-1", drvlst[[#This Row],[comments]])), ISNUMBER(FIND("Approver-1", drvlst[[#This Row],[comments]]))), "Review-1", "")</f>
        <v/>
      </c>
      <c r="V100" s="7" t="str">
        <f>IF(OR(ISNUMBER(FIND(": Integrator", drvlst[[#This Row],[comments]])), ISNUMBER(FIND(":\n\nIntegrator", drvlst[[#This Row],[comments]])), ISNUMBER(FIND("-Integrator", drvlst[[#This Row],[comments]]))), "IntegratorComment", "")</f>
        <v>IntegratorComment</v>
      </c>
      <c r="W100" s="7" t="str">
        <f>IF(ISBLANK(drvlst[[#This Row],[status]]),W99,drvlst[[#This Row],[status]])</f>
        <v>MERGED</v>
      </c>
    </row>
    <row r="101" spans="1:23">
      <c r="A101" s="7">
        <f>IF(ISBLANK(drvlst[[#This Row],[number]]),A100,drvlst[[#This Row],[number]])</f>
        <v>96430</v>
      </c>
      <c r="J101" t="s">
        <v>34</v>
      </c>
      <c r="K101" s="8">
        <v>42395.76321759259</v>
      </c>
      <c r="L101" t="s">
        <v>1884</v>
      </c>
      <c r="M101" s="7" t="str">
        <f>IF(ISBLANK(drvlst[[#This Row],[owner.emal]]),M100,drvlst[[#This Row],[owner.emal]])</f>
        <v>jouni.hogander@intel.com</v>
      </c>
      <c r="N101">
        <f>_xlfn.IFNA(VLOOKUP(drvlst[[#This Row],[tmp-owner.email]],OrgTree!$A:$J, 10, 0), "not ICG SWFW")</f>
        <v>0</v>
      </c>
      <c r="O101" s="7">
        <f>IF(drvlst[[#This Row],[reviewer]]=drvlst[[#This Row],[tmp-owner.email]], "author", _xlfn.IFNA(VLOOKUP(drvlst[[#This Row],[reviewer]],OrgTree!$A:$J, 10, 0), "not ICG SWFW"))</f>
        <v>0</v>
      </c>
      <c r="P101" s="7" t="str">
        <f>IF(ISBLANK(drvlst[[#This Row],[number]]), "",SUM(drvlst[[#This Row],[BJ -1 num]],drvlst[[#This Row],[FI -1 num]]))</f>
        <v/>
      </c>
      <c r="Q101" s="7" t="str">
        <f>IF(ISBLANK(drvlst[[#This Row],[number]]), "",COUNTIFS($A:$A,drvlst[[#This Row],[tmp-number]],$O:$O, "BJ And dev",$U:$U, "Review-1"))</f>
        <v/>
      </c>
      <c r="R101" s="7" t="str">
        <f>IF(ISBLANK(drvlst[[#This Row],[number]]), "",COUNTIFS($A:$A,drvlst[[#This Row],[tmp-number]],$O:$O, "FL And dev",$U:$U, "Review-1"))</f>
        <v/>
      </c>
      <c r="S101" t="str">
        <f>IF(ISBLANK(drvlst[[#This Row],[number]]), "",COUNTIFS($A:$A,drvlst[[#This Row],[tmp-number]],$O:$O, "BJ And dev",$V:$V, "&lt;&gt;IntegratorComment"))</f>
        <v/>
      </c>
      <c r="T101" t="str">
        <f>IF(ISBLANK(drvlst[[#This Row],[number]]), "",COUNTIFS($A:$A,drvlst[[#This Row],[tmp-number]],$O:$O, "FL And dev",$V:$V, "&lt;&gt;IntegratorComment"))</f>
        <v/>
      </c>
      <c r="U101" t="str">
        <f>IF(OR(ISNUMBER(FIND("Review-1", drvlst[[#This Row],[comments]])), ISNUMBER(FIND("Approver-1", drvlst[[#This Row],[comments]]))), "Review-1", "")</f>
        <v/>
      </c>
      <c r="V101" s="7" t="str">
        <f>IF(OR(ISNUMBER(FIND(": Integrator", drvlst[[#This Row],[comments]])), ISNUMBER(FIND(":\n\nIntegrator", drvlst[[#This Row],[comments]])), ISNUMBER(FIND("-Integrator", drvlst[[#This Row],[comments]]))), "IntegratorComment", "")</f>
        <v/>
      </c>
      <c r="W101" s="7" t="str">
        <f>IF(ISBLANK(drvlst[[#This Row],[status]]),W100,drvlst[[#This Row],[status]])</f>
        <v>MERGED</v>
      </c>
    </row>
    <row r="102" spans="1:23">
      <c r="A102" s="7">
        <f>IF(ISBLANK(drvlst[[#This Row],[number]]),A101,drvlst[[#This Row],[number]])</f>
        <v>96430</v>
      </c>
      <c r="J102" t="s">
        <v>34</v>
      </c>
      <c r="K102" s="8">
        <v>42395.806064814817</v>
      </c>
      <c r="L102" t="s">
        <v>1883</v>
      </c>
      <c r="M102" s="7" t="str">
        <f>IF(ISBLANK(drvlst[[#This Row],[owner.emal]]),M101,drvlst[[#This Row],[owner.emal]])</f>
        <v>jouni.hogander@intel.com</v>
      </c>
      <c r="N102">
        <f>_xlfn.IFNA(VLOOKUP(drvlst[[#This Row],[tmp-owner.email]],OrgTree!$A:$J, 10, 0), "not ICG SWFW")</f>
        <v>0</v>
      </c>
      <c r="O102" s="7">
        <f>IF(drvlst[[#This Row],[reviewer]]=drvlst[[#This Row],[tmp-owner.email]], "author", _xlfn.IFNA(VLOOKUP(drvlst[[#This Row],[reviewer]],OrgTree!$A:$J, 10, 0), "not ICG SWFW"))</f>
        <v>0</v>
      </c>
      <c r="P102" s="7" t="str">
        <f>IF(ISBLANK(drvlst[[#This Row],[number]]), "",SUM(drvlst[[#This Row],[BJ -1 num]],drvlst[[#This Row],[FI -1 num]]))</f>
        <v/>
      </c>
      <c r="Q102" s="7" t="str">
        <f>IF(ISBLANK(drvlst[[#This Row],[number]]), "",COUNTIFS($A:$A,drvlst[[#This Row],[tmp-number]],$O:$O, "BJ And dev",$U:$U, "Review-1"))</f>
        <v/>
      </c>
      <c r="R102" s="7" t="str">
        <f>IF(ISBLANK(drvlst[[#This Row],[number]]), "",COUNTIFS($A:$A,drvlst[[#This Row],[tmp-number]],$O:$O, "FL And dev",$U:$U, "Review-1"))</f>
        <v/>
      </c>
      <c r="S102" t="str">
        <f>IF(ISBLANK(drvlst[[#This Row],[number]]), "",COUNTIFS($A:$A,drvlst[[#This Row],[tmp-number]],$O:$O, "BJ And dev",$V:$V, "&lt;&gt;IntegratorComment"))</f>
        <v/>
      </c>
      <c r="T102" t="str">
        <f>IF(ISBLANK(drvlst[[#This Row],[number]]), "",COUNTIFS($A:$A,drvlst[[#This Row],[tmp-number]],$O:$O, "FL And dev",$V:$V, "&lt;&gt;IntegratorComment"))</f>
        <v/>
      </c>
      <c r="U102" t="str">
        <f>IF(OR(ISNUMBER(FIND("Review-1", drvlst[[#This Row],[comments]])), ISNUMBER(FIND("Approver-1", drvlst[[#This Row],[comments]]))), "Review-1", "")</f>
        <v/>
      </c>
      <c r="V102" s="7" t="str">
        <f>IF(OR(ISNUMBER(FIND(": Integrator", drvlst[[#This Row],[comments]])), ISNUMBER(FIND(":\n\nIntegrator", drvlst[[#This Row],[comments]])), ISNUMBER(FIND("-Integrator", drvlst[[#This Row],[comments]]))), "IntegratorComment", "")</f>
        <v/>
      </c>
      <c r="W102" s="7" t="str">
        <f>IF(ISBLANK(drvlst[[#This Row],[status]]),W101,drvlst[[#This Row],[status]])</f>
        <v>MERGED</v>
      </c>
    </row>
    <row r="103" spans="1:23">
      <c r="A103" s="7">
        <f>IF(ISBLANK(drvlst[[#This Row],[number]]),A102,drvlst[[#This Row],[number]])</f>
        <v>96430</v>
      </c>
      <c r="J103" t="s">
        <v>34</v>
      </c>
      <c r="K103" s="8">
        <v>42395.845046296294</v>
      </c>
      <c r="L103" t="s">
        <v>1885</v>
      </c>
      <c r="M103" s="7" t="str">
        <f>IF(ISBLANK(drvlst[[#This Row],[owner.emal]]),M102,drvlst[[#This Row],[owner.emal]])</f>
        <v>jouni.hogander@intel.com</v>
      </c>
      <c r="N103">
        <f>_xlfn.IFNA(VLOOKUP(drvlst[[#This Row],[tmp-owner.email]],OrgTree!$A:$J, 10, 0), "not ICG SWFW")</f>
        <v>0</v>
      </c>
      <c r="O103" s="7">
        <f>IF(drvlst[[#This Row],[reviewer]]=drvlst[[#This Row],[tmp-owner.email]], "author", _xlfn.IFNA(VLOOKUP(drvlst[[#This Row],[reviewer]],OrgTree!$A:$J, 10, 0), "not ICG SWFW"))</f>
        <v>0</v>
      </c>
      <c r="P103" s="7" t="str">
        <f>IF(ISBLANK(drvlst[[#This Row],[number]]), "",SUM(drvlst[[#This Row],[BJ -1 num]],drvlst[[#This Row],[FI -1 num]]))</f>
        <v/>
      </c>
      <c r="Q103" s="7" t="str">
        <f>IF(ISBLANK(drvlst[[#This Row],[number]]), "",COUNTIFS($A:$A,drvlst[[#This Row],[tmp-number]],$O:$O, "BJ And dev",$U:$U, "Review-1"))</f>
        <v/>
      </c>
      <c r="R103" s="7" t="str">
        <f>IF(ISBLANK(drvlst[[#This Row],[number]]), "",COUNTIFS($A:$A,drvlst[[#This Row],[tmp-number]],$O:$O, "FL And dev",$U:$U, "Review-1"))</f>
        <v/>
      </c>
      <c r="S103" t="str">
        <f>IF(ISBLANK(drvlst[[#This Row],[number]]), "",COUNTIFS($A:$A,drvlst[[#This Row],[tmp-number]],$O:$O, "BJ And dev",$V:$V, "&lt;&gt;IntegratorComment"))</f>
        <v/>
      </c>
      <c r="T103" t="str">
        <f>IF(ISBLANK(drvlst[[#This Row],[number]]), "",COUNTIFS($A:$A,drvlst[[#This Row],[tmp-number]],$O:$O, "FL And dev",$V:$V, "&lt;&gt;IntegratorComment"))</f>
        <v/>
      </c>
      <c r="U103" t="str">
        <f>IF(OR(ISNUMBER(FIND("Review-1", drvlst[[#This Row],[comments]])), ISNUMBER(FIND("Approver-1", drvlst[[#This Row],[comments]]))), "Review-1", "")</f>
        <v/>
      </c>
      <c r="V103" s="7" t="str">
        <f>IF(OR(ISNUMBER(FIND(": Integrator", drvlst[[#This Row],[comments]])), ISNUMBER(FIND(":\n\nIntegrator", drvlst[[#This Row],[comments]])), ISNUMBER(FIND("-Integrator", drvlst[[#This Row],[comments]]))), "IntegratorComment", "")</f>
        <v/>
      </c>
      <c r="W103" s="7" t="str">
        <f>IF(ISBLANK(drvlst[[#This Row],[status]]),W102,drvlst[[#This Row],[status]])</f>
        <v>MERGED</v>
      </c>
    </row>
    <row r="104" spans="1:23">
      <c r="A104" s="7">
        <f>IF(ISBLANK(drvlst[[#This Row],[number]]),A103,drvlst[[#This Row],[number]])</f>
        <v>96430</v>
      </c>
      <c r="J104" t="s">
        <v>34</v>
      </c>
      <c r="K104" s="8">
        <v>42396.07135416667</v>
      </c>
      <c r="L104" t="s">
        <v>1885</v>
      </c>
      <c r="M104" s="7" t="str">
        <f>IF(ISBLANK(drvlst[[#This Row],[owner.emal]]),M103,drvlst[[#This Row],[owner.emal]])</f>
        <v>jouni.hogander@intel.com</v>
      </c>
      <c r="N104">
        <f>_xlfn.IFNA(VLOOKUP(drvlst[[#This Row],[tmp-owner.email]],OrgTree!$A:$J, 10, 0), "not ICG SWFW")</f>
        <v>0</v>
      </c>
      <c r="O104" s="7">
        <f>IF(drvlst[[#This Row],[reviewer]]=drvlst[[#This Row],[tmp-owner.email]], "author", _xlfn.IFNA(VLOOKUP(drvlst[[#This Row],[reviewer]],OrgTree!$A:$J, 10, 0), "not ICG SWFW"))</f>
        <v>0</v>
      </c>
      <c r="P104" s="7" t="str">
        <f>IF(ISBLANK(drvlst[[#This Row],[number]]), "",SUM(drvlst[[#This Row],[BJ -1 num]],drvlst[[#This Row],[FI -1 num]]))</f>
        <v/>
      </c>
      <c r="Q104" s="7" t="str">
        <f>IF(ISBLANK(drvlst[[#This Row],[number]]), "",COUNTIFS($A:$A,drvlst[[#This Row],[tmp-number]],$O:$O, "BJ And dev",$U:$U, "Review-1"))</f>
        <v/>
      </c>
      <c r="R104" s="7" t="str">
        <f>IF(ISBLANK(drvlst[[#This Row],[number]]), "",COUNTIFS($A:$A,drvlst[[#This Row],[tmp-number]],$O:$O, "FL And dev",$U:$U, "Review-1"))</f>
        <v/>
      </c>
      <c r="S104" t="str">
        <f>IF(ISBLANK(drvlst[[#This Row],[number]]), "",COUNTIFS($A:$A,drvlst[[#This Row],[tmp-number]],$O:$O, "BJ And dev",$V:$V, "&lt;&gt;IntegratorComment"))</f>
        <v/>
      </c>
      <c r="T104" t="str">
        <f>IF(ISBLANK(drvlst[[#This Row],[number]]), "",COUNTIFS($A:$A,drvlst[[#This Row],[tmp-number]],$O:$O, "FL And dev",$V:$V, "&lt;&gt;IntegratorComment"))</f>
        <v/>
      </c>
      <c r="U104" t="str">
        <f>IF(OR(ISNUMBER(FIND("Review-1", drvlst[[#This Row],[comments]])), ISNUMBER(FIND("Approver-1", drvlst[[#This Row],[comments]]))), "Review-1", "")</f>
        <v/>
      </c>
      <c r="V104" s="7" t="str">
        <f>IF(OR(ISNUMBER(FIND(": Integrator", drvlst[[#This Row],[comments]])), ISNUMBER(FIND(":\n\nIntegrator", drvlst[[#This Row],[comments]])), ISNUMBER(FIND("-Integrator", drvlst[[#This Row],[comments]]))), "IntegratorComment", "")</f>
        <v/>
      </c>
      <c r="W104" s="7" t="str">
        <f>IF(ISBLANK(drvlst[[#This Row],[status]]),W103,drvlst[[#This Row],[status]])</f>
        <v>MERGED</v>
      </c>
    </row>
    <row r="105" spans="1:23">
      <c r="A105" s="7">
        <f>IF(ISBLANK(drvlst[[#This Row],[number]]),A104,drvlst[[#This Row],[number]])</f>
        <v>96430</v>
      </c>
      <c r="J105" t="s">
        <v>34</v>
      </c>
      <c r="K105" s="8">
        <v>42396.767789351848</v>
      </c>
      <c r="L105" t="s">
        <v>1886</v>
      </c>
      <c r="M105" s="7" t="str">
        <f>IF(ISBLANK(drvlst[[#This Row],[owner.emal]]),M104,drvlst[[#This Row],[owner.emal]])</f>
        <v>jouni.hogander@intel.com</v>
      </c>
      <c r="N105">
        <f>_xlfn.IFNA(VLOOKUP(drvlst[[#This Row],[tmp-owner.email]],OrgTree!$A:$J, 10, 0), "not ICG SWFW")</f>
        <v>0</v>
      </c>
      <c r="O105" s="7">
        <f>IF(drvlst[[#This Row],[reviewer]]=drvlst[[#This Row],[tmp-owner.email]], "author", _xlfn.IFNA(VLOOKUP(drvlst[[#This Row],[reviewer]],OrgTree!$A:$J, 10, 0), "not ICG SWFW"))</f>
        <v>0</v>
      </c>
      <c r="P105" s="7" t="str">
        <f>IF(ISBLANK(drvlst[[#This Row],[number]]), "",SUM(drvlst[[#This Row],[BJ -1 num]],drvlst[[#This Row],[FI -1 num]]))</f>
        <v/>
      </c>
      <c r="Q105" s="7" t="str">
        <f>IF(ISBLANK(drvlst[[#This Row],[number]]), "",COUNTIFS($A:$A,drvlst[[#This Row],[tmp-number]],$O:$O, "BJ And dev",$U:$U, "Review-1"))</f>
        <v/>
      </c>
      <c r="R105" s="7" t="str">
        <f>IF(ISBLANK(drvlst[[#This Row],[number]]), "",COUNTIFS($A:$A,drvlst[[#This Row],[tmp-number]],$O:$O, "FL And dev",$U:$U, "Review-1"))</f>
        <v/>
      </c>
      <c r="S105" t="str">
        <f>IF(ISBLANK(drvlst[[#This Row],[number]]), "",COUNTIFS($A:$A,drvlst[[#This Row],[tmp-number]],$O:$O, "BJ And dev",$V:$V, "&lt;&gt;IntegratorComment"))</f>
        <v/>
      </c>
      <c r="T105" t="str">
        <f>IF(ISBLANK(drvlst[[#This Row],[number]]), "",COUNTIFS($A:$A,drvlst[[#This Row],[tmp-number]],$O:$O, "FL And dev",$V:$V, "&lt;&gt;IntegratorComment"))</f>
        <v/>
      </c>
      <c r="U105" t="str">
        <f>IF(OR(ISNUMBER(FIND("Review-1", drvlst[[#This Row],[comments]])), ISNUMBER(FIND("Approver-1", drvlst[[#This Row],[comments]]))), "Review-1", "")</f>
        <v/>
      </c>
      <c r="V105" s="7" t="str">
        <f>IF(OR(ISNUMBER(FIND(": Integrator", drvlst[[#This Row],[comments]])), ISNUMBER(FIND(":\n\nIntegrator", drvlst[[#This Row],[comments]])), ISNUMBER(FIND("-Integrator", drvlst[[#This Row],[comments]]))), "IntegratorComment", "")</f>
        <v/>
      </c>
      <c r="W105" s="7" t="str">
        <f>IF(ISBLANK(drvlst[[#This Row],[status]]),W104,drvlst[[#This Row],[status]])</f>
        <v>MERGED</v>
      </c>
    </row>
    <row r="106" spans="1:23">
      <c r="A106" s="7">
        <f>IF(ISBLANK(drvlst[[#This Row],[number]]),A105,drvlst[[#This Row],[number]])</f>
        <v>96430</v>
      </c>
      <c r="J106" t="s">
        <v>34</v>
      </c>
      <c r="K106" s="8">
        <v>42396.770150462966</v>
      </c>
      <c r="L106" t="s">
        <v>1932</v>
      </c>
      <c r="M106" s="7" t="str">
        <f>IF(ISBLANK(drvlst[[#This Row],[owner.emal]]),M105,drvlst[[#This Row],[owner.emal]])</f>
        <v>jouni.hogander@intel.com</v>
      </c>
      <c r="N106">
        <f>_xlfn.IFNA(VLOOKUP(drvlst[[#This Row],[tmp-owner.email]],OrgTree!$A:$J, 10, 0), "not ICG SWFW")</f>
        <v>0</v>
      </c>
      <c r="O106" s="7">
        <f>IF(drvlst[[#This Row],[reviewer]]=drvlst[[#This Row],[tmp-owner.email]], "author", _xlfn.IFNA(VLOOKUP(drvlst[[#This Row],[reviewer]],OrgTree!$A:$J, 10, 0), "not ICG SWFW"))</f>
        <v>0</v>
      </c>
      <c r="P106" s="7" t="str">
        <f>IF(ISBLANK(drvlst[[#This Row],[number]]), "",SUM(drvlst[[#This Row],[BJ -1 num]],drvlst[[#This Row],[FI -1 num]]))</f>
        <v/>
      </c>
      <c r="Q106" s="7" t="str">
        <f>IF(ISBLANK(drvlst[[#This Row],[number]]), "",COUNTIFS($A:$A,drvlst[[#This Row],[tmp-number]],$O:$O, "BJ And dev",$U:$U, "Review-1"))</f>
        <v/>
      </c>
      <c r="R106" s="7" t="str">
        <f>IF(ISBLANK(drvlst[[#This Row],[number]]), "",COUNTIFS($A:$A,drvlst[[#This Row],[tmp-number]],$O:$O, "FL And dev",$U:$U, "Review-1"))</f>
        <v/>
      </c>
      <c r="S106" t="str">
        <f>IF(ISBLANK(drvlst[[#This Row],[number]]), "",COUNTIFS($A:$A,drvlst[[#This Row],[tmp-number]],$O:$O, "BJ And dev",$V:$V, "&lt;&gt;IntegratorComment"))</f>
        <v/>
      </c>
      <c r="T106" t="str">
        <f>IF(ISBLANK(drvlst[[#This Row],[number]]), "",COUNTIFS($A:$A,drvlst[[#This Row],[tmp-number]],$O:$O, "FL And dev",$V:$V, "&lt;&gt;IntegratorComment"))</f>
        <v/>
      </c>
      <c r="U106" t="str">
        <f>IF(OR(ISNUMBER(FIND("Review-1", drvlst[[#This Row],[comments]])), ISNUMBER(FIND("Approver-1", drvlst[[#This Row],[comments]]))), "Review-1", "")</f>
        <v/>
      </c>
      <c r="V106" s="7" t="str">
        <f>IF(OR(ISNUMBER(FIND(": Integrator", drvlst[[#This Row],[comments]])), ISNUMBER(FIND(":\n\nIntegrator", drvlst[[#This Row],[comments]])), ISNUMBER(FIND("-Integrator", drvlst[[#This Row],[comments]]))), "IntegratorComment", "")</f>
        <v/>
      </c>
      <c r="W106" s="7" t="str">
        <f>IF(ISBLANK(drvlst[[#This Row],[status]]),W105,drvlst[[#This Row],[status]])</f>
        <v>MERGED</v>
      </c>
    </row>
    <row r="107" spans="1:23">
      <c r="A107" s="7">
        <f>IF(ISBLANK(drvlst[[#This Row],[number]]),A106,drvlst[[#This Row],[number]])</f>
        <v>97283</v>
      </c>
      <c r="B107">
        <v>97283</v>
      </c>
      <c r="C107" t="s">
        <v>84</v>
      </c>
      <c r="D107" t="s">
        <v>104</v>
      </c>
      <c r="E107" t="s">
        <v>23</v>
      </c>
      <c r="F107" t="s">
        <v>1933</v>
      </c>
      <c r="G107" t="s">
        <v>1934</v>
      </c>
      <c r="H107" s="8">
        <v>42391.665185185186</v>
      </c>
      <c r="I107" s="8">
        <v>42396.776689814818</v>
      </c>
      <c r="J107" t="s">
        <v>104</v>
      </c>
      <c r="K107" s="8">
        <v>42391.665185185186</v>
      </c>
      <c r="L107" t="s">
        <v>25</v>
      </c>
      <c r="M107" s="7" t="str">
        <f>IF(ISBLANK(drvlst[[#This Row],[owner.emal]]),M106,drvlst[[#This Row],[owner.emal]])</f>
        <v>tommi.franttila@intel.com</v>
      </c>
      <c r="N107">
        <f>_xlfn.IFNA(VLOOKUP(drvlst[[#This Row],[tmp-owner.email]],OrgTree!$A:$J, 10, 0), "not ICG SWFW")</f>
        <v>0</v>
      </c>
      <c r="O107" s="7" t="str">
        <f>IF(drvlst[[#This Row],[reviewer]]=drvlst[[#This Row],[tmp-owner.email]], "author", _xlfn.IFNA(VLOOKUP(drvlst[[#This Row],[reviewer]],OrgTree!$A:$J, 10, 0), "not ICG SWFW"))</f>
        <v>author</v>
      </c>
      <c r="P107" s="7">
        <f>IF(ISBLANK(drvlst[[#This Row],[number]]), "",SUM(drvlst[[#This Row],[BJ -1 num]],drvlst[[#This Row],[FI -1 num]]))</f>
        <v>0</v>
      </c>
      <c r="Q107" s="7">
        <f>IF(ISBLANK(drvlst[[#This Row],[number]]), "",COUNTIFS($A:$A,drvlst[[#This Row],[tmp-number]],$O:$O, "BJ And dev",$U:$U, "Review-1"))</f>
        <v>0</v>
      </c>
      <c r="R107" s="7">
        <f>IF(ISBLANK(drvlst[[#This Row],[number]]), "",COUNTIFS($A:$A,drvlst[[#This Row],[tmp-number]],$O:$O, "FL And dev",$U:$U, "Review-1"))</f>
        <v>0</v>
      </c>
      <c r="S107">
        <f>IF(ISBLANK(drvlst[[#This Row],[number]]), "",COUNTIFS($A:$A,drvlst[[#This Row],[tmp-number]],$O:$O, "BJ And dev",$V:$V, "&lt;&gt;IntegratorComment"))</f>
        <v>0</v>
      </c>
      <c r="T107">
        <f>IF(ISBLANK(drvlst[[#This Row],[number]]), "",COUNTIFS($A:$A,drvlst[[#This Row],[tmp-number]],$O:$O, "FL And dev",$V:$V, "&lt;&gt;IntegratorComment"))</f>
        <v>0</v>
      </c>
      <c r="U107" t="str">
        <f>IF(OR(ISNUMBER(FIND("Review-1", drvlst[[#This Row],[comments]])), ISNUMBER(FIND("Approver-1", drvlst[[#This Row],[comments]]))), "Review-1", "")</f>
        <v/>
      </c>
      <c r="V107" s="7" t="str">
        <f>IF(OR(ISNUMBER(FIND(": Integrator", drvlst[[#This Row],[comments]])), ISNUMBER(FIND(":\n\nIntegrator", drvlst[[#This Row],[comments]])), ISNUMBER(FIND("-Integrator", drvlst[[#This Row],[comments]]))), "IntegratorComment", "")</f>
        <v/>
      </c>
      <c r="W107" s="7" t="str">
        <f>IF(ISBLANK(drvlst[[#This Row],[status]]),W106,drvlst[[#This Row],[status]])</f>
        <v>MERGED</v>
      </c>
    </row>
    <row r="108" spans="1:23">
      <c r="A108" s="7">
        <f>IF(ISBLANK(drvlst[[#This Row],[number]]),A107,drvlst[[#This Row],[number]])</f>
        <v>97283</v>
      </c>
      <c r="J108" t="s">
        <v>104</v>
      </c>
      <c r="K108" s="8">
        <v>42391.665185185186</v>
      </c>
      <c r="L108" t="s">
        <v>85</v>
      </c>
      <c r="M108" s="7" t="str">
        <f>IF(ISBLANK(drvlst[[#This Row],[owner.emal]]),M107,drvlst[[#This Row],[owner.emal]])</f>
        <v>tommi.franttila@intel.com</v>
      </c>
      <c r="N108">
        <f>_xlfn.IFNA(VLOOKUP(drvlst[[#This Row],[tmp-owner.email]],OrgTree!$A:$J, 10, 0), "not ICG SWFW")</f>
        <v>0</v>
      </c>
      <c r="O108" s="7" t="str">
        <f>IF(drvlst[[#This Row],[reviewer]]=drvlst[[#This Row],[tmp-owner.email]], "author", _xlfn.IFNA(VLOOKUP(drvlst[[#This Row],[reviewer]],OrgTree!$A:$J, 10, 0), "not ICG SWFW"))</f>
        <v>author</v>
      </c>
      <c r="P108" s="7" t="str">
        <f>IF(ISBLANK(drvlst[[#This Row],[number]]), "",SUM(drvlst[[#This Row],[BJ -1 num]],drvlst[[#This Row],[FI -1 num]]))</f>
        <v/>
      </c>
      <c r="Q108" s="7" t="str">
        <f>IF(ISBLANK(drvlst[[#This Row],[number]]), "",COUNTIFS($A:$A,drvlst[[#This Row],[tmp-number]],$O:$O, "BJ And dev",$U:$U, "Review-1"))</f>
        <v/>
      </c>
      <c r="R108" s="7" t="str">
        <f>IF(ISBLANK(drvlst[[#This Row],[number]]), "",COUNTIFS($A:$A,drvlst[[#This Row],[tmp-number]],$O:$O, "FL And dev",$U:$U, "Review-1"))</f>
        <v/>
      </c>
      <c r="S108" t="str">
        <f>IF(ISBLANK(drvlst[[#This Row],[number]]), "",COUNTIFS($A:$A,drvlst[[#This Row],[tmp-number]],$O:$O, "BJ And dev",$V:$V, "&lt;&gt;IntegratorComment"))</f>
        <v/>
      </c>
      <c r="T108" t="str">
        <f>IF(ISBLANK(drvlst[[#This Row],[number]]), "",COUNTIFS($A:$A,drvlst[[#This Row],[tmp-number]],$O:$O, "FL And dev",$V:$V, "&lt;&gt;IntegratorComment"))</f>
        <v/>
      </c>
      <c r="U108" t="str">
        <f>IF(OR(ISNUMBER(FIND("Review-1", drvlst[[#This Row],[comments]])), ISNUMBER(FIND("Approver-1", drvlst[[#This Row],[comments]]))), "Review-1", "")</f>
        <v/>
      </c>
      <c r="V108" s="7" t="str">
        <f>IF(OR(ISNUMBER(FIND(": Integrator", drvlst[[#This Row],[comments]])), ISNUMBER(FIND(":\n\nIntegrator", drvlst[[#This Row],[comments]])), ISNUMBER(FIND("-Integrator", drvlst[[#This Row],[comments]]))), "IntegratorComment", "")</f>
        <v/>
      </c>
      <c r="W108" s="7" t="str">
        <f>IF(ISBLANK(drvlst[[#This Row],[status]]),W107,drvlst[[#This Row],[status]])</f>
        <v>MERGED</v>
      </c>
    </row>
    <row r="109" spans="1:23">
      <c r="A109" s="7">
        <f>IF(ISBLANK(drvlst[[#This Row],[number]]),A108,drvlst[[#This Row],[number]])</f>
        <v>97283</v>
      </c>
      <c r="J109" t="s">
        <v>104</v>
      </c>
      <c r="K109" s="8">
        <v>42391.666215277779</v>
      </c>
      <c r="L109" t="s">
        <v>40</v>
      </c>
      <c r="M109" s="7" t="str">
        <f>IF(ISBLANK(drvlst[[#This Row],[owner.emal]]),M108,drvlst[[#This Row],[owner.emal]])</f>
        <v>tommi.franttila@intel.com</v>
      </c>
      <c r="N109">
        <f>_xlfn.IFNA(VLOOKUP(drvlst[[#This Row],[tmp-owner.email]],OrgTree!$A:$J, 10, 0), "not ICG SWFW")</f>
        <v>0</v>
      </c>
      <c r="O109" s="7" t="str">
        <f>IF(drvlst[[#This Row],[reviewer]]=drvlst[[#This Row],[tmp-owner.email]], "author", _xlfn.IFNA(VLOOKUP(drvlst[[#This Row],[reviewer]],OrgTree!$A:$J, 10, 0), "not ICG SWFW"))</f>
        <v>author</v>
      </c>
      <c r="P109" s="7" t="str">
        <f>IF(ISBLANK(drvlst[[#This Row],[number]]), "",SUM(drvlst[[#This Row],[BJ -1 num]],drvlst[[#This Row],[FI -1 num]]))</f>
        <v/>
      </c>
      <c r="Q109" s="7" t="str">
        <f>IF(ISBLANK(drvlst[[#This Row],[number]]), "",COUNTIFS($A:$A,drvlst[[#This Row],[tmp-number]],$O:$O, "BJ And dev",$U:$U, "Review-1"))</f>
        <v/>
      </c>
      <c r="R109" s="7" t="str">
        <f>IF(ISBLANK(drvlst[[#This Row],[number]]), "",COUNTIFS($A:$A,drvlst[[#This Row],[tmp-number]],$O:$O, "FL And dev",$U:$U, "Review-1"))</f>
        <v/>
      </c>
      <c r="S109" t="str">
        <f>IF(ISBLANK(drvlst[[#This Row],[number]]), "",COUNTIFS($A:$A,drvlst[[#This Row],[tmp-number]],$O:$O, "BJ And dev",$V:$V, "&lt;&gt;IntegratorComment"))</f>
        <v/>
      </c>
      <c r="T109" t="str">
        <f>IF(ISBLANK(drvlst[[#This Row],[number]]), "",COUNTIFS($A:$A,drvlst[[#This Row],[tmp-number]],$O:$O, "FL And dev",$V:$V, "&lt;&gt;IntegratorComment"))</f>
        <v/>
      </c>
      <c r="U109" t="str">
        <f>IF(OR(ISNUMBER(FIND("Review-1", drvlst[[#This Row],[comments]])), ISNUMBER(FIND("Approver-1", drvlst[[#This Row],[comments]]))), "Review-1", "")</f>
        <v/>
      </c>
      <c r="V109" s="7" t="str">
        <f>IF(OR(ISNUMBER(FIND(": Integrator", drvlst[[#This Row],[comments]])), ISNUMBER(FIND(":\n\nIntegrator", drvlst[[#This Row],[comments]])), ISNUMBER(FIND("-Integrator", drvlst[[#This Row],[comments]]))), "IntegratorComment", "")</f>
        <v/>
      </c>
      <c r="W109" s="7" t="str">
        <f>IF(ISBLANK(drvlst[[#This Row],[status]]),W108,drvlst[[#This Row],[status]])</f>
        <v>MERGED</v>
      </c>
    </row>
    <row r="110" spans="1:23">
      <c r="A110" s="7">
        <f>IF(ISBLANK(drvlst[[#This Row],[number]]),A109,drvlst[[#This Row],[number]])</f>
        <v>97283</v>
      </c>
      <c r="J110" t="s">
        <v>91</v>
      </c>
      <c r="K110" s="8">
        <v>42391.685694444444</v>
      </c>
      <c r="L110" t="s">
        <v>1935</v>
      </c>
      <c r="M110" s="7" t="str">
        <f>IF(ISBLANK(drvlst[[#This Row],[owner.emal]]),M109,drvlst[[#This Row],[owner.emal]])</f>
        <v>tommi.franttila@intel.com</v>
      </c>
      <c r="N110">
        <f>_xlfn.IFNA(VLOOKUP(drvlst[[#This Row],[tmp-owner.email]],OrgTree!$A:$J, 10, 0), "not ICG SWFW")</f>
        <v>0</v>
      </c>
      <c r="O110" s="7">
        <f>IF(drvlst[[#This Row],[reviewer]]=drvlst[[#This Row],[tmp-owner.email]], "author", _xlfn.IFNA(VLOOKUP(drvlst[[#This Row],[reviewer]],OrgTree!$A:$J, 10, 0), "not ICG SWFW"))</f>
        <v>0</v>
      </c>
      <c r="P110" s="7" t="str">
        <f>IF(ISBLANK(drvlst[[#This Row],[number]]), "",SUM(drvlst[[#This Row],[BJ -1 num]],drvlst[[#This Row],[FI -1 num]]))</f>
        <v/>
      </c>
      <c r="Q110" s="7" t="str">
        <f>IF(ISBLANK(drvlst[[#This Row],[number]]), "",COUNTIFS($A:$A,drvlst[[#This Row],[tmp-number]],$O:$O, "BJ And dev",$U:$U, "Review-1"))</f>
        <v/>
      </c>
      <c r="R110" s="7" t="str">
        <f>IF(ISBLANK(drvlst[[#This Row],[number]]), "",COUNTIFS($A:$A,drvlst[[#This Row],[tmp-number]],$O:$O, "FL And dev",$U:$U, "Review-1"))</f>
        <v/>
      </c>
      <c r="S110" t="str">
        <f>IF(ISBLANK(drvlst[[#This Row],[number]]), "",COUNTIFS($A:$A,drvlst[[#This Row],[tmp-number]],$O:$O, "BJ And dev",$V:$V, "&lt;&gt;IntegratorComment"))</f>
        <v/>
      </c>
      <c r="T110" t="str">
        <f>IF(ISBLANK(drvlst[[#This Row],[number]]), "",COUNTIFS($A:$A,drvlst[[#This Row],[tmp-number]],$O:$O, "FL And dev",$V:$V, "&lt;&gt;IntegratorComment"))</f>
        <v/>
      </c>
      <c r="U110" t="str">
        <f>IF(OR(ISNUMBER(FIND("Review-1", drvlst[[#This Row],[comments]])), ISNUMBER(FIND("Approver-1", drvlst[[#This Row],[comments]]))), "Review-1", "")</f>
        <v>Review-1</v>
      </c>
      <c r="V110" s="7" t="str">
        <f>IF(OR(ISNUMBER(FIND(": Integrator", drvlst[[#This Row],[comments]])), ISNUMBER(FIND(":\n\nIntegrator", drvlst[[#This Row],[comments]])), ISNUMBER(FIND("-Integrator", drvlst[[#This Row],[comments]]))), "IntegratorComment", "")</f>
        <v/>
      </c>
      <c r="W110" s="7" t="str">
        <f>IF(ISBLANK(drvlst[[#This Row],[status]]),W109,drvlst[[#This Row],[status]])</f>
        <v>MERGED</v>
      </c>
    </row>
    <row r="111" spans="1:23">
      <c r="A111" s="7">
        <f>IF(ISBLANK(drvlst[[#This Row],[number]]),A110,drvlst[[#This Row],[number]])</f>
        <v>97283</v>
      </c>
      <c r="J111" t="s">
        <v>104</v>
      </c>
      <c r="K111" s="8">
        <v>42391.737824074073</v>
      </c>
      <c r="L111" t="s">
        <v>29</v>
      </c>
      <c r="M111" s="7" t="str">
        <f>IF(ISBLANK(drvlst[[#This Row],[owner.emal]]),M110,drvlst[[#This Row],[owner.emal]])</f>
        <v>tommi.franttila@intel.com</v>
      </c>
      <c r="N111">
        <f>_xlfn.IFNA(VLOOKUP(drvlst[[#This Row],[tmp-owner.email]],OrgTree!$A:$J, 10, 0), "not ICG SWFW")</f>
        <v>0</v>
      </c>
      <c r="O111" s="7" t="str">
        <f>IF(drvlst[[#This Row],[reviewer]]=drvlst[[#This Row],[tmp-owner.email]], "author", _xlfn.IFNA(VLOOKUP(drvlst[[#This Row],[reviewer]],OrgTree!$A:$J, 10, 0), "not ICG SWFW"))</f>
        <v>author</v>
      </c>
      <c r="P111" s="7" t="str">
        <f>IF(ISBLANK(drvlst[[#This Row],[number]]), "",SUM(drvlst[[#This Row],[BJ -1 num]],drvlst[[#This Row],[FI -1 num]]))</f>
        <v/>
      </c>
      <c r="Q111" s="7" t="str">
        <f>IF(ISBLANK(drvlst[[#This Row],[number]]), "",COUNTIFS($A:$A,drvlst[[#This Row],[tmp-number]],$O:$O, "BJ And dev",$U:$U, "Review-1"))</f>
        <v/>
      </c>
      <c r="R111" s="7" t="str">
        <f>IF(ISBLANK(drvlst[[#This Row],[number]]), "",COUNTIFS($A:$A,drvlst[[#This Row],[tmp-number]],$O:$O, "FL And dev",$U:$U, "Review-1"))</f>
        <v/>
      </c>
      <c r="S111" t="str">
        <f>IF(ISBLANK(drvlst[[#This Row],[number]]), "",COUNTIFS($A:$A,drvlst[[#This Row],[tmp-number]],$O:$O, "BJ And dev",$V:$V, "&lt;&gt;IntegratorComment"))</f>
        <v/>
      </c>
      <c r="T111" t="str">
        <f>IF(ISBLANK(drvlst[[#This Row],[number]]), "",COUNTIFS($A:$A,drvlst[[#This Row],[tmp-number]],$O:$O, "FL And dev",$V:$V, "&lt;&gt;IntegratorComment"))</f>
        <v/>
      </c>
      <c r="U111" t="str">
        <f>IF(OR(ISNUMBER(FIND("Review-1", drvlst[[#This Row],[comments]])), ISNUMBER(FIND("Approver-1", drvlst[[#This Row],[comments]]))), "Review-1", "")</f>
        <v/>
      </c>
      <c r="V111" s="7" t="str">
        <f>IF(OR(ISNUMBER(FIND(": Integrator", drvlst[[#This Row],[comments]])), ISNUMBER(FIND(":\n\nIntegrator", drvlst[[#This Row],[comments]])), ISNUMBER(FIND("-Integrator", drvlst[[#This Row],[comments]]))), "IntegratorComment", "")</f>
        <v/>
      </c>
      <c r="W111" s="7" t="str">
        <f>IF(ISBLANK(drvlst[[#This Row],[status]]),W110,drvlst[[#This Row],[status]])</f>
        <v>MERGED</v>
      </c>
    </row>
    <row r="112" spans="1:23">
      <c r="A112" s="7">
        <f>IF(ISBLANK(drvlst[[#This Row],[number]]),A111,drvlst[[#This Row],[number]])</f>
        <v>97283</v>
      </c>
      <c r="J112" t="s">
        <v>104</v>
      </c>
      <c r="K112" s="8">
        <v>42391.737824074073</v>
      </c>
      <c r="L112" t="s">
        <v>92</v>
      </c>
      <c r="M112" s="7" t="str">
        <f>IF(ISBLANK(drvlst[[#This Row],[owner.emal]]),M111,drvlst[[#This Row],[owner.emal]])</f>
        <v>tommi.franttila@intel.com</v>
      </c>
      <c r="N112">
        <f>_xlfn.IFNA(VLOOKUP(drvlst[[#This Row],[tmp-owner.email]],OrgTree!$A:$J, 10, 0), "not ICG SWFW")</f>
        <v>0</v>
      </c>
      <c r="O112" s="7" t="str">
        <f>IF(drvlst[[#This Row],[reviewer]]=drvlst[[#This Row],[tmp-owner.email]], "author", _xlfn.IFNA(VLOOKUP(drvlst[[#This Row],[reviewer]],OrgTree!$A:$J, 10, 0), "not ICG SWFW"))</f>
        <v>author</v>
      </c>
      <c r="P112" s="7" t="str">
        <f>IF(ISBLANK(drvlst[[#This Row],[number]]), "",SUM(drvlst[[#This Row],[BJ -1 num]],drvlst[[#This Row],[FI -1 num]]))</f>
        <v/>
      </c>
      <c r="Q112" s="7" t="str">
        <f>IF(ISBLANK(drvlst[[#This Row],[number]]), "",COUNTIFS($A:$A,drvlst[[#This Row],[tmp-number]],$O:$O, "BJ And dev",$U:$U, "Review-1"))</f>
        <v/>
      </c>
      <c r="R112" s="7" t="str">
        <f>IF(ISBLANK(drvlst[[#This Row],[number]]), "",COUNTIFS($A:$A,drvlst[[#This Row],[tmp-number]],$O:$O, "FL And dev",$U:$U, "Review-1"))</f>
        <v/>
      </c>
      <c r="S112" t="str">
        <f>IF(ISBLANK(drvlst[[#This Row],[number]]), "",COUNTIFS($A:$A,drvlst[[#This Row],[tmp-number]],$O:$O, "BJ And dev",$V:$V, "&lt;&gt;IntegratorComment"))</f>
        <v/>
      </c>
      <c r="T112" t="str">
        <f>IF(ISBLANK(drvlst[[#This Row],[number]]), "",COUNTIFS($A:$A,drvlst[[#This Row],[tmp-number]],$O:$O, "FL And dev",$V:$V, "&lt;&gt;IntegratorComment"))</f>
        <v/>
      </c>
      <c r="U112" t="str">
        <f>IF(OR(ISNUMBER(FIND("Review-1", drvlst[[#This Row],[comments]])), ISNUMBER(FIND("Approver-1", drvlst[[#This Row],[comments]]))), "Review-1", "")</f>
        <v/>
      </c>
      <c r="V112" s="7" t="str">
        <f>IF(OR(ISNUMBER(FIND(": Integrator", drvlst[[#This Row],[comments]])), ISNUMBER(FIND(":\n\nIntegrator", drvlst[[#This Row],[comments]])), ISNUMBER(FIND("-Integrator", drvlst[[#This Row],[comments]]))), "IntegratorComment", "")</f>
        <v/>
      </c>
      <c r="W112" s="7" t="str">
        <f>IF(ISBLANK(drvlst[[#This Row],[status]]),W111,drvlst[[#This Row],[status]])</f>
        <v>MERGED</v>
      </c>
    </row>
    <row r="113" spans="1:23">
      <c r="A113" s="7">
        <f>IF(ISBLANK(drvlst[[#This Row],[number]]),A112,drvlst[[#This Row],[number]])</f>
        <v>97283</v>
      </c>
      <c r="J113" t="s">
        <v>104</v>
      </c>
      <c r="K113" s="8">
        <v>42391.738310185188</v>
      </c>
      <c r="L113" t="s">
        <v>27</v>
      </c>
      <c r="M113" s="7" t="str">
        <f>IF(ISBLANK(drvlst[[#This Row],[owner.emal]]),M112,drvlst[[#This Row],[owner.emal]])</f>
        <v>tommi.franttila@intel.com</v>
      </c>
      <c r="N113">
        <f>_xlfn.IFNA(VLOOKUP(drvlst[[#This Row],[tmp-owner.email]],OrgTree!$A:$J, 10, 0), "not ICG SWFW")</f>
        <v>0</v>
      </c>
      <c r="O113" s="7" t="str">
        <f>IF(drvlst[[#This Row],[reviewer]]=drvlst[[#This Row],[tmp-owner.email]], "author", _xlfn.IFNA(VLOOKUP(drvlst[[#This Row],[reviewer]],OrgTree!$A:$J, 10, 0), "not ICG SWFW"))</f>
        <v>author</v>
      </c>
      <c r="P113" s="7" t="str">
        <f>IF(ISBLANK(drvlst[[#This Row],[number]]), "",SUM(drvlst[[#This Row],[BJ -1 num]],drvlst[[#This Row],[FI -1 num]]))</f>
        <v/>
      </c>
      <c r="Q113" s="7" t="str">
        <f>IF(ISBLANK(drvlst[[#This Row],[number]]), "",COUNTIFS($A:$A,drvlst[[#This Row],[tmp-number]],$O:$O, "BJ And dev",$U:$U, "Review-1"))</f>
        <v/>
      </c>
      <c r="R113" s="7" t="str">
        <f>IF(ISBLANK(drvlst[[#This Row],[number]]), "",COUNTIFS($A:$A,drvlst[[#This Row],[tmp-number]],$O:$O, "FL And dev",$U:$U, "Review-1"))</f>
        <v/>
      </c>
      <c r="S113" t="str">
        <f>IF(ISBLANK(drvlst[[#This Row],[number]]), "",COUNTIFS($A:$A,drvlst[[#This Row],[tmp-number]],$O:$O, "BJ And dev",$V:$V, "&lt;&gt;IntegratorComment"))</f>
        <v/>
      </c>
      <c r="T113" t="str">
        <f>IF(ISBLANK(drvlst[[#This Row],[number]]), "",COUNTIFS($A:$A,drvlst[[#This Row],[tmp-number]],$O:$O, "FL And dev",$V:$V, "&lt;&gt;IntegratorComment"))</f>
        <v/>
      </c>
      <c r="U113" t="str">
        <f>IF(OR(ISNUMBER(FIND("Review-1", drvlst[[#This Row],[comments]])), ISNUMBER(FIND("Approver-1", drvlst[[#This Row],[comments]]))), "Review-1", "")</f>
        <v/>
      </c>
      <c r="V113" s="7" t="str">
        <f>IF(OR(ISNUMBER(FIND(": Integrator", drvlst[[#This Row],[comments]])), ISNUMBER(FIND(":\n\nIntegrator", drvlst[[#This Row],[comments]])), ISNUMBER(FIND("-Integrator", drvlst[[#This Row],[comments]]))), "IntegratorComment", "")</f>
        <v/>
      </c>
      <c r="W113" s="7" t="str">
        <f>IF(ISBLANK(drvlst[[#This Row],[status]]),W112,drvlst[[#This Row],[status]])</f>
        <v>MERGED</v>
      </c>
    </row>
    <row r="114" spans="1:23">
      <c r="A114" s="7">
        <f>IF(ISBLANK(drvlst[[#This Row],[number]]),A113,drvlst[[#This Row],[number]])</f>
        <v>97283</v>
      </c>
      <c r="J114" t="s">
        <v>86</v>
      </c>
      <c r="K114" s="8">
        <v>42391.792199074072</v>
      </c>
      <c r="L114" t="s">
        <v>1888</v>
      </c>
      <c r="M114" s="7" t="str">
        <f>IF(ISBLANK(drvlst[[#This Row],[owner.emal]]),M113,drvlst[[#This Row],[owner.emal]])</f>
        <v>tommi.franttila@intel.com</v>
      </c>
      <c r="N114">
        <f>_xlfn.IFNA(VLOOKUP(drvlst[[#This Row],[tmp-owner.email]],OrgTree!$A:$J, 10, 0), "not ICG SWFW")</f>
        <v>0</v>
      </c>
      <c r="O114" s="7">
        <f>IF(drvlst[[#This Row],[reviewer]]=drvlst[[#This Row],[tmp-owner.email]], "author", _xlfn.IFNA(VLOOKUP(drvlst[[#This Row],[reviewer]],OrgTree!$A:$J, 10, 0), "not ICG SWFW"))</f>
        <v>0</v>
      </c>
      <c r="P114" s="7" t="str">
        <f>IF(ISBLANK(drvlst[[#This Row],[number]]), "",SUM(drvlst[[#This Row],[BJ -1 num]],drvlst[[#This Row],[FI -1 num]]))</f>
        <v/>
      </c>
      <c r="Q114" s="7" t="str">
        <f>IF(ISBLANK(drvlst[[#This Row],[number]]), "",COUNTIFS($A:$A,drvlst[[#This Row],[tmp-number]],$O:$O, "BJ And dev",$U:$U, "Review-1"))</f>
        <v/>
      </c>
      <c r="R114" s="7" t="str">
        <f>IF(ISBLANK(drvlst[[#This Row],[number]]), "",COUNTIFS($A:$A,drvlst[[#This Row],[tmp-number]],$O:$O, "FL And dev",$U:$U, "Review-1"))</f>
        <v/>
      </c>
      <c r="S114" t="str">
        <f>IF(ISBLANK(drvlst[[#This Row],[number]]), "",COUNTIFS($A:$A,drvlst[[#This Row],[tmp-number]],$O:$O, "BJ And dev",$V:$V, "&lt;&gt;IntegratorComment"))</f>
        <v/>
      </c>
      <c r="T114" t="str">
        <f>IF(ISBLANK(drvlst[[#This Row],[number]]), "",COUNTIFS($A:$A,drvlst[[#This Row],[tmp-number]],$O:$O, "FL And dev",$V:$V, "&lt;&gt;IntegratorComment"))</f>
        <v/>
      </c>
      <c r="U114" t="str">
        <f>IF(OR(ISNUMBER(FIND("Review-1", drvlst[[#This Row],[comments]])), ISNUMBER(FIND("Approver-1", drvlst[[#This Row],[comments]]))), "Review-1", "")</f>
        <v/>
      </c>
      <c r="V114" s="7" t="str">
        <f>IF(OR(ISNUMBER(FIND(": Integrator", drvlst[[#This Row],[comments]])), ISNUMBER(FIND(":\n\nIntegrator", drvlst[[#This Row],[comments]])), ISNUMBER(FIND("-Integrator", drvlst[[#This Row],[comments]]))), "IntegratorComment", "")</f>
        <v/>
      </c>
      <c r="W114" s="7" t="str">
        <f>IF(ISBLANK(drvlst[[#This Row],[status]]),W113,drvlst[[#This Row],[status]])</f>
        <v>MERGED</v>
      </c>
    </row>
    <row r="115" spans="1:23">
      <c r="A115" s="7">
        <f>IF(ISBLANK(drvlst[[#This Row],[number]]),A114,drvlst[[#This Row],[number]])</f>
        <v>97283</v>
      </c>
      <c r="J115" t="s">
        <v>86</v>
      </c>
      <c r="K115" s="8">
        <v>42391.809513888889</v>
      </c>
      <c r="L115" t="s">
        <v>1869</v>
      </c>
      <c r="M115" s="7" t="str">
        <f>IF(ISBLANK(drvlst[[#This Row],[owner.emal]]),M114,drvlst[[#This Row],[owner.emal]])</f>
        <v>tommi.franttila@intel.com</v>
      </c>
      <c r="N115">
        <f>_xlfn.IFNA(VLOOKUP(drvlst[[#This Row],[tmp-owner.email]],OrgTree!$A:$J, 10, 0), "not ICG SWFW")</f>
        <v>0</v>
      </c>
      <c r="O115" s="7">
        <f>IF(drvlst[[#This Row],[reviewer]]=drvlst[[#This Row],[tmp-owner.email]], "author", _xlfn.IFNA(VLOOKUP(drvlst[[#This Row],[reviewer]],OrgTree!$A:$J, 10, 0), "not ICG SWFW"))</f>
        <v>0</v>
      </c>
      <c r="P115" s="7" t="str">
        <f>IF(ISBLANK(drvlst[[#This Row],[number]]), "",SUM(drvlst[[#This Row],[BJ -1 num]],drvlst[[#This Row],[FI -1 num]]))</f>
        <v/>
      </c>
      <c r="Q115" s="7" t="str">
        <f>IF(ISBLANK(drvlst[[#This Row],[number]]), "",COUNTIFS($A:$A,drvlst[[#This Row],[tmp-number]],$O:$O, "BJ And dev",$U:$U, "Review-1"))</f>
        <v/>
      </c>
      <c r="R115" s="7" t="str">
        <f>IF(ISBLANK(drvlst[[#This Row],[number]]), "",COUNTIFS($A:$A,drvlst[[#This Row],[tmp-number]],$O:$O, "FL And dev",$U:$U, "Review-1"))</f>
        <v/>
      </c>
      <c r="S115" t="str">
        <f>IF(ISBLANK(drvlst[[#This Row],[number]]), "",COUNTIFS($A:$A,drvlst[[#This Row],[tmp-number]],$O:$O, "BJ And dev",$V:$V, "&lt;&gt;IntegratorComment"))</f>
        <v/>
      </c>
      <c r="T115" t="str">
        <f>IF(ISBLANK(drvlst[[#This Row],[number]]), "",COUNTIFS($A:$A,drvlst[[#This Row],[tmp-number]],$O:$O, "FL And dev",$V:$V, "&lt;&gt;IntegratorComment"))</f>
        <v/>
      </c>
      <c r="U115" t="str">
        <f>IF(OR(ISNUMBER(FIND("Review-1", drvlst[[#This Row],[comments]])), ISNUMBER(FIND("Approver-1", drvlst[[#This Row],[comments]]))), "Review-1", "")</f>
        <v>Review-1</v>
      </c>
      <c r="V115" s="7" t="str">
        <f>IF(OR(ISNUMBER(FIND(": Integrator", drvlst[[#This Row],[comments]])), ISNUMBER(FIND(":\n\nIntegrator", drvlst[[#This Row],[comments]])), ISNUMBER(FIND("-Integrator", drvlst[[#This Row],[comments]]))), "IntegratorComment", "")</f>
        <v/>
      </c>
      <c r="W115" s="7" t="str">
        <f>IF(ISBLANK(drvlst[[#This Row],[status]]),W114,drvlst[[#This Row],[status]])</f>
        <v>MERGED</v>
      </c>
    </row>
    <row r="116" spans="1:23">
      <c r="A116" s="7">
        <f>IF(ISBLANK(drvlst[[#This Row],[number]]),A115,drvlst[[#This Row],[number]])</f>
        <v>97283</v>
      </c>
      <c r="J116" t="s">
        <v>104</v>
      </c>
      <c r="K116" s="8">
        <v>42391.891006944446</v>
      </c>
      <c r="L116" t="s">
        <v>1829</v>
      </c>
      <c r="M116" s="7" t="str">
        <f>IF(ISBLANK(drvlst[[#This Row],[owner.emal]]),M115,drvlst[[#This Row],[owner.emal]])</f>
        <v>tommi.franttila@intel.com</v>
      </c>
      <c r="N116">
        <f>_xlfn.IFNA(VLOOKUP(drvlst[[#This Row],[tmp-owner.email]],OrgTree!$A:$J, 10, 0), "not ICG SWFW")</f>
        <v>0</v>
      </c>
      <c r="O116" s="7" t="str">
        <f>IF(drvlst[[#This Row],[reviewer]]=drvlst[[#This Row],[tmp-owner.email]], "author", _xlfn.IFNA(VLOOKUP(drvlst[[#This Row],[reviewer]],OrgTree!$A:$J, 10, 0), "not ICG SWFW"))</f>
        <v>author</v>
      </c>
      <c r="P116" s="7" t="str">
        <f>IF(ISBLANK(drvlst[[#This Row],[number]]), "",SUM(drvlst[[#This Row],[BJ -1 num]],drvlst[[#This Row],[FI -1 num]]))</f>
        <v/>
      </c>
      <c r="Q116" s="7" t="str">
        <f>IF(ISBLANK(drvlst[[#This Row],[number]]), "",COUNTIFS($A:$A,drvlst[[#This Row],[tmp-number]],$O:$O, "BJ And dev",$U:$U, "Review-1"))</f>
        <v/>
      </c>
      <c r="R116" s="7" t="str">
        <f>IF(ISBLANK(drvlst[[#This Row],[number]]), "",COUNTIFS($A:$A,drvlst[[#This Row],[tmp-number]],$O:$O, "FL And dev",$U:$U, "Review-1"))</f>
        <v/>
      </c>
      <c r="S116" t="str">
        <f>IF(ISBLANK(drvlst[[#This Row],[number]]), "",COUNTIFS($A:$A,drvlst[[#This Row],[tmp-number]],$O:$O, "BJ And dev",$V:$V, "&lt;&gt;IntegratorComment"))</f>
        <v/>
      </c>
      <c r="T116" t="str">
        <f>IF(ISBLANK(drvlst[[#This Row],[number]]), "",COUNTIFS($A:$A,drvlst[[#This Row],[tmp-number]],$O:$O, "FL And dev",$V:$V, "&lt;&gt;IntegratorComment"))</f>
        <v/>
      </c>
      <c r="U116" t="str">
        <f>IF(OR(ISNUMBER(FIND("Review-1", drvlst[[#This Row],[comments]])), ISNUMBER(FIND("Approver-1", drvlst[[#This Row],[comments]]))), "Review-1", "")</f>
        <v/>
      </c>
      <c r="V116" s="7" t="str">
        <f>IF(OR(ISNUMBER(FIND(": Integrator", drvlst[[#This Row],[comments]])), ISNUMBER(FIND(":\n\nIntegrator", drvlst[[#This Row],[comments]])), ISNUMBER(FIND("-Integrator", drvlst[[#This Row],[comments]]))), "IntegratorComment", "")</f>
        <v/>
      </c>
      <c r="W116" s="7" t="str">
        <f>IF(ISBLANK(drvlst[[#This Row],[status]]),W115,drvlst[[#This Row],[status]])</f>
        <v>MERGED</v>
      </c>
    </row>
    <row r="117" spans="1:23">
      <c r="A117" s="7">
        <f>IF(ISBLANK(drvlst[[#This Row],[number]]),A116,drvlst[[#This Row],[number]])</f>
        <v>97283</v>
      </c>
      <c r="J117" t="s">
        <v>104</v>
      </c>
      <c r="K117" s="8">
        <v>42391.891006944446</v>
      </c>
      <c r="L117" t="s">
        <v>98</v>
      </c>
      <c r="M117" s="7" t="str">
        <f>IF(ISBLANK(drvlst[[#This Row],[owner.emal]]),M116,drvlst[[#This Row],[owner.emal]])</f>
        <v>tommi.franttila@intel.com</v>
      </c>
      <c r="N117">
        <f>_xlfn.IFNA(VLOOKUP(drvlst[[#This Row],[tmp-owner.email]],OrgTree!$A:$J, 10, 0), "not ICG SWFW")</f>
        <v>0</v>
      </c>
      <c r="O117" s="7" t="str">
        <f>IF(drvlst[[#This Row],[reviewer]]=drvlst[[#This Row],[tmp-owner.email]], "author", _xlfn.IFNA(VLOOKUP(drvlst[[#This Row],[reviewer]],OrgTree!$A:$J, 10, 0), "not ICG SWFW"))</f>
        <v>author</v>
      </c>
      <c r="P117" s="7" t="str">
        <f>IF(ISBLANK(drvlst[[#This Row],[number]]), "",SUM(drvlst[[#This Row],[BJ -1 num]],drvlst[[#This Row],[FI -1 num]]))</f>
        <v/>
      </c>
      <c r="Q117" s="7" t="str">
        <f>IF(ISBLANK(drvlst[[#This Row],[number]]), "",COUNTIFS($A:$A,drvlst[[#This Row],[tmp-number]],$O:$O, "BJ And dev",$U:$U, "Review-1"))</f>
        <v/>
      </c>
      <c r="R117" s="7" t="str">
        <f>IF(ISBLANK(drvlst[[#This Row],[number]]), "",COUNTIFS($A:$A,drvlst[[#This Row],[tmp-number]],$O:$O, "FL And dev",$U:$U, "Review-1"))</f>
        <v/>
      </c>
      <c r="S117" t="str">
        <f>IF(ISBLANK(drvlst[[#This Row],[number]]), "",COUNTIFS($A:$A,drvlst[[#This Row],[tmp-number]],$O:$O, "BJ And dev",$V:$V, "&lt;&gt;IntegratorComment"))</f>
        <v/>
      </c>
      <c r="T117" t="str">
        <f>IF(ISBLANK(drvlst[[#This Row],[number]]), "",COUNTIFS($A:$A,drvlst[[#This Row],[tmp-number]],$O:$O, "FL And dev",$V:$V, "&lt;&gt;IntegratorComment"))</f>
        <v/>
      </c>
      <c r="U117" t="str">
        <f>IF(OR(ISNUMBER(FIND("Review-1", drvlst[[#This Row],[comments]])), ISNUMBER(FIND("Approver-1", drvlst[[#This Row],[comments]]))), "Review-1", "")</f>
        <v/>
      </c>
      <c r="V117" s="7" t="str">
        <f>IF(OR(ISNUMBER(FIND(": Integrator", drvlst[[#This Row],[comments]])), ISNUMBER(FIND(":\n\nIntegrator", drvlst[[#This Row],[comments]])), ISNUMBER(FIND("-Integrator", drvlst[[#This Row],[comments]]))), "IntegratorComment", "")</f>
        <v/>
      </c>
      <c r="W117" s="7" t="str">
        <f>IF(ISBLANK(drvlst[[#This Row],[status]]),W116,drvlst[[#This Row],[status]])</f>
        <v>MERGED</v>
      </c>
    </row>
    <row r="118" spans="1:23">
      <c r="A118" s="7">
        <f>IF(ISBLANK(drvlst[[#This Row],[number]]),A117,drvlst[[#This Row],[number]])</f>
        <v>97283</v>
      </c>
      <c r="J118" t="s">
        <v>104</v>
      </c>
      <c r="K118" s="8">
        <v>42391.891712962963</v>
      </c>
      <c r="L118" t="s">
        <v>48</v>
      </c>
      <c r="M118" s="7" t="str">
        <f>IF(ISBLANK(drvlst[[#This Row],[owner.emal]]),M117,drvlst[[#This Row],[owner.emal]])</f>
        <v>tommi.franttila@intel.com</v>
      </c>
      <c r="N118">
        <f>_xlfn.IFNA(VLOOKUP(drvlst[[#This Row],[tmp-owner.email]],OrgTree!$A:$J, 10, 0), "not ICG SWFW")</f>
        <v>0</v>
      </c>
      <c r="O118" s="7" t="str">
        <f>IF(drvlst[[#This Row],[reviewer]]=drvlst[[#This Row],[tmp-owner.email]], "author", _xlfn.IFNA(VLOOKUP(drvlst[[#This Row],[reviewer]],OrgTree!$A:$J, 10, 0), "not ICG SWFW"))</f>
        <v>author</v>
      </c>
      <c r="P118" s="7" t="str">
        <f>IF(ISBLANK(drvlst[[#This Row],[number]]), "",SUM(drvlst[[#This Row],[BJ -1 num]],drvlst[[#This Row],[FI -1 num]]))</f>
        <v/>
      </c>
      <c r="Q118" s="7" t="str">
        <f>IF(ISBLANK(drvlst[[#This Row],[number]]), "",COUNTIFS($A:$A,drvlst[[#This Row],[tmp-number]],$O:$O, "BJ And dev",$U:$U, "Review-1"))</f>
        <v/>
      </c>
      <c r="R118" s="7" t="str">
        <f>IF(ISBLANK(drvlst[[#This Row],[number]]), "",COUNTIFS($A:$A,drvlst[[#This Row],[tmp-number]],$O:$O, "FL And dev",$U:$U, "Review-1"))</f>
        <v/>
      </c>
      <c r="S118" t="str">
        <f>IF(ISBLANK(drvlst[[#This Row],[number]]), "",COUNTIFS($A:$A,drvlst[[#This Row],[tmp-number]],$O:$O, "BJ And dev",$V:$V, "&lt;&gt;IntegratorComment"))</f>
        <v/>
      </c>
      <c r="T118" t="str">
        <f>IF(ISBLANK(drvlst[[#This Row],[number]]), "",COUNTIFS($A:$A,drvlst[[#This Row],[tmp-number]],$O:$O, "FL And dev",$V:$V, "&lt;&gt;IntegratorComment"))</f>
        <v/>
      </c>
      <c r="U118" t="str">
        <f>IF(OR(ISNUMBER(FIND("Review-1", drvlst[[#This Row],[comments]])), ISNUMBER(FIND("Approver-1", drvlst[[#This Row],[comments]]))), "Review-1", "")</f>
        <v/>
      </c>
      <c r="V118" s="7" t="str">
        <f>IF(OR(ISNUMBER(FIND(": Integrator", drvlst[[#This Row],[comments]])), ISNUMBER(FIND(":\n\nIntegrator", drvlst[[#This Row],[comments]])), ISNUMBER(FIND("-Integrator", drvlst[[#This Row],[comments]]))), "IntegratorComment", "")</f>
        <v/>
      </c>
      <c r="W118" s="7" t="str">
        <f>IF(ISBLANK(drvlst[[#This Row],[status]]),W117,drvlst[[#This Row],[status]])</f>
        <v>MERGED</v>
      </c>
    </row>
    <row r="119" spans="1:23">
      <c r="A119" s="7">
        <f>IF(ISBLANK(drvlst[[#This Row],[number]]),A118,drvlst[[#This Row],[number]])</f>
        <v>97283</v>
      </c>
      <c r="J119" t="s">
        <v>86</v>
      </c>
      <c r="K119" s="8">
        <v>42391.912627314814</v>
      </c>
      <c r="L119" t="s">
        <v>48</v>
      </c>
      <c r="M119" s="7" t="str">
        <f>IF(ISBLANK(drvlst[[#This Row],[owner.emal]]),M118,drvlst[[#This Row],[owner.emal]])</f>
        <v>tommi.franttila@intel.com</v>
      </c>
      <c r="N119">
        <f>_xlfn.IFNA(VLOOKUP(drvlst[[#This Row],[tmp-owner.email]],OrgTree!$A:$J, 10, 0), "not ICG SWFW")</f>
        <v>0</v>
      </c>
      <c r="O119" s="7">
        <f>IF(drvlst[[#This Row],[reviewer]]=drvlst[[#This Row],[tmp-owner.email]], "author", _xlfn.IFNA(VLOOKUP(drvlst[[#This Row],[reviewer]],OrgTree!$A:$J, 10, 0), "not ICG SWFW"))</f>
        <v>0</v>
      </c>
      <c r="P119" s="7" t="str">
        <f>IF(ISBLANK(drvlst[[#This Row],[number]]), "",SUM(drvlst[[#This Row],[BJ -1 num]],drvlst[[#This Row],[FI -1 num]]))</f>
        <v/>
      </c>
      <c r="Q119" s="7" t="str">
        <f>IF(ISBLANK(drvlst[[#This Row],[number]]), "",COUNTIFS($A:$A,drvlst[[#This Row],[tmp-number]],$O:$O, "BJ And dev",$U:$U, "Review-1"))</f>
        <v/>
      </c>
      <c r="R119" s="7" t="str">
        <f>IF(ISBLANK(drvlst[[#This Row],[number]]), "",COUNTIFS($A:$A,drvlst[[#This Row],[tmp-number]],$O:$O, "FL And dev",$U:$U, "Review-1"))</f>
        <v/>
      </c>
      <c r="S119" t="str">
        <f>IF(ISBLANK(drvlst[[#This Row],[number]]), "",COUNTIFS($A:$A,drvlst[[#This Row],[tmp-number]],$O:$O, "BJ And dev",$V:$V, "&lt;&gt;IntegratorComment"))</f>
        <v/>
      </c>
      <c r="T119" t="str">
        <f>IF(ISBLANK(drvlst[[#This Row],[number]]), "",COUNTIFS($A:$A,drvlst[[#This Row],[tmp-number]],$O:$O, "FL And dev",$V:$V, "&lt;&gt;IntegratorComment"))</f>
        <v/>
      </c>
      <c r="U119" t="str">
        <f>IF(OR(ISNUMBER(FIND("Review-1", drvlst[[#This Row],[comments]])), ISNUMBER(FIND("Approver-1", drvlst[[#This Row],[comments]]))), "Review-1", "")</f>
        <v/>
      </c>
      <c r="V119" s="7" t="str">
        <f>IF(OR(ISNUMBER(FIND(": Integrator", drvlst[[#This Row],[comments]])), ISNUMBER(FIND(":\n\nIntegrator", drvlst[[#This Row],[comments]])), ISNUMBER(FIND("-Integrator", drvlst[[#This Row],[comments]]))), "IntegratorComment", "")</f>
        <v/>
      </c>
      <c r="W119" s="7" t="str">
        <f>IF(ISBLANK(drvlst[[#This Row],[status]]),W118,drvlst[[#This Row],[status]])</f>
        <v>MERGED</v>
      </c>
    </row>
    <row r="120" spans="1:23">
      <c r="A120" s="7">
        <f>IF(ISBLANK(drvlst[[#This Row],[number]]),A119,drvlst[[#This Row],[number]])</f>
        <v>97283</v>
      </c>
      <c r="J120" t="s">
        <v>30</v>
      </c>
      <c r="K120" s="8">
        <v>42391.958692129629</v>
      </c>
      <c r="L120" t="s">
        <v>1852</v>
      </c>
      <c r="M120" s="7" t="str">
        <f>IF(ISBLANK(drvlst[[#This Row],[owner.emal]]),M119,drvlst[[#This Row],[owner.emal]])</f>
        <v>tommi.franttila@intel.com</v>
      </c>
      <c r="N120">
        <f>_xlfn.IFNA(VLOOKUP(drvlst[[#This Row],[tmp-owner.email]],OrgTree!$A:$J, 10, 0), "not ICG SWFW")</f>
        <v>0</v>
      </c>
      <c r="O120" s="7">
        <f>IF(drvlst[[#This Row],[reviewer]]=drvlst[[#This Row],[tmp-owner.email]], "author", _xlfn.IFNA(VLOOKUP(drvlst[[#This Row],[reviewer]],OrgTree!$A:$J, 10, 0), "not ICG SWFW"))</f>
        <v>0</v>
      </c>
      <c r="P120" s="7" t="str">
        <f>IF(ISBLANK(drvlst[[#This Row],[number]]), "",SUM(drvlst[[#This Row],[BJ -1 num]],drvlst[[#This Row],[FI -1 num]]))</f>
        <v/>
      </c>
      <c r="Q120" s="7" t="str">
        <f>IF(ISBLANK(drvlst[[#This Row],[number]]), "",COUNTIFS($A:$A,drvlst[[#This Row],[tmp-number]],$O:$O, "BJ And dev",$U:$U, "Review-1"))</f>
        <v/>
      </c>
      <c r="R120" s="7" t="str">
        <f>IF(ISBLANK(drvlst[[#This Row],[number]]), "",COUNTIFS($A:$A,drvlst[[#This Row],[tmp-number]],$O:$O, "FL And dev",$U:$U, "Review-1"))</f>
        <v/>
      </c>
      <c r="S120" t="str">
        <f>IF(ISBLANK(drvlst[[#This Row],[number]]), "",COUNTIFS($A:$A,drvlst[[#This Row],[tmp-number]],$O:$O, "BJ And dev",$V:$V, "&lt;&gt;IntegratorComment"))</f>
        <v/>
      </c>
      <c r="T120" t="str">
        <f>IF(ISBLANK(drvlst[[#This Row],[number]]), "",COUNTIFS($A:$A,drvlst[[#This Row],[tmp-number]],$O:$O, "FL And dev",$V:$V, "&lt;&gt;IntegratorComment"))</f>
        <v/>
      </c>
      <c r="U120" t="str">
        <f>IF(OR(ISNUMBER(FIND("Review-1", drvlst[[#This Row],[comments]])), ISNUMBER(FIND("Approver-1", drvlst[[#This Row],[comments]]))), "Review-1", "")</f>
        <v/>
      </c>
      <c r="V120" s="7" t="str">
        <f>IF(OR(ISNUMBER(FIND(": Integrator", drvlst[[#This Row],[comments]])), ISNUMBER(FIND(":\n\nIntegrator", drvlst[[#This Row],[comments]])), ISNUMBER(FIND("-Integrator", drvlst[[#This Row],[comments]]))), "IntegratorComment", "")</f>
        <v/>
      </c>
      <c r="W120" s="7" t="str">
        <f>IF(ISBLANK(drvlst[[#This Row],[status]]),W119,drvlst[[#This Row],[status]])</f>
        <v>MERGED</v>
      </c>
    </row>
    <row r="121" spans="1:23">
      <c r="A121" s="7">
        <f>IF(ISBLANK(drvlst[[#This Row],[number]]),A120,drvlst[[#This Row],[number]])</f>
        <v>97283</v>
      </c>
      <c r="J121" t="s">
        <v>91</v>
      </c>
      <c r="K121" s="8">
        <v>42393.116990740738</v>
      </c>
      <c r="L121" t="s">
        <v>1936</v>
      </c>
      <c r="M121" s="7" t="str">
        <f>IF(ISBLANK(drvlst[[#This Row],[owner.emal]]),M120,drvlst[[#This Row],[owner.emal]])</f>
        <v>tommi.franttila@intel.com</v>
      </c>
      <c r="N121">
        <f>_xlfn.IFNA(VLOOKUP(drvlst[[#This Row],[tmp-owner.email]],OrgTree!$A:$J, 10, 0), "not ICG SWFW")</f>
        <v>0</v>
      </c>
      <c r="O121" s="7">
        <f>IF(drvlst[[#This Row],[reviewer]]=drvlst[[#This Row],[tmp-owner.email]], "author", _xlfn.IFNA(VLOOKUP(drvlst[[#This Row],[reviewer]],OrgTree!$A:$J, 10, 0), "not ICG SWFW"))</f>
        <v>0</v>
      </c>
      <c r="P121" s="7" t="str">
        <f>IF(ISBLANK(drvlst[[#This Row],[number]]), "",SUM(drvlst[[#This Row],[BJ -1 num]],drvlst[[#This Row],[FI -1 num]]))</f>
        <v/>
      </c>
      <c r="Q121" s="7" t="str">
        <f>IF(ISBLANK(drvlst[[#This Row],[number]]), "",COUNTIFS($A:$A,drvlst[[#This Row],[tmp-number]],$O:$O, "BJ And dev",$U:$U, "Review-1"))</f>
        <v/>
      </c>
      <c r="R121" s="7" t="str">
        <f>IF(ISBLANK(drvlst[[#This Row],[number]]), "",COUNTIFS($A:$A,drvlst[[#This Row],[tmp-number]],$O:$O, "FL And dev",$U:$U, "Review-1"))</f>
        <v/>
      </c>
      <c r="S121" t="str">
        <f>IF(ISBLANK(drvlst[[#This Row],[number]]), "",COUNTIFS($A:$A,drvlst[[#This Row],[tmp-number]],$O:$O, "BJ And dev",$V:$V, "&lt;&gt;IntegratorComment"))</f>
        <v/>
      </c>
      <c r="T121" t="str">
        <f>IF(ISBLANK(drvlst[[#This Row],[number]]), "",COUNTIFS($A:$A,drvlst[[#This Row],[tmp-number]],$O:$O, "FL And dev",$V:$V, "&lt;&gt;IntegratorComment"))</f>
        <v/>
      </c>
      <c r="U121" t="str">
        <f>IF(OR(ISNUMBER(FIND("Review-1", drvlst[[#This Row],[comments]])), ISNUMBER(FIND("Approver-1", drvlst[[#This Row],[comments]]))), "Review-1", "")</f>
        <v/>
      </c>
      <c r="V121" s="7" t="str">
        <f>IF(OR(ISNUMBER(FIND(": Integrator", drvlst[[#This Row],[comments]])), ISNUMBER(FIND(":\n\nIntegrator", drvlst[[#This Row],[comments]])), ISNUMBER(FIND("-Integrator", drvlst[[#This Row],[comments]]))), "IntegratorComment", "")</f>
        <v/>
      </c>
      <c r="W121" s="7" t="str">
        <f>IF(ISBLANK(drvlst[[#This Row],[status]]),W120,drvlst[[#This Row],[status]])</f>
        <v>MERGED</v>
      </c>
    </row>
    <row r="122" spans="1:23">
      <c r="A122" s="7">
        <f>IF(ISBLANK(drvlst[[#This Row],[number]]),A121,drvlst[[#This Row],[number]])</f>
        <v>97283</v>
      </c>
      <c r="J122" t="s">
        <v>30</v>
      </c>
      <c r="K122" s="8">
        <v>42394.668692129628</v>
      </c>
      <c r="L122" t="s">
        <v>1937</v>
      </c>
      <c r="M122" s="7" t="str">
        <f>IF(ISBLANK(drvlst[[#This Row],[owner.emal]]),M121,drvlst[[#This Row],[owner.emal]])</f>
        <v>tommi.franttila@intel.com</v>
      </c>
      <c r="N122">
        <f>_xlfn.IFNA(VLOOKUP(drvlst[[#This Row],[tmp-owner.email]],OrgTree!$A:$J, 10, 0), "not ICG SWFW")</f>
        <v>0</v>
      </c>
      <c r="O122" s="7">
        <f>IF(drvlst[[#This Row],[reviewer]]=drvlst[[#This Row],[tmp-owner.email]], "author", _xlfn.IFNA(VLOOKUP(drvlst[[#This Row],[reviewer]],OrgTree!$A:$J, 10, 0), "not ICG SWFW"))</f>
        <v>0</v>
      </c>
      <c r="P122" s="7" t="str">
        <f>IF(ISBLANK(drvlst[[#This Row],[number]]), "",SUM(drvlst[[#This Row],[BJ -1 num]],drvlst[[#This Row],[FI -1 num]]))</f>
        <v/>
      </c>
      <c r="Q122" s="7" t="str">
        <f>IF(ISBLANK(drvlst[[#This Row],[number]]), "",COUNTIFS($A:$A,drvlst[[#This Row],[tmp-number]],$O:$O, "BJ And dev",$U:$U, "Review-1"))</f>
        <v/>
      </c>
      <c r="R122" s="7" t="str">
        <f>IF(ISBLANK(drvlst[[#This Row],[number]]), "",COUNTIFS($A:$A,drvlst[[#This Row],[tmp-number]],$O:$O, "FL And dev",$U:$U, "Review-1"))</f>
        <v/>
      </c>
      <c r="S122" t="str">
        <f>IF(ISBLANK(drvlst[[#This Row],[number]]), "",COUNTIFS($A:$A,drvlst[[#This Row],[tmp-number]],$O:$O, "BJ And dev",$V:$V, "&lt;&gt;IntegratorComment"))</f>
        <v/>
      </c>
      <c r="T122" t="str">
        <f>IF(ISBLANK(drvlst[[#This Row],[number]]), "",COUNTIFS($A:$A,drvlst[[#This Row],[tmp-number]],$O:$O, "FL And dev",$V:$V, "&lt;&gt;IntegratorComment"))</f>
        <v/>
      </c>
      <c r="U122" t="str">
        <f>IF(OR(ISNUMBER(FIND("Review-1", drvlst[[#This Row],[comments]])), ISNUMBER(FIND("Approver-1", drvlst[[#This Row],[comments]]))), "Review-1", "")</f>
        <v/>
      </c>
      <c r="V122" s="7" t="str">
        <f>IF(OR(ISNUMBER(FIND(": Integrator", drvlst[[#This Row],[comments]])), ISNUMBER(FIND(":\n\nIntegrator", drvlst[[#This Row],[comments]])), ISNUMBER(FIND("-Integrator", drvlst[[#This Row],[comments]]))), "IntegratorComment", "")</f>
        <v/>
      </c>
      <c r="W122" s="7" t="str">
        <f>IF(ISBLANK(drvlst[[#This Row],[status]]),W121,drvlst[[#This Row],[status]])</f>
        <v>MERGED</v>
      </c>
    </row>
    <row r="123" spans="1:23">
      <c r="A123" s="7">
        <f>IF(ISBLANK(drvlst[[#This Row],[number]]),A122,drvlst[[#This Row],[number]])</f>
        <v>97283</v>
      </c>
      <c r="J123" t="s">
        <v>104</v>
      </c>
      <c r="K123" s="8">
        <v>42394.819814814815</v>
      </c>
      <c r="L123" t="s">
        <v>100</v>
      </c>
      <c r="M123" s="7" t="str">
        <f>IF(ISBLANK(drvlst[[#This Row],[owner.emal]]),M122,drvlst[[#This Row],[owner.emal]])</f>
        <v>tommi.franttila@intel.com</v>
      </c>
      <c r="N123">
        <f>_xlfn.IFNA(VLOOKUP(drvlst[[#This Row],[tmp-owner.email]],OrgTree!$A:$J, 10, 0), "not ICG SWFW")</f>
        <v>0</v>
      </c>
      <c r="O123" s="7" t="str">
        <f>IF(drvlst[[#This Row],[reviewer]]=drvlst[[#This Row],[tmp-owner.email]], "author", _xlfn.IFNA(VLOOKUP(drvlst[[#This Row],[reviewer]],OrgTree!$A:$J, 10, 0), "not ICG SWFW"))</f>
        <v>author</v>
      </c>
      <c r="P123" s="7" t="str">
        <f>IF(ISBLANK(drvlst[[#This Row],[number]]), "",SUM(drvlst[[#This Row],[BJ -1 num]],drvlst[[#This Row],[FI -1 num]]))</f>
        <v/>
      </c>
      <c r="Q123" s="7" t="str">
        <f>IF(ISBLANK(drvlst[[#This Row],[number]]), "",COUNTIFS($A:$A,drvlst[[#This Row],[tmp-number]],$O:$O, "BJ And dev",$U:$U, "Review-1"))</f>
        <v/>
      </c>
      <c r="R123" s="7" t="str">
        <f>IF(ISBLANK(drvlst[[#This Row],[number]]), "",COUNTIFS($A:$A,drvlst[[#This Row],[tmp-number]],$O:$O, "FL And dev",$U:$U, "Review-1"))</f>
        <v/>
      </c>
      <c r="S123" t="str">
        <f>IF(ISBLANK(drvlst[[#This Row],[number]]), "",COUNTIFS($A:$A,drvlst[[#This Row],[tmp-number]],$O:$O, "BJ And dev",$V:$V, "&lt;&gt;IntegratorComment"))</f>
        <v/>
      </c>
      <c r="T123" t="str">
        <f>IF(ISBLANK(drvlst[[#This Row],[number]]), "",COUNTIFS($A:$A,drvlst[[#This Row],[tmp-number]],$O:$O, "FL And dev",$V:$V, "&lt;&gt;IntegratorComment"))</f>
        <v/>
      </c>
      <c r="U123" t="str">
        <f>IF(OR(ISNUMBER(FIND("Review-1", drvlst[[#This Row],[comments]])), ISNUMBER(FIND("Approver-1", drvlst[[#This Row],[comments]]))), "Review-1", "")</f>
        <v/>
      </c>
      <c r="V123" s="7" t="str">
        <f>IF(OR(ISNUMBER(FIND(": Integrator", drvlst[[#This Row],[comments]])), ISNUMBER(FIND(":\n\nIntegrator", drvlst[[#This Row],[comments]])), ISNUMBER(FIND("-Integrator", drvlst[[#This Row],[comments]]))), "IntegratorComment", "")</f>
        <v/>
      </c>
      <c r="W123" s="7" t="str">
        <f>IF(ISBLANK(drvlst[[#This Row],[status]]),W122,drvlst[[#This Row],[status]])</f>
        <v>MERGED</v>
      </c>
    </row>
    <row r="124" spans="1:23">
      <c r="A124" s="7">
        <f>IF(ISBLANK(drvlst[[#This Row],[number]]),A123,drvlst[[#This Row],[number]])</f>
        <v>97283</v>
      </c>
      <c r="J124" t="s">
        <v>104</v>
      </c>
      <c r="K124" s="8">
        <v>42394.819814814815</v>
      </c>
      <c r="L124" t="s">
        <v>49</v>
      </c>
      <c r="M124" s="7" t="str">
        <f>IF(ISBLANK(drvlst[[#This Row],[owner.emal]]),M123,drvlst[[#This Row],[owner.emal]])</f>
        <v>tommi.franttila@intel.com</v>
      </c>
      <c r="N124">
        <f>_xlfn.IFNA(VLOOKUP(drvlst[[#This Row],[tmp-owner.email]],OrgTree!$A:$J, 10, 0), "not ICG SWFW")</f>
        <v>0</v>
      </c>
      <c r="O124" s="7" t="str">
        <f>IF(drvlst[[#This Row],[reviewer]]=drvlst[[#This Row],[tmp-owner.email]], "author", _xlfn.IFNA(VLOOKUP(drvlst[[#This Row],[reviewer]],OrgTree!$A:$J, 10, 0), "not ICG SWFW"))</f>
        <v>author</v>
      </c>
      <c r="P124" s="7" t="str">
        <f>IF(ISBLANK(drvlst[[#This Row],[number]]), "",SUM(drvlst[[#This Row],[BJ -1 num]],drvlst[[#This Row],[FI -1 num]]))</f>
        <v/>
      </c>
      <c r="Q124" s="7" t="str">
        <f>IF(ISBLANK(drvlst[[#This Row],[number]]), "",COUNTIFS($A:$A,drvlst[[#This Row],[tmp-number]],$O:$O, "BJ And dev",$U:$U, "Review-1"))</f>
        <v/>
      </c>
      <c r="R124" s="7" t="str">
        <f>IF(ISBLANK(drvlst[[#This Row],[number]]), "",COUNTIFS($A:$A,drvlst[[#This Row],[tmp-number]],$O:$O, "FL And dev",$U:$U, "Review-1"))</f>
        <v/>
      </c>
      <c r="S124" t="str">
        <f>IF(ISBLANK(drvlst[[#This Row],[number]]), "",COUNTIFS($A:$A,drvlst[[#This Row],[tmp-number]],$O:$O, "BJ And dev",$V:$V, "&lt;&gt;IntegratorComment"))</f>
        <v/>
      </c>
      <c r="T124" t="str">
        <f>IF(ISBLANK(drvlst[[#This Row],[number]]), "",COUNTIFS($A:$A,drvlst[[#This Row],[tmp-number]],$O:$O, "FL And dev",$V:$V, "&lt;&gt;IntegratorComment"))</f>
        <v/>
      </c>
      <c r="U124" t="str">
        <f>IF(OR(ISNUMBER(FIND("Review-1", drvlst[[#This Row],[comments]])), ISNUMBER(FIND("Approver-1", drvlst[[#This Row],[comments]]))), "Review-1", "")</f>
        <v/>
      </c>
      <c r="V124" s="7" t="str">
        <f>IF(OR(ISNUMBER(FIND(": Integrator", drvlst[[#This Row],[comments]])), ISNUMBER(FIND(":\n\nIntegrator", drvlst[[#This Row],[comments]])), ISNUMBER(FIND("-Integrator", drvlst[[#This Row],[comments]]))), "IntegratorComment", "")</f>
        <v/>
      </c>
      <c r="W124" s="7" t="str">
        <f>IF(ISBLANK(drvlst[[#This Row],[status]]),W123,drvlst[[#This Row],[status]])</f>
        <v>MERGED</v>
      </c>
    </row>
    <row r="125" spans="1:23">
      <c r="A125" s="7">
        <f>IF(ISBLANK(drvlst[[#This Row],[number]]),A124,drvlst[[#This Row],[number]])</f>
        <v>97283</v>
      </c>
      <c r="J125" t="s">
        <v>104</v>
      </c>
      <c r="K125" s="8">
        <v>42394.820162037038</v>
      </c>
      <c r="L125" t="s">
        <v>31</v>
      </c>
      <c r="M125" s="7" t="str">
        <f>IF(ISBLANK(drvlst[[#This Row],[owner.emal]]),M124,drvlst[[#This Row],[owner.emal]])</f>
        <v>tommi.franttila@intel.com</v>
      </c>
      <c r="N125">
        <f>_xlfn.IFNA(VLOOKUP(drvlst[[#This Row],[tmp-owner.email]],OrgTree!$A:$J, 10, 0), "not ICG SWFW")</f>
        <v>0</v>
      </c>
      <c r="O125" s="7" t="str">
        <f>IF(drvlst[[#This Row],[reviewer]]=drvlst[[#This Row],[tmp-owner.email]], "author", _xlfn.IFNA(VLOOKUP(drvlst[[#This Row],[reviewer]],OrgTree!$A:$J, 10, 0), "not ICG SWFW"))</f>
        <v>author</v>
      </c>
      <c r="P125" s="7" t="str">
        <f>IF(ISBLANK(drvlst[[#This Row],[number]]), "",SUM(drvlst[[#This Row],[BJ -1 num]],drvlst[[#This Row],[FI -1 num]]))</f>
        <v/>
      </c>
      <c r="Q125" s="7" t="str">
        <f>IF(ISBLANK(drvlst[[#This Row],[number]]), "",COUNTIFS($A:$A,drvlst[[#This Row],[tmp-number]],$O:$O, "BJ And dev",$U:$U, "Review-1"))</f>
        <v/>
      </c>
      <c r="R125" s="7" t="str">
        <f>IF(ISBLANK(drvlst[[#This Row],[number]]), "",COUNTIFS($A:$A,drvlst[[#This Row],[tmp-number]],$O:$O, "FL And dev",$U:$U, "Review-1"))</f>
        <v/>
      </c>
      <c r="S125" t="str">
        <f>IF(ISBLANK(drvlst[[#This Row],[number]]), "",COUNTIFS($A:$A,drvlst[[#This Row],[tmp-number]],$O:$O, "BJ And dev",$V:$V, "&lt;&gt;IntegratorComment"))</f>
        <v/>
      </c>
      <c r="T125" t="str">
        <f>IF(ISBLANK(drvlst[[#This Row],[number]]), "",COUNTIFS($A:$A,drvlst[[#This Row],[tmp-number]],$O:$O, "FL And dev",$V:$V, "&lt;&gt;IntegratorComment"))</f>
        <v/>
      </c>
      <c r="U125" t="str">
        <f>IF(OR(ISNUMBER(FIND("Review-1", drvlst[[#This Row],[comments]])), ISNUMBER(FIND("Approver-1", drvlst[[#This Row],[comments]]))), "Review-1", "")</f>
        <v/>
      </c>
      <c r="V125" s="7" t="str">
        <f>IF(OR(ISNUMBER(FIND(": Integrator", drvlst[[#This Row],[comments]])), ISNUMBER(FIND(":\n\nIntegrator", drvlst[[#This Row],[comments]])), ISNUMBER(FIND("-Integrator", drvlst[[#This Row],[comments]]))), "IntegratorComment", "")</f>
        <v/>
      </c>
      <c r="W125" s="7" t="str">
        <f>IF(ISBLANK(drvlst[[#This Row],[status]]),W124,drvlst[[#This Row],[status]])</f>
        <v>MERGED</v>
      </c>
    </row>
    <row r="126" spans="1:23">
      <c r="A126" s="7">
        <f>IF(ISBLANK(drvlst[[#This Row],[number]]),A125,drvlst[[#This Row],[number]])</f>
        <v>97283</v>
      </c>
      <c r="J126" t="s">
        <v>30</v>
      </c>
      <c r="K126" s="8">
        <v>42394.84171296296</v>
      </c>
      <c r="L126" t="s">
        <v>1864</v>
      </c>
      <c r="M126" s="7" t="str">
        <f>IF(ISBLANK(drvlst[[#This Row],[owner.emal]]),M125,drvlst[[#This Row],[owner.emal]])</f>
        <v>tommi.franttila@intel.com</v>
      </c>
      <c r="N126">
        <f>_xlfn.IFNA(VLOOKUP(drvlst[[#This Row],[tmp-owner.email]],OrgTree!$A:$J, 10, 0), "not ICG SWFW")</f>
        <v>0</v>
      </c>
      <c r="O126" s="7">
        <f>IF(drvlst[[#This Row],[reviewer]]=drvlst[[#This Row],[tmp-owner.email]], "author", _xlfn.IFNA(VLOOKUP(drvlst[[#This Row],[reviewer]],OrgTree!$A:$J, 10, 0), "not ICG SWFW"))</f>
        <v>0</v>
      </c>
      <c r="P126" s="7" t="str">
        <f>IF(ISBLANK(drvlst[[#This Row],[number]]), "",SUM(drvlst[[#This Row],[BJ -1 num]],drvlst[[#This Row],[FI -1 num]]))</f>
        <v/>
      </c>
      <c r="Q126" s="7" t="str">
        <f>IF(ISBLANK(drvlst[[#This Row],[number]]), "",COUNTIFS($A:$A,drvlst[[#This Row],[tmp-number]],$O:$O, "BJ And dev",$U:$U, "Review-1"))</f>
        <v/>
      </c>
      <c r="R126" s="7" t="str">
        <f>IF(ISBLANK(drvlst[[#This Row],[number]]), "",COUNTIFS($A:$A,drvlst[[#This Row],[tmp-number]],$O:$O, "FL And dev",$U:$U, "Review-1"))</f>
        <v/>
      </c>
      <c r="S126" t="str">
        <f>IF(ISBLANK(drvlst[[#This Row],[number]]), "",COUNTIFS($A:$A,drvlst[[#This Row],[tmp-number]],$O:$O, "BJ And dev",$V:$V, "&lt;&gt;IntegratorComment"))</f>
        <v/>
      </c>
      <c r="T126" t="str">
        <f>IF(ISBLANK(drvlst[[#This Row],[number]]), "",COUNTIFS($A:$A,drvlst[[#This Row],[tmp-number]],$O:$O, "FL And dev",$V:$V, "&lt;&gt;IntegratorComment"))</f>
        <v/>
      </c>
      <c r="U126" t="str">
        <f>IF(OR(ISNUMBER(FIND("Review-1", drvlst[[#This Row],[comments]])), ISNUMBER(FIND("Approver-1", drvlst[[#This Row],[comments]]))), "Review-1", "")</f>
        <v/>
      </c>
      <c r="V126" s="7" t="str">
        <f>IF(OR(ISNUMBER(FIND(": Integrator", drvlst[[#This Row],[comments]])), ISNUMBER(FIND(":\n\nIntegrator", drvlst[[#This Row],[comments]])), ISNUMBER(FIND("-Integrator", drvlst[[#This Row],[comments]]))), "IntegratorComment", "")</f>
        <v/>
      </c>
      <c r="W126" s="7" t="str">
        <f>IF(ISBLANK(drvlst[[#This Row],[status]]),W125,drvlst[[#This Row],[status]])</f>
        <v>MERGED</v>
      </c>
    </row>
    <row r="127" spans="1:23">
      <c r="A127" s="7">
        <f>IF(ISBLANK(drvlst[[#This Row],[number]]),A126,drvlst[[#This Row],[number]])</f>
        <v>97283</v>
      </c>
      <c r="J127" t="s">
        <v>86</v>
      </c>
      <c r="K127" s="8">
        <v>42394.861666666664</v>
      </c>
      <c r="L127" t="s">
        <v>31</v>
      </c>
      <c r="M127" s="7" t="str">
        <f>IF(ISBLANK(drvlst[[#This Row],[owner.emal]]),M126,drvlst[[#This Row],[owner.emal]])</f>
        <v>tommi.franttila@intel.com</v>
      </c>
      <c r="N127">
        <f>_xlfn.IFNA(VLOOKUP(drvlst[[#This Row],[tmp-owner.email]],OrgTree!$A:$J, 10, 0), "not ICG SWFW")</f>
        <v>0</v>
      </c>
      <c r="O127" s="7">
        <f>IF(drvlst[[#This Row],[reviewer]]=drvlst[[#This Row],[tmp-owner.email]], "author", _xlfn.IFNA(VLOOKUP(drvlst[[#This Row],[reviewer]],OrgTree!$A:$J, 10, 0), "not ICG SWFW"))</f>
        <v>0</v>
      </c>
      <c r="P127" s="7" t="str">
        <f>IF(ISBLANK(drvlst[[#This Row],[number]]), "",SUM(drvlst[[#This Row],[BJ -1 num]],drvlst[[#This Row],[FI -1 num]]))</f>
        <v/>
      </c>
      <c r="Q127" s="7" t="str">
        <f>IF(ISBLANK(drvlst[[#This Row],[number]]), "",COUNTIFS($A:$A,drvlst[[#This Row],[tmp-number]],$O:$O, "BJ And dev",$U:$U, "Review-1"))</f>
        <v/>
      </c>
      <c r="R127" s="7" t="str">
        <f>IF(ISBLANK(drvlst[[#This Row],[number]]), "",COUNTIFS($A:$A,drvlst[[#This Row],[tmp-number]],$O:$O, "FL And dev",$U:$U, "Review-1"))</f>
        <v/>
      </c>
      <c r="S127" t="str">
        <f>IF(ISBLANK(drvlst[[#This Row],[number]]), "",COUNTIFS($A:$A,drvlst[[#This Row],[tmp-number]],$O:$O, "BJ And dev",$V:$V, "&lt;&gt;IntegratorComment"))</f>
        <v/>
      </c>
      <c r="T127" t="str">
        <f>IF(ISBLANK(drvlst[[#This Row],[number]]), "",COUNTIFS($A:$A,drvlst[[#This Row],[tmp-number]],$O:$O, "FL And dev",$V:$V, "&lt;&gt;IntegratorComment"))</f>
        <v/>
      </c>
      <c r="U127" t="str">
        <f>IF(OR(ISNUMBER(FIND("Review-1", drvlst[[#This Row],[comments]])), ISNUMBER(FIND("Approver-1", drvlst[[#This Row],[comments]]))), "Review-1", "")</f>
        <v/>
      </c>
      <c r="V127" s="7" t="str">
        <f>IF(OR(ISNUMBER(FIND(": Integrator", drvlst[[#This Row],[comments]])), ISNUMBER(FIND(":\n\nIntegrator", drvlst[[#This Row],[comments]])), ISNUMBER(FIND("-Integrator", drvlst[[#This Row],[comments]]))), "IntegratorComment", "")</f>
        <v/>
      </c>
      <c r="W127" s="7" t="str">
        <f>IF(ISBLANK(drvlst[[#This Row],[status]]),W126,drvlst[[#This Row],[status]])</f>
        <v>MERGED</v>
      </c>
    </row>
    <row r="128" spans="1:23">
      <c r="A128" s="7">
        <f>IF(ISBLANK(drvlst[[#This Row],[number]]),A127,drvlst[[#This Row],[number]])</f>
        <v>97283</v>
      </c>
      <c r="J128" t="s">
        <v>43</v>
      </c>
      <c r="K128" s="8">
        <v>42394.863344907404</v>
      </c>
      <c r="L128" t="s">
        <v>31</v>
      </c>
      <c r="M128" s="7" t="str">
        <f>IF(ISBLANK(drvlst[[#This Row],[owner.emal]]),M127,drvlst[[#This Row],[owner.emal]])</f>
        <v>tommi.franttila@intel.com</v>
      </c>
      <c r="N128">
        <f>_xlfn.IFNA(VLOOKUP(drvlst[[#This Row],[tmp-owner.email]],OrgTree!$A:$J, 10, 0), "not ICG SWFW")</f>
        <v>0</v>
      </c>
      <c r="O128" s="7">
        <f>IF(drvlst[[#This Row],[reviewer]]=drvlst[[#This Row],[tmp-owner.email]], "author", _xlfn.IFNA(VLOOKUP(drvlst[[#This Row],[reviewer]],OrgTree!$A:$J, 10, 0), "not ICG SWFW"))</f>
        <v>0</v>
      </c>
      <c r="P128" s="7" t="str">
        <f>IF(ISBLANK(drvlst[[#This Row],[number]]), "",SUM(drvlst[[#This Row],[BJ -1 num]],drvlst[[#This Row],[FI -1 num]]))</f>
        <v/>
      </c>
      <c r="Q128" s="7" t="str">
        <f>IF(ISBLANK(drvlst[[#This Row],[number]]), "",COUNTIFS($A:$A,drvlst[[#This Row],[tmp-number]],$O:$O, "BJ And dev",$U:$U, "Review-1"))</f>
        <v/>
      </c>
      <c r="R128" s="7" t="str">
        <f>IF(ISBLANK(drvlst[[#This Row],[number]]), "",COUNTIFS($A:$A,drvlst[[#This Row],[tmp-number]],$O:$O, "FL And dev",$U:$U, "Review-1"))</f>
        <v/>
      </c>
      <c r="S128" t="str">
        <f>IF(ISBLANK(drvlst[[#This Row],[number]]), "",COUNTIFS($A:$A,drvlst[[#This Row],[tmp-number]],$O:$O, "BJ And dev",$V:$V, "&lt;&gt;IntegratorComment"))</f>
        <v/>
      </c>
      <c r="T128" t="str">
        <f>IF(ISBLANK(drvlst[[#This Row],[number]]), "",COUNTIFS($A:$A,drvlst[[#This Row],[tmp-number]],$O:$O, "FL And dev",$V:$V, "&lt;&gt;IntegratorComment"))</f>
        <v/>
      </c>
      <c r="U128" t="str">
        <f>IF(OR(ISNUMBER(FIND("Review-1", drvlst[[#This Row],[comments]])), ISNUMBER(FIND("Approver-1", drvlst[[#This Row],[comments]]))), "Review-1", "")</f>
        <v/>
      </c>
      <c r="V128" s="7" t="str">
        <f>IF(OR(ISNUMBER(FIND(": Integrator", drvlst[[#This Row],[comments]])), ISNUMBER(FIND(":\n\nIntegrator", drvlst[[#This Row],[comments]])), ISNUMBER(FIND("-Integrator", drvlst[[#This Row],[comments]]))), "IntegratorComment", "")</f>
        <v/>
      </c>
      <c r="W128" s="7" t="str">
        <f>IF(ISBLANK(drvlst[[#This Row],[status]]),W127,drvlst[[#This Row],[status]])</f>
        <v>MERGED</v>
      </c>
    </row>
    <row r="129" spans="1:23">
      <c r="A129" s="7">
        <f>IF(ISBLANK(drvlst[[#This Row],[number]]),A128,drvlst[[#This Row],[number]])</f>
        <v>97283</v>
      </c>
      <c r="J129" t="s">
        <v>91</v>
      </c>
      <c r="K129" s="8">
        <v>42394.868402777778</v>
      </c>
      <c r="L129" t="s">
        <v>1890</v>
      </c>
      <c r="M129" s="7" t="str">
        <f>IF(ISBLANK(drvlst[[#This Row],[owner.emal]]),M128,drvlst[[#This Row],[owner.emal]])</f>
        <v>tommi.franttila@intel.com</v>
      </c>
      <c r="N129">
        <f>_xlfn.IFNA(VLOOKUP(drvlst[[#This Row],[tmp-owner.email]],OrgTree!$A:$J, 10, 0), "not ICG SWFW")</f>
        <v>0</v>
      </c>
      <c r="O129" s="7">
        <f>IF(drvlst[[#This Row],[reviewer]]=drvlst[[#This Row],[tmp-owner.email]], "author", _xlfn.IFNA(VLOOKUP(drvlst[[#This Row],[reviewer]],OrgTree!$A:$J, 10, 0), "not ICG SWFW"))</f>
        <v>0</v>
      </c>
      <c r="P129" s="7" t="str">
        <f>IF(ISBLANK(drvlst[[#This Row],[number]]), "",SUM(drvlst[[#This Row],[BJ -1 num]],drvlst[[#This Row],[FI -1 num]]))</f>
        <v/>
      </c>
      <c r="Q129" s="7" t="str">
        <f>IF(ISBLANK(drvlst[[#This Row],[number]]), "",COUNTIFS($A:$A,drvlst[[#This Row],[tmp-number]],$O:$O, "BJ And dev",$U:$U, "Review-1"))</f>
        <v/>
      </c>
      <c r="R129" s="7" t="str">
        <f>IF(ISBLANK(drvlst[[#This Row],[number]]), "",COUNTIFS($A:$A,drvlst[[#This Row],[tmp-number]],$O:$O, "FL And dev",$U:$U, "Review-1"))</f>
        <v/>
      </c>
      <c r="S129" t="str">
        <f>IF(ISBLANK(drvlst[[#This Row],[number]]), "",COUNTIFS($A:$A,drvlst[[#This Row],[tmp-number]],$O:$O, "BJ And dev",$V:$V, "&lt;&gt;IntegratorComment"))</f>
        <v/>
      </c>
      <c r="T129" t="str">
        <f>IF(ISBLANK(drvlst[[#This Row],[number]]), "",COUNTIFS($A:$A,drvlst[[#This Row],[tmp-number]],$O:$O, "FL And dev",$V:$V, "&lt;&gt;IntegratorComment"))</f>
        <v/>
      </c>
      <c r="U129" t="str">
        <f>IF(OR(ISNUMBER(FIND("Review-1", drvlst[[#This Row],[comments]])), ISNUMBER(FIND("Approver-1", drvlst[[#This Row],[comments]]))), "Review-1", "")</f>
        <v/>
      </c>
      <c r="V129" s="7" t="str">
        <f>IF(OR(ISNUMBER(FIND(": Integrator", drvlst[[#This Row],[comments]])), ISNUMBER(FIND(":\n\nIntegrator", drvlst[[#This Row],[comments]])), ISNUMBER(FIND("-Integrator", drvlst[[#This Row],[comments]]))), "IntegratorComment", "")</f>
        <v/>
      </c>
      <c r="W129" s="7" t="str">
        <f>IF(ISBLANK(drvlst[[#This Row],[status]]),W128,drvlst[[#This Row],[status]])</f>
        <v>MERGED</v>
      </c>
    </row>
    <row r="130" spans="1:23">
      <c r="A130" s="7">
        <f>IF(ISBLANK(drvlst[[#This Row],[number]]),A129,drvlst[[#This Row],[number]])</f>
        <v>97283</v>
      </c>
      <c r="J130" t="s">
        <v>70</v>
      </c>
      <c r="K130" s="8">
        <v>42394.871354166666</v>
      </c>
      <c r="L130" t="s">
        <v>31</v>
      </c>
      <c r="M130" s="7" t="str">
        <f>IF(ISBLANK(drvlst[[#This Row],[owner.emal]]),M129,drvlst[[#This Row],[owner.emal]])</f>
        <v>tommi.franttila@intel.com</v>
      </c>
      <c r="N130">
        <f>_xlfn.IFNA(VLOOKUP(drvlst[[#This Row],[tmp-owner.email]],OrgTree!$A:$J, 10, 0), "not ICG SWFW")</f>
        <v>0</v>
      </c>
      <c r="O130" s="7">
        <f>IF(drvlst[[#This Row],[reviewer]]=drvlst[[#This Row],[tmp-owner.email]], "author", _xlfn.IFNA(VLOOKUP(drvlst[[#This Row],[reviewer]],OrgTree!$A:$J, 10, 0), "not ICG SWFW"))</f>
        <v>0</v>
      </c>
      <c r="P130" s="7" t="str">
        <f>IF(ISBLANK(drvlst[[#This Row],[number]]), "",SUM(drvlst[[#This Row],[BJ -1 num]],drvlst[[#This Row],[FI -1 num]]))</f>
        <v/>
      </c>
      <c r="Q130" s="7" t="str">
        <f>IF(ISBLANK(drvlst[[#This Row],[number]]), "",COUNTIFS($A:$A,drvlst[[#This Row],[tmp-number]],$O:$O, "BJ And dev",$U:$U, "Review-1"))</f>
        <v/>
      </c>
      <c r="R130" s="7" t="str">
        <f>IF(ISBLANK(drvlst[[#This Row],[number]]), "",COUNTIFS($A:$A,drvlst[[#This Row],[tmp-number]],$O:$O, "FL And dev",$U:$U, "Review-1"))</f>
        <v/>
      </c>
      <c r="S130" t="str">
        <f>IF(ISBLANK(drvlst[[#This Row],[number]]), "",COUNTIFS($A:$A,drvlst[[#This Row],[tmp-number]],$O:$O, "BJ And dev",$V:$V, "&lt;&gt;IntegratorComment"))</f>
        <v/>
      </c>
      <c r="T130" t="str">
        <f>IF(ISBLANK(drvlst[[#This Row],[number]]), "",COUNTIFS($A:$A,drvlst[[#This Row],[tmp-number]],$O:$O, "FL And dev",$V:$V, "&lt;&gt;IntegratorComment"))</f>
        <v/>
      </c>
      <c r="U130" t="str">
        <f>IF(OR(ISNUMBER(FIND("Review-1", drvlst[[#This Row],[comments]])), ISNUMBER(FIND("Approver-1", drvlst[[#This Row],[comments]]))), "Review-1", "")</f>
        <v/>
      </c>
      <c r="V130" s="7" t="str">
        <f>IF(OR(ISNUMBER(FIND(": Integrator", drvlst[[#This Row],[comments]])), ISNUMBER(FIND(":\n\nIntegrator", drvlst[[#This Row],[comments]])), ISNUMBER(FIND("-Integrator", drvlst[[#This Row],[comments]]))), "IntegratorComment", "")</f>
        <v/>
      </c>
      <c r="W130" s="7" t="str">
        <f>IF(ISBLANK(drvlst[[#This Row],[status]]),W129,drvlst[[#This Row],[status]])</f>
        <v>MERGED</v>
      </c>
    </row>
    <row r="131" spans="1:23">
      <c r="A131" s="7">
        <f>IF(ISBLANK(drvlst[[#This Row],[number]]),A130,drvlst[[#This Row],[number]])</f>
        <v>97283</v>
      </c>
      <c r="J131" t="s">
        <v>101</v>
      </c>
      <c r="K131" s="8">
        <v>42394.89634259259</v>
      </c>
      <c r="L131" t="s">
        <v>31</v>
      </c>
      <c r="M131" s="7" t="str">
        <f>IF(ISBLANK(drvlst[[#This Row],[owner.emal]]),M130,drvlst[[#This Row],[owner.emal]])</f>
        <v>tommi.franttila@intel.com</v>
      </c>
      <c r="N131">
        <f>_xlfn.IFNA(VLOOKUP(drvlst[[#This Row],[tmp-owner.email]],OrgTree!$A:$J, 10, 0), "not ICG SWFW")</f>
        <v>0</v>
      </c>
      <c r="O131" s="7">
        <f>IF(drvlst[[#This Row],[reviewer]]=drvlst[[#This Row],[tmp-owner.email]], "author", _xlfn.IFNA(VLOOKUP(drvlst[[#This Row],[reviewer]],OrgTree!$A:$J, 10, 0), "not ICG SWFW"))</f>
        <v>0</v>
      </c>
      <c r="P131" s="7" t="str">
        <f>IF(ISBLANK(drvlst[[#This Row],[number]]), "",SUM(drvlst[[#This Row],[BJ -1 num]],drvlst[[#This Row],[FI -1 num]]))</f>
        <v/>
      </c>
      <c r="Q131" s="7" t="str">
        <f>IF(ISBLANK(drvlst[[#This Row],[number]]), "",COUNTIFS($A:$A,drvlst[[#This Row],[tmp-number]],$O:$O, "BJ And dev",$U:$U, "Review-1"))</f>
        <v/>
      </c>
      <c r="R131" s="7" t="str">
        <f>IF(ISBLANK(drvlst[[#This Row],[number]]), "",COUNTIFS($A:$A,drvlst[[#This Row],[tmp-number]],$O:$O, "FL And dev",$U:$U, "Review-1"))</f>
        <v/>
      </c>
      <c r="S131" t="str">
        <f>IF(ISBLANK(drvlst[[#This Row],[number]]), "",COUNTIFS($A:$A,drvlst[[#This Row],[tmp-number]],$O:$O, "BJ And dev",$V:$V, "&lt;&gt;IntegratorComment"))</f>
        <v/>
      </c>
      <c r="T131" t="str">
        <f>IF(ISBLANK(drvlst[[#This Row],[number]]), "",COUNTIFS($A:$A,drvlst[[#This Row],[tmp-number]],$O:$O, "FL And dev",$V:$V, "&lt;&gt;IntegratorComment"))</f>
        <v/>
      </c>
      <c r="U131" t="str">
        <f>IF(OR(ISNUMBER(FIND("Review-1", drvlst[[#This Row],[comments]])), ISNUMBER(FIND("Approver-1", drvlst[[#This Row],[comments]]))), "Review-1", "")</f>
        <v/>
      </c>
      <c r="V131" s="7" t="str">
        <f>IF(OR(ISNUMBER(FIND(": Integrator", drvlst[[#This Row],[comments]])), ISNUMBER(FIND(":\n\nIntegrator", drvlst[[#This Row],[comments]])), ISNUMBER(FIND("-Integrator", drvlst[[#This Row],[comments]]))), "IntegratorComment", "")</f>
        <v/>
      </c>
      <c r="W131" s="7" t="str">
        <f>IF(ISBLANK(drvlst[[#This Row],[status]]),W130,drvlst[[#This Row],[status]])</f>
        <v>MERGED</v>
      </c>
    </row>
    <row r="132" spans="1:23">
      <c r="A132" s="7">
        <f>IF(ISBLANK(drvlst[[#This Row],[number]]),A131,drvlst[[#This Row],[number]])</f>
        <v>97283</v>
      </c>
      <c r="J132" t="s">
        <v>34</v>
      </c>
      <c r="K132" s="8">
        <v>42395.601793981485</v>
      </c>
      <c r="L132" t="s">
        <v>1891</v>
      </c>
      <c r="M132" s="7" t="str">
        <f>IF(ISBLANK(drvlst[[#This Row],[owner.emal]]),M131,drvlst[[#This Row],[owner.emal]])</f>
        <v>tommi.franttila@intel.com</v>
      </c>
      <c r="N132">
        <f>_xlfn.IFNA(VLOOKUP(drvlst[[#This Row],[tmp-owner.email]],OrgTree!$A:$J, 10, 0), "not ICG SWFW")</f>
        <v>0</v>
      </c>
      <c r="O132" s="7">
        <f>IF(drvlst[[#This Row],[reviewer]]=drvlst[[#This Row],[tmp-owner.email]], "author", _xlfn.IFNA(VLOOKUP(drvlst[[#This Row],[reviewer]],OrgTree!$A:$J, 10, 0), "not ICG SWFW"))</f>
        <v>0</v>
      </c>
      <c r="P132" s="7" t="str">
        <f>IF(ISBLANK(drvlst[[#This Row],[number]]), "",SUM(drvlst[[#This Row],[BJ -1 num]],drvlst[[#This Row],[FI -1 num]]))</f>
        <v/>
      </c>
      <c r="Q132" s="7" t="str">
        <f>IF(ISBLANK(drvlst[[#This Row],[number]]), "",COUNTIFS($A:$A,drvlst[[#This Row],[tmp-number]],$O:$O, "BJ And dev",$U:$U, "Review-1"))</f>
        <v/>
      </c>
      <c r="R132" s="7" t="str">
        <f>IF(ISBLANK(drvlst[[#This Row],[number]]), "",COUNTIFS($A:$A,drvlst[[#This Row],[tmp-number]],$O:$O, "FL And dev",$U:$U, "Review-1"))</f>
        <v/>
      </c>
      <c r="S132" t="str">
        <f>IF(ISBLANK(drvlst[[#This Row],[number]]), "",COUNTIFS($A:$A,drvlst[[#This Row],[tmp-number]],$O:$O, "BJ And dev",$V:$V, "&lt;&gt;IntegratorComment"))</f>
        <v/>
      </c>
      <c r="T132" t="str">
        <f>IF(ISBLANK(drvlst[[#This Row],[number]]), "",COUNTIFS($A:$A,drvlst[[#This Row],[tmp-number]],$O:$O, "FL And dev",$V:$V, "&lt;&gt;IntegratorComment"))</f>
        <v/>
      </c>
      <c r="U132" t="str">
        <f>IF(OR(ISNUMBER(FIND("Review-1", drvlst[[#This Row],[comments]])), ISNUMBER(FIND("Approver-1", drvlst[[#This Row],[comments]]))), "Review-1", "")</f>
        <v/>
      </c>
      <c r="V132" s="7" t="str">
        <f>IF(OR(ISNUMBER(FIND(": Integrator", drvlst[[#This Row],[comments]])), ISNUMBER(FIND(":\n\nIntegrator", drvlst[[#This Row],[comments]])), ISNUMBER(FIND("-Integrator", drvlst[[#This Row],[comments]]))), "IntegratorComment", "")</f>
        <v>IntegratorComment</v>
      </c>
      <c r="W132" s="7" t="str">
        <f>IF(ISBLANK(drvlst[[#This Row],[status]]),W131,drvlst[[#This Row],[status]])</f>
        <v>MERGED</v>
      </c>
    </row>
    <row r="133" spans="1:23">
      <c r="A133" s="7">
        <f>IF(ISBLANK(drvlst[[#This Row],[number]]),A132,drvlst[[#This Row],[number]])</f>
        <v>97283</v>
      </c>
      <c r="J133" t="s">
        <v>34</v>
      </c>
      <c r="K133" s="8">
        <v>42395.763124999998</v>
      </c>
      <c r="L133" t="s">
        <v>1893</v>
      </c>
      <c r="M133" s="7" t="str">
        <f>IF(ISBLANK(drvlst[[#This Row],[owner.emal]]),M132,drvlst[[#This Row],[owner.emal]])</f>
        <v>tommi.franttila@intel.com</v>
      </c>
      <c r="N133">
        <f>_xlfn.IFNA(VLOOKUP(drvlst[[#This Row],[tmp-owner.email]],OrgTree!$A:$J, 10, 0), "not ICG SWFW")</f>
        <v>0</v>
      </c>
      <c r="O133" s="7">
        <f>IF(drvlst[[#This Row],[reviewer]]=drvlst[[#This Row],[tmp-owner.email]], "author", _xlfn.IFNA(VLOOKUP(drvlst[[#This Row],[reviewer]],OrgTree!$A:$J, 10, 0), "not ICG SWFW"))</f>
        <v>0</v>
      </c>
      <c r="P133" s="7" t="str">
        <f>IF(ISBLANK(drvlst[[#This Row],[number]]), "",SUM(drvlst[[#This Row],[BJ -1 num]],drvlst[[#This Row],[FI -1 num]]))</f>
        <v/>
      </c>
      <c r="Q133" s="7" t="str">
        <f>IF(ISBLANK(drvlst[[#This Row],[number]]), "",COUNTIFS($A:$A,drvlst[[#This Row],[tmp-number]],$O:$O, "BJ And dev",$U:$U, "Review-1"))</f>
        <v/>
      </c>
      <c r="R133" s="7" t="str">
        <f>IF(ISBLANK(drvlst[[#This Row],[number]]), "",COUNTIFS($A:$A,drvlst[[#This Row],[tmp-number]],$O:$O, "FL And dev",$U:$U, "Review-1"))</f>
        <v/>
      </c>
      <c r="S133" t="str">
        <f>IF(ISBLANK(drvlst[[#This Row],[number]]), "",COUNTIFS($A:$A,drvlst[[#This Row],[tmp-number]],$O:$O, "BJ And dev",$V:$V, "&lt;&gt;IntegratorComment"))</f>
        <v/>
      </c>
      <c r="T133" t="str">
        <f>IF(ISBLANK(drvlst[[#This Row],[number]]), "",COUNTIFS($A:$A,drvlst[[#This Row],[tmp-number]],$O:$O, "FL And dev",$V:$V, "&lt;&gt;IntegratorComment"))</f>
        <v/>
      </c>
      <c r="U133" t="str">
        <f>IF(OR(ISNUMBER(FIND("Review-1", drvlst[[#This Row],[comments]])), ISNUMBER(FIND("Approver-1", drvlst[[#This Row],[comments]]))), "Review-1", "")</f>
        <v/>
      </c>
      <c r="V133" s="7" t="str">
        <f>IF(OR(ISNUMBER(FIND(": Integrator", drvlst[[#This Row],[comments]])), ISNUMBER(FIND(":\n\nIntegrator", drvlst[[#This Row],[comments]])), ISNUMBER(FIND("-Integrator", drvlst[[#This Row],[comments]]))), "IntegratorComment", "")</f>
        <v/>
      </c>
      <c r="W133" s="7" t="str">
        <f>IF(ISBLANK(drvlst[[#This Row],[status]]),W132,drvlst[[#This Row],[status]])</f>
        <v>MERGED</v>
      </c>
    </row>
    <row r="134" spans="1:23">
      <c r="A134" s="7">
        <f>IF(ISBLANK(drvlst[[#This Row],[number]]),A133,drvlst[[#This Row],[number]])</f>
        <v>97283</v>
      </c>
      <c r="J134" t="s">
        <v>34</v>
      </c>
      <c r="K134" s="8">
        <v>42395.805983796294</v>
      </c>
      <c r="L134" t="s">
        <v>1892</v>
      </c>
      <c r="M134" s="7" t="str">
        <f>IF(ISBLANK(drvlst[[#This Row],[owner.emal]]),M133,drvlst[[#This Row],[owner.emal]])</f>
        <v>tommi.franttila@intel.com</v>
      </c>
      <c r="N134">
        <f>_xlfn.IFNA(VLOOKUP(drvlst[[#This Row],[tmp-owner.email]],OrgTree!$A:$J, 10, 0), "not ICG SWFW")</f>
        <v>0</v>
      </c>
      <c r="O134" s="7">
        <f>IF(drvlst[[#This Row],[reviewer]]=drvlst[[#This Row],[tmp-owner.email]], "author", _xlfn.IFNA(VLOOKUP(drvlst[[#This Row],[reviewer]],OrgTree!$A:$J, 10, 0), "not ICG SWFW"))</f>
        <v>0</v>
      </c>
      <c r="P134" s="7" t="str">
        <f>IF(ISBLANK(drvlst[[#This Row],[number]]), "",SUM(drvlst[[#This Row],[BJ -1 num]],drvlst[[#This Row],[FI -1 num]]))</f>
        <v/>
      </c>
      <c r="Q134" s="7" t="str">
        <f>IF(ISBLANK(drvlst[[#This Row],[number]]), "",COUNTIFS($A:$A,drvlst[[#This Row],[tmp-number]],$O:$O, "BJ And dev",$U:$U, "Review-1"))</f>
        <v/>
      </c>
      <c r="R134" s="7" t="str">
        <f>IF(ISBLANK(drvlst[[#This Row],[number]]), "",COUNTIFS($A:$A,drvlst[[#This Row],[tmp-number]],$O:$O, "FL And dev",$U:$U, "Review-1"))</f>
        <v/>
      </c>
      <c r="S134" t="str">
        <f>IF(ISBLANK(drvlst[[#This Row],[number]]), "",COUNTIFS($A:$A,drvlst[[#This Row],[tmp-number]],$O:$O, "BJ And dev",$V:$V, "&lt;&gt;IntegratorComment"))</f>
        <v/>
      </c>
      <c r="T134" t="str">
        <f>IF(ISBLANK(drvlst[[#This Row],[number]]), "",COUNTIFS($A:$A,drvlst[[#This Row],[tmp-number]],$O:$O, "FL And dev",$V:$V, "&lt;&gt;IntegratorComment"))</f>
        <v/>
      </c>
      <c r="U134" t="str">
        <f>IF(OR(ISNUMBER(FIND("Review-1", drvlst[[#This Row],[comments]])), ISNUMBER(FIND("Approver-1", drvlst[[#This Row],[comments]]))), "Review-1", "")</f>
        <v/>
      </c>
      <c r="V134" s="7" t="str">
        <f>IF(OR(ISNUMBER(FIND(": Integrator", drvlst[[#This Row],[comments]])), ISNUMBER(FIND(":\n\nIntegrator", drvlst[[#This Row],[comments]])), ISNUMBER(FIND("-Integrator", drvlst[[#This Row],[comments]]))), "IntegratorComment", "")</f>
        <v/>
      </c>
      <c r="W134" s="7" t="str">
        <f>IF(ISBLANK(drvlst[[#This Row],[status]]),W133,drvlst[[#This Row],[status]])</f>
        <v>MERGED</v>
      </c>
    </row>
    <row r="135" spans="1:23">
      <c r="A135" s="7">
        <f>IF(ISBLANK(drvlst[[#This Row],[number]]),A134,drvlst[[#This Row],[number]])</f>
        <v>97283</v>
      </c>
      <c r="J135" t="s">
        <v>34</v>
      </c>
      <c r="K135" s="8">
        <v>42395.844953703701</v>
      </c>
      <c r="L135" t="s">
        <v>1894</v>
      </c>
      <c r="M135" s="7" t="str">
        <f>IF(ISBLANK(drvlst[[#This Row],[owner.emal]]),M134,drvlst[[#This Row],[owner.emal]])</f>
        <v>tommi.franttila@intel.com</v>
      </c>
      <c r="N135">
        <f>_xlfn.IFNA(VLOOKUP(drvlst[[#This Row],[tmp-owner.email]],OrgTree!$A:$J, 10, 0), "not ICG SWFW")</f>
        <v>0</v>
      </c>
      <c r="O135" s="7">
        <f>IF(drvlst[[#This Row],[reviewer]]=drvlst[[#This Row],[tmp-owner.email]], "author", _xlfn.IFNA(VLOOKUP(drvlst[[#This Row],[reviewer]],OrgTree!$A:$J, 10, 0), "not ICG SWFW"))</f>
        <v>0</v>
      </c>
      <c r="P135" s="7" t="str">
        <f>IF(ISBLANK(drvlst[[#This Row],[number]]), "",SUM(drvlst[[#This Row],[BJ -1 num]],drvlst[[#This Row],[FI -1 num]]))</f>
        <v/>
      </c>
      <c r="Q135" s="7" t="str">
        <f>IF(ISBLANK(drvlst[[#This Row],[number]]), "",COUNTIFS($A:$A,drvlst[[#This Row],[tmp-number]],$O:$O, "BJ And dev",$U:$U, "Review-1"))</f>
        <v/>
      </c>
      <c r="R135" s="7" t="str">
        <f>IF(ISBLANK(drvlst[[#This Row],[number]]), "",COUNTIFS($A:$A,drvlst[[#This Row],[tmp-number]],$O:$O, "FL And dev",$U:$U, "Review-1"))</f>
        <v/>
      </c>
      <c r="S135" t="str">
        <f>IF(ISBLANK(drvlst[[#This Row],[number]]), "",COUNTIFS($A:$A,drvlst[[#This Row],[tmp-number]],$O:$O, "BJ And dev",$V:$V, "&lt;&gt;IntegratorComment"))</f>
        <v/>
      </c>
      <c r="T135" t="str">
        <f>IF(ISBLANK(drvlst[[#This Row],[number]]), "",COUNTIFS($A:$A,drvlst[[#This Row],[tmp-number]],$O:$O, "FL And dev",$V:$V, "&lt;&gt;IntegratorComment"))</f>
        <v/>
      </c>
      <c r="U135" t="str">
        <f>IF(OR(ISNUMBER(FIND("Review-1", drvlst[[#This Row],[comments]])), ISNUMBER(FIND("Approver-1", drvlst[[#This Row],[comments]]))), "Review-1", "")</f>
        <v/>
      </c>
      <c r="V135" s="7" t="str">
        <f>IF(OR(ISNUMBER(FIND(": Integrator", drvlst[[#This Row],[comments]])), ISNUMBER(FIND(":\n\nIntegrator", drvlst[[#This Row],[comments]])), ISNUMBER(FIND("-Integrator", drvlst[[#This Row],[comments]]))), "IntegratorComment", "")</f>
        <v/>
      </c>
      <c r="W135" s="7" t="str">
        <f>IF(ISBLANK(drvlst[[#This Row],[status]]),W134,drvlst[[#This Row],[status]])</f>
        <v>MERGED</v>
      </c>
    </row>
    <row r="136" spans="1:23">
      <c r="A136" s="7">
        <f>IF(ISBLANK(drvlst[[#This Row],[number]]),A135,drvlst[[#This Row],[number]])</f>
        <v>97283</v>
      </c>
      <c r="J136" t="s">
        <v>34</v>
      </c>
      <c r="K136" s="8">
        <v>42396.071261574078</v>
      </c>
      <c r="L136" t="s">
        <v>1894</v>
      </c>
      <c r="M136" s="7" t="str">
        <f>IF(ISBLANK(drvlst[[#This Row],[owner.emal]]),M135,drvlst[[#This Row],[owner.emal]])</f>
        <v>tommi.franttila@intel.com</v>
      </c>
      <c r="N136">
        <f>_xlfn.IFNA(VLOOKUP(drvlst[[#This Row],[tmp-owner.email]],OrgTree!$A:$J, 10, 0), "not ICG SWFW")</f>
        <v>0</v>
      </c>
      <c r="O136" s="7">
        <f>IF(drvlst[[#This Row],[reviewer]]=drvlst[[#This Row],[tmp-owner.email]], "author", _xlfn.IFNA(VLOOKUP(drvlst[[#This Row],[reviewer]],OrgTree!$A:$J, 10, 0), "not ICG SWFW"))</f>
        <v>0</v>
      </c>
      <c r="P136" s="7" t="str">
        <f>IF(ISBLANK(drvlst[[#This Row],[number]]), "",SUM(drvlst[[#This Row],[BJ -1 num]],drvlst[[#This Row],[FI -1 num]]))</f>
        <v/>
      </c>
      <c r="Q136" s="7" t="str">
        <f>IF(ISBLANK(drvlst[[#This Row],[number]]), "",COUNTIFS($A:$A,drvlst[[#This Row],[tmp-number]],$O:$O, "BJ And dev",$U:$U, "Review-1"))</f>
        <v/>
      </c>
      <c r="R136" s="7" t="str">
        <f>IF(ISBLANK(drvlst[[#This Row],[number]]), "",COUNTIFS($A:$A,drvlst[[#This Row],[tmp-number]],$O:$O, "FL And dev",$U:$U, "Review-1"))</f>
        <v/>
      </c>
      <c r="S136" t="str">
        <f>IF(ISBLANK(drvlst[[#This Row],[number]]), "",COUNTIFS($A:$A,drvlst[[#This Row],[tmp-number]],$O:$O, "BJ And dev",$V:$V, "&lt;&gt;IntegratorComment"))</f>
        <v/>
      </c>
      <c r="T136" t="str">
        <f>IF(ISBLANK(drvlst[[#This Row],[number]]), "",COUNTIFS($A:$A,drvlst[[#This Row],[tmp-number]],$O:$O, "FL And dev",$V:$V, "&lt;&gt;IntegratorComment"))</f>
        <v/>
      </c>
      <c r="U136" t="str">
        <f>IF(OR(ISNUMBER(FIND("Review-1", drvlst[[#This Row],[comments]])), ISNUMBER(FIND("Approver-1", drvlst[[#This Row],[comments]]))), "Review-1", "")</f>
        <v/>
      </c>
      <c r="V136" s="7" t="str">
        <f>IF(OR(ISNUMBER(FIND(": Integrator", drvlst[[#This Row],[comments]])), ISNUMBER(FIND(":\n\nIntegrator", drvlst[[#This Row],[comments]])), ISNUMBER(FIND("-Integrator", drvlst[[#This Row],[comments]]))), "IntegratorComment", "")</f>
        <v/>
      </c>
      <c r="W136" s="7" t="str">
        <f>IF(ISBLANK(drvlst[[#This Row],[status]]),W135,drvlst[[#This Row],[status]])</f>
        <v>MERGED</v>
      </c>
    </row>
    <row r="137" spans="1:23">
      <c r="A137" s="7">
        <f>IF(ISBLANK(drvlst[[#This Row],[number]]),A136,drvlst[[#This Row],[number]])</f>
        <v>97283</v>
      </c>
      <c r="J137" t="s">
        <v>34</v>
      </c>
      <c r="K137" s="8">
        <v>42396.76761574074</v>
      </c>
      <c r="L137" t="s">
        <v>1895</v>
      </c>
      <c r="M137" s="7" t="str">
        <f>IF(ISBLANK(drvlst[[#This Row],[owner.emal]]),M136,drvlst[[#This Row],[owner.emal]])</f>
        <v>tommi.franttila@intel.com</v>
      </c>
      <c r="N137">
        <f>_xlfn.IFNA(VLOOKUP(drvlst[[#This Row],[tmp-owner.email]],OrgTree!$A:$J, 10, 0), "not ICG SWFW")</f>
        <v>0</v>
      </c>
      <c r="O137" s="7">
        <f>IF(drvlst[[#This Row],[reviewer]]=drvlst[[#This Row],[tmp-owner.email]], "author", _xlfn.IFNA(VLOOKUP(drvlst[[#This Row],[reviewer]],OrgTree!$A:$J, 10, 0), "not ICG SWFW"))</f>
        <v>0</v>
      </c>
      <c r="P137" s="7" t="str">
        <f>IF(ISBLANK(drvlst[[#This Row],[number]]), "",SUM(drvlst[[#This Row],[BJ -1 num]],drvlst[[#This Row],[FI -1 num]]))</f>
        <v/>
      </c>
      <c r="Q137" s="7" t="str">
        <f>IF(ISBLANK(drvlst[[#This Row],[number]]), "",COUNTIFS($A:$A,drvlst[[#This Row],[tmp-number]],$O:$O, "BJ And dev",$U:$U, "Review-1"))</f>
        <v/>
      </c>
      <c r="R137" s="7" t="str">
        <f>IF(ISBLANK(drvlst[[#This Row],[number]]), "",COUNTIFS($A:$A,drvlst[[#This Row],[tmp-number]],$O:$O, "FL And dev",$U:$U, "Review-1"))</f>
        <v/>
      </c>
      <c r="S137" t="str">
        <f>IF(ISBLANK(drvlst[[#This Row],[number]]), "",COUNTIFS($A:$A,drvlst[[#This Row],[tmp-number]],$O:$O, "BJ And dev",$V:$V, "&lt;&gt;IntegratorComment"))</f>
        <v/>
      </c>
      <c r="T137" t="str">
        <f>IF(ISBLANK(drvlst[[#This Row],[number]]), "",COUNTIFS($A:$A,drvlst[[#This Row],[tmp-number]],$O:$O, "FL And dev",$V:$V, "&lt;&gt;IntegratorComment"))</f>
        <v/>
      </c>
      <c r="U137" t="str">
        <f>IF(OR(ISNUMBER(FIND("Review-1", drvlst[[#This Row],[comments]])), ISNUMBER(FIND("Approver-1", drvlst[[#This Row],[comments]]))), "Review-1", "")</f>
        <v/>
      </c>
      <c r="V137" s="7" t="str">
        <f>IF(OR(ISNUMBER(FIND(": Integrator", drvlst[[#This Row],[comments]])), ISNUMBER(FIND(":\n\nIntegrator", drvlst[[#This Row],[comments]])), ISNUMBER(FIND("-Integrator", drvlst[[#This Row],[comments]]))), "IntegratorComment", "")</f>
        <v/>
      </c>
      <c r="W137" s="7" t="str">
        <f>IF(ISBLANK(drvlst[[#This Row],[status]]),W136,drvlst[[#This Row],[status]])</f>
        <v>MERGED</v>
      </c>
    </row>
    <row r="138" spans="1:23">
      <c r="A138" s="7">
        <f>IF(ISBLANK(drvlst[[#This Row],[number]]),A137,drvlst[[#This Row],[number]])</f>
        <v>97283</v>
      </c>
      <c r="J138" t="s">
        <v>34</v>
      </c>
      <c r="K138" s="8">
        <v>42396.769965277781</v>
      </c>
      <c r="L138" t="s">
        <v>1938</v>
      </c>
      <c r="M138" s="7" t="str">
        <f>IF(ISBLANK(drvlst[[#This Row],[owner.emal]]),M137,drvlst[[#This Row],[owner.emal]])</f>
        <v>tommi.franttila@intel.com</v>
      </c>
      <c r="N138">
        <f>_xlfn.IFNA(VLOOKUP(drvlst[[#This Row],[tmp-owner.email]],OrgTree!$A:$J, 10, 0), "not ICG SWFW")</f>
        <v>0</v>
      </c>
      <c r="O138" s="7">
        <f>IF(drvlst[[#This Row],[reviewer]]=drvlst[[#This Row],[tmp-owner.email]], "author", _xlfn.IFNA(VLOOKUP(drvlst[[#This Row],[reviewer]],OrgTree!$A:$J, 10, 0), "not ICG SWFW"))</f>
        <v>0</v>
      </c>
      <c r="P138" s="7" t="str">
        <f>IF(ISBLANK(drvlst[[#This Row],[number]]), "",SUM(drvlst[[#This Row],[BJ -1 num]],drvlst[[#This Row],[FI -1 num]]))</f>
        <v/>
      </c>
      <c r="Q138" s="7" t="str">
        <f>IF(ISBLANK(drvlst[[#This Row],[number]]), "",COUNTIFS($A:$A,drvlst[[#This Row],[tmp-number]],$O:$O, "BJ And dev",$U:$U, "Review-1"))</f>
        <v/>
      </c>
      <c r="R138" s="7" t="str">
        <f>IF(ISBLANK(drvlst[[#This Row],[number]]), "",COUNTIFS($A:$A,drvlst[[#This Row],[tmp-number]],$O:$O, "FL And dev",$U:$U, "Review-1"))</f>
        <v/>
      </c>
      <c r="S138" t="str">
        <f>IF(ISBLANK(drvlst[[#This Row],[number]]), "",COUNTIFS($A:$A,drvlst[[#This Row],[tmp-number]],$O:$O, "BJ And dev",$V:$V, "&lt;&gt;IntegratorComment"))</f>
        <v/>
      </c>
      <c r="T138" t="str">
        <f>IF(ISBLANK(drvlst[[#This Row],[number]]), "",COUNTIFS($A:$A,drvlst[[#This Row],[tmp-number]],$O:$O, "FL And dev",$V:$V, "&lt;&gt;IntegratorComment"))</f>
        <v/>
      </c>
      <c r="U138" t="str">
        <f>IF(OR(ISNUMBER(FIND("Review-1", drvlst[[#This Row],[comments]])), ISNUMBER(FIND("Approver-1", drvlst[[#This Row],[comments]]))), "Review-1", "")</f>
        <v/>
      </c>
      <c r="V138" s="7" t="str">
        <f>IF(OR(ISNUMBER(FIND(": Integrator", drvlst[[#This Row],[comments]])), ISNUMBER(FIND(":\n\nIntegrator", drvlst[[#This Row],[comments]])), ISNUMBER(FIND("-Integrator", drvlst[[#This Row],[comments]]))), "IntegratorComment", "")</f>
        <v/>
      </c>
      <c r="W138" s="7" t="str">
        <f>IF(ISBLANK(drvlst[[#This Row],[status]]),W137,drvlst[[#This Row],[status]])</f>
        <v>MERGED</v>
      </c>
    </row>
    <row r="139" spans="1:23">
      <c r="A139" s="7">
        <f>IF(ISBLANK(drvlst[[#This Row],[number]]),A138,drvlst[[#This Row],[number]])</f>
        <v>95793</v>
      </c>
      <c r="B139">
        <v>95793</v>
      </c>
      <c r="C139" t="s">
        <v>84</v>
      </c>
      <c r="D139" t="s">
        <v>101</v>
      </c>
      <c r="E139" t="s">
        <v>23</v>
      </c>
      <c r="F139" t="s">
        <v>1939</v>
      </c>
      <c r="G139" t="s">
        <v>1940</v>
      </c>
      <c r="H139" s="8">
        <v>42384.725347222222</v>
      </c>
      <c r="I139" s="8">
        <v>42395.653831018521</v>
      </c>
      <c r="J139" t="s">
        <v>101</v>
      </c>
      <c r="K139" s="8">
        <v>42384.725347222222</v>
      </c>
      <c r="L139" t="s">
        <v>25</v>
      </c>
      <c r="M139" s="7" t="str">
        <f>IF(ISBLANK(drvlst[[#This Row],[owner.emal]]),M138,drvlst[[#This Row],[owner.emal]])</f>
        <v>vinod.govindapillai@intel.com</v>
      </c>
      <c r="N139">
        <f>_xlfn.IFNA(VLOOKUP(drvlst[[#This Row],[tmp-owner.email]],OrgTree!$A:$J, 10, 0), "not ICG SWFW")</f>
        <v>0</v>
      </c>
      <c r="O139" s="7" t="str">
        <f>IF(drvlst[[#This Row],[reviewer]]=drvlst[[#This Row],[tmp-owner.email]], "author", _xlfn.IFNA(VLOOKUP(drvlst[[#This Row],[reviewer]],OrgTree!$A:$J, 10, 0), "not ICG SWFW"))</f>
        <v>author</v>
      </c>
      <c r="P139" s="7">
        <f>IF(ISBLANK(drvlst[[#This Row],[number]]), "",SUM(drvlst[[#This Row],[BJ -1 num]],drvlst[[#This Row],[FI -1 num]]))</f>
        <v>0</v>
      </c>
      <c r="Q139" s="7">
        <f>IF(ISBLANK(drvlst[[#This Row],[number]]), "",COUNTIFS($A:$A,drvlst[[#This Row],[tmp-number]],$O:$O, "BJ And dev",$U:$U, "Review-1"))</f>
        <v>0</v>
      </c>
      <c r="R139" s="7">
        <f>IF(ISBLANK(drvlst[[#This Row],[number]]), "",COUNTIFS($A:$A,drvlst[[#This Row],[tmp-number]],$O:$O, "FL And dev",$U:$U, "Review-1"))</f>
        <v>0</v>
      </c>
      <c r="S139">
        <f>IF(ISBLANK(drvlst[[#This Row],[number]]), "",COUNTIFS($A:$A,drvlst[[#This Row],[tmp-number]],$O:$O, "BJ And dev",$V:$V, "&lt;&gt;IntegratorComment"))</f>
        <v>0</v>
      </c>
      <c r="T139">
        <f>IF(ISBLANK(drvlst[[#This Row],[number]]), "",COUNTIFS($A:$A,drvlst[[#This Row],[tmp-number]],$O:$O, "FL And dev",$V:$V, "&lt;&gt;IntegratorComment"))</f>
        <v>0</v>
      </c>
      <c r="U139" t="str">
        <f>IF(OR(ISNUMBER(FIND("Review-1", drvlst[[#This Row],[comments]])), ISNUMBER(FIND("Approver-1", drvlst[[#This Row],[comments]]))), "Review-1", "")</f>
        <v/>
      </c>
      <c r="V139" s="7" t="str">
        <f>IF(OR(ISNUMBER(FIND(": Integrator", drvlst[[#This Row],[comments]])), ISNUMBER(FIND(":\n\nIntegrator", drvlst[[#This Row],[comments]])), ISNUMBER(FIND("-Integrator", drvlst[[#This Row],[comments]]))), "IntegratorComment", "")</f>
        <v/>
      </c>
      <c r="W139" s="7" t="str">
        <f>IF(ISBLANK(drvlst[[#This Row],[status]]),W138,drvlst[[#This Row],[status]])</f>
        <v>MERGED</v>
      </c>
    </row>
    <row r="140" spans="1:23">
      <c r="A140" s="7">
        <f>IF(ISBLANK(drvlst[[#This Row],[number]]),A139,drvlst[[#This Row],[number]])</f>
        <v>95793</v>
      </c>
      <c r="J140" t="s">
        <v>101</v>
      </c>
      <c r="K140" s="8">
        <v>42384.725347222222</v>
      </c>
      <c r="L140" t="s">
        <v>85</v>
      </c>
      <c r="M140" s="7" t="str">
        <f>IF(ISBLANK(drvlst[[#This Row],[owner.emal]]),M139,drvlst[[#This Row],[owner.emal]])</f>
        <v>vinod.govindapillai@intel.com</v>
      </c>
      <c r="N140">
        <f>_xlfn.IFNA(VLOOKUP(drvlst[[#This Row],[tmp-owner.email]],OrgTree!$A:$J, 10, 0), "not ICG SWFW")</f>
        <v>0</v>
      </c>
      <c r="O140" s="7" t="str">
        <f>IF(drvlst[[#This Row],[reviewer]]=drvlst[[#This Row],[tmp-owner.email]], "author", _xlfn.IFNA(VLOOKUP(drvlst[[#This Row],[reviewer]],OrgTree!$A:$J, 10, 0), "not ICG SWFW"))</f>
        <v>author</v>
      </c>
      <c r="P140" s="7" t="str">
        <f>IF(ISBLANK(drvlst[[#This Row],[number]]), "",SUM(drvlst[[#This Row],[BJ -1 num]],drvlst[[#This Row],[FI -1 num]]))</f>
        <v/>
      </c>
      <c r="Q140" s="7" t="str">
        <f>IF(ISBLANK(drvlst[[#This Row],[number]]), "",COUNTIFS($A:$A,drvlst[[#This Row],[tmp-number]],$O:$O, "BJ And dev",$U:$U, "Review-1"))</f>
        <v/>
      </c>
      <c r="R140" s="7" t="str">
        <f>IF(ISBLANK(drvlst[[#This Row],[number]]), "",COUNTIFS($A:$A,drvlst[[#This Row],[tmp-number]],$O:$O, "FL And dev",$U:$U, "Review-1"))</f>
        <v/>
      </c>
      <c r="S140" t="str">
        <f>IF(ISBLANK(drvlst[[#This Row],[number]]), "",COUNTIFS($A:$A,drvlst[[#This Row],[tmp-number]],$O:$O, "BJ And dev",$V:$V, "&lt;&gt;IntegratorComment"))</f>
        <v/>
      </c>
      <c r="T140" t="str">
        <f>IF(ISBLANK(drvlst[[#This Row],[number]]), "",COUNTIFS($A:$A,drvlst[[#This Row],[tmp-number]],$O:$O, "FL And dev",$V:$V, "&lt;&gt;IntegratorComment"))</f>
        <v/>
      </c>
      <c r="U140" t="str">
        <f>IF(OR(ISNUMBER(FIND("Review-1", drvlst[[#This Row],[comments]])), ISNUMBER(FIND("Approver-1", drvlst[[#This Row],[comments]]))), "Review-1", "")</f>
        <v/>
      </c>
      <c r="V140" s="7" t="str">
        <f>IF(OR(ISNUMBER(FIND(": Integrator", drvlst[[#This Row],[comments]])), ISNUMBER(FIND(":\n\nIntegrator", drvlst[[#This Row],[comments]])), ISNUMBER(FIND("-Integrator", drvlst[[#This Row],[comments]]))), "IntegratorComment", "")</f>
        <v/>
      </c>
      <c r="W140" s="7" t="str">
        <f>IF(ISBLANK(drvlst[[#This Row],[status]]),W139,drvlst[[#This Row],[status]])</f>
        <v>MERGED</v>
      </c>
    </row>
    <row r="141" spans="1:23">
      <c r="A141" s="7">
        <f>IF(ISBLANK(drvlst[[#This Row],[number]]),A140,drvlst[[#This Row],[number]])</f>
        <v>95793</v>
      </c>
      <c r="J141" t="s">
        <v>101</v>
      </c>
      <c r="K141" s="8">
        <v>42384.726041666669</v>
      </c>
      <c r="L141" t="s">
        <v>40</v>
      </c>
      <c r="M141" s="7" t="str">
        <f>IF(ISBLANK(drvlst[[#This Row],[owner.emal]]),M140,drvlst[[#This Row],[owner.emal]])</f>
        <v>vinod.govindapillai@intel.com</v>
      </c>
      <c r="N141">
        <f>_xlfn.IFNA(VLOOKUP(drvlst[[#This Row],[tmp-owner.email]],OrgTree!$A:$J, 10, 0), "not ICG SWFW")</f>
        <v>0</v>
      </c>
      <c r="O141" s="7" t="str">
        <f>IF(drvlst[[#This Row],[reviewer]]=drvlst[[#This Row],[tmp-owner.email]], "author", _xlfn.IFNA(VLOOKUP(drvlst[[#This Row],[reviewer]],OrgTree!$A:$J, 10, 0), "not ICG SWFW"))</f>
        <v>author</v>
      </c>
      <c r="P141" s="7" t="str">
        <f>IF(ISBLANK(drvlst[[#This Row],[number]]), "",SUM(drvlst[[#This Row],[BJ -1 num]],drvlst[[#This Row],[FI -1 num]]))</f>
        <v/>
      </c>
      <c r="Q141" s="7" t="str">
        <f>IF(ISBLANK(drvlst[[#This Row],[number]]), "",COUNTIFS($A:$A,drvlst[[#This Row],[tmp-number]],$O:$O, "BJ And dev",$U:$U, "Review-1"))</f>
        <v/>
      </c>
      <c r="R141" s="7" t="str">
        <f>IF(ISBLANK(drvlst[[#This Row],[number]]), "",COUNTIFS($A:$A,drvlst[[#This Row],[tmp-number]],$O:$O, "FL And dev",$U:$U, "Review-1"))</f>
        <v/>
      </c>
      <c r="S141" t="str">
        <f>IF(ISBLANK(drvlst[[#This Row],[number]]), "",COUNTIFS($A:$A,drvlst[[#This Row],[tmp-number]],$O:$O, "BJ And dev",$V:$V, "&lt;&gt;IntegratorComment"))</f>
        <v/>
      </c>
      <c r="T141" t="str">
        <f>IF(ISBLANK(drvlst[[#This Row],[number]]), "",COUNTIFS($A:$A,drvlst[[#This Row],[tmp-number]],$O:$O, "FL And dev",$V:$V, "&lt;&gt;IntegratorComment"))</f>
        <v/>
      </c>
      <c r="U141" t="str">
        <f>IF(OR(ISNUMBER(FIND("Review-1", drvlst[[#This Row],[comments]])), ISNUMBER(FIND("Approver-1", drvlst[[#This Row],[comments]]))), "Review-1", "")</f>
        <v/>
      </c>
      <c r="V141" s="7" t="str">
        <f>IF(OR(ISNUMBER(FIND(": Integrator", drvlst[[#This Row],[comments]])), ISNUMBER(FIND(":\n\nIntegrator", drvlst[[#This Row],[comments]])), ISNUMBER(FIND("-Integrator", drvlst[[#This Row],[comments]]))), "IntegratorComment", "")</f>
        <v/>
      </c>
      <c r="W141" s="7" t="str">
        <f>IF(ISBLANK(drvlst[[#This Row],[status]]),W140,drvlst[[#This Row],[status]])</f>
        <v>MERGED</v>
      </c>
    </row>
    <row r="142" spans="1:23">
      <c r="A142" s="7">
        <f>IF(ISBLANK(drvlst[[#This Row],[number]]),A141,drvlst[[#This Row],[number]])</f>
        <v>95793</v>
      </c>
      <c r="J142" t="s">
        <v>97</v>
      </c>
      <c r="K142" s="8">
        <v>42384.759328703702</v>
      </c>
      <c r="L142" t="s">
        <v>40</v>
      </c>
      <c r="M142" s="7" t="str">
        <f>IF(ISBLANK(drvlst[[#This Row],[owner.emal]]),M141,drvlst[[#This Row],[owner.emal]])</f>
        <v>vinod.govindapillai@intel.com</v>
      </c>
      <c r="N142">
        <f>_xlfn.IFNA(VLOOKUP(drvlst[[#This Row],[tmp-owner.email]],OrgTree!$A:$J, 10, 0), "not ICG SWFW")</f>
        <v>0</v>
      </c>
      <c r="O142" s="7">
        <f>IF(drvlst[[#This Row],[reviewer]]=drvlst[[#This Row],[tmp-owner.email]], "author", _xlfn.IFNA(VLOOKUP(drvlst[[#This Row],[reviewer]],OrgTree!$A:$J, 10, 0), "not ICG SWFW"))</f>
        <v>0</v>
      </c>
      <c r="P142" s="7" t="str">
        <f>IF(ISBLANK(drvlst[[#This Row],[number]]), "",SUM(drvlst[[#This Row],[BJ -1 num]],drvlst[[#This Row],[FI -1 num]]))</f>
        <v/>
      </c>
      <c r="Q142" s="7" t="str">
        <f>IF(ISBLANK(drvlst[[#This Row],[number]]), "",COUNTIFS($A:$A,drvlst[[#This Row],[tmp-number]],$O:$O, "BJ And dev",$U:$U, "Review-1"))</f>
        <v/>
      </c>
      <c r="R142" s="7" t="str">
        <f>IF(ISBLANK(drvlst[[#This Row],[number]]), "",COUNTIFS($A:$A,drvlst[[#This Row],[tmp-number]],$O:$O, "FL And dev",$U:$U, "Review-1"))</f>
        <v/>
      </c>
      <c r="S142" t="str">
        <f>IF(ISBLANK(drvlst[[#This Row],[number]]), "",COUNTIFS($A:$A,drvlst[[#This Row],[tmp-number]],$O:$O, "BJ And dev",$V:$V, "&lt;&gt;IntegratorComment"))</f>
        <v/>
      </c>
      <c r="T142" t="str">
        <f>IF(ISBLANK(drvlst[[#This Row],[number]]), "",COUNTIFS($A:$A,drvlst[[#This Row],[tmp-number]],$O:$O, "FL And dev",$V:$V, "&lt;&gt;IntegratorComment"))</f>
        <v/>
      </c>
      <c r="U142" t="str">
        <f>IF(OR(ISNUMBER(FIND("Review-1", drvlst[[#This Row],[comments]])), ISNUMBER(FIND("Approver-1", drvlst[[#This Row],[comments]]))), "Review-1", "")</f>
        <v/>
      </c>
      <c r="V142" s="7" t="str">
        <f>IF(OR(ISNUMBER(FIND(": Integrator", drvlst[[#This Row],[comments]])), ISNUMBER(FIND(":\n\nIntegrator", drvlst[[#This Row],[comments]])), ISNUMBER(FIND("-Integrator", drvlst[[#This Row],[comments]]))), "IntegratorComment", "")</f>
        <v/>
      </c>
      <c r="W142" s="7" t="str">
        <f>IF(ISBLANK(drvlst[[#This Row],[status]]),W141,drvlst[[#This Row],[status]])</f>
        <v>MERGED</v>
      </c>
    </row>
    <row r="143" spans="1:23">
      <c r="A143" s="7">
        <f>IF(ISBLANK(drvlst[[#This Row],[number]]),A142,drvlst[[#This Row],[number]])</f>
        <v>95793</v>
      </c>
      <c r="J143" t="s">
        <v>45</v>
      </c>
      <c r="K143" s="8">
        <v>42387.679618055554</v>
      </c>
      <c r="L143" t="s">
        <v>40</v>
      </c>
      <c r="M143" s="7" t="str">
        <f>IF(ISBLANK(drvlst[[#This Row],[owner.emal]]),M142,drvlst[[#This Row],[owner.emal]])</f>
        <v>vinod.govindapillai@intel.com</v>
      </c>
      <c r="N143">
        <f>_xlfn.IFNA(VLOOKUP(drvlst[[#This Row],[tmp-owner.email]],OrgTree!$A:$J, 10, 0), "not ICG SWFW")</f>
        <v>0</v>
      </c>
      <c r="O143" s="7">
        <f>IF(drvlst[[#This Row],[reviewer]]=drvlst[[#This Row],[tmp-owner.email]], "author", _xlfn.IFNA(VLOOKUP(drvlst[[#This Row],[reviewer]],OrgTree!$A:$J, 10, 0), "not ICG SWFW"))</f>
        <v>0</v>
      </c>
      <c r="P143" s="7" t="str">
        <f>IF(ISBLANK(drvlst[[#This Row],[number]]), "",SUM(drvlst[[#This Row],[BJ -1 num]],drvlst[[#This Row],[FI -1 num]]))</f>
        <v/>
      </c>
      <c r="Q143" s="7" t="str">
        <f>IF(ISBLANK(drvlst[[#This Row],[number]]), "",COUNTIFS($A:$A,drvlst[[#This Row],[tmp-number]],$O:$O, "BJ And dev",$U:$U, "Review-1"))</f>
        <v/>
      </c>
      <c r="R143" s="7" t="str">
        <f>IF(ISBLANK(drvlst[[#This Row],[number]]), "",COUNTIFS($A:$A,drvlst[[#This Row],[tmp-number]],$O:$O, "FL And dev",$U:$U, "Review-1"))</f>
        <v/>
      </c>
      <c r="S143" t="str">
        <f>IF(ISBLANK(drvlst[[#This Row],[number]]), "",COUNTIFS($A:$A,drvlst[[#This Row],[tmp-number]],$O:$O, "BJ And dev",$V:$V, "&lt;&gt;IntegratorComment"))</f>
        <v/>
      </c>
      <c r="T143" t="str">
        <f>IF(ISBLANK(drvlst[[#This Row],[number]]), "",COUNTIFS($A:$A,drvlst[[#This Row],[tmp-number]],$O:$O, "FL And dev",$V:$V, "&lt;&gt;IntegratorComment"))</f>
        <v/>
      </c>
      <c r="U143" t="str">
        <f>IF(OR(ISNUMBER(FIND("Review-1", drvlst[[#This Row],[comments]])), ISNUMBER(FIND("Approver-1", drvlst[[#This Row],[comments]]))), "Review-1", "")</f>
        <v/>
      </c>
      <c r="V143" s="7" t="str">
        <f>IF(OR(ISNUMBER(FIND(": Integrator", drvlst[[#This Row],[comments]])), ISNUMBER(FIND(":\n\nIntegrator", drvlst[[#This Row],[comments]])), ISNUMBER(FIND("-Integrator", drvlst[[#This Row],[comments]]))), "IntegratorComment", "")</f>
        <v/>
      </c>
      <c r="W143" s="7" t="str">
        <f>IF(ISBLANK(drvlst[[#This Row],[status]]),W142,drvlst[[#This Row],[status]])</f>
        <v>MERGED</v>
      </c>
    </row>
    <row r="144" spans="1:23">
      <c r="A144" s="7">
        <f>IF(ISBLANK(drvlst[[#This Row],[number]]),A143,drvlst[[#This Row],[number]])</f>
        <v>95793</v>
      </c>
      <c r="J144" t="s">
        <v>104</v>
      </c>
      <c r="K144" s="8">
        <v>42387.696273148147</v>
      </c>
      <c r="L144" t="s">
        <v>40</v>
      </c>
      <c r="M144" s="7" t="str">
        <f>IF(ISBLANK(drvlst[[#This Row],[owner.emal]]),M143,drvlst[[#This Row],[owner.emal]])</f>
        <v>vinod.govindapillai@intel.com</v>
      </c>
      <c r="N144">
        <f>_xlfn.IFNA(VLOOKUP(drvlst[[#This Row],[tmp-owner.email]],OrgTree!$A:$J, 10, 0), "not ICG SWFW")</f>
        <v>0</v>
      </c>
      <c r="O144" s="7">
        <f>IF(drvlst[[#This Row],[reviewer]]=drvlst[[#This Row],[tmp-owner.email]], "author", _xlfn.IFNA(VLOOKUP(drvlst[[#This Row],[reviewer]],OrgTree!$A:$J, 10, 0), "not ICG SWFW"))</f>
        <v>0</v>
      </c>
      <c r="P144" s="7" t="str">
        <f>IF(ISBLANK(drvlst[[#This Row],[number]]), "",SUM(drvlst[[#This Row],[BJ -1 num]],drvlst[[#This Row],[FI -1 num]]))</f>
        <v/>
      </c>
      <c r="Q144" s="7" t="str">
        <f>IF(ISBLANK(drvlst[[#This Row],[number]]), "",COUNTIFS($A:$A,drvlst[[#This Row],[tmp-number]],$O:$O, "BJ And dev",$U:$U, "Review-1"))</f>
        <v/>
      </c>
      <c r="R144" s="7" t="str">
        <f>IF(ISBLANK(drvlst[[#This Row],[number]]), "",COUNTIFS($A:$A,drvlst[[#This Row],[tmp-number]],$O:$O, "FL And dev",$U:$U, "Review-1"))</f>
        <v/>
      </c>
      <c r="S144" t="str">
        <f>IF(ISBLANK(drvlst[[#This Row],[number]]), "",COUNTIFS($A:$A,drvlst[[#This Row],[tmp-number]],$O:$O, "BJ And dev",$V:$V, "&lt;&gt;IntegratorComment"))</f>
        <v/>
      </c>
      <c r="T144" t="str">
        <f>IF(ISBLANK(drvlst[[#This Row],[number]]), "",COUNTIFS($A:$A,drvlst[[#This Row],[tmp-number]],$O:$O, "FL And dev",$V:$V, "&lt;&gt;IntegratorComment"))</f>
        <v/>
      </c>
      <c r="U144" t="str">
        <f>IF(OR(ISNUMBER(FIND("Review-1", drvlst[[#This Row],[comments]])), ISNUMBER(FIND("Approver-1", drvlst[[#This Row],[comments]]))), "Review-1", "")</f>
        <v/>
      </c>
      <c r="V144" s="7" t="str">
        <f>IF(OR(ISNUMBER(FIND(": Integrator", drvlst[[#This Row],[comments]])), ISNUMBER(FIND(":\n\nIntegrator", drvlst[[#This Row],[comments]])), ISNUMBER(FIND("-Integrator", drvlst[[#This Row],[comments]]))), "IntegratorComment", "")</f>
        <v/>
      </c>
      <c r="W144" s="7" t="str">
        <f>IF(ISBLANK(drvlst[[#This Row],[status]]),W143,drvlst[[#This Row],[status]])</f>
        <v>MERGED</v>
      </c>
    </row>
    <row r="145" spans="1:23">
      <c r="A145" s="7">
        <f>IF(ISBLANK(drvlst[[#This Row],[number]]),A144,drvlst[[#This Row],[number]])</f>
        <v>95793</v>
      </c>
      <c r="J145" t="s">
        <v>91</v>
      </c>
      <c r="K145" s="8">
        <v>42387.744097222225</v>
      </c>
      <c r="L145" t="s">
        <v>40</v>
      </c>
      <c r="M145" s="7" t="str">
        <f>IF(ISBLANK(drvlst[[#This Row],[owner.emal]]),M144,drvlst[[#This Row],[owner.emal]])</f>
        <v>vinod.govindapillai@intel.com</v>
      </c>
      <c r="N145">
        <f>_xlfn.IFNA(VLOOKUP(drvlst[[#This Row],[tmp-owner.email]],OrgTree!$A:$J, 10, 0), "not ICG SWFW")</f>
        <v>0</v>
      </c>
      <c r="O145" s="7">
        <f>IF(drvlst[[#This Row],[reviewer]]=drvlst[[#This Row],[tmp-owner.email]], "author", _xlfn.IFNA(VLOOKUP(drvlst[[#This Row],[reviewer]],OrgTree!$A:$J, 10, 0), "not ICG SWFW"))</f>
        <v>0</v>
      </c>
      <c r="P145" s="7" t="str">
        <f>IF(ISBLANK(drvlst[[#This Row],[number]]), "",SUM(drvlst[[#This Row],[BJ -1 num]],drvlst[[#This Row],[FI -1 num]]))</f>
        <v/>
      </c>
      <c r="Q145" s="7" t="str">
        <f>IF(ISBLANK(drvlst[[#This Row],[number]]), "",COUNTIFS($A:$A,drvlst[[#This Row],[tmp-number]],$O:$O, "BJ And dev",$U:$U, "Review-1"))</f>
        <v/>
      </c>
      <c r="R145" s="7" t="str">
        <f>IF(ISBLANK(drvlst[[#This Row],[number]]), "",COUNTIFS($A:$A,drvlst[[#This Row],[tmp-number]],$O:$O, "FL And dev",$U:$U, "Review-1"))</f>
        <v/>
      </c>
      <c r="S145" t="str">
        <f>IF(ISBLANK(drvlst[[#This Row],[number]]), "",COUNTIFS($A:$A,drvlst[[#This Row],[tmp-number]],$O:$O, "BJ And dev",$V:$V, "&lt;&gt;IntegratorComment"))</f>
        <v/>
      </c>
      <c r="T145" t="str">
        <f>IF(ISBLANK(drvlst[[#This Row],[number]]), "",COUNTIFS($A:$A,drvlst[[#This Row],[tmp-number]],$O:$O, "FL And dev",$V:$V, "&lt;&gt;IntegratorComment"))</f>
        <v/>
      </c>
      <c r="U145" t="str">
        <f>IF(OR(ISNUMBER(FIND("Review-1", drvlst[[#This Row],[comments]])), ISNUMBER(FIND("Approver-1", drvlst[[#This Row],[comments]]))), "Review-1", "")</f>
        <v/>
      </c>
      <c r="V145" s="7" t="str">
        <f>IF(OR(ISNUMBER(FIND(": Integrator", drvlst[[#This Row],[comments]])), ISNUMBER(FIND(":\n\nIntegrator", drvlst[[#This Row],[comments]])), ISNUMBER(FIND("-Integrator", drvlst[[#This Row],[comments]]))), "IntegratorComment", "")</f>
        <v/>
      </c>
      <c r="W145" s="7" t="str">
        <f>IF(ISBLANK(drvlst[[#This Row],[status]]),W144,drvlst[[#This Row],[status]])</f>
        <v>MERGED</v>
      </c>
    </row>
    <row r="146" spans="1:23">
      <c r="A146" s="7">
        <f>IF(ISBLANK(drvlst[[#This Row],[number]]),A145,drvlst[[#This Row],[number]])</f>
        <v>95793</v>
      </c>
      <c r="J146" t="s">
        <v>30</v>
      </c>
      <c r="K146" s="8">
        <v>42388.071562500001</v>
      </c>
      <c r="L146" t="s">
        <v>46</v>
      </c>
      <c r="M146" s="7" t="str">
        <f>IF(ISBLANK(drvlst[[#This Row],[owner.emal]]),M145,drvlst[[#This Row],[owner.emal]])</f>
        <v>vinod.govindapillai@intel.com</v>
      </c>
      <c r="N146">
        <f>_xlfn.IFNA(VLOOKUP(drvlst[[#This Row],[tmp-owner.email]],OrgTree!$A:$J, 10, 0), "not ICG SWFW")</f>
        <v>0</v>
      </c>
      <c r="O146" s="7">
        <f>IF(drvlst[[#This Row],[reviewer]]=drvlst[[#This Row],[tmp-owner.email]], "author", _xlfn.IFNA(VLOOKUP(drvlst[[#This Row],[reviewer]],OrgTree!$A:$J, 10, 0), "not ICG SWFW"))</f>
        <v>0</v>
      </c>
      <c r="P146" s="7" t="str">
        <f>IF(ISBLANK(drvlst[[#This Row],[number]]), "",SUM(drvlst[[#This Row],[BJ -1 num]],drvlst[[#This Row],[FI -1 num]]))</f>
        <v/>
      </c>
      <c r="Q146" s="7" t="str">
        <f>IF(ISBLANK(drvlst[[#This Row],[number]]), "",COUNTIFS($A:$A,drvlst[[#This Row],[tmp-number]],$O:$O, "BJ And dev",$U:$U, "Review-1"))</f>
        <v/>
      </c>
      <c r="R146" s="7" t="str">
        <f>IF(ISBLANK(drvlst[[#This Row],[number]]), "",COUNTIFS($A:$A,drvlst[[#This Row],[tmp-number]],$O:$O, "FL And dev",$U:$U, "Review-1"))</f>
        <v/>
      </c>
      <c r="S146" t="str">
        <f>IF(ISBLANK(drvlst[[#This Row],[number]]), "",COUNTIFS($A:$A,drvlst[[#This Row],[tmp-number]],$O:$O, "BJ And dev",$V:$V, "&lt;&gt;IntegratorComment"))</f>
        <v/>
      </c>
      <c r="T146" t="str">
        <f>IF(ISBLANK(drvlst[[#This Row],[number]]), "",COUNTIFS($A:$A,drvlst[[#This Row],[tmp-number]],$O:$O, "FL And dev",$V:$V, "&lt;&gt;IntegratorComment"))</f>
        <v/>
      </c>
      <c r="U146" t="str">
        <f>IF(OR(ISNUMBER(FIND("Review-1", drvlst[[#This Row],[comments]])), ISNUMBER(FIND("Approver-1", drvlst[[#This Row],[comments]]))), "Review-1", "")</f>
        <v/>
      </c>
      <c r="V146" s="7" t="str">
        <f>IF(OR(ISNUMBER(FIND(": Integrator", drvlst[[#This Row],[comments]])), ISNUMBER(FIND(":\n\nIntegrator", drvlst[[#This Row],[comments]])), ISNUMBER(FIND("-Integrator", drvlst[[#This Row],[comments]]))), "IntegratorComment", "")</f>
        <v/>
      </c>
      <c r="W146" s="7" t="str">
        <f>IF(ISBLANK(drvlst[[#This Row],[status]]),W145,drvlst[[#This Row],[status]])</f>
        <v>MERGED</v>
      </c>
    </row>
    <row r="147" spans="1:23">
      <c r="A147" s="7">
        <f>IF(ISBLANK(drvlst[[#This Row],[number]]),A146,drvlst[[#This Row],[number]])</f>
        <v>95793</v>
      </c>
      <c r="J147" t="s">
        <v>91</v>
      </c>
      <c r="K147" s="8">
        <v>42388.74627314815</v>
      </c>
      <c r="L147" t="s">
        <v>58</v>
      </c>
      <c r="M147" s="7" t="str">
        <f>IF(ISBLANK(drvlst[[#This Row],[owner.emal]]),M146,drvlst[[#This Row],[owner.emal]])</f>
        <v>vinod.govindapillai@intel.com</v>
      </c>
      <c r="N147">
        <f>_xlfn.IFNA(VLOOKUP(drvlst[[#This Row],[tmp-owner.email]],OrgTree!$A:$J, 10, 0), "not ICG SWFW")</f>
        <v>0</v>
      </c>
      <c r="O147" s="7">
        <f>IF(drvlst[[#This Row],[reviewer]]=drvlst[[#This Row],[tmp-owner.email]], "author", _xlfn.IFNA(VLOOKUP(drvlst[[#This Row],[reviewer]],OrgTree!$A:$J, 10, 0), "not ICG SWFW"))</f>
        <v>0</v>
      </c>
      <c r="P147" s="7" t="str">
        <f>IF(ISBLANK(drvlst[[#This Row],[number]]), "",SUM(drvlst[[#This Row],[BJ -1 num]],drvlst[[#This Row],[FI -1 num]]))</f>
        <v/>
      </c>
      <c r="Q147" s="7" t="str">
        <f>IF(ISBLANK(drvlst[[#This Row],[number]]), "",COUNTIFS($A:$A,drvlst[[#This Row],[tmp-number]],$O:$O, "BJ And dev",$U:$U, "Review-1"))</f>
        <v/>
      </c>
      <c r="R147" s="7" t="str">
        <f>IF(ISBLANK(drvlst[[#This Row],[number]]), "",COUNTIFS($A:$A,drvlst[[#This Row],[tmp-number]],$O:$O, "FL And dev",$U:$U, "Review-1"))</f>
        <v/>
      </c>
      <c r="S147" t="str">
        <f>IF(ISBLANK(drvlst[[#This Row],[number]]), "",COUNTIFS($A:$A,drvlst[[#This Row],[tmp-number]],$O:$O, "BJ And dev",$V:$V, "&lt;&gt;IntegratorComment"))</f>
        <v/>
      </c>
      <c r="T147" t="str">
        <f>IF(ISBLANK(drvlst[[#This Row],[number]]), "",COUNTIFS($A:$A,drvlst[[#This Row],[tmp-number]],$O:$O, "FL And dev",$V:$V, "&lt;&gt;IntegratorComment"))</f>
        <v/>
      </c>
      <c r="U147" t="str">
        <f>IF(OR(ISNUMBER(FIND("Review-1", drvlst[[#This Row],[comments]])), ISNUMBER(FIND("Approver-1", drvlst[[#This Row],[comments]]))), "Review-1", "")</f>
        <v/>
      </c>
      <c r="V147" s="7" t="str">
        <f>IF(OR(ISNUMBER(FIND(": Integrator", drvlst[[#This Row],[comments]])), ISNUMBER(FIND(":\n\nIntegrator", drvlst[[#This Row],[comments]])), ISNUMBER(FIND("-Integrator", drvlst[[#This Row],[comments]]))), "IntegratorComment", "")</f>
        <v/>
      </c>
      <c r="W147" s="7" t="str">
        <f>IF(ISBLANK(drvlst[[#This Row],[status]]),W146,drvlst[[#This Row],[status]])</f>
        <v>MERGED</v>
      </c>
    </row>
    <row r="148" spans="1:23">
      <c r="A148" s="7">
        <f>IF(ISBLANK(drvlst[[#This Row],[number]]),A147,drvlst[[#This Row],[number]])</f>
        <v>95793</v>
      </c>
      <c r="J148" t="s">
        <v>34</v>
      </c>
      <c r="K148" s="8">
        <v>42389.596805555557</v>
      </c>
      <c r="L148" t="s">
        <v>87</v>
      </c>
      <c r="M148" s="7" t="str">
        <f>IF(ISBLANK(drvlst[[#This Row],[owner.emal]]),M147,drvlst[[#This Row],[owner.emal]])</f>
        <v>vinod.govindapillai@intel.com</v>
      </c>
      <c r="N148">
        <f>_xlfn.IFNA(VLOOKUP(drvlst[[#This Row],[tmp-owner.email]],OrgTree!$A:$J, 10, 0), "not ICG SWFW")</f>
        <v>0</v>
      </c>
      <c r="O148" s="7">
        <f>IF(drvlst[[#This Row],[reviewer]]=drvlst[[#This Row],[tmp-owner.email]], "author", _xlfn.IFNA(VLOOKUP(drvlst[[#This Row],[reviewer]],OrgTree!$A:$J, 10, 0), "not ICG SWFW"))</f>
        <v>0</v>
      </c>
      <c r="P148" s="7" t="str">
        <f>IF(ISBLANK(drvlst[[#This Row],[number]]), "",SUM(drvlst[[#This Row],[BJ -1 num]],drvlst[[#This Row],[FI -1 num]]))</f>
        <v/>
      </c>
      <c r="Q148" s="7" t="str">
        <f>IF(ISBLANK(drvlst[[#This Row],[number]]), "",COUNTIFS($A:$A,drvlst[[#This Row],[tmp-number]],$O:$O, "BJ And dev",$U:$U, "Review-1"))</f>
        <v/>
      </c>
      <c r="R148" s="7" t="str">
        <f>IF(ISBLANK(drvlst[[#This Row],[number]]), "",COUNTIFS($A:$A,drvlst[[#This Row],[tmp-number]],$O:$O, "FL And dev",$U:$U, "Review-1"))</f>
        <v/>
      </c>
      <c r="S148" t="str">
        <f>IF(ISBLANK(drvlst[[#This Row],[number]]), "",COUNTIFS($A:$A,drvlst[[#This Row],[tmp-number]],$O:$O, "BJ And dev",$V:$V, "&lt;&gt;IntegratorComment"))</f>
        <v/>
      </c>
      <c r="T148" t="str">
        <f>IF(ISBLANK(drvlst[[#This Row],[number]]), "",COUNTIFS($A:$A,drvlst[[#This Row],[tmp-number]],$O:$O, "FL And dev",$V:$V, "&lt;&gt;IntegratorComment"))</f>
        <v/>
      </c>
      <c r="U148" t="str">
        <f>IF(OR(ISNUMBER(FIND("Review-1", drvlst[[#This Row],[comments]])), ISNUMBER(FIND("Approver-1", drvlst[[#This Row],[comments]]))), "Review-1", "")</f>
        <v/>
      </c>
      <c r="V148" s="7" t="str">
        <f>IF(OR(ISNUMBER(FIND(": Integrator", drvlst[[#This Row],[comments]])), ISNUMBER(FIND(":\n\nIntegrator", drvlst[[#This Row],[comments]])), ISNUMBER(FIND("-Integrator", drvlst[[#This Row],[comments]]))), "IntegratorComment", "")</f>
        <v>IntegratorComment</v>
      </c>
      <c r="W148" s="7" t="str">
        <f>IF(ISBLANK(drvlst[[#This Row],[status]]),W147,drvlst[[#This Row],[status]])</f>
        <v>MERGED</v>
      </c>
    </row>
    <row r="149" spans="1:23">
      <c r="A149" s="7">
        <f>IF(ISBLANK(drvlst[[#This Row],[number]]),A148,drvlst[[#This Row],[number]])</f>
        <v>95793</v>
      </c>
      <c r="J149" t="s">
        <v>34</v>
      </c>
      <c r="K149" s="8">
        <v>42389.773217592592</v>
      </c>
      <c r="L149" t="s">
        <v>88</v>
      </c>
      <c r="M149" s="7" t="str">
        <f>IF(ISBLANK(drvlst[[#This Row],[owner.emal]]),M148,drvlst[[#This Row],[owner.emal]])</f>
        <v>vinod.govindapillai@intel.com</v>
      </c>
      <c r="N149">
        <f>_xlfn.IFNA(VLOOKUP(drvlst[[#This Row],[tmp-owner.email]],OrgTree!$A:$J, 10, 0), "not ICG SWFW")</f>
        <v>0</v>
      </c>
      <c r="O149" s="7">
        <f>IF(drvlst[[#This Row],[reviewer]]=drvlst[[#This Row],[tmp-owner.email]], "author", _xlfn.IFNA(VLOOKUP(drvlst[[#This Row],[reviewer]],OrgTree!$A:$J, 10, 0), "not ICG SWFW"))</f>
        <v>0</v>
      </c>
      <c r="P149" s="7" t="str">
        <f>IF(ISBLANK(drvlst[[#This Row],[number]]), "",SUM(drvlst[[#This Row],[BJ -1 num]],drvlst[[#This Row],[FI -1 num]]))</f>
        <v/>
      </c>
      <c r="Q149" s="7" t="str">
        <f>IF(ISBLANK(drvlst[[#This Row],[number]]), "",COUNTIFS($A:$A,drvlst[[#This Row],[tmp-number]],$O:$O, "BJ And dev",$U:$U, "Review-1"))</f>
        <v/>
      </c>
      <c r="R149" s="7" t="str">
        <f>IF(ISBLANK(drvlst[[#This Row],[number]]), "",COUNTIFS($A:$A,drvlst[[#This Row],[tmp-number]],$O:$O, "FL And dev",$U:$U, "Review-1"))</f>
        <v/>
      </c>
      <c r="S149" t="str">
        <f>IF(ISBLANK(drvlst[[#This Row],[number]]), "",COUNTIFS($A:$A,drvlst[[#This Row],[tmp-number]],$O:$O, "BJ And dev",$V:$V, "&lt;&gt;IntegratorComment"))</f>
        <v/>
      </c>
      <c r="T149" t="str">
        <f>IF(ISBLANK(drvlst[[#This Row],[number]]), "",COUNTIFS($A:$A,drvlst[[#This Row],[tmp-number]],$O:$O, "FL And dev",$V:$V, "&lt;&gt;IntegratorComment"))</f>
        <v/>
      </c>
      <c r="U149" t="str">
        <f>IF(OR(ISNUMBER(FIND("Review-1", drvlst[[#This Row],[comments]])), ISNUMBER(FIND("Approver-1", drvlst[[#This Row],[comments]]))), "Review-1", "")</f>
        <v/>
      </c>
      <c r="V149" s="7" t="str">
        <f>IF(OR(ISNUMBER(FIND(": Integrator", drvlst[[#This Row],[comments]])), ISNUMBER(FIND(":\n\nIntegrator", drvlst[[#This Row],[comments]])), ISNUMBER(FIND("-Integrator", drvlst[[#This Row],[comments]]))), "IntegratorComment", "")</f>
        <v/>
      </c>
      <c r="W149" s="7" t="str">
        <f>IF(ISBLANK(drvlst[[#This Row],[status]]),W148,drvlst[[#This Row],[status]])</f>
        <v>MERGED</v>
      </c>
    </row>
    <row r="150" spans="1:23">
      <c r="A150" s="7">
        <f>IF(ISBLANK(drvlst[[#This Row],[number]]),A149,drvlst[[#This Row],[number]])</f>
        <v>95793</v>
      </c>
      <c r="J150" t="s">
        <v>34</v>
      </c>
      <c r="K150" s="8">
        <v>42389.775694444441</v>
      </c>
      <c r="L150" t="s">
        <v>89</v>
      </c>
      <c r="M150" s="7" t="str">
        <f>IF(ISBLANK(drvlst[[#This Row],[owner.emal]]),M149,drvlst[[#This Row],[owner.emal]])</f>
        <v>vinod.govindapillai@intel.com</v>
      </c>
      <c r="N150">
        <f>_xlfn.IFNA(VLOOKUP(drvlst[[#This Row],[tmp-owner.email]],OrgTree!$A:$J, 10, 0), "not ICG SWFW")</f>
        <v>0</v>
      </c>
      <c r="O150" s="7">
        <f>IF(drvlst[[#This Row],[reviewer]]=drvlst[[#This Row],[tmp-owner.email]], "author", _xlfn.IFNA(VLOOKUP(drvlst[[#This Row],[reviewer]],OrgTree!$A:$J, 10, 0), "not ICG SWFW"))</f>
        <v>0</v>
      </c>
      <c r="P150" s="7" t="str">
        <f>IF(ISBLANK(drvlst[[#This Row],[number]]), "",SUM(drvlst[[#This Row],[BJ -1 num]],drvlst[[#This Row],[FI -1 num]]))</f>
        <v/>
      </c>
      <c r="Q150" s="7" t="str">
        <f>IF(ISBLANK(drvlst[[#This Row],[number]]), "",COUNTIFS($A:$A,drvlst[[#This Row],[tmp-number]],$O:$O, "BJ And dev",$U:$U, "Review-1"))</f>
        <v/>
      </c>
      <c r="R150" s="7" t="str">
        <f>IF(ISBLANK(drvlst[[#This Row],[number]]), "",COUNTIFS($A:$A,drvlst[[#This Row],[tmp-number]],$O:$O, "FL And dev",$U:$U, "Review-1"))</f>
        <v/>
      </c>
      <c r="S150" t="str">
        <f>IF(ISBLANK(drvlst[[#This Row],[number]]), "",COUNTIFS($A:$A,drvlst[[#This Row],[tmp-number]],$O:$O, "BJ And dev",$V:$V, "&lt;&gt;IntegratorComment"))</f>
        <v/>
      </c>
      <c r="T150" t="str">
        <f>IF(ISBLANK(drvlst[[#This Row],[number]]), "",COUNTIFS($A:$A,drvlst[[#This Row],[tmp-number]],$O:$O, "FL And dev",$V:$V, "&lt;&gt;IntegratorComment"))</f>
        <v/>
      </c>
      <c r="U150" t="str">
        <f>IF(OR(ISNUMBER(FIND("Review-1", drvlst[[#This Row],[comments]])), ISNUMBER(FIND("Approver-1", drvlst[[#This Row],[comments]]))), "Review-1", "")</f>
        <v/>
      </c>
      <c r="V150" s="7" t="str">
        <f>IF(OR(ISNUMBER(FIND(": Integrator", drvlst[[#This Row],[comments]])), ISNUMBER(FIND(":\n\nIntegrator", drvlst[[#This Row],[comments]])), ISNUMBER(FIND("-Integrator", drvlst[[#This Row],[comments]]))), "IntegratorComment", "")</f>
        <v/>
      </c>
      <c r="W150" s="7" t="str">
        <f>IF(ISBLANK(drvlst[[#This Row],[status]]),W149,drvlst[[#This Row],[status]])</f>
        <v>MERGED</v>
      </c>
    </row>
    <row r="151" spans="1:23">
      <c r="A151" s="7">
        <f>IF(ISBLANK(drvlst[[#This Row],[number]]),A150,drvlst[[#This Row],[number]])</f>
        <v>95793</v>
      </c>
      <c r="J151" t="s">
        <v>34</v>
      </c>
      <c r="K151" s="8">
        <v>42389.856354166666</v>
      </c>
      <c r="L151" t="s">
        <v>89</v>
      </c>
      <c r="M151" s="7" t="str">
        <f>IF(ISBLANK(drvlst[[#This Row],[owner.emal]]),M150,drvlst[[#This Row],[owner.emal]])</f>
        <v>vinod.govindapillai@intel.com</v>
      </c>
      <c r="N151">
        <f>_xlfn.IFNA(VLOOKUP(drvlst[[#This Row],[tmp-owner.email]],OrgTree!$A:$J, 10, 0), "not ICG SWFW")</f>
        <v>0</v>
      </c>
      <c r="O151" s="7">
        <f>IF(drvlst[[#This Row],[reviewer]]=drvlst[[#This Row],[tmp-owner.email]], "author", _xlfn.IFNA(VLOOKUP(drvlst[[#This Row],[reviewer]],OrgTree!$A:$J, 10, 0), "not ICG SWFW"))</f>
        <v>0</v>
      </c>
      <c r="P151" s="7" t="str">
        <f>IF(ISBLANK(drvlst[[#This Row],[number]]), "",SUM(drvlst[[#This Row],[BJ -1 num]],drvlst[[#This Row],[FI -1 num]]))</f>
        <v/>
      </c>
      <c r="Q151" s="7" t="str">
        <f>IF(ISBLANK(drvlst[[#This Row],[number]]), "",COUNTIFS($A:$A,drvlst[[#This Row],[tmp-number]],$O:$O, "BJ And dev",$U:$U, "Review-1"))</f>
        <v/>
      </c>
      <c r="R151" s="7" t="str">
        <f>IF(ISBLANK(drvlst[[#This Row],[number]]), "",COUNTIFS($A:$A,drvlst[[#This Row],[tmp-number]],$O:$O, "FL And dev",$U:$U, "Review-1"))</f>
        <v/>
      </c>
      <c r="S151" t="str">
        <f>IF(ISBLANK(drvlst[[#This Row],[number]]), "",COUNTIFS($A:$A,drvlst[[#This Row],[tmp-number]],$O:$O, "BJ And dev",$V:$V, "&lt;&gt;IntegratorComment"))</f>
        <v/>
      </c>
      <c r="T151" t="str">
        <f>IF(ISBLANK(drvlst[[#This Row],[number]]), "",COUNTIFS($A:$A,drvlst[[#This Row],[tmp-number]],$O:$O, "FL And dev",$V:$V, "&lt;&gt;IntegratorComment"))</f>
        <v/>
      </c>
      <c r="U151" t="str">
        <f>IF(OR(ISNUMBER(FIND("Review-1", drvlst[[#This Row],[comments]])), ISNUMBER(FIND("Approver-1", drvlst[[#This Row],[comments]]))), "Review-1", "")</f>
        <v/>
      </c>
      <c r="V151" s="7" t="str">
        <f>IF(OR(ISNUMBER(FIND(": Integrator", drvlst[[#This Row],[comments]])), ISNUMBER(FIND(":\n\nIntegrator", drvlst[[#This Row],[comments]])), ISNUMBER(FIND("-Integrator", drvlst[[#This Row],[comments]]))), "IntegratorComment", "")</f>
        <v/>
      </c>
      <c r="W151" s="7" t="str">
        <f>IF(ISBLANK(drvlst[[#This Row],[status]]),W150,drvlst[[#This Row],[status]])</f>
        <v>MERGED</v>
      </c>
    </row>
    <row r="152" spans="1:23">
      <c r="A152" s="7">
        <f>IF(ISBLANK(drvlst[[#This Row],[number]]),A151,drvlst[[#This Row],[number]])</f>
        <v>95793</v>
      </c>
      <c r="J152" t="s">
        <v>34</v>
      </c>
      <c r="K152" s="8">
        <v>42389.905115740738</v>
      </c>
      <c r="L152" t="s">
        <v>88</v>
      </c>
      <c r="M152" s="7" t="str">
        <f>IF(ISBLANK(drvlst[[#This Row],[owner.emal]]),M151,drvlst[[#This Row],[owner.emal]])</f>
        <v>vinod.govindapillai@intel.com</v>
      </c>
      <c r="N152">
        <f>_xlfn.IFNA(VLOOKUP(drvlst[[#This Row],[tmp-owner.email]],OrgTree!$A:$J, 10, 0), "not ICG SWFW")</f>
        <v>0</v>
      </c>
      <c r="O152" s="7">
        <f>IF(drvlst[[#This Row],[reviewer]]=drvlst[[#This Row],[tmp-owner.email]], "author", _xlfn.IFNA(VLOOKUP(drvlst[[#This Row],[reviewer]],OrgTree!$A:$J, 10, 0), "not ICG SWFW"))</f>
        <v>0</v>
      </c>
      <c r="P152" s="7" t="str">
        <f>IF(ISBLANK(drvlst[[#This Row],[number]]), "",SUM(drvlst[[#This Row],[BJ -1 num]],drvlst[[#This Row],[FI -1 num]]))</f>
        <v/>
      </c>
      <c r="Q152" s="7" t="str">
        <f>IF(ISBLANK(drvlst[[#This Row],[number]]), "",COUNTIFS($A:$A,drvlst[[#This Row],[tmp-number]],$O:$O, "BJ And dev",$U:$U, "Review-1"))</f>
        <v/>
      </c>
      <c r="R152" s="7" t="str">
        <f>IF(ISBLANK(drvlst[[#This Row],[number]]), "",COUNTIFS($A:$A,drvlst[[#This Row],[tmp-number]],$O:$O, "FL And dev",$U:$U, "Review-1"))</f>
        <v/>
      </c>
      <c r="S152" t="str">
        <f>IF(ISBLANK(drvlst[[#This Row],[number]]), "",COUNTIFS($A:$A,drvlst[[#This Row],[tmp-number]],$O:$O, "BJ And dev",$V:$V, "&lt;&gt;IntegratorComment"))</f>
        <v/>
      </c>
      <c r="T152" t="str">
        <f>IF(ISBLANK(drvlst[[#This Row],[number]]), "",COUNTIFS($A:$A,drvlst[[#This Row],[tmp-number]],$O:$O, "FL And dev",$V:$V, "&lt;&gt;IntegratorComment"))</f>
        <v/>
      </c>
      <c r="U152" t="str">
        <f>IF(OR(ISNUMBER(FIND("Review-1", drvlst[[#This Row],[comments]])), ISNUMBER(FIND("Approver-1", drvlst[[#This Row],[comments]]))), "Review-1", "")</f>
        <v/>
      </c>
      <c r="V152" s="7" t="str">
        <f>IF(OR(ISNUMBER(FIND(": Integrator", drvlst[[#This Row],[comments]])), ISNUMBER(FIND(":\n\nIntegrator", drvlst[[#This Row],[comments]])), ISNUMBER(FIND("-Integrator", drvlst[[#This Row],[comments]]))), "IntegratorComment", "")</f>
        <v/>
      </c>
      <c r="W152" s="7" t="str">
        <f>IF(ISBLANK(drvlst[[#This Row],[status]]),W151,drvlst[[#This Row],[status]])</f>
        <v>MERGED</v>
      </c>
    </row>
    <row r="153" spans="1:23">
      <c r="A153" s="7">
        <f>IF(ISBLANK(drvlst[[#This Row],[number]]),A152,drvlst[[#This Row],[number]])</f>
        <v>95793</v>
      </c>
      <c r="J153" t="s">
        <v>34</v>
      </c>
      <c r="K153" s="8">
        <v>42390.419386574074</v>
      </c>
      <c r="L153" t="s">
        <v>67</v>
      </c>
      <c r="M153" s="7" t="str">
        <f>IF(ISBLANK(drvlst[[#This Row],[owner.emal]]),M152,drvlst[[#This Row],[owner.emal]])</f>
        <v>vinod.govindapillai@intel.com</v>
      </c>
      <c r="N153">
        <f>_xlfn.IFNA(VLOOKUP(drvlst[[#This Row],[tmp-owner.email]],OrgTree!$A:$J, 10, 0), "not ICG SWFW")</f>
        <v>0</v>
      </c>
      <c r="O153" s="7">
        <f>IF(drvlst[[#This Row],[reviewer]]=drvlst[[#This Row],[tmp-owner.email]], "author", _xlfn.IFNA(VLOOKUP(drvlst[[#This Row],[reviewer]],OrgTree!$A:$J, 10, 0), "not ICG SWFW"))</f>
        <v>0</v>
      </c>
      <c r="P153" s="7" t="str">
        <f>IF(ISBLANK(drvlst[[#This Row],[number]]), "",SUM(drvlst[[#This Row],[BJ -1 num]],drvlst[[#This Row],[FI -1 num]]))</f>
        <v/>
      </c>
      <c r="Q153" s="7" t="str">
        <f>IF(ISBLANK(drvlst[[#This Row],[number]]), "",COUNTIFS($A:$A,drvlst[[#This Row],[tmp-number]],$O:$O, "BJ And dev",$U:$U, "Review-1"))</f>
        <v/>
      </c>
      <c r="R153" s="7" t="str">
        <f>IF(ISBLANK(drvlst[[#This Row],[number]]), "",COUNTIFS($A:$A,drvlst[[#This Row],[tmp-number]],$O:$O, "FL And dev",$U:$U, "Review-1"))</f>
        <v/>
      </c>
      <c r="S153" t="str">
        <f>IF(ISBLANK(drvlst[[#This Row],[number]]), "",COUNTIFS($A:$A,drvlst[[#This Row],[tmp-number]],$O:$O, "BJ And dev",$V:$V, "&lt;&gt;IntegratorComment"))</f>
        <v/>
      </c>
      <c r="T153" t="str">
        <f>IF(ISBLANK(drvlst[[#This Row],[number]]), "",COUNTIFS($A:$A,drvlst[[#This Row],[tmp-number]],$O:$O, "FL And dev",$V:$V, "&lt;&gt;IntegratorComment"))</f>
        <v/>
      </c>
      <c r="U153" t="str">
        <f>IF(OR(ISNUMBER(FIND("Review-1", drvlst[[#This Row],[comments]])), ISNUMBER(FIND("Approver-1", drvlst[[#This Row],[comments]]))), "Review-1", "")</f>
        <v/>
      </c>
      <c r="V153" s="7" t="str">
        <f>IF(OR(ISNUMBER(FIND(": Integrator", drvlst[[#This Row],[comments]])), ISNUMBER(FIND(":\n\nIntegrator", drvlst[[#This Row],[comments]])), ISNUMBER(FIND("-Integrator", drvlst[[#This Row],[comments]]))), "IntegratorComment", "")</f>
        <v/>
      </c>
      <c r="W153" s="7" t="str">
        <f>IF(ISBLANK(drvlst[[#This Row],[status]]),W152,drvlst[[#This Row],[status]])</f>
        <v>MERGED</v>
      </c>
    </row>
    <row r="154" spans="1:23">
      <c r="A154" s="7">
        <f>IF(ISBLANK(drvlst[[#This Row],[number]]),A153,drvlst[[#This Row],[number]])</f>
        <v>95793</v>
      </c>
      <c r="J154" t="s">
        <v>38</v>
      </c>
      <c r="K154" s="8">
        <v>42390.512476851851</v>
      </c>
      <c r="L154" t="s">
        <v>1941</v>
      </c>
      <c r="M154" s="7" t="str">
        <f>IF(ISBLANK(drvlst[[#This Row],[owner.emal]]),M153,drvlst[[#This Row],[owner.emal]])</f>
        <v>vinod.govindapillai@intel.com</v>
      </c>
      <c r="N154">
        <f>_xlfn.IFNA(VLOOKUP(drvlst[[#This Row],[tmp-owner.email]],OrgTree!$A:$J, 10, 0), "not ICG SWFW")</f>
        <v>0</v>
      </c>
      <c r="O154" s="7">
        <f>IF(drvlst[[#This Row],[reviewer]]=drvlst[[#This Row],[tmp-owner.email]], "author", _xlfn.IFNA(VLOOKUP(drvlst[[#This Row],[reviewer]],OrgTree!$A:$J, 10, 0), "not ICG SWFW"))</f>
        <v>0</v>
      </c>
      <c r="P154" s="7" t="str">
        <f>IF(ISBLANK(drvlst[[#This Row],[number]]), "",SUM(drvlst[[#This Row],[BJ -1 num]],drvlst[[#This Row],[FI -1 num]]))</f>
        <v/>
      </c>
      <c r="Q154" s="7" t="str">
        <f>IF(ISBLANK(drvlst[[#This Row],[number]]), "",COUNTIFS($A:$A,drvlst[[#This Row],[tmp-number]],$O:$O, "BJ And dev",$U:$U, "Review-1"))</f>
        <v/>
      </c>
      <c r="R154" s="7" t="str">
        <f>IF(ISBLANK(drvlst[[#This Row],[number]]), "",COUNTIFS($A:$A,drvlst[[#This Row],[tmp-number]],$O:$O, "FL And dev",$U:$U, "Review-1"))</f>
        <v/>
      </c>
      <c r="S154" t="str">
        <f>IF(ISBLANK(drvlst[[#This Row],[number]]), "",COUNTIFS($A:$A,drvlst[[#This Row],[tmp-number]],$O:$O, "BJ And dev",$V:$V, "&lt;&gt;IntegratorComment"))</f>
        <v/>
      </c>
      <c r="T154" t="str">
        <f>IF(ISBLANK(drvlst[[#This Row],[number]]), "",COUNTIFS($A:$A,drvlst[[#This Row],[tmp-number]],$O:$O, "FL And dev",$V:$V, "&lt;&gt;IntegratorComment"))</f>
        <v/>
      </c>
      <c r="U154" t="str">
        <f>IF(OR(ISNUMBER(FIND("Review-1", drvlst[[#This Row],[comments]])), ISNUMBER(FIND("Approver-1", drvlst[[#This Row],[comments]]))), "Review-1", "")</f>
        <v/>
      </c>
      <c r="V154" s="7" t="str">
        <f>IF(OR(ISNUMBER(FIND(": Integrator", drvlst[[#This Row],[comments]])), ISNUMBER(FIND(":\n\nIntegrator", drvlst[[#This Row],[comments]])), ISNUMBER(FIND("-Integrator", drvlst[[#This Row],[comments]]))), "IntegratorComment", "")</f>
        <v/>
      </c>
      <c r="W154" s="7" t="str">
        <f>IF(ISBLANK(drvlst[[#This Row],[status]]),W153,drvlst[[#This Row],[status]])</f>
        <v>MERGED</v>
      </c>
    </row>
    <row r="155" spans="1:23">
      <c r="A155" s="7">
        <f>IF(ISBLANK(drvlst[[#This Row],[number]]),A154,drvlst[[#This Row],[number]])</f>
        <v>95793</v>
      </c>
      <c r="J155" t="s">
        <v>34</v>
      </c>
      <c r="K155" s="8">
        <v>42390.551608796297</v>
      </c>
      <c r="L155" t="s">
        <v>67</v>
      </c>
      <c r="M155" s="7" t="str">
        <f>IF(ISBLANK(drvlst[[#This Row],[owner.emal]]),M154,drvlst[[#This Row],[owner.emal]])</f>
        <v>vinod.govindapillai@intel.com</v>
      </c>
      <c r="N155">
        <f>_xlfn.IFNA(VLOOKUP(drvlst[[#This Row],[tmp-owner.email]],OrgTree!$A:$J, 10, 0), "not ICG SWFW")</f>
        <v>0</v>
      </c>
      <c r="O155" s="7">
        <f>IF(drvlst[[#This Row],[reviewer]]=drvlst[[#This Row],[tmp-owner.email]], "author", _xlfn.IFNA(VLOOKUP(drvlst[[#This Row],[reviewer]],OrgTree!$A:$J, 10, 0), "not ICG SWFW"))</f>
        <v>0</v>
      </c>
      <c r="P155" s="7" t="str">
        <f>IF(ISBLANK(drvlst[[#This Row],[number]]), "",SUM(drvlst[[#This Row],[BJ -1 num]],drvlst[[#This Row],[FI -1 num]]))</f>
        <v/>
      </c>
      <c r="Q155" s="7" t="str">
        <f>IF(ISBLANK(drvlst[[#This Row],[number]]), "",COUNTIFS($A:$A,drvlst[[#This Row],[tmp-number]],$O:$O, "BJ And dev",$U:$U, "Review-1"))</f>
        <v/>
      </c>
      <c r="R155" s="7" t="str">
        <f>IF(ISBLANK(drvlst[[#This Row],[number]]), "",COUNTIFS($A:$A,drvlst[[#This Row],[tmp-number]],$O:$O, "FL And dev",$U:$U, "Review-1"))</f>
        <v/>
      </c>
      <c r="S155" t="str">
        <f>IF(ISBLANK(drvlst[[#This Row],[number]]), "",COUNTIFS($A:$A,drvlst[[#This Row],[tmp-number]],$O:$O, "BJ And dev",$V:$V, "&lt;&gt;IntegratorComment"))</f>
        <v/>
      </c>
      <c r="T155" t="str">
        <f>IF(ISBLANK(drvlst[[#This Row],[number]]), "",COUNTIFS($A:$A,drvlst[[#This Row],[tmp-number]],$O:$O, "FL And dev",$V:$V, "&lt;&gt;IntegratorComment"))</f>
        <v/>
      </c>
      <c r="U155" t="str">
        <f>IF(OR(ISNUMBER(FIND("Review-1", drvlst[[#This Row],[comments]])), ISNUMBER(FIND("Approver-1", drvlst[[#This Row],[comments]]))), "Review-1", "")</f>
        <v/>
      </c>
      <c r="V155" s="7" t="str">
        <f>IF(OR(ISNUMBER(FIND(": Integrator", drvlst[[#This Row],[comments]])), ISNUMBER(FIND(":\n\nIntegrator", drvlst[[#This Row],[comments]])), ISNUMBER(FIND("-Integrator", drvlst[[#This Row],[comments]]))), "IntegratorComment", "")</f>
        <v/>
      </c>
      <c r="W155" s="7" t="str">
        <f>IF(ISBLANK(drvlst[[#This Row],[status]]),W154,drvlst[[#This Row],[status]])</f>
        <v>MERGED</v>
      </c>
    </row>
    <row r="156" spans="1:23">
      <c r="A156" s="7">
        <f>IF(ISBLANK(drvlst[[#This Row],[number]]),A155,drvlst[[#This Row],[number]])</f>
        <v>95793</v>
      </c>
      <c r="J156" t="s">
        <v>34</v>
      </c>
      <c r="K156" s="8">
        <v>42390.598391203705</v>
      </c>
      <c r="L156" t="s">
        <v>90</v>
      </c>
      <c r="M156" s="7" t="str">
        <f>IF(ISBLANK(drvlst[[#This Row],[owner.emal]]),M155,drvlst[[#This Row],[owner.emal]])</f>
        <v>vinod.govindapillai@intel.com</v>
      </c>
      <c r="N156">
        <f>_xlfn.IFNA(VLOOKUP(drvlst[[#This Row],[tmp-owner.email]],OrgTree!$A:$J, 10, 0), "not ICG SWFW")</f>
        <v>0</v>
      </c>
      <c r="O156" s="7">
        <f>IF(drvlst[[#This Row],[reviewer]]=drvlst[[#This Row],[tmp-owner.email]], "author", _xlfn.IFNA(VLOOKUP(drvlst[[#This Row],[reviewer]],OrgTree!$A:$J, 10, 0), "not ICG SWFW"))</f>
        <v>0</v>
      </c>
      <c r="P156" s="7" t="str">
        <f>IF(ISBLANK(drvlst[[#This Row],[number]]), "",SUM(drvlst[[#This Row],[BJ -1 num]],drvlst[[#This Row],[FI -1 num]]))</f>
        <v/>
      </c>
      <c r="Q156" s="7" t="str">
        <f>IF(ISBLANK(drvlst[[#This Row],[number]]), "",COUNTIFS($A:$A,drvlst[[#This Row],[tmp-number]],$O:$O, "BJ And dev",$U:$U, "Review-1"))</f>
        <v/>
      </c>
      <c r="R156" s="7" t="str">
        <f>IF(ISBLANK(drvlst[[#This Row],[number]]), "",COUNTIFS($A:$A,drvlst[[#This Row],[tmp-number]],$O:$O, "FL And dev",$U:$U, "Review-1"))</f>
        <v/>
      </c>
      <c r="S156" t="str">
        <f>IF(ISBLANK(drvlst[[#This Row],[number]]), "",COUNTIFS($A:$A,drvlst[[#This Row],[tmp-number]],$O:$O, "BJ And dev",$V:$V, "&lt;&gt;IntegratorComment"))</f>
        <v/>
      </c>
      <c r="T156" t="str">
        <f>IF(ISBLANK(drvlst[[#This Row],[number]]), "",COUNTIFS($A:$A,drvlst[[#This Row],[tmp-number]],$O:$O, "FL And dev",$V:$V, "&lt;&gt;IntegratorComment"))</f>
        <v/>
      </c>
      <c r="U156" t="str">
        <f>IF(OR(ISNUMBER(FIND("Review-1", drvlst[[#This Row],[comments]])), ISNUMBER(FIND("Approver-1", drvlst[[#This Row],[comments]]))), "Review-1", "")</f>
        <v/>
      </c>
      <c r="V156" s="7" t="str">
        <f>IF(OR(ISNUMBER(FIND(": Integrator", drvlst[[#This Row],[comments]])), ISNUMBER(FIND(":\n\nIntegrator", drvlst[[#This Row],[comments]])), ISNUMBER(FIND("-Integrator", drvlst[[#This Row],[comments]]))), "IntegratorComment", "")</f>
        <v/>
      </c>
      <c r="W156" s="7" t="str">
        <f>IF(ISBLANK(drvlst[[#This Row],[status]]),W155,drvlst[[#This Row],[status]])</f>
        <v>MERGED</v>
      </c>
    </row>
    <row r="157" spans="1:23">
      <c r="A157" s="7">
        <f>IF(ISBLANK(drvlst[[#This Row],[number]]),A156,drvlst[[#This Row],[number]])</f>
        <v>95793</v>
      </c>
      <c r="J157" t="s">
        <v>34</v>
      </c>
      <c r="K157" s="8">
        <v>42390.648796296293</v>
      </c>
      <c r="L157" t="s">
        <v>1942</v>
      </c>
      <c r="M157" s="7" t="str">
        <f>IF(ISBLANK(drvlst[[#This Row],[owner.emal]]),M156,drvlst[[#This Row],[owner.emal]])</f>
        <v>vinod.govindapillai@intel.com</v>
      </c>
      <c r="N157">
        <f>_xlfn.IFNA(VLOOKUP(drvlst[[#This Row],[tmp-owner.email]],OrgTree!$A:$J, 10, 0), "not ICG SWFW")</f>
        <v>0</v>
      </c>
      <c r="O157" s="7">
        <f>IF(drvlst[[#This Row],[reviewer]]=drvlst[[#This Row],[tmp-owner.email]], "author", _xlfn.IFNA(VLOOKUP(drvlst[[#This Row],[reviewer]],OrgTree!$A:$J, 10, 0), "not ICG SWFW"))</f>
        <v>0</v>
      </c>
      <c r="P157" s="7" t="str">
        <f>IF(ISBLANK(drvlst[[#This Row],[number]]), "",SUM(drvlst[[#This Row],[BJ -1 num]],drvlst[[#This Row],[FI -1 num]]))</f>
        <v/>
      </c>
      <c r="Q157" s="7" t="str">
        <f>IF(ISBLANK(drvlst[[#This Row],[number]]), "",COUNTIFS($A:$A,drvlst[[#This Row],[tmp-number]],$O:$O, "BJ And dev",$U:$U, "Review-1"))</f>
        <v/>
      </c>
      <c r="R157" s="7" t="str">
        <f>IF(ISBLANK(drvlst[[#This Row],[number]]), "",COUNTIFS($A:$A,drvlst[[#This Row],[tmp-number]],$O:$O, "FL And dev",$U:$U, "Review-1"))</f>
        <v/>
      </c>
      <c r="S157" t="str">
        <f>IF(ISBLANK(drvlst[[#This Row],[number]]), "",COUNTIFS($A:$A,drvlst[[#This Row],[tmp-number]],$O:$O, "BJ And dev",$V:$V, "&lt;&gt;IntegratorComment"))</f>
        <v/>
      </c>
      <c r="T157" t="str">
        <f>IF(ISBLANK(drvlst[[#This Row],[number]]), "",COUNTIFS($A:$A,drvlst[[#This Row],[tmp-number]],$O:$O, "FL And dev",$V:$V, "&lt;&gt;IntegratorComment"))</f>
        <v/>
      </c>
      <c r="U157" t="str">
        <f>IF(OR(ISNUMBER(FIND("Review-1", drvlst[[#This Row],[comments]])), ISNUMBER(FIND("Approver-1", drvlst[[#This Row],[comments]]))), "Review-1", "")</f>
        <v/>
      </c>
      <c r="V157" s="7" t="str">
        <f>IF(OR(ISNUMBER(FIND(": Integrator", drvlst[[#This Row],[comments]])), ISNUMBER(FIND(":\n\nIntegrator", drvlst[[#This Row],[comments]])), ISNUMBER(FIND("-Integrator", drvlst[[#This Row],[comments]]))), "IntegratorComment", "")</f>
        <v>IntegratorComment</v>
      </c>
      <c r="W157" s="7" t="str">
        <f>IF(ISBLANK(drvlst[[#This Row],[status]]),W156,drvlst[[#This Row],[status]])</f>
        <v>MERGED</v>
      </c>
    </row>
    <row r="158" spans="1:23">
      <c r="A158" s="7">
        <f>IF(ISBLANK(drvlst[[#This Row],[number]]),A157,drvlst[[#This Row],[number]])</f>
        <v>95793</v>
      </c>
      <c r="J158" t="s">
        <v>101</v>
      </c>
      <c r="K158" s="8">
        <v>42390.663564814815</v>
      </c>
      <c r="L158" t="s">
        <v>29</v>
      </c>
      <c r="M158" s="7" t="str">
        <f>IF(ISBLANK(drvlst[[#This Row],[owner.emal]]),M157,drvlst[[#This Row],[owner.emal]])</f>
        <v>vinod.govindapillai@intel.com</v>
      </c>
      <c r="N158">
        <f>_xlfn.IFNA(VLOOKUP(drvlst[[#This Row],[tmp-owner.email]],OrgTree!$A:$J, 10, 0), "not ICG SWFW")</f>
        <v>0</v>
      </c>
      <c r="O158" s="7" t="str">
        <f>IF(drvlst[[#This Row],[reviewer]]=drvlst[[#This Row],[tmp-owner.email]], "author", _xlfn.IFNA(VLOOKUP(drvlst[[#This Row],[reviewer]],OrgTree!$A:$J, 10, 0), "not ICG SWFW"))</f>
        <v>author</v>
      </c>
      <c r="P158" s="7" t="str">
        <f>IF(ISBLANK(drvlst[[#This Row],[number]]), "",SUM(drvlst[[#This Row],[BJ -1 num]],drvlst[[#This Row],[FI -1 num]]))</f>
        <v/>
      </c>
      <c r="Q158" s="7" t="str">
        <f>IF(ISBLANK(drvlst[[#This Row],[number]]), "",COUNTIFS($A:$A,drvlst[[#This Row],[tmp-number]],$O:$O, "BJ And dev",$U:$U, "Review-1"))</f>
        <v/>
      </c>
      <c r="R158" s="7" t="str">
        <f>IF(ISBLANK(drvlst[[#This Row],[number]]), "",COUNTIFS($A:$A,drvlst[[#This Row],[tmp-number]],$O:$O, "FL And dev",$U:$U, "Review-1"))</f>
        <v/>
      </c>
      <c r="S158" t="str">
        <f>IF(ISBLANK(drvlst[[#This Row],[number]]), "",COUNTIFS($A:$A,drvlst[[#This Row],[tmp-number]],$O:$O, "BJ And dev",$V:$V, "&lt;&gt;IntegratorComment"))</f>
        <v/>
      </c>
      <c r="T158" t="str">
        <f>IF(ISBLANK(drvlst[[#This Row],[number]]), "",COUNTIFS($A:$A,drvlst[[#This Row],[tmp-number]],$O:$O, "FL And dev",$V:$V, "&lt;&gt;IntegratorComment"))</f>
        <v/>
      </c>
      <c r="U158" t="str">
        <f>IF(OR(ISNUMBER(FIND("Review-1", drvlst[[#This Row],[comments]])), ISNUMBER(FIND("Approver-1", drvlst[[#This Row],[comments]]))), "Review-1", "")</f>
        <v/>
      </c>
      <c r="V158" s="7" t="str">
        <f>IF(OR(ISNUMBER(FIND(": Integrator", drvlst[[#This Row],[comments]])), ISNUMBER(FIND(":\n\nIntegrator", drvlst[[#This Row],[comments]])), ISNUMBER(FIND("-Integrator", drvlst[[#This Row],[comments]]))), "IntegratorComment", "")</f>
        <v/>
      </c>
      <c r="W158" s="7" t="str">
        <f>IF(ISBLANK(drvlst[[#This Row],[status]]),W157,drvlst[[#This Row],[status]])</f>
        <v>MERGED</v>
      </c>
    </row>
    <row r="159" spans="1:23">
      <c r="A159" s="7">
        <f>IF(ISBLANK(drvlst[[#This Row],[number]]),A158,drvlst[[#This Row],[number]])</f>
        <v>95793</v>
      </c>
      <c r="J159" t="s">
        <v>101</v>
      </c>
      <c r="K159" s="8">
        <v>42390.663576388892</v>
      </c>
      <c r="L159" t="s">
        <v>92</v>
      </c>
      <c r="M159" s="7" t="str">
        <f>IF(ISBLANK(drvlst[[#This Row],[owner.emal]]),M158,drvlst[[#This Row],[owner.emal]])</f>
        <v>vinod.govindapillai@intel.com</v>
      </c>
      <c r="N159">
        <f>_xlfn.IFNA(VLOOKUP(drvlst[[#This Row],[tmp-owner.email]],OrgTree!$A:$J, 10, 0), "not ICG SWFW")</f>
        <v>0</v>
      </c>
      <c r="O159" s="7" t="str">
        <f>IF(drvlst[[#This Row],[reviewer]]=drvlst[[#This Row],[tmp-owner.email]], "author", _xlfn.IFNA(VLOOKUP(drvlst[[#This Row],[reviewer]],OrgTree!$A:$J, 10, 0), "not ICG SWFW"))</f>
        <v>author</v>
      </c>
      <c r="P159" s="7" t="str">
        <f>IF(ISBLANK(drvlst[[#This Row],[number]]), "",SUM(drvlst[[#This Row],[BJ -1 num]],drvlst[[#This Row],[FI -1 num]]))</f>
        <v/>
      </c>
      <c r="Q159" s="7" t="str">
        <f>IF(ISBLANK(drvlst[[#This Row],[number]]), "",COUNTIFS($A:$A,drvlst[[#This Row],[tmp-number]],$O:$O, "BJ And dev",$U:$U, "Review-1"))</f>
        <v/>
      </c>
      <c r="R159" s="7" t="str">
        <f>IF(ISBLANK(drvlst[[#This Row],[number]]), "",COUNTIFS($A:$A,drvlst[[#This Row],[tmp-number]],$O:$O, "FL And dev",$U:$U, "Review-1"))</f>
        <v/>
      </c>
      <c r="S159" t="str">
        <f>IF(ISBLANK(drvlst[[#This Row],[number]]), "",COUNTIFS($A:$A,drvlst[[#This Row],[tmp-number]],$O:$O, "BJ And dev",$V:$V, "&lt;&gt;IntegratorComment"))</f>
        <v/>
      </c>
      <c r="T159" t="str">
        <f>IF(ISBLANK(drvlst[[#This Row],[number]]), "",COUNTIFS($A:$A,drvlst[[#This Row],[tmp-number]],$O:$O, "FL And dev",$V:$V, "&lt;&gt;IntegratorComment"))</f>
        <v/>
      </c>
      <c r="U159" t="str">
        <f>IF(OR(ISNUMBER(FIND("Review-1", drvlst[[#This Row],[comments]])), ISNUMBER(FIND("Approver-1", drvlst[[#This Row],[comments]]))), "Review-1", "")</f>
        <v/>
      </c>
      <c r="V159" s="7" t="str">
        <f>IF(OR(ISNUMBER(FIND(": Integrator", drvlst[[#This Row],[comments]])), ISNUMBER(FIND(":\n\nIntegrator", drvlst[[#This Row],[comments]])), ISNUMBER(FIND("-Integrator", drvlst[[#This Row],[comments]]))), "IntegratorComment", "")</f>
        <v/>
      </c>
      <c r="W159" s="7" t="str">
        <f>IF(ISBLANK(drvlst[[#This Row],[status]]),W158,drvlst[[#This Row],[status]])</f>
        <v>MERGED</v>
      </c>
    </row>
    <row r="160" spans="1:23">
      <c r="A160" s="7">
        <f>IF(ISBLANK(drvlst[[#This Row],[number]]),A159,drvlst[[#This Row],[number]])</f>
        <v>95793</v>
      </c>
      <c r="J160" t="s">
        <v>101</v>
      </c>
      <c r="K160" s="8">
        <v>42390.664074074077</v>
      </c>
      <c r="L160" t="s">
        <v>27</v>
      </c>
      <c r="M160" s="7" t="str">
        <f>IF(ISBLANK(drvlst[[#This Row],[owner.emal]]),M159,drvlst[[#This Row],[owner.emal]])</f>
        <v>vinod.govindapillai@intel.com</v>
      </c>
      <c r="N160">
        <f>_xlfn.IFNA(VLOOKUP(drvlst[[#This Row],[tmp-owner.email]],OrgTree!$A:$J, 10, 0), "not ICG SWFW")</f>
        <v>0</v>
      </c>
      <c r="O160" s="7" t="str">
        <f>IF(drvlst[[#This Row],[reviewer]]=drvlst[[#This Row],[tmp-owner.email]], "author", _xlfn.IFNA(VLOOKUP(drvlst[[#This Row],[reviewer]],OrgTree!$A:$J, 10, 0), "not ICG SWFW"))</f>
        <v>author</v>
      </c>
      <c r="P160" s="7" t="str">
        <f>IF(ISBLANK(drvlst[[#This Row],[number]]), "",SUM(drvlst[[#This Row],[BJ -1 num]],drvlst[[#This Row],[FI -1 num]]))</f>
        <v/>
      </c>
      <c r="Q160" s="7" t="str">
        <f>IF(ISBLANK(drvlst[[#This Row],[number]]), "",COUNTIFS($A:$A,drvlst[[#This Row],[tmp-number]],$O:$O, "BJ And dev",$U:$U, "Review-1"))</f>
        <v/>
      </c>
      <c r="R160" s="7" t="str">
        <f>IF(ISBLANK(drvlst[[#This Row],[number]]), "",COUNTIFS($A:$A,drvlst[[#This Row],[tmp-number]],$O:$O, "FL And dev",$U:$U, "Review-1"))</f>
        <v/>
      </c>
      <c r="S160" t="str">
        <f>IF(ISBLANK(drvlst[[#This Row],[number]]), "",COUNTIFS($A:$A,drvlst[[#This Row],[tmp-number]],$O:$O, "BJ And dev",$V:$V, "&lt;&gt;IntegratorComment"))</f>
        <v/>
      </c>
      <c r="T160" t="str">
        <f>IF(ISBLANK(drvlst[[#This Row],[number]]), "",COUNTIFS($A:$A,drvlst[[#This Row],[tmp-number]],$O:$O, "FL And dev",$V:$V, "&lt;&gt;IntegratorComment"))</f>
        <v/>
      </c>
      <c r="U160" t="str">
        <f>IF(OR(ISNUMBER(FIND("Review-1", drvlst[[#This Row],[comments]])), ISNUMBER(FIND("Approver-1", drvlst[[#This Row],[comments]]))), "Review-1", "")</f>
        <v/>
      </c>
      <c r="V160" s="7" t="str">
        <f>IF(OR(ISNUMBER(FIND(": Integrator", drvlst[[#This Row],[comments]])), ISNUMBER(FIND(":\n\nIntegrator", drvlst[[#This Row],[comments]])), ISNUMBER(FIND("-Integrator", drvlst[[#This Row],[comments]]))), "IntegratorComment", "")</f>
        <v/>
      </c>
      <c r="W160" s="7" t="str">
        <f>IF(ISBLANK(drvlst[[#This Row],[status]]),W159,drvlst[[#This Row],[status]])</f>
        <v>MERGED</v>
      </c>
    </row>
    <row r="161" spans="1:23">
      <c r="A161" s="7">
        <f>IF(ISBLANK(drvlst[[#This Row],[number]]),A160,drvlst[[#This Row],[number]])</f>
        <v>95793</v>
      </c>
      <c r="J161" t="s">
        <v>34</v>
      </c>
      <c r="K161" s="8">
        <v>42390.726666666669</v>
      </c>
      <c r="L161" t="s">
        <v>94</v>
      </c>
      <c r="M161" s="7" t="str">
        <f>IF(ISBLANK(drvlst[[#This Row],[owner.emal]]),M160,drvlst[[#This Row],[owner.emal]])</f>
        <v>vinod.govindapillai@intel.com</v>
      </c>
      <c r="N161">
        <f>_xlfn.IFNA(VLOOKUP(drvlst[[#This Row],[tmp-owner.email]],OrgTree!$A:$J, 10, 0), "not ICG SWFW")</f>
        <v>0</v>
      </c>
      <c r="O161" s="7">
        <f>IF(drvlst[[#This Row],[reviewer]]=drvlst[[#This Row],[tmp-owner.email]], "author", _xlfn.IFNA(VLOOKUP(drvlst[[#This Row],[reviewer]],OrgTree!$A:$J, 10, 0), "not ICG SWFW"))</f>
        <v>0</v>
      </c>
      <c r="P161" s="7" t="str">
        <f>IF(ISBLANK(drvlst[[#This Row],[number]]), "",SUM(drvlst[[#This Row],[BJ -1 num]],drvlst[[#This Row],[FI -1 num]]))</f>
        <v/>
      </c>
      <c r="Q161" s="7" t="str">
        <f>IF(ISBLANK(drvlst[[#This Row],[number]]), "",COUNTIFS($A:$A,drvlst[[#This Row],[tmp-number]],$O:$O, "BJ And dev",$U:$U, "Review-1"))</f>
        <v/>
      </c>
      <c r="R161" s="7" t="str">
        <f>IF(ISBLANK(drvlst[[#This Row],[number]]), "",COUNTIFS($A:$A,drvlst[[#This Row],[tmp-number]],$O:$O, "FL And dev",$U:$U, "Review-1"))</f>
        <v/>
      </c>
      <c r="S161" t="str">
        <f>IF(ISBLANK(drvlst[[#This Row],[number]]), "",COUNTIFS($A:$A,drvlst[[#This Row],[tmp-number]],$O:$O, "BJ And dev",$V:$V, "&lt;&gt;IntegratorComment"))</f>
        <v/>
      </c>
      <c r="T161" t="str">
        <f>IF(ISBLANK(drvlst[[#This Row],[number]]), "",COUNTIFS($A:$A,drvlst[[#This Row],[tmp-number]],$O:$O, "FL And dev",$V:$V, "&lt;&gt;IntegratorComment"))</f>
        <v/>
      </c>
      <c r="U161" t="str">
        <f>IF(OR(ISNUMBER(FIND("Review-1", drvlst[[#This Row],[comments]])), ISNUMBER(FIND("Approver-1", drvlst[[#This Row],[comments]]))), "Review-1", "")</f>
        <v/>
      </c>
      <c r="V161" s="7" t="str">
        <f>IF(OR(ISNUMBER(FIND(": Integrator", drvlst[[#This Row],[comments]])), ISNUMBER(FIND(":\n\nIntegrator", drvlst[[#This Row],[comments]])), ISNUMBER(FIND("-Integrator", drvlst[[#This Row],[comments]]))), "IntegratorComment", "")</f>
        <v/>
      </c>
      <c r="W161" s="7" t="str">
        <f>IF(ISBLANK(drvlst[[#This Row],[status]]),W160,drvlst[[#This Row],[status]])</f>
        <v>MERGED</v>
      </c>
    </row>
    <row r="162" spans="1:23">
      <c r="A162" s="7">
        <f>IF(ISBLANK(drvlst[[#This Row],[number]]),A161,drvlst[[#This Row],[number]])</f>
        <v>95793</v>
      </c>
      <c r="J162" t="s">
        <v>38</v>
      </c>
      <c r="K162" s="8">
        <v>42390.73337962963</v>
      </c>
      <c r="L162" t="s">
        <v>1943</v>
      </c>
      <c r="M162" s="7" t="str">
        <f>IF(ISBLANK(drvlst[[#This Row],[owner.emal]]),M161,drvlst[[#This Row],[owner.emal]])</f>
        <v>vinod.govindapillai@intel.com</v>
      </c>
      <c r="N162">
        <f>_xlfn.IFNA(VLOOKUP(drvlst[[#This Row],[tmp-owner.email]],OrgTree!$A:$J, 10, 0), "not ICG SWFW")</f>
        <v>0</v>
      </c>
      <c r="O162" s="7">
        <f>IF(drvlst[[#This Row],[reviewer]]=drvlst[[#This Row],[tmp-owner.email]], "author", _xlfn.IFNA(VLOOKUP(drvlst[[#This Row],[reviewer]],OrgTree!$A:$J, 10, 0), "not ICG SWFW"))</f>
        <v>0</v>
      </c>
      <c r="P162" s="7" t="str">
        <f>IF(ISBLANK(drvlst[[#This Row],[number]]), "",SUM(drvlst[[#This Row],[BJ -1 num]],drvlst[[#This Row],[FI -1 num]]))</f>
        <v/>
      </c>
      <c r="Q162" s="7" t="str">
        <f>IF(ISBLANK(drvlst[[#This Row],[number]]), "",COUNTIFS($A:$A,drvlst[[#This Row],[tmp-number]],$O:$O, "BJ And dev",$U:$U, "Review-1"))</f>
        <v/>
      </c>
      <c r="R162" s="7" t="str">
        <f>IF(ISBLANK(drvlst[[#This Row],[number]]), "",COUNTIFS($A:$A,drvlst[[#This Row],[tmp-number]],$O:$O, "FL And dev",$U:$U, "Review-1"))</f>
        <v/>
      </c>
      <c r="S162" t="str">
        <f>IF(ISBLANK(drvlst[[#This Row],[number]]), "",COUNTIFS($A:$A,drvlst[[#This Row],[tmp-number]],$O:$O, "BJ And dev",$V:$V, "&lt;&gt;IntegratorComment"))</f>
        <v/>
      </c>
      <c r="T162" t="str">
        <f>IF(ISBLANK(drvlst[[#This Row],[number]]), "",COUNTIFS($A:$A,drvlst[[#This Row],[tmp-number]],$O:$O, "FL And dev",$V:$V, "&lt;&gt;IntegratorComment"))</f>
        <v/>
      </c>
      <c r="U162" t="str">
        <f>IF(OR(ISNUMBER(FIND("Review-1", drvlst[[#This Row],[comments]])), ISNUMBER(FIND("Approver-1", drvlst[[#This Row],[comments]]))), "Review-1", "")</f>
        <v/>
      </c>
      <c r="V162" s="7" t="str">
        <f>IF(OR(ISNUMBER(FIND(": Integrator", drvlst[[#This Row],[comments]])), ISNUMBER(FIND(":\n\nIntegrator", drvlst[[#This Row],[comments]])), ISNUMBER(FIND("-Integrator", drvlst[[#This Row],[comments]]))), "IntegratorComment", "")</f>
        <v/>
      </c>
      <c r="W162" s="7" t="str">
        <f>IF(ISBLANK(drvlst[[#This Row],[status]]),W161,drvlst[[#This Row],[status]])</f>
        <v>MERGED</v>
      </c>
    </row>
    <row r="163" spans="1:23">
      <c r="A163" s="7">
        <f>IF(ISBLANK(drvlst[[#This Row],[number]]),A162,drvlst[[#This Row],[number]])</f>
        <v>95793</v>
      </c>
      <c r="J163" t="s">
        <v>34</v>
      </c>
      <c r="K163" s="8">
        <v>42390.787083333336</v>
      </c>
      <c r="L163" t="s">
        <v>62</v>
      </c>
      <c r="M163" s="7" t="str">
        <f>IF(ISBLANK(drvlst[[#This Row],[owner.emal]]),M162,drvlst[[#This Row],[owner.emal]])</f>
        <v>vinod.govindapillai@intel.com</v>
      </c>
      <c r="N163">
        <f>_xlfn.IFNA(VLOOKUP(drvlst[[#This Row],[tmp-owner.email]],OrgTree!$A:$J, 10, 0), "not ICG SWFW")</f>
        <v>0</v>
      </c>
      <c r="O163" s="7">
        <f>IF(drvlst[[#This Row],[reviewer]]=drvlst[[#This Row],[tmp-owner.email]], "author", _xlfn.IFNA(VLOOKUP(drvlst[[#This Row],[reviewer]],OrgTree!$A:$J, 10, 0), "not ICG SWFW"))</f>
        <v>0</v>
      </c>
      <c r="P163" s="7" t="str">
        <f>IF(ISBLANK(drvlst[[#This Row],[number]]), "",SUM(drvlst[[#This Row],[BJ -1 num]],drvlst[[#This Row],[FI -1 num]]))</f>
        <v/>
      </c>
      <c r="Q163" s="7" t="str">
        <f>IF(ISBLANK(drvlst[[#This Row],[number]]), "",COUNTIFS($A:$A,drvlst[[#This Row],[tmp-number]],$O:$O, "BJ And dev",$U:$U, "Review-1"))</f>
        <v/>
      </c>
      <c r="R163" s="7" t="str">
        <f>IF(ISBLANK(drvlst[[#This Row],[number]]), "",COUNTIFS($A:$A,drvlst[[#This Row],[tmp-number]],$O:$O, "FL And dev",$U:$U, "Review-1"))</f>
        <v/>
      </c>
      <c r="S163" t="str">
        <f>IF(ISBLANK(drvlst[[#This Row],[number]]), "",COUNTIFS($A:$A,drvlst[[#This Row],[tmp-number]],$O:$O, "BJ And dev",$V:$V, "&lt;&gt;IntegratorComment"))</f>
        <v/>
      </c>
      <c r="T163" t="str">
        <f>IF(ISBLANK(drvlst[[#This Row],[number]]), "",COUNTIFS($A:$A,drvlst[[#This Row],[tmp-number]],$O:$O, "FL And dev",$V:$V, "&lt;&gt;IntegratorComment"))</f>
        <v/>
      </c>
      <c r="U163" t="str">
        <f>IF(OR(ISNUMBER(FIND("Review-1", drvlst[[#This Row],[comments]])), ISNUMBER(FIND("Approver-1", drvlst[[#This Row],[comments]]))), "Review-1", "")</f>
        <v/>
      </c>
      <c r="V163" s="7" t="str">
        <f>IF(OR(ISNUMBER(FIND(": Integrator", drvlst[[#This Row],[comments]])), ISNUMBER(FIND(":\n\nIntegrator", drvlst[[#This Row],[comments]])), ISNUMBER(FIND("-Integrator", drvlst[[#This Row],[comments]]))), "IntegratorComment", "")</f>
        <v/>
      </c>
      <c r="W163" s="7" t="str">
        <f>IF(ISBLANK(drvlst[[#This Row],[status]]),W162,drvlst[[#This Row],[status]])</f>
        <v>MERGED</v>
      </c>
    </row>
    <row r="164" spans="1:23">
      <c r="A164" s="7">
        <f>IF(ISBLANK(drvlst[[#This Row],[number]]),A163,drvlst[[#This Row],[number]])</f>
        <v>95793</v>
      </c>
      <c r="J164" t="s">
        <v>34</v>
      </c>
      <c r="K164" s="8">
        <v>42390.80537037037</v>
      </c>
      <c r="L164" t="s">
        <v>94</v>
      </c>
      <c r="M164" s="7" t="str">
        <f>IF(ISBLANK(drvlst[[#This Row],[owner.emal]]),M163,drvlst[[#This Row],[owner.emal]])</f>
        <v>vinod.govindapillai@intel.com</v>
      </c>
      <c r="N164">
        <f>_xlfn.IFNA(VLOOKUP(drvlst[[#This Row],[tmp-owner.email]],OrgTree!$A:$J, 10, 0), "not ICG SWFW")</f>
        <v>0</v>
      </c>
      <c r="O164" s="7">
        <f>IF(drvlst[[#This Row],[reviewer]]=drvlst[[#This Row],[tmp-owner.email]], "author", _xlfn.IFNA(VLOOKUP(drvlst[[#This Row],[reviewer]],OrgTree!$A:$J, 10, 0), "not ICG SWFW"))</f>
        <v>0</v>
      </c>
      <c r="P164" s="7" t="str">
        <f>IF(ISBLANK(drvlst[[#This Row],[number]]), "",SUM(drvlst[[#This Row],[BJ -1 num]],drvlst[[#This Row],[FI -1 num]]))</f>
        <v/>
      </c>
      <c r="Q164" s="7" t="str">
        <f>IF(ISBLANK(drvlst[[#This Row],[number]]), "",COUNTIFS($A:$A,drvlst[[#This Row],[tmp-number]],$O:$O, "BJ And dev",$U:$U, "Review-1"))</f>
        <v/>
      </c>
      <c r="R164" s="7" t="str">
        <f>IF(ISBLANK(drvlst[[#This Row],[number]]), "",COUNTIFS($A:$A,drvlst[[#This Row],[tmp-number]],$O:$O, "FL And dev",$U:$U, "Review-1"))</f>
        <v/>
      </c>
      <c r="S164" t="str">
        <f>IF(ISBLANK(drvlst[[#This Row],[number]]), "",COUNTIFS($A:$A,drvlst[[#This Row],[tmp-number]],$O:$O, "BJ And dev",$V:$V, "&lt;&gt;IntegratorComment"))</f>
        <v/>
      </c>
      <c r="T164" t="str">
        <f>IF(ISBLANK(drvlst[[#This Row],[number]]), "",COUNTIFS($A:$A,drvlst[[#This Row],[tmp-number]],$O:$O, "FL And dev",$V:$V, "&lt;&gt;IntegratorComment"))</f>
        <v/>
      </c>
      <c r="U164" t="str">
        <f>IF(OR(ISNUMBER(FIND("Review-1", drvlst[[#This Row],[comments]])), ISNUMBER(FIND("Approver-1", drvlst[[#This Row],[comments]]))), "Review-1", "")</f>
        <v/>
      </c>
      <c r="V164" s="7" t="str">
        <f>IF(OR(ISNUMBER(FIND(": Integrator", drvlst[[#This Row],[comments]])), ISNUMBER(FIND(":\n\nIntegrator", drvlst[[#This Row],[comments]])), ISNUMBER(FIND("-Integrator", drvlst[[#This Row],[comments]]))), "IntegratorComment", "")</f>
        <v/>
      </c>
      <c r="W164" s="7" t="str">
        <f>IF(ISBLANK(drvlst[[#This Row],[status]]),W163,drvlst[[#This Row],[status]])</f>
        <v>MERGED</v>
      </c>
    </row>
    <row r="165" spans="1:23">
      <c r="A165" s="7">
        <f>IF(ISBLANK(drvlst[[#This Row],[number]]),A164,drvlst[[#This Row],[number]])</f>
        <v>95793</v>
      </c>
      <c r="J165" t="s">
        <v>104</v>
      </c>
      <c r="K165" s="8">
        <v>42390.826979166668</v>
      </c>
      <c r="L165" t="s">
        <v>27</v>
      </c>
      <c r="M165" s="7" t="str">
        <f>IF(ISBLANK(drvlst[[#This Row],[owner.emal]]),M164,drvlst[[#This Row],[owner.emal]])</f>
        <v>vinod.govindapillai@intel.com</v>
      </c>
      <c r="N165">
        <f>_xlfn.IFNA(VLOOKUP(drvlst[[#This Row],[tmp-owner.email]],OrgTree!$A:$J, 10, 0), "not ICG SWFW")</f>
        <v>0</v>
      </c>
      <c r="O165" s="7">
        <f>IF(drvlst[[#This Row],[reviewer]]=drvlst[[#This Row],[tmp-owner.email]], "author", _xlfn.IFNA(VLOOKUP(drvlst[[#This Row],[reviewer]],OrgTree!$A:$J, 10, 0), "not ICG SWFW"))</f>
        <v>0</v>
      </c>
      <c r="P165" s="7" t="str">
        <f>IF(ISBLANK(drvlst[[#This Row],[number]]), "",SUM(drvlst[[#This Row],[BJ -1 num]],drvlst[[#This Row],[FI -1 num]]))</f>
        <v/>
      </c>
      <c r="Q165" s="7" t="str">
        <f>IF(ISBLANK(drvlst[[#This Row],[number]]), "",COUNTIFS($A:$A,drvlst[[#This Row],[tmp-number]],$O:$O, "BJ And dev",$U:$U, "Review-1"))</f>
        <v/>
      </c>
      <c r="R165" s="7" t="str">
        <f>IF(ISBLANK(drvlst[[#This Row],[number]]), "",COUNTIFS($A:$A,drvlst[[#This Row],[tmp-number]],$O:$O, "FL And dev",$U:$U, "Review-1"))</f>
        <v/>
      </c>
      <c r="S165" t="str">
        <f>IF(ISBLANK(drvlst[[#This Row],[number]]), "",COUNTIFS($A:$A,drvlst[[#This Row],[tmp-number]],$O:$O, "BJ And dev",$V:$V, "&lt;&gt;IntegratorComment"))</f>
        <v/>
      </c>
      <c r="T165" t="str">
        <f>IF(ISBLANK(drvlst[[#This Row],[number]]), "",COUNTIFS($A:$A,drvlst[[#This Row],[tmp-number]],$O:$O, "FL And dev",$V:$V, "&lt;&gt;IntegratorComment"))</f>
        <v/>
      </c>
      <c r="U165" t="str">
        <f>IF(OR(ISNUMBER(FIND("Review-1", drvlst[[#This Row],[comments]])), ISNUMBER(FIND("Approver-1", drvlst[[#This Row],[comments]]))), "Review-1", "")</f>
        <v/>
      </c>
      <c r="V165" s="7" t="str">
        <f>IF(OR(ISNUMBER(FIND(": Integrator", drvlst[[#This Row],[comments]])), ISNUMBER(FIND(":\n\nIntegrator", drvlst[[#This Row],[comments]])), ISNUMBER(FIND("-Integrator", drvlst[[#This Row],[comments]]))), "IntegratorComment", "")</f>
        <v/>
      </c>
      <c r="W165" s="7" t="str">
        <f>IF(ISBLANK(drvlst[[#This Row],[status]]),W164,drvlst[[#This Row],[status]])</f>
        <v>MERGED</v>
      </c>
    </row>
    <row r="166" spans="1:23">
      <c r="A166" s="7">
        <f>IF(ISBLANK(drvlst[[#This Row],[number]]),A165,drvlst[[#This Row],[number]])</f>
        <v>95793</v>
      </c>
      <c r="J166" t="s">
        <v>30</v>
      </c>
      <c r="K166" s="8">
        <v>42390.864178240743</v>
      </c>
      <c r="L166" t="s">
        <v>1872</v>
      </c>
      <c r="M166" s="7" t="str">
        <f>IF(ISBLANK(drvlst[[#This Row],[owner.emal]]),M165,drvlst[[#This Row],[owner.emal]])</f>
        <v>vinod.govindapillai@intel.com</v>
      </c>
      <c r="N166">
        <f>_xlfn.IFNA(VLOOKUP(drvlst[[#This Row],[tmp-owner.email]],OrgTree!$A:$J, 10, 0), "not ICG SWFW")</f>
        <v>0</v>
      </c>
      <c r="O166" s="7">
        <f>IF(drvlst[[#This Row],[reviewer]]=drvlst[[#This Row],[tmp-owner.email]], "author", _xlfn.IFNA(VLOOKUP(drvlst[[#This Row],[reviewer]],OrgTree!$A:$J, 10, 0), "not ICG SWFW"))</f>
        <v>0</v>
      </c>
      <c r="P166" s="7" t="str">
        <f>IF(ISBLANK(drvlst[[#This Row],[number]]), "",SUM(drvlst[[#This Row],[BJ -1 num]],drvlst[[#This Row],[FI -1 num]]))</f>
        <v/>
      </c>
      <c r="Q166" s="7" t="str">
        <f>IF(ISBLANK(drvlst[[#This Row],[number]]), "",COUNTIFS($A:$A,drvlst[[#This Row],[tmp-number]],$O:$O, "BJ And dev",$U:$U, "Review-1"))</f>
        <v/>
      </c>
      <c r="R166" s="7" t="str">
        <f>IF(ISBLANK(drvlst[[#This Row],[number]]), "",COUNTIFS($A:$A,drvlst[[#This Row],[tmp-number]],$O:$O, "FL And dev",$U:$U, "Review-1"))</f>
        <v/>
      </c>
      <c r="S166" t="str">
        <f>IF(ISBLANK(drvlst[[#This Row],[number]]), "",COUNTIFS($A:$A,drvlst[[#This Row],[tmp-number]],$O:$O, "BJ And dev",$V:$V, "&lt;&gt;IntegratorComment"))</f>
        <v/>
      </c>
      <c r="T166" t="str">
        <f>IF(ISBLANK(drvlst[[#This Row],[number]]), "",COUNTIFS($A:$A,drvlst[[#This Row],[tmp-number]],$O:$O, "FL And dev",$V:$V, "&lt;&gt;IntegratorComment"))</f>
        <v/>
      </c>
      <c r="U166" t="str">
        <f>IF(OR(ISNUMBER(FIND("Review-1", drvlst[[#This Row],[comments]])), ISNUMBER(FIND("Approver-1", drvlst[[#This Row],[comments]]))), "Review-1", "")</f>
        <v/>
      </c>
      <c r="V166" s="7" t="str">
        <f>IF(OR(ISNUMBER(FIND(": Integrator", drvlst[[#This Row],[comments]])), ISNUMBER(FIND(":\n\nIntegrator", drvlst[[#This Row],[comments]])), ISNUMBER(FIND("-Integrator", drvlst[[#This Row],[comments]]))), "IntegratorComment", "")</f>
        <v/>
      </c>
      <c r="W166" s="7" t="str">
        <f>IF(ISBLANK(drvlst[[#This Row],[status]]),W165,drvlst[[#This Row],[status]])</f>
        <v>MERGED</v>
      </c>
    </row>
    <row r="167" spans="1:23">
      <c r="A167" s="7">
        <f>IF(ISBLANK(drvlst[[#This Row],[number]]),A166,drvlst[[#This Row],[number]])</f>
        <v>95793</v>
      </c>
      <c r="J167" t="s">
        <v>34</v>
      </c>
      <c r="K167" s="8">
        <v>42391.142071759263</v>
      </c>
      <c r="L167" t="s">
        <v>95</v>
      </c>
      <c r="M167" s="7" t="str">
        <f>IF(ISBLANK(drvlst[[#This Row],[owner.emal]]),M166,drvlst[[#This Row],[owner.emal]])</f>
        <v>vinod.govindapillai@intel.com</v>
      </c>
      <c r="N167">
        <f>_xlfn.IFNA(VLOOKUP(drvlst[[#This Row],[tmp-owner.email]],OrgTree!$A:$J, 10, 0), "not ICG SWFW")</f>
        <v>0</v>
      </c>
      <c r="O167" s="7">
        <f>IF(drvlst[[#This Row],[reviewer]]=drvlst[[#This Row],[tmp-owner.email]], "author", _xlfn.IFNA(VLOOKUP(drvlst[[#This Row],[reviewer]],OrgTree!$A:$J, 10, 0), "not ICG SWFW"))</f>
        <v>0</v>
      </c>
      <c r="P167" s="7" t="str">
        <f>IF(ISBLANK(drvlst[[#This Row],[number]]), "",SUM(drvlst[[#This Row],[BJ -1 num]],drvlst[[#This Row],[FI -1 num]]))</f>
        <v/>
      </c>
      <c r="Q167" s="7" t="str">
        <f>IF(ISBLANK(drvlst[[#This Row],[number]]), "",COUNTIFS($A:$A,drvlst[[#This Row],[tmp-number]],$O:$O, "BJ And dev",$U:$U, "Review-1"))</f>
        <v/>
      </c>
      <c r="R167" s="7" t="str">
        <f>IF(ISBLANK(drvlst[[#This Row],[number]]), "",COUNTIFS($A:$A,drvlst[[#This Row],[tmp-number]],$O:$O, "FL And dev",$U:$U, "Review-1"))</f>
        <v/>
      </c>
      <c r="S167" t="str">
        <f>IF(ISBLANK(drvlst[[#This Row],[number]]), "",COUNTIFS($A:$A,drvlst[[#This Row],[tmp-number]],$O:$O, "BJ And dev",$V:$V, "&lt;&gt;IntegratorComment"))</f>
        <v/>
      </c>
      <c r="T167" t="str">
        <f>IF(ISBLANK(drvlst[[#This Row],[number]]), "",COUNTIFS($A:$A,drvlst[[#This Row],[tmp-number]],$O:$O, "FL And dev",$V:$V, "&lt;&gt;IntegratorComment"))</f>
        <v/>
      </c>
      <c r="U167" t="str">
        <f>IF(OR(ISNUMBER(FIND("Review-1", drvlst[[#This Row],[comments]])), ISNUMBER(FIND("Approver-1", drvlst[[#This Row],[comments]]))), "Review-1", "")</f>
        <v/>
      </c>
      <c r="V167" s="7" t="str">
        <f>IF(OR(ISNUMBER(FIND(": Integrator", drvlst[[#This Row],[comments]])), ISNUMBER(FIND(":\n\nIntegrator", drvlst[[#This Row],[comments]])), ISNUMBER(FIND("-Integrator", drvlst[[#This Row],[comments]]))), "IntegratorComment", "")</f>
        <v/>
      </c>
      <c r="W167" s="7" t="str">
        <f>IF(ISBLANK(drvlst[[#This Row],[status]]),W166,drvlst[[#This Row],[status]])</f>
        <v>MERGED</v>
      </c>
    </row>
    <row r="168" spans="1:23">
      <c r="A168" s="7">
        <f>IF(ISBLANK(drvlst[[#This Row],[number]]),A167,drvlst[[#This Row],[number]])</f>
        <v>95793</v>
      </c>
      <c r="J168" t="s">
        <v>34</v>
      </c>
      <c r="K168" s="8">
        <v>42391.240844907406</v>
      </c>
      <c r="L168" t="s">
        <v>95</v>
      </c>
      <c r="M168" s="7" t="str">
        <f>IF(ISBLANK(drvlst[[#This Row],[owner.emal]]),M167,drvlst[[#This Row],[owner.emal]])</f>
        <v>vinod.govindapillai@intel.com</v>
      </c>
      <c r="N168">
        <f>_xlfn.IFNA(VLOOKUP(drvlst[[#This Row],[tmp-owner.email]],OrgTree!$A:$J, 10, 0), "not ICG SWFW")</f>
        <v>0</v>
      </c>
      <c r="O168" s="7">
        <f>IF(drvlst[[#This Row],[reviewer]]=drvlst[[#This Row],[tmp-owner.email]], "author", _xlfn.IFNA(VLOOKUP(drvlst[[#This Row],[reviewer]],OrgTree!$A:$J, 10, 0), "not ICG SWFW"))</f>
        <v>0</v>
      </c>
      <c r="P168" s="7" t="str">
        <f>IF(ISBLANK(drvlst[[#This Row],[number]]), "",SUM(drvlst[[#This Row],[BJ -1 num]],drvlst[[#This Row],[FI -1 num]]))</f>
        <v/>
      </c>
      <c r="Q168" s="7" t="str">
        <f>IF(ISBLANK(drvlst[[#This Row],[number]]), "",COUNTIFS($A:$A,drvlst[[#This Row],[tmp-number]],$O:$O, "BJ And dev",$U:$U, "Review-1"))</f>
        <v/>
      </c>
      <c r="R168" s="7" t="str">
        <f>IF(ISBLANK(drvlst[[#This Row],[number]]), "",COUNTIFS($A:$A,drvlst[[#This Row],[tmp-number]],$O:$O, "FL And dev",$U:$U, "Review-1"))</f>
        <v/>
      </c>
      <c r="S168" t="str">
        <f>IF(ISBLANK(drvlst[[#This Row],[number]]), "",COUNTIFS($A:$A,drvlst[[#This Row],[tmp-number]],$O:$O, "BJ And dev",$V:$V, "&lt;&gt;IntegratorComment"))</f>
        <v/>
      </c>
      <c r="T168" t="str">
        <f>IF(ISBLANK(drvlst[[#This Row],[number]]), "",COUNTIFS($A:$A,drvlst[[#This Row],[tmp-number]],$O:$O, "FL And dev",$V:$V, "&lt;&gt;IntegratorComment"))</f>
        <v/>
      </c>
      <c r="U168" t="str">
        <f>IF(OR(ISNUMBER(FIND("Review-1", drvlst[[#This Row],[comments]])), ISNUMBER(FIND("Approver-1", drvlst[[#This Row],[comments]]))), "Review-1", "")</f>
        <v/>
      </c>
      <c r="V168" s="7" t="str">
        <f>IF(OR(ISNUMBER(FIND(": Integrator", drvlst[[#This Row],[comments]])), ISNUMBER(FIND(":\n\nIntegrator", drvlst[[#This Row],[comments]])), ISNUMBER(FIND("-Integrator", drvlst[[#This Row],[comments]]))), "IntegratorComment", "")</f>
        <v/>
      </c>
      <c r="W168" s="7" t="str">
        <f>IF(ISBLANK(drvlst[[#This Row],[status]]),W167,drvlst[[#This Row],[status]])</f>
        <v>MERGED</v>
      </c>
    </row>
    <row r="169" spans="1:23">
      <c r="A169" s="7">
        <f>IF(ISBLANK(drvlst[[#This Row],[number]]),A168,drvlst[[#This Row],[number]])</f>
        <v>95793</v>
      </c>
      <c r="J169" t="s">
        <v>70</v>
      </c>
      <c r="K169" s="8">
        <v>42391.673252314817</v>
      </c>
      <c r="L169" t="s">
        <v>1873</v>
      </c>
      <c r="M169" s="7" t="str">
        <f>IF(ISBLANK(drvlst[[#This Row],[owner.emal]]),M168,drvlst[[#This Row],[owner.emal]])</f>
        <v>vinod.govindapillai@intel.com</v>
      </c>
      <c r="N169">
        <f>_xlfn.IFNA(VLOOKUP(drvlst[[#This Row],[tmp-owner.email]],OrgTree!$A:$J, 10, 0), "not ICG SWFW")</f>
        <v>0</v>
      </c>
      <c r="O169" s="7">
        <f>IF(drvlst[[#This Row],[reviewer]]=drvlst[[#This Row],[tmp-owner.email]], "author", _xlfn.IFNA(VLOOKUP(drvlst[[#This Row],[reviewer]],OrgTree!$A:$J, 10, 0), "not ICG SWFW"))</f>
        <v>0</v>
      </c>
      <c r="P169" s="7" t="str">
        <f>IF(ISBLANK(drvlst[[#This Row],[number]]), "",SUM(drvlst[[#This Row],[BJ -1 num]],drvlst[[#This Row],[FI -1 num]]))</f>
        <v/>
      </c>
      <c r="Q169" s="7" t="str">
        <f>IF(ISBLANK(drvlst[[#This Row],[number]]), "",COUNTIFS($A:$A,drvlst[[#This Row],[tmp-number]],$O:$O, "BJ And dev",$U:$U, "Review-1"))</f>
        <v/>
      </c>
      <c r="R169" s="7" t="str">
        <f>IF(ISBLANK(drvlst[[#This Row],[number]]), "",COUNTIFS($A:$A,drvlst[[#This Row],[tmp-number]],$O:$O, "FL And dev",$U:$U, "Review-1"))</f>
        <v/>
      </c>
      <c r="S169" t="str">
        <f>IF(ISBLANK(drvlst[[#This Row],[number]]), "",COUNTIFS($A:$A,drvlst[[#This Row],[tmp-number]],$O:$O, "BJ And dev",$V:$V, "&lt;&gt;IntegratorComment"))</f>
        <v/>
      </c>
      <c r="T169" t="str">
        <f>IF(ISBLANK(drvlst[[#This Row],[number]]), "",COUNTIFS($A:$A,drvlst[[#This Row],[tmp-number]],$O:$O, "FL And dev",$V:$V, "&lt;&gt;IntegratorComment"))</f>
        <v/>
      </c>
      <c r="U169" t="str">
        <f>IF(OR(ISNUMBER(FIND("Review-1", drvlst[[#This Row],[comments]])), ISNUMBER(FIND("Approver-1", drvlst[[#This Row],[comments]]))), "Review-1", "")</f>
        <v/>
      </c>
      <c r="V169" s="7" t="str">
        <f>IF(OR(ISNUMBER(FIND(": Integrator", drvlst[[#This Row],[comments]])), ISNUMBER(FIND(":\n\nIntegrator", drvlst[[#This Row],[comments]])), ISNUMBER(FIND("-Integrator", drvlst[[#This Row],[comments]]))), "IntegratorComment", "")</f>
        <v/>
      </c>
      <c r="W169" s="7" t="str">
        <f>IF(ISBLANK(drvlst[[#This Row],[status]]),W168,drvlst[[#This Row],[status]])</f>
        <v>MERGED</v>
      </c>
    </row>
    <row r="170" spans="1:23">
      <c r="A170" s="7">
        <f>IF(ISBLANK(drvlst[[#This Row],[number]]),A169,drvlst[[#This Row],[number]])</f>
        <v>95793</v>
      </c>
      <c r="J170" t="s">
        <v>34</v>
      </c>
      <c r="K170" s="8">
        <v>42394.597060185188</v>
      </c>
      <c r="L170" t="s">
        <v>93</v>
      </c>
      <c r="M170" s="7" t="str">
        <f>IF(ISBLANK(drvlst[[#This Row],[owner.emal]]),M169,drvlst[[#This Row],[owner.emal]])</f>
        <v>vinod.govindapillai@intel.com</v>
      </c>
      <c r="N170">
        <f>_xlfn.IFNA(VLOOKUP(drvlst[[#This Row],[tmp-owner.email]],OrgTree!$A:$J, 10, 0), "not ICG SWFW")</f>
        <v>0</v>
      </c>
      <c r="O170" s="7">
        <f>IF(drvlst[[#This Row],[reviewer]]=drvlst[[#This Row],[tmp-owner.email]], "author", _xlfn.IFNA(VLOOKUP(drvlst[[#This Row],[reviewer]],OrgTree!$A:$J, 10, 0), "not ICG SWFW"))</f>
        <v>0</v>
      </c>
      <c r="P170" s="7" t="str">
        <f>IF(ISBLANK(drvlst[[#This Row],[number]]), "",SUM(drvlst[[#This Row],[BJ -1 num]],drvlst[[#This Row],[FI -1 num]]))</f>
        <v/>
      </c>
      <c r="Q170" s="7" t="str">
        <f>IF(ISBLANK(drvlst[[#This Row],[number]]), "",COUNTIFS($A:$A,drvlst[[#This Row],[tmp-number]],$O:$O, "BJ And dev",$U:$U, "Review-1"))</f>
        <v/>
      </c>
      <c r="R170" s="7" t="str">
        <f>IF(ISBLANK(drvlst[[#This Row],[number]]), "",COUNTIFS($A:$A,drvlst[[#This Row],[tmp-number]],$O:$O, "FL And dev",$U:$U, "Review-1"))</f>
        <v/>
      </c>
      <c r="S170" t="str">
        <f>IF(ISBLANK(drvlst[[#This Row],[number]]), "",COUNTIFS($A:$A,drvlst[[#This Row],[tmp-number]],$O:$O, "BJ And dev",$V:$V, "&lt;&gt;IntegratorComment"))</f>
        <v/>
      </c>
      <c r="T170" t="str">
        <f>IF(ISBLANK(drvlst[[#This Row],[number]]), "",COUNTIFS($A:$A,drvlst[[#This Row],[tmp-number]],$O:$O, "FL And dev",$V:$V, "&lt;&gt;IntegratorComment"))</f>
        <v/>
      </c>
      <c r="U170" t="str">
        <f>IF(OR(ISNUMBER(FIND("Review-1", drvlst[[#This Row],[comments]])), ISNUMBER(FIND("Approver-1", drvlst[[#This Row],[comments]]))), "Review-1", "")</f>
        <v/>
      </c>
      <c r="V170" s="7" t="str">
        <f>IF(OR(ISNUMBER(FIND(": Integrator", drvlst[[#This Row],[comments]])), ISNUMBER(FIND(":\n\nIntegrator", drvlst[[#This Row],[comments]])), ISNUMBER(FIND("-Integrator", drvlst[[#This Row],[comments]]))), "IntegratorComment", "")</f>
        <v>IntegratorComment</v>
      </c>
      <c r="W170" s="7" t="str">
        <f>IF(ISBLANK(drvlst[[#This Row],[status]]),W169,drvlst[[#This Row],[status]])</f>
        <v>MERGED</v>
      </c>
    </row>
    <row r="171" spans="1:23">
      <c r="A171" s="7">
        <f>IF(ISBLANK(drvlst[[#This Row],[number]]),A170,drvlst[[#This Row],[number]])</f>
        <v>95793</v>
      </c>
      <c r="J171" t="s">
        <v>34</v>
      </c>
      <c r="K171" s="8">
        <v>42394.826006944444</v>
      </c>
      <c r="L171" t="s">
        <v>62</v>
      </c>
      <c r="M171" s="7" t="str">
        <f>IF(ISBLANK(drvlst[[#This Row],[owner.emal]]),M170,drvlst[[#This Row],[owner.emal]])</f>
        <v>vinod.govindapillai@intel.com</v>
      </c>
      <c r="N171">
        <f>_xlfn.IFNA(VLOOKUP(drvlst[[#This Row],[tmp-owner.email]],OrgTree!$A:$J, 10, 0), "not ICG SWFW")</f>
        <v>0</v>
      </c>
      <c r="O171" s="7">
        <f>IF(drvlst[[#This Row],[reviewer]]=drvlst[[#This Row],[tmp-owner.email]], "author", _xlfn.IFNA(VLOOKUP(drvlst[[#This Row],[reviewer]],OrgTree!$A:$J, 10, 0), "not ICG SWFW"))</f>
        <v>0</v>
      </c>
      <c r="P171" s="7" t="str">
        <f>IF(ISBLANK(drvlst[[#This Row],[number]]), "",SUM(drvlst[[#This Row],[BJ -1 num]],drvlst[[#This Row],[FI -1 num]]))</f>
        <v/>
      </c>
      <c r="Q171" s="7" t="str">
        <f>IF(ISBLANK(drvlst[[#This Row],[number]]), "",COUNTIFS($A:$A,drvlst[[#This Row],[tmp-number]],$O:$O, "BJ And dev",$U:$U, "Review-1"))</f>
        <v/>
      </c>
      <c r="R171" s="7" t="str">
        <f>IF(ISBLANK(drvlst[[#This Row],[number]]), "",COUNTIFS($A:$A,drvlst[[#This Row],[tmp-number]],$O:$O, "FL And dev",$U:$U, "Review-1"))</f>
        <v/>
      </c>
      <c r="S171" t="str">
        <f>IF(ISBLANK(drvlst[[#This Row],[number]]), "",COUNTIFS($A:$A,drvlst[[#This Row],[tmp-number]],$O:$O, "BJ And dev",$V:$V, "&lt;&gt;IntegratorComment"))</f>
        <v/>
      </c>
      <c r="T171" t="str">
        <f>IF(ISBLANK(drvlst[[#This Row],[number]]), "",COUNTIFS($A:$A,drvlst[[#This Row],[tmp-number]],$O:$O, "FL And dev",$V:$V, "&lt;&gt;IntegratorComment"))</f>
        <v/>
      </c>
      <c r="U171" t="str">
        <f>IF(OR(ISNUMBER(FIND("Review-1", drvlst[[#This Row],[comments]])), ISNUMBER(FIND("Approver-1", drvlst[[#This Row],[comments]]))), "Review-1", "")</f>
        <v/>
      </c>
      <c r="V171" s="7" t="str">
        <f>IF(OR(ISNUMBER(FIND(": Integrator", drvlst[[#This Row],[comments]])), ISNUMBER(FIND(":\n\nIntegrator", drvlst[[#This Row],[comments]])), ISNUMBER(FIND("-Integrator", drvlst[[#This Row],[comments]]))), "IntegratorComment", "")</f>
        <v/>
      </c>
      <c r="W171" s="7" t="str">
        <f>IF(ISBLANK(drvlst[[#This Row],[status]]),W170,drvlst[[#This Row],[status]])</f>
        <v>MERGED</v>
      </c>
    </row>
    <row r="172" spans="1:23">
      <c r="A172" s="7">
        <f>IF(ISBLANK(drvlst[[#This Row],[number]]),A171,drvlst[[#This Row],[number]])</f>
        <v>95793</v>
      </c>
      <c r="J172" t="s">
        <v>34</v>
      </c>
      <c r="K172" s="8">
        <v>42394.829548611109</v>
      </c>
      <c r="L172" t="s">
        <v>95</v>
      </c>
      <c r="M172" s="7" t="str">
        <f>IF(ISBLANK(drvlst[[#This Row],[owner.emal]]),M171,drvlst[[#This Row],[owner.emal]])</f>
        <v>vinod.govindapillai@intel.com</v>
      </c>
      <c r="N172">
        <f>_xlfn.IFNA(VLOOKUP(drvlst[[#This Row],[tmp-owner.email]],OrgTree!$A:$J, 10, 0), "not ICG SWFW")</f>
        <v>0</v>
      </c>
      <c r="O172" s="7">
        <f>IF(drvlst[[#This Row],[reviewer]]=drvlst[[#This Row],[tmp-owner.email]], "author", _xlfn.IFNA(VLOOKUP(drvlst[[#This Row],[reviewer]],OrgTree!$A:$J, 10, 0), "not ICG SWFW"))</f>
        <v>0</v>
      </c>
      <c r="P172" s="7" t="str">
        <f>IF(ISBLANK(drvlst[[#This Row],[number]]), "",SUM(drvlst[[#This Row],[BJ -1 num]],drvlst[[#This Row],[FI -1 num]]))</f>
        <v/>
      </c>
      <c r="Q172" s="7" t="str">
        <f>IF(ISBLANK(drvlst[[#This Row],[number]]), "",COUNTIFS($A:$A,drvlst[[#This Row],[tmp-number]],$O:$O, "BJ And dev",$U:$U, "Review-1"))</f>
        <v/>
      </c>
      <c r="R172" s="7" t="str">
        <f>IF(ISBLANK(drvlst[[#This Row],[number]]), "",COUNTIFS($A:$A,drvlst[[#This Row],[tmp-number]],$O:$O, "FL And dev",$U:$U, "Review-1"))</f>
        <v/>
      </c>
      <c r="S172" t="str">
        <f>IF(ISBLANK(drvlst[[#This Row],[number]]), "",COUNTIFS($A:$A,drvlst[[#This Row],[tmp-number]],$O:$O, "BJ And dev",$V:$V, "&lt;&gt;IntegratorComment"))</f>
        <v/>
      </c>
      <c r="T172" t="str">
        <f>IF(ISBLANK(drvlst[[#This Row],[number]]), "",COUNTIFS($A:$A,drvlst[[#This Row],[tmp-number]],$O:$O, "FL And dev",$V:$V, "&lt;&gt;IntegratorComment"))</f>
        <v/>
      </c>
      <c r="U172" t="str">
        <f>IF(OR(ISNUMBER(FIND("Review-1", drvlst[[#This Row],[comments]])), ISNUMBER(FIND("Approver-1", drvlst[[#This Row],[comments]]))), "Review-1", "")</f>
        <v/>
      </c>
      <c r="V172" s="7" t="str">
        <f>IF(OR(ISNUMBER(FIND(": Integrator", drvlst[[#This Row],[comments]])), ISNUMBER(FIND(":\n\nIntegrator", drvlst[[#This Row],[comments]])), ISNUMBER(FIND("-Integrator", drvlst[[#This Row],[comments]]))), "IntegratorComment", "")</f>
        <v/>
      </c>
      <c r="W172" s="7" t="str">
        <f>IF(ISBLANK(drvlst[[#This Row],[status]]),W171,drvlst[[#This Row],[status]])</f>
        <v>MERGED</v>
      </c>
    </row>
    <row r="173" spans="1:23">
      <c r="A173" s="7">
        <f>IF(ISBLANK(drvlst[[#This Row],[number]]),A172,drvlst[[#This Row],[number]])</f>
        <v>95793</v>
      </c>
      <c r="J173" t="s">
        <v>34</v>
      </c>
      <c r="K173" s="8">
        <v>42394.854409722226</v>
      </c>
      <c r="L173" t="s">
        <v>94</v>
      </c>
      <c r="M173" s="7" t="str">
        <f>IF(ISBLANK(drvlst[[#This Row],[owner.emal]]),M172,drvlst[[#This Row],[owner.emal]])</f>
        <v>vinod.govindapillai@intel.com</v>
      </c>
      <c r="N173">
        <f>_xlfn.IFNA(VLOOKUP(drvlst[[#This Row],[tmp-owner.email]],OrgTree!$A:$J, 10, 0), "not ICG SWFW")</f>
        <v>0</v>
      </c>
      <c r="O173" s="7">
        <f>IF(drvlst[[#This Row],[reviewer]]=drvlst[[#This Row],[tmp-owner.email]], "author", _xlfn.IFNA(VLOOKUP(drvlst[[#This Row],[reviewer]],OrgTree!$A:$J, 10, 0), "not ICG SWFW"))</f>
        <v>0</v>
      </c>
      <c r="P173" s="7" t="str">
        <f>IF(ISBLANK(drvlst[[#This Row],[number]]), "",SUM(drvlst[[#This Row],[BJ -1 num]],drvlst[[#This Row],[FI -1 num]]))</f>
        <v/>
      </c>
      <c r="Q173" s="7" t="str">
        <f>IF(ISBLANK(drvlst[[#This Row],[number]]), "",COUNTIFS($A:$A,drvlst[[#This Row],[tmp-number]],$O:$O, "BJ And dev",$U:$U, "Review-1"))</f>
        <v/>
      </c>
      <c r="R173" s="7" t="str">
        <f>IF(ISBLANK(drvlst[[#This Row],[number]]), "",COUNTIFS($A:$A,drvlst[[#This Row],[tmp-number]],$O:$O, "FL And dev",$U:$U, "Review-1"))</f>
        <v/>
      </c>
      <c r="S173" t="str">
        <f>IF(ISBLANK(drvlst[[#This Row],[number]]), "",COUNTIFS($A:$A,drvlst[[#This Row],[tmp-number]],$O:$O, "BJ And dev",$V:$V, "&lt;&gt;IntegratorComment"))</f>
        <v/>
      </c>
      <c r="T173" t="str">
        <f>IF(ISBLANK(drvlst[[#This Row],[number]]), "",COUNTIFS($A:$A,drvlst[[#This Row],[tmp-number]],$O:$O, "FL And dev",$V:$V, "&lt;&gt;IntegratorComment"))</f>
        <v/>
      </c>
      <c r="U173" t="str">
        <f>IF(OR(ISNUMBER(FIND("Review-1", drvlst[[#This Row],[comments]])), ISNUMBER(FIND("Approver-1", drvlst[[#This Row],[comments]]))), "Review-1", "")</f>
        <v/>
      </c>
      <c r="V173" s="7" t="str">
        <f>IF(OR(ISNUMBER(FIND(": Integrator", drvlst[[#This Row],[comments]])), ISNUMBER(FIND(":\n\nIntegrator", drvlst[[#This Row],[comments]])), ISNUMBER(FIND("-Integrator", drvlst[[#This Row],[comments]]))), "IntegratorComment", "")</f>
        <v/>
      </c>
      <c r="W173" s="7" t="str">
        <f>IF(ISBLANK(drvlst[[#This Row],[status]]),W172,drvlst[[#This Row],[status]])</f>
        <v>MERGED</v>
      </c>
    </row>
    <row r="174" spans="1:23">
      <c r="A174" s="7">
        <f>IF(ISBLANK(drvlst[[#This Row],[number]]),A173,drvlst[[#This Row],[number]])</f>
        <v>95793</v>
      </c>
      <c r="J174" t="s">
        <v>34</v>
      </c>
      <c r="K174" s="8">
        <v>42395.427800925929</v>
      </c>
      <c r="L174" t="s">
        <v>62</v>
      </c>
      <c r="M174" s="7" t="str">
        <f>IF(ISBLANK(drvlst[[#This Row],[owner.emal]]),M173,drvlst[[#This Row],[owner.emal]])</f>
        <v>vinod.govindapillai@intel.com</v>
      </c>
      <c r="N174">
        <f>_xlfn.IFNA(VLOOKUP(drvlst[[#This Row],[tmp-owner.email]],OrgTree!$A:$J, 10, 0), "not ICG SWFW")</f>
        <v>0</v>
      </c>
      <c r="O174" s="7">
        <f>IF(drvlst[[#This Row],[reviewer]]=drvlst[[#This Row],[tmp-owner.email]], "author", _xlfn.IFNA(VLOOKUP(drvlst[[#This Row],[reviewer]],OrgTree!$A:$J, 10, 0), "not ICG SWFW"))</f>
        <v>0</v>
      </c>
      <c r="P174" s="7" t="str">
        <f>IF(ISBLANK(drvlst[[#This Row],[number]]), "",SUM(drvlst[[#This Row],[BJ -1 num]],drvlst[[#This Row],[FI -1 num]]))</f>
        <v/>
      </c>
      <c r="Q174" s="7" t="str">
        <f>IF(ISBLANK(drvlst[[#This Row],[number]]), "",COUNTIFS($A:$A,drvlst[[#This Row],[tmp-number]],$O:$O, "BJ And dev",$U:$U, "Review-1"))</f>
        <v/>
      </c>
      <c r="R174" s="7" t="str">
        <f>IF(ISBLANK(drvlst[[#This Row],[number]]), "",COUNTIFS($A:$A,drvlst[[#This Row],[tmp-number]],$O:$O, "FL And dev",$U:$U, "Review-1"))</f>
        <v/>
      </c>
      <c r="S174" t="str">
        <f>IF(ISBLANK(drvlst[[#This Row],[number]]), "",COUNTIFS($A:$A,drvlst[[#This Row],[tmp-number]],$O:$O, "BJ And dev",$V:$V, "&lt;&gt;IntegratorComment"))</f>
        <v/>
      </c>
      <c r="T174" t="str">
        <f>IF(ISBLANK(drvlst[[#This Row],[number]]), "",COUNTIFS($A:$A,drvlst[[#This Row],[tmp-number]],$O:$O, "FL And dev",$V:$V, "&lt;&gt;IntegratorComment"))</f>
        <v/>
      </c>
      <c r="U174" t="str">
        <f>IF(OR(ISNUMBER(FIND("Review-1", drvlst[[#This Row],[comments]])), ISNUMBER(FIND("Approver-1", drvlst[[#This Row],[comments]]))), "Review-1", "")</f>
        <v/>
      </c>
      <c r="V174" s="7" t="str">
        <f>IF(OR(ISNUMBER(FIND(": Integrator", drvlst[[#This Row],[comments]])), ISNUMBER(FIND(":\n\nIntegrator", drvlst[[#This Row],[comments]])), ISNUMBER(FIND("-Integrator", drvlst[[#This Row],[comments]]))), "IntegratorComment", "")</f>
        <v/>
      </c>
      <c r="W174" s="7" t="str">
        <f>IF(ISBLANK(drvlst[[#This Row],[status]]),W173,drvlst[[#This Row],[status]])</f>
        <v>MERGED</v>
      </c>
    </row>
    <row r="175" spans="1:23">
      <c r="A175" s="7">
        <f>IF(ISBLANK(drvlst[[#This Row],[number]]),A174,drvlst[[#This Row],[number]])</f>
        <v>95793</v>
      </c>
      <c r="J175" t="s">
        <v>34</v>
      </c>
      <c r="K175" s="8">
        <v>42395.622094907405</v>
      </c>
      <c r="L175" t="s">
        <v>96</v>
      </c>
      <c r="M175" s="7" t="str">
        <f>IF(ISBLANK(drvlst[[#This Row],[owner.emal]]),M174,drvlst[[#This Row],[owner.emal]])</f>
        <v>vinod.govindapillai@intel.com</v>
      </c>
      <c r="N175" s="7">
        <f>_xlfn.IFNA(VLOOKUP(drvlst[[#This Row],[tmp-owner.email]],OrgTree!$A:$J, 10, 0), "not ICG SWFW")</f>
        <v>0</v>
      </c>
      <c r="O175" s="7">
        <f>IF(drvlst[[#This Row],[reviewer]]=drvlst[[#This Row],[tmp-owner.email]], "author", _xlfn.IFNA(VLOOKUP(drvlst[[#This Row],[reviewer]],OrgTree!$A:$J, 10, 0), "not ICG SWFW"))</f>
        <v>0</v>
      </c>
      <c r="P175" s="7" t="str">
        <f>IF(ISBLANK(drvlst[[#This Row],[number]]), "",SUM(drvlst[[#This Row],[BJ -1 num]],drvlst[[#This Row],[FI -1 num]]))</f>
        <v/>
      </c>
      <c r="Q175" s="7" t="str">
        <f>IF(ISBLANK(drvlst[[#This Row],[number]]), "",COUNTIFS($A:$A,drvlst[[#This Row],[tmp-number]],$O:$O, "BJ And dev",$U:$U, "Review-1"))</f>
        <v/>
      </c>
      <c r="R175" s="7" t="str">
        <f>IF(ISBLANK(drvlst[[#This Row],[number]]), "",COUNTIFS($A:$A,drvlst[[#This Row],[tmp-number]],$O:$O, "FL And dev",$U:$U, "Review-1"))</f>
        <v/>
      </c>
      <c r="S175" s="7" t="str">
        <f>IF(ISBLANK(drvlst[[#This Row],[number]]), "",COUNTIFS($A:$A,drvlst[[#This Row],[tmp-number]],$O:$O, "BJ And dev",$V:$V, "&lt;&gt;IntegratorComment"))</f>
        <v/>
      </c>
      <c r="T175" s="7" t="str">
        <f>IF(ISBLANK(drvlst[[#This Row],[number]]), "",COUNTIFS($A:$A,drvlst[[#This Row],[tmp-number]],$O:$O, "FL And dev",$V:$V, "&lt;&gt;IntegratorComment"))</f>
        <v/>
      </c>
      <c r="U175" s="7" t="str">
        <f>IF(OR(ISNUMBER(FIND("Review-1", drvlst[[#This Row],[comments]])), ISNUMBER(FIND("Approver-1", drvlst[[#This Row],[comments]]))), "Review-1", "")</f>
        <v/>
      </c>
      <c r="V175" s="7" t="str">
        <f>IF(OR(ISNUMBER(FIND(": Integrator", drvlst[[#This Row],[comments]])), ISNUMBER(FIND(":\n\nIntegrator", drvlst[[#This Row],[comments]])), ISNUMBER(FIND("-Integrator", drvlst[[#This Row],[comments]]))), "IntegratorComment", "")</f>
        <v/>
      </c>
      <c r="W175" s="7" t="str">
        <f>IF(ISBLANK(drvlst[[#This Row],[status]]),W174,drvlst[[#This Row],[status]])</f>
        <v>MERGED</v>
      </c>
    </row>
    <row r="176" spans="1:23">
      <c r="A176" s="7">
        <f>IF(ISBLANK(drvlst[[#This Row],[number]]),A175,drvlst[[#This Row],[number]])</f>
        <v>96993</v>
      </c>
      <c r="B176">
        <v>96993</v>
      </c>
      <c r="C176" t="s">
        <v>84</v>
      </c>
      <c r="D176" t="s">
        <v>53</v>
      </c>
      <c r="E176" t="s">
        <v>23</v>
      </c>
      <c r="F176" t="s">
        <v>1944</v>
      </c>
      <c r="G176" t="s">
        <v>1945</v>
      </c>
      <c r="H176" s="8">
        <v>42390.762557870374</v>
      </c>
      <c r="I176" s="8">
        <v>42395.654050925928</v>
      </c>
      <c r="J176" t="s">
        <v>53</v>
      </c>
      <c r="K176" s="8">
        <v>42390.762557870374</v>
      </c>
      <c r="L176" t="s">
        <v>25</v>
      </c>
      <c r="M176" s="7" t="str">
        <f>IF(ISBLANK(drvlst[[#This Row],[owner.emal]]),M175,drvlst[[#This Row],[owner.emal]])</f>
        <v>shuguang.gong@intel.com</v>
      </c>
      <c r="N176" s="7">
        <f>_xlfn.IFNA(VLOOKUP(drvlst[[#This Row],[tmp-owner.email]],OrgTree!$A:$J, 10, 0), "not ICG SWFW")</f>
        <v>0</v>
      </c>
      <c r="O176" s="7" t="str">
        <f>IF(drvlst[[#This Row],[reviewer]]=drvlst[[#This Row],[tmp-owner.email]], "author", _xlfn.IFNA(VLOOKUP(drvlst[[#This Row],[reviewer]],OrgTree!$A:$J, 10, 0), "not ICG SWFW"))</f>
        <v>author</v>
      </c>
      <c r="P176" s="7">
        <f>IF(ISBLANK(drvlst[[#This Row],[number]]), "",SUM(drvlst[[#This Row],[BJ -1 num]],drvlst[[#This Row],[FI -1 num]]))</f>
        <v>0</v>
      </c>
      <c r="Q176" s="7">
        <f>IF(ISBLANK(drvlst[[#This Row],[number]]), "",COUNTIFS($A:$A,drvlst[[#This Row],[tmp-number]],$O:$O, "BJ And dev",$U:$U, "Review-1"))</f>
        <v>0</v>
      </c>
      <c r="R176" s="7">
        <f>IF(ISBLANK(drvlst[[#This Row],[number]]), "",COUNTIFS($A:$A,drvlst[[#This Row],[tmp-number]],$O:$O, "FL And dev",$U:$U, "Review-1"))</f>
        <v>0</v>
      </c>
      <c r="S176" s="7">
        <f>IF(ISBLANK(drvlst[[#This Row],[number]]), "",COUNTIFS($A:$A,drvlst[[#This Row],[tmp-number]],$O:$O, "BJ And dev",$V:$V, "&lt;&gt;IntegratorComment"))</f>
        <v>0</v>
      </c>
      <c r="T176" s="7">
        <f>IF(ISBLANK(drvlst[[#This Row],[number]]), "",COUNTIFS($A:$A,drvlst[[#This Row],[tmp-number]],$O:$O, "FL And dev",$V:$V, "&lt;&gt;IntegratorComment"))</f>
        <v>0</v>
      </c>
      <c r="U176" s="7" t="str">
        <f>IF(OR(ISNUMBER(FIND("Review-1", drvlst[[#This Row],[comments]])), ISNUMBER(FIND("Approver-1", drvlst[[#This Row],[comments]]))), "Review-1", "")</f>
        <v/>
      </c>
      <c r="V176" s="7" t="str">
        <f>IF(OR(ISNUMBER(FIND(": Integrator", drvlst[[#This Row],[comments]])), ISNUMBER(FIND(":\n\nIntegrator", drvlst[[#This Row],[comments]])), ISNUMBER(FIND("-Integrator", drvlst[[#This Row],[comments]]))), "IntegratorComment", "")</f>
        <v/>
      </c>
      <c r="W176" s="7" t="str">
        <f>IF(ISBLANK(drvlst[[#This Row],[status]]),W175,drvlst[[#This Row],[status]])</f>
        <v>MERGED</v>
      </c>
    </row>
    <row r="177" spans="1:23">
      <c r="A177" s="7">
        <f>IF(ISBLANK(drvlst[[#This Row],[number]]),A176,drvlst[[#This Row],[number]])</f>
        <v>96993</v>
      </c>
      <c r="J177" t="s">
        <v>53</v>
      </c>
      <c r="K177" s="8">
        <v>42390.762557870374</v>
      </c>
      <c r="L177" t="s">
        <v>85</v>
      </c>
      <c r="M177" s="7" t="str">
        <f>IF(ISBLANK(drvlst[[#This Row],[owner.emal]]),M176,drvlst[[#This Row],[owner.emal]])</f>
        <v>shuguang.gong@intel.com</v>
      </c>
      <c r="N177" s="7">
        <f>_xlfn.IFNA(VLOOKUP(drvlst[[#This Row],[tmp-owner.email]],OrgTree!$A:$J, 10, 0), "not ICG SWFW")</f>
        <v>0</v>
      </c>
      <c r="O177" s="7" t="str">
        <f>IF(drvlst[[#This Row],[reviewer]]=drvlst[[#This Row],[tmp-owner.email]], "author", _xlfn.IFNA(VLOOKUP(drvlst[[#This Row],[reviewer]],OrgTree!$A:$J, 10, 0), "not ICG SWFW"))</f>
        <v>author</v>
      </c>
      <c r="P177" s="7" t="str">
        <f>IF(ISBLANK(drvlst[[#This Row],[number]]), "",SUM(drvlst[[#This Row],[BJ -1 num]],drvlst[[#This Row],[FI -1 num]]))</f>
        <v/>
      </c>
      <c r="Q177" s="7" t="str">
        <f>IF(ISBLANK(drvlst[[#This Row],[number]]), "",COUNTIFS($A:$A,drvlst[[#This Row],[tmp-number]],$O:$O, "BJ And dev",$U:$U, "Review-1"))</f>
        <v/>
      </c>
      <c r="R177" s="7" t="str">
        <f>IF(ISBLANK(drvlst[[#This Row],[number]]), "",COUNTIFS($A:$A,drvlst[[#This Row],[tmp-number]],$O:$O, "FL And dev",$U:$U, "Review-1"))</f>
        <v/>
      </c>
      <c r="S177" s="7" t="str">
        <f>IF(ISBLANK(drvlst[[#This Row],[number]]), "",COUNTIFS($A:$A,drvlst[[#This Row],[tmp-number]],$O:$O, "BJ And dev",$V:$V, "&lt;&gt;IntegratorComment"))</f>
        <v/>
      </c>
      <c r="T177" s="7" t="str">
        <f>IF(ISBLANK(drvlst[[#This Row],[number]]), "",COUNTIFS($A:$A,drvlst[[#This Row],[tmp-number]],$O:$O, "FL And dev",$V:$V, "&lt;&gt;IntegratorComment"))</f>
        <v/>
      </c>
      <c r="U177" s="7" t="str">
        <f>IF(OR(ISNUMBER(FIND("Review-1", drvlst[[#This Row],[comments]])), ISNUMBER(FIND("Approver-1", drvlst[[#This Row],[comments]]))), "Review-1", "")</f>
        <v/>
      </c>
      <c r="V177" s="7" t="str">
        <f>IF(OR(ISNUMBER(FIND(": Integrator", drvlst[[#This Row],[comments]])), ISNUMBER(FIND(":\n\nIntegrator", drvlst[[#This Row],[comments]])), ISNUMBER(FIND("-Integrator", drvlst[[#This Row],[comments]]))), "IntegratorComment", "")</f>
        <v/>
      </c>
      <c r="W177" s="7" t="str">
        <f>IF(ISBLANK(drvlst[[#This Row],[status]]),W176,drvlst[[#This Row],[status]])</f>
        <v>MERGED</v>
      </c>
    </row>
    <row r="178" spans="1:23">
      <c r="A178" s="7">
        <f>IF(ISBLANK(drvlst[[#This Row],[number]]),A177,drvlst[[#This Row],[number]])</f>
        <v>96993</v>
      </c>
      <c r="J178" t="s">
        <v>53</v>
      </c>
      <c r="K178" s="8">
        <v>42390.763703703706</v>
      </c>
      <c r="L178" t="s">
        <v>40</v>
      </c>
      <c r="M178" s="7" t="str">
        <f>IF(ISBLANK(drvlst[[#This Row],[owner.emal]]),M177,drvlst[[#This Row],[owner.emal]])</f>
        <v>shuguang.gong@intel.com</v>
      </c>
      <c r="N178" s="7">
        <f>_xlfn.IFNA(VLOOKUP(drvlst[[#This Row],[tmp-owner.email]],OrgTree!$A:$J, 10, 0), "not ICG SWFW")</f>
        <v>0</v>
      </c>
      <c r="O178" s="7" t="str">
        <f>IF(drvlst[[#This Row],[reviewer]]=drvlst[[#This Row],[tmp-owner.email]], "author", _xlfn.IFNA(VLOOKUP(drvlst[[#This Row],[reviewer]],OrgTree!$A:$J, 10, 0), "not ICG SWFW"))</f>
        <v>author</v>
      </c>
      <c r="P178" s="7" t="str">
        <f>IF(ISBLANK(drvlst[[#This Row],[number]]), "",SUM(drvlst[[#This Row],[BJ -1 num]],drvlst[[#This Row],[FI -1 num]]))</f>
        <v/>
      </c>
      <c r="Q178" s="7" t="str">
        <f>IF(ISBLANK(drvlst[[#This Row],[number]]), "",COUNTIFS($A:$A,drvlst[[#This Row],[tmp-number]],$O:$O, "BJ And dev",$U:$U, "Review-1"))</f>
        <v/>
      </c>
      <c r="R178" s="7" t="str">
        <f>IF(ISBLANK(drvlst[[#This Row],[number]]), "",COUNTIFS($A:$A,drvlst[[#This Row],[tmp-number]],$O:$O, "FL And dev",$U:$U, "Review-1"))</f>
        <v/>
      </c>
      <c r="S178" s="7" t="str">
        <f>IF(ISBLANK(drvlst[[#This Row],[number]]), "",COUNTIFS($A:$A,drvlst[[#This Row],[tmp-number]],$O:$O, "BJ And dev",$V:$V, "&lt;&gt;IntegratorComment"))</f>
        <v/>
      </c>
      <c r="T178" s="7" t="str">
        <f>IF(ISBLANK(drvlst[[#This Row],[number]]), "",COUNTIFS($A:$A,drvlst[[#This Row],[tmp-number]],$O:$O, "FL And dev",$V:$V, "&lt;&gt;IntegratorComment"))</f>
        <v/>
      </c>
      <c r="U178" s="7" t="str">
        <f>IF(OR(ISNUMBER(FIND("Review-1", drvlst[[#This Row],[comments]])), ISNUMBER(FIND("Approver-1", drvlst[[#This Row],[comments]]))), "Review-1", "")</f>
        <v/>
      </c>
      <c r="V178" s="7" t="str">
        <f>IF(OR(ISNUMBER(FIND(": Integrator", drvlst[[#This Row],[comments]])), ISNUMBER(FIND(":\n\nIntegrator", drvlst[[#This Row],[comments]])), ISNUMBER(FIND("-Integrator", drvlst[[#This Row],[comments]]))), "IntegratorComment", "")</f>
        <v/>
      </c>
      <c r="W178" s="7" t="str">
        <f>IF(ISBLANK(drvlst[[#This Row],[status]]),W177,drvlst[[#This Row],[status]])</f>
        <v>MERGED</v>
      </c>
    </row>
    <row r="179" spans="1:23">
      <c r="A179" s="7">
        <f>IF(ISBLANK(drvlst[[#This Row],[number]]),A178,drvlst[[#This Row],[number]])</f>
        <v>96993</v>
      </c>
      <c r="J179" t="s">
        <v>101</v>
      </c>
      <c r="K179" s="8">
        <v>42391.051493055558</v>
      </c>
      <c r="L179" t="s">
        <v>1946</v>
      </c>
      <c r="M179" s="7" t="str">
        <f>IF(ISBLANK(drvlst[[#This Row],[owner.emal]]),M178,drvlst[[#This Row],[owner.emal]])</f>
        <v>shuguang.gong@intel.com</v>
      </c>
      <c r="N179" s="7">
        <f>_xlfn.IFNA(VLOOKUP(drvlst[[#This Row],[tmp-owner.email]],OrgTree!$A:$J, 10, 0), "not ICG SWFW")</f>
        <v>0</v>
      </c>
      <c r="O179" s="7">
        <f>IF(drvlst[[#This Row],[reviewer]]=drvlst[[#This Row],[tmp-owner.email]], "author", _xlfn.IFNA(VLOOKUP(drvlst[[#This Row],[reviewer]],OrgTree!$A:$J, 10, 0), "not ICG SWFW"))</f>
        <v>0</v>
      </c>
      <c r="P179" s="7" t="str">
        <f>IF(ISBLANK(drvlst[[#This Row],[number]]), "",SUM(drvlst[[#This Row],[BJ -1 num]],drvlst[[#This Row],[FI -1 num]]))</f>
        <v/>
      </c>
      <c r="Q179" s="7" t="str">
        <f>IF(ISBLANK(drvlst[[#This Row],[number]]), "",COUNTIFS($A:$A,drvlst[[#This Row],[tmp-number]],$O:$O, "BJ And dev",$U:$U, "Review-1"))</f>
        <v/>
      </c>
      <c r="R179" s="7" t="str">
        <f>IF(ISBLANK(drvlst[[#This Row],[number]]), "",COUNTIFS($A:$A,drvlst[[#This Row],[tmp-number]],$O:$O, "FL And dev",$U:$U, "Review-1"))</f>
        <v/>
      </c>
      <c r="S179" s="7" t="str">
        <f>IF(ISBLANK(drvlst[[#This Row],[number]]), "",COUNTIFS($A:$A,drvlst[[#This Row],[tmp-number]],$O:$O, "BJ And dev",$V:$V, "&lt;&gt;IntegratorComment"))</f>
        <v/>
      </c>
      <c r="T179" s="7" t="str">
        <f>IF(ISBLANK(drvlst[[#This Row],[number]]), "",COUNTIFS($A:$A,drvlst[[#This Row],[tmp-number]],$O:$O, "FL And dev",$V:$V, "&lt;&gt;IntegratorComment"))</f>
        <v/>
      </c>
      <c r="U179" s="7" t="str">
        <f>IF(OR(ISNUMBER(FIND("Review-1", drvlst[[#This Row],[comments]])), ISNUMBER(FIND("Approver-1", drvlst[[#This Row],[comments]]))), "Review-1", "")</f>
        <v/>
      </c>
      <c r="V179" s="7" t="str">
        <f>IF(OR(ISNUMBER(FIND(": Integrator", drvlst[[#This Row],[comments]])), ISNUMBER(FIND(":\n\nIntegrator", drvlst[[#This Row],[comments]])), ISNUMBER(FIND("-Integrator", drvlst[[#This Row],[comments]]))), "IntegratorComment", "")</f>
        <v/>
      </c>
      <c r="W179" s="7" t="str">
        <f>IF(ISBLANK(drvlst[[#This Row],[status]]),W178,drvlst[[#This Row],[status]])</f>
        <v>MERGED</v>
      </c>
    </row>
    <row r="180" spans="1:23">
      <c r="A180" s="7">
        <f>IF(ISBLANK(drvlst[[#This Row],[number]]),A179,drvlst[[#This Row],[number]])</f>
        <v>96993</v>
      </c>
      <c r="J180" t="s">
        <v>101</v>
      </c>
      <c r="K180" s="8">
        <v>42391.05159722222</v>
      </c>
      <c r="L180" t="s">
        <v>40</v>
      </c>
      <c r="M180" s="7" t="str">
        <f>IF(ISBLANK(drvlst[[#This Row],[owner.emal]]),M179,drvlst[[#This Row],[owner.emal]])</f>
        <v>shuguang.gong@intel.com</v>
      </c>
      <c r="N180" s="7">
        <f>_xlfn.IFNA(VLOOKUP(drvlst[[#This Row],[tmp-owner.email]],OrgTree!$A:$J, 10, 0), "not ICG SWFW")</f>
        <v>0</v>
      </c>
      <c r="O180" s="7">
        <f>IF(drvlst[[#This Row],[reviewer]]=drvlst[[#This Row],[tmp-owner.email]], "author", _xlfn.IFNA(VLOOKUP(drvlst[[#This Row],[reviewer]],OrgTree!$A:$J, 10, 0), "not ICG SWFW"))</f>
        <v>0</v>
      </c>
      <c r="P180" s="7" t="str">
        <f>IF(ISBLANK(drvlst[[#This Row],[number]]), "",SUM(drvlst[[#This Row],[BJ -1 num]],drvlst[[#This Row],[FI -1 num]]))</f>
        <v/>
      </c>
      <c r="Q180" s="7" t="str">
        <f>IF(ISBLANK(drvlst[[#This Row],[number]]), "",COUNTIFS($A:$A,drvlst[[#This Row],[tmp-number]],$O:$O, "BJ And dev",$U:$U, "Review-1"))</f>
        <v/>
      </c>
      <c r="R180" s="7" t="str">
        <f>IF(ISBLANK(drvlst[[#This Row],[number]]), "",COUNTIFS($A:$A,drvlst[[#This Row],[tmp-number]],$O:$O, "FL And dev",$U:$U, "Review-1"))</f>
        <v/>
      </c>
      <c r="S180" s="7" t="str">
        <f>IF(ISBLANK(drvlst[[#This Row],[number]]), "",COUNTIFS($A:$A,drvlst[[#This Row],[tmp-number]],$O:$O, "BJ And dev",$V:$V, "&lt;&gt;IntegratorComment"))</f>
        <v/>
      </c>
      <c r="T180" s="7" t="str">
        <f>IF(ISBLANK(drvlst[[#This Row],[number]]), "",COUNTIFS($A:$A,drvlst[[#This Row],[tmp-number]],$O:$O, "FL And dev",$V:$V, "&lt;&gt;IntegratorComment"))</f>
        <v/>
      </c>
      <c r="U180" s="7" t="str">
        <f>IF(OR(ISNUMBER(FIND("Review-1", drvlst[[#This Row],[comments]])), ISNUMBER(FIND("Approver-1", drvlst[[#This Row],[comments]]))), "Review-1", "")</f>
        <v/>
      </c>
      <c r="V180" s="7" t="str">
        <f>IF(OR(ISNUMBER(FIND(": Integrator", drvlst[[#This Row],[comments]])), ISNUMBER(FIND(":\n\nIntegrator", drvlst[[#This Row],[comments]])), ISNUMBER(FIND("-Integrator", drvlst[[#This Row],[comments]]))), "IntegratorComment", "")</f>
        <v/>
      </c>
      <c r="W180" s="7" t="str">
        <f>IF(ISBLANK(drvlst[[#This Row],[status]]),W179,drvlst[[#This Row],[status]])</f>
        <v>MERGED</v>
      </c>
    </row>
    <row r="181" spans="1:23">
      <c r="A181" s="7">
        <f>IF(ISBLANK(drvlst[[#This Row],[number]]),A180,drvlst[[#This Row],[number]])</f>
        <v>96993</v>
      </c>
      <c r="J181" t="s">
        <v>71</v>
      </c>
      <c r="K181" s="8">
        <v>42391.458460648151</v>
      </c>
      <c r="L181" t="s">
        <v>40</v>
      </c>
      <c r="M181" s="7" t="str">
        <f>IF(ISBLANK(drvlst[[#This Row],[owner.emal]]),M180,drvlst[[#This Row],[owner.emal]])</f>
        <v>shuguang.gong@intel.com</v>
      </c>
      <c r="N181" s="7">
        <f>_xlfn.IFNA(VLOOKUP(drvlst[[#This Row],[tmp-owner.email]],OrgTree!$A:$J, 10, 0), "not ICG SWFW")</f>
        <v>0</v>
      </c>
      <c r="O181" s="7">
        <f>IF(drvlst[[#This Row],[reviewer]]=drvlst[[#This Row],[tmp-owner.email]], "author", _xlfn.IFNA(VLOOKUP(drvlst[[#This Row],[reviewer]],OrgTree!$A:$J, 10, 0), "not ICG SWFW"))</f>
        <v>0</v>
      </c>
      <c r="P181" s="7" t="str">
        <f>IF(ISBLANK(drvlst[[#This Row],[number]]), "",SUM(drvlst[[#This Row],[BJ -1 num]],drvlst[[#This Row],[FI -1 num]]))</f>
        <v/>
      </c>
      <c r="Q181" s="7" t="str">
        <f>IF(ISBLANK(drvlst[[#This Row],[number]]), "",COUNTIFS($A:$A,drvlst[[#This Row],[tmp-number]],$O:$O, "BJ And dev",$U:$U, "Review-1"))</f>
        <v/>
      </c>
      <c r="R181" s="7" t="str">
        <f>IF(ISBLANK(drvlst[[#This Row],[number]]), "",COUNTIFS($A:$A,drvlst[[#This Row],[tmp-number]],$O:$O, "FL And dev",$U:$U, "Review-1"))</f>
        <v/>
      </c>
      <c r="S181" s="7" t="str">
        <f>IF(ISBLANK(drvlst[[#This Row],[number]]), "",COUNTIFS($A:$A,drvlst[[#This Row],[tmp-number]],$O:$O, "BJ And dev",$V:$V, "&lt;&gt;IntegratorComment"))</f>
        <v/>
      </c>
      <c r="T181" s="7" t="str">
        <f>IF(ISBLANK(drvlst[[#This Row],[number]]), "",COUNTIFS($A:$A,drvlst[[#This Row],[tmp-number]],$O:$O, "FL And dev",$V:$V, "&lt;&gt;IntegratorComment"))</f>
        <v/>
      </c>
      <c r="U181" s="7" t="str">
        <f>IF(OR(ISNUMBER(FIND("Review-1", drvlst[[#This Row],[comments]])), ISNUMBER(FIND("Approver-1", drvlst[[#This Row],[comments]]))), "Review-1", "")</f>
        <v/>
      </c>
      <c r="V181" s="7" t="str">
        <f>IF(OR(ISNUMBER(FIND(": Integrator", drvlst[[#This Row],[comments]])), ISNUMBER(FIND(":\n\nIntegrator", drvlst[[#This Row],[comments]])), ISNUMBER(FIND("-Integrator", drvlst[[#This Row],[comments]]))), "IntegratorComment", "")</f>
        <v/>
      </c>
      <c r="W181" s="7" t="str">
        <f>IF(ISBLANK(drvlst[[#This Row],[status]]),W180,drvlst[[#This Row],[status]])</f>
        <v>MERGED</v>
      </c>
    </row>
    <row r="182" spans="1:23">
      <c r="A182" s="7">
        <f>IF(ISBLANK(drvlst[[#This Row],[number]]),A181,drvlst[[#This Row],[number]])</f>
        <v>96993</v>
      </c>
      <c r="J182" t="s">
        <v>97</v>
      </c>
      <c r="K182" s="8">
        <v>42391.485000000001</v>
      </c>
      <c r="L182" t="s">
        <v>58</v>
      </c>
      <c r="M182" s="7" t="str">
        <f>IF(ISBLANK(drvlst[[#This Row],[owner.emal]]),M181,drvlst[[#This Row],[owner.emal]])</f>
        <v>shuguang.gong@intel.com</v>
      </c>
      <c r="N182" s="7">
        <f>_xlfn.IFNA(VLOOKUP(drvlst[[#This Row],[tmp-owner.email]],OrgTree!$A:$J, 10, 0), "not ICG SWFW")</f>
        <v>0</v>
      </c>
      <c r="O182" s="7">
        <f>IF(drvlst[[#This Row],[reviewer]]=drvlst[[#This Row],[tmp-owner.email]], "author", _xlfn.IFNA(VLOOKUP(drvlst[[#This Row],[reviewer]],OrgTree!$A:$J, 10, 0), "not ICG SWFW"))</f>
        <v>0</v>
      </c>
      <c r="P182" s="7" t="str">
        <f>IF(ISBLANK(drvlst[[#This Row],[number]]), "",SUM(drvlst[[#This Row],[BJ -1 num]],drvlst[[#This Row],[FI -1 num]]))</f>
        <v/>
      </c>
      <c r="Q182" s="7" t="str">
        <f>IF(ISBLANK(drvlst[[#This Row],[number]]), "",COUNTIFS($A:$A,drvlst[[#This Row],[tmp-number]],$O:$O, "BJ And dev",$U:$U, "Review-1"))</f>
        <v/>
      </c>
      <c r="R182" s="7" t="str">
        <f>IF(ISBLANK(drvlst[[#This Row],[number]]), "",COUNTIFS($A:$A,drvlst[[#This Row],[tmp-number]],$O:$O, "FL And dev",$U:$U, "Review-1"))</f>
        <v/>
      </c>
      <c r="S182" s="7" t="str">
        <f>IF(ISBLANK(drvlst[[#This Row],[number]]), "",COUNTIFS($A:$A,drvlst[[#This Row],[tmp-number]],$O:$O, "BJ And dev",$V:$V, "&lt;&gt;IntegratorComment"))</f>
        <v/>
      </c>
      <c r="T182" s="7" t="str">
        <f>IF(ISBLANK(drvlst[[#This Row],[number]]), "",COUNTIFS($A:$A,drvlst[[#This Row],[tmp-number]],$O:$O, "FL And dev",$V:$V, "&lt;&gt;IntegratorComment"))</f>
        <v/>
      </c>
      <c r="U182" s="7" t="str">
        <f>IF(OR(ISNUMBER(FIND("Review-1", drvlst[[#This Row],[comments]])), ISNUMBER(FIND("Approver-1", drvlst[[#This Row],[comments]]))), "Review-1", "")</f>
        <v/>
      </c>
      <c r="V182" s="7" t="str">
        <f>IF(OR(ISNUMBER(FIND(": Integrator", drvlst[[#This Row],[comments]])), ISNUMBER(FIND(":\n\nIntegrator", drvlst[[#This Row],[comments]])), ISNUMBER(FIND("-Integrator", drvlst[[#This Row],[comments]]))), "IntegratorComment", "")</f>
        <v/>
      </c>
      <c r="W182" s="7" t="str">
        <f>IF(ISBLANK(drvlst[[#This Row],[status]]),W181,drvlst[[#This Row],[status]])</f>
        <v>MERGED</v>
      </c>
    </row>
    <row r="183" spans="1:23">
      <c r="A183" s="7">
        <f>IF(ISBLANK(drvlst[[#This Row],[number]]),A182,drvlst[[#This Row],[number]])</f>
        <v>96993</v>
      </c>
      <c r="J183" t="s">
        <v>34</v>
      </c>
      <c r="K183" s="8">
        <v>42391.592685185184</v>
      </c>
      <c r="L183" t="s">
        <v>87</v>
      </c>
      <c r="M183" s="7" t="str">
        <f>IF(ISBLANK(drvlst[[#This Row],[owner.emal]]),M182,drvlst[[#This Row],[owner.emal]])</f>
        <v>shuguang.gong@intel.com</v>
      </c>
      <c r="N183" s="7">
        <f>_xlfn.IFNA(VLOOKUP(drvlst[[#This Row],[tmp-owner.email]],OrgTree!$A:$J, 10, 0), "not ICG SWFW")</f>
        <v>0</v>
      </c>
      <c r="O183" s="7">
        <f>IF(drvlst[[#This Row],[reviewer]]=drvlst[[#This Row],[tmp-owner.email]], "author", _xlfn.IFNA(VLOOKUP(drvlst[[#This Row],[reviewer]],OrgTree!$A:$J, 10, 0), "not ICG SWFW"))</f>
        <v>0</v>
      </c>
      <c r="P183" s="7" t="str">
        <f>IF(ISBLANK(drvlst[[#This Row],[number]]), "",SUM(drvlst[[#This Row],[BJ -1 num]],drvlst[[#This Row],[FI -1 num]]))</f>
        <v/>
      </c>
      <c r="Q183" s="7" t="str">
        <f>IF(ISBLANK(drvlst[[#This Row],[number]]), "",COUNTIFS($A:$A,drvlst[[#This Row],[tmp-number]],$O:$O, "BJ And dev",$U:$U, "Review-1"))</f>
        <v/>
      </c>
      <c r="R183" s="7" t="str">
        <f>IF(ISBLANK(drvlst[[#This Row],[number]]), "",COUNTIFS($A:$A,drvlst[[#This Row],[tmp-number]],$O:$O, "FL And dev",$U:$U, "Review-1"))</f>
        <v/>
      </c>
      <c r="S183" s="7" t="str">
        <f>IF(ISBLANK(drvlst[[#This Row],[number]]), "",COUNTIFS($A:$A,drvlst[[#This Row],[tmp-number]],$O:$O, "BJ And dev",$V:$V, "&lt;&gt;IntegratorComment"))</f>
        <v/>
      </c>
      <c r="T183" s="7" t="str">
        <f>IF(ISBLANK(drvlst[[#This Row],[number]]), "",COUNTIFS($A:$A,drvlst[[#This Row],[tmp-number]],$O:$O, "FL And dev",$V:$V, "&lt;&gt;IntegratorComment"))</f>
        <v/>
      </c>
      <c r="U183" s="7" t="str">
        <f>IF(OR(ISNUMBER(FIND("Review-1", drvlst[[#This Row],[comments]])), ISNUMBER(FIND("Approver-1", drvlst[[#This Row],[comments]]))), "Review-1", "")</f>
        <v/>
      </c>
      <c r="V183" s="7" t="str">
        <f>IF(OR(ISNUMBER(FIND(": Integrator", drvlst[[#This Row],[comments]])), ISNUMBER(FIND(":\n\nIntegrator", drvlst[[#This Row],[comments]])), ISNUMBER(FIND("-Integrator", drvlst[[#This Row],[comments]]))), "IntegratorComment", "")</f>
        <v>IntegratorComment</v>
      </c>
      <c r="W183" s="7" t="str">
        <f>IF(ISBLANK(drvlst[[#This Row],[status]]),W182,drvlst[[#This Row],[status]])</f>
        <v>MERGED</v>
      </c>
    </row>
    <row r="184" spans="1:23">
      <c r="A184" s="7">
        <f>IF(ISBLANK(drvlst[[#This Row],[number]]),A183,drvlst[[#This Row],[number]])</f>
        <v>96993</v>
      </c>
      <c r="J184" t="s">
        <v>34</v>
      </c>
      <c r="K184" s="8">
        <v>42391.596446759257</v>
      </c>
      <c r="L184" t="s">
        <v>1947</v>
      </c>
      <c r="M184" s="7" t="str">
        <f>IF(ISBLANK(drvlst[[#This Row],[owner.emal]]),M183,drvlst[[#This Row],[owner.emal]])</f>
        <v>shuguang.gong@intel.com</v>
      </c>
      <c r="N184" s="7">
        <f>_xlfn.IFNA(VLOOKUP(drvlst[[#This Row],[tmp-owner.email]],OrgTree!$A:$J, 10, 0), "not ICG SWFW")</f>
        <v>0</v>
      </c>
      <c r="O184" s="7">
        <f>IF(drvlst[[#This Row],[reviewer]]=drvlst[[#This Row],[tmp-owner.email]], "author", _xlfn.IFNA(VLOOKUP(drvlst[[#This Row],[reviewer]],OrgTree!$A:$J, 10, 0), "not ICG SWFW"))</f>
        <v>0</v>
      </c>
      <c r="P184" s="7" t="str">
        <f>IF(ISBLANK(drvlst[[#This Row],[number]]), "",SUM(drvlst[[#This Row],[BJ -1 num]],drvlst[[#This Row],[FI -1 num]]))</f>
        <v/>
      </c>
      <c r="Q184" s="7" t="str">
        <f>IF(ISBLANK(drvlst[[#This Row],[number]]), "",COUNTIFS($A:$A,drvlst[[#This Row],[tmp-number]],$O:$O, "BJ And dev",$U:$U, "Review-1"))</f>
        <v/>
      </c>
      <c r="R184" s="7" t="str">
        <f>IF(ISBLANK(drvlst[[#This Row],[number]]), "",COUNTIFS($A:$A,drvlst[[#This Row],[tmp-number]],$O:$O, "FL And dev",$U:$U, "Review-1"))</f>
        <v/>
      </c>
      <c r="S184" s="7" t="str">
        <f>IF(ISBLANK(drvlst[[#This Row],[number]]), "",COUNTIFS($A:$A,drvlst[[#This Row],[tmp-number]],$O:$O, "BJ And dev",$V:$V, "&lt;&gt;IntegratorComment"))</f>
        <v/>
      </c>
      <c r="T184" s="7" t="str">
        <f>IF(ISBLANK(drvlst[[#This Row],[number]]), "",COUNTIFS($A:$A,drvlst[[#This Row],[tmp-number]],$O:$O, "FL And dev",$V:$V, "&lt;&gt;IntegratorComment"))</f>
        <v/>
      </c>
      <c r="U184" s="7" t="str">
        <f>IF(OR(ISNUMBER(FIND("Review-1", drvlst[[#This Row],[comments]])), ISNUMBER(FIND("Approver-1", drvlst[[#This Row],[comments]]))), "Review-1", "")</f>
        <v/>
      </c>
      <c r="V184" s="7" t="str">
        <f>IF(OR(ISNUMBER(FIND(": Integrator", drvlst[[#This Row],[comments]])), ISNUMBER(FIND(":\n\nIntegrator", drvlst[[#This Row],[comments]])), ISNUMBER(FIND("-Integrator", drvlst[[#This Row],[comments]]))), "IntegratorComment", "")</f>
        <v>IntegratorComment</v>
      </c>
      <c r="W184" s="7" t="str">
        <f>IF(ISBLANK(drvlst[[#This Row],[status]]),W183,drvlst[[#This Row],[status]])</f>
        <v>MERGED</v>
      </c>
    </row>
    <row r="185" spans="1:23">
      <c r="A185" s="7">
        <f>IF(ISBLANK(drvlst[[#This Row],[number]]),A184,drvlst[[#This Row],[number]])</f>
        <v>96993</v>
      </c>
      <c r="J185" t="s">
        <v>53</v>
      </c>
      <c r="K185" s="8">
        <v>42391.598969907405</v>
      </c>
      <c r="L185" t="s">
        <v>29</v>
      </c>
      <c r="M185" s="7" t="str">
        <f>IF(ISBLANK(drvlst[[#This Row],[owner.emal]]),M184,drvlst[[#This Row],[owner.emal]])</f>
        <v>shuguang.gong@intel.com</v>
      </c>
      <c r="N185" s="7">
        <f>_xlfn.IFNA(VLOOKUP(drvlst[[#This Row],[tmp-owner.email]],OrgTree!$A:$J, 10, 0), "not ICG SWFW")</f>
        <v>0</v>
      </c>
      <c r="O185" s="7" t="str">
        <f>IF(drvlst[[#This Row],[reviewer]]=drvlst[[#This Row],[tmp-owner.email]], "author", _xlfn.IFNA(VLOOKUP(drvlst[[#This Row],[reviewer]],OrgTree!$A:$J, 10, 0), "not ICG SWFW"))</f>
        <v>author</v>
      </c>
      <c r="P185" s="7" t="str">
        <f>IF(ISBLANK(drvlst[[#This Row],[number]]), "",SUM(drvlst[[#This Row],[BJ -1 num]],drvlst[[#This Row],[FI -1 num]]))</f>
        <v/>
      </c>
      <c r="Q185" s="7" t="str">
        <f>IF(ISBLANK(drvlst[[#This Row],[number]]), "",COUNTIFS($A:$A,drvlst[[#This Row],[tmp-number]],$O:$O, "BJ And dev",$U:$U, "Review-1"))</f>
        <v/>
      </c>
      <c r="R185" s="7" t="str">
        <f>IF(ISBLANK(drvlst[[#This Row],[number]]), "",COUNTIFS($A:$A,drvlst[[#This Row],[tmp-number]],$O:$O, "FL And dev",$U:$U, "Review-1"))</f>
        <v/>
      </c>
      <c r="S185" s="7" t="str">
        <f>IF(ISBLANK(drvlst[[#This Row],[number]]), "",COUNTIFS($A:$A,drvlst[[#This Row],[tmp-number]],$O:$O, "BJ And dev",$V:$V, "&lt;&gt;IntegratorComment"))</f>
        <v/>
      </c>
      <c r="T185" s="7" t="str">
        <f>IF(ISBLANK(drvlst[[#This Row],[number]]), "",COUNTIFS($A:$A,drvlst[[#This Row],[tmp-number]],$O:$O, "FL And dev",$V:$V, "&lt;&gt;IntegratorComment"))</f>
        <v/>
      </c>
      <c r="U185" s="7" t="str">
        <f>IF(OR(ISNUMBER(FIND("Review-1", drvlst[[#This Row],[comments]])), ISNUMBER(FIND("Approver-1", drvlst[[#This Row],[comments]]))), "Review-1", "")</f>
        <v/>
      </c>
      <c r="V185" s="7" t="str">
        <f>IF(OR(ISNUMBER(FIND(": Integrator", drvlst[[#This Row],[comments]])), ISNUMBER(FIND(":\n\nIntegrator", drvlst[[#This Row],[comments]])), ISNUMBER(FIND("-Integrator", drvlst[[#This Row],[comments]]))), "IntegratorComment", "")</f>
        <v/>
      </c>
      <c r="W185" s="7" t="str">
        <f>IF(ISBLANK(drvlst[[#This Row],[status]]),W184,drvlst[[#This Row],[status]])</f>
        <v>MERGED</v>
      </c>
    </row>
    <row r="186" spans="1:23">
      <c r="A186" s="7">
        <f>IF(ISBLANK(drvlst[[#This Row],[number]]),A185,drvlst[[#This Row],[number]])</f>
        <v>96993</v>
      </c>
      <c r="J186" t="s">
        <v>53</v>
      </c>
      <c r="K186" s="8">
        <v>42391.598969907405</v>
      </c>
      <c r="L186" t="s">
        <v>92</v>
      </c>
      <c r="M186" s="7" t="str">
        <f>IF(ISBLANK(drvlst[[#This Row],[owner.emal]]),M185,drvlst[[#This Row],[owner.emal]])</f>
        <v>shuguang.gong@intel.com</v>
      </c>
      <c r="N186" s="7">
        <f>_xlfn.IFNA(VLOOKUP(drvlst[[#This Row],[tmp-owner.email]],OrgTree!$A:$J, 10, 0), "not ICG SWFW")</f>
        <v>0</v>
      </c>
      <c r="O186" s="7" t="str">
        <f>IF(drvlst[[#This Row],[reviewer]]=drvlst[[#This Row],[tmp-owner.email]], "author", _xlfn.IFNA(VLOOKUP(drvlst[[#This Row],[reviewer]],OrgTree!$A:$J, 10, 0), "not ICG SWFW"))</f>
        <v>author</v>
      </c>
      <c r="P186" s="7" t="str">
        <f>IF(ISBLANK(drvlst[[#This Row],[number]]), "",SUM(drvlst[[#This Row],[BJ -1 num]],drvlst[[#This Row],[FI -1 num]]))</f>
        <v/>
      </c>
      <c r="Q186" s="7" t="str">
        <f>IF(ISBLANK(drvlst[[#This Row],[number]]), "",COUNTIFS($A:$A,drvlst[[#This Row],[tmp-number]],$O:$O, "BJ And dev",$U:$U, "Review-1"))</f>
        <v/>
      </c>
      <c r="R186" s="7" t="str">
        <f>IF(ISBLANK(drvlst[[#This Row],[number]]), "",COUNTIFS($A:$A,drvlst[[#This Row],[tmp-number]],$O:$O, "FL And dev",$U:$U, "Review-1"))</f>
        <v/>
      </c>
      <c r="S186" s="7" t="str">
        <f>IF(ISBLANK(drvlst[[#This Row],[number]]), "",COUNTIFS($A:$A,drvlst[[#This Row],[tmp-number]],$O:$O, "BJ And dev",$V:$V, "&lt;&gt;IntegratorComment"))</f>
        <v/>
      </c>
      <c r="T186" s="7" t="str">
        <f>IF(ISBLANK(drvlst[[#This Row],[number]]), "",COUNTIFS($A:$A,drvlst[[#This Row],[tmp-number]],$O:$O, "FL And dev",$V:$V, "&lt;&gt;IntegratorComment"))</f>
        <v/>
      </c>
      <c r="U186" s="7" t="str">
        <f>IF(OR(ISNUMBER(FIND("Review-1", drvlst[[#This Row],[comments]])), ISNUMBER(FIND("Approver-1", drvlst[[#This Row],[comments]]))), "Review-1", "")</f>
        <v/>
      </c>
      <c r="V186" s="7" t="str">
        <f>IF(OR(ISNUMBER(FIND(": Integrator", drvlst[[#This Row],[comments]])), ISNUMBER(FIND(":\n\nIntegrator", drvlst[[#This Row],[comments]])), ISNUMBER(FIND("-Integrator", drvlst[[#This Row],[comments]]))), "IntegratorComment", "")</f>
        <v/>
      </c>
      <c r="W186" s="7" t="str">
        <f>IF(ISBLANK(drvlst[[#This Row],[status]]),W185,drvlst[[#This Row],[status]])</f>
        <v>MERGED</v>
      </c>
    </row>
    <row r="187" spans="1:23">
      <c r="A187" s="7">
        <f>IF(ISBLANK(drvlst[[#This Row],[number]]),A186,drvlst[[#This Row],[number]])</f>
        <v>96993</v>
      </c>
      <c r="J187" t="s">
        <v>53</v>
      </c>
      <c r="K187" s="8">
        <v>42391.600613425922</v>
      </c>
      <c r="L187" t="s">
        <v>1948</v>
      </c>
      <c r="M187" s="7" t="str">
        <f>IF(ISBLANK(drvlst[[#This Row],[owner.emal]]),M186,drvlst[[#This Row],[owner.emal]])</f>
        <v>shuguang.gong@intel.com</v>
      </c>
      <c r="N187" s="7">
        <f>_xlfn.IFNA(VLOOKUP(drvlst[[#This Row],[tmp-owner.email]],OrgTree!$A:$J, 10, 0), "not ICG SWFW")</f>
        <v>0</v>
      </c>
      <c r="O187" s="7" t="str">
        <f>IF(drvlst[[#This Row],[reviewer]]=drvlst[[#This Row],[tmp-owner.email]], "author", _xlfn.IFNA(VLOOKUP(drvlst[[#This Row],[reviewer]],OrgTree!$A:$J, 10, 0), "not ICG SWFW"))</f>
        <v>author</v>
      </c>
      <c r="P187" s="7" t="str">
        <f>IF(ISBLANK(drvlst[[#This Row],[number]]), "",SUM(drvlst[[#This Row],[BJ -1 num]],drvlst[[#This Row],[FI -1 num]]))</f>
        <v/>
      </c>
      <c r="Q187" s="7" t="str">
        <f>IF(ISBLANK(drvlst[[#This Row],[number]]), "",COUNTIFS($A:$A,drvlst[[#This Row],[tmp-number]],$O:$O, "BJ And dev",$U:$U, "Review-1"))</f>
        <v/>
      </c>
      <c r="R187" s="7" t="str">
        <f>IF(ISBLANK(drvlst[[#This Row],[number]]), "",COUNTIFS($A:$A,drvlst[[#This Row],[tmp-number]],$O:$O, "FL And dev",$U:$U, "Review-1"))</f>
        <v/>
      </c>
      <c r="S187" s="7" t="str">
        <f>IF(ISBLANK(drvlst[[#This Row],[number]]), "",COUNTIFS($A:$A,drvlst[[#This Row],[tmp-number]],$O:$O, "BJ And dev",$V:$V, "&lt;&gt;IntegratorComment"))</f>
        <v/>
      </c>
      <c r="T187" s="7" t="str">
        <f>IF(ISBLANK(drvlst[[#This Row],[number]]), "",COUNTIFS($A:$A,drvlst[[#This Row],[tmp-number]],$O:$O, "FL And dev",$V:$V, "&lt;&gt;IntegratorComment"))</f>
        <v/>
      </c>
      <c r="U187" s="7" t="str">
        <f>IF(OR(ISNUMBER(FIND("Review-1", drvlst[[#This Row],[comments]])), ISNUMBER(FIND("Approver-1", drvlst[[#This Row],[comments]]))), "Review-1", "")</f>
        <v/>
      </c>
      <c r="V187" s="7" t="str">
        <f>IF(OR(ISNUMBER(FIND(": Integrator", drvlst[[#This Row],[comments]])), ISNUMBER(FIND(":\n\nIntegrator", drvlst[[#This Row],[comments]])), ISNUMBER(FIND("-Integrator", drvlst[[#This Row],[comments]]))), "IntegratorComment", "")</f>
        <v/>
      </c>
      <c r="W187" s="7" t="str">
        <f>IF(ISBLANK(drvlst[[#This Row],[status]]),W186,drvlst[[#This Row],[status]])</f>
        <v>MERGED</v>
      </c>
    </row>
    <row r="188" spans="1:23">
      <c r="A188" s="7">
        <f>IF(ISBLANK(drvlst[[#This Row],[number]]),A187,drvlst[[#This Row],[number]])</f>
        <v>96993</v>
      </c>
      <c r="J188" t="s">
        <v>53</v>
      </c>
      <c r="K188" s="8">
        <v>42391.659513888888</v>
      </c>
      <c r="L188" t="s">
        <v>1949</v>
      </c>
      <c r="M188" s="7" t="str">
        <f>IF(ISBLANK(drvlst[[#This Row],[owner.emal]]),M187,drvlst[[#This Row],[owner.emal]])</f>
        <v>shuguang.gong@intel.com</v>
      </c>
      <c r="N188" s="7">
        <f>_xlfn.IFNA(VLOOKUP(drvlst[[#This Row],[tmp-owner.email]],OrgTree!$A:$J, 10, 0), "not ICG SWFW")</f>
        <v>0</v>
      </c>
      <c r="O188" s="7" t="str">
        <f>IF(drvlst[[#This Row],[reviewer]]=drvlst[[#This Row],[tmp-owner.email]], "author", _xlfn.IFNA(VLOOKUP(drvlst[[#This Row],[reviewer]],OrgTree!$A:$J, 10, 0), "not ICG SWFW"))</f>
        <v>author</v>
      </c>
      <c r="P188" s="7" t="str">
        <f>IF(ISBLANK(drvlst[[#This Row],[number]]), "",SUM(drvlst[[#This Row],[BJ -1 num]],drvlst[[#This Row],[FI -1 num]]))</f>
        <v/>
      </c>
      <c r="Q188" s="7" t="str">
        <f>IF(ISBLANK(drvlst[[#This Row],[number]]), "",COUNTIFS($A:$A,drvlst[[#This Row],[tmp-number]],$O:$O, "BJ And dev",$U:$U, "Review-1"))</f>
        <v/>
      </c>
      <c r="R188" s="7" t="str">
        <f>IF(ISBLANK(drvlst[[#This Row],[number]]), "",COUNTIFS($A:$A,drvlst[[#This Row],[tmp-number]],$O:$O, "FL And dev",$U:$U, "Review-1"))</f>
        <v/>
      </c>
      <c r="S188" s="7" t="str">
        <f>IF(ISBLANK(drvlst[[#This Row],[number]]), "",COUNTIFS($A:$A,drvlst[[#This Row],[tmp-number]],$O:$O, "BJ And dev",$V:$V, "&lt;&gt;IntegratorComment"))</f>
        <v/>
      </c>
      <c r="T188" s="7" t="str">
        <f>IF(ISBLANK(drvlst[[#This Row],[number]]), "",COUNTIFS($A:$A,drvlst[[#This Row],[tmp-number]],$O:$O, "FL And dev",$V:$V, "&lt;&gt;IntegratorComment"))</f>
        <v/>
      </c>
      <c r="U188" s="7" t="str">
        <f>IF(OR(ISNUMBER(FIND("Review-1", drvlst[[#This Row],[comments]])), ISNUMBER(FIND("Approver-1", drvlst[[#This Row],[comments]]))), "Review-1", "")</f>
        <v>Review-1</v>
      </c>
      <c r="V188" s="7" t="str">
        <f>IF(OR(ISNUMBER(FIND(": Integrator", drvlst[[#This Row],[comments]])), ISNUMBER(FIND(":\n\nIntegrator", drvlst[[#This Row],[comments]])), ISNUMBER(FIND("-Integrator", drvlst[[#This Row],[comments]]))), "IntegratorComment", "")</f>
        <v/>
      </c>
      <c r="W188" s="7" t="str">
        <f>IF(ISBLANK(drvlst[[#This Row],[status]]),W187,drvlst[[#This Row],[status]])</f>
        <v>MERGED</v>
      </c>
    </row>
    <row r="189" spans="1:23">
      <c r="A189" s="7">
        <f>IF(ISBLANK(drvlst[[#This Row],[number]]),A188,drvlst[[#This Row],[number]])</f>
        <v>96993</v>
      </c>
      <c r="J189" t="s">
        <v>53</v>
      </c>
      <c r="K189" s="8">
        <v>42391.665879629632</v>
      </c>
      <c r="L189" t="s">
        <v>1829</v>
      </c>
      <c r="M189" s="7" t="str">
        <f>IF(ISBLANK(drvlst[[#This Row],[owner.emal]]),M188,drvlst[[#This Row],[owner.emal]])</f>
        <v>shuguang.gong@intel.com</v>
      </c>
      <c r="N189" s="7">
        <f>_xlfn.IFNA(VLOOKUP(drvlst[[#This Row],[tmp-owner.email]],OrgTree!$A:$J, 10, 0), "not ICG SWFW")</f>
        <v>0</v>
      </c>
      <c r="O189" s="7" t="str">
        <f>IF(drvlst[[#This Row],[reviewer]]=drvlst[[#This Row],[tmp-owner.email]], "author", _xlfn.IFNA(VLOOKUP(drvlst[[#This Row],[reviewer]],OrgTree!$A:$J, 10, 0), "not ICG SWFW"))</f>
        <v>author</v>
      </c>
      <c r="P189" s="7" t="str">
        <f>IF(ISBLANK(drvlst[[#This Row],[number]]), "",SUM(drvlst[[#This Row],[BJ -1 num]],drvlst[[#This Row],[FI -1 num]]))</f>
        <v/>
      </c>
      <c r="Q189" s="7" t="str">
        <f>IF(ISBLANK(drvlst[[#This Row],[number]]), "",COUNTIFS($A:$A,drvlst[[#This Row],[tmp-number]],$O:$O, "BJ And dev",$U:$U, "Review-1"))</f>
        <v/>
      </c>
      <c r="R189" s="7" t="str">
        <f>IF(ISBLANK(drvlst[[#This Row],[number]]), "",COUNTIFS($A:$A,drvlst[[#This Row],[tmp-number]],$O:$O, "FL And dev",$U:$U, "Review-1"))</f>
        <v/>
      </c>
      <c r="S189" s="7" t="str">
        <f>IF(ISBLANK(drvlst[[#This Row],[number]]), "",COUNTIFS($A:$A,drvlst[[#This Row],[tmp-number]],$O:$O, "BJ And dev",$V:$V, "&lt;&gt;IntegratorComment"))</f>
        <v/>
      </c>
      <c r="T189" s="7" t="str">
        <f>IF(ISBLANK(drvlst[[#This Row],[number]]), "",COUNTIFS($A:$A,drvlst[[#This Row],[tmp-number]],$O:$O, "FL And dev",$V:$V, "&lt;&gt;IntegratorComment"))</f>
        <v/>
      </c>
      <c r="U189" s="7" t="str">
        <f>IF(OR(ISNUMBER(FIND("Review-1", drvlst[[#This Row],[comments]])), ISNUMBER(FIND("Approver-1", drvlst[[#This Row],[comments]]))), "Review-1", "")</f>
        <v/>
      </c>
      <c r="V189" s="7" t="str">
        <f>IF(OR(ISNUMBER(FIND(": Integrator", drvlst[[#This Row],[comments]])), ISNUMBER(FIND(":\n\nIntegrator", drvlst[[#This Row],[comments]])), ISNUMBER(FIND("-Integrator", drvlst[[#This Row],[comments]]))), "IntegratorComment", "")</f>
        <v/>
      </c>
      <c r="W189" s="7" t="str">
        <f>IF(ISBLANK(drvlst[[#This Row],[status]]),W188,drvlst[[#This Row],[status]])</f>
        <v>MERGED</v>
      </c>
    </row>
    <row r="190" spans="1:23">
      <c r="A190" s="7">
        <f>IF(ISBLANK(drvlst[[#This Row],[number]]),A189,drvlst[[#This Row],[number]])</f>
        <v>96993</v>
      </c>
      <c r="J190" t="s">
        <v>53</v>
      </c>
      <c r="K190" s="8">
        <v>42391.665879629632</v>
      </c>
      <c r="L190" t="s">
        <v>98</v>
      </c>
      <c r="M190" s="7" t="str">
        <f>IF(ISBLANK(drvlst[[#This Row],[owner.emal]]),M189,drvlst[[#This Row],[owner.emal]])</f>
        <v>shuguang.gong@intel.com</v>
      </c>
      <c r="N190" s="7">
        <f>_xlfn.IFNA(VLOOKUP(drvlst[[#This Row],[tmp-owner.email]],OrgTree!$A:$J, 10, 0), "not ICG SWFW")</f>
        <v>0</v>
      </c>
      <c r="O190" s="7" t="str">
        <f>IF(drvlst[[#This Row],[reviewer]]=drvlst[[#This Row],[tmp-owner.email]], "author", _xlfn.IFNA(VLOOKUP(drvlst[[#This Row],[reviewer]],OrgTree!$A:$J, 10, 0), "not ICG SWFW"))</f>
        <v>author</v>
      </c>
      <c r="P190" s="7" t="str">
        <f>IF(ISBLANK(drvlst[[#This Row],[number]]), "",SUM(drvlst[[#This Row],[BJ -1 num]],drvlst[[#This Row],[FI -1 num]]))</f>
        <v/>
      </c>
      <c r="Q190" s="7" t="str">
        <f>IF(ISBLANK(drvlst[[#This Row],[number]]), "",COUNTIFS($A:$A,drvlst[[#This Row],[tmp-number]],$O:$O, "BJ And dev",$U:$U, "Review-1"))</f>
        <v/>
      </c>
      <c r="R190" s="7" t="str">
        <f>IF(ISBLANK(drvlst[[#This Row],[number]]), "",COUNTIFS($A:$A,drvlst[[#This Row],[tmp-number]],$O:$O, "FL And dev",$U:$U, "Review-1"))</f>
        <v/>
      </c>
      <c r="S190" s="7" t="str">
        <f>IF(ISBLANK(drvlst[[#This Row],[number]]), "",COUNTIFS($A:$A,drvlst[[#This Row],[tmp-number]],$O:$O, "BJ And dev",$V:$V, "&lt;&gt;IntegratorComment"))</f>
        <v/>
      </c>
      <c r="T190" s="7" t="str">
        <f>IF(ISBLANK(drvlst[[#This Row],[number]]), "",COUNTIFS($A:$A,drvlst[[#This Row],[tmp-number]],$O:$O, "FL And dev",$V:$V, "&lt;&gt;IntegratorComment"))</f>
        <v/>
      </c>
      <c r="U190" s="7" t="str">
        <f>IF(OR(ISNUMBER(FIND("Review-1", drvlst[[#This Row],[comments]])), ISNUMBER(FIND("Approver-1", drvlst[[#This Row],[comments]]))), "Review-1", "")</f>
        <v/>
      </c>
      <c r="V190" s="7" t="str">
        <f>IF(OR(ISNUMBER(FIND(": Integrator", drvlst[[#This Row],[comments]])), ISNUMBER(FIND(":\n\nIntegrator", drvlst[[#This Row],[comments]])), ISNUMBER(FIND("-Integrator", drvlst[[#This Row],[comments]]))), "IntegratorComment", "")</f>
        <v/>
      </c>
      <c r="W190" s="7" t="str">
        <f>IF(ISBLANK(drvlst[[#This Row],[status]]),W189,drvlst[[#This Row],[status]])</f>
        <v>MERGED</v>
      </c>
    </row>
    <row r="191" spans="1:23">
      <c r="A191" s="7">
        <f>IF(ISBLANK(drvlst[[#This Row],[number]]),A190,drvlst[[#This Row],[number]])</f>
        <v>96993</v>
      </c>
      <c r="J191" t="s">
        <v>53</v>
      </c>
      <c r="K191" s="8">
        <v>42391.797962962963</v>
      </c>
      <c r="L191" t="s">
        <v>1841</v>
      </c>
      <c r="M191" s="7" t="str">
        <f>IF(ISBLANK(drvlst[[#This Row],[owner.emal]]),M190,drvlst[[#This Row],[owner.emal]])</f>
        <v>shuguang.gong@intel.com</v>
      </c>
      <c r="N191" s="7">
        <f>_xlfn.IFNA(VLOOKUP(drvlst[[#This Row],[tmp-owner.email]],OrgTree!$A:$J, 10, 0), "not ICG SWFW")</f>
        <v>0</v>
      </c>
      <c r="O191" s="7" t="str">
        <f>IF(drvlst[[#This Row],[reviewer]]=drvlst[[#This Row],[tmp-owner.email]], "author", _xlfn.IFNA(VLOOKUP(drvlst[[#This Row],[reviewer]],OrgTree!$A:$J, 10, 0), "not ICG SWFW"))</f>
        <v>author</v>
      </c>
      <c r="P191" s="7" t="str">
        <f>IF(ISBLANK(drvlst[[#This Row],[number]]), "",SUM(drvlst[[#This Row],[BJ -1 num]],drvlst[[#This Row],[FI -1 num]]))</f>
        <v/>
      </c>
      <c r="Q191" s="7" t="str">
        <f>IF(ISBLANK(drvlst[[#This Row],[number]]), "",COUNTIFS($A:$A,drvlst[[#This Row],[tmp-number]],$O:$O, "BJ And dev",$U:$U, "Review-1"))</f>
        <v/>
      </c>
      <c r="R191" s="7" t="str">
        <f>IF(ISBLANK(drvlst[[#This Row],[number]]), "",COUNTIFS($A:$A,drvlst[[#This Row],[tmp-number]],$O:$O, "FL And dev",$U:$U, "Review-1"))</f>
        <v/>
      </c>
      <c r="S191" s="7" t="str">
        <f>IF(ISBLANK(drvlst[[#This Row],[number]]), "",COUNTIFS($A:$A,drvlst[[#This Row],[tmp-number]],$O:$O, "BJ And dev",$V:$V, "&lt;&gt;IntegratorComment"))</f>
        <v/>
      </c>
      <c r="T191" s="7" t="str">
        <f>IF(ISBLANK(drvlst[[#This Row],[number]]), "",COUNTIFS($A:$A,drvlst[[#This Row],[tmp-number]],$O:$O, "FL And dev",$V:$V, "&lt;&gt;IntegratorComment"))</f>
        <v/>
      </c>
      <c r="U191" s="7" t="str">
        <f>IF(OR(ISNUMBER(FIND("Review-1", drvlst[[#This Row],[comments]])), ISNUMBER(FIND("Approver-1", drvlst[[#This Row],[comments]]))), "Review-1", "")</f>
        <v/>
      </c>
      <c r="V191" s="7" t="str">
        <f>IF(OR(ISNUMBER(FIND(": Integrator", drvlst[[#This Row],[comments]])), ISNUMBER(FIND(":\n\nIntegrator", drvlst[[#This Row],[comments]])), ISNUMBER(FIND("-Integrator", drvlst[[#This Row],[comments]]))), "IntegratorComment", "")</f>
        <v/>
      </c>
      <c r="W191" s="7" t="str">
        <f>IF(ISBLANK(drvlst[[#This Row],[status]]),W190,drvlst[[#This Row],[status]])</f>
        <v>MERGED</v>
      </c>
    </row>
    <row r="192" spans="1:23">
      <c r="A192" s="7">
        <f>IF(ISBLANK(drvlst[[#This Row],[number]]),A191,drvlst[[#This Row],[number]])</f>
        <v>96993</v>
      </c>
      <c r="J192" t="s">
        <v>53</v>
      </c>
      <c r="K192" s="8">
        <v>42391.797974537039</v>
      </c>
      <c r="L192" t="s">
        <v>100</v>
      </c>
      <c r="M192" s="7" t="str">
        <f>IF(ISBLANK(drvlst[[#This Row],[owner.emal]]),M191,drvlst[[#This Row],[owner.emal]])</f>
        <v>shuguang.gong@intel.com</v>
      </c>
      <c r="N192" s="7">
        <f>_xlfn.IFNA(VLOOKUP(drvlst[[#This Row],[tmp-owner.email]],OrgTree!$A:$J, 10, 0), "not ICG SWFW")</f>
        <v>0</v>
      </c>
      <c r="O192" s="7" t="str">
        <f>IF(drvlst[[#This Row],[reviewer]]=drvlst[[#This Row],[tmp-owner.email]], "author", _xlfn.IFNA(VLOOKUP(drvlst[[#This Row],[reviewer]],OrgTree!$A:$J, 10, 0), "not ICG SWFW"))</f>
        <v>author</v>
      </c>
      <c r="P192" s="7" t="str">
        <f>IF(ISBLANK(drvlst[[#This Row],[number]]), "",SUM(drvlst[[#This Row],[BJ -1 num]],drvlst[[#This Row],[FI -1 num]]))</f>
        <v/>
      </c>
      <c r="Q192" s="7" t="str">
        <f>IF(ISBLANK(drvlst[[#This Row],[number]]), "",COUNTIFS($A:$A,drvlst[[#This Row],[tmp-number]],$O:$O, "BJ And dev",$U:$U, "Review-1"))</f>
        <v/>
      </c>
      <c r="R192" s="7" t="str">
        <f>IF(ISBLANK(drvlst[[#This Row],[number]]), "",COUNTIFS($A:$A,drvlst[[#This Row],[tmp-number]],$O:$O, "FL And dev",$U:$U, "Review-1"))</f>
        <v/>
      </c>
      <c r="S192" s="7" t="str">
        <f>IF(ISBLANK(drvlst[[#This Row],[number]]), "",COUNTIFS($A:$A,drvlst[[#This Row],[tmp-number]],$O:$O, "BJ And dev",$V:$V, "&lt;&gt;IntegratorComment"))</f>
        <v/>
      </c>
      <c r="T192" s="7" t="str">
        <f>IF(ISBLANK(drvlst[[#This Row],[number]]), "",COUNTIFS($A:$A,drvlst[[#This Row],[tmp-number]],$O:$O, "FL And dev",$V:$V, "&lt;&gt;IntegratorComment"))</f>
        <v/>
      </c>
      <c r="U192" s="7" t="str">
        <f>IF(OR(ISNUMBER(FIND("Review-1", drvlst[[#This Row],[comments]])), ISNUMBER(FIND("Approver-1", drvlst[[#This Row],[comments]]))), "Review-1", "")</f>
        <v/>
      </c>
      <c r="V192" s="7" t="str">
        <f>IF(OR(ISNUMBER(FIND(": Integrator", drvlst[[#This Row],[comments]])), ISNUMBER(FIND(":\n\nIntegrator", drvlst[[#This Row],[comments]])), ISNUMBER(FIND("-Integrator", drvlst[[#This Row],[comments]]))), "IntegratorComment", "")</f>
        <v/>
      </c>
      <c r="W192" s="7" t="str">
        <f>IF(ISBLANK(drvlst[[#This Row],[status]]),W191,drvlst[[#This Row],[status]])</f>
        <v>MERGED</v>
      </c>
    </row>
    <row r="193" spans="1:23">
      <c r="A193" s="7">
        <f>IF(ISBLANK(drvlst[[#This Row],[number]]),A192,drvlst[[#This Row],[number]])</f>
        <v>96993</v>
      </c>
      <c r="J193" t="s">
        <v>53</v>
      </c>
      <c r="K193" s="8">
        <v>42391.808946759258</v>
      </c>
      <c r="L193" t="s">
        <v>1950</v>
      </c>
      <c r="M193" s="7" t="str">
        <f>IF(ISBLANK(drvlst[[#This Row],[owner.emal]]),M192,drvlst[[#This Row],[owner.emal]])</f>
        <v>shuguang.gong@intel.com</v>
      </c>
      <c r="N193" s="7">
        <f>_xlfn.IFNA(VLOOKUP(drvlst[[#This Row],[tmp-owner.email]],OrgTree!$A:$J, 10, 0), "not ICG SWFW")</f>
        <v>0</v>
      </c>
      <c r="O193" s="7" t="str">
        <f>IF(drvlst[[#This Row],[reviewer]]=drvlst[[#This Row],[tmp-owner.email]], "author", _xlfn.IFNA(VLOOKUP(drvlst[[#This Row],[reviewer]],OrgTree!$A:$J, 10, 0), "not ICG SWFW"))</f>
        <v>author</v>
      </c>
      <c r="P193" s="7" t="str">
        <f>IF(ISBLANK(drvlst[[#This Row],[number]]), "",SUM(drvlst[[#This Row],[BJ -1 num]],drvlst[[#This Row],[FI -1 num]]))</f>
        <v/>
      </c>
      <c r="Q193" s="7" t="str">
        <f>IF(ISBLANK(drvlst[[#This Row],[number]]), "",COUNTIFS($A:$A,drvlst[[#This Row],[tmp-number]],$O:$O, "BJ And dev",$U:$U, "Review-1"))</f>
        <v/>
      </c>
      <c r="R193" s="7" t="str">
        <f>IF(ISBLANK(drvlst[[#This Row],[number]]), "",COUNTIFS($A:$A,drvlst[[#This Row],[tmp-number]],$O:$O, "FL And dev",$U:$U, "Review-1"))</f>
        <v/>
      </c>
      <c r="S193" s="7" t="str">
        <f>IF(ISBLANK(drvlst[[#This Row],[number]]), "",COUNTIFS($A:$A,drvlst[[#This Row],[tmp-number]],$O:$O, "BJ And dev",$V:$V, "&lt;&gt;IntegratorComment"))</f>
        <v/>
      </c>
      <c r="T193" s="7" t="str">
        <f>IF(ISBLANK(drvlst[[#This Row],[number]]), "",COUNTIFS($A:$A,drvlst[[#This Row],[tmp-number]],$O:$O, "FL And dev",$V:$V, "&lt;&gt;IntegratorComment"))</f>
        <v/>
      </c>
      <c r="U193" s="7" t="str">
        <f>IF(OR(ISNUMBER(FIND("Review-1", drvlst[[#This Row],[comments]])), ISNUMBER(FIND("Approver-1", drvlst[[#This Row],[comments]]))), "Review-1", "")</f>
        <v/>
      </c>
      <c r="V193" s="7" t="str">
        <f>IF(OR(ISNUMBER(FIND(": Integrator", drvlst[[#This Row],[comments]])), ISNUMBER(FIND(":\n\nIntegrator", drvlst[[#This Row],[comments]])), ISNUMBER(FIND("-Integrator", drvlst[[#This Row],[comments]]))), "IntegratorComment", "")</f>
        <v/>
      </c>
      <c r="W193" s="7" t="str">
        <f>IF(ISBLANK(drvlst[[#This Row],[status]]),W192,drvlst[[#This Row],[status]])</f>
        <v>MERGED</v>
      </c>
    </row>
    <row r="194" spans="1:23">
      <c r="A194" s="7">
        <f>IF(ISBLANK(drvlst[[#This Row],[number]]),A193,drvlst[[#This Row],[number]])</f>
        <v>96993</v>
      </c>
      <c r="J194" t="s">
        <v>30</v>
      </c>
      <c r="K194" s="8">
        <v>42391.825138888889</v>
      </c>
      <c r="L194" t="s">
        <v>1864</v>
      </c>
      <c r="M194" s="7" t="str">
        <f>IF(ISBLANK(drvlst[[#This Row],[owner.emal]]),M193,drvlst[[#This Row],[owner.emal]])</f>
        <v>shuguang.gong@intel.com</v>
      </c>
      <c r="N194" s="7">
        <f>_xlfn.IFNA(VLOOKUP(drvlst[[#This Row],[tmp-owner.email]],OrgTree!$A:$J, 10, 0), "not ICG SWFW")</f>
        <v>0</v>
      </c>
      <c r="O194" s="7">
        <f>IF(drvlst[[#This Row],[reviewer]]=drvlst[[#This Row],[tmp-owner.email]], "author", _xlfn.IFNA(VLOOKUP(drvlst[[#This Row],[reviewer]],OrgTree!$A:$J, 10, 0), "not ICG SWFW"))</f>
        <v>0</v>
      </c>
      <c r="P194" s="7" t="str">
        <f>IF(ISBLANK(drvlst[[#This Row],[number]]), "",SUM(drvlst[[#This Row],[BJ -1 num]],drvlst[[#This Row],[FI -1 num]]))</f>
        <v/>
      </c>
      <c r="Q194" s="7" t="str">
        <f>IF(ISBLANK(drvlst[[#This Row],[number]]), "",COUNTIFS($A:$A,drvlst[[#This Row],[tmp-number]],$O:$O, "BJ And dev",$U:$U, "Review-1"))</f>
        <v/>
      </c>
      <c r="R194" s="7" t="str">
        <f>IF(ISBLANK(drvlst[[#This Row],[number]]), "",COUNTIFS($A:$A,drvlst[[#This Row],[tmp-number]],$O:$O, "FL And dev",$U:$U, "Review-1"))</f>
        <v/>
      </c>
      <c r="S194" s="7" t="str">
        <f>IF(ISBLANK(drvlst[[#This Row],[number]]), "",COUNTIFS($A:$A,drvlst[[#This Row],[tmp-number]],$O:$O, "BJ And dev",$V:$V, "&lt;&gt;IntegratorComment"))</f>
        <v/>
      </c>
      <c r="T194" s="7" t="str">
        <f>IF(ISBLANK(drvlst[[#This Row],[number]]), "",COUNTIFS($A:$A,drvlst[[#This Row],[tmp-number]],$O:$O, "FL And dev",$V:$V, "&lt;&gt;IntegratorComment"))</f>
        <v/>
      </c>
      <c r="U194" s="7" t="str">
        <f>IF(OR(ISNUMBER(FIND("Review-1", drvlst[[#This Row],[comments]])), ISNUMBER(FIND("Approver-1", drvlst[[#This Row],[comments]]))), "Review-1", "")</f>
        <v/>
      </c>
      <c r="V194" s="7" t="str">
        <f>IF(OR(ISNUMBER(FIND(": Integrator", drvlst[[#This Row],[comments]])), ISNUMBER(FIND(":\n\nIntegrator", drvlst[[#This Row],[comments]])), ISNUMBER(FIND("-Integrator", drvlst[[#This Row],[comments]]))), "IntegratorComment", "")</f>
        <v/>
      </c>
      <c r="W194" s="7" t="str">
        <f>IF(ISBLANK(drvlst[[#This Row],[status]]),W193,drvlst[[#This Row],[status]])</f>
        <v>MERGED</v>
      </c>
    </row>
    <row r="195" spans="1:23">
      <c r="A195" s="7">
        <f>IF(ISBLANK(drvlst[[#This Row],[number]]),A194,drvlst[[#This Row],[number]])</f>
        <v>96993</v>
      </c>
      <c r="J195" t="s">
        <v>101</v>
      </c>
      <c r="K195" s="8">
        <v>42391.851018518515</v>
      </c>
      <c r="L195" t="s">
        <v>31</v>
      </c>
      <c r="M195" s="7" t="str">
        <f>IF(ISBLANK(drvlst[[#This Row],[owner.emal]]),M194,drvlst[[#This Row],[owner.emal]])</f>
        <v>shuguang.gong@intel.com</v>
      </c>
      <c r="N195" s="7">
        <f>_xlfn.IFNA(VLOOKUP(drvlst[[#This Row],[tmp-owner.email]],OrgTree!$A:$J, 10, 0), "not ICG SWFW")</f>
        <v>0</v>
      </c>
      <c r="O195" s="7">
        <f>IF(drvlst[[#This Row],[reviewer]]=drvlst[[#This Row],[tmp-owner.email]], "author", _xlfn.IFNA(VLOOKUP(drvlst[[#This Row],[reviewer]],OrgTree!$A:$J, 10, 0), "not ICG SWFW"))</f>
        <v>0</v>
      </c>
      <c r="P195" s="7" t="str">
        <f>IF(ISBLANK(drvlst[[#This Row],[number]]), "",SUM(drvlst[[#This Row],[BJ -1 num]],drvlst[[#This Row],[FI -1 num]]))</f>
        <v/>
      </c>
      <c r="Q195" s="7" t="str">
        <f>IF(ISBLANK(drvlst[[#This Row],[number]]), "",COUNTIFS($A:$A,drvlst[[#This Row],[tmp-number]],$O:$O, "BJ And dev",$U:$U, "Review-1"))</f>
        <v/>
      </c>
      <c r="R195" s="7" t="str">
        <f>IF(ISBLANK(drvlst[[#This Row],[number]]), "",COUNTIFS($A:$A,drvlst[[#This Row],[tmp-number]],$O:$O, "FL And dev",$U:$U, "Review-1"))</f>
        <v/>
      </c>
      <c r="S195" s="7" t="str">
        <f>IF(ISBLANK(drvlst[[#This Row],[number]]), "",COUNTIFS($A:$A,drvlst[[#This Row],[tmp-number]],$O:$O, "BJ And dev",$V:$V, "&lt;&gt;IntegratorComment"))</f>
        <v/>
      </c>
      <c r="T195" s="7" t="str">
        <f>IF(ISBLANK(drvlst[[#This Row],[number]]), "",COUNTIFS($A:$A,drvlst[[#This Row],[tmp-number]],$O:$O, "FL And dev",$V:$V, "&lt;&gt;IntegratorComment"))</f>
        <v/>
      </c>
      <c r="U195" s="7" t="str">
        <f>IF(OR(ISNUMBER(FIND("Review-1", drvlst[[#This Row],[comments]])), ISNUMBER(FIND("Approver-1", drvlst[[#This Row],[comments]]))), "Review-1", "")</f>
        <v/>
      </c>
      <c r="V195" s="7" t="str">
        <f>IF(OR(ISNUMBER(FIND(": Integrator", drvlst[[#This Row],[comments]])), ISNUMBER(FIND(":\n\nIntegrator", drvlst[[#This Row],[comments]])), ISNUMBER(FIND("-Integrator", drvlst[[#This Row],[comments]]))), "IntegratorComment", "")</f>
        <v/>
      </c>
      <c r="W195" s="7" t="str">
        <f>IF(ISBLANK(drvlst[[#This Row],[status]]),W194,drvlst[[#This Row],[status]])</f>
        <v>MERGED</v>
      </c>
    </row>
    <row r="196" spans="1:23">
      <c r="A196" s="7">
        <f>IF(ISBLANK(drvlst[[#This Row],[number]]),A195,drvlst[[#This Row],[number]])</f>
        <v>96993</v>
      </c>
      <c r="J196" t="s">
        <v>38</v>
      </c>
      <c r="K196" s="8">
        <v>42394.439629629633</v>
      </c>
      <c r="L196" t="s">
        <v>1898</v>
      </c>
      <c r="M196" s="7" t="str">
        <f>IF(ISBLANK(drvlst[[#This Row],[owner.emal]]),M195,drvlst[[#This Row],[owner.emal]])</f>
        <v>shuguang.gong@intel.com</v>
      </c>
      <c r="N196" s="7">
        <f>_xlfn.IFNA(VLOOKUP(drvlst[[#This Row],[tmp-owner.email]],OrgTree!$A:$J, 10, 0), "not ICG SWFW")</f>
        <v>0</v>
      </c>
      <c r="O196" s="7">
        <f>IF(drvlst[[#This Row],[reviewer]]=drvlst[[#This Row],[tmp-owner.email]], "author", _xlfn.IFNA(VLOOKUP(drvlst[[#This Row],[reviewer]],OrgTree!$A:$J, 10, 0), "not ICG SWFW"))</f>
        <v>0</v>
      </c>
      <c r="P196" s="7" t="str">
        <f>IF(ISBLANK(drvlst[[#This Row],[number]]), "",SUM(drvlst[[#This Row],[BJ -1 num]],drvlst[[#This Row],[FI -1 num]]))</f>
        <v/>
      </c>
      <c r="Q196" s="7" t="str">
        <f>IF(ISBLANK(drvlst[[#This Row],[number]]), "",COUNTIFS($A:$A,drvlst[[#This Row],[tmp-number]],$O:$O, "BJ And dev",$U:$U, "Review-1"))</f>
        <v/>
      </c>
      <c r="R196" s="7" t="str">
        <f>IF(ISBLANK(drvlst[[#This Row],[number]]), "",COUNTIFS($A:$A,drvlst[[#This Row],[tmp-number]],$O:$O, "FL And dev",$U:$U, "Review-1"))</f>
        <v/>
      </c>
      <c r="S196" s="7" t="str">
        <f>IF(ISBLANK(drvlst[[#This Row],[number]]), "",COUNTIFS($A:$A,drvlst[[#This Row],[tmp-number]],$O:$O, "BJ And dev",$V:$V, "&lt;&gt;IntegratorComment"))</f>
        <v/>
      </c>
      <c r="T196" s="7" t="str">
        <f>IF(ISBLANK(drvlst[[#This Row],[number]]), "",COUNTIFS($A:$A,drvlst[[#This Row],[tmp-number]],$O:$O, "FL And dev",$V:$V, "&lt;&gt;IntegratorComment"))</f>
        <v/>
      </c>
      <c r="U196" s="7" t="str">
        <f>IF(OR(ISNUMBER(FIND("Review-1", drvlst[[#This Row],[comments]])), ISNUMBER(FIND("Approver-1", drvlst[[#This Row],[comments]]))), "Review-1", "")</f>
        <v/>
      </c>
      <c r="V196" s="7" t="str">
        <f>IF(OR(ISNUMBER(FIND(": Integrator", drvlst[[#This Row],[comments]])), ISNUMBER(FIND(":\n\nIntegrator", drvlst[[#This Row],[comments]])), ISNUMBER(FIND("-Integrator", drvlst[[#This Row],[comments]]))), "IntegratorComment", "")</f>
        <v/>
      </c>
      <c r="W196" s="7" t="str">
        <f>IF(ISBLANK(drvlst[[#This Row],[status]]),W195,drvlst[[#This Row],[status]])</f>
        <v>MERGED</v>
      </c>
    </row>
    <row r="197" spans="1:23">
      <c r="A197" s="7">
        <f>IF(ISBLANK(drvlst[[#This Row],[number]]),A196,drvlst[[#This Row],[number]])</f>
        <v>96993</v>
      </c>
      <c r="J197" t="s">
        <v>34</v>
      </c>
      <c r="K197" s="8">
        <v>42394.597650462965</v>
      </c>
      <c r="L197" t="s">
        <v>1891</v>
      </c>
      <c r="M197" s="7" t="str">
        <f>IF(ISBLANK(drvlst[[#This Row],[owner.emal]]),M196,drvlst[[#This Row],[owner.emal]])</f>
        <v>shuguang.gong@intel.com</v>
      </c>
      <c r="N197" s="7">
        <f>_xlfn.IFNA(VLOOKUP(drvlst[[#This Row],[tmp-owner.email]],OrgTree!$A:$J, 10, 0), "not ICG SWFW")</f>
        <v>0</v>
      </c>
      <c r="O197" s="7">
        <f>IF(drvlst[[#This Row],[reviewer]]=drvlst[[#This Row],[tmp-owner.email]], "author", _xlfn.IFNA(VLOOKUP(drvlst[[#This Row],[reviewer]],OrgTree!$A:$J, 10, 0), "not ICG SWFW"))</f>
        <v>0</v>
      </c>
      <c r="P197" s="7" t="str">
        <f>IF(ISBLANK(drvlst[[#This Row],[number]]), "",SUM(drvlst[[#This Row],[BJ -1 num]],drvlst[[#This Row],[FI -1 num]]))</f>
        <v/>
      </c>
      <c r="Q197" s="7" t="str">
        <f>IF(ISBLANK(drvlst[[#This Row],[number]]), "",COUNTIFS($A:$A,drvlst[[#This Row],[tmp-number]],$O:$O, "BJ And dev",$U:$U, "Review-1"))</f>
        <v/>
      </c>
      <c r="R197" s="7" t="str">
        <f>IF(ISBLANK(drvlst[[#This Row],[number]]), "",COUNTIFS($A:$A,drvlst[[#This Row],[tmp-number]],$O:$O, "FL And dev",$U:$U, "Review-1"))</f>
        <v/>
      </c>
      <c r="S197" s="7" t="str">
        <f>IF(ISBLANK(drvlst[[#This Row],[number]]), "",COUNTIFS($A:$A,drvlst[[#This Row],[tmp-number]],$O:$O, "BJ And dev",$V:$V, "&lt;&gt;IntegratorComment"))</f>
        <v/>
      </c>
      <c r="T197" s="7" t="str">
        <f>IF(ISBLANK(drvlst[[#This Row],[number]]), "",COUNTIFS($A:$A,drvlst[[#This Row],[tmp-number]],$O:$O, "FL And dev",$V:$V, "&lt;&gt;IntegratorComment"))</f>
        <v/>
      </c>
      <c r="U197" s="7" t="str">
        <f>IF(OR(ISNUMBER(FIND("Review-1", drvlst[[#This Row],[comments]])), ISNUMBER(FIND("Approver-1", drvlst[[#This Row],[comments]]))), "Review-1", "")</f>
        <v/>
      </c>
      <c r="V197" s="7" t="str">
        <f>IF(OR(ISNUMBER(FIND(": Integrator", drvlst[[#This Row],[comments]])), ISNUMBER(FIND(":\n\nIntegrator", drvlst[[#This Row],[comments]])), ISNUMBER(FIND("-Integrator", drvlst[[#This Row],[comments]]))), "IntegratorComment", "")</f>
        <v>IntegratorComment</v>
      </c>
      <c r="W197" s="7" t="str">
        <f>IF(ISBLANK(drvlst[[#This Row],[status]]),W196,drvlst[[#This Row],[status]])</f>
        <v>MERGED</v>
      </c>
    </row>
    <row r="198" spans="1:23">
      <c r="A198" s="7">
        <f>IF(ISBLANK(drvlst[[#This Row],[number]]),A197,drvlst[[#This Row],[number]])</f>
        <v>96993</v>
      </c>
      <c r="J198" t="s">
        <v>34</v>
      </c>
      <c r="K198" s="8">
        <v>42394.826296296298</v>
      </c>
      <c r="L198" t="s">
        <v>1893</v>
      </c>
      <c r="M198" s="7" t="str">
        <f>IF(ISBLANK(drvlst[[#This Row],[owner.emal]]),M197,drvlst[[#This Row],[owner.emal]])</f>
        <v>shuguang.gong@intel.com</v>
      </c>
      <c r="N198" s="7">
        <f>_xlfn.IFNA(VLOOKUP(drvlst[[#This Row],[tmp-owner.email]],OrgTree!$A:$J, 10, 0), "not ICG SWFW")</f>
        <v>0</v>
      </c>
      <c r="O198" s="7">
        <f>IF(drvlst[[#This Row],[reviewer]]=drvlst[[#This Row],[tmp-owner.email]], "author", _xlfn.IFNA(VLOOKUP(drvlst[[#This Row],[reviewer]],OrgTree!$A:$J, 10, 0), "not ICG SWFW"))</f>
        <v>0</v>
      </c>
      <c r="P198" s="7" t="str">
        <f>IF(ISBLANK(drvlst[[#This Row],[number]]), "",SUM(drvlst[[#This Row],[BJ -1 num]],drvlst[[#This Row],[FI -1 num]]))</f>
        <v/>
      </c>
      <c r="Q198" s="7" t="str">
        <f>IF(ISBLANK(drvlst[[#This Row],[number]]), "",COUNTIFS($A:$A,drvlst[[#This Row],[tmp-number]],$O:$O, "BJ And dev",$U:$U, "Review-1"))</f>
        <v/>
      </c>
      <c r="R198" s="7" t="str">
        <f>IF(ISBLANK(drvlst[[#This Row],[number]]), "",COUNTIFS($A:$A,drvlst[[#This Row],[tmp-number]],$O:$O, "FL And dev",$U:$U, "Review-1"))</f>
        <v/>
      </c>
      <c r="S198" s="7" t="str">
        <f>IF(ISBLANK(drvlst[[#This Row],[number]]), "",COUNTIFS($A:$A,drvlst[[#This Row],[tmp-number]],$O:$O, "BJ And dev",$V:$V, "&lt;&gt;IntegratorComment"))</f>
        <v/>
      </c>
      <c r="T198" s="7" t="str">
        <f>IF(ISBLANK(drvlst[[#This Row],[number]]), "",COUNTIFS($A:$A,drvlst[[#This Row],[tmp-number]],$O:$O, "FL And dev",$V:$V, "&lt;&gt;IntegratorComment"))</f>
        <v/>
      </c>
      <c r="U198" s="7" t="str">
        <f>IF(OR(ISNUMBER(FIND("Review-1", drvlst[[#This Row],[comments]])), ISNUMBER(FIND("Approver-1", drvlst[[#This Row],[comments]]))), "Review-1", "")</f>
        <v/>
      </c>
      <c r="V198" s="7" t="str">
        <f>IF(OR(ISNUMBER(FIND(": Integrator", drvlst[[#This Row],[comments]])), ISNUMBER(FIND(":\n\nIntegrator", drvlst[[#This Row],[comments]])), ISNUMBER(FIND("-Integrator", drvlst[[#This Row],[comments]]))), "IntegratorComment", "")</f>
        <v/>
      </c>
      <c r="W198" s="7" t="str">
        <f>IF(ISBLANK(drvlst[[#This Row],[status]]),W197,drvlst[[#This Row],[status]])</f>
        <v>MERGED</v>
      </c>
    </row>
    <row r="199" spans="1:23">
      <c r="A199" s="7">
        <f>IF(ISBLANK(drvlst[[#This Row],[number]]),A198,drvlst[[#This Row],[number]])</f>
        <v>96993</v>
      </c>
      <c r="J199" t="s">
        <v>34</v>
      </c>
      <c r="K199" s="8">
        <v>42394.82984953704</v>
      </c>
      <c r="L199" t="s">
        <v>1892</v>
      </c>
      <c r="M199" s="7" t="str">
        <f>IF(ISBLANK(drvlst[[#This Row],[owner.emal]]),M198,drvlst[[#This Row],[owner.emal]])</f>
        <v>shuguang.gong@intel.com</v>
      </c>
      <c r="N199" s="7">
        <f>_xlfn.IFNA(VLOOKUP(drvlst[[#This Row],[tmp-owner.email]],OrgTree!$A:$J, 10, 0), "not ICG SWFW")</f>
        <v>0</v>
      </c>
      <c r="O199" s="7">
        <f>IF(drvlst[[#This Row],[reviewer]]=drvlst[[#This Row],[tmp-owner.email]], "author", _xlfn.IFNA(VLOOKUP(drvlst[[#This Row],[reviewer]],OrgTree!$A:$J, 10, 0), "not ICG SWFW"))</f>
        <v>0</v>
      </c>
      <c r="P199" s="7" t="str">
        <f>IF(ISBLANK(drvlst[[#This Row],[number]]), "",SUM(drvlst[[#This Row],[BJ -1 num]],drvlst[[#This Row],[FI -1 num]]))</f>
        <v/>
      </c>
      <c r="Q199" s="7" t="str">
        <f>IF(ISBLANK(drvlst[[#This Row],[number]]), "",COUNTIFS($A:$A,drvlst[[#This Row],[tmp-number]],$O:$O, "BJ And dev",$U:$U, "Review-1"))</f>
        <v/>
      </c>
      <c r="R199" s="7" t="str">
        <f>IF(ISBLANK(drvlst[[#This Row],[number]]), "",COUNTIFS($A:$A,drvlst[[#This Row],[tmp-number]],$O:$O, "FL And dev",$U:$U, "Review-1"))</f>
        <v/>
      </c>
      <c r="S199" s="7" t="str">
        <f>IF(ISBLANK(drvlst[[#This Row],[number]]), "",COUNTIFS($A:$A,drvlst[[#This Row],[tmp-number]],$O:$O, "BJ And dev",$V:$V, "&lt;&gt;IntegratorComment"))</f>
        <v/>
      </c>
      <c r="T199" s="7" t="str">
        <f>IF(ISBLANK(drvlst[[#This Row],[number]]), "",COUNTIFS($A:$A,drvlst[[#This Row],[tmp-number]],$O:$O, "FL And dev",$V:$V, "&lt;&gt;IntegratorComment"))</f>
        <v/>
      </c>
      <c r="U199" s="7" t="str">
        <f>IF(OR(ISNUMBER(FIND("Review-1", drvlst[[#This Row],[comments]])), ISNUMBER(FIND("Approver-1", drvlst[[#This Row],[comments]]))), "Review-1", "")</f>
        <v/>
      </c>
      <c r="V199" s="7" t="str">
        <f>IF(OR(ISNUMBER(FIND(": Integrator", drvlst[[#This Row],[comments]])), ISNUMBER(FIND(":\n\nIntegrator", drvlst[[#This Row],[comments]])), ISNUMBER(FIND("-Integrator", drvlst[[#This Row],[comments]]))), "IntegratorComment", "")</f>
        <v/>
      </c>
      <c r="W199" s="7" t="str">
        <f>IF(ISBLANK(drvlst[[#This Row],[status]]),W198,drvlst[[#This Row],[status]])</f>
        <v>MERGED</v>
      </c>
    </row>
    <row r="200" spans="1:23">
      <c r="A200" s="7">
        <f>IF(ISBLANK(drvlst[[#This Row],[number]]),A199,drvlst[[#This Row],[number]])</f>
        <v>96993</v>
      </c>
      <c r="J200" t="s">
        <v>34</v>
      </c>
      <c r="K200" s="8">
        <v>42394.854687500003</v>
      </c>
      <c r="L200" t="s">
        <v>1894</v>
      </c>
      <c r="M200" s="7" t="str">
        <f>IF(ISBLANK(drvlst[[#This Row],[owner.emal]]),M199,drvlst[[#This Row],[owner.emal]])</f>
        <v>shuguang.gong@intel.com</v>
      </c>
      <c r="N200" s="7">
        <f>_xlfn.IFNA(VLOOKUP(drvlst[[#This Row],[tmp-owner.email]],OrgTree!$A:$J, 10, 0), "not ICG SWFW")</f>
        <v>0</v>
      </c>
      <c r="O200" s="7">
        <f>IF(drvlst[[#This Row],[reviewer]]=drvlst[[#This Row],[tmp-owner.email]], "author", _xlfn.IFNA(VLOOKUP(drvlst[[#This Row],[reviewer]],OrgTree!$A:$J, 10, 0), "not ICG SWFW"))</f>
        <v>0</v>
      </c>
      <c r="P200" s="7" t="str">
        <f>IF(ISBLANK(drvlst[[#This Row],[number]]), "",SUM(drvlst[[#This Row],[BJ -1 num]],drvlst[[#This Row],[FI -1 num]]))</f>
        <v/>
      </c>
      <c r="Q200" s="7" t="str">
        <f>IF(ISBLANK(drvlst[[#This Row],[number]]), "",COUNTIFS($A:$A,drvlst[[#This Row],[tmp-number]],$O:$O, "BJ And dev",$U:$U, "Review-1"))</f>
        <v/>
      </c>
      <c r="R200" s="7" t="str">
        <f>IF(ISBLANK(drvlst[[#This Row],[number]]), "",COUNTIFS($A:$A,drvlst[[#This Row],[tmp-number]],$O:$O, "FL And dev",$U:$U, "Review-1"))</f>
        <v/>
      </c>
      <c r="S200" s="7" t="str">
        <f>IF(ISBLANK(drvlst[[#This Row],[number]]), "",COUNTIFS($A:$A,drvlst[[#This Row],[tmp-number]],$O:$O, "BJ And dev",$V:$V, "&lt;&gt;IntegratorComment"))</f>
        <v/>
      </c>
      <c r="T200" s="7" t="str">
        <f>IF(ISBLANK(drvlst[[#This Row],[number]]), "",COUNTIFS($A:$A,drvlst[[#This Row],[tmp-number]],$O:$O, "FL And dev",$V:$V, "&lt;&gt;IntegratorComment"))</f>
        <v/>
      </c>
      <c r="U200" s="7" t="str">
        <f>IF(OR(ISNUMBER(FIND("Review-1", drvlst[[#This Row],[comments]])), ISNUMBER(FIND("Approver-1", drvlst[[#This Row],[comments]]))), "Review-1", "")</f>
        <v/>
      </c>
      <c r="V200" s="7" t="str">
        <f>IF(OR(ISNUMBER(FIND(": Integrator", drvlst[[#This Row],[comments]])), ISNUMBER(FIND(":\n\nIntegrator", drvlst[[#This Row],[comments]])), ISNUMBER(FIND("-Integrator", drvlst[[#This Row],[comments]]))), "IntegratorComment", "")</f>
        <v/>
      </c>
      <c r="W200" s="7" t="str">
        <f>IF(ISBLANK(drvlst[[#This Row],[status]]),W199,drvlst[[#This Row],[status]])</f>
        <v>MERGED</v>
      </c>
    </row>
    <row r="201" spans="1:23">
      <c r="A201" s="7">
        <f>IF(ISBLANK(drvlst[[#This Row],[number]]),A200,drvlst[[#This Row],[number]])</f>
        <v>96993</v>
      </c>
      <c r="J201" t="s">
        <v>34</v>
      </c>
      <c r="K201" s="8">
        <v>42395.428136574075</v>
      </c>
      <c r="L201" t="s">
        <v>1893</v>
      </c>
      <c r="M201" s="7" t="str">
        <f>IF(ISBLANK(drvlst[[#This Row],[owner.emal]]),M200,drvlst[[#This Row],[owner.emal]])</f>
        <v>shuguang.gong@intel.com</v>
      </c>
      <c r="N201" s="7">
        <f>_xlfn.IFNA(VLOOKUP(drvlst[[#This Row],[tmp-owner.email]],OrgTree!$A:$J, 10, 0), "not ICG SWFW")</f>
        <v>0</v>
      </c>
      <c r="O201" s="7">
        <f>IF(drvlst[[#This Row],[reviewer]]=drvlst[[#This Row],[tmp-owner.email]], "author", _xlfn.IFNA(VLOOKUP(drvlst[[#This Row],[reviewer]],OrgTree!$A:$J, 10, 0), "not ICG SWFW"))</f>
        <v>0</v>
      </c>
      <c r="P201" s="7" t="str">
        <f>IF(ISBLANK(drvlst[[#This Row],[number]]), "",SUM(drvlst[[#This Row],[BJ -1 num]],drvlst[[#This Row],[FI -1 num]]))</f>
        <v/>
      </c>
      <c r="Q201" s="7" t="str">
        <f>IF(ISBLANK(drvlst[[#This Row],[number]]), "",COUNTIFS($A:$A,drvlst[[#This Row],[tmp-number]],$O:$O, "BJ And dev",$U:$U, "Review-1"))</f>
        <v/>
      </c>
      <c r="R201" s="7" t="str">
        <f>IF(ISBLANK(drvlst[[#This Row],[number]]), "",COUNTIFS($A:$A,drvlst[[#This Row],[tmp-number]],$O:$O, "FL And dev",$U:$U, "Review-1"))</f>
        <v/>
      </c>
      <c r="S201" s="7" t="str">
        <f>IF(ISBLANK(drvlst[[#This Row],[number]]), "",COUNTIFS($A:$A,drvlst[[#This Row],[tmp-number]],$O:$O, "BJ And dev",$V:$V, "&lt;&gt;IntegratorComment"))</f>
        <v/>
      </c>
      <c r="T201" s="7" t="str">
        <f>IF(ISBLANK(drvlst[[#This Row],[number]]), "",COUNTIFS($A:$A,drvlst[[#This Row],[tmp-number]],$O:$O, "FL And dev",$V:$V, "&lt;&gt;IntegratorComment"))</f>
        <v/>
      </c>
      <c r="U201" s="7" t="str">
        <f>IF(OR(ISNUMBER(FIND("Review-1", drvlst[[#This Row],[comments]])), ISNUMBER(FIND("Approver-1", drvlst[[#This Row],[comments]]))), "Review-1", "")</f>
        <v/>
      </c>
      <c r="V201" s="7" t="str">
        <f>IF(OR(ISNUMBER(FIND(": Integrator", drvlst[[#This Row],[comments]])), ISNUMBER(FIND(":\n\nIntegrator", drvlst[[#This Row],[comments]])), ISNUMBER(FIND("-Integrator", drvlst[[#This Row],[comments]]))), "IntegratorComment", "")</f>
        <v/>
      </c>
      <c r="W201" s="7" t="str">
        <f>IF(ISBLANK(drvlst[[#This Row],[status]]),W200,drvlst[[#This Row],[status]])</f>
        <v>MERGED</v>
      </c>
    </row>
    <row r="202" spans="1:23">
      <c r="A202" s="7">
        <f>IF(ISBLANK(drvlst[[#This Row],[number]]),A201,drvlst[[#This Row],[number]])</f>
        <v>96993</v>
      </c>
      <c r="J202" t="s">
        <v>34</v>
      </c>
      <c r="K202" s="8">
        <v>42395.622696759259</v>
      </c>
      <c r="L202" t="s">
        <v>1895</v>
      </c>
      <c r="M202" s="7" t="str">
        <f>IF(ISBLANK(drvlst[[#This Row],[owner.emal]]),M201,drvlst[[#This Row],[owner.emal]])</f>
        <v>shuguang.gong@intel.com</v>
      </c>
      <c r="N202" s="7">
        <f>_xlfn.IFNA(VLOOKUP(drvlst[[#This Row],[tmp-owner.email]],OrgTree!$A:$J, 10, 0), "not ICG SWFW")</f>
        <v>0</v>
      </c>
      <c r="O202" s="7">
        <f>IF(drvlst[[#This Row],[reviewer]]=drvlst[[#This Row],[tmp-owner.email]], "author", _xlfn.IFNA(VLOOKUP(drvlst[[#This Row],[reviewer]],OrgTree!$A:$J, 10, 0), "not ICG SWFW"))</f>
        <v>0</v>
      </c>
      <c r="P202" s="7" t="str">
        <f>IF(ISBLANK(drvlst[[#This Row],[number]]), "",SUM(drvlst[[#This Row],[BJ -1 num]],drvlst[[#This Row],[FI -1 num]]))</f>
        <v/>
      </c>
      <c r="Q202" s="7" t="str">
        <f>IF(ISBLANK(drvlst[[#This Row],[number]]), "",COUNTIFS($A:$A,drvlst[[#This Row],[tmp-number]],$O:$O, "BJ And dev",$U:$U, "Review-1"))</f>
        <v/>
      </c>
      <c r="R202" s="7" t="str">
        <f>IF(ISBLANK(drvlst[[#This Row],[number]]), "",COUNTIFS($A:$A,drvlst[[#This Row],[tmp-number]],$O:$O, "FL And dev",$U:$U, "Review-1"))</f>
        <v/>
      </c>
      <c r="S202" s="7" t="str">
        <f>IF(ISBLANK(drvlst[[#This Row],[number]]), "",COUNTIFS($A:$A,drvlst[[#This Row],[tmp-number]],$O:$O, "BJ And dev",$V:$V, "&lt;&gt;IntegratorComment"))</f>
        <v/>
      </c>
      <c r="T202" s="7" t="str">
        <f>IF(ISBLANK(drvlst[[#This Row],[number]]), "",COUNTIFS($A:$A,drvlst[[#This Row],[tmp-number]],$O:$O, "FL And dev",$V:$V, "&lt;&gt;IntegratorComment"))</f>
        <v/>
      </c>
      <c r="U202" s="7" t="str">
        <f>IF(OR(ISNUMBER(FIND("Review-1", drvlst[[#This Row],[comments]])), ISNUMBER(FIND("Approver-1", drvlst[[#This Row],[comments]]))), "Review-1", "")</f>
        <v/>
      </c>
      <c r="V202" s="7" t="str">
        <f>IF(OR(ISNUMBER(FIND(": Integrator", drvlst[[#This Row],[comments]])), ISNUMBER(FIND(":\n\nIntegrator", drvlst[[#This Row],[comments]])), ISNUMBER(FIND("-Integrator", drvlst[[#This Row],[comments]]))), "IntegratorComment", "")</f>
        <v/>
      </c>
      <c r="W202" s="7" t="str">
        <f>IF(ISBLANK(drvlst[[#This Row],[status]]),W201,drvlst[[#This Row],[status]])</f>
        <v>MERGED</v>
      </c>
    </row>
    <row r="203" spans="1:23">
      <c r="A203" s="7">
        <f>IF(ISBLANK(drvlst[[#This Row],[number]]),A202,drvlst[[#This Row],[number]])</f>
        <v>95512</v>
      </c>
      <c r="B203">
        <v>95512</v>
      </c>
      <c r="C203" t="s">
        <v>84</v>
      </c>
      <c r="D203" t="s">
        <v>53</v>
      </c>
      <c r="E203" t="s">
        <v>23</v>
      </c>
      <c r="F203" t="s">
        <v>1951</v>
      </c>
      <c r="G203" t="s">
        <v>1952</v>
      </c>
      <c r="H203" s="8">
        <v>42383.836909722224</v>
      </c>
      <c r="I203" s="8">
        <v>42395.653946759259</v>
      </c>
      <c r="J203" t="s">
        <v>53</v>
      </c>
      <c r="K203" s="8">
        <v>42383.836909722224</v>
      </c>
      <c r="L203" t="s">
        <v>25</v>
      </c>
      <c r="M203" s="7" t="str">
        <f>IF(ISBLANK(drvlst[[#This Row],[owner.emal]]),M202,drvlst[[#This Row],[owner.emal]])</f>
        <v>shuguang.gong@intel.com</v>
      </c>
      <c r="N203" s="7">
        <f>_xlfn.IFNA(VLOOKUP(drvlst[[#This Row],[tmp-owner.email]],OrgTree!$A:$J, 10, 0), "not ICG SWFW")</f>
        <v>0</v>
      </c>
      <c r="O203" s="7" t="str">
        <f>IF(drvlst[[#This Row],[reviewer]]=drvlst[[#This Row],[tmp-owner.email]], "author", _xlfn.IFNA(VLOOKUP(drvlst[[#This Row],[reviewer]],OrgTree!$A:$J, 10, 0), "not ICG SWFW"))</f>
        <v>author</v>
      </c>
      <c r="P203" s="7">
        <f>IF(ISBLANK(drvlst[[#This Row],[number]]), "",SUM(drvlst[[#This Row],[BJ -1 num]],drvlst[[#This Row],[FI -1 num]]))</f>
        <v>0</v>
      </c>
      <c r="Q203" s="7">
        <f>IF(ISBLANK(drvlst[[#This Row],[number]]), "",COUNTIFS($A:$A,drvlst[[#This Row],[tmp-number]],$O:$O, "BJ And dev",$U:$U, "Review-1"))</f>
        <v>0</v>
      </c>
      <c r="R203" s="7">
        <f>IF(ISBLANK(drvlst[[#This Row],[number]]), "",COUNTIFS($A:$A,drvlst[[#This Row],[tmp-number]],$O:$O, "FL And dev",$U:$U, "Review-1"))</f>
        <v>0</v>
      </c>
      <c r="S203" s="7">
        <f>IF(ISBLANK(drvlst[[#This Row],[number]]), "",COUNTIFS($A:$A,drvlst[[#This Row],[tmp-number]],$O:$O, "BJ And dev",$V:$V, "&lt;&gt;IntegratorComment"))</f>
        <v>0</v>
      </c>
      <c r="T203" s="7">
        <f>IF(ISBLANK(drvlst[[#This Row],[number]]), "",COUNTIFS($A:$A,drvlst[[#This Row],[tmp-number]],$O:$O, "FL And dev",$V:$V, "&lt;&gt;IntegratorComment"))</f>
        <v>0</v>
      </c>
      <c r="U203" s="7" t="str">
        <f>IF(OR(ISNUMBER(FIND("Review-1", drvlst[[#This Row],[comments]])), ISNUMBER(FIND("Approver-1", drvlst[[#This Row],[comments]]))), "Review-1", "")</f>
        <v/>
      </c>
      <c r="V203" s="7" t="str">
        <f>IF(OR(ISNUMBER(FIND(": Integrator", drvlst[[#This Row],[comments]])), ISNUMBER(FIND(":\n\nIntegrator", drvlst[[#This Row],[comments]])), ISNUMBER(FIND("-Integrator", drvlst[[#This Row],[comments]]))), "IntegratorComment", "")</f>
        <v/>
      </c>
      <c r="W203" s="7" t="str">
        <f>IF(ISBLANK(drvlst[[#This Row],[status]]),W202,drvlst[[#This Row],[status]])</f>
        <v>MERGED</v>
      </c>
    </row>
    <row r="204" spans="1:23">
      <c r="A204" s="7">
        <f>IF(ISBLANK(drvlst[[#This Row],[number]]),A203,drvlst[[#This Row],[number]])</f>
        <v>95512</v>
      </c>
      <c r="J204" t="s">
        <v>53</v>
      </c>
      <c r="K204" s="8">
        <v>42383.836921296293</v>
      </c>
      <c r="L204" t="s">
        <v>85</v>
      </c>
      <c r="M204" s="7" t="str">
        <f>IF(ISBLANK(drvlst[[#This Row],[owner.emal]]),M203,drvlst[[#This Row],[owner.emal]])</f>
        <v>shuguang.gong@intel.com</v>
      </c>
      <c r="N204" s="7">
        <f>_xlfn.IFNA(VLOOKUP(drvlst[[#This Row],[tmp-owner.email]],OrgTree!$A:$J, 10, 0), "not ICG SWFW")</f>
        <v>0</v>
      </c>
      <c r="O204" s="7" t="str">
        <f>IF(drvlst[[#This Row],[reviewer]]=drvlst[[#This Row],[tmp-owner.email]], "author", _xlfn.IFNA(VLOOKUP(drvlst[[#This Row],[reviewer]],OrgTree!$A:$J, 10, 0), "not ICG SWFW"))</f>
        <v>author</v>
      </c>
      <c r="P204" s="7" t="str">
        <f>IF(ISBLANK(drvlst[[#This Row],[number]]), "",SUM(drvlst[[#This Row],[BJ -1 num]],drvlst[[#This Row],[FI -1 num]]))</f>
        <v/>
      </c>
      <c r="Q204" s="7" t="str">
        <f>IF(ISBLANK(drvlst[[#This Row],[number]]), "",COUNTIFS($A:$A,drvlst[[#This Row],[tmp-number]],$O:$O, "BJ And dev",$U:$U, "Review-1"))</f>
        <v/>
      </c>
      <c r="R204" s="7" t="str">
        <f>IF(ISBLANK(drvlst[[#This Row],[number]]), "",COUNTIFS($A:$A,drvlst[[#This Row],[tmp-number]],$O:$O, "FL And dev",$U:$U, "Review-1"))</f>
        <v/>
      </c>
      <c r="S204" s="7" t="str">
        <f>IF(ISBLANK(drvlst[[#This Row],[number]]), "",COUNTIFS($A:$A,drvlst[[#This Row],[tmp-number]],$O:$O, "BJ And dev",$V:$V, "&lt;&gt;IntegratorComment"))</f>
        <v/>
      </c>
      <c r="T204" s="7" t="str">
        <f>IF(ISBLANK(drvlst[[#This Row],[number]]), "",COUNTIFS($A:$A,drvlst[[#This Row],[tmp-number]],$O:$O, "FL And dev",$V:$V, "&lt;&gt;IntegratorComment"))</f>
        <v/>
      </c>
      <c r="U204" s="7" t="str">
        <f>IF(OR(ISNUMBER(FIND("Review-1", drvlst[[#This Row],[comments]])), ISNUMBER(FIND("Approver-1", drvlst[[#This Row],[comments]]))), "Review-1", "")</f>
        <v/>
      </c>
      <c r="V204" s="7" t="str">
        <f>IF(OR(ISNUMBER(FIND(": Integrator", drvlst[[#This Row],[comments]])), ISNUMBER(FIND(":\n\nIntegrator", drvlst[[#This Row],[comments]])), ISNUMBER(FIND("-Integrator", drvlst[[#This Row],[comments]]))), "IntegratorComment", "")</f>
        <v/>
      </c>
      <c r="W204" s="7" t="str">
        <f>IF(ISBLANK(drvlst[[#This Row],[status]]),W203,drvlst[[#This Row],[status]])</f>
        <v>MERGED</v>
      </c>
    </row>
    <row r="205" spans="1:23">
      <c r="A205" s="7">
        <f>IF(ISBLANK(drvlst[[#This Row],[number]]),A204,drvlst[[#This Row],[number]])</f>
        <v>95512</v>
      </c>
      <c r="J205" t="s">
        <v>53</v>
      </c>
      <c r="K205" s="8">
        <v>42383.882627314815</v>
      </c>
      <c r="L205" t="s">
        <v>58</v>
      </c>
      <c r="M205" s="7" t="str">
        <f>IF(ISBLANK(drvlst[[#This Row],[owner.emal]]),M204,drvlst[[#This Row],[owner.emal]])</f>
        <v>shuguang.gong@intel.com</v>
      </c>
      <c r="N205" s="7">
        <f>_xlfn.IFNA(VLOOKUP(drvlst[[#This Row],[tmp-owner.email]],OrgTree!$A:$J, 10, 0), "not ICG SWFW")</f>
        <v>0</v>
      </c>
      <c r="O205" s="7" t="str">
        <f>IF(drvlst[[#This Row],[reviewer]]=drvlst[[#This Row],[tmp-owner.email]], "author", _xlfn.IFNA(VLOOKUP(drvlst[[#This Row],[reviewer]],OrgTree!$A:$J, 10, 0), "not ICG SWFW"))</f>
        <v>author</v>
      </c>
      <c r="P205" s="7" t="str">
        <f>IF(ISBLANK(drvlst[[#This Row],[number]]), "",SUM(drvlst[[#This Row],[BJ -1 num]],drvlst[[#This Row],[FI -1 num]]))</f>
        <v/>
      </c>
      <c r="Q205" s="7" t="str">
        <f>IF(ISBLANK(drvlst[[#This Row],[number]]), "",COUNTIFS($A:$A,drvlst[[#This Row],[tmp-number]],$O:$O, "BJ And dev",$U:$U, "Review-1"))</f>
        <v/>
      </c>
      <c r="R205" s="7" t="str">
        <f>IF(ISBLANK(drvlst[[#This Row],[number]]), "",COUNTIFS($A:$A,drvlst[[#This Row],[tmp-number]],$O:$O, "FL And dev",$U:$U, "Review-1"))</f>
        <v/>
      </c>
      <c r="S205" s="7" t="str">
        <f>IF(ISBLANK(drvlst[[#This Row],[number]]), "",COUNTIFS($A:$A,drvlst[[#This Row],[tmp-number]],$O:$O, "BJ And dev",$V:$V, "&lt;&gt;IntegratorComment"))</f>
        <v/>
      </c>
      <c r="T205" s="7" t="str">
        <f>IF(ISBLANK(drvlst[[#This Row],[number]]), "",COUNTIFS($A:$A,drvlst[[#This Row],[tmp-number]],$O:$O, "FL And dev",$V:$V, "&lt;&gt;IntegratorComment"))</f>
        <v/>
      </c>
      <c r="U205" s="7" t="str">
        <f>IF(OR(ISNUMBER(FIND("Review-1", drvlst[[#This Row],[comments]])), ISNUMBER(FIND("Approver-1", drvlst[[#This Row],[comments]]))), "Review-1", "")</f>
        <v/>
      </c>
      <c r="V205" s="7" t="str">
        <f>IF(OR(ISNUMBER(FIND(": Integrator", drvlst[[#This Row],[comments]])), ISNUMBER(FIND(":\n\nIntegrator", drvlst[[#This Row],[comments]])), ISNUMBER(FIND("-Integrator", drvlst[[#This Row],[comments]]))), "IntegratorComment", "")</f>
        <v/>
      </c>
      <c r="W205" s="7" t="str">
        <f>IF(ISBLANK(drvlst[[#This Row],[status]]),W204,drvlst[[#This Row],[status]])</f>
        <v>MERGED</v>
      </c>
    </row>
    <row r="206" spans="1:23">
      <c r="A206" s="7">
        <f>IF(ISBLANK(drvlst[[#This Row],[number]]),A205,drvlst[[#This Row],[number]])</f>
        <v>95512</v>
      </c>
      <c r="J206" t="s">
        <v>53</v>
      </c>
      <c r="K206" s="8">
        <v>42383.900555555556</v>
      </c>
      <c r="L206" t="s">
        <v>65</v>
      </c>
      <c r="M206" s="7" t="str">
        <f>IF(ISBLANK(drvlst[[#This Row],[owner.emal]]),M205,drvlst[[#This Row],[owner.emal]])</f>
        <v>shuguang.gong@intel.com</v>
      </c>
      <c r="N206" s="7">
        <f>_xlfn.IFNA(VLOOKUP(drvlst[[#This Row],[tmp-owner.email]],OrgTree!$A:$J, 10, 0), "not ICG SWFW")</f>
        <v>0</v>
      </c>
      <c r="O206" s="7" t="str">
        <f>IF(drvlst[[#This Row],[reviewer]]=drvlst[[#This Row],[tmp-owner.email]], "author", _xlfn.IFNA(VLOOKUP(drvlst[[#This Row],[reviewer]],OrgTree!$A:$J, 10, 0), "not ICG SWFW"))</f>
        <v>author</v>
      </c>
      <c r="P206" s="7" t="str">
        <f>IF(ISBLANK(drvlst[[#This Row],[number]]), "",SUM(drvlst[[#This Row],[BJ -1 num]],drvlst[[#This Row],[FI -1 num]]))</f>
        <v/>
      </c>
      <c r="Q206" s="7" t="str">
        <f>IF(ISBLANK(drvlst[[#This Row],[number]]), "",COUNTIFS($A:$A,drvlst[[#This Row],[tmp-number]],$O:$O, "BJ And dev",$U:$U, "Review-1"))</f>
        <v/>
      </c>
      <c r="R206" s="7" t="str">
        <f>IF(ISBLANK(drvlst[[#This Row],[number]]), "",COUNTIFS($A:$A,drvlst[[#This Row],[tmp-number]],$O:$O, "FL And dev",$U:$U, "Review-1"))</f>
        <v/>
      </c>
      <c r="S206" s="7" t="str">
        <f>IF(ISBLANK(drvlst[[#This Row],[number]]), "",COUNTIFS($A:$A,drvlst[[#This Row],[tmp-number]],$O:$O, "BJ And dev",$V:$V, "&lt;&gt;IntegratorComment"))</f>
        <v/>
      </c>
      <c r="T206" s="7" t="str">
        <f>IF(ISBLANK(drvlst[[#This Row],[number]]), "",COUNTIFS($A:$A,drvlst[[#This Row],[tmp-number]],$O:$O, "FL And dev",$V:$V, "&lt;&gt;IntegratorComment"))</f>
        <v/>
      </c>
      <c r="U206" s="7" t="str">
        <f>IF(OR(ISNUMBER(FIND("Review-1", drvlst[[#This Row],[comments]])), ISNUMBER(FIND("Approver-1", drvlst[[#This Row],[comments]]))), "Review-1", "")</f>
        <v/>
      </c>
      <c r="V206" s="7" t="str">
        <f>IF(OR(ISNUMBER(FIND(": Integrator", drvlst[[#This Row],[comments]])), ISNUMBER(FIND(":\n\nIntegrator", drvlst[[#This Row],[comments]])), ISNUMBER(FIND("-Integrator", drvlst[[#This Row],[comments]]))), "IntegratorComment", "")</f>
        <v/>
      </c>
      <c r="W206" s="7" t="str">
        <f>IF(ISBLANK(drvlst[[#This Row],[status]]),W205,drvlst[[#This Row],[status]])</f>
        <v>MERGED</v>
      </c>
    </row>
    <row r="207" spans="1:23">
      <c r="A207" s="7">
        <f>IF(ISBLANK(drvlst[[#This Row],[number]]),A206,drvlst[[#This Row],[number]])</f>
        <v>95512</v>
      </c>
      <c r="J207" t="s">
        <v>53</v>
      </c>
      <c r="K207" s="8">
        <v>42383.900555555556</v>
      </c>
      <c r="L207" t="s">
        <v>92</v>
      </c>
      <c r="M207" s="7" t="str">
        <f>IF(ISBLANK(drvlst[[#This Row],[owner.emal]]),M206,drvlst[[#This Row],[owner.emal]])</f>
        <v>shuguang.gong@intel.com</v>
      </c>
      <c r="N207" s="7">
        <f>_xlfn.IFNA(VLOOKUP(drvlst[[#This Row],[tmp-owner.email]],OrgTree!$A:$J, 10, 0), "not ICG SWFW")</f>
        <v>0</v>
      </c>
      <c r="O207" s="7" t="str">
        <f>IF(drvlst[[#This Row],[reviewer]]=drvlst[[#This Row],[tmp-owner.email]], "author", _xlfn.IFNA(VLOOKUP(drvlst[[#This Row],[reviewer]],OrgTree!$A:$J, 10, 0), "not ICG SWFW"))</f>
        <v>author</v>
      </c>
      <c r="P207" s="7" t="str">
        <f>IF(ISBLANK(drvlst[[#This Row],[number]]), "",SUM(drvlst[[#This Row],[BJ -1 num]],drvlst[[#This Row],[FI -1 num]]))</f>
        <v/>
      </c>
      <c r="Q207" s="7" t="str">
        <f>IF(ISBLANK(drvlst[[#This Row],[number]]), "",COUNTIFS($A:$A,drvlst[[#This Row],[tmp-number]],$O:$O, "BJ And dev",$U:$U, "Review-1"))</f>
        <v/>
      </c>
      <c r="R207" s="7" t="str">
        <f>IF(ISBLANK(drvlst[[#This Row],[number]]), "",COUNTIFS($A:$A,drvlst[[#This Row],[tmp-number]],$O:$O, "FL And dev",$U:$U, "Review-1"))</f>
        <v/>
      </c>
      <c r="S207" s="7" t="str">
        <f>IF(ISBLANK(drvlst[[#This Row],[number]]), "",COUNTIFS($A:$A,drvlst[[#This Row],[tmp-number]],$O:$O, "BJ And dev",$V:$V, "&lt;&gt;IntegratorComment"))</f>
        <v/>
      </c>
      <c r="T207" s="7" t="str">
        <f>IF(ISBLANK(drvlst[[#This Row],[number]]), "",COUNTIFS($A:$A,drvlst[[#This Row],[tmp-number]],$O:$O, "FL And dev",$V:$V, "&lt;&gt;IntegratorComment"))</f>
        <v/>
      </c>
      <c r="U207" s="7" t="str">
        <f>IF(OR(ISNUMBER(FIND("Review-1", drvlst[[#This Row],[comments]])), ISNUMBER(FIND("Approver-1", drvlst[[#This Row],[comments]]))), "Review-1", "")</f>
        <v/>
      </c>
      <c r="V207" s="7" t="str">
        <f>IF(OR(ISNUMBER(FIND(": Integrator", drvlst[[#This Row],[comments]])), ISNUMBER(FIND(":\n\nIntegrator", drvlst[[#This Row],[comments]])), ISNUMBER(FIND("-Integrator", drvlst[[#This Row],[comments]]))), "IntegratorComment", "")</f>
        <v/>
      </c>
      <c r="W207" s="7" t="str">
        <f>IF(ISBLANK(drvlst[[#This Row],[status]]),W206,drvlst[[#This Row],[status]])</f>
        <v>MERGED</v>
      </c>
    </row>
    <row r="208" spans="1:23">
      <c r="A208" s="7">
        <f>IF(ISBLANK(drvlst[[#This Row],[number]]),A207,drvlst[[#This Row],[number]])</f>
        <v>95512</v>
      </c>
      <c r="J208" t="s">
        <v>53</v>
      </c>
      <c r="K208" s="8">
        <v>42383.900856481479</v>
      </c>
      <c r="L208" t="s">
        <v>1953</v>
      </c>
      <c r="M208" s="7" t="str">
        <f>IF(ISBLANK(drvlst[[#This Row],[owner.emal]]),M207,drvlst[[#This Row],[owner.emal]])</f>
        <v>shuguang.gong@intel.com</v>
      </c>
      <c r="N208" s="7">
        <f>_xlfn.IFNA(VLOOKUP(drvlst[[#This Row],[tmp-owner.email]],OrgTree!$A:$J, 10, 0), "not ICG SWFW")</f>
        <v>0</v>
      </c>
      <c r="O208" s="7" t="str">
        <f>IF(drvlst[[#This Row],[reviewer]]=drvlst[[#This Row],[tmp-owner.email]], "author", _xlfn.IFNA(VLOOKUP(drvlst[[#This Row],[reviewer]],OrgTree!$A:$J, 10, 0), "not ICG SWFW"))</f>
        <v>author</v>
      </c>
      <c r="P208" s="7" t="str">
        <f>IF(ISBLANK(drvlst[[#This Row],[number]]), "",SUM(drvlst[[#This Row],[BJ -1 num]],drvlst[[#This Row],[FI -1 num]]))</f>
        <v/>
      </c>
      <c r="Q208" s="7" t="str">
        <f>IF(ISBLANK(drvlst[[#This Row],[number]]), "",COUNTIFS($A:$A,drvlst[[#This Row],[tmp-number]],$O:$O, "BJ And dev",$U:$U, "Review-1"))</f>
        <v/>
      </c>
      <c r="R208" s="7" t="str">
        <f>IF(ISBLANK(drvlst[[#This Row],[number]]), "",COUNTIFS($A:$A,drvlst[[#This Row],[tmp-number]],$O:$O, "FL And dev",$U:$U, "Review-1"))</f>
        <v/>
      </c>
      <c r="S208" s="7" t="str">
        <f>IF(ISBLANK(drvlst[[#This Row],[number]]), "",COUNTIFS($A:$A,drvlst[[#This Row],[tmp-number]],$O:$O, "BJ And dev",$V:$V, "&lt;&gt;IntegratorComment"))</f>
        <v/>
      </c>
      <c r="T208" s="7" t="str">
        <f>IF(ISBLANK(drvlst[[#This Row],[number]]), "",COUNTIFS($A:$A,drvlst[[#This Row],[tmp-number]],$O:$O, "FL And dev",$V:$V, "&lt;&gt;IntegratorComment"))</f>
        <v/>
      </c>
      <c r="U208" s="7" t="str">
        <f>IF(OR(ISNUMBER(FIND("Review-1", drvlst[[#This Row],[comments]])), ISNUMBER(FIND("Approver-1", drvlst[[#This Row],[comments]]))), "Review-1", "")</f>
        <v/>
      </c>
      <c r="V208" s="7" t="str">
        <f>IF(OR(ISNUMBER(FIND(": Integrator", drvlst[[#This Row],[comments]])), ISNUMBER(FIND(":\n\nIntegrator", drvlst[[#This Row],[comments]])), ISNUMBER(FIND("-Integrator", drvlst[[#This Row],[comments]]))), "IntegratorComment", "")</f>
        <v/>
      </c>
      <c r="W208" s="7" t="str">
        <f>IF(ISBLANK(drvlst[[#This Row],[status]]),W207,drvlst[[#This Row],[status]])</f>
        <v>MERGED</v>
      </c>
    </row>
    <row r="209" spans="1:23">
      <c r="A209" s="7">
        <f>IF(ISBLANK(drvlst[[#This Row],[number]]),A208,drvlst[[#This Row],[number]])</f>
        <v>95512</v>
      </c>
      <c r="J209" t="s">
        <v>53</v>
      </c>
      <c r="K209" s="8">
        <v>42384.480833333335</v>
      </c>
      <c r="L209" t="s">
        <v>1829</v>
      </c>
      <c r="M209" s="7" t="str">
        <f>IF(ISBLANK(drvlst[[#This Row],[owner.emal]]),M208,drvlst[[#This Row],[owner.emal]])</f>
        <v>shuguang.gong@intel.com</v>
      </c>
      <c r="N209" s="7">
        <f>_xlfn.IFNA(VLOOKUP(drvlst[[#This Row],[tmp-owner.email]],OrgTree!$A:$J, 10, 0), "not ICG SWFW")</f>
        <v>0</v>
      </c>
      <c r="O209" s="7" t="str">
        <f>IF(drvlst[[#This Row],[reviewer]]=drvlst[[#This Row],[tmp-owner.email]], "author", _xlfn.IFNA(VLOOKUP(drvlst[[#This Row],[reviewer]],OrgTree!$A:$J, 10, 0), "not ICG SWFW"))</f>
        <v>author</v>
      </c>
      <c r="P209" s="7" t="str">
        <f>IF(ISBLANK(drvlst[[#This Row],[number]]), "",SUM(drvlst[[#This Row],[BJ -1 num]],drvlst[[#This Row],[FI -1 num]]))</f>
        <v/>
      </c>
      <c r="Q209" s="7" t="str">
        <f>IF(ISBLANK(drvlst[[#This Row],[number]]), "",COUNTIFS($A:$A,drvlst[[#This Row],[tmp-number]],$O:$O, "BJ And dev",$U:$U, "Review-1"))</f>
        <v/>
      </c>
      <c r="R209" s="7" t="str">
        <f>IF(ISBLANK(drvlst[[#This Row],[number]]), "",COUNTIFS($A:$A,drvlst[[#This Row],[tmp-number]],$O:$O, "FL And dev",$U:$U, "Review-1"))</f>
        <v/>
      </c>
      <c r="S209" s="7" t="str">
        <f>IF(ISBLANK(drvlst[[#This Row],[number]]), "",COUNTIFS($A:$A,drvlst[[#This Row],[tmp-number]],$O:$O, "BJ And dev",$V:$V, "&lt;&gt;IntegratorComment"))</f>
        <v/>
      </c>
      <c r="T209" s="7" t="str">
        <f>IF(ISBLANK(drvlst[[#This Row],[number]]), "",COUNTIFS($A:$A,drvlst[[#This Row],[tmp-number]],$O:$O, "FL And dev",$V:$V, "&lt;&gt;IntegratorComment"))</f>
        <v/>
      </c>
      <c r="U209" s="7" t="str">
        <f>IF(OR(ISNUMBER(FIND("Review-1", drvlst[[#This Row],[comments]])), ISNUMBER(FIND("Approver-1", drvlst[[#This Row],[comments]]))), "Review-1", "")</f>
        <v/>
      </c>
      <c r="V209" s="7" t="str">
        <f>IF(OR(ISNUMBER(FIND(": Integrator", drvlst[[#This Row],[comments]])), ISNUMBER(FIND(":\n\nIntegrator", drvlst[[#This Row],[comments]])), ISNUMBER(FIND("-Integrator", drvlst[[#This Row],[comments]]))), "IntegratorComment", "")</f>
        <v/>
      </c>
      <c r="W209" s="7" t="str">
        <f>IF(ISBLANK(drvlst[[#This Row],[status]]),W208,drvlst[[#This Row],[status]])</f>
        <v>MERGED</v>
      </c>
    </row>
    <row r="210" spans="1:23">
      <c r="A210" s="7">
        <f>IF(ISBLANK(drvlst[[#This Row],[number]]),A209,drvlst[[#This Row],[number]])</f>
        <v>95512</v>
      </c>
      <c r="J210" t="s">
        <v>53</v>
      </c>
      <c r="K210" s="8">
        <v>42384.480833333335</v>
      </c>
      <c r="L210" t="s">
        <v>98</v>
      </c>
      <c r="M210" s="7" t="str">
        <f>IF(ISBLANK(drvlst[[#This Row],[owner.emal]]),M209,drvlst[[#This Row],[owner.emal]])</f>
        <v>shuguang.gong@intel.com</v>
      </c>
      <c r="N210" s="7">
        <f>_xlfn.IFNA(VLOOKUP(drvlst[[#This Row],[tmp-owner.email]],OrgTree!$A:$J, 10, 0), "not ICG SWFW")</f>
        <v>0</v>
      </c>
      <c r="O210" s="7" t="str">
        <f>IF(drvlst[[#This Row],[reviewer]]=drvlst[[#This Row],[tmp-owner.email]], "author", _xlfn.IFNA(VLOOKUP(drvlst[[#This Row],[reviewer]],OrgTree!$A:$J, 10, 0), "not ICG SWFW"))</f>
        <v>author</v>
      </c>
      <c r="P210" s="7" t="str">
        <f>IF(ISBLANK(drvlst[[#This Row],[number]]), "",SUM(drvlst[[#This Row],[BJ -1 num]],drvlst[[#This Row],[FI -1 num]]))</f>
        <v/>
      </c>
      <c r="Q210" s="7" t="str">
        <f>IF(ISBLANK(drvlst[[#This Row],[number]]), "",COUNTIFS($A:$A,drvlst[[#This Row],[tmp-number]],$O:$O, "BJ And dev",$U:$U, "Review-1"))</f>
        <v/>
      </c>
      <c r="R210" s="7" t="str">
        <f>IF(ISBLANK(drvlst[[#This Row],[number]]), "",COUNTIFS($A:$A,drvlst[[#This Row],[tmp-number]],$O:$O, "FL And dev",$U:$U, "Review-1"))</f>
        <v/>
      </c>
      <c r="S210" s="7" t="str">
        <f>IF(ISBLANK(drvlst[[#This Row],[number]]), "",COUNTIFS($A:$A,drvlst[[#This Row],[tmp-number]],$O:$O, "BJ And dev",$V:$V, "&lt;&gt;IntegratorComment"))</f>
        <v/>
      </c>
      <c r="T210" s="7" t="str">
        <f>IF(ISBLANK(drvlst[[#This Row],[number]]), "",COUNTIFS($A:$A,drvlst[[#This Row],[tmp-number]],$O:$O, "FL And dev",$V:$V, "&lt;&gt;IntegratorComment"))</f>
        <v/>
      </c>
      <c r="U210" s="7" t="str">
        <f>IF(OR(ISNUMBER(FIND("Review-1", drvlst[[#This Row],[comments]])), ISNUMBER(FIND("Approver-1", drvlst[[#This Row],[comments]]))), "Review-1", "")</f>
        <v/>
      </c>
      <c r="V210" s="7" t="str">
        <f>IF(OR(ISNUMBER(FIND(": Integrator", drvlst[[#This Row],[comments]])), ISNUMBER(FIND(":\n\nIntegrator", drvlst[[#This Row],[comments]])), ISNUMBER(FIND("-Integrator", drvlst[[#This Row],[comments]]))), "IntegratorComment", "")</f>
        <v/>
      </c>
      <c r="W210" s="7" t="str">
        <f>IF(ISBLANK(drvlst[[#This Row],[status]]),W209,drvlst[[#This Row],[status]])</f>
        <v>MERGED</v>
      </c>
    </row>
    <row r="211" spans="1:23">
      <c r="A211" s="7">
        <f>IF(ISBLANK(drvlst[[#This Row],[number]]),A210,drvlst[[#This Row],[number]])</f>
        <v>95512</v>
      </c>
      <c r="J211" t="s">
        <v>53</v>
      </c>
      <c r="K211" s="8">
        <v>42384.481446759259</v>
      </c>
      <c r="L211" t="s">
        <v>48</v>
      </c>
      <c r="M211" s="7" t="str">
        <f>IF(ISBLANK(drvlst[[#This Row],[owner.emal]]),M210,drvlst[[#This Row],[owner.emal]])</f>
        <v>shuguang.gong@intel.com</v>
      </c>
      <c r="N211" s="7">
        <f>_xlfn.IFNA(VLOOKUP(drvlst[[#This Row],[tmp-owner.email]],OrgTree!$A:$J, 10, 0), "not ICG SWFW")</f>
        <v>0</v>
      </c>
      <c r="O211" s="7" t="str">
        <f>IF(drvlst[[#This Row],[reviewer]]=drvlst[[#This Row],[tmp-owner.email]], "author", _xlfn.IFNA(VLOOKUP(drvlst[[#This Row],[reviewer]],OrgTree!$A:$J, 10, 0), "not ICG SWFW"))</f>
        <v>author</v>
      </c>
      <c r="P211" s="7" t="str">
        <f>IF(ISBLANK(drvlst[[#This Row],[number]]), "",SUM(drvlst[[#This Row],[BJ -1 num]],drvlst[[#This Row],[FI -1 num]]))</f>
        <v/>
      </c>
      <c r="Q211" s="7" t="str">
        <f>IF(ISBLANK(drvlst[[#This Row],[number]]), "",COUNTIFS($A:$A,drvlst[[#This Row],[tmp-number]],$O:$O, "BJ And dev",$U:$U, "Review-1"))</f>
        <v/>
      </c>
      <c r="R211" s="7" t="str">
        <f>IF(ISBLANK(drvlst[[#This Row],[number]]), "",COUNTIFS($A:$A,drvlst[[#This Row],[tmp-number]],$O:$O, "FL And dev",$U:$U, "Review-1"))</f>
        <v/>
      </c>
      <c r="S211" s="7" t="str">
        <f>IF(ISBLANK(drvlst[[#This Row],[number]]), "",COUNTIFS($A:$A,drvlst[[#This Row],[tmp-number]],$O:$O, "BJ And dev",$V:$V, "&lt;&gt;IntegratorComment"))</f>
        <v/>
      </c>
      <c r="T211" s="7" t="str">
        <f>IF(ISBLANK(drvlst[[#This Row],[number]]), "",COUNTIFS($A:$A,drvlst[[#This Row],[tmp-number]],$O:$O, "FL And dev",$V:$V, "&lt;&gt;IntegratorComment"))</f>
        <v/>
      </c>
      <c r="U211" s="7" t="str">
        <f>IF(OR(ISNUMBER(FIND("Review-1", drvlst[[#This Row],[comments]])), ISNUMBER(FIND("Approver-1", drvlst[[#This Row],[comments]]))), "Review-1", "")</f>
        <v/>
      </c>
      <c r="V211" s="7" t="str">
        <f>IF(OR(ISNUMBER(FIND(": Integrator", drvlst[[#This Row],[comments]])), ISNUMBER(FIND(":\n\nIntegrator", drvlst[[#This Row],[comments]])), ISNUMBER(FIND("-Integrator", drvlst[[#This Row],[comments]]))), "IntegratorComment", "")</f>
        <v/>
      </c>
      <c r="W211" s="7" t="str">
        <f>IF(ISBLANK(drvlst[[#This Row],[status]]),W210,drvlst[[#This Row],[status]])</f>
        <v>MERGED</v>
      </c>
    </row>
    <row r="212" spans="1:23">
      <c r="A212" s="7">
        <f>IF(ISBLANK(drvlst[[#This Row],[number]]),A211,drvlst[[#This Row],[number]])</f>
        <v>95512</v>
      </c>
      <c r="J212" t="s">
        <v>97</v>
      </c>
      <c r="K212" s="8">
        <v>42384.573368055557</v>
      </c>
      <c r="L212" t="s">
        <v>1954</v>
      </c>
      <c r="M212" s="7" t="str">
        <f>IF(ISBLANK(drvlst[[#This Row],[owner.emal]]),M211,drvlst[[#This Row],[owner.emal]])</f>
        <v>shuguang.gong@intel.com</v>
      </c>
      <c r="N212" s="7">
        <f>_xlfn.IFNA(VLOOKUP(drvlst[[#This Row],[tmp-owner.email]],OrgTree!$A:$J, 10, 0), "not ICG SWFW")</f>
        <v>0</v>
      </c>
      <c r="O212" s="7">
        <f>IF(drvlst[[#This Row],[reviewer]]=drvlst[[#This Row],[tmp-owner.email]], "author", _xlfn.IFNA(VLOOKUP(drvlst[[#This Row],[reviewer]],OrgTree!$A:$J, 10, 0), "not ICG SWFW"))</f>
        <v>0</v>
      </c>
      <c r="P212" s="7" t="str">
        <f>IF(ISBLANK(drvlst[[#This Row],[number]]), "",SUM(drvlst[[#This Row],[BJ -1 num]],drvlst[[#This Row],[FI -1 num]]))</f>
        <v/>
      </c>
      <c r="Q212" s="7" t="str">
        <f>IF(ISBLANK(drvlst[[#This Row],[number]]), "",COUNTIFS($A:$A,drvlst[[#This Row],[tmp-number]],$O:$O, "BJ And dev",$U:$U, "Review-1"))</f>
        <v/>
      </c>
      <c r="R212" s="7" t="str">
        <f>IF(ISBLANK(drvlst[[#This Row],[number]]), "",COUNTIFS($A:$A,drvlst[[#This Row],[tmp-number]],$O:$O, "FL And dev",$U:$U, "Review-1"))</f>
        <v/>
      </c>
      <c r="S212" s="7" t="str">
        <f>IF(ISBLANK(drvlst[[#This Row],[number]]), "",COUNTIFS($A:$A,drvlst[[#This Row],[tmp-number]],$O:$O, "BJ And dev",$V:$V, "&lt;&gt;IntegratorComment"))</f>
        <v/>
      </c>
      <c r="T212" s="7" t="str">
        <f>IF(ISBLANK(drvlst[[#This Row],[number]]), "",COUNTIFS($A:$A,drvlst[[#This Row],[tmp-number]],$O:$O, "FL And dev",$V:$V, "&lt;&gt;IntegratorComment"))</f>
        <v/>
      </c>
      <c r="U212" s="7" t="str">
        <f>IF(OR(ISNUMBER(FIND("Review-1", drvlst[[#This Row],[comments]])), ISNUMBER(FIND("Approver-1", drvlst[[#This Row],[comments]]))), "Review-1", "")</f>
        <v>Review-1</v>
      </c>
      <c r="V212" s="7" t="str">
        <f>IF(OR(ISNUMBER(FIND(": Integrator", drvlst[[#This Row],[comments]])), ISNUMBER(FIND(":\n\nIntegrator", drvlst[[#This Row],[comments]])), ISNUMBER(FIND("-Integrator", drvlst[[#This Row],[comments]]))), "IntegratorComment", "")</f>
        <v/>
      </c>
      <c r="W212" s="7" t="str">
        <f>IF(ISBLANK(drvlst[[#This Row],[status]]),W211,drvlst[[#This Row],[status]])</f>
        <v>MERGED</v>
      </c>
    </row>
    <row r="213" spans="1:23">
      <c r="A213" s="7">
        <f>IF(ISBLANK(drvlst[[#This Row],[number]]),A212,drvlst[[#This Row],[number]])</f>
        <v>95512</v>
      </c>
      <c r="J213" t="s">
        <v>53</v>
      </c>
      <c r="K213" s="8">
        <v>42384.619942129626</v>
      </c>
      <c r="L213" t="s">
        <v>49</v>
      </c>
      <c r="M213" s="7" t="str">
        <f>IF(ISBLANK(drvlst[[#This Row],[owner.emal]]),M212,drvlst[[#This Row],[owner.emal]])</f>
        <v>shuguang.gong@intel.com</v>
      </c>
      <c r="N213" s="7">
        <f>_xlfn.IFNA(VLOOKUP(drvlst[[#This Row],[tmp-owner.email]],OrgTree!$A:$J, 10, 0), "not ICG SWFW")</f>
        <v>0</v>
      </c>
      <c r="O213" s="7" t="str">
        <f>IF(drvlst[[#This Row],[reviewer]]=drvlst[[#This Row],[tmp-owner.email]], "author", _xlfn.IFNA(VLOOKUP(drvlst[[#This Row],[reviewer]],OrgTree!$A:$J, 10, 0), "not ICG SWFW"))</f>
        <v>author</v>
      </c>
      <c r="P213" s="7" t="str">
        <f>IF(ISBLANK(drvlst[[#This Row],[number]]), "",SUM(drvlst[[#This Row],[BJ -1 num]],drvlst[[#This Row],[FI -1 num]]))</f>
        <v/>
      </c>
      <c r="Q213" s="7" t="str">
        <f>IF(ISBLANK(drvlst[[#This Row],[number]]), "",COUNTIFS($A:$A,drvlst[[#This Row],[tmp-number]],$O:$O, "BJ And dev",$U:$U, "Review-1"))</f>
        <v/>
      </c>
      <c r="R213" s="7" t="str">
        <f>IF(ISBLANK(drvlst[[#This Row],[number]]), "",COUNTIFS($A:$A,drvlst[[#This Row],[tmp-number]],$O:$O, "FL And dev",$U:$U, "Review-1"))</f>
        <v/>
      </c>
      <c r="S213" s="7" t="str">
        <f>IF(ISBLANK(drvlst[[#This Row],[number]]), "",COUNTIFS($A:$A,drvlst[[#This Row],[tmp-number]],$O:$O, "BJ And dev",$V:$V, "&lt;&gt;IntegratorComment"))</f>
        <v/>
      </c>
      <c r="T213" s="7" t="str">
        <f>IF(ISBLANK(drvlst[[#This Row],[number]]), "",COUNTIFS($A:$A,drvlst[[#This Row],[tmp-number]],$O:$O, "FL And dev",$V:$V, "&lt;&gt;IntegratorComment"))</f>
        <v/>
      </c>
      <c r="U213" s="7" t="str">
        <f>IF(OR(ISNUMBER(FIND("Review-1", drvlst[[#This Row],[comments]])), ISNUMBER(FIND("Approver-1", drvlst[[#This Row],[comments]]))), "Review-1", "")</f>
        <v/>
      </c>
      <c r="V213" s="7" t="str">
        <f>IF(OR(ISNUMBER(FIND(": Integrator", drvlst[[#This Row],[comments]])), ISNUMBER(FIND(":\n\nIntegrator", drvlst[[#This Row],[comments]])), ISNUMBER(FIND("-Integrator", drvlst[[#This Row],[comments]]))), "IntegratorComment", "")</f>
        <v/>
      </c>
      <c r="W213" s="7" t="str">
        <f>IF(ISBLANK(drvlst[[#This Row],[status]]),W212,drvlst[[#This Row],[status]])</f>
        <v>MERGED</v>
      </c>
    </row>
    <row r="214" spans="1:23">
      <c r="A214" s="7">
        <f>IF(ISBLANK(drvlst[[#This Row],[number]]),A213,drvlst[[#This Row],[number]])</f>
        <v>95512</v>
      </c>
      <c r="J214" t="s">
        <v>53</v>
      </c>
      <c r="K214" s="8">
        <v>42384.619942129626</v>
      </c>
      <c r="L214" t="s">
        <v>100</v>
      </c>
      <c r="M214" s="7" t="str">
        <f>IF(ISBLANK(drvlst[[#This Row],[owner.emal]]),M213,drvlst[[#This Row],[owner.emal]])</f>
        <v>shuguang.gong@intel.com</v>
      </c>
      <c r="N214" s="7">
        <f>_xlfn.IFNA(VLOOKUP(drvlst[[#This Row],[tmp-owner.email]],OrgTree!$A:$J, 10, 0), "not ICG SWFW")</f>
        <v>0</v>
      </c>
      <c r="O214" s="7" t="str">
        <f>IF(drvlst[[#This Row],[reviewer]]=drvlst[[#This Row],[tmp-owner.email]], "author", _xlfn.IFNA(VLOOKUP(drvlst[[#This Row],[reviewer]],OrgTree!$A:$J, 10, 0), "not ICG SWFW"))</f>
        <v>author</v>
      </c>
      <c r="P214" s="7" t="str">
        <f>IF(ISBLANK(drvlst[[#This Row],[number]]), "",SUM(drvlst[[#This Row],[BJ -1 num]],drvlst[[#This Row],[FI -1 num]]))</f>
        <v/>
      </c>
      <c r="Q214" s="7" t="str">
        <f>IF(ISBLANK(drvlst[[#This Row],[number]]), "",COUNTIFS($A:$A,drvlst[[#This Row],[tmp-number]],$O:$O, "BJ And dev",$U:$U, "Review-1"))</f>
        <v/>
      </c>
      <c r="R214" s="7" t="str">
        <f>IF(ISBLANK(drvlst[[#This Row],[number]]), "",COUNTIFS($A:$A,drvlst[[#This Row],[tmp-number]],$O:$O, "FL And dev",$U:$U, "Review-1"))</f>
        <v/>
      </c>
      <c r="S214" s="7" t="str">
        <f>IF(ISBLANK(drvlst[[#This Row],[number]]), "",COUNTIFS($A:$A,drvlst[[#This Row],[tmp-number]],$O:$O, "BJ And dev",$V:$V, "&lt;&gt;IntegratorComment"))</f>
        <v/>
      </c>
      <c r="T214" s="7" t="str">
        <f>IF(ISBLANK(drvlst[[#This Row],[number]]), "",COUNTIFS($A:$A,drvlst[[#This Row],[tmp-number]],$O:$O, "FL And dev",$V:$V, "&lt;&gt;IntegratorComment"))</f>
        <v/>
      </c>
      <c r="U214" s="7" t="str">
        <f>IF(OR(ISNUMBER(FIND("Review-1", drvlst[[#This Row],[comments]])), ISNUMBER(FIND("Approver-1", drvlst[[#This Row],[comments]]))), "Review-1", "")</f>
        <v/>
      </c>
      <c r="V214" s="7" t="str">
        <f>IF(OR(ISNUMBER(FIND(": Integrator", drvlst[[#This Row],[comments]])), ISNUMBER(FIND(":\n\nIntegrator", drvlst[[#This Row],[comments]])), ISNUMBER(FIND("-Integrator", drvlst[[#This Row],[comments]]))), "IntegratorComment", "")</f>
        <v/>
      </c>
      <c r="W214" s="7" t="str">
        <f>IF(ISBLANK(drvlst[[#This Row],[status]]),W213,drvlst[[#This Row],[status]])</f>
        <v>MERGED</v>
      </c>
    </row>
    <row r="215" spans="1:23">
      <c r="A215" s="7">
        <f>IF(ISBLANK(drvlst[[#This Row],[number]]),A214,drvlst[[#This Row],[number]])</f>
        <v>95512</v>
      </c>
      <c r="J215" t="s">
        <v>53</v>
      </c>
      <c r="K215" s="8">
        <v>42384.624363425923</v>
      </c>
      <c r="L215" t="s">
        <v>1955</v>
      </c>
      <c r="M215" s="7" t="str">
        <f>IF(ISBLANK(drvlst[[#This Row],[owner.emal]]),M214,drvlst[[#This Row],[owner.emal]])</f>
        <v>shuguang.gong@intel.com</v>
      </c>
      <c r="N215" s="7">
        <f>_xlfn.IFNA(VLOOKUP(drvlst[[#This Row],[tmp-owner.email]],OrgTree!$A:$J, 10, 0), "not ICG SWFW")</f>
        <v>0</v>
      </c>
      <c r="O215" s="7" t="str">
        <f>IF(drvlst[[#This Row],[reviewer]]=drvlst[[#This Row],[tmp-owner.email]], "author", _xlfn.IFNA(VLOOKUP(drvlst[[#This Row],[reviewer]],OrgTree!$A:$J, 10, 0), "not ICG SWFW"))</f>
        <v>author</v>
      </c>
      <c r="P215" s="7" t="str">
        <f>IF(ISBLANK(drvlst[[#This Row],[number]]), "",SUM(drvlst[[#This Row],[BJ -1 num]],drvlst[[#This Row],[FI -1 num]]))</f>
        <v/>
      </c>
      <c r="Q215" s="7" t="str">
        <f>IF(ISBLANK(drvlst[[#This Row],[number]]), "",COUNTIFS($A:$A,drvlst[[#This Row],[tmp-number]],$O:$O, "BJ And dev",$U:$U, "Review-1"))</f>
        <v/>
      </c>
      <c r="R215" s="7" t="str">
        <f>IF(ISBLANK(drvlst[[#This Row],[number]]), "",COUNTIFS($A:$A,drvlst[[#This Row],[tmp-number]],$O:$O, "FL And dev",$U:$U, "Review-1"))</f>
        <v/>
      </c>
      <c r="S215" s="7" t="str">
        <f>IF(ISBLANK(drvlst[[#This Row],[number]]), "",COUNTIFS($A:$A,drvlst[[#This Row],[tmp-number]],$O:$O, "BJ And dev",$V:$V, "&lt;&gt;IntegratorComment"))</f>
        <v/>
      </c>
      <c r="T215" s="7" t="str">
        <f>IF(ISBLANK(drvlst[[#This Row],[number]]), "",COUNTIFS($A:$A,drvlst[[#This Row],[tmp-number]],$O:$O, "FL And dev",$V:$V, "&lt;&gt;IntegratorComment"))</f>
        <v/>
      </c>
      <c r="U215" s="7" t="str">
        <f>IF(OR(ISNUMBER(FIND("Review-1", drvlst[[#This Row],[comments]])), ISNUMBER(FIND("Approver-1", drvlst[[#This Row],[comments]]))), "Review-1", "")</f>
        <v/>
      </c>
      <c r="V215" s="7" t="str">
        <f>IF(OR(ISNUMBER(FIND(": Integrator", drvlst[[#This Row],[comments]])), ISNUMBER(FIND(":\n\nIntegrator", drvlst[[#This Row],[comments]])), ISNUMBER(FIND("-Integrator", drvlst[[#This Row],[comments]]))), "IntegratorComment", "")</f>
        <v/>
      </c>
      <c r="W215" s="7" t="str">
        <f>IF(ISBLANK(drvlst[[#This Row],[status]]),W214,drvlst[[#This Row],[status]])</f>
        <v>MERGED</v>
      </c>
    </row>
    <row r="216" spans="1:23">
      <c r="A216" s="7">
        <f>IF(ISBLANK(drvlst[[#This Row],[number]]),A215,drvlst[[#This Row],[number]])</f>
        <v>95512</v>
      </c>
      <c r="J216" t="s">
        <v>97</v>
      </c>
      <c r="K216" s="8">
        <v>42384.644502314812</v>
      </c>
      <c r="L216" t="s">
        <v>57</v>
      </c>
      <c r="M216" s="7" t="str">
        <f>IF(ISBLANK(drvlst[[#This Row],[owner.emal]]),M215,drvlst[[#This Row],[owner.emal]])</f>
        <v>shuguang.gong@intel.com</v>
      </c>
      <c r="N216" s="7">
        <f>_xlfn.IFNA(VLOOKUP(drvlst[[#This Row],[tmp-owner.email]],OrgTree!$A:$J, 10, 0), "not ICG SWFW")</f>
        <v>0</v>
      </c>
      <c r="O216" s="7">
        <f>IF(drvlst[[#This Row],[reviewer]]=drvlst[[#This Row],[tmp-owner.email]], "author", _xlfn.IFNA(VLOOKUP(drvlst[[#This Row],[reviewer]],OrgTree!$A:$J, 10, 0), "not ICG SWFW"))</f>
        <v>0</v>
      </c>
      <c r="P216" s="7" t="str">
        <f>IF(ISBLANK(drvlst[[#This Row],[number]]), "",SUM(drvlst[[#This Row],[BJ -1 num]],drvlst[[#This Row],[FI -1 num]]))</f>
        <v/>
      </c>
      <c r="Q216" s="7" t="str">
        <f>IF(ISBLANK(drvlst[[#This Row],[number]]), "",COUNTIFS($A:$A,drvlst[[#This Row],[tmp-number]],$O:$O, "BJ And dev",$U:$U, "Review-1"))</f>
        <v/>
      </c>
      <c r="R216" s="7" t="str">
        <f>IF(ISBLANK(drvlst[[#This Row],[number]]), "",COUNTIFS($A:$A,drvlst[[#This Row],[tmp-number]],$O:$O, "FL And dev",$U:$U, "Review-1"))</f>
        <v/>
      </c>
      <c r="S216" s="7" t="str">
        <f>IF(ISBLANK(drvlst[[#This Row],[number]]), "",COUNTIFS($A:$A,drvlst[[#This Row],[tmp-number]],$O:$O, "BJ And dev",$V:$V, "&lt;&gt;IntegratorComment"))</f>
        <v/>
      </c>
      <c r="T216" s="7" t="str">
        <f>IF(ISBLANK(drvlst[[#This Row],[number]]), "",COUNTIFS($A:$A,drvlst[[#This Row],[tmp-number]],$O:$O, "FL And dev",$V:$V, "&lt;&gt;IntegratorComment"))</f>
        <v/>
      </c>
      <c r="U216" s="7" t="str">
        <f>IF(OR(ISNUMBER(FIND("Review-1", drvlst[[#This Row],[comments]])), ISNUMBER(FIND("Approver-1", drvlst[[#This Row],[comments]]))), "Review-1", "")</f>
        <v/>
      </c>
      <c r="V216" s="7" t="str">
        <f>IF(OR(ISNUMBER(FIND(": Integrator", drvlst[[#This Row],[comments]])), ISNUMBER(FIND(":\n\nIntegrator", drvlst[[#This Row],[comments]])), ISNUMBER(FIND("-Integrator", drvlst[[#This Row],[comments]]))), "IntegratorComment", "")</f>
        <v/>
      </c>
      <c r="W216" s="7" t="str">
        <f>IF(ISBLANK(drvlst[[#This Row],[status]]),W215,drvlst[[#This Row],[status]])</f>
        <v>MERGED</v>
      </c>
    </row>
    <row r="217" spans="1:23">
      <c r="A217" s="7">
        <f>IF(ISBLANK(drvlst[[#This Row],[number]]),A216,drvlst[[#This Row],[number]])</f>
        <v>95512</v>
      </c>
      <c r="J217" t="s">
        <v>97</v>
      </c>
      <c r="K217" s="8">
        <v>42384.650439814817</v>
      </c>
      <c r="L217" t="s">
        <v>57</v>
      </c>
      <c r="M217" s="7" t="str">
        <f>IF(ISBLANK(drvlst[[#This Row],[owner.emal]]),M216,drvlst[[#This Row],[owner.emal]])</f>
        <v>shuguang.gong@intel.com</v>
      </c>
      <c r="N217" s="7">
        <f>_xlfn.IFNA(VLOOKUP(drvlst[[#This Row],[tmp-owner.email]],OrgTree!$A:$J, 10, 0), "not ICG SWFW")</f>
        <v>0</v>
      </c>
      <c r="O217" s="7">
        <f>IF(drvlst[[#This Row],[reviewer]]=drvlst[[#This Row],[tmp-owner.email]], "author", _xlfn.IFNA(VLOOKUP(drvlst[[#This Row],[reviewer]],OrgTree!$A:$J, 10, 0), "not ICG SWFW"))</f>
        <v>0</v>
      </c>
      <c r="P217" s="7" t="str">
        <f>IF(ISBLANK(drvlst[[#This Row],[number]]), "",SUM(drvlst[[#This Row],[BJ -1 num]],drvlst[[#This Row],[FI -1 num]]))</f>
        <v/>
      </c>
      <c r="Q217" s="7" t="str">
        <f>IF(ISBLANK(drvlst[[#This Row],[number]]), "",COUNTIFS($A:$A,drvlst[[#This Row],[tmp-number]],$O:$O, "BJ And dev",$U:$U, "Review-1"))</f>
        <v/>
      </c>
      <c r="R217" s="7" t="str">
        <f>IF(ISBLANK(drvlst[[#This Row],[number]]), "",COUNTIFS($A:$A,drvlst[[#This Row],[tmp-number]],$O:$O, "FL And dev",$U:$U, "Review-1"))</f>
        <v/>
      </c>
      <c r="S217" s="7" t="str">
        <f>IF(ISBLANK(drvlst[[#This Row],[number]]), "",COUNTIFS($A:$A,drvlst[[#This Row],[tmp-number]],$O:$O, "BJ And dev",$V:$V, "&lt;&gt;IntegratorComment"))</f>
        <v/>
      </c>
      <c r="T217" s="7" t="str">
        <f>IF(ISBLANK(drvlst[[#This Row],[number]]), "",COUNTIFS($A:$A,drvlst[[#This Row],[tmp-number]],$O:$O, "FL And dev",$V:$V, "&lt;&gt;IntegratorComment"))</f>
        <v/>
      </c>
      <c r="U217" s="7" t="str">
        <f>IF(OR(ISNUMBER(FIND("Review-1", drvlst[[#This Row],[comments]])), ISNUMBER(FIND("Approver-1", drvlst[[#This Row],[comments]]))), "Review-1", "")</f>
        <v/>
      </c>
      <c r="V217" s="7" t="str">
        <f>IF(OR(ISNUMBER(FIND(": Integrator", drvlst[[#This Row],[comments]])), ISNUMBER(FIND(":\n\nIntegrator", drvlst[[#This Row],[comments]])), ISNUMBER(FIND("-Integrator", drvlst[[#This Row],[comments]]))), "IntegratorComment", "")</f>
        <v/>
      </c>
      <c r="W217" s="7" t="str">
        <f>IF(ISBLANK(drvlst[[#This Row],[status]]),W216,drvlst[[#This Row],[status]])</f>
        <v>MERGED</v>
      </c>
    </row>
    <row r="218" spans="1:23">
      <c r="A218" s="7">
        <f>IF(ISBLANK(drvlst[[#This Row],[number]]),A217,drvlst[[#This Row],[number]])</f>
        <v>95512</v>
      </c>
      <c r="J218" t="s">
        <v>53</v>
      </c>
      <c r="K218" s="8">
        <v>42384.652337962965</v>
      </c>
      <c r="L218" t="s">
        <v>1855</v>
      </c>
      <c r="M218" s="7" t="str">
        <f>IF(ISBLANK(drvlst[[#This Row],[owner.emal]]),M217,drvlst[[#This Row],[owner.emal]])</f>
        <v>shuguang.gong@intel.com</v>
      </c>
      <c r="N218" s="7">
        <f>_xlfn.IFNA(VLOOKUP(drvlst[[#This Row],[tmp-owner.email]],OrgTree!$A:$J, 10, 0), "not ICG SWFW")</f>
        <v>0</v>
      </c>
      <c r="O218" s="7" t="str">
        <f>IF(drvlst[[#This Row],[reviewer]]=drvlst[[#This Row],[tmp-owner.email]], "author", _xlfn.IFNA(VLOOKUP(drvlst[[#This Row],[reviewer]],OrgTree!$A:$J, 10, 0), "not ICG SWFW"))</f>
        <v>author</v>
      </c>
      <c r="P218" s="7" t="str">
        <f>IF(ISBLANK(drvlst[[#This Row],[number]]), "",SUM(drvlst[[#This Row],[BJ -1 num]],drvlst[[#This Row],[FI -1 num]]))</f>
        <v/>
      </c>
      <c r="Q218" s="7" t="str">
        <f>IF(ISBLANK(drvlst[[#This Row],[number]]), "",COUNTIFS($A:$A,drvlst[[#This Row],[tmp-number]],$O:$O, "BJ And dev",$U:$U, "Review-1"))</f>
        <v/>
      </c>
      <c r="R218" s="7" t="str">
        <f>IF(ISBLANK(drvlst[[#This Row],[number]]), "",COUNTIFS($A:$A,drvlst[[#This Row],[tmp-number]],$O:$O, "FL And dev",$U:$U, "Review-1"))</f>
        <v/>
      </c>
      <c r="S218" s="7" t="str">
        <f>IF(ISBLANK(drvlst[[#This Row],[number]]), "",COUNTIFS($A:$A,drvlst[[#This Row],[tmp-number]],$O:$O, "BJ And dev",$V:$V, "&lt;&gt;IntegratorComment"))</f>
        <v/>
      </c>
      <c r="T218" s="7" t="str">
        <f>IF(ISBLANK(drvlst[[#This Row],[number]]), "",COUNTIFS($A:$A,drvlst[[#This Row],[tmp-number]],$O:$O, "FL And dev",$V:$V, "&lt;&gt;IntegratorComment"))</f>
        <v/>
      </c>
      <c r="U218" s="7" t="str">
        <f>IF(OR(ISNUMBER(FIND("Review-1", drvlst[[#This Row],[comments]])), ISNUMBER(FIND("Approver-1", drvlst[[#This Row],[comments]]))), "Review-1", "")</f>
        <v/>
      </c>
      <c r="V218" s="7" t="str">
        <f>IF(OR(ISNUMBER(FIND(": Integrator", drvlst[[#This Row],[comments]])), ISNUMBER(FIND(":\n\nIntegrator", drvlst[[#This Row],[comments]])), ISNUMBER(FIND("-Integrator", drvlst[[#This Row],[comments]]))), "IntegratorComment", "")</f>
        <v/>
      </c>
      <c r="W218" s="7" t="str">
        <f>IF(ISBLANK(drvlst[[#This Row],[status]]),W217,drvlst[[#This Row],[status]])</f>
        <v>MERGED</v>
      </c>
    </row>
    <row r="219" spans="1:23">
      <c r="A219" s="7">
        <f>IF(ISBLANK(drvlst[[#This Row],[number]]),A218,drvlst[[#This Row],[number]])</f>
        <v>95512</v>
      </c>
      <c r="J219" t="s">
        <v>53</v>
      </c>
      <c r="K219" s="8">
        <v>42384.652337962965</v>
      </c>
      <c r="L219" t="s">
        <v>1837</v>
      </c>
      <c r="M219" s="7" t="str">
        <f>IF(ISBLANK(drvlst[[#This Row],[owner.emal]]),M218,drvlst[[#This Row],[owner.emal]])</f>
        <v>shuguang.gong@intel.com</v>
      </c>
      <c r="N219" s="7">
        <f>_xlfn.IFNA(VLOOKUP(drvlst[[#This Row],[tmp-owner.email]],OrgTree!$A:$J, 10, 0), "not ICG SWFW")</f>
        <v>0</v>
      </c>
      <c r="O219" s="7" t="str">
        <f>IF(drvlst[[#This Row],[reviewer]]=drvlst[[#This Row],[tmp-owner.email]], "author", _xlfn.IFNA(VLOOKUP(drvlst[[#This Row],[reviewer]],OrgTree!$A:$J, 10, 0), "not ICG SWFW"))</f>
        <v>author</v>
      </c>
      <c r="P219" s="7" t="str">
        <f>IF(ISBLANK(drvlst[[#This Row],[number]]), "",SUM(drvlst[[#This Row],[BJ -1 num]],drvlst[[#This Row],[FI -1 num]]))</f>
        <v/>
      </c>
      <c r="Q219" s="7" t="str">
        <f>IF(ISBLANK(drvlst[[#This Row],[number]]), "",COUNTIFS($A:$A,drvlst[[#This Row],[tmp-number]],$O:$O, "BJ And dev",$U:$U, "Review-1"))</f>
        <v/>
      </c>
      <c r="R219" s="7" t="str">
        <f>IF(ISBLANK(drvlst[[#This Row],[number]]), "",COUNTIFS($A:$A,drvlst[[#This Row],[tmp-number]],$O:$O, "FL And dev",$U:$U, "Review-1"))</f>
        <v/>
      </c>
      <c r="S219" s="7" t="str">
        <f>IF(ISBLANK(drvlst[[#This Row],[number]]), "",COUNTIFS($A:$A,drvlst[[#This Row],[tmp-number]],$O:$O, "BJ And dev",$V:$V, "&lt;&gt;IntegratorComment"))</f>
        <v/>
      </c>
      <c r="T219" s="7" t="str">
        <f>IF(ISBLANK(drvlst[[#This Row],[number]]), "",COUNTIFS($A:$A,drvlst[[#This Row],[tmp-number]],$O:$O, "FL And dev",$V:$V, "&lt;&gt;IntegratorComment"))</f>
        <v/>
      </c>
      <c r="U219" s="7" t="str">
        <f>IF(OR(ISNUMBER(FIND("Review-1", drvlst[[#This Row],[comments]])), ISNUMBER(FIND("Approver-1", drvlst[[#This Row],[comments]]))), "Review-1", "")</f>
        <v/>
      </c>
      <c r="V219" s="7" t="str">
        <f>IF(OR(ISNUMBER(FIND(": Integrator", drvlst[[#This Row],[comments]])), ISNUMBER(FIND(":\n\nIntegrator", drvlst[[#This Row],[comments]])), ISNUMBER(FIND("-Integrator", drvlst[[#This Row],[comments]]))), "IntegratorComment", "")</f>
        <v/>
      </c>
      <c r="W219" s="7" t="str">
        <f>IF(ISBLANK(drvlst[[#This Row],[status]]),W218,drvlst[[#This Row],[status]])</f>
        <v>MERGED</v>
      </c>
    </row>
    <row r="220" spans="1:23">
      <c r="A220" s="7">
        <f>IF(ISBLANK(drvlst[[#This Row],[number]]),A219,drvlst[[#This Row],[number]])</f>
        <v>95512</v>
      </c>
      <c r="J220" t="s">
        <v>97</v>
      </c>
      <c r="K220" s="8">
        <v>42384.656412037039</v>
      </c>
      <c r="L220" t="s">
        <v>1853</v>
      </c>
      <c r="M220" s="7" t="str">
        <f>IF(ISBLANK(drvlst[[#This Row],[owner.emal]]),M219,drvlst[[#This Row],[owner.emal]])</f>
        <v>shuguang.gong@intel.com</v>
      </c>
      <c r="N220" s="7">
        <f>_xlfn.IFNA(VLOOKUP(drvlst[[#This Row],[tmp-owner.email]],OrgTree!$A:$J, 10, 0), "not ICG SWFW")</f>
        <v>0</v>
      </c>
      <c r="O220" s="7">
        <f>IF(drvlst[[#This Row],[reviewer]]=drvlst[[#This Row],[tmp-owner.email]], "author", _xlfn.IFNA(VLOOKUP(drvlst[[#This Row],[reviewer]],OrgTree!$A:$J, 10, 0), "not ICG SWFW"))</f>
        <v>0</v>
      </c>
      <c r="P220" s="7" t="str">
        <f>IF(ISBLANK(drvlst[[#This Row],[number]]), "",SUM(drvlst[[#This Row],[BJ -1 num]],drvlst[[#This Row],[FI -1 num]]))</f>
        <v/>
      </c>
      <c r="Q220" s="7" t="str">
        <f>IF(ISBLANK(drvlst[[#This Row],[number]]), "",COUNTIFS($A:$A,drvlst[[#This Row],[tmp-number]],$O:$O, "BJ And dev",$U:$U, "Review-1"))</f>
        <v/>
      </c>
      <c r="R220" s="7" t="str">
        <f>IF(ISBLANK(drvlst[[#This Row],[number]]), "",COUNTIFS($A:$A,drvlst[[#This Row],[tmp-number]],$O:$O, "FL And dev",$U:$U, "Review-1"))</f>
        <v/>
      </c>
      <c r="S220" s="7" t="str">
        <f>IF(ISBLANK(drvlst[[#This Row],[number]]), "",COUNTIFS($A:$A,drvlst[[#This Row],[tmp-number]],$O:$O, "BJ And dev",$V:$V, "&lt;&gt;IntegratorComment"))</f>
        <v/>
      </c>
      <c r="T220" s="7" t="str">
        <f>IF(ISBLANK(drvlst[[#This Row],[number]]), "",COUNTIFS($A:$A,drvlst[[#This Row],[tmp-number]],$O:$O, "FL And dev",$V:$V, "&lt;&gt;IntegratorComment"))</f>
        <v/>
      </c>
      <c r="U220" s="7" t="str">
        <f>IF(OR(ISNUMBER(FIND("Review-1", drvlst[[#This Row],[comments]])), ISNUMBER(FIND("Approver-1", drvlst[[#This Row],[comments]]))), "Review-1", "")</f>
        <v/>
      </c>
      <c r="V220" s="7" t="str">
        <f>IF(OR(ISNUMBER(FIND(": Integrator", drvlst[[#This Row],[comments]])), ISNUMBER(FIND(":\n\nIntegrator", drvlst[[#This Row],[comments]])), ISNUMBER(FIND("-Integrator", drvlst[[#This Row],[comments]]))), "IntegratorComment", "")</f>
        <v/>
      </c>
      <c r="W220" s="7" t="str">
        <f>IF(ISBLANK(drvlst[[#This Row],[status]]),W219,drvlst[[#This Row],[status]])</f>
        <v>MERGED</v>
      </c>
    </row>
    <row r="221" spans="1:23">
      <c r="A221" s="7">
        <f>IF(ISBLANK(drvlst[[#This Row],[number]]),A220,drvlst[[#This Row],[number]])</f>
        <v>95512</v>
      </c>
      <c r="J221" t="s">
        <v>53</v>
      </c>
      <c r="K221" s="8">
        <v>42384.675543981481</v>
      </c>
      <c r="L221" t="s">
        <v>1853</v>
      </c>
      <c r="M221" s="7" t="str">
        <f>IF(ISBLANK(drvlst[[#This Row],[owner.emal]]),M220,drvlst[[#This Row],[owner.emal]])</f>
        <v>shuguang.gong@intel.com</v>
      </c>
      <c r="N221" s="7">
        <f>_xlfn.IFNA(VLOOKUP(drvlst[[#This Row],[tmp-owner.email]],OrgTree!$A:$J, 10, 0), "not ICG SWFW")</f>
        <v>0</v>
      </c>
      <c r="O221" s="7" t="str">
        <f>IF(drvlst[[#This Row],[reviewer]]=drvlst[[#This Row],[tmp-owner.email]], "author", _xlfn.IFNA(VLOOKUP(drvlst[[#This Row],[reviewer]],OrgTree!$A:$J, 10, 0), "not ICG SWFW"))</f>
        <v>author</v>
      </c>
      <c r="P221" s="7" t="str">
        <f>IF(ISBLANK(drvlst[[#This Row],[number]]), "",SUM(drvlst[[#This Row],[BJ -1 num]],drvlst[[#This Row],[FI -1 num]]))</f>
        <v/>
      </c>
      <c r="Q221" s="7" t="str">
        <f>IF(ISBLANK(drvlst[[#This Row],[number]]), "",COUNTIFS($A:$A,drvlst[[#This Row],[tmp-number]],$O:$O, "BJ And dev",$U:$U, "Review-1"))</f>
        <v/>
      </c>
      <c r="R221" s="7" t="str">
        <f>IF(ISBLANK(drvlst[[#This Row],[number]]), "",COUNTIFS($A:$A,drvlst[[#This Row],[tmp-number]],$O:$O, "FL And dev",$U:$U, "Review-1"))</f>
        <v/>
      </c>
      <c r="S221" s="7" t="str">
        <f>IF(ISBLANK(drvlst[[#This Row],[number]]), "",COUNTIFS($A:$A,drvlst[[#This Row],[tmp-number]],$O:$O, "BJ And dev",$V:$V, "&lt;&gt;IntegratorComment"))</f>
        <v/>
      </c>
      <c r="T221" s="7" t="str">
        <f>IF(ISBLANK(drvlst[[#This Row],[number]]), "",COUNTIFS($A:$A,drvlst[[#This Row],[tmp-number]],$O:$O, "FL And dev",$V:$V, "&lt;&gt;IntegratorComment"))</f>
        <v/>
      </c>
      <c r="U221" s="7" t="str">
        <f>IF(OR(ISNUMBER(FIND("Review-1", drvlst[[#This Row],[comments]])), ISNUMBER(FIND("Approver-1", drvlst[[#This Row],[comments]]))), "Review-1", "")</f>
        <v/>
      </c>
      <c r="V221" s="7" t="str">
        <f>IF(OR(ISNUMBER(FIND(": Integrator", drvlst[[#This Row],[comments]])), ISNUMBER(FIND(":\n\nIntegrator", drvlst[[#This Row],[comments]])), ISNUMBER(FIND("-Integrator", drvlst[[#This Row],[comments]]))), "IntegratorComment", "")</f>
        <v/>
      </c>
      <c r="W221" s="7" t="str">
        <f>IF(ISBLANK(drvlst[[#This Row],[status]]),W220,drvlst[[#This Row],[status]])</f>
        <v>MERGED</v>
      </c>
    </row>
    <row r="222" spans="1:23">
      <c r="A222" s="7">
        <f>IF(ISBLANK(drvlst[[#This Row],[number]]),A221,drvlst[[#This Row],[number]])</f>
        <v>95512</v>
      </c>
      <c r="J222" t="s">
        <v>91</v>
      </c>
      <c r="K222" s="8">
        <v>42384.68304398148</v>
      </c>
      <c r="L222" t="s">
        <v>1899</v>
      </c>
      <c r="M222" s="7" t="str">
        <f>IF(ISBLANK(drvlst[[#This Row],[owner.emal]]),M221,drvlst[[#This Row],[owner.emal]])</f>
        <v>shuguang.gong@intel.com</v>
      </c>
      <c r="N222" s="7">
        <f>_xlfn.IFNA(VLOOKUP(drvlst[[#This Row],[tmp-owner.email]],OrgTree!$A:$J, 10, 0), "not ICG SWFW")</f>
        <v>0</v>
      </c>
      <c r="O222" s="7">
        <f>IF(drvlst[[#This Row],[reviewer]]=drvlst[[#This Row],[tmp-owner.email]], "author", _xlfn.IFNA(VLOOKUP(drvlst[[#This Row],[reviewer]],OrgTree!$A:$J, 10, 0), "not ICG SWFW"))</f>
        <v>0</v>
      </c>
      <c r="P222" s="7" t="str">
        <f>IF(ISBLANK(drvlst[[#This Row],[number]]), "",SUM(drvlst[[#This Row],[BJ -1 num]],drvlst[[#This Row],[FI -1 num]]))</f>
        <v/>
      </c>
      <c r="Q222" s="7" t="str">
        <f>IF(ISBLANK(drvlst[[#This Row],[number]]), "",COUNTIFS($A:$A,drvlst[[#This Row],[tmp-number]],$O:$O, "BJ And dev",$U:$U, "Review-1"))</f>
        <v/>
      </c>
      <c r="R222" s="7" t="str">
        <f>IF(ISBLANK(drvlst[[#This Row],[number]]), "",COUNTIFS($A:$A,drvlst[[#This Row],[tmp-number]],$O:$O, "FL And dev",$U:$U, "Review-1"))</f>
        <v/>
      </c>
      <c r="S222" s="7" t="str">
        <f>IF(ISBLANK(drvlst[[#This Row],[number]]), "",COUNTIFS($A:$A,drvlst[[#This Row],[tmp-number]],$O:$O, "BJ And dev",$V:$V, "&lt;&gt;IntegratorComment"))</f>
        <v/>
      </c>
      <c r="T222" s="7" t="str">
        <f>IF(ISBLANK(drvlst[[#This Row],[number]]), "",COUNTIFS($A:$A,drvlst[[#This Row],[tmp-number]],$O:$O, "FL And dev",$V:$V, "&lt;&gt;IntegratorComment"))</f>
        <v/>
      </c>
      <c r="U222" s="7" t="str">
        <f>IF(OR(ISNUMBER(FIND("Review-1", drvlst[[#This Row],[comments]])), ISNUMBER(FIND("Approver-1", drvlst[[#This Row],[comments]]))), "Review-1", "")</f>
        <v>Review-1</v>
      </c>
      <c r="V222" s="7" t="str">
        <f>IF(OR(ISNUMBER(FIND(": Integrator", drvlst[[#This Row],[comments]])), ISNUMBER(FIND(":\n\nIntegrator", drvlst[[#This Row],[comments]])), ISNUMBER(FIND("-Integrator", drvlst[[#This Row],[comments]]))), "IntegratorComment", "")</f>
        <v/>
      </c>
      <c r="W222" s="7" t="str">
        <f>IF(ISBLANK(drvlst[[#This Row],[status]]),W221,drvlst[[#This Row],[status]])</f>
        <v>MERGED</v>
      </c>
    </row>
    <row r="223" spans="1:23">
      <c r="A223" s="7">
        <f>IF(ISBLANK(drvlst[[#This Row],[number]]),A222,drvlst[[#This Row],[number]])</f>
        <v>95512</v>
      </c>
      <c r="J223" t="s">
        <v>53</v>
      </c>
      <c r="K223" s="8">
        <v>42384.717465277776</v>
      </c>
      <c r="L223" t="s">
        <v>1870</v>
      </c>
      <c r="M223" s="7" t="str">
        <f>IF(ISBLANK(drvlst[[#This Row],[owner.emal]]),M222,drvlst[[#This Row],[owner.emal]])</f>
        <v>shuguang.gong@intel.com</v>
      </c>
      <c r="N223" s="7">
        <f>_xlfn.IFNA(VLOOKUP(drvlst[[#This Row],[tmp-owner.email]],OrgTree!$A:$J, 10, 0), "not ICG SWFW")</f>
        <v>0</v>
      </c>
      <c r="O223" s="7" t="str">
        <f>IF(drvlst[[#This Row],[reviewer]]=drvlst[[#This Row],[tmp-owner.email]], "author", _xlfn.IFNA(VLOOKUP(drvlst[[#This Row],[reviewer]],OrgTree!$A:$J, 10, 0), "not ICG SWFW"))</f>
        <v>author</v>
      </c>
      <c r="P223" s="7" t="str">
        <f>IF(ISBLANK(drvlst[[#This Row],[number]]), "",SUM(drvlst[[#This Row],[BJ -1 num]],drvlst[[#This Row],[FI -1 num]]))</f>
        <v/>
      </c>
      <c r="Q223" s="7" t="str">
        <f>IF(ISBLANK(drvlst[[#This Row],[number]]), "",COUNTIFS($A:$A,drvlst[[#This Row],[tmp-number]],$O:$O, "BJ And dev",$U:$U, "Review-1"))</f>
        <v/>
      </c>
      <c r="R223" s="7" t="str">
        <f>IF(ISBLANK(drvlst[[#This Row],[number]]), "",COUNTIFS($A:$A,drvlst[[#This Row],[tmp-number]],$O:$O, "FL And dev",$U:$U, "Review-1"))</f>
        <v/>
      </c>
      <c r="S223" s="7" t="str">
        <f>IF(ISBLANK(drvlst[[#This Row],[number]]), "",COUNTIFS($A:$A,drvlst[[#This Row],[tmp-number]],$O:$O, "BJ And dev",$V:$V, "&lt;&gt;IntegratorComment"))</f>
        <v/>
      </c>
      <c r="T223" s="7" t="str">
        <f>IF(ISBLANK(drvlst[[#This Row],[number]]), "",COUNTIFS($A:$A,drvlst[[#This Row],[tmp-number]],$O:$O, "FL And dev",$V:$V, "&lt;&gt;IntegratorComment"))</f>
        <v/>
      </c>
      <c r="U223" s="7" t="str">
        <f>IF(OR(ISNUMBER(FIND("Review-1", drvlst[[#This Row],[comments]])), ISNUMBER(FIND("Approver-1", drvlst[[#This Row],[comments]]))), "Review-1", "")</f>
        <v/>
      </c>
      <c r="V223" s="7" t="str">
        <f>IF(OR(ISNUMBER(FIND(": Integrator", drvlst[[#This Row],[comments]])), ISNUMBER(FIND(":\n\nIntegrator", drvlst[[#This Row],[comments]])), ISNUMBER(FIND("-Integrator", drvlst[[#This Row],[comments]]))), "IntegratorComment", "")</f>
        <v/>
      </c>
      <c r="W223" s="7" t="str">
        <f>IF(ISBLANK(drvlst[[#This Row],[status]]),W222,drvlst[[#This Row],[status]])</f>
        <v>MERGED</v>
      </c>
    </row>
    <row r="224" spans="1:23">
      <c r="A224" s="7">
        <f>IF(ISBLANK(drvlst[[#This Row],[number]]),A223,drvlst[[#This Row],[number]])</f>
        <v>95512</v>
      </c>
      <c r="J224" t="s">
        <v>53</v>
      </c>
      <c r="K224" s="8">
        <v>42384.717465277776</v>
      </c>
      <c r="L224" t="s">
        <v>1839</v>
      </c>
      <c r="M224" s="7" t="str">
        <f>IF(ISBLANK(drvlst[[#This Row],[owner.emal]]),M223,drvlst[[#This Row],[owner.emal]])</f>
        <v>shuguang.gong@intel.com</v>
      </c>
      <c r="N224" s="7">
        <f>_xlfn.IFNA(VLOOKUP(drvlst[[#This Row],[tmp-owner.email]],OrgTree!$A:$J, 10, 0), "not ICG SWFW")</f>
        <v>0</v>
      </c>
      <c r="O224" s="7" t="str">
        <f>IF(drvlst[[#This Row],[reviewer]]=drvlst[[#This Row],[tmp-owner.email]], "author", _xlfn.IFNA(VLOOKUP(drvlst[[#This Row],[reviewer]],OrgTree!$A:$J, 10, 0), "not ICG SWFW"))</f>
        <v>author</v>
      </c>
      <c r="P224" s="7" t="str">
        <f>IF(ISBLANK(drvlst[[#This Row],[number]]), "",SUM(drvlst[[#This Row],[BJ -1 num]],drvlst[[#This Row],[FI -1 num]]))</f>
        <v/>
      </c>
      <c r="Q224" s="7" t="str">
        <f>IF(ISBLANK(drvlst[[#This Row],[number]]), "",COUNTIFS($A:$A,drvlst[[#This Row],[tmp-number]],$O:$O, "BJ And dev",$U:$U, "Review-1"))</f>
        <v/>
      </c>
      <c r="R224" s="7" t="str">
        <f>IF(ISBLANK(drvlst[[#This Row],[number]]), "",COUNTIFS($A:$A,drvlst[[#This Row],[tmp-number]],$O:$O, "FL And dev",$U:$U, "Review-1"))</f>
        <v/>
      </c>
      <c r="S224" s="7" t="str">
        <f>IF(ISBLANK(drvlst[[#This Row],[number]]), "",COUNTIFS($A:$A,drvlst[[#This Row],[tmp-number]],$O:$O, "BJ And dev",$V:$V, "&lt;&gt;IntegratorComment"))</f>
        <v/>
      </c>
      <c r="T224" s="7" t="str">
        <f>IF(ISBLANK(drvlst[[#This Row],[number]]), "",COUNTIFS($A:$A,drvlst[[#This Row],[tmp-number]],$O:$O, "FL And dev",$V:$V, "&lt;&gt;IntegratorComment"))</f>
        <v/>
      </c>
      <c r="U224" s="7" t="str">
        <f>IF(OR(ISNUMBER(FIND("Review-1", drvlst[[#This Row],[comments]])), ISNUMBER(FIND("Approver-1", drvlst[[#This Row],[comments]]))), "Review-1", "")</f>
        <v/>
      </c>
      <c r="V224" s="7" t="str">
        <f>IF(OR(ISNUMBER(FIND(": Integrator", drvlst[[#This Row],[comments]])), ISNUMBER(FIND(":\n\nIntegrator", drvlst[[#This Row],[comments]])), ISNUMBER(FIND("-Integrator", drvlst[[#This Row],[comments]]))), "IntegratorComment", "")</f>
        <v/>
      </c>
      <c r="W224" s="7" t="str">
        <f>IF(ISBLANK(drvlst[[#This Row],[status]]),W223,drvlst[[#This Row],[status]])</f>
        <v>MERGED</v>
      </c>
    </row>
    <row r="225" spans="1:23">
      <c r="A225" s="7">
        <f>IF(ISBLANK(drvlst[[#This Row],[number]]),A224,drvlst[[#This Row],[number]])</f>
        <v>95512</v>
      </c>
      <c r="J225" t="s">
        <v>53</v>
      </c>
      <c r="K225" s="8">
        <v>42384.718182870369</v>
      </c>
      <c r="L225" t="s">
        <v>1956</v>
      </c>
      <c r="M225" s="7" t="str">
        <f>IF(ISBLANK(drvlst[[#This Row],[owner.emal]]),M224,drvlst[[#This Row],[owner.emal]])</f>
        <v>shuguang.gong@intel.com</v>
      </c>
      <c r="N225" s="7">
        <f>_xlfn.IFNA(VLOOKUP(drvlst[[#This Row],[tmp-owner.email]],OrgTree!$A:$J, 10, 0), "not ICG SWFW")</f>
        <v>0</v>
      </c>
      <c r="O225" s="7" t="str">
        <f>IF(drvlst[[#This Row],[reviewer]]=drvlst[[#This Row],[tmp-owner.email]], "author", _xlfn.IFNA(VLOOKUP(drvlst[[#This Row],[reviewer]],OrgTree!$A:$J, 10, 0), "not ICG SWFW"))</f>
        <v>author</v>
      </c>
      <c r="P225" s="7" t="str">
        <f>IF(ISBLANK(drvlst[[#This Row],[number]]), "",SUM(drvlst[[#This Row],[BJ -1 num]],drvlst[[#This Row],[FI -1 num]]))</f>
        <v/>
      </c>
      <c r="Q225" s="7" t="str">
        <f>IF(ISBLANK(drvlst[[#This Row],[number]]), "",COUNTIFS($A:$A,drvlst[[#This Row],[tmp-number]],$O:$O, "BJ And dev",$U:$U, "Review-1"))</f>
        <v/>
      </c>
      <c r="R225" s="7" t="str">
        <f>IF(ISBLANK(drvlst[[#This Row],[number]]), "",COUNTIFS($A:$A,drvlst[[#This Row],[tmp-number]],$O:$O, "FL And dev",$U:$U, "Review-1"))</f>
        <v/>
      </c>
      <c r="S225" s="7" t="str">
        <f>IF(ISBLANK(drvlst[[#This Row],[number]]), "",COUNTIFS($A:$A,drvlst[[#This Row],[tmp-number]],$O:$O, "BJ And dev",$V:$V, "&lt;&gt;IntegratorComment"))</f>
        <v/>
      </c>
      <c r="T225" s="7" t="str">
        <f>IF(ISBLANK(drvlst[[#This Row],[number]]), "",COUNTIFS($A:$A,drvlst[[#This Row],[tmp-number]],$O:$O, "FL And dev",$V:$V, "&lt;&gt;IntegratorComment"))</f>
        <v/>
      </c>
      <c r="U225" s="7" t="str">
        <f>IF(OR(ISNUMBER(FIND("Review-1", drvlst[[#This Row],[comments]])), ISNUMBER(FIND("Approver-1", drvlst[[#This Row],[comments]]))), "Review-1", "")</f>
        <v/>
      </c>
      <c r="V225" s="7" t="str">
        <f>IF(OR(ISNUMBER(FIND(": Integrator", drvlst[[#This Row],[comments]])), ISNUMBER(FIND(":\n\nIntegrator", drvlst[[#This Row],[comments]])), ISNUMBER(FIND("-Integrator", drvlst[[#This Row],[comments]]))), "IntegratorComment", "")</f>
        <v/>
      </c>
      <c r="W225" s="7" t="str">
        <f>IF(ISBLANK(drvlst[[#This Row],[status]]),W224,drvlst[[#This Row],[status]])</f>
        <v>MERGED</v>
      </c>
    </row>
    <row r="226" spans="1:23">
      <c r="A226" s="7">
        <f>IF(ISBLANK(drvlst[[#This Row],[number]]),A225,drvlst[[#This Row],[number]])</f>
        <v>95512</v>
      </c>
      <c r="J226" t="s">
        <v>91</v>
      </c>
      <c r="K226" s="8">
        <v>42384.794016203705</v>
      </c>
      <c r="L226" t="s">
        <v>1843</v>
      </c>
      <c r="M226" s="7" t="str">
        <f>IF(ISBLANK(drvlst[[#This Row],[owner.emal]]),M225,drvlst[[#This Row],[owner.emal]])</f>
        <v>shuguang.gong@intel.com</v>
      </c>
      <c r="N226" s="7">
        <f>_xlfn.IFNA(VLOOKUP(drvlst[[#This Row],[tmp-owner.email]],OrgTree!$A:$J, 10, 0), "not ICG SWFW")</f>
        <v>0</v>
      </c>
      <c r="O226" s="7">
        <f>IF(drvlst[[#This Row],[reviewer]]=drvlst[[#This Row],[tmp-owner.email]], "author", _xlfn.IFNA(VLOOKUP(drvlst[[#This Row],[reviewer]],OrgTree!$A:$J, 10, 0), "not ICG SWFW"))</f>
        <v>0</v>
      </c>
      <c r="P226" s="7" t="str">
        <f>IF(ISBLANK(drvlst[[#This Row],[number]]), "",SUM(drvlst[[#This Row],[BJ -1 num]],drvlst[[#This Row],[FI -1 num]]))</f>
        <v/>
      </c>
      <c r="Q226" s="7" t="str">
        <f>IF(ISBLANK(drvlst[[#This Row],[number]]), "",COUNTIFS($A:$A,drvlst[[#This Row],[tmp-number]],$O:$O, "BJ And dev",$U:$U, "Review-1"))</f>
        <v/>
      </c>
      <c r="R226" s="7" t="str">
        <f>IF(ISBLANK(drvlst[[#This Row],[number]]), "",COUNTIFS($A:$A,drvlst[[#This Row],[tmp-number]],$O:$O, "FL And dev",$U:$U, "Review-1"))</f>
        <v/>
      </c>
      <c r="S226" s="7" t="str">
        <f>IF(ISBLANK(drvlst[[#This Row],[number]]), "",COUNTIFS($A:$A,drvlst[[#This Row],[tmp-number]],$O:$O, "BJ And dev",$V:$V, "&lt;&gt;IntegratorComment"))</f>
        <v/>
      </c>
      <c r="T226" s="7" t="str">
        <f>IF(ISBLANK(drvlst[[#This Row],[number]]), "",COUNTIFS($A:$A,drvlst[[#This Row],[tmp-number]],$O:$O, "FL And dev",$V:$V, "&lt;&gt;IntegratorComment"))</f>
        <v/>
      </c>
      <c r="U226" s="7" t="str">
        <f>IF(OR(ISNUMBER(FIND("Review-1", drvlst[[#This Row],[comments]])), ISNUMBER(FIND("Approver-1", drvlst[[#This Row],[comments]]))), "Review-1", "")</f>
        <v/>
      </c>
      <c r="V226" s="7" t="str">
        <f>IF(OR(ISNUMBER(FIND(": Integrator", drvlst[[#This Row],[comments]])), ISNUMBER(FIND(":\n\nIntegrator", drvlst[[#This Row],[comments]])), ISNUMBER(FIND("-Integrator", drvlst[[#This Row],[comments]]))), "IntegratorComment", "")</f>
        <v/>
      </c>
      <c r="W226" s="7" t="str">
        <f>IF(ISBLANK(drvlst[[#This Row],[status]]),W225,drvlst[[#This Row],[status]])</f>
        <v>MERGED</v>
      </c>
    </row>
    <row r="227" spans="1:23">
      <c r="A227" s="7">
        <f>IF(ISBLANK(drvlst[[#This Row],[number]]),A226,drvlst[[#This Row],[number]])</f>
        <v>95512</v>
      </c>
      <c r="J227" t="s">
        <v>101</v>
      </c>
      <c r="K227" s="8">
        <v>42384.80091435185</v>
      </c>
      <c r="L227" t="s">
        <v>1957</v>
      </c>
      <c r="M227" s="7" t="str">
        <f>IF(ISBLANK(drvlst[[#This Row],[owner.emal]]),M226,drvlst[[#This Row],[owner.emal]])</f>
        <v>shuguang.gong@intel.com</v>
      </c>
      <c r="N227" s="7">
        <f>_xlfn.IFNA(VLOOKUP(drvlst[[#This Row],[tmp-owner.email]],OrgTree!$A:$J, 10, 0), "not ICG SWFW")</f>
        <v>0</v>
      </c>
      <c r="O227" s="7">
        <f>IF(drvlst[[#This Row],[reviewer]]=drvlst[[#This Row],[tmp-owner.email]], "author", _xlfn.IFNA(VLOOKUP(drvlst[[#This Row],[reviewer]],OrgTree!$A:$J, 10, 0), "not ICG SWFW"))</f>
        <v>0</v>
      </c>
      <c r="P227" s="7" t="str">
        <f>IF(ISBLANK(drvlst[[#This Row],[number]]), "",SUM(drvlst[[#This Row],[BJ -1 num]],drvlst[[#This Row],[FI -1 num]]))</f>
        <v/>
      </c>
      <c r="Q227" s="7" t="str">
        <f>IF(ISBLANK(drvlst[[#This Row],[number]]), "",COUNTIFS($A:$A,drvlst[[#This Row],[tmp-number]],$O:$O, "BJ And dev",$U:$U, "Review-1"))</f>
        <v/>
      </c>
      <c r="R227" s="7" t="str">
        <f>IF(ISBLANK(drvlst[[#This Row],[number]]), "",COUNTIFS($A:$A,drvlst[[#This Row],[tmp-number]],$O:$O, "FL And dev",$U:$U, "Review-1"))</f>
        <v/>
      </c>
      <c r="S227" s="7" t="str">
        <f>IF(ISBLANK(drvlst[[#This Row],[number]]), "",COUNTIFS($A:$A,drvlst[[#This Row],[tmp-number]],$O:$O, "BJ And dev",$V:$V, "&lt;&gt;IntegratorComment"))</f>
        <v/>
      </c>
      <c r="T227" s="7" t="str">
        <f>IF(ISBLANK(drvlst[[#This Row],[number]]), "",COUNTIFS($A:$A,drvlst[[#This Row],[tmp-number]],$O:$O, "FL And dev",$V:$V, "&lt;&gt;IntegratorComment"))</f>
        <v/>
      </c>
      <c r="U227" s="7" t="str">
        <f>IF(OR(ISNUMBER(FIND("Review-1", drvlst[[#This Row],[comments]])), ISNUMBER(FIND("Approver-1", drvlst[[#This Row],[comments]]))), "Review-1", "")</f>
        <v/>
      </c>
      <c r="V227" s="7" t="str">
        <f>IF(OR(ISNUMBER(FIND(": Integrator", drvlst[[#This Row],[comments]])), ISNUMBER(FIND(":\n\nIntegrator", drvlst[[#This Row],[comments]])), ISNUMBER(FIND("-Integrator", drvlst[[#This Row],[comments]]))), "IntegratorComment", "")</f>
        <v/>
      </c>
      <c r="W227" s="7" t="str">
        <f>IF(ISBLANK(drvlst[[#This Row],[status]]),W226,drvlst[[#This Row],[status]])</f>
        <v>MERGED</v>
      </c>
    </row>
    <row r="228" spans="1:23">
      <c r="A228" s="7">
        <f>IF(ISBLANK(drvlst[[#This Row],[number]]),A227,drvlst[[#This Row],[number]])</f>
        <v>95512</v>
      </c>
      <c r="J228" t="s">
        <v>30</v>
      </c>
      <c r="K228" s="8">
        <v>42384.841469907406</v>
      </c>
      <c r="L228" t="s">
        <v>1840</v>
      </c>
      <c r="M228" s="7" t="str">
        <f>IF(ISBLANK(drvlst[[#This Row],[owner.emal]]),M227,drvlst[[#This Row],[owner.emal]])</f>
        <v>shuguang.gong@intel.com</v>
      </c>
      <c r="N228" s="7">
        <f>_xlfn.IFNA(VLOOKUP(drvlst[[#This Row],[tmp-owner.email]],OrgTree!$A:$J, 10, 0), "not ICG SWFW")</f>
        <v>0</v>
      </c>
      <c r="O228" s="7">
        <f>IF(drvlst[[#This Row],[reviewer]]=drvlst[[#This Row],[tmp-owner.email]], "author", _xlfn.IFNA(VLOOKUP(drvlst[[#This Row],[reviewer]],OrgTree!$A:$J, 10, 0), "not ICG SWFW"))</f>
        <v>0</v>
      </c>
      <c r="P228" s="7" t="str">
        <f>IF(ISBLANK(drvlst[[#This Row],[number]]), "",SUM(drvlst[[#This Row],[BJ -1 num]],drvlst[[#This Row],[FI -1 num]]))</f>
        <v/>
      </c>
      <c r="Q228" s="7" t="str">
        <f>IF(ISBLANK(drvlst[[#This Row],[number]]), "",COUNTIFS($A:$A,drvlst[[#This Row],[tmp-number]],$O:$O, "BJ And dev",$U:$U, "Review-1"))</f>
        <v/>
      </c>
      <c r="R228" s="7" t="str">
        <f>IF(ISBLANK(drvlst[[#This Row],[number]]), "",COUNTIFS($A:$A,drvlst[[#This Row],[tmp-number]],$O:$O, "FL And dev",$U:$U, "Review-1"))</f>
        <v/>
      </c>
      <c r="S228" s="7" t="str">
        <f>IF(ISBLANK(drvlst[[#This Row],[number]]), "",COUNTIFS($A:$A,drvlst[[#This Row],[tmp-number]],$O:$O, "BJ And dev",$V:$V, "&lt;&gt;IntegratorComment"))</f>
        <v/>
      </c>
      <c r="T228" s="7" t="str">
        <f>IF(ISBLANK(drvlst[[#This Row],[number]]), "",COUNTIFS($A:$A,drvlst[[#This Row],[tmp-number]],$O:$O, "FL And dev",$V:$V, "&lt;&gt;IntegratorComment"))</f>
        <v/>
      </c>
      <c r="U228" s="7" t="str">
        <f>IF(OR(ISNUMBER(FIND("Review-1", drvlst[[#This Row],[comments]])), ISNUMBER(FIND("Approver-1", drvlst[[#This Row],[comments]]))), "Review-1", "")</f>
        <v/>
      </c>
      <c r="V228" s="7" t="str">
        <f>IF(OR(ISNUMBER(FIND(": Integrator", drvlst[[#This Row],[comments]])), ISNUMBER(FIND(":\n\nIntegrator", drvlst[[#This Row],[comments]])), ISNUMBER(FIND("-Integrator", drvlst[[#This Row],[comments]]))), "IntegratorComment", "")</f>
        <v/>
      </c>
      <c r="W228" s="7" t="str">
        <f>IF(ISBLANK(drvlst[[#This Row],[status]]),W227,drvlst[[#This Row],[status]])</f>
        <v>MERGED</v>
      </c>
    </row>
    <row r="229" spans="1:23">
      <c r="A229" s="7">
        <f>IF(ISBLANK(drvlst[[#This Row],[number]]),A228,drvlst[[#This Row],[number]])</f>
        <v>95512</v>
      </c>
      <c r="J229" t="s">
        <v>53</v>
      </c>
      <c r="K229" s="8">
        <v>42387.449363425927</v>
      </c>
      <c r="L229" t="s">
        <v>1958</v>
      </c>
      <c r="M229" s="7" t="str">
        <f>IF(ISBLANK(drvlst[[#This Row],[owner.emal]]),M228,drvlst[[#This Row],[owner.emal]])</f>
        <v>shuguang.gong@intel.com</v>
      </c>
      <c r="N229" s="7">
        <f>_xlfn.IFNA(VLOOKUP(drvlst[[#This Row],[tmp-owner.email]],OrgTree!$A:$J, 10, 0), "not ICG SWFW")</f>
        <v>0</v>
      </c>
      <c r="O229" s="7" t="str">
        <f>IF(drvlst[[#This Row],[reviewer]]=drvlst[[#This Row],[tmp-owner.email]], "author", _xlfn.IFNA(VLOOKUP(drvlst[[#This Row],[reviewer]],OrgTree!$A:$J, 10, 0), "not ICG SWFW"))</f>
        <v>author</v>
      </c>
      <c r="P229" s="7" t="str">
        <f>IF(ISBLANK(drvlst[[#This Row],[number]]), "",SUM(drvlst[[#This Row],[BJ -1 num]],drvlst[[#This Row],[FI -1 num]]))</f>
        <v/>
      </c>
      <c r="Q229" s="7" t="str">
        <f>IF(ISBLANK(drvlst[[#This Row],[number]]), "",COUNTIFS($A:$A,drvlst[[#This Row],[tmp-number]],$O:$O, "BJ And dev",$U:$U, "Review-1"))</f>
        <v/>
      </c>
      <c r="R229" s="7" t="str">
        <f>IF(ISBLANK(drvlst[[#This Row],[number]]), "",COUNTIFS($A:$A,drvlst[[#This Row],[tmp-number]],$O:$O, "FL And dev",$U:$U, "Review-1"))</f>
        <v/>
      </c>
      <c r="S229" s="7" t="str">
        <f>IF(ISBLANK(drvlst[[#This Row],[number]]), "",COUNTIFS($A:$A,drvlst[[#This Row],[tmp-number]],$O:$O, "BJ And dev",$V:$V, "&lt;&gt;IntegratorComment"))</f>
        <v/>
      </c>
      <c r="T229" s="7" t="str">
        <f>IF(ISBLANK(drvlst[[#This Row],[number]]), "",COUNTIFS($A:$A,drvlst[[#This Row],[tmp-number]],$O:$O, "FL And dev",$V:$V, "&lt;&gt;IntegratorComment"))</f>
        <v/>
      </c>
      <c r="U229" s="7" t="str">
        <f>IF(OR(ISNUMBER(FIND("Review-1", drvlst[[#This Row],[comments]])), ISNUMBER(FIND("Approver-1", drvlst[[#This Row],[comments]]))), "Review-1", "")</f>
        <v/>
      </c>
      <c r="V229" s="7" t="str">
        <f>IF(OR(ISNUMBER(FIND(": Integrator", drvlst[[#This Row],[comments]])), ISNUMBER(FIND(":\n\nIntegrator", drvlst[[#This Row],[comments]])), ISNUMBER(FIND("-Integrator", drvlst[[#This Row],[comments]]))), "IntegratorComment", "")</f>
        <v/>
      </c>
      <c r="W229" s="7" t="str">
        <f>IF(ISBLANK(drvlst[[#This Row],[status]]),W228,drvlst[[#This Row],[status]])</f>
        <v>MERGED</v>
      </c>
    </row>
    <row r="230" spans="1:23">
      <c r="A230" s="7">
        <f>IF(ISBLANK(drvlst[[#This Row],[number]]),A229,drvlst[[#This Row],[number]])</f>
        <v>95512</v>
      </c>
      <c r="J230" t="s">
        <v>97</v>
      </c>
      <c r="K230" s="8">
        <v>42387.594548611109</v>
      </c>
      <c r="L230" t="s">
        <v>1881</v>
      </c>
      <c r="M230" s="7" t="str">
        <f>IF(ISBLANK(drvlst[[#This Row],[owner.emal]]),M229,drvlst[[#This Row],[owner.emal]])</f>
        <v>shuguang.gong@intel.com</v>
      </c>
      <c r="N230" s="7">
        <f>_xlfn.IFNA(VLOOKUP(drvlst[[#This Row],[tmp-owner.email]],OrgTree!$A:$J, 10, 0), "not ICG SWFW")</f>
        <v>0</v>
      </c>
      <c r="O230" s="7">
        <f>IF(drvlst[[#This Row],[reviewer]]=drvlst[[#This Row],[tmp-owner.email]], "author", _xlfn.IFNA(VLOOKUP(drvlst[[#This Row],[reviewer]],OrgTree!$A:$J, 10, 0), "not ICG SWFW"))</f>
        <v>0</v>
      </c>
      <c r="P230" s="7" t="str">
        <f>IF(ISBLANK(drvlst[[#This Row],[number]]), "",SUM(drvlst[[#This Row],[BJ -1 num]],drvlst[[#This Row],[FI -1 num]]))</f>
        <v/>
      </c>
      <c r="Q230" s="7" t="str">
        <f>IF(ISBLANK(drvlst[[#This Row],[number]]), "",COUNTIFS($A:$A,drvlst[[#This Row],[tmp-number]],$O:$O, "BJ And dev",$U:$U, "Review-1"))</f>
        <v/>
      </c>
      <c r="R230" s="7" t="str">
        <f>IF(ISBLANK(drvlst[[#This Row],[number]]), "",COUNTIFS($A:$A,drvlst[[#This Row],[tmp-number]],$O:$O, "FL And dev",$U:$U, "Review-1"))</f>
        <v/>
      </c>
      <c r="S230" s="7" t="str">
        <f>IF(ISBLANK(drvlst[[#This Row],[number]]), "",COUNTIFS($A:$A,drvlst[[#This Row],[tmp-number]],$O:$O, "BJ And dev",$V:$V, "&lt;&gt;IntegratorComment"))</f>
        <v/>
      </c>
      <c r="T230" s="7" t="str">
        <f>IF(ISBLANK(drvlst[[#This Row],[number]]), "",COUNTIFS($A:$A,drvlst[[#This Row],[tmp-number]],$O:$O, "FL And dev",$V:$V, "&lt;&gt;IntegratorComment"))</f>
        <v/>
      </c>
      <c r="U230" s="7" t="str">
        <f>IF(OR(ISNUMBER(FIND("Review-1", drvlst[[#This Row],[comments]])), ISNUMBER(FIND("Approver-1", drvlst[[#This Row],[comments]]))), "Review-1", "")</f>
        <v/>
      </c>
      <c r="V230" s="7" t="str">
        <f>IF(OR(ISNUMBER(FIND(": Integrator", drvlst[[#This Row],[comments]])), ISNUMBER(FIND(":\n\nIntegrator", drvlst[[#This Row],[comments]])), ISNUMBER(FIND("-Integrator", drvlst[[#This Row],[comments]]))), "IntegratorComment", "")</f>
        <v/>
      </c>
      <c r="W230" s="7" t="str">
        <f>IF(ISBLANK(drvlst[[#This Row],[status]]),W229,drvlst[[#This Row],[status]])</f>
        <v>MERGED</v>
      </c>
    </row>
    <row r="231" spans="1:23">
      <c r="A231" s="7">
        <f>IF(ISBLANK(drvlst[[#This Row],[number]]),A230,drvlst[[#This Row],[number]])</f>
        <v>95512</v>
      </c>
      <c r="J231" t="s">
        <v>34</v>
      </c>
      <c r="K231" s="8">
        <v>42388.594143518516</v>
      </c>
      <c r="L231" t="s">
        <v>1882</v>
      </c>
      <c r="M231" s="7" t="str">
        <f>IF(ISBLANK(drvlst[[#This Row],[owner.emal]]),M230,drvlst[[#This Row],[owner.emal]])</f>
        <v>shuguang.gong@intel.com</v>
      </c>
      <c r="N231" s="7">
        <f>_xlfn.IFNA(VLOOKUP(drvlst[[#This Row],[tmp-owner.email]],OrgTree!$A:$J, 10, 0), "not ICG SWFW")</f>
        <v>0</v>
      </c>
      <c r="O231" s="7">
        <f>IF(drvlst[[#This Row],[reviewer]]=drvlst[[#This Row],[tmp-owner.email]], "author", _xlfn.IFNA(VLOOKUP(drvlst[[#This Row],[reviewer]],OrgTree!$A:$J, 10, 0), "not ICG SWFW"))</f>
        <v>0</v>
      </c>
      <c r="P231" s="7" t="str">
        <f>IF(ISBLANK(drvlst[[#This Row],[number]]), "",SUM(drvlst[[#This Row],[BJ -1 num]],drvlst[[#This Row],[FI -1 num]]))</f>
        <v/>
      </c>
      <c r="Q231" s="7" t="str">
        <f>IF(ISBLANK(drvlst[[#This Row],[number]]), "",COUNTIFS($A:$A,drvlst[[#This Row],[tmp-number]],$O:$O, "BJ And dev",$U:$U, "Review-1"))</f>
        <v/>
      </c>
      <c r="R231" s="7" t="str">
        <f>IF(ISBLANK(drvlst[[#This Row],[number]]), "",COUNTIFS($A:$A,drvlst[[#This Row],[tmp-number]],$O:$O, "FL And dev",$U:$U, "Review-1"))</f>
        <v/>
      </c>
      <c r="S231" s="7" t="str">
        <f>IF(ISBLANK(drvlst[[#This Row],[number]]), "",COUNTIFS($A:$A,drvlst[[#This Row],[tmp-number]],$O:$O, "BJ And dev",$V:$V, "&lt;&gt;IntegratorComment"))</f>
        <v/>
      </c>
      <c r="T231" s="7" t="str">
        <f>IF(ISBLANK(drvlst[[#This Row],[number]]), "",COUNTIFS($A:$A,drvlst[[#This Row],[tmp-number]],$O:$O, "FL And dev",$V:$V, "&lt;&gt;IntegratorComment"))</f>
        <v/>
      </c>
      <c r="U231" s="7" t="str">
        <f>IF(OR(ISNUMBER(FIND("Review-1", drvlst[[#This Row],[comments]])), ISNUMBER(FIND("Approver-1", drvlst[[#This Row],[comments]]))), "Review-1", "")</f>
        <v/>
      </c>
      <c r="V231" s="7" t="str">
        <f>IF(OR(ISNUMBER(FIND(": Integrator", drvlst[[#This Row],[comments]])), ISNUMBER(FIND(":\n\nIntegrator", drvlst[[#This Row],[comments]])), ISNUMBER(FIND("-Integrator", drvlst[[#This Row],[comments]]))), "IntegratorComment", "")</f>
        <v>IntegratorComment</v>
      </c>
      <c r="W231" s="7" t="str">
        <f>IF(ISBLANK(drvlst[[#This Row],[status]]),W230,drvlst[[#This Row],[status]])</f>
        <v>MERGED</v>
      </c>
    </row>
    <row r="232" spans="1:23">
      <c r="A232" s="7">
        <f>IF(ISBLANK(drvlst[[#This Row],[number]]),A231,drvlst[[#This Row],[number]])</f>
        <v>95512</v>
      </c>
      <c r="J232" t="s">
        <v>34</v>
      </c>
      <c r="K232" s="8">
        <v>42388.661134259259</v>
      </c>
      <c r="L232" t="s">
        <v>1959</v>
      </c>
      <c r="M232" s="7" t="str">
        <f>IF(ISBLANK(drvlst[[#This Row],[owner.emal]]),M231,drvlst[[#This Row],[owner.emal]])</f>
        <v>shuguang.gong@intel.com</v>
      </c>
      <c r="N232" s="7">
        <f>_xlfn.IFNA(VLOOKUP(drvlst[[#This Row],[tmp-owner.email]],OrgTree!$A:$J, 10, 0), "not ICG SWFW")</f>
        <v>0</v>
      </c>
      <c r="O232" s="7">
        <f>IF(drvlst[[#This Row],[reviewer]]=drvlst[[#This Row],[tmp-owner.email]], "author", _xlfn.IFNA(VLOOKUP(drvlst[[#This Row],[reviewer]],OrgTree!$A:$J, 10, 0), "not ICG SWFW"))</f>
        <v>0</v>
      </c>
      <c r="P232" s="7" t="str">
        <f>IF(ISBLANK(drvlst[[#This Row],[number]]), "",SUM(drvlst[[#This Row],[BJ -1 num]],drvlst[[#This Row],[FI -1 num]]))</f>
        <v/>
      </c>
      <c r="Q232" s="7" t="str">
        <f>IF(ISBLANK(drvlst[[#This Row],[number]]), "",COUNTIFS($A:$A,drvlst[[#This Row],[tmp-number]],$O:$O, "BJ And dev",$U:$U, "Review-1"))</f>
        <v/>
      </c>
      <c r="R232" s="7" t="str">
        <f>IF(ISBLANK(drvlst[[#This Row],[number]]), "",COUNTIFS($A:$A,drvlst[[#This Row],[tmp-number]],$O:$O, "FL And dev",$U:$U, "Review-1"))</f>
        <v/>
      </c>
      <c r="S232" s="7" t="str">
        <f>IF(ISBLANK(drvlst[[#This Row],[number]]), "",COUNTIFS($A:$A,drvlst[[#This Row],[tmp-number]],$O:$O, "BJ And dev",$V:$V, "&lt;&gt;IntegratorComment"))</f>
        <v/>
      </c>
      <c r="T232" s="7" t="str">
        <f>IF(ISBLANK(drvlst[[#This Row],[number]]), "",COUNTIFS($A:$A,drvlst[[#This Row],[tmp-number]],$O:$O, "FL And dev",$V:$V, "&lt;&gt;IntegratorComment"))</f>
        <v/>
      </c>
      <c r="U232" s="7" t="str">
        <f>IF(OR(ISNUMBER(FIND("Review-1", drvlst[[#This Row],[comments]])), ISNUMBER(FIND("Approver-1", drvlst[[#This Row],[comments]]))), "Review-1", "")</f>
        <v/>
      </c>
      <c r="V232" s="7" t="str">
        <f>IF(OR(ISNUMBER(FIND(": Integrator", drvlst[[#This Row],[comments]])), ISNUMBER(FIND(":\n\nIntegrator", drvlst[[#This Row],[comments]])), ISNUMBER(FIND("-Integrator", drvlst[[#This Row],[comments]]))), "IntegratorComment", "")</f>
        <v>IntegratorComment</v>
      </c>
      <c r="W232" s="7" t="str">
        <f>IF(ISBLANK(drvlst[[#This Row],[status]]),W231,drvlst[[#This Row],[status]])</f>
        <v>MERGED</v>
      </c>
    </row>
    <row r="233" spans="1:23">
      <c r="A233" s="7">
        <f>IF(ISBLANK(drvlst[[#This Row],[number]]),A232,drvlst[[#This Row],[number]])</f>
        <v>95512</v>
      </c>
      <c r="J233" t="s">
        <v>53</v>
      </c>
      <c r="K233" s="8">
        <v>42389.709293981483</v>
      </c>
      <c r="L233" t="s">
        <v>1862</v>
      </c>
      <c r="M233" s="7" t="str">
        <f>IF(ISBLANK(drvlst[[#This Row],[owner.emal]]),M232,drvlst[[#This Row],[owner.emal]])</f>
        <v>shuguang.gong@intel.com</v>
      </c>
      <c r="N233" s="7">
        <f>_xlfn.IFNA(VLOOKUP(drvlst[[#This Row],[tmp-owner.email]],OrgTree!$A:$J, 10, 0), "not ICG SWFW")</f>
        <v>0</v>
      </c>
      <c r="O233" s="7" t="str">
        <f>IF(drvlst[[#This Row],[reviewer]]=drvlst[[#This Row],[tmp-owner.email]], "author", _xlfn.IFNA(VLOOKUP(drvlst[[#This Row],[reviewer]],OrgTree!$A:$J, 10, 0), "not ICG SWFW"))</f>
        <v>author</v>
      </c>
      <c r="P233" s="7" t="str">
        <f>IF(ISBLANK(drvlst[[#This Row],[number]]), "",SUM(drvlst[[#This Row],[BJ -1 num]],drvlst[[#This Row],[FI -1 num]]))</f>
        <v/>
      </c>
      <c r="Q233" s="7" t="str">
        <f>IF(ISBLANK(drvlst[[#This Row],[number]]), "",COUNTIFS($A:$A,drvlst[[#This Row],[tmp-number]],$O:$O, "BJ And dev",$U:$U, "Review-1"))</f>
        <v/>
      </c>
      <c r="R233" s="7" t="str">
        <f>IF(ISBLANK(drvlst[[#This Row],[number]]), "",COUNTIFS($A:$A,drvlst[[#This Row],[tmp-number]],$O:$O, "FL And dev",$U:$U, "Review-1"))</f>
        <v/>
      </c>
      <c r="S233" s="7" t="str">
        <f>IF(ISBLANK(drvlst[[#This Row],[number]]), "",COUNTIFS($A:$A,drvlst[[#This Row],[tmp-number]],$O:$O, "BJ And dev",$V:$V, "&lt;&gt;IntegratorComment"))</f>
        <v/>
      </c>
      <c r="T233" s="7" t="str">
        <f>IF(ISBLANK(drvlst[[#This Row],[number]]), "",COUNTIFS($A:$A,drvlst[[#This Row],[tmp-number]],$O:$O, "FL And dev",$V:$V, "&lt;&gt;IntegratorComment"))</f>
        <v/>
      </c>
      <c r="U233" s="7" t="str">
        <f>IF(OR(ISNUMBER(FIND("Review-1", drvlst[[#This Row],[comments]])), ISNUMBER(FIND("Approver-1", drvlst[[#This Row],[comments]]))), "Review-1", "")</f>
        <v/>
      </c>
      <c r="V233" s="7" t="str">
        <f>IF(OR(ISNUMBER(FIND(": Integrator", drvlst[[#This Row],[comments]])), ISNUMBER(FIND(":\n\nIntegrator", drvlst[[#This Row],[comments]])), ISNUMBER(FIND("-Integrator", drvlst[[#This Row],[comments]]))), "IntegratorComment", "")</f>
        <v/>
      </c>
      <c r="W233" s="7" t="str">
        <f>IF(ISBLANK(drvlst[[#This Row],[status]]),W232,drvlst[[#This Row],[status]])</f>
        <v>MERGED</v>
      </c>
    </row>
    <row r="234" spans="1:23">
      <c r="A234" s="7">
        <f>IF(ISBLANK(drvlst[[#This Row],[number]]),A233,drvlst[[#This Row],[number]])</f>
        <v>95512</v>
      </c>
      <c r="J234" t="s">
        <v>53</v>
      </c>
      <c r="K234" s="8">
        <v>42389.709293981483</v>
      </c>
      <c r="L234" t="s">
        <v>1845</v>
      </c>
      <c r="M234" s="7" t="str">
        <f>IF(ISBLANK(drvlst[[#This Row],[owner.emal]]),M233,drvlst[[#This Row],[owner.emal]])</f>
        <v>shuguang.gong@intel.com</v>
      </c>
      <c r="N234" s="7">
        <f>_xlfn.IFNA(VLOOKUP(drvlst[[#This Row],[tmp-owner.email]],OrgTree!$A:$J, 10, 0), "not ICG SWFW")</f>
        <v>0</v>
      </c>
      <c r="O234" s="7" t="str">
        <f>IF(drvlst[[#This Row],[reviewer]]=drvlst[[#This Row],[tmp-owner.email]], "author", _xlfn.IFNA(VLOOKUP(drvlst[[#This Row],[reviewer]],OrgTree!$A:$J, 10, 0), "not ICG SWFW"))</f>
        <v>author</v>
      </c>
      <c r="P234" s="7" t="str">
        <f>IF(ISBLANK(drvlst[[#This Row],[number]]), "",SUM(drvlst[[#This Row],[BJ -1 num]],drvlst[[#This Row],[FI -1 num]]))</f>
        <v/>
      </c>
      <c r="Q234" s="7" t="str">
        <f>IF(ISBLANK(drvlst[[#This Row],[number]]), "",COUNTIFS($A:$A,drvlst[[#This Row],[tmp-number]],$O:$O, "BJ And dev",$U:$U, "Review-1"))</f>
        <v/>
      </c>
      <c r="R234" s="7" t="str">
        <f>IF(ISBLANK(drvlst[[#This Row],[number]]), "",COUNTIFS($A:$A,drvlst[[#This Row],[tmp-number]],$O:$O, "FL And dev",$U:$U, "Review-1"))</f>
        <v/>
      </c>
      <c r="S234" s="7" t="str">
        <f>IF(ISBLANK(drvlst[[#This Row],[number]]), "",COUNTIFS($A:$A,drvlst[[#This Row],[tmp-number]],$O:$O, "BJ And dev",$V:$V, "&lt;&gt;IntegratorComment"))</f>
        <v/>
      </c>
      <c r="T234" s="7" t="str">
        <f>IF(ISBLANK(drvlst[[#This Row],[number]]), "",COUNTIFS($A:$A,drvlst[[#This Row],[tmp-number]],$O:$O, "FL And dev",$V:$V, "&lt;&gt;IntegratorComment"))</f>
        <v/>
      </c>
      <c r="U234" s="7" t="str">
        <f>IF(OR(ISNUMBER(FIND("Review-1", drvlst[[#This Row],[comments]])), ISNUMBER(FIND("Approver-1", drvlst[[#This Row],[comments]]))), "Review-1", "")</f>
        <v/>
      </c>
      <c r="V234" s="7" t="str">
        <f>IF(OR(ISNUMBER(FIND(": Integrator", drvlst[[#This Row],[comments]])), ISNUMBER(FIND(":\n\nIntegrator", drvlst[[#This Row],[comments]])), ISNUMBER(FIND("-Integrator", drvlst[[#This Row],[comments]]))), "IntegratorComment", "")</f>
        <v/>
      </c>
      <c r="W234" s="7" t="str">
        <f>IF(ISBLANK(drvlst[[#This Row],[status]]),W233,drvlst[[#This Row],[status]])</f>
        <v>MERGED</v>
      </c>
    </row>
    <row r="235" spans="1:23">
      <c r="A235" s="7">
        <f>IF(ISBLANK(drvlst[[#This Row],[number]]),A234,drvlst[[#This Row],[number]])</f>
        <v>95512</v>
      </c>
      <c r="J235" t="s">
        <v>53</v>
      </c>
      <c r="K235" s="8">
        <v>42389.709837962961</v>
      </c>
      <c r="L235" t="s">
        <v>1960</v>
      </c>
      <c r="M235" s="7" t="str">
        <f>IF(ISBLANK(drvlst[[#This Row],[owner.emal]]),M234,drvlst[[#This Row],[owner.emal]])</f>
        <v>shuguang.gong@intel.com</v>
      </c>
      <c r="N235" s="7">
        <f>_xlfn.IFNA(VLOOKUP(drvlst[[#This Row],[tmp-owner.email]],OrgTree!$A:$J, 10, 0), "not ICG SWFW")</f>
        <v>0</v>
      </c>
      <c r="O235" s="7" t="str">
        <f>IF(drvlst[[#This Row],[reviewer]]=drvlst[[#This Row],[tmp-owner.email]], "author", _xlfn.IFNA(VLOOKUP(drvlst[[#This Row],[reviewer]],OrgTree!$A:$J, 10, 0), "not ICG SWFW"))</f>
        <v>author</v>
      </c>
      <c r="P235" s="7" t="str">
        <f>IF(ISBLANK(drvlst[[#This Row],[number]]), "",SUM(drvlst[[#This Row],[BJ -1 num]],drvlst[[#This Row],[FI -1 num]]))</f>
        <v/>
      </c>
      <c r="Q235" s="7" t="str">
        <f>IF(ISBLANK(drvlst[[#This Row],[number]]), "",COUNTIFS($A:$A,drvlst[[#This Row],[tmp-number]],$O:$O, "BJ And dev",$U:$U, "Review-1"))</f>
        <v/>
      </c>
      <c r="R235" s="7" t="str">
        <f>IF(ISBLANK(drvlst[[#This Row],[number]]), "",COUNTIFS($A:$A,drvlst[[#This Row],[tmp-number]],$O:$O, "FL And dev",$U:$U, "Review-1"))</f>
        <v/>
      </c>
      <c r="S235" s="7" t="str">
        <f>IF(ISBLANK(drvlst[[#This Row],[number]]), "",COUNTIFS($A:$A,drvlst[[#This Row],[tmp-number]],$O:$O, "BJ And dev",$V:$V, "&lt;&gt;IntegratorComment"))</f>
        <v/>
      </c>
      <c r="T235" s="7" t="str">
        <f>IF(ISBLANK(drvlst[[#This Row],[number]]), "",COUNTIFS($A:$A,drvlst[[#This Row],[tmp-number]],$O:$O, "FL And dev",$V:$V, "&lt;&gt;IntegratorComment"))</f>
        <v/>
      </c>
      <c r="U235" s="7" t="str">
        <f>IF(OR(ISNUMBER(FIND("Review-1", drvlst[[#This Row],[comments]])), ISNUMBER(FIND("Approver-1", drvlst[[#This Row],[comments]]))), "Review-1", "")</f>
        <v/>
      </c>
      <c r="V235" s="7" t="str">
        <f>IF(OR(ISNUMBER(FIND(": Integrator", drvlst[[#This Row],[comments]])), ISNUMBER(FIND(":\n\nIntegrator", drvlst[[#This Row],[comments]])), ISNUMBER(FIND("-Integrator", drvlst[[#This Row],[comments]]))), "IntegratorComment", "")</f>
        <v/>
      </c>
      <c r="W235" s="7" t="str">
        <f>IF(ISBLANK(drvlst[[#This Row],[status]]),W234,drvlst[[#This Row],[status]])</f>
        <v>MERGED</v>
      </c>
    </row>
    <row r="236" spans="1:23">
      <c r="A236" s="7">
        <f>IF(ISBLANK(drvlst[[#This Row],[number]]),A235,drvlst[[#This Row],[number]])</f>
        <v>95512</v>
      </c>
      <c r="J236" t="s">
        <v>97</v>
      </c>
      <c r="K236" s="8">
        <v>42389.713761574072</v>
      </c>
      <c r="L236" t="s">
        <v>1854</v>
      </c>
      <c r="M236" s="7" t="str">
        <f>IF(ISBLANK(drvlst[[#This Row],[owner.emal]]),M235,drvlst[[#This Row],[owner.emal]])</f>
        <v>shuguang.gong@intel.com</v>
      </c>
      <c r="N236" s="7">
        <f>_xlfn.IFNA(VLOOKUP(drvlst[[#This Row],[tmp-owner.email]],OrgTree!$A:$J, 10, 0), "not ICG SWFW")</f>
        <v>0</v>
      </c>
      <c r="O236" s="7">
        <f>IF(drvlst[[#This Row],[reviewer]]=drvlst[[#This Row],[tmp-owner.email]], "author", _xlfn.IFNA(VLOOKUP(drvlst[[#This Row],[reviewer]],OrgTree!$A:$J, 10, 0), "not ICG SWFW"))</f>
        <v>0</v>
      </c>
      <c r="P236" s="7" t="str">
        <f>IF(ISBLANK(drvlst[[#This Row],[number]]), "",SUM(drvlst[[#This Row],[BJ -1 num]],drvlst[[#This Row],[FI -1 num]]))</f>
        <v/>
      </c>
      <c r="Q236" s="7" t="str">
        <f>IF(ISBLANK(drvlst[[#This Row],[number]]), "",COUNTIFS($A:$A,drvlst[[#This Row],[tmp-number]],$O:$O, "BJ And dev",$U:$U, "Review-1"))</f>
        <v/>
      </c>
      <c r="R236" s="7" t="str">
        <f>IF(ISBLANK(drvlst[[#This Row],[number]]), "",COUNTIFS($A:$A,drvlst[[#This Row],[tmp-number]],$O:$O, "FL And dev",$U:$U, "Review-1"))</f>
        <v/>
      </c>
      <c r="S236" s="7" t="str">
        <f>IF(ISBLANK(drvlst[[#This Row],[number]]), "",COUNTIFS($A:$A,drvlst[[#This Row],[tmp-number]],$O:$O, "BJ And dev",$V:$V, "&lt;&gt;IntegratorComment"))</f>
        <v/>
      </c>
      <c r="T236" s="7" t="str">
        <f>IF(ISBLANK(drvlst[[#This Row],[number]]), "",COUNTIFS($A:$A,drvlst[[#This Row],[tmp-number]],$O:$O, "FL And dev",$V:$V, "&lt;&gt;IntegratorComment"))</f>
        <v/>
      </c>
      <c r="U236" s="7" t="str">
        <f>IF(OR(ISNUMBER(FIND("Review-1", drvlst[[#This Row],[comments]])), ISNUMBER(FIND("Approver-1", drvlst[[#This Row],[comments]]))), "Review-1", "")</f>
        <v/>
      </c>
      <c r="V236" s="7" t="str">
        <f>IF(OR(ISNUMBER(FIND(": Integrator", drvlst[[#This Row],[comments]])), ISNUMBER(FIND(":\n\nIntegrator", drvlst[[#This Row],[comments]])), ISNUMBER(FIND("-Integrator", drvlst[[#This Row],[comments]]))), "IntegratorComment", "")</f>
        <v/>
      </c>
      <c r="W236" s="7" t="str">
        <f>IF(ISBLANK(drvlst[[#This Row],[status]]),W235,drvlst[[#This Row],[status]])</f>
        <v>MERGED</v>
      </c>
    </row>
    <row r="237" spans="1:23">
      <c r="A237" s="7">
        <f>IF(ISBLANK(drvlst[[#This Row],[number]]),A236,drvlst[[#This Row],[number]])</f>
        <v>95512</v>
      </c>
      <c r="J237" t="s">
        <v>101</v>
      </c>
      <c r="K237" s="8">
        <v>42389.71707175926</v>
      </c>
      <c r="L237" t="s">
        <v>1961</v>
      </c>
      <c r="M237" s="7" t="str">
        <f>IF(ISBLANK(drvlst[[#This Row],[owner.emal]]),M236,drvlst[[#This Row],[owner.emal]])</f>
        <v>shuguang.gong@intel.com</v>
      </c>
      <c r="N237" s="7">
        <f>_xlfn.IFNA(VLOOKUP(drvlst[[#This Row],[tmp-owner.email]],OrgTree!$A:$J, 10, 0), "not ICG SWFW")</f>
        <v>0</v>
      </c>
      <c r="O237" s="7">
        <f>IF(drvlst[[#This Row],[reviewer]]=drvlst[[#This Row],[tmp-owner.email]], "author", _xlfn.IFNA(VLOOKUP(drvlst[[#This Row],[reviewer]],OrgTree!$A:$J, 10, 0), "not ICG SWFW"))</f>
        <v>0</v>
      </c>
      <c r="P237" s="7" t="str">
        <f>IF(ISBLANK(drvlst[[#This Row],[number]]), "",SUM(drvlst[[#This Row],[BJ -1 num]],drvlst[[#This Row],[FI -1 num]]))</f>
        <v/>
      </c>
      <c r="Q237" s="7" t="str">
        <f>IF(ISBLANK(drvlst[[#This Row],[number]]), "",COUNTIFS($A:$A,drvlst[[#This Row],[tmp-number]],$O:$O, "BJ And dev",$U:$U, "Review-1"))</f>
        <v/>
      </c>
      <c r="R237" s="7" t="str">
        <f>IF(ISBLANK(drvlst[[#This Row],[number]]), "",COUNTIFS($A:$A,drvlst[[#This Row],[tmp-number]],$O:$O, "FL And dev",$U:$U, "Review-1"))</f>
        <v/>
      </c>
      <c r="S237" s="7" t="str">
        <f>IF(ISBLANK(drvlst[[#This Row],[number]]), "",COUNTIFS($A:$A,drvlst[[#This Row],[tmp-number]],$O:$O, "BJ And dev",$V:$V, "&lt;&gt;IntegratorComment"))</f>
        <v/>
      </c>
      <c r="T237" s="7" t="str">
        <f>IF(ISBLANK(drvlst[[#This Row],[number]]), "",COUNTIFS($A:$A,drvlst[[#This Row],[tmp-number]],$O:$O, "FL And dev",$V:$V, "&lt;&gt;IntegratorComment"))</f>
        <v/>
      </c>
      <c r="U237" s="7" t="str">
        <f>IF(OR(ISNUMBER(FIND("Review-1", drvlst[[#This Row],[comments]])), ISNUMBER(FIND("Approver-1", drvlst[[#This Row],[comments]]))), "Review-1", "")</f>
        <v>Review-1</v>
      </c>
      <c r="V237" s="7" t="str">
        <f>IF(OR(ISNUMBER(FIND(": Integrator", drvlst[[#This Row],[comments]])), ISNUMBER(FIND(":\n\nIntegrator", drvlst[[#This Row],[comments]])), ISNUMBER(FIND("-Integrator", drvlst[[#This Row],[comments]]))), "IntegratorComment", "")</f>
        <v/>
      </c>
      <c r="W237" s="7" t="str">
        <f>IF(ISBLANK(drvlst[[#This Row],[status]]),W236,drvlst[[#This Row],[status]])</f>
        <v>MERGED</v>
      </c>
    </row>
    <row r="238" spans="1:23">
      <c r="A238" s="7">
        <f>IF(ISBLANK(drvlst[[#This Row],[number]]),A237,drvlst[[#This Row],[number]])</f>
        <v>95512</v>
      </c>
      <c r="J238" t="s">
        <v>53</v>
      </c>
      <c r="K238" s="8">
        <v>42389.796782407408</v>
      </c>
      <c r="L238" t="s">
        <v>1866</v>
      </c>
      <c r="M238" s="7" t="str">
        <f>IF(ISBLANK(drvlst[[#This Row],[owner.emal]]),M237,drvlst[[#This Row],[owner.emal]])</f>
        <v>shuguang.gong@intel.com</v>
      </c>
      <c r="N238" s="7">
        <f>_xlfn.IFNA(VLOOKUP(drvlst[[#This Row],[tmp-owner.email]],OrgTree!$A:$J, 10, 0), "not ICG SWFW")</f>
        <v>0</v>
      </c>
      <c r="O238" s="7" t="str">
        <f>IF(drvlst[[#This Row],[reviewer]]=drvlst[[#This Row],[tmp-owner.email]], "author", _xlfn.IFNA(VLOOKUP(drvlst[[#This Row],[reviewer]],OrgTree!$A:$J, 10, 0), "not ICG SWFW"))</f>
        <v>author</v>
      </c>
      <c r="P238" s="7" t="str">
        <f>IF(ISBLANK(drvlst[[#This Row],[number]]), "",SUM(drvlst[[#This Row],[BJ -1 num]],drvlst[[#This Row],[FI -1 num]]))</f>
        <v/>
      </c>
      <c r="Q238" s="7" t="str">
        <f>IF(ISBLANK(drvlst[[#This Row],[number]]), "",COUNTIFS($A:$A,drvlst[[#This Row],[tmp-number]],$O:$O, "BJ And dev",$U:$U, "Review-1"))</f>
        <v/>
      </c>
      <c r="R238" s="7" t="str">
        <f>IF(ISBLANK(drvlst[[#This Row],[number]]), "",COUNTIFS($A:$A,drvlst[[#This Row],[tmp-number]],$O:$O, "FL And dev",$U:$U, "Review-1"))</f>
        <v/>
      </c>
      <c r="S238" s="7" t="str">
        <f>IF(ISBLANK(drvlst[[#This Row],[number]]), "",COUNTIFS($A:$A,drvlst[[#This Row],[tmp-number]],$O:$O, "BJ And dev",$V:$V, "&lt;&gt;IntegratorComment"))</f>
        <v/>
      </c>
      <c r="T238" s="7" t="str">
        <f>IF(ISBLANK(drvlst[[#This Row],[number]]), "",COUNTIFS($A:$A,drvlst[[#This Row],[tmp-number]],$O:$O, "FL And dev",$V:$V, "&lt;&gt;IntegratorComment"))</f>
        <v/>
      </c>
      <c r="U238" s="7" t="str">
        <f>IF(OR(ISNUMBER(FIND("Review-1", drvlst[[#This Row],[comments]])), ISNUMBER(FIND("Approver-1", drvlst[[#This Row],[comments]]))), "Review-1", "")</f>
        <v/>
      </c>
      <c r="V238" s="7" t="str">
        <f>IF(OR(ISNUMBER(FIND(": Integrator", drvlst[[#This Row],[comments]])), ISNUMBER(FIND(":\n\nIntegrator", drvlst[[#This Row],[comments]])), ISNUMBER(FIND("-Integrator", drvlst[[#This Row],[comments]]))), "IntegratorComment", "")</f>
        <v/>
      </c>
      <c r="W238" s="7" t="str">
        <f>IF(ISBLANK(drvlst[[#This Row],[status]]),W237,drvlst[[#This Row],[status]])</f>
        <v>MERGED</v>
      </c>
    </row>
    <row r="239" spans="1:23">
      <c r="A239" s="7">
        <f>IF(ISBLANK(drvlst[[#This Row],[number]]),A238,drvlst[[#This Row],[number]])</f>
        <v>95512</v>
      </c>
      <c r="J239" t="s">
        <v>53</v>
      </c>
      <c r="K239" s="8">
        <v>42389.796782407408</v>
      </c>
      <c r="L239" t="s">
        <v>1847</v>
      </c>
      <c r="M239" s="7" t="str">
        <f>IF(ISBLANK(drvlst[[#This Row],[owner.emal]]),M238,drvlst[[#This Row],[owner.emal]])</f>
        <v>shuguang.gong@intel.com</v>
      </c>
      <c r="N239" s="7">
        <f>_xlfn.IFNA(VLOOKUP(drvlst[[#This Row],[tmp-owner.email]],OrgTree!$A:$J, 10, 0), "not ICG SWFW")</f>
        <v>0</v>
      </c>
      <c r="O239" s="7" t="str">
        <f>IF(drvlst[[#This Row],[reviewer]]=drvlst[[#This Row],[tmp-owner.email]], "author", _xlfn.IFNA(VLOOKUP(drvlst[[#This Row],[reviewer]],OrgTree!$A:$J, 10, 0), "not ICG SWFW"))</f>
        <v>author</v>
      </c>
      <c r="P239" s="7" t="str">
        <f>IF(ISBLANK(drvlst[[#This Row],[number]]), "",SUM(drvlst[[#This Row],[BJ -1 num]],drvlst[[#This Row],[FI -1 num]]))</f>
        <v/>
      </c>
      <c r="Q239" s="7" t="str">
        <f>IF(ISBLANK(drvlst[[#This Row],[number]]), "",COUNTIFS($A:$A,drvlst[[#This Row],[tmp-number]],$O:$O, "BJ And dev",$U:$U, "Review-1"))</f>
        <v/>
      </c>
      <c r="R239" s="7" t="str">
        <f>IF(ISBLANK(drvlst[[#This Row],[number]]), "",COUNTIFS($A:$A,drvlst[[#This Row],[tmp-number]],$O:$O, "FL And dev",$U:$U, "Review-1"))</f>
        <v/>
      </c>
      <c r="S239" s="7" t="str">
        <f>IF(ISBLANK(drvlst[[#This Row],[number]]), "",COUNTIFS($A:$A,drvlst[[#This Row],[tmp-number]],$O:$O, "BJ And dev",$V:$V, "&lt;&gt;IntegratorComment"))</f>
        <v/>
      </c>
      <c r="T239" s="7" t="str">
        <f>IF(ISBLANK(drvlst[[#This Row],[number]]), "",COUNTIFS($A:$A,drvlst[[#This Row],[tmp-number]],$O:$O, "FL And dev",$V:$V, "&lt;&gt;IntegratorComment"))</f>
        <v/>
      </c>
      <c r="U239" s="7" t="str">
        <f>IF(OR(ISNUMBER(FIND("Review-1", drvlst[[#This Row],[comments]])), ISNUMBER(FIND("Approver-1", drvlst[[#This Row],[comments]]))), "Review-1", "")</f>
        <v/>
      </c>
      <c r="V239" s="7" t="str">
        <f>IF(OR(ISNUMBER(FIND(": Integrator", drvlst[[#This Row],[comments]])), ISNUMBER(FIND(":\n\nIntegrator", drvlst[[#This Row],[comments]])), ISNUMBER(FIND("-Integrator", drvlst[[#This Row],[comments]]))), "IntegratorComment", "")</f>
        <v/>
      </c>
      <c r="W239" s="7" t="str">
        <f>IF(ISBLANK(drvlst[[#This Row],[status]]),W238,drvlst[[#This Row],[status]])</f>
        <v>MERGED</v>
      </c>
    </row>
    <row r="240" spans="1:23">
      <c r="A240" s="7">
        <f>IF(ISBLANK(drvlst[[#This Row],[number]]),A239,drvlst[[#This Row],[number]])</f>
        <v>95512</v>
      </c>
      <c r="J240" t="s">
        <v>53</v>
      </c>
      <c r="K240" s="8">
        <v>42389.813020833331</v>
      </c>
      <c r="L240" t="s">
        <v>1856</v>
      </c>
      <c r="M240" s="7" t="str">
        <f>IF(ISBLANK(drvlst[[#This Row],[owner.emal]]),M239,drvlst[[#This Row],[owner.emal]])</f>
        <v>shuguang.gong@intel.com</v>
      </c>
      <c r="N240" s="7">
        <f>_xlfn.IFNA(VLOOKUP(drvlst[[#This Row],[tmp-owner.email]],OrgTree!$A:$J, 10, 0), "not ICG SWFW")</f>
        <v>0</v>
      </c>
      <c r="O240" s="7" t="str">
        <f>IF(drvlst[[#This Row],[reviewer]]=drvlst[[#This Row],[tmp-owner.email]], "author", _xlfn.IFNA(VLOOKUP(drvlst[[#This Row],[reviewer]],OrgTree!$A:$J, 10, 0), "not ICG SWFW"))</f>
        <v>author</v>
      </c>
      <c r="P240" s="7" t="str">
        <f>IF(ISBLANK(drvlst[[#This Row],[number]]), "",SUM(drvlst[[#This Row],[BJ -1 num]],drvlst[[#This Row],[FI -1 num]]))</f>
        <v/>
      </c>
      <c r="Q240" s="7" t="str">
        <f>IF(ISBLANK(drvlst[[#This Row],[number]]), "",COUNTIFS($A:$A,drvlst[[#This Row],[tmp-number]],$O:$O, "BJ And dev",$U:$U, "Review-1"))</f>
        <v/>
      </c>
      <c r="R240" s="7" t="str">
        <f>IF(ISBLANK(drvlst[[#This Row],[number]]), "",COUNTIFS($A:$A,drvlst[[#This Row],[tmp-number]],$O:$O, "FL And dev",$U:$U, "Review-1"))</f>
        <v/>
      </c>
      <c r="S240" s="7" t="str">
        <f>IF(ISBLANK(drvlst[[#This Row],[number]]), "",COUNTIFS($A:$A,drvlst[[#This Row],[tmp-number]],$O:$O, "BJ And dev",$V:$V, "&lt;&gt;IntegratorComment"))</f>
        <v/>
      </c>
      <c r="T240" s="7" t="str">
        <f>IF(ISBLANK(drvlst[[#This Row],[number]]), "",COUNTIFS($A:$A,drvlst[[#This Row],[tmp-number]],$O:$O, "FL And dev",$V:$V, "&lt;&gt;IntegratorComment"))</f>
        <v/>
      </c>
      <c r="U240" s="7" t="str">
        <f>IF(OR(ISNUMBER(FIND("Review-1", drvlst[[#This Row],[comments]])), ISNUMBER(FIND("Approver-1", drvlst[[#This Row],[comments]]))), "Review-1", "")</f>
        <v/>
      </c>
      <c r="V240" s="7" t="str">
        <f>IF(OR(ISNUMBER(FIND(": Integrator", drvlst[[#This Row],[comments]])), ISNUMBER(FIND(":\n\nIntegrator", drvlst[[#This Row],[comments]])), ISNUMBER(FIND("-Integrator", drvlst[[#This Row],[comments]]))), "IntegratorComment", "")</f>
        <v/>
      </c>
      <c r="W240" s="7" t="str">
        <f>IF(ISBLANK(drvlst[[#This Row],[status]]),W239,drvlst[[#This Row],[status]])</f>
        <v>MERGED</v>
      </c>
    </row>
    <row r="241" spans="1:23">
      <c r="A241" s="7">
        <f>IF(ISBLANK(drvlst[[#This Row],[number]]),A240,drvlst[[#This Row],[number]])</f>
        <v>95512</v>
      </c>
      <c r="J241" t="s">
        <v>53</v>
      </c>
      <c r="K241" s="8">
        <v>42389.813020833331</v>
      </c>
      <c r="L241" t="s">
        <v>1896</v>
      </c>
      <c r="M241" s="7" t="str">
        <f>IF(ISBLANK(drvlst[[#This Row],[owner.emal]]),M240,drvlst[[#This Row],[owner.emal]])</f>
        <v>shuguang.gong@intel.com</v>
      </c>
      <c r="N241" s="7">
        <f>_xlfn.IFNA(VLOOKUP(drvlst[[#This Row],[tmp-owner.email]],OrgTree!$A:$J, 10, 0), "not ICG SWFW")</f>
        <v>0</v>
      </c>
      <c r="O241" s="7" t="str">
        <f>IF(drvlst[[#This Row],[reviewer]]=drvlst[[#This Row],[tmp-owner.email]], "author", _xlfn.IFNA(VLOOKUP(drvlst[[#This Row],[reviewer]],OrgTree!$A:$J, 10, 0), "not ICG SWFW"))</f>
        <v>author</v>
      </c>
      <c r="P241" s="7" t="str">
        <f>IF(ISBLANK(drvlst[[#This Row],[number]]), "",SUM(drvlst[[#This Row],[BJ -1 num]],drvlst[[#This Row],[FI -1 num]]))</f>
        <v/>
      </c>
      <c r="Q241" s="7" t="str">
        <f>IF(ISBLANK(drvlst[[#This Row],[number]]), "",COUNTIFS($A:$A,drvlst[[#This Row],[tmp-number]],$O:$O, "BJ And dev",$U:$U, "Review-1"))</f>
        <v/>
      </c>
      <c r="R241" s="7" t="str">
        <f>IF(ISBLANK(drvlst[[#This Row],[number]]), "",COUNTIFS($A:$A,drvlst[[#This Row],[tmp-number]],$O:$O, "FL And dev",$U:$U, "Review-1"))</f>
        <v/>
      </c>
      <c r="S241" s="7" t="str">
        <f>IF(ISBLANK(drvlst[[#This Row],[number]]), "",COUNTIFS($A:$A,drvlst[[#This Row],[tmp-number]],$O:$O, "BJ And dev",$V:$V, "&lt;&gt;IntegratorComment"))</f>
        <v/>
      </c>
      <c r="T241" s="7" t="str">
        <f>IF(ISBLANK(drvlst[[#This Row],[number]]), "",COUNTIFS($A:$A,drvlst[[#This Row],[tmp-number]],$O:$O, "FL And dev",$V:$V, "&lt;&gt;IntegratorComment"))</f>
        <v/>
      </c>
      <c r="U241" s="7" t="str">
        <f>IF(OR(ISNUMBER(FIND("Review-1", drvlst[[#This Row],[comments]])), ISNUMBER(FIND("Approver-1", drvlst[[#This Row],[comments]]))), "Review-1", "")</f>
        <v/>
      </c>
      <c r="V241" s="7" t="str">
        <f>IF(OR(ISNUMBER(FIND(": Integrator", drvlst[[#This Row],[comments]])), ISNUMBER(FIND(":\n\nIntegrator", drvlst[[#This Row],[comments]])), ISNUMBER(FIND("-Integrator", drvlst[[#This Row],[comments]]))), "IntegratorComment", "")</f>
        <v/>
      </c>
      <c r="W241" s="7" t="str">
        <f>IF(ISBLANK(drvlst[[#This Row],[status]]),W240,drvlst[[#This Row],[status]])</f>
        <v>MERGED</v>
      </c>
    </row>
    <row r="242" spans="1:23">
      <c r="A242" s="7">
        <f>IF(ISBLANK(drvlst[[#This Row],[number]]),A241,drvlst[[#This Row],[number]])</f>
        <v>95512</v>
      </c>
      <c r="J242" t="s">
        <v>101</v>
      </c>
      <c r="K242" s="8">
        <v>42389.833148148151</v>
      </c>
      <c r="L242" t="s">
        <v>1867</v>
      </c>
      <c r="M242" s="7" t="str">
        <f>IF(ISBLANK(drvlst[[#This Row],[owner.emal]]),M241,drvlst[[#This Row],[owner.emal]])</f>
        <v>shuguang.gong@intel.com</v>
      </c>
      <c r="N242" s="7">
        <f>_xlfn.IFNA(VLOOKUP(drvlst[[#This Row],[tmp-owner.email]],OrgTree!$A:$J, 10, 0), "not ICG SWFW")</f>
        <v>0</v>
      </c>
      <c r="O242" s="7">
        <f>IF(drvlst[[#This Row],[reviewer]]=drvlst[[#This Row],[tmp-owner.email]], "author", _xlfn.IFNA(VLOOKUP(drvlst[[#This Row],[reviewer]],OrgTree!$A:$J, 10, 0), "not ICG SWFW"))</f>
        <v>0</v>
      </c>
      <c r="P242" s="7" t="str">
        <f>IF(ISBLANK(drvlst[[#This Row],[number]]), "",SUM(drvlst[[#This Row],[BJ -1 num]],drvlst[[#This Row],[FI -1 num]]))</f>
        <v/>
      </c>
      <c r="Q242" s="7" t="str">
        <f>IF(ISBLANK(drvlst[[#This Row],[number]]), "",COUNTIFS($A:$A,drvlst[[#This Row],[tmp-number]],$O:$O, "BJ And dev",$U:$U, "Review-1"))</f>
        <v/>
      </c>
      <c r="R242" s="7" t="str">
        <f>IF(ISBLANK(drvlst[[#This Row],[number]]), "",COUNTIFS($A:$A,drvlst[[#This Row],[tmp-number]],$O:$O, "FL And dev",$U:$U, "Review-1"))</f>
        <v/>
      </c>
      <c r="S242" s="7" t="str">
        <f>IF(ISBLANK(drvlst[[#This Row],[number]]), "",COUNTIFS($A:$A,drvlst[[#This Row],[tmp-number]],$O:$O, "BJ And dev",$V:$V, "&lt;&gt;IntegratorComment"))</f>
        <v/>
      </c>
      <c r="T242" s="7" t="str">
        <f>IF(ISBLANK(drvlst[[#This Row],[number]]), "",COUNTIFS($A:$A,drvlst[[#This Row],[tmp-number]],$O:$O, "FL And dev",$V:$V, "&lt;&gt;IntegratorComment"))</f>
        <v/>
      </c>
      <c r="U242" s="7" t="str">
        <f>IF(OR(ISNUMBER(FIND("Review-1", drvlst[[#This Row],[comments]])), ISNUMBER(FIND("Approver-1", drvlst[[#This Row],[comments]]))), "Review-1", "")</f>
        <v/>
      </c>
      <c r="V242" s="7" t="str">
        <f>IF(OR(ISNUMBER(FIND(": Integrator", drvlst[[#This Row],[comments]])), ISNUMBER(FIND(":\n\nIntegrator", drvlst[[#This Row],[comments]])), ISNUMBER(FIND("-Integrator", drvlst[[#This Row],[comments]]))), "IntegratorComment", "")</f>
        <v/>
      </c>
      <c r="W242" s="7" t="str">
        <f>IF(ISBLANK(drvlst[[#This Row],[status]]),W241,drvlst[[#This Row],[status]])</f>
        <v>MERGED</v>
      </c>
    </row>
    <row r="243" spans="1:23">
      <c r="A243" s="7">
        <f>IF(ISBLANK(drvlst[[#This Row],[number]]),A242,drvlst[[#This Row],[number]])</f>
        <v>95512</v>
      </c>
      <c r="J243" t="s">
        <v>91</v>
      </c>
      <c r="K243" s="8">
        <v>42390.047615740739</v>
      </c>
      <c r="L243" t="s">
        <v>1867</v>
      </c>
      <c r="M243" s="7" t="str">
        <f>IF(ISBLANK(drvlst[[#This Row],[owner.emal]]),M242,drvlst[[#This Row],[owner.emal]])</f>
        <v>shuguang.gong@intel.com</v>
      </c>
      <c r="N243" s="7">
        <f>_xlfn.IFNA(VLOOKUP(drvlst[[#This Row],[tmp-owner.email]],OrgTree!$A:$J, 10, 0), "not ICG SWFW")</f>
        <v>0</v>
      </c>
      <c r="O243" s="7">
        <f>IF(drvlst[[#This Row],[reviewer]]=drvlst[[#This Row],[tmp-owner.email]], "author", _xlfn.IFNA(VLOOKUP(drvlst[[#This Row],[reviewer]],OrgTree!$A:$J, 10, 0), "not ICG SWFW"))</f>
        <v>0</v>
      </c>
      <c r="P243" s="7" t="str">
        <f>IF(ISBLANK(drvlst[[#This Row],[number]]), "",SUM(drvlst[[#This Row],[BJ -1 num]],drvlst[[#This Row],[FI -1 num]]))</f>
        <v/>
      </c>
      <c r="Q243" s="7" t="str">
        <f>IF(ISBLANK(drvlst[[#This Row],[number]]), "",COUNTIFS($A:$A,drvlst[[#This Row],[tmp-number]],$O:$O, "BJ And dev",$U:$U, "Review-1"))</f>
        <v/>
      </c>
      <c r="R243" s="7" t="str">
        <f>IF(ISBLANK(drvlst[[#This Row],[number]]), "",COUNTIFS($A:$A,drvlst[[#This Row],[tmp-number]],$O:$O, "FL And dev",$U:$U, "Review-1"))</f>
        <v/>
      </c>
      <c r="S243" s="7" t="str">
        <f>IF(ISBLANK(drvlst[[#This Row],[number]]), "",COUNTIFS($A:$A,drvlst[[#This Row],[tmp-number]],$O:$O, "BJ And dev",$V:$V, "&lt;&gt;IntegratorComment"))</f>
        <v/>
      </c>
      <c r="T243" s="7" t="str">
        <f>IF(ISBLANK(drvlst[[#This Row],[number]]), "",COUNTIFS($A:$A,drvlst[[#This Row],[tmp-number]],$O:$O, "FL And dev",$V:$V, "&lt;&gt;IntegratorComment"))</f>
        <v/>
      </c>
      <c r="U243" s="7" t="str">
        <f>IF(OR(ISNUMBER(FIND("Review-1", drvlst[[#This Row],[comments]])), ISNUMBER(FIND("Approver-1", drvlst[[#This Row],[comments]]))), "Review-1", "")</f>
        <v/>
      </c>
      <c r="V243" s="7" t="str">
        <f>IF(OR(ISNUMBER(FIND(": Integrator", drvlst[[#This Row],[comments]])), ISNUMBER(FIND(":\n\nIntegrator", drvlst[[#This Row],[comments]])), ISNUMBER(FIND("-Integrator", drvlst[[#This Row],[comments]]))), "IntegratorComment", "")</f>
        <v/>
      </c>
      <c r="W243" s="7" t="str">
        <f>IF(ISBLANK(drvlst[[#This Row],[status]]),W242,drvlst[[#This Row],[status]])</f>
        <v>MERGED</v>
      </c>
    </row>
    <row r="244" spans="1:23">
      <c r="A244" s="7">
        <f>IF(ISBLANK(drvlst[[#This Row],[number]]),A243,drvlst[[#This Row],[number]])</f>
        <v>95512</v>
      </c>
      <c r="J244" t="s">
        <v>71</v>
      </c>
      <c r="K244" s="8">
        <v>42390.325868055559</v>
      </c>
      <c r="L244" t="s">
        <v>1911</v>
      </c>
      <c r="M244" s="7" t="str">
        <f>IF(ISBLANK(drvlst[[#This Row],[owner.emal]]),M243,drvlst[[#This Row],[owner.emal]])</f>
        <v>shuguang.gong@intel.com</v>
      </c>
      <c r="N244" s="7">
        <f>_xlfn.IFNA(VLOOKUP(drvlst[[#This Row],[tmp-owner.email]],OrgTree!$A:$J, 10, 0), "not ICG SWFW")</f>
        <v>0</v>
      </c>
      <c r="O244" s="7">
        <f>IF(drvlst[[#This Row],[reviewer]]=drvlst[[#This Row],[tmp-owner.email]], "author", _xlfn.IFNA(VLOOKUP(drvlst[[#This Row],[reviewer]],OrgTree!$A:$J, 10, 0), "not ICG SWFW"))</f>
        <v>0</v>
      </c>
      <c r="P244" s="7" t="str">
        <f>IF(ISBLANK(drvlst[[#This Row],[number]]), "",SUM(drvlst[[#This Row],[BJ -1 num]],drvlst[[#This Row],[FI -1 num]]))</f>
        <v/>
      </c>
      <c r="Q244" s="7" t="str">
        <f>IF(ISBLANK(drvlst[[#This Row],[number]]), "",COUNTIFS($A:$A,drvlst[[#This Row],[tmp-number]],$O:$O, "BJ And dev",$U:$U, "Review-1"))</f>
        <v/>
      </c>
      <c r="R244" s="7" t="str">
        <f>IF(ISBLANK(drvlst[[#This Row],[number]]), "",COUNTIFS($A:$A,drvlst[[#This Row],[tmp-number]],$O:$O, "FL And dev",$U:$U, "Review-1"))</f>
        <v/>
      </c>
      <c r="S244" s="7" t="str">
        <f>IF(ISBLANK(drvlst[[#This Row],[number]]), "",COUNTIFS($A:$A,drvlst[[#This Row],[tmp-number]],$O:$O, "BJ And dev",$V:$V, "&lt;&gt;IntegratorComment"))</f>
        <v/>
      </c>
      <c r="T244" s="7" t="str">
        <f>IF(ISBLANK(drvlst[[#This Row],[number]]), "",COUNTIFS($A:$A,drvlst[[#This Row],[tmp-number]],$O:$O, "FL And dev",$V:$V, "&lt;&gt;IntegratorComment"))</f>
        <v/>
      </c>
      <c r="U244" s="7" t="str">
        <f>IF(OR(ISNUMBER(FIND("Review-1", drvlst[[#This Row],[comments]])), ISNUMBER(FIND("Approver-1", drvlst[[#This Row],[comments]]))), "Review-1", "")</f>
        <v/>
      </c>
      <c r="V244" s="7" t="str">
        <f>IF(OR(ISNUMBER(FIND(": Integrator", drvlst[[#This Row],[comments]])), ISNUMBER(FIND(":\n\nIntegrator", drvlst[[#This Row],[comments]])), ISNUMBER(FIND("-Integrator", drvlst[[#This Row],[comments]]))), "IntegratorComment", "")</f>
        <v/>
      </c>
      <c r="W244" s="7" t="str">
        <f>IF(ISBLANK(drvlst[[#This Row],[status]]),W243,drvlst[[#This Row],[status]])</f>
        <v>MERGED</v>
      </c>
    </row>
    <row r="245" spans="1:23">
      <c r="A245" s="7">
        <f>IF(ISBLANK(drvlst[[#This Row],[number]]),A244,drvlst[[#This Row],[number]])</f>
        <v>95512</v>
      </c>
      <c r="J245" t="s">
        <v>53</v>
      </c>
      <c r="K245" s="8">
        <v>42390.460393518515</v>
      </c>
      <c r="L245" t="s">
        <v>1857</v>
      </c>
      <c r="M245" s="7" t="str">
        <f>IF(ISBLANK(drvlst[[#This Row],[owner.emal]]),M244,drvlst[[#This Row],[owner.emal]])</f>
        <v>shuguang.gong@intel.com</v>
      </c>
      <c r="N245" s="7">
        <f>_xlfn.IFNA(VLOOKUP(drvlst[[#This Row],[tmp-owner.email]],OrgTree!$A:$J, 10, 0), "not ICG SWFW")</f>
        <v>0</v>
      </c>
      <c r="O245" s="7" t="str">
        <f>IF(drvlst[[#This Row],[reviewer]]=drvlst[[#This Row],[tmp-owner.email]], "author", _xlfn.IFNA(VLOOKUP(drvlst[[#This Row],[reviewer]],OrgTree!$A:$J, 10, 0), "not ICG SWFW"))</f>
        <v>author</v>
      </c>
      <c r="P245" s="7" t="str">
        <f>IF(ISBLANK(drvlst[[#This Row],[number]]), "",SUM(drvlst[[#This Row],[BJ -1 num]],drvlst[[#This Row],[FI -1 num]]))</f>
        <v/>
      </c>
      <c r="Q245" s="7" t="str">
        <f>IF(ISBLANK(drvlst[[#This Row],[number]]), "",COUNTIFS($A:$A,drvlst[[#This Row],[tmp-number]],$O:$O, "BJ And dev",$U:$U, "Review-1"))</f>
        <v/>
      </c>
      <c r="R245" s="7" t="str">
        <f>IF(ISBLANK(drvlst[[#This Row],[number]]), "",COUNTIFS($A:$A,drvlst[[#This Row],[tmp-number]],$O:$O, "FL And dev",$U:$U, "Review-1"))</f>
        <v/>
      </c>
      <c r="S245" s="7" t="str">
        <f>IF(ISBLANK(drvlst[[#This Row],[number]]), "",COUNTIFS($A:$A,drvlst[[#This Row],[tmp-number]],$O:$O, "BJ And dev",$V:$V, "&lt;&gt;IntegratorComment"))</f>
        <v/>
      </c>
      <c r="T245" s="7" t="str">
        <f>IF(ISBLANK(drvlst[[#This Row],[number]]), "",COUNTIFS($A:$A,drvlst[[#This Row],[tmp-number]],$O:$O, "FL And dev",$V:$V, "&lt;&gt;IntegratorComment"))</f>
        <v/>
      </c>
      <c r="U245" s="7" t="str">
        <f>IF(OR(ISNUMBER(FIND("Review-1", drvlst[[#This Row],[comments]])), ISNUMBER(FIND("Approver-1", drvlst[[#This Row],[comments]]))), "Review-1", "")</f>
        <v/>
      </c>
      <c r="V245" s="7" t="str">
        <f>IF(OR(ISNUMBER(FIND(": Integrator", drvlst[[#This Row],[comments]])), ISNUMBER(FIND(":\n\nIntegrator", drvlst[[#This Row],[comments]])), ISNUMBER(FIND("-Integrator", drvlst[[#This Row],[comments]]))), "IntegratorComment", "")</f>
        <v/>
      </c>
      <c r="W245" s="7" t="str">
        <f>IF(ISBLANK(drvlst[[#This Row],[status]]),W244,drvlst[[#This Row],[status]])</f>
        <v>MERGED</v>
      </c>
    </row>
    <row r="246" spans="1:23">
      <c r="A246" s="7">
        <f>IF(ISBLANK(drvlst[[#This Row],[number]]),A245,drvlst[[#This Row],[number]])</f>
        <v>95512</v>
      </c>
      <c r="J246" t="s">
        <v>53</v>
      </c>
      <c r="K246" s="8">
        <v>42390.460393518515</v>
      </c>
      <c r="L246" t="s">
        <v>1912</v>
      </c>
      <c r="M246" s="7" t="str">
        <f>IF(ISBLANK(drvlst[[#This Row],[owner.emal]]),M245,drvlst[[#This Row],[owner.emal]])</f>
        <v>shuguang.gong@intel.com</v>
      </c>
      <c r="N246" s="7">
        <f>_xlfn.IFNA(VLOOKUP(drvlst[[#This Row],[tmp-owner.email]],OrgTree!$A:$J, 10, 0), "not ICG SWFW")</f>
        <v>0</v>
      </c>
      <c r="O246" s="7" t="str">
        <f>IF(drvlst[[#This Row],[reviewer]]=drvlst[[#This Row],[tmp-owner.email]], "author", _xlfn.IFNA(VLOOKUP(drvlst[[#This Row],[reviewer]],OrgTree!$A:$J, 10, 0), "not ICG SWFW"))</f>
        <v>author</v>
      </c>
      <c r="P246" s="7" t="str">
        <f>IF(ISBLANK(drvlst[[#This Row],[number]]), "",SUM(drvlst[[#This Row],[BJ -1 num]],drvlst[[#This Row],[FI -1 num]]))</f>
        <v/>
      </c>
      <c r="Q246" s="7" t="str">
        <f>IF(ISBLANK(drvlst[[#This Row],[number]]), "",COUNTIFS($A:$A,drvlst[[#This Row],[tmp-number]],$O:$O, "BJ And dev",$U:$U, "Review-1"))</f>
        <v/>
      </c>
      <c r="R246" s="7" t="str">
        <f>IF(ISBLANK(drvlst[[#This Row],[number]]), "",COUNTIFS($A:$A,drvlst[[#This Row],[tmp-number]],$O:$O, "FL And dev",$U:$U, "Review-1"))</f>
        <v/>
      </c>
      <c r="S246" s="7" t="str">
        <f>IF(ISBLANK(drvlst[[#This Row],[number]]), "",COUNTIFS($A:$A,drvlst[[#This Row],[tmp-number]],$O:$O, "BJ And dev",$V:$V, "&lt;&gt;IntegratorComment"))</f>
        <v/>
      </c>
      <c r="T246" s="7" t="str">
        <f>IF(ISBLANK(drvlst[[#This Row],[number]]), "",COUNTIFS($A:$A,drvlst[[#This Row],[tmp-number]],$O:$O, "FL And dev",$V:$V, "&lt;&gt;IntegratorComment"))</f>
        <v/>
      </c>
      <c r="U246" s="7" t="str">
        <f>IF(OR(ISNUMBER(FIND("Review-1", drvlst[[#This Row],[comments]])), ISNUMBER(FIND("Approver-1", drvlst[[#This Row],[comments]]))), "Review-1", "")</f>
        <v/>
      </c>
      <c r="V246" s="7" t="str">
        <f>IF(OR(ISNUMBER(FIND(": Integrator", drvlst[[#This Row],[comments]])), ISNUMBER(FIND(":\n\nIntegrator", drvlst[[#This Row],[comments]])), ISNUMBER(FIND("-Integrator", drvlst[[#This Row],[comments]]))), "IntegratorComment", "")</f>
        <v/>
      </c>
      <c r="W246" s="7" t="str">
        <f>IF(ISBLANK(drvlst[[#This Row],[status]]),W245,drvlst[[#This Row],[status]])</f>
        <v>MERGED</v>
      </c>
    </row>
    <row r="247" spans="1:23">
      <c r="A247" s="7">
        <f>IF(ISBLANK(drvlst[[#This Row],[number]]),A246,drvlst[[#This Row],[number]])</f>
        <v>95512</v>
      </c>
      <c r="J247" t="s">
        <v>53</v>
      </c>
      <c r="K247" s="8">
        <v>42390.461319444446</v>
      </c>
      <c r="L247" t="s">
        <v>1962</v>
      </c>
      <c r="M247" s="7" t="str">
        <f>IF(ISBLANK(drvlst[[#This Row],[owner.emal]]),M246,drvlst[[#This Row],[owner.emal]])</f>
        <v>shuguang.gong@intel.com</v>
      </c>
      <c r="N247" s="7">
        <f>_xlfn.IFNA(VLOOKUP(drvlst[[#This Row],[tmp-owner.email]],OrgTree!$A:$J, 10, 0), "not ICG SWFW")</f>
        <v>0</v>
      </c>
      <c r="O247" s="7" t="str">
        <f>IF(drvlst[[#This Row],[reviewer]]=drvlst[[#This Row],[tmp-owner.email]], "author", _xlfn.IFNA(VLOOKUP(drvlst[[#This Row],[reviewer]],OrgTree!$A:$J, 10, 0), "not ICG SWFW"))</f>
        <v>author</v>
      </c>
      <c r="P247" s="7" t="str">
        <f>IF(ISBLANK(drvlst[[#This Row],[number]]), "",SUM(drvlst[[#This Row],[BJ -1 num]],drvlst[[#This Row],[FI -1 num]]))</f>
        <v/>
      </c>
      <c r="Q247" s="7" t="str">
        <f>IF(ISBLANK(drvlst[[#This Row],[number]]), "",COUNTIFS($A:$A,drvlst[[#This Row],[tmp-number]],$O:$O, "BJ And dev",$U:$U, "Review-1"))</f>
        <v/>
      </c>
      <c r="R247" s="7" t="str">
        <f>IF(ISBLANK(drvlst[[#This Row],[number]]), "",COUNTIFS($A:$A,drvlst[[#This Row],[tmp-number]],$O:$O, "FL And dev",$U:$U, "Review-1"))</f>
        <v/>
      </c>
      <c r="S247" s="7" t="str">
        <f>IF(ISBLANK(drvlst[[#This Row],[number]]), "",COUNTIFS($A:$A,drvlst[[#This Row],[tmp-number]],$O:$O, "BJ And dev",$V:$V, "&lt;&gt;IntegratorComment"))</f>
        <v/>
      </c>
      <c r="T247" s="7" t="str">
        <f>IF(ISBLANK(drvlst[[#This Row],[number]]), "",COUNTIFS($A:$A,drvlst[[#This Row],[tmp-number]],$O:$O, "FL And dev",$V:$V, "&lt;&gt;IntegratorComment"))</f>
        <v/>
      </c>
      <c r="U247" s="7" t="str">
        <f>IF(OR(ISNUMBER(FIND("Review-1", drvlst[[#This Row],[comments]])), ISNUMBER(FIND("Approver-1", drvlst[[#This Row],[comments]]))), "Review-1", "")</f>
        <v/>
      </c>
      <c r="V247" s="7" t="str">
        <f>IF(OR(ISNUMBER(FIND(": Integrator", drvlst[[#This Row],[comments]])), ISNUMBER(FIND(":\n\nIntegrator", drvlst[[#This Row],[comments]])), ISNUMBER(FIND("-Integrator", drvlst[[#This Row],[comments]]))), "IntegratorComment", "")</f>
        <v/>
      </c>
      <c r="W247" s="7" t="str">
        <f>IF(ISBLANK(drvlst[[#This Row],[status]]),W246,drvlst[[#This Row],[status]])</f>
        <v>MERGED</v>
      </c>
    </row>
    <row r="248" spans="1:23">
      <c r="A248" s="7">
        <f>IF(ISBLANK(drvlst[[#This Row],[number]]),A247,drvlst[[#This Row],[number]])</f>
        <v>95512</v>
      </c>
      <c r="J248" t="s">
        <v>97</v>
      </c>
      <c r="K248" s="8">
        <v>42390.462430555555</v>
      </c>
      <c r="L248" t="s">
        <v>1859</v>
      </c>
      <c r="M248" s="7" t="str">
        <f>IF(ISBLANK(drvlst[[#This Row],[owner.emal]]),M247,drvlst[[#This Row],[owner.emal]])</f>
        <v>shuguang.gong@intel.com</v>
      </c>
      <c r="N248" s="7">
        <f>_xlfn.IFNA(VLOOKUP(drvlst[[#This Row],[tmp-owner.email]],OrgTree!$A:$J, 10, 0), "not ICG SWFW")</f>
        <v>0</v>
      </c>
      <c r="O248" s="7">
        <f>IF(drvlst[[#This Row],[reviewer]]=drvlst[[#This Row],[tmp-owner.email]], "author", _xlfn.IFNA(VLOOKUP(drvlst[[#This Row],[reviewer]],OrgTree!$A:$J, 10, 0), "not ICG SWFW"))</f>
        <v>0</v>
      </c>
      <c r="P248" s="7" t="str">
        <f>IF(ISBLANK(drvlst[[#This Row],[number]]), "",SUM(drvlst[[#This Row],[BJ -1 num]],drvlst[[#This Row],[FI -1 num]]))</f>
        <v/>
      </c>
      <c r="Q248" s="7" t="str">
        <f>IF(ISBLANK(drvlst[[#This Row],[number]]), "",COUNTIFS($A:$A,drvlst[[#This Row],[tmp-number]],$O:$O, "BJ And dev",$U:$U, "Review-1"))</f>
        <v/>
      </c>
      <c r="R248" s="7" t="str">
        <f>IF(ISBLANK(drvlst[[#This Row],[number]]), "",COUNTIFS($A:$A,drvlst[[#This Row],[tmp-number]],$O:$O, "FL And dev",$U:$U, "Review-1"))</f>
        <v/>
      </c>
      <c r="S248" s="7" t="str">
        <f>IF(ISBLANK(drvlst[[#This Row],[number]]), "",COUNTIFS($A:$A,drvlst[[#This Row],[tmp-number]],$O:$O, "BJ And dev",$V:$V, "&lt;&gt;IntegratorComment"))</f>
        <v/>
      </c>
      <c r="T248" s="7" t="str">
        <f>IF(ISBLANK(drvlst[[#This Row],[number]]), "",COUNTIFS($A:$A,drvlst[[#This Row],[tmp-number]],$O:$O, "FL And dev",$V:$V, "&lt;&gt;IntegratorComment"))</f>
        <v/>
      </c>
      <c r="U248" s="7" t="str">
        <f>IF(OR(ISNUMBER(FIND("Review-1", drvlst[[#This Row],[comments]])), ISNUMBER(FIND("Approver-1", drvlst[[#This Row],[comments]]))), "Review-1", "")</f>
        <v/>
      </c>
      <c r="V248" s="7" t="str">
        <f>IF(OR(ISNUMBER(FIND(": Integrator", drvlst[[#This Row],[comments]])), ISNUMBER(FIND(":\n\nIntegrator", drvlst[[#This Row],[comments]])), ISNUMBER(FIND("-Integrator", drvlst[[#This Row],[comments]]))), "IntegratorComment", "")</f>
        <v/>
      </c>
      <c r="W248" s="7" t="str">
        <f>IF(ISBLANK(drvlst[[#This Row],[status]]),W247,drvlst[[#This Row],[status]])</f>
        <v>MERGED</v>
      </c>
    </row>
    <row r="249" spans="1:23">
      <c r="A249" s="7">
        <f>IF(ISBLANK(drvlst[[#This Row],[number]]),A248,drvlst[[#This Row],[number]])</f>
        <v>95512</v>
      </c>
      <c r="J249" t="s">
        <v>71</v>
      </c>
      <c r="K249" s="8">
        <v>42390.48945601852</v>
      </c>
      <c r="L249" t="s">
        <v>1859</v>
      </c>
      <c r="M249" s="7" t="str">
        <f>IF(ISBLANK(drvlst[[#This Row],[owner.emal]]),M248,drvlst[[#This Row],[owner.emal]])</f>
        <v>shuguang.gong@intel.com</v>
      </c>
      <c r="N249" s="7">
        <f>_xlfn.IFNA(VLOOKUP(drvlst[[#This Row],[tmp-owner.email]],OrgTree!$A:$J, 10, 0), "not ICG SWFW")</f>
        <v>0</v>
      </c>
      <c r="O249" s="7">
        <f>IF(drvlst[[#This Row],[reviewer]]=drvlst[[#This Row],[tmp-owner.email]], "author", _xlfn.IFNA(VLOOKUP(drvlst[[#This Row],[reviewer]],OrgTree!$A:$J, 10, 0), "not ICG SWFW"))</f>
        <v>0</v>
      </c>
      <c r="P249" s="7" t="str">
        <f>IF(ISBLANK(drvlst[[#This Row],[number]]), "",SUM(drvlst[[#This Row],[BJ -1 num]],drvlst[[#This Row],[FI -1 num]]))</f>
        <v/>
      </c>
      <c r="Q249" s="7" t="str">
        <f>IF(ISBLANK(drvlst[[#This Row],[number]]), "",COUNTIFS($A:$A,drvlst[[#This Row],[tmp-number]],$O:$O, "BJ And dev",$U:$U, "Review-1"))</f>
        <v/>
      </c>
      <c r="R249" s="7" t="str">
        <f>IF(ISBLANK(drvlst[[#This Row],[number]]), "",COUNTIFS($A:$A,drvlst[[#This Row],[tmp-number]],$O:$O, "FL And dev",$U:$U, "Review-1"))</f>
        <v/>
      </c>
      <c r="S249" s="7" t="str">
        <f>IF(ISBLANK(drvlst[[#This Row],[number]]), "",COUNTIFS($A:$A,drvlst[[#This Row],[tmp-number]],$O:$O, "BJ And dev",$V:$V, "&lt;&gt;IntegratorComment"))</f>
        <v/>
      </c>
      <c r="T249" s="7" t="str">
        <f>IF(ISBLANK(drvlst[[#This Row],[number]]), "",COUNTIFS($A:$A,drvlst[[#This Row],[tmp-number]],$O:$O, "FL And dev",$V:$V, "&lt;&gt;IntegratorComment"))</f>
        <v/>
      </c>
      <c r="U249" s="7" t="str">
        <f>IF(OR(ISNUMBER(FIND("Review-1", drvlst[[#This Row],[comments]])), ISNUMBER(FIND("Approver-1", drvlst[[#This Row],[comments]]))), "Review-1", "")</f>
        <v/>
      </c>
      <c r="V249" s="7" t="str">
        <f>IF(OR(ISNUMBER(FIND(": Integrator", drvlst[[#This Row],[comments]])), ISNUMBER(FIND(":\n\nIntegrator", drvlst[[#This Row],[comments]])), ISNUMBER(FIND("-Integrator", drvlst[[#This Row],[comments]]))), "IntegratorComment", "")</f>
        <v/>
      </c>
      <c r="W249" s="7" t="str">
        <f>IF(ISBLANK(drvlst[[#This Row],[status]]),W248,drvlst[[#This Row],[status]])</f>
        <v>MERGED</v>
      </c>
    </row>
    <row r="250" spans="1:23">
      <c r="A250" s="7">
        <f>IF(ISBLANK(drvlst[[#This Row],[number]]),A249,drvlst[[#This Row],[number]])</f>
        <v>95512</v>
      </c>
      <c r="J250" t="s">
        <v>53</v>
      </c>
      <c r="K250" s="8">
        <v>42390.717129629629</v>
      </c>
      <c r="L250" t="s">
        <v>1963</v>
      </c>
      <c r="M250" s="7" t="str">
        <f>IF(ISBLANK(drvlst[[#This Row],[owner.emal]]),M249,drvlst[[#This Row],[owner.emal]])</f>
        <v>shuguang.gong@intel.com</v>
      </c>
      <c r="N250" s="7">
        <f>_xlfn.IFNA(VLOOKUP(drvlst[[#This Row],[tmp-owner.email]],OrgTree!$A:$J, 10, 0), "not ICG SWFW")</f>
        <v>0</v>
      </c>
      <c r="O250" s="7" t="str">
        <f>IF(drvlst[[#This Row],[reviewer]]=drvlst[[#This Row],[tmp-owner.email]], "author", _xlfn.IFNA(VLOOKUP(drvlst[[#This Row],[reviewer]],OrgTree!$A:$J, 10, 0), "not ICG SWFW"))</f>
        <v>author</v>
      </c>
      <c r="P250" s="7" t="str">
        <f>IF(ISBLANK(drvlst[[#This Row],[number]]), "",SUM(drvlst[[#This Row],[BJ -1 num]],drvlst[[#This Row],[FI -1 num]]))</f>
        <v/>
      </c>
      <c r="Q250" s="7" t="str">
        <f>IF(ISBLANK(drvlst[[#This Row],[number]]), "",COUNTIFS($A:$A,drvlst[[#This Row],[tmp-number]],$O:$O, "BJ And dev",$U:$U, "Review-1"))</f>
        <v/>
      </c>
      <c r="R250" s="7" t="str">
        <f>IF(ISBLANK(drvlst[[#This Row],[number]]), "",COUNTIFS($A:$A,drvlst[[#This Row],[tmp-number]],$O:$O, "FL And dev",$U:$U, "Review-1"))</f>
        <v/>
      </c>
      <c r="S250" s="7" t="str">
        <f>IF(ISBLANK(drvlst[[#This Row],[number]]), "",COUNTIFS($A:$A,drvlst[[#This Row],[tmp-number]],$O:$O, "BJ And dev",$V:$V, "&lt;&gt;IntegratorComment"))</f>
        <v/>
      </c>
      <c r="T250" s="7" t="str">
        <f>IF(ISBLANK(drvlst[[#This Row],[number]]), "",COUNTIFS($A:$A,drvlst[[#This Row],[tmp-number]],$O:$O, "FL And dev",$V:$V, "&lt;&gt;IntegratorComment"))</f>
        <v/>
      </c>
      <c r="U250" s="7" t="str">
        <f>IF(OR(ISNUMBER(FIND("Review-1", drvlst[[#This Row],[comments]])), ISNUMBER(FIND("Approver-1", drvlst[[#This Row],[comments]]))), "Review-1", "")</f>
        <v/>
      </c>
      <c r="V250" s="7" t="str">
        <f>IF(OR(ISNUMBER(FIND(": Integrator", drvlst[[#This Row],[comments]])), ISNUMBER(FIND(":\n\nIntegrator", drvlst[[#This Row],[comments]])), ISNUMBER(FIND("-Integrator", drvlst[[#This Row],[comments]]))), "IntegratorComment", "")</f>
        <v/>
      </c>
      <c r="W250" s="7" t="str">
        <f>IF(ISBLANK(drvlst[[#This Row],[status]]),W249,drvlst[[#This Row],[status]])</f>
        <v>MERGED</v>
      </c>
    </row>
    <row r="251" spans="1:23">
      <c r="A251" s="7">
        <f>IF(ISBLANK(drvlst[[#This Row],[number]]),A250,drvlst[[#This Row],[number]])</f>
        <v>95512</v>
      </c>
      <c r="J251" t="s">
        <v>53</v>
      </c>
      <c r="K251" s="8">
        <v>42390.717129629629</v>
      </c>
      <c r="L251" t="s">
        <v>1964</v>
      </c>
      <c r="M251" s="7" t="str">
        <f>IF(ISBLANK(drvlst[[#This Row],[owner.emal]]),M250,drvlst[[#This Row],[owner.emal]])</f>
        <v>shuguang.gong@intel.com</v>
      </c>
      <c r="N251" s="7">
        <f>_xlfn.IFNA(VLOOKUP(drvlst[[#This Row],[tmp-owner.email]],OrgTree!$A:$J, 10, 0), "not ICG SWFW")</f>
        <v>0</v>
      </c>
      <c r="O251" s="7" t="str">
        <f>IF(drvlst[[#This Row],[reviewer]]=drvlst[[#This Row],[tmp-owner.email]], "author", _xlfn.IFNA(VLOOKUP(drvlst[[#This Row],[reviewer]],OrgTree!$A:$J, 10, 0), "not ICG SWFW"))</f>
        <v>author</v>
      </c>
      <c r="P251" s="7" t="str">
        <f>IF(ISBLANK(drvlst[[#This Row],[number]]), "",SUM(drvlst[[#This Row],[BJ -1 num]],drvlst[[#This Row],[FI -1 num]]))</f>
        <v/>
      </c>
      <c r="Q251" s="7" t="str">
        <f>IF(ISBLANK(drvlst[[#This Row],[number]]), "",COUNTIFS($A:$A,drvlst[[#This Row],[tmp-number]],$O:$O, "BJ And dev",$U:$U, "Review-1"))</f>
        <v/>
      </c>
      <c r="R251" s="7" t="str">
        <f>IF(ISBLANK(drvlst[[#This Row],[number]]), "",COUNTIFS($A:$A,drvlst[[#This Row],[tmp-number]],$O:$O, "FL And dev",$U:$U, "Review-1"))</f>
        <v/>
      </c>
      <c r="S251" s="7" t="str">
        <f>IF(ISBLANK(drvlst[[#This Row],[number]]), "",COUNTIFS($A:$A,drvlst[[#This Row],[tmp-number]],$O:$O, "BJ And dev",$V:$V, "&lt;&gt;IntegratorComment"))</f>
        <v/>
      </c>
      <c r="T251" s="7" t="str">
        <f>IF(ISBLANK(drvlst[[#This Row],[number]]), "",COUNTIFS($A:$A,drvlst[[#This Row],[tmp-number]],$O:$O, "FL And dev",$V:$V, "&lt;&gt;IntegratorComment"))</f>
        <v/>
      </c>
      <c r="U251" s="7" t="str">
        <f>IF(OR(ISNUMBER(FIND("Review-1", drvlst[[#This Row],[comments]])), ISNUMBER(FIND("Approver-1", drvlst[[#This Row],[comments]]))), "Review-1", "")</f>
        <v/>
      </c>
      <c r="V251" s="7" t="str">
        <f>IF(OR(ISNUMBER(FIND(": Integrator", drvlst[[#This Row],[comments]])), ISNUMBER(FIND(":\n\nIntegrator", drvlst[[#This Row],[comments]])), ISNUMBER(FIND("-Integrator", drvlst[[#This Row],[comments]]))), "IntegratorComment", "")</f>
        <v/>
      </c>
      <c r="W251" s="7" t="str">
        <f>IF(ISBLANK(drvlst[[#This Row],[status]]),W250,drvlst[[#This Row],[status]])</f>
        <v>MERGED</v>
      </c>
    </row>
    <row r="252" spans="1:23">
      <c r="A252" s="7">
        <f>IF(ISBLANK(drvlst[[#This Row],[number]]),A251,drvlst[[#This Row],[number]])</f>
        <v>95512</v>
      </c>
      <c r="J252" t="s">
        <v>53</v>
      </c>
      <c r="K252" s="8">
        <v>42390.717442129629</v>
      </c>
      <c r="L252" t="s">
        <v>1965</v>
      </c>
      <c r="M252" s="7" t="str">
        <f>IF(ISBLANK(drvlst[[#This Row],[owner.emal]]),M251,drvlst[[#This Row],[owner.emal]])</f>
        <v>shuguang.gong@intel.com</v>
      </c>
      <c r="N252" s="7">
        <f>_xlfn.IFNA(VLOOKUP(drvlst[[#This Row],[tmp-owner.email]],OrgTree!$A:$J, 10, 0), "not ICG SWFW")</f>
        <v>0</v>
      </c>
      <c r="O252" s="7" t="str">
        <f>IF(drvlst[[#This Row],[reviewer]]=drvlst[[#This Row],[tmp-owner.email]], "author", _xlfn.IFNA(VLOOKUP(drvlst[[#This Row],[reviewer]],OrgTree!$A:$J, 10, 0), "not ICG SWFW"))</f>
        <v>author</v>
      </c>
      <c r="P252" s="7" t="str">
        <f>IF(ISBLANK(drvlst[[#This Row],[number]]), "",SUM(drvlst[[#This Row],[BJ -1 num]],drvlst[[#This Row],[FI -1 num]]))</f>
        <v/>
      </c>
      <c r="Q252" s="7" t="str">
        <f>IF(ISBLANK(drvlst[[#This Row],[number]]), "",COUNTIFS($A:$A,drvlst[[#This Row],[tmp-number]],$O:$O, "BJ And dev",$U:$U, "Review-1"))</f>
        <v/>
      </c>
      <c r="R252" s="7" t="str">
        <f>IF(ISBLANK(drvlst[[#This Row],[number]]), "",COUNTIFS($A:$A,drvlst[[#This Row],[tmp-number]],$O:$O, "FL And dev",$U:$U, "Review-1"))</f>
        <v/>
      </c>
      <c r="S252" s="7" t="str">
        <f>IF(ISBLANK(drvlst[[#This Row],[number]]), "",COUNTIFS($A:$A,drvlst[[#This Row],[tmp-number]],$O:$O, "BJ And dev",$V:$V, "&lt;&gt;IntegratorComment"))</f>
        <v/>
      </c>
      <c r="T252" s="7" t="str">
        <f>IF(ISBLANK(drvlst[[#This Row],[number]]), "",COUNTIFS($A:$A,drvlst[[#This Row],[tmp-number]],$O:$O, "FL And dev",$V:$V, "&lt;&gt;IntegratorComment"))</f>
        <v/>
      </c>
      <c r="U252" s="7" t="str">
        <f>IF(OR(ISNUMBER(FIND("Review-1", drvlst[[#This Row],[comments]])), ISNUMBER(FIND("Approver-1", drvlst[[#This Row],[comments]]))), "Review-1", "")</f>
        <v/>
      </c>
      <c r="V252" s="7" t="str">
        <f>IF(OR(ISNUMBER(FIND(": Integrator", drvlst[[#This Row],[comments]])), ISNUMBER(FIND(":\n\nIntegrator", drvlst[[#This Row],[comments]])), ISNUMBER(FIND("-Integrator", drvlst[[#This Row],[comments]]))), "IntegratorComment", "")</f>
        <v/>
      </c>
      <c r="W252" s="7" t="str">
        <f>IF(ISBLANK(drvlst[[#This Row],[status]]),W251,drvlst[[#This Row],[status]])</f>
        <v>MERGED</v>
      </c>
    </row>
    <row r="253" spans="1:23">
      <c r="A253" s="7">
        <f>IF(ISBLANK(drvlst[[#This Row],[number]]),A252,drvlst[[#This Row],[number]])</f>
        <v>95512</v>
      </c>
      <c r="J253" t="s">
        <v>101</v>
      </c>
      <c r="K253" s="8">
        <v>42391.045185185183</v>
      </c>
      <c r="L253" t="s">
        <v>1966</v>
      </c>
      <c r="M253" s="7" t="str">
        <f>IF(ISBLANK(drvlst[[#This Row],[owner.emal]]),M252,drvlst[[#This Row],[owner.emal]])</f>
        <v>shuguang.gong@intel.com</v>
      </c>
      <c r="N253" s="7">
        <f>_xlfn.IFNA(VLOOKUP(drvlst[[#This Row],[tmp-owner.email]],OrgTree!$A:$J, 10, 0), "not ICG SWFW")</f>
        <v>0</v>
      </c>
      <c r="O253" s="7">
        <f>IF(drvlst[[#This Row],[reviewer]]=drvlst[[#This Row],[tmp-owner.email]], "author", _xlfn.IFNA(VLOOKUP(drvlst[[#This Row],[reviewer]],OrgTree!$A:$J, 10, 0), "not ICG SWFW"))</f>
        <v>0</v>
      </c>
      <c r="P253" s="7" t="str">
        <f>IF(ISBLANK(drvlst[[#This Row],[number]]), "",SUM(drvlst[[#This Row],[BJ -1 num]],drvlst[[#This Row],[FI -1 num]]))</f>
        <v/>
      </c>
      <c r="Q253" s="7" t="str">
        <f>IF(ISBLANK(drvlst[[#This Row],[number]]), "",COUNTIFS($A:$A,drvlst[[#This Row],[tmp-number]],$O:$O, "BJ And dev",$U:$U, "Review-1"))</f>
        <v/>
      </c>
      <c r="R253" s="7" t="str">
        <f>IF(ISBLANK(drvlst[[#This Row],[number]]), "",COUNTIFS($A:$A,drvlst[[#This Row],[tmp-number]],$O:$O, "FL And dev",$U:$U, "Review-1"))</f>
        <v/>
      </c>
      <c r="S253" s="7" t="str">
        <f>IF(ISBLANK(drvlst[[#This Row],[number]]), "",COUNTIFS($A:$A,drvlst[[#This Row],[tmp-number]],$O:$O, "BJ And dev",$V:$V, "&lt;&gt;IntegratorComment"))</f>
        <v/>
      </c>
      <c r="T253" s="7" t="str">
        <f>IF(ISBLANK(drvlst[[#This Row],[number]]), "",COUNTIFS($A:$A,drvlst[[#This Row],[tmp-number]],$O:$O, "FL And dev",$V:$V, "&lt;&gt;IntegratorComment"))</f>
        <v/>
      </c>
      <c r="U253" s="7" t="str">
        <f>IF(OR(ISNUMBER(FIND("Review-1", drvlst[[#This Row],[comments]])), ISNUMBER(FIND("Approver-1", drvlst[[#This Row],[comments]]))), "Review-1", "")</f>
        <v>Review-1</v>
      </c>
      <c r="V253" s="7" t="str">
        <f>IF(OR(ISNUMBER(FIND(": Integrator", drvlst[[#This Row],[comments]])), ISNUMBER(FIND(":\n\nIntegrator", drvlst[[#This Row],[comments]])), ISNUMBER(FIND("-Integrator", drvlst[[#This Row],[comments]]))), "IntegratorComment", "")</f>
        <v/>
      </c>
      <c r="W253" s="7" t="str">
        <f>IF(ISBLANK(drvlst[[#This Row],[status]]),W252,drvlst[[#This Row],[status]])</f>
        <v>MERGED</v>
      </c>
    </row>
    <row r="254" spans="1:23">
      <c r="A254" s="7">
        <f>IF(ISBLANK(drvlst[[#This Row],[number]]),A253,drvlst[[#This Row],[number]])</f>
        <v>95512</v>
      </c>
      <c r="J254" t="s">
        <v>53</v>
      </c>
      <c r="K254" s="8">
        <v>42391.57885416667</v>
      </c>
      <c r="L254" t="s">
        <v>1967</v>
      </c>
      <c r="M254" s="7" t="str">
        <f>IF(ISBLANK(drvlst[[#This Row],[owner.emal]]),M253,drvlst[[#This Row],[owner.emal]])</f>
        <v>shuguang.gong@intel.com</v>
      </c>
      <c r="N254" s="7">
        <f>_xlfn.IFNA(VLOOKUP(drvlst[[#This Row],[tmp-owner.email]],OrgTree!$A:$J, 10, 0), "not ICG SWFW")</f>
        <v>0</v>
      </c>
      <c r="O254" s="7" t="str">
        <f>IF(drvlst[[#This Row],[reviewer]]=drvlst[[#This Row],[tmp-owner.email]], "author", _xlfn.IFNA(VLOOKUP(drvlst[[#This Row],[reviewer]],OrgTree!$A:$J, 10, 0), "not ICG SWFW"))</f>
        <v>author</v>
      </c>
      <c r="P254" s="7" t="str">
        <f>IF(ISBLANK(drvlst[[#This Row],[number]]), "",SUM(drvlst[[#This Row],[BJ -1 num]],drvlst[[#This Row],[FI -1 num]]))</f>
        <v/>
      </c>
      <c r="Q254" s="7" t="str">
        <f>IF(ISBLANK(drvlst[[#This Row],[number]]), "",COUNTIFS($A:$A,drvlst[[#This Row],[tmp-number]],$O:$O, "BJ And dev",$U:$U, "Review-1"))</f>
        <v/>
      </c>
      <c r="R254" s="7" t="str">
        <f>IF(ISBLANK(drvlst[[#This Row],[number]]), "",COUNTIFS($A:$A,drvlst[[#This Row],[tmp-number]],$O:$O, "FL And dev",$U:$U, "Review-1"))</f>
        <v/>
      </c>
      <c r="S254" s="7" t="str">
        <f>IF(ISBLANK(drvlst[[#This Row],[number]]), "",COUNTIFS($A:$A,drvlst[[#This Row],[tmp-number]],$O:$O, "BJ And dev",$V:$V, "&lt;&gt;IntegratorComment"))</f>
        <v/>
      </c>
      <c r="T254" s="7" t="str">
        <f>IF(ISBLANK(drvlst[[#This Row],[number]]), "",COUNTIFS($A:$A,drvlst[[#This Row],[tmp-number]],$O:$O, "FL And dev",$V:$V, "&lt;&gt;IntegratorComment"))</f>
        <v/>
      </c>
      <c r="U254" s="7" t="str">
        <f>IF(OR(ISNUMBER(FIND("Review-1", drvlst[[#This Row],[comments]])), ISNUMBER(FIND("Approver-1", drvlst[[#This Row],[comments]]))), "Review-1", "")</f>
        <v/>
      </c>
      <c r="V254" s="7" t="str">
        <f>IF(OR(ISNUMBER(FIND(": Integrator", drvlst[[#This Row],[comments]])), ISNUMBER(FIND(":\n\nIntegrator", drvlst[[#This Row],[comments]])), ISNUMBER(FIND("-Integrator", drvlst[[#This Row],[comments]]))), "IntegratorComment", "")</f>
        <v/>
      </c>
      <c r="W254" s="7" t="str">
        <f>IF(ISBLANK(drvlst[[#This Row],[status]]),W253,drvlst[[#This Row],[status]])</f>
        <v>MERGED</v>
      </c>
    </row>
    <row r="255" spans="1:23">
      <c r="A255" s="7">
        <f>IF(ISBLANK(drvlst[[#This Row],[number]]),A254,drvlst[[#This Row],[number]])</f>
        <v>95512</v>
      </c>
      <c r="J255" t="s">
        <v>53</v>
      </c>
      <c r="K255" s="8">
        <v>42391.57885416667</v>
      </c>
      <c r="L255" t="s">
        <v>1968</v>
      </c>
      <c r="M255" s="7" t="str">
        <f>IF(ISBLANK(drvlst[[#This Row],[owner.emal]]),M254,drvlst[[#This Row],[owner.emal]])</f>
        <v>shuguang.gong@intel.com</v>
      </c>
      <c r="N255" s="7">
        <f>_xlfn.IFNA(VLOOKUP(drvlst[[#This Row],[tmp-owner.email]],OrgTree!$A:$J, 10, 0), "not ICG SWFW")</f>
        <v>0</v>
      </c>
      <c r="O255" s="7" t="str">
        <f>IF(drvlst[[#This Row],[reviewer]]=drvlst[[#This Row],[tmp-owner.email]], "author", _xlfn.IFNA(VLOOKUP(drvlst[[#This Row],[reviewer]],OrgTree!$A:$J, 10, 0), "not ICG SWFW"))</f>
        <v>author</v>
      </c>
      <c r="P255" s="7" t="str">
        <f>IF(ISBLANK(drvlst[[#This Row],[number]]), "",SUM(drvlst[[#This Row],[BJ -1 num]],drvlst[[#This Row],[FI -1 num]]))</f>
        <v/>
      </c>
      <c r="Q255" s="7" t="str">
        <f>IF(ISBLANK(drvlst[[#This Row],[number]]), "",COUNTIFS($A:$A,drvlst[[#This Row],[tmp-number]],$O:$O, "BJ And dev",$U:$U, "Review-1"))</f>
        <v/>
      </c>
      <c r="R255" s="7" t="str">
        <f>IF(ISBLANK(drvlst[[#This Row],[number]]), "",COUNTIFS($A:$A,drvlst[[#This Row],[tmp-number]],$O:$O, "FL And dev",$U:$U, "Review-1"))</f>
        <v/>
      </c>
      <c r="S255" s="7" t="str">
        <f>IF(ISBLANK(drvlst[[#This Row],[number]]), "",COUNTIFS($A:$A,drvlst[[#This Row],[tmp-number]],$O:$O, "BJ And dev",$V:$V, "&lt;&gt;IntegratorComment"))</f>
        <v/>
      </c>
      <c r="T255" s="7" t="str">
        <f>IF(ISBLANK(drvlst[[#This Row],[number]]), "",COUNTIFS($A:$A,drvlst[[#This Row],[tmp-number]],$O:$O, "FL And dev",$V:$V, "&lt;&gt;IntegratorComment"))</f>
        <v/>
      </c>
      <c r="U255" s="7" t="str">
        <f>IF(OR(ISNUMBER(FIND("Review-1", drvlst[[#This Row],[comments]])), ISNUMBER(FIND("Approver-1", drvlst[[#This Row],[comments]]))), "Review-1", "")</f>
        <v/>
      </c>
      <c r="V255" s="7" t="str">
        <f>IF(OR(ISNUMBER(FIND(": Integrator", drvlst[[#This Row],[comments]])), ISNUMBER(FIND(":\n\nIntegrator", drvlst[[#This Row],[comments]])), ISNUMBER(FIND("-Integrator", drvlst[[#This Row],[comments]]))), "IntegratorComment", "")</f>
        <v/>
      </c>
      <c r="W255" s="7" t="str">
        <f>IF(ISBLANK(drvlst[[#This Row],[status]]),W254,drvlst[[#This Row],[status]])</f>
        <v>MERGED</v>
      </c>
    </row>
    <row r="256" spans="1:23">
      <c r="A256" s="7">
        <f>IF(ISBLANK(drvlst[[#This Row],[number]]),A255,drvlst[[#This Row],[number]])</f>
        <v>95512</v>
      </c>
      <c r="J256" t="s">
        <v>53</v>
      </c>
      <c r="K256" s="8">
        <v>42391.580150462964</v>
      </c>
      <c r="L256" t="s">
        <v>1969</v>
      </c>
      <c r="M256" s="7" t="str">
        <f>IF(ISBLANK(drvlst[[#This Row],[owner.emal]]),M255,drvlst[[#This Row],[owner.emal]])</f>
        <v>shuguang.gong@intel.com</v>
      </c>
      <c r="N256" s="7">
        <f>_xlfn.IFNA(VLOOKUP(drvlst[[#This Row],[tmp-owner.email]],OrgTree!$A:$J, 10, 0), "not ICG SWFW")</f>
        <v>0</v>
      </c>
      <c r="O256" s="7" t="str">
        <f>IF(drvlst[[#This Row],[reviewer]]=drvlst[[#This Row],[tmp-owner.email]], "author", _xlfn.IFNA(VLOOKUP(drvlst[[#This Row],[reviewer]],OrgTree!$A:$J, 10, 0), "not ICG SWFW"))</f>
        <v>author</v>
      </c>
      <c r="P256" s="7" t="str">
        <f>IF(ISBLANK(drvlst[[#This Row],[number]]), "",SUM(drvlst[[#This Row],[BJ -1 num]],drvlst[[#This Row],[FI -1 num]]))</f>
        <v/>
      </c>
      <c r="Q256" s="7" t="str">
        <f>IF(ISBLANK(drvlst[[#This Row],[number]]), "",COUNTIFS($A:$A,drvlst[[#This Row],[tmp-number]],$O:$O, "BJ And dev",$U:$U, "Review-1"))</f>
        <v/>
      </c>
      <c r="R256" s="7" t="str">
        <f>IF(ISBLANK(drvlst[[#This Row],[number]]), "",COUNTIFS($A:$A,drvlst[[#This Row],[tmp-number]],$O:$O, "FL And dev",$U:$U, "Review-1"))</f>
        <v/>
      </c>
      <c r="S256" s="7" t="str">
        <f>IF(ISBLANK(drvlst[[#This Row],[number]]), "",COUNTIFS($A:$A,drvlst[[#This Row],[tmp-number]],$O:$O, "BJ And dev",$V:$V, "&lt;&gt;IntegratorComment"))</f>
        <v/>
      </c>
      <c r="T256" s="7" t="str">
        <f>IF(ISBLANK(drvlst[[#This Row],[number]]), "",COUNTIFS($A:$A,drvlst[[#This Row],[tmp-number]],$O:$O, "FL And dev",$V:$V, "&lt;&gt;IntegratorComment"))</f>
        <v/>
      </c>
      <c r="U256" s="7" t="str">
        <f>IF(OR(ISNUMBER(FIND("Review-1", drvlst[[#This Row],[comments]])), ISNUMBER(FIND("Approver-1", drvlst[[#This Row],[comments]]))), "Review-1", "")</f>
        <v/>
      </c>
      <c r="V256" s="7" t="str">
        <f>IF(OR(ISNUMBER(FIND(": Integrator", drvlst[[#This Row],[comments]])), ISNUMBER(FIND(":\n\nIntegrator", drvlst[[#This Row],[comments]])), ISNUMBER(FIND("-Integrator", drvlst[[#This Row],[comments]]))), "IntegratorComment", "")</f>
        <v/>
      </c>
      <c r="W256" s="7" t="str">
        <f>IF(ISBLANK(drvlst[[#This Row],[status]]),W255,drvlst[[#This Row],[status]])</f>
        <v>MERGED</v>
      </c>
    </row>
    <row r="257" spans="1:23">
      <c r="A257" s="7">
        <f>IF(ISBLANK(drvlst[[#This Row],[number]]),A256,drvlst[[#This Row],[number]])</f>
        <v>95512</v>
      </c>
      <c r="J257" t="s">
        <v>53</v>
      </c>
      <c r="K257" s="8">
        <v>42391.590185185189</v>
      </c>
      <c r="L257" t="s">
        <v>1970</v>
      </c>
      <c r="M257" s="7" t="str">
        <f>IF(ISBLANK(drvlst[[#This Row],[owner.emal]]),M256,drvlst[[#This Row],[owner.emal]])</f>
        <v>shuguang.gong@intel.com</v>
      </c>
      <c r="N257" s="7">
        <f>_xlfn.IFNA(VLOOKUP(drvlst[[#This Row],[tmp-owner.email]],OrgTree!$A:$J, 10, 0), "not ICG SWFW")</f>
        <v>0</v>
      </c>
      <c r="O257" s="7" t="str">
        <f>IF(drvlst[[#This Row],[reviewer]]=drvlst[[#This Row],[tmp-owner.email]], "author", _xlfn.IFNA(VLOOKUP(drvlst[[#This Row],[reviewer]],OrgTree!$A:$J, 10, 0), "not ICG SWFW"))</f>
        <v>author</v>
      </c>
      <c r="P257" s="7" t="str">
        <f>IF(ISBLANK(drvlst[[#This Row],[number]]), "",SUM(drvlst[[#This Row],[BJ -1 num]],drvlst[[#This Row],[FI -1 num]]))</f>
        <v/>
      </c>
      <c r="Q257" s="7" t="str">
        <f>IF(ISBLANK(drvlst[[#This Row],[number]]), "",COUNTIFS($A:$A,drvlst[[#This Row],[tmp-number]],$O:$O, "BJ And dev",$U:$U, "Review-1"))</f>
        <v/>
      </c>
      <c r="R257" s="7" t="str">
        <f>IF(ISBLANK(drvlst[[#This Row],[number]]), "",COUNTIFS($A:$A,drvlst[[#This Row],[tmp-number]],$O:$O, "FL And dev",$U:$U, "Review-1"))</f>
        <v/>
      </c>
      <c r="S257" s="7" t="str">
        <f>IF(ISBLANK(drvlst[[#This Row],[number]]), "",COUNTIFS($A:$A,drvlst[[#This Row],[tmp-number]],$O:$O, "BJ And dev",$V:$V, "&lt;&gt;IntegratorComment"))</f>
        <v/>
      </c>
      <c r="T257" s="7" t="str">
        <f>IF(ISBLANK(drvlst[[#This Row],[number]]), "",COUNTIFS($A:$A,drvlst[[#This Row],[tmp-number]],$O:$O, "FL And dev",$V:$V, "&lt;&gt;IntegratorComment"))</f>
        <v/>
      </c>
      <c r="U257" s="7" t="str">
        <f>IF(OR(ISNUMBER(FIND("Review-1", drvlst[[#This Row],[comments]])), ISNUMBER(FIND("Approver-1", drvlst[[#This Row],[comments]]))), "Review-1", "")</f>
        <v/>
      </c>
      <c r="V257" s="7" t="str">
        <f>IF(OR(ISNUMBER(FIND(": Integrator", drvlst[[#This Row],[comments]])), ISNUMBER(FIND(":\n\nIntegrator", drvlst[[#This Row],[comments]])), ISNUMBER(FIND("-Integrator", drvlst[[#This Row],[comments]]))), "IntegratorComment", "")</f>
        <v/>
      </c>
      <c r="W257" s="7" t="str">
        <f>IF(ISBLANK(drvlst[[#This Row],[status]]),W256,drvlst[[#This Row],[status]])</f>
        <v>MERGED</v>
      </c>
    </row>
    <row r="258" spans="1:23">
      <c r="A258" s="7">
        <f>IF(ISBLANK(drvlst[[#This Row],[number]]),A257,drvlst[[#This Row],[number]])</f>
        <v>95512</v>
      </c>
      <c r="J258" t="s">
        <v>53</v>
      </c>
      <c r="K258" s="8">
        <v>42391.590185185189</v>
      </c>
      <c r="L258" t="s">
        <v>1971</v>
      </c>
      <c r="M258" s="7" t="str">
        <f>IF(ISBLANK(drvlst[[#This Row],[owner.emal]]),M257,drvlst[[#This Row],[owner.emal]])</f>
        <v>shuguang.gong@intel.com</v>
      </c>
      <c r="N258" s="7">
        <f>_xlfn.IFNA(VLOOKUP(drvlst[[#This Row],[tmp-owner.email]],OrgTree!$A:$J, 10, 0), "not ICG SWFW")</f>
        <v>0</v>
      </c>
      <c r="O258" s="7" t="str">
        <f>IF(drvlst[[#This Row],[reviewer]]=drvlst[[#This Row],[tmp-owner.email]], "author", _xlfn.IFNA(VLOOKUP(drvlst[[#This Row],[reviewer]],OrgTree!$A:$J, 10, 0), "not ICG SWFW"))</f>
        <v>author</v>
      </c>
      <c r="P258" s="7" t="str">
        <f>IF(ISBLANK(drvlst[[#This Row],[number]]), "",SUM(drvlst[[#This Row],[BJ -1 num]],drvlst[[#This Row],[FI -1 num]]))</f>
        <v/>
      </c>
      <c r="Q258" s="7" t="str">
        <f>IF(ISBLANK(drvlst[[#This Row],[number]]), "",COUNTIFS($A:$A,drvlst[[#This Row],[tmp-number]],$O:$O, "BJ And dev",$U:$U, "Review-1"))</f>
        <v/>
      </c>
      <c r="R258" s="7" t="str">
        <f>IF(ISBLANK(drvlst[[#This Row],[number]]), "",COUNTIFS($A:$A,drvlst[[#This Row],[tmp-number]],$O:$O, "FL And dev",$U:$U, "Review-1"))</f>
        <v/>
      </c>
      <c r="S258" s="7" t="str">
        <f>IF(ISBLANK(drvlst[[#This Row],[number]]), "",COUNTIFS($A:$A,drvlst[[#This Row],[tmp-number]],$O:$O, "BJ And dev",$V:$V, "&lt;&gt;IntegratorComment"))</f>
        <v/>
      </c>
      <c r="T258" s="7" t="str">
        <f>IF(ISBLANK(drvlst[[#This Row],[number]]), "",COUNTIFS($A:$A,drvlst[[#This Row],[tmp-number]],$O:$O, "FL And dev",$V:$V, "&lt;&gt;IntegratorComment"))</f>
        <v/>
      </c>
      <c r="U258" s="7" t="str">
        <f>IF(OR(ISNUMBER(FIND("Review-1", drvlst[[#This Row],[comments]])), ISNUMBER(FIND("Approver-1", drvlst[[#This Row],[comments]]))), "Review-1", "")</f>
        <v/>
      </c>
      <c r="V258" s="7" t="str">
        <f>IF(OR(ISNUMBER(FIND(": Integrator", drvlst[[#This Row],[comments]])), ISNUMBER(FIND(":\n\nIntegrator", drvlst[[#This Row],[comments]])), ISNUMBER(FIND("-Integrator", drvlst[[#This Row],[comments]]))), "IntegratorComment", "")</f>
        <v/>
      </c>
      <c r="W258" s="7" t="str">
        <f>IF(ISBLANK(drvlst[[#This Row],[status]]),W257,drvlst[[#This Row],[status]])</f>
        <v>MERGED</v>
      </c>
    </row>
    <row r="259" spans="1:23">
      <c r="A259" s="7">
        <f>IF(ISBLANK(drvlst[[#This Row],[number]]),A258,drvlst[[#This Row],[number]])</f>
        <v>95512</v>
      </c>
      <c r="J259" t="s">
        <v>53</v>
      </c>
      <c r="K259" s="8">
        <v>42391.736446759256</v>
      </c>
      <c r="L259" t="s">
        <v>1972</v>
      </c>
      <c r="M259" s="7" t="str">
        <f>IF(ISBLANK(drvlst[[#This Row],[owner.emal]]),M258,drvlst[[#This Row],[owner.emal]])</f>
        <v>shuguang.gong@intel.com</v>
      </c>
      <c r="N259" s="7">
        <f>_xlfn.IFNA(VLOOKUP(drvlst[[#This Row],[tmp-owner.email]],OrgTree!$A:$J, 10, 0), "not ICG SWFW")</f>
        <v>0</v>
      </c>
      <c r="O259" s="7" t="str">
        <f>IF(drvlst[[#This Row],[reviewer]]=drvlst[[#This Row],[tmp-owner.email]], "author", _xlfn.IFNA(VLOOKUP(drvlst[[#This Row],[reviewer]],OrgTree!$A:$J, 10, 0), "not ICG SWFW"))</f>
        <v>author</v>
      </c>
      <c r="P259" s="7" t="str">
        <f>IF(ISBLANK(drvlst[[#This Row],[number]]), "",SUM(drvlst[[#This Row],[BJ -1 num]],drvlst[[#This Row],[FI -1 num]]))</f>
        <v/>
      </c>
      <c r="Q259" s="7" t="str">
        <f>IF(ISBLANK(drvlst[[#This Row],[number]]), "",COUNTIFS($A:$A,drvlst[[#This Row],[tmp-number]],$O:$O, "BJ And dev",$U:$U, "Review-1"))</f>
        <v/>
      </c>
      <c r="R259" s="7" t="str">
        <f>IF(ISBLANK(drvlst[[#This Row],[number]]), "",COUNTIFS($A:$A,drvlst[[#This Row],[tmp-number]],$O:$O, "FL And dev",$U:$U, "Review-1"))</f>
        <v/>
      </c>
      <c r="S259" s="7" t="str">
        <f>IF(ISBLANK(drvlst[[#This Row],[number]]), "",COUNTIFS($A:$A,drvlst[[#This Row],[tmp-number]],$O:$O, "BJ And dev",$V:$V, "&lt;&gt;IntegratorComment"))</f>
        <v/>
      </c>
      <c r="T259" s="7" t="str">
        <f>IF(ISBLANK(drvlst[[#This Row],[number]]), "",COUNTIFS($A:$A,drvlst[[#This Row],[tmp-number]],$O:$O, "FL And dev",$V:$V, "&lt;&gt;IntegratorComment"))</f>
        <v/>
      </c>
      <c r="U259" s="7" t="str">
        <f>IF(OR(ISNUMBER(FIND("Review-1", drvlst[[#This Row],[comments]])), ISNUMBER(FIND("Approver-1", drvlst[[#This Row],[comments]]))), "Review-1", "")</f>
        <v/>
      </c>
      <c r="V259" s="7" t="str">
        <f>IF(OR(ISNUMBER(FIND(": Integrator", drvlst[[#This Row],[comments]])), ISNUMBER(FIND(":\n\nIntegrator", drvlst[[#This Row],[comments]])), ISNUMBER(FIND("-Integrator", drvlst[[#This Row],[comments]]))), "IntegratorComment", "")</f>
        <v/>
      </c>
      <c r="W259" s="7" t="str">
        <f>IF(ISBLANK(drvlst[[#This Row],[status]]),W258,drvlst[[#This Row],[status]])</f>
        <v>MERGED</v>
      </c>
    </row>
    <row r="260" spans="1:23">
      <c r="A260" s="7">
        <f>IF(ISBLANK(drvlst[[#This Row],[number]]),A259,drvlst[[#This Row],[number]])</f>
        <v>95512</v>
      </c>
      <c r="J260" t="s">
        <v>53</v>
      </c>
      <c r="K260" s="8">
        <v>42391.736446759256</v>
      </c>
      <c r="L260" t="s">
        <v>1973</v>
      </c>
      <c r="M260" s="7" t="str">
        <f>IF(ISBLANK(drvlst[[#This Row],[owner.emal]]),M259,drvlst[[#This Row],[owner.emal]])</f>
        <v>shuguang.gong@intel.com</v>
      </c>
      <c r="N260" s="7">
        <f>_xlfn.IFNA(VLOOKUP(drvlst[[#This Row],[tmp-owner.email]],OrgTree!$A:$J, 10, 0), "not ICG SWFW")</f>
        <v>0</v>
      </c>
      <c r="O260" s="7" t="str">
        <f>IF(drvlst[[#This Row],[reviewer]]=drvlst[[#This Row],[tmp-owner.email]], "author", _xlfn.IFNA(VLOOKUP(drvlst[[#This Row],[reviewer]],OrgTree!$A:$J, 10, 0), "not ICG SWFW"))</f>
        <v>author</v>
      </c>
      <c r="P260" s="7" t="str">
        <f>IF(ISBLANK(drvlst[[#This Row],[number]]), "",SUM(drvlst[[#This Row],[BJ -1 num]],drvlst[[#This Row],[FI -1 num]]))</f>
        <v/>
      </c>
      <c r="Q260" s="7" t="str">
        <f>IF(ISBLANK(drvlst[[#This Row],[number]]), "",COUNTIFS($A:$A,drvlst[[#This Row],[tmp-number]],$O:$O, "BJ And dev",$U:$U, "Review-1"))</f>
        <v/>
      </c>
      <c r="R260" s="7" t="str">
        <f>IF(ISBLANK(drvlst[[#This Row],[number]]), "",COUNTIFS($A:$A,drvlst[[#This Row],[tmp-number]],$O:$O, "FL And dev",$U:$U, "Review-1"))</f>
        <v/>
      </c>
      <c r="S260" s="7" t="str">
        <f>IF(ISBLANK(drvlst[[#This Row],[number]]), "",COUNTIFS($A:$A,drvlst[[#This Row],[tmp-number]],$O:$O, "BJ And dev",$V:$V, "&lt;&gt;IntegratorComment"))</f>
        <v/>
      </c>
      <c r="T260" s="7" t="str">
        <f>IF(ISBLANK(drvlst[[#This Row],[number]]), "",COUNTIFS($A:$A,drvlst[[#This Row],[tmp-number]],$O:$O, "FL And dev",$V:$V, "&lt;&gt;IntegratorComment"))</f>
        <v/>
      </c>
      <c r="U260" s="7" t="str">
        <f>IF(OR(ISNUMBER(FIND("Review-1", drvlst[[#This Row],[comments]])), ISNUMBER(FIND("Approver-1", drvlst[[#This Row],[comments]]))), "Review-1", "")</f>
        <v/>
      </c>
      <c r="V260" s="7" t="str">
        <f>IF(OR(ISNUMBER(FIND(": Integrator", drvlst[[#This Row],[comments]])), ISNUMBER(FIND(":\n\nIntegrator", drvlst[[#This Row],[comments]])), ISNUMBER(FIND("-Integrator", drvlst[[#This Row],[comments]]))), "IntegratorComment", "")</f>
        <v/>
      </c>
      <c r="W260" s="7" t="str">
        <f>IF(ISBLANK(drvlst[[#This Row],[status]]),W259,drvlst[[#This Row],[status]])</f>
        <v>MERGED</v>
      </c>
    </row>
    <row r="261" spans="1:23">
      <c r="A261" s="7">
        <f>IF(ISBLANK(drvlst[[#This Row],[number]]),A260,drvlst[[#This Row],[number]])</f>
        <v>95512</v>
      </c>
      <c r="J261" t="s">
        <v>53</v>
      </c>
      <c r="K261" s="8">
        <v>42391.772152777776</v>
      </c>
      <c r="L261" t="s">
        <v>1974</v>
      </c>
      <c r="M261" s="7" t="str">
        <f>IF(ISBLANK(drvlst[[#This Row],[owner.emal]]),M260,drvlst[[#This Row],[owner.emal]])</f>
        <v>shuguang.gong@intel.com</v>
      </c>
      <c r="N261" s="7">
        <f>_xlfn.IFNA(VLOOKUP(drvlst[[#This Row],[tmp-owner.email]],OrgTree!$A:$J, 10, 0), "not ICG SWFW")</f>
        <v>0</v>
      </c>
      <c r="O261" s="7" t="str">
        <f>IF(drvlst[[#This Row],[reviewer]]=drvlst[[#This Row],[tmp-owner.email]], "author", _xlfn.IFNA(VLOOKUP(drvlst[[#This Row],[reviewer]],OrgTree!$A:$J, 10, 0), "not ICG SWFW"))</f>
        <v>author</v>
      </c>
      <c r="P261" s="7" t="str">
        <f>IF(ISBLANK(drvlst[[#This Row],[number]]), "",SUM(drvlst[[#This Row],[BJ -1 num]],drvlst[[#This Row],[FI -1 num]]))</f>
        <v/>
      </c>
      <c r="Q261" s="7" t="str">
        <f>IF(ISBLANK(drvlst[[#This Row],[number]]), "",COUNTIFS($A:$A,drvlst[[#This Row],[tmp-number]],$O:$O, "BJ And dev",$U:$U, "Review-1"))</f>
        <v/>
      </c>
      <c r="R261" s="7" t="str">
        <f>IF(ISBLANK(drvlst[[#This Row],[number]]), "",COUNTIFS($A:$A,drvlst[[#This Row],[tmp-number]],$O:$O, "FL And dev",$U:$U, "Review-1"))</f>
        <v/>
      </c>
      <c r="S261" s="7" t="str">
        <f>IF(ISBLANK(drvlst[[#This Row],[number]]), "",COUNTIFS($A:$A,drvlst[[#This Row],[tmp-number]],$O:$O, "BJ And dev",$V:$V, "&lt;&gt;IntegratorComment"))</f>
        <v/>
      </c>
      <c r="T261" s="7" t="str">
        <f>IF(ISBLANK(drvlst[[#This Row],[number]]), "",COUNTIFS($A:$A,drvlst[[#This Row],[tmp-number]],$O:$O, "FL And dev",$V:$V, "&lt;&gt;IntegratorComment"))</f>
        <v/>
      </c>
      <c r="U261" s="7" t="str">
        <f>IF(OR(ISNUMBER(FIND("Review-1", drvlst[[#This Row],[comments]])), ISNUMBER(FIND("Approver-1", drvlst[[#This Row],[comments]]))), "Review-1", "")</f>
        <v>Review-1</v>
      </c>
      <c r="V261" s="7" t="str">
        <f>IF(OR(ISNUMBER(FIND(": Integrator", drvlst[[#This Row],[comments]])), ISNUMBER(FIND(":\n\nIntegrator", drvlst[[#This Row],[comments]])), ISNUMBER(FIND("-Integrator", drvlst[[#This Row],[comments]]))), "IntegratorComment", "")</f>
        <v/>
      </c>
      <c r="W261" s="7" t="str">
        <f>IF(ISBLANK(drvlst[[#This Row],[status]]),W260,drvlst[[#This Row],[status]])</f>
        <v>MERGED</v>
      </c>
    </row>
    <row r="262" spans="1:23">
      <c r="A262" s="7">
        <f>IF(ISBLANK(drvlst[[#This Row],[number]]),A261,drvlst[[#This Row],[number]])</f>
        <v>95512</v>
      </c>
      <c r="J262" t="s">
        <v>53</v>
      </c>
      <c r="K262" s="8">
        <v>42391.797962962963</v>
      </c>
      <c r="L262" t="s">
        <v>1975</v>
      </c>
      <c r="M262" s="7" t="str">
        <f>IF(ISBLANK(drvlst[[#This Row],[owner.emal]]),M261,drvlst[[#This Row],[owner.emal]])</f>
        <v>shuguang.gong@intel.com</v>
      </c>
      <c r="N262" s="7">
        <f>_xlfn.IFNA(VLOOKUP(drvlst[[#This Row],[tmp-owner.email]],OrgTree!$A:$J, 10, 0), "not ICG SWFW")</f>
        <v>0</v>
      </c>
      <c r="O262" s="7" t="str">
        <f>IF(drvlst[[#This Row],[reviewer]]=drvlst[[#This Row],[tmp-owner.email]], "author", _xlfn.IFNA(VLOOKUP(drvlst[[#This Row],[reviewer]],OrgTree!$A:$J, 10, 0), "not ICG SWFW"))</f>
        <v>author</v>
      </c>
      <c r="P262" s="7" t="str">
        <f>IF(ISBLANK(drvlst[[#This Row],[number]]), "",SUM(drvlst[[#This Row],[BJ -1 num]],drvlst[[#This Row],[FI -1 num]]))</f>
        <v/>
      </c>
      <c r="Q262" s="7" t="str">
        <f>IF(ISBLANK(drvlst[[#This Row],[number]]), "",COUNTIFS($A:$A,drvlst[[#This Row],[tmp-number]],$O:$O, "BJ And dev",$U:$U, "Review-1"))</f>
        <v/>
      </c>
      <c r="R262" s="7" t="str">
        <f>IF(ISBLANK(drvlst[[#This Row],[number]]), "",COUNTIFS($A:$A,drvlst[[#This Row],[tmp-number]],$O:$O, "FL And dev",$U:$U, "Review-1"))</f>
        <v/>
      </c>
      <c r="S262" s="7" t="str">
        <f>IF(ISBLANK(drvlst[[#This Row],[number]]), "",COUNTIFS($A:$A,drvlst[[#This Row],[tmp-number]],$O:$O, "BJ And dev",$V:$V, "&lt;&gt;IntegratorComment"))</f>
        <v/>
      </c>
      <c r="T262" s="7" t="str">
        <f>IF(ISBLANK(drvlst[[#This Row],[number]]), "",COUNTIFS($A:$A,drvlst[[#This Row],[tmp-number]],$O:$O, "FL And dev",$V:$V, "&lt;&gt;IntegratorComment"))</f>
        <v/>
      </c>
      <c r="U262" s="7" t="str">
        <f>IF(OR(ISNUMBER(FIND("Review-1", drvlst[[#This Row],[comments]])), ISNUMBER(FIND("Approver-1", drvlst[[#This Row],[comments]]))), "Review-1", "")</f>
        <v/>
      </c>
      <c r="V262" s="7" t="str">
        <f>IF(OR(ISNUMBER(FIND(": Integrator", drvlst[[#This Row],[comments]])), ISNUMBER(FIND(":\n\nIntegrator", drvlst[[#This Row],[comments]])), ISNUMBER(FIND("-Integrator", drvlst[[#This Row],[comments]]))), "IntegratorComment", "")</f>
        <v/>
      </c>
      <c r="W262" s="7" t="str">
        <f>IF(ISBLANK(drvlst[[#This Row],[status]]),W261,drvlst[[#This Row],[status]])</f>
        <v>MERGED</v>
      </c>
    </row>
    <row r="263" spans="1:23">
      <c r="A263" s="7">
        <f>IF(ISBLANK(drvlst[[#This Row],[number]]),A262,drvlst[[#This Row],[number]])</f>
        <v>95512</v>
      </c>
      <c r="J263" t="s">
        <v>53</v>
      </c>
      <c r="K263" s="8">
        <v>42391.797986111109</v>
      </c>
      <c r="L263" t="s">
        <v>1976</v>
      </c>
      <c r="M263" s="7" t="str">
        <f>IF(ISBLANK(drvlst[[#This Row],[owner.emal]]),M262,drvlst[[#This Row],[owner.emal]])</f>
        <v>shuguang.gong@intel.com</v>
      </c>
      <c r="N263" s="7">
        <f>_xlfn.IFNA(VLOOKUP(drvlst[[#This Row],[tmp-owner.email]],OrgTree!$A:$J, 10, 0), "not ICG SWFW")</f>
        <v>0</v>
      </c>
      <c r="O263" s="7" t="str">
        <f>IF(drvlst[[#This Row],[reviewer]]=drvlst[[#This Row],[tmp-owner.email]], "author", _xlfn.IFNA(VLOOKUP(drvlst[[#This Row],[reviewer]],OrgTree!$A:$J, 10, 0), "not ICG SWFW"))</f>
        <v>author</v>
      </c>
      <c r="P263" s="7" t="str">
        <f>IF(ISBLANK(drvlst[[#This Row],[number]]), "",SUM(drvlst[[#This Row],[BJ -1 num]],drvlst[[#This Row],[FI -1 num]]))</f>
        <v/>
      </c>
      <c r="Q263" s="7" t="str">
        <f>IF(ISBLANK(drvlst[[#This Row],[number]]), "",COUNTIFS($A:$A,drvlst[[#This Row],[tmp-number]],$O:$O, "BJ And dev",$U:$U, "Review-1"))</f>
        <v/>
      </c>
      <c r="R263" s="7" t="str">
        <f>IF(ISBLANK(drvlst[[#This Row],[number]]), "",COUNTIFS($A:$A,drvlst[[#This Row],[tmp-number]],$O:$O, "FL And dev",$U:$U, "Review-1"))</f>
        <v/>
      </c>
      <c r="S263" s="7" t="str">
        <f>IF(ISBLANK(drvlst[[#This Row],[number]]), "",COUNTIFS($A:$A,drvlst[[#This Row],[tmp-number]],$O:$O, "BJ And dev",$V:$V, "&lt;&gt;IntegratorComment"))</f>
        <v/>
      </c>
      <c r="T263" s="7" t="str">
        <f>IF(ISBLANK(drvlst[[#This Row],[number]]), "",COUNTIFS($A:$A,drvlst[[#This Row],[tmp-number]],$O:$O, "FL And dev",$V:$V, "&lt;&gt;IntegratorComment"))</f>
        <v/>
      </c>
      <c r="U263" s="7" t="str">
        <f>IF(OR(ISNUMBER(FIND("Review-1", drvlst[[#This Row],[comments]])), ISNUMBER(FIND("Approver-1", drvlst[[#This Row],[comments]]))), "Review-1", "")</f>
        <v/>
      </c>
      <c r="V263" s="7" t="str">
        <f>IF(OR(ISNUMBER(FIND(": Integrator", drvlst[[#This Row],[comments]])), ISNUMBER(FIND(":\n\nIntegrator", drvlst[[#This Row],[comments]])), ISNUMBER(FIND("-Integrator", drvlst[[#This Row],[comments]]))), "IntegratorComment", "")</f>
        <v/>
      </c>
      <c r="W263" s="7" t="str">
        <f>IF(ISBLANK(drvlst[[#This Row],[status]]),W262,drvlst[[#This Row],[status]])</f>
        <v>MERGED</v>
      </c>
    </row>
    <row r="264" spans="1:23">
      <c r="A264" s="7">
        <f>IF(ISBLANK(drvlst[[#This Row],[number]]),A263,drvlst[[#This Row],[number]])</f>
        <v>95512</v>
      </c>
      <c r="J264" t="s">
        <v>53</v>
      </c>
      <c r="K264" s="8">
        <v>42391.808796296296</v>
      </c>
      <c r="L264" t="s">
        <v>1977</v>
      </c>
      <c r="M264" s="7" t="str">
        <f>IF(ISBLANK(drvlst[[#This Row],[owner.emal]]),M263,drvlst[[#This Row],[owner.emal]])</f>
        <v>shuguang.gong@intel.com</v>
      </c>
      <c r="N264" s="7">
        <f>_xlfn.IFNA(VLOOKUP(drvlst[[#This Row],[tmp-owner.email]],OrgTree!$A:$J, 10, 0), "not ICG SWFW")</f>
        <v>0</v>
      </c>
      <c r="O264" s="7" t="str">
        <f>IF(drvlst[[#This Row],[reviewer]]=drvlst[[#This Row],[tmp-owner.email]], "author", _xlfn.IFNA(VLOOKUP(drvlst[[#This Row],[reviewer]],OrgTree!$A:$J, 10, 0), "not ICG SWFW"))</f>
        <v>author</v>
      </c>
      <c r="P264" s="7" t="str">
        <f>IF(ISBLANK(drvlst[[#This Row],[number]]), "",SUM(drvlst[[#This Row],[BJ -1 num]],drvlst[[#This Row],[FI -1 num]]))</f>
        <v/>
      </c>
      <c r="Q264" s="7" t="str">
        <f>IF(ISBLANK(drvlst[[#This Row],[number]]), "",COUNTIFS($A:$A,drvlst[[#This Row],[tmp-number]],$O:$O, "BJ And dev",$U:$U, "Review-1"))</f>
        <v/>
      </c>
      <c r="R264" s="7" t="str">
        <f>IF(ISBLANK(drvlst[[#This Row],[number]]), "",COUNTIFS($A:$A,drvlst[[#This Row],[tmp-number]],$O:$O, "FL And dev",$U:$U, "Review-1"))</f>
        <v/>
      </c>
      <c r="S264" s="7" t="str">
        <f>IF(ISBLANK(drvlst[[#This Row],[number]]), "",COUNTIFS($A:$A,drvlst[[#This Row],[tmp-number]],$O:$O, "BJ And dev",$V:$V, "&lt;&gt;IntegratorComment"))</f>
        <v/>
      </c>
      <c r="T264" s="7" t="str">
        <f>IF(ISBLANK(drvlst[[#This Row],[number]]), "",COUNTIFS($A:$A,drvlst[[#This Row],[tmp-number]],$O:$O, "FL And dev",$V:$V, "&lt;&gt;IntegratorComment"))</f>
        <v/>
      </c>
      <c r="U264" s="7" t="str">
        <f>IF(OR(ISNUMBER(FIND("Review-1", drvlst[[#This Row],[comments]])), ISNUMBER(FIND("Approver-1", drvlst[[#This Row],[comments]]))), "Review-1", "")</f>
        <v/>
      </c>
      <c r="V264" s="7" t="str">
        <f>IF(OR(ISNUMBER(FIND(": Integrator", drvlst[[#This Row],[comments]])), ISNUMBER(FIND(":\n\nIntegrator", drvlst[[#This Row],[comments]])), ISNUMBER(FIND("-Integrator", drvlst[[#This Row],[comments]]))), "IntegratorComment", "")</f>
        <v/>
      </c>
      <c r="W264" s="7" t="str">
        <f>IF(ISBLANK(drvlst[[#This Row],[status]]),W263,drvlst[[#This Row],[status]])</f>
        <v>MERGED</v>
      </c>
    </row>
    <row r="265" spans="1:23">
      <c r="A265" s="7">
        <f>IF(ISBLANK(drvlst[[#This Row],[number]]),A264,drvlst[[#This Row],[number]])</f>
        <v>95512</v>
      </c>
      <c r="J265" t="s">
        <v>30</v>
      </c>
      <c r="K265" s="8">
        <v>42391.82503472222</v>
      </c>
      <c r="L265" t="s">
        <v>1978</v>
      </c>
      <c r="M265" s="7" t="str">
        <f>IF(ISBLANK(drvlst[[#This Row],[owner.emal]]),M264,drvlst[[#This Row],[owner.emal]])</f>
        <v>shuguang.gong@intel.com</v>
      </c>
      <c r="N265" s="7">
        <f>_xlfn.IFNA(VLOOKUP(drvlst[[#This Row],[tmp-owner.email]],OrgTree!$A:$J, 10, 0), "not ICG SWFW")</f>
        <v>0</v>
      </c>
      <c r="O265" s="7">
        <f>IF(drvlst[[#This Row],[reviewer]]=drvlst[[#This Row],[tmp-owner.email]], "author", _xlfn.IFNA(VLOOKUP(drvlst[[#This Row],[reviewer]],OrgTree!$A:$J, 10, 0), "not ICG SWFW"))</f>
        <v>0</v>
      </c>
      <c r="P265" s="7" t="str">
        <f>IF(ISBLANK(drvlst[[#This Row],[number]]), "",SUM(drvlst[[#This Row],[BJ -1 num]],drvlst[[#This Row],[FI -1 num]]))</f>
        <v/>
      </c>
      <c r="Q265" s="7" t="str">
        <f>IF(ISBLANK(drvlst[[#This Row],[number]]), "",COUNTIFS($A:$A,drvlst[[#This Row],[tmp-number]],$O:$O, "BJ And dev",$U:$U, "Review-1"))</f>
        <v/>
      </c>
      <c r="R265" s="7" t="str">
        <f>IF(ISBLANK(drvlst[[#This Row],[number]]), "",COUNTIFS($A:$A,drvlst[[#This Row],[tmp-number]],$O:$O, "FL And dev",$U:$U, "Review-1"))</f>
        <v/>
      </c>
      <c r="S265" s="7" t="str">
        <f>IF(ISBLANK(drvlst[[#This Row],[number]]), "",COUNTIFS($A:$A,drvlst[[#This Row],[tmp-number]],$O:$O, "BJ And dev",$V:$V, "&lt;&gt;IntegratorComment"))</f>
        <v/>
      </c>
      <c r="T265" s="7" t="str">
        <f>IF(ISBLANK(drvlst[[#This Row],[number]]), "",COUNTIFS($A:$A,drvlst[[#This Row],[tmp-number]],$O:$O, "FL And dev",$V:$V, "&lt;&gt;IntegratorComment"))</f>
        <v/>
      </c>
      <c r="U265" s="7" t="str">
        <f>IF(OR(ISNUMBER(FIND("Review-1", drvlst[[#This Row],[comments]])), ISNUMBER(FIND("Approver-1", drvlst[[#This Row],[comments]]))), "Review-1", "")</f>
        <v/>
      </c>
      <c r="V265" s="7" t="str">
        <f>IF(OR(ISNUMBER(FIND(": Integrator", drvlst[[#This Row],[comments]])), ISNUMBER(FIND(":\n\nIntegrator", drvlst[[#This Row],[comments]])), ISNUMBER(FIND("-Integrator", drvlst[[#This Row],[comments]]))), "IntegratorComment", "")</f>
        <v/>
      </c>
      <c r="W265" s="7" t="str">
        <f>IF(ISBLANK(drvlst[[#This Row],[status]]),W264,drvlst[[#This Row],[status]])</f>
        <v>MERGED</v>
      </c>
    </row>
    <row r="266" spans="1:23">
      <c r="A266" s="7">
        <f>IF(ISBLANK(drvlst[[#This Row],[number]]),A265,drvlst[[#This Row],[number]])</f>
        <v>95512</v>
      </c>
      <c r="J266" t="s">
        <v>101</v>
      </c>
      <c r="K266" s="8">
        <v>42391.838194444441</v>
      </c>
      <c r="L266" t="s">
        <v>1979</v>
      </c>
      <c r="M266" s="7" t="str">
        <f>IF(ISBLANK(drvlst[[#This Row],[owner.emal]]),M265,drvlst[[#This Row],[owner.emal]])</f>
        <v>shuguang.gong@intel.com</v>
      </c>
      <c r="N266" s="7">
        <f>_xlfn.IFNA(VLOOKUP(drvlst[[#This Row],[tmp-owner.email]],OrgTree!$A:$J, 10, 0), "not ICG SWFW")</f>
        <v>0</v>
      </c>
      <c r="O266" s="7">
        <f>IF(drvlst[[#This Row],[reviewer]]=drvlst[[#This Row],[tmp-owner.email]], "author", _xlfn.IFNA(VLOOKUP(drvlst[[#This Row],[reviewer]],OrgTree!$A:$J, 10, 0), "not ICG SWFW"))</f>
        <v>0</v>
      </c>
      <c r="P266" s="7" t="str">
        <f>IF(ISBLANK(drvlst[[#This Row],[number]]), "",SUM(drvlst[[#This Row],[BJ -1 num]],drvlst[[#This Row],[FI -1 num]]))</f>
        <v/>
      </c>
      <c r="Q266" s="7" t="str">
        <f>IF(ISBLANK(drvlst[[#This Row],[number]]), "",COUNTIFS($A:$A,drvlst[[#This Row],[tmp-number]],$O:$O, "BJ And dev",$U:$U, "Review-1"))</f>
        <v/>
      </c>
      <c r="R266" s="7" t="str">
        <f>IF(ISBLANK(drvlst[[#This Row],[number]]), "",COUNTIFS($A:$A,drvlst[[#This Row],[tmp-number]],$O:$O, "FL And dev",$U:$U, "Review-1"))</f>
        <v/>
      </c>
      <c r="S266" s="7" t="str">
        <f>IF(ISBLANK(drvlst[[#This Row],[number]]), "",COUNTIFS($A:$A,drvlst[[#This Row],[tmp-number]],$O:$O, "BJ And dev",$V:$V, "&lt;&gt;IntegratorComment"))</f>
        <v/>
      </c>
      <c r="T266" s="7" t="str">
        <f>IF(ISBLANK(drvlst[[#This Row],[number]]), "",COUNTIFS($A:$A,drvlst[[#This Row],[tmp-number]],$O:$O, "FL And dev",$V:$V, "&lt;&gt;IntegratorComment"))</f>
        <v/>
      </c>
      <c r="U266" s="7" t="str">
        <f>IF(OR(ISNUMBER(FIND("Review-1", drvlst[[#This Row],[comments]])), ISNUMBER(FIND("Approver-1", drvlst[[#This Row],[comments]]))), "Review-1", "")</f>
        <v/>
      </c>
      <c r="V266" s="7" t="str">
        <f>IF(OR(ISNUMBER(FIND(": Integrator", drvlst[[#This Row],[comments]])), ISNUMBER(FIND(":\n\nIntegrator", drvlst[[#This Row],[comments]])), ISNUMBER(FIND("-Integrator", drvlst[[#This Row],[comments]]))), "IntegratorComment", "")</f>
        <v/>
      </c>
      <c r="W266" s="7" t="str">
        <f>IF(ISBLANK(drvlst[[#This Row],[status]]),W265,drvlst[[#This Row],[status]])</f>
        <v>MERGED</v>
      </c>
    </row>
    <row r="267" spans="1:23">
      <c r="A267" s="7">
        <f>IF(ISBLANK(drvlst[[#This Row],[number]]),A266,drvlst[[#This Row],[number]])</f>
        <v>95512</v>
      </c>
      <c r="J267" t="s">
        <v>101</v>
      </c>
      <c r="K267" s="8">
        <v>42391.84746527778</v>
      </c>
      <c r="L267" t="s">
        <v>1980</v>
      </c>
      <c r="M267" s="7" t="str">
        <f>IF(ISBLANK(drvlst[[#This Row],[owner.emal]]),M266,drvlst[[#This Row],[owner.emal]])</f>
        <v>shuguang.gong@intel.com</v>
      </c>
      <c r="N267" s="7">
        <f>_xlfn.IFNA(VLOOKUP(drvlst[[#This Row],[tmp-owner.email]],OrgTree!$A:$J, 10, 0), "not ICG SWFW")</f>
        <v>0</v>
      </c>
      <c r="O267" s="7">
        <f>IF(drvlst[[#This Row],[reviewer]]=drvlst[[#This Row],[tmp-owner.email]], "author", _xlfn.IFNA(VLOOKUP(drvlst[[#This Row],[reviewer]],OrgTree!$A:$J, 10, 0), "not ICG SWFW"))</f>
        <v>0</v>
      </c>
      <c r="P267" s="7" t="str">
        <f>IF(ISBLANK(drvlst[[#This Row],[number]]), "",SUM(drvlst[[#This Row],[BJ -1 num]],drvlst[[#This Row],[FI -1 num]]))</f>
        <v/>
      </c>
      <c r="Q267" s="7" t="str">
        <f>IF(ISBLANK(drvlst[[#This Row],[number]]), "",COUNTIFS($A:$A,drvlst[[#This Row],[tmp-number]],$O:$O, "BJ And dev",$U:$U, "Review-1"))</f>
        <v/>
      </c>
      <c r="R267" s="7" t="str">
        <f>IF(ISBLANK(drvlst[[#This Row],[number]]), "",COUNTIFS($A:$A,drvlst[[#This Row],[tmp-number]],$O:$O, "FL And dev",$U:$U, "Review-1"))</f>
        <v/>
      </c>
      <c r="S267" s="7" t="str">
        <f>IF(ISBLANK(drvlst[[#This Row],[number]]), "",COUNTIFS($A:$A,drvlst[[#This Row],[tmp-number]],$O:$O, "BJ And dev",$V:$V, "&lt;&gt;IntegratorComment"))</f>
        <v/>
      </c>
      <c r="T267" s="7" t="str">
        <f>IF(ISBLANK(drvlst[[#This Row],[number]]), "",COUNTIFS($A:$A,drvlst[[#This Row],[tmp-number]],$O:$O, "FL And dev",$V:$V, "&lt;&gt;IntegratorComment"))</f>
        <v/>
      </c>
      <c r="U267" s="7" t="str">
        <f>IF(OR(ISNUMBER(FIND("Review-1", drvlst[[#This Row],[comments]])), ISNUMBER(FIND("Approver-1", drvlst[[#This Row],[comments]]))), "Review-1", "")</f>
        <v/>
      </c>
      <c r="V267" s="7" t="str">
        <f>IF(OR(ISNUMBER(FIND(": Integrator", drvlst[[#This Row],[comments]])), ISNUMBER(FIND(":\n\nIntegrator", drvlst[[#This Row],[comments]])), ISNUMBER(FIND("-Integrator", drvlst[[#This Row],[comments]]))), "IntegratorComment", "")</f>
        <v/>
      </c>
      <c r="W267" s="7" t="str">
        <f>IF(ISBLANK(drvlst[[#This Row],[status]]),W266,drvlst[[#This Row],[status]])</f>
        <v>MERGED</v>
      </c>
    </row>
    <row r="268" spans="1:23">
      <c r="A268" s="7">
        <f>IF(ISBLANK(drvlst[[#This Row],[number]]),A267,drvlst[[#This Row],[number]])</f>
        <v>95512</v>
      </c>
      <c r="J268" t="s">
        <v>53</v>
      </c>
      <c r="K268" s="8">
        <v>42391.854930555557</v>
      </c>
      <c r="L268" t="s">
        <v>1981</v>
      </c>
      <c r="M268" s="7" t="str">
        <f>IF(ISBLANK(drvlst[[#This Row],[owner.emal]]),M267,drvlst[[#This Row],[owner.emal]])</f>
        <v>shuguang.gong@intel.com</v>
      </c>
      <c r="N268" s="7">
        <f>_xlfn.IFNA(VLOOKUP(drvlst[[#This Row],[tmp-owner.email]],OrgTree!$A:$J, 10, 0), "not ICG SWFW")</f>
        <v>0</v>
      </c>
      <c r="O268" s="7" t="str">
        <f>IF(drvlst[[#This Row],[reviewer]]=drvlst[[#This Row],[tmp-owner.email]], "author", _xlfn.IFNA(VLOOKUP(drvlst[[#This Row],[reviewer]],OrgTree!$A:$J, 10, 0), "not ICG SWFW"))</f>
        <v>author</v>
      </c>
      <c r="P268" s="7" t="str">
        <f>IF(ISBLANK(drvlst[[#This Row],[number]]), "",SUM(drvlst[[#This Row],[BJ -1 num]],drvlst[[#This Row],[FI -1 num]]))</f>
        <v/>
      </c>
      <c r="Q268" s="7" t="str">
        <f>IF(ISBLANK(drvlst[[#This Row],[number]]), "",COUNTIFS($A:$A,drvlst[[#This Row],[tmp-number]],$O:$O, "BJ And dev",$U:$U, "Review-1"))</f>
        <v/>
      </c>
      <c r="R268" s="7" t="str">
        <f>IF(ISBLANK(drvlst[[#This Row],[number]]), "",COUNTIFS($A:$A,drvlst[[#This Row],[tmp-number]],$O:$O, "FL And dev",$U:$U, "Review-1"))</f>
        <v/>
      </c>
      <c r="S268" s="7" t="str">
        <f>IF(ISBLANK(drvlst[[#This Row],[number]]), "",COUNTIFS($A:$A,drvlst[[#This Row],[tmp-number]],$O:$O, "BJ And dev",$V:$V, "&lt;&gt;IntegratorComment"))</f>
        <v/>
      </c>
      <c r="T268" s="7" t="str">
        <f>IF(ISBLANK(drvlst[[#This Row],[number]]), "",COUNTIFS($A:$A,drvlst[[#This Row],[tmp-number]],$O:$O, "FL And dev",$V:$V, "&lt;&gt;IntegratorComment"))</f>
        <v/>
      </c>
      <c r="U268" s="7" t="str">
        <f>IF(OR(ISNUMBER(FIND("Review-1", drvlst[[#This Row],[comments]])), ISNUMBER(FIND("Approver-1", drvlst[[#This Row],[comments]]))), "Review-1", "")</f>
        <v/>
      </c>
      <c r="V268" s="7" t="str">
        <f>IF(OR(ISNUMBER(FIND(": Integrator", drvlst[[#This Row],[comments]])), ISNUMBER(FIND(":\n\nIntegrator", drvlst[[#This Row],[comments]])), ISNUMBER(FIND("-Integrator", drvlst[[#This Row],[comments]]))), "IntegratorComment", "")</f>
        <v/>
      </c>
      <c r="W268" s="7" t="str">
        <f>IF(ISBLANK(drvlst[[#This Row],[status]]),W267,drvlst[[#This Row],[status]])</f>
        <v>MERGED</v>
      </c>
    </row>
    <row r="269" spans="1:23">
      <c r="A269" s="7">
        <f>IF(ISBLANK(drvlst[[#This Row],[number]]),A268,drvlst[[#This Row],[number]])</f>
        <v>95512</v>
      </c>
      <c r="J269" t="s">
        <v>38</v>
      </c>
      <c r="K269" s="8">
        <v>42394.440081018518</v>
      </c>
      <c r="L269" t="s">
        <v>1982</v>
      </c>
      <c r="M269" s="7" t="str">
        <f>IF(ISBLANK(drvlst[[#This Row],[owner.emal]]),M268,drvlst[[#This Row],[owner.emal]])</f>
        <v>shuguang.gong@intel.com</v>
      </c>
      <c r="N269" s="7">
        <f>_xlfn.IFNA(VLOOKUP(drvlst[[#This Row],[tmp-owner.email]],OrgTree!$A:$J, 10, 0), "not ICG SWFW")</f>
        <v>0</v>
      </c>
      <c r="O269" s="7">
        <f>IF(drvlst[[#This Row],[reviewer]]=drvlst[[#This Row],[tmp-owner.email]], "author", _xlfn.IFNA(VLOOKUP(drvlst[[#This Row],[reviewer]],OrgTree!$A:$J, 10, 0), "not ICG SWFW"))</f>
        <v>0</v>
      </c>
      <c r="P269" s="7" t="str">
        <f>IF(ISBLANK(drvlst[[#This Row],[number]]), "",SUM(drvlst[[#This Row],[BJ -1 num]],drvlst[[#This Row],[FI -1 num]]))</f>
        <v/>
      </c>
      <c r="Q269" s="7" t="str">
        <f>IF(ISBLANK(drvlst[[#This Row],[number]]), "",COUNTIFS($A:$A,drvlst[[#This Row],[tmp-number]],$O:$O, "BJ And dev",$U:$U, "Review-1"))</f>
        <v/>
      </c>
      <c r="R269" s="7" t="str">
        <f>IF(ISBLANK(drvlst[[#This Row],[number]]), "",COUNTIFS($A:$A,drvlst[[#This Row],[tmp-number]],$O:$O, "FL And dev",$U:$U, "Review-1"))</f>
        <v/>
      </c>
      <c r="S269" s="7" t="str">
        <f>IF(ISBLANK(drvlst[[#This Row],[number]]), "",COUNTIFS($A:$A,drvlst[[#This Row],[tmp-number]],$O:$O, "BJ And dev",$V:$V, "&lt;&gt;IntegratorComment"))</f>
        <v/>
      </c>
      <c r="T269" s="7" t="str">
        <f>IF(ISBLANK(drvlst[[#This Row],[number]]), "",COUNTIFS($A:$A,drvlst[[#This Row],[tmp-number]],$O:$O, "FL And dev",$V:$V, "&lt;&gt;IntegratorComment"))</f>
        <v/>
      </c>
      <c r="U269" s="7" t="str">
        <f>IF(OR(ISNUMBER(FIND("Review-1", drvlst[[#This Row],[comments]])), ISNUMBER(FIND("Approver-1", drvlst[[#This Row],[comments]]))), "Review-1", "")</f>
        <v/>
      </c>
      <c r="V269" s="7" t="str">
        <f>IF(OR(ISNUMBER(FIND(": Integrator", drvlst[[#This Row],[comments]])), ISNUMBER(FIND(":\n\nIntegrator", drvlst[[#This Row],[comments]])), ISNUMBER(FIND("-Integrator", drvlst[[#This Row],[comments]]))), "IntegratorComment", "")</f>
        <v/>
      </c>
      <c r="W269" s="7" t="str">
        <f>IF(ISBLANK(drvlst[[#This Row],[status]]),W268,drvlst[[#This Row],[status]])</f>
        <v>MERGED</v>
      </c>
    </row>
    <row r="270" spans="1:23">
      <c r="A270" s="7">
        <f>IF(ISBLANK(drvlst[[#This Row],[number]]),A269,drvlst[[#This Row],[number]])</f>
        <v>95512</v>
      </c>
      <c r="J270" t="s">
        <v>34</v>
      </c>
      <c r="K270" s="8">
        <v>42394.597557870373</v>
      </c>
      <c r="L270" t="s">
        <v>1983</v>
      </c>
      <c r="M270" s="7" t="str">
        <f>IF(ISBLANK(drvlst[[#This Row],[owner.emal]]),M269,drvlst[[#This Row],[owner.emal]])</f>
        <v>shuguang.gong@intel.com</v>
      </c>
      <c r="N270" s="7">
        <f>_xlfn.IFNA(VLOOKUP(drvlst[[#This Row],[tmp-owner.email]],OrgTree!$A:$J, 10, 0), "not ICG SWFW")</f>
        <v>0</v>
      </c>
      <c r="O270" s="7">
        <f>IF(drvlst[[#This Row],[reviewer]]=drvlst[[#This Row],[tmp-owner.email]], "author", _xlfn.IFNA(VLOOKUP(drvlst[[#This Row],[reviewer]],OrgTree!$A:$J, 10, 0), "not ICG SWFW"))</f>
        <v>0</v>
      </c>
      <c r="P270" s="7" t="str">
        <f>IF(ISBLANK(drvlst[[#This Row],[number]]), "",SUM(drvlst[[#This Row],[BJ -1 num]],drvlst[[#This Row],[FI -1 num]]))</f>
        <v/>
      </c>
      <c r="Q270" s="7" t="str">
        <f>IF(ISBLANK(drvlst[[#This Row],[number]]), "",COUNTIFS($A:$A,drvlst[[#This Row],[tmp-number]],$O:$O, "BJ And dev",$U:$U, "Review-1"))</f>
        <v/>
      </c>
      <c r="R270" s="7" t="str">
        <f>IF(ISBLANK(drvlst[[#This Row],[number]]), "",COUNTIFS($A:$A,drvlst[[#This Row],[tmp-number]],$O:$O, "FL And dev",$U:$U, "Review-1"))</f>
        <v/>
      </c>
      <c r="S270" s="7" t="str">
        <f>IF(ISBLANK(drvlst[[#This Row],[number]]), "",COUNTIFS($A:$A,drvlst[[#This Row],[tmp-number]],$O:$O, "BJ And dev",$V:$V, "&lt;&gt;IntegratorComment"))</f>
        <v/>
      </c>
      <c r="T270" s="7" t="str">
        <f>IF(ISBLANK(drvlst[[#This Row],[number]]), "",COUNTIFS($A:$A,drvlst[[#This Row],[tmp-number]],$O:$O, "FL And dev",$V:$V, "&lt;&gt;IntegratorComment"))</f>
        <v/>
      </c>
      <c r="U270" s="7" t="str">
        <f>IF(OR(ISNUMBER(FIND("Review-1", drvlst[[#This Row],[comments]])), ISNUMBER(FIND("Approver-1", drvlst[[#This Row],[comments]]))), "Review-1", "")</f>
        <v/>
      </c>
      <c r="V270" s="7" t="str">
        <f>IF(OR(ISNUMBER(FIND(": Integrator", drvlst[[#This Row],[comments]])), ISNUMBER(FIND(":\n\nIntegrator", drvlst[[#This Row],[comments]])), ISNUMBER(FIND("-Integrator", drvlst[[#This Row],[comments]]))), "IntegratorComment", "")</f>
        <v>IntegratorComment</v>
      </c>
      <c r="W270" s="7" t="str">
        <f>IF(ISBLANK(drvlst[[#This Row],[status]]),W269,drvlst[[#This Row],[status]])</f>
        <v>MERGED</v>
      </c>
    </row>
    <row r="271" spans="1:23">
      <c r="A271" s="7">
        <f>IF(ISBLANK(drvlst[[#This Row],[number]]),A270,drvlst[[#This Row],[number]])</f>
        <v>95512</v>
      </c>
      <c r="J271" t="s">
        <v>34</v>
      </c>
      <c r="K271" s="8">
        <v>42394.826249999998</v>
      </c>
      <c r="L271" t="s">
        <v>1984</v>
      </c>
      <c r="M271" s="7" t="str">
        <f>IF(ISBLANK(drvlst[[#This Row],[owner.emal]]),M270,drvlst[[#This Row],[owner.emal]])</f>
        <v>shuguang.gong@intel.com</v>
      </c>
      <c r="N271" s="7">
        <f>_xlfn.IFNA(VLOOKUP(drvlst[[#This Row],[tmp-owner.email]],OrgTree!$A:$J, 10, 0), "not ICG SWFW")</f>
        <v>0</v>
      </c>
      <c r="O271" s="7">
        <f>IF(drvlst[[#This Row],[reviewer]]=drvlst[[#This Row],[tmp-owner.email]], "author", _xlfn.IFNA(VLOOKUP(drvlst[[#This Row],[reviewer]],OrgTree!$A:$J, 10, 0), "not ICG SWFW"))</f>
        <v>0</v>
      </c>
      <c r="P271" s="7" t="str">
        <f>IF(ISBLANK(drvlst[[#This Row],[number]]), "",SUM(drvlst[[#This Row],[BJ -1 num]],drvlst[[#This Row],[FI -1 num]]))</f>
        <v/>
      </c>
      <c r="Q271" s="7" t="str">
        <f>IF(ISBLANK(drvlst[[#This Row],[number]]), "",COUNTIFS($A:$A,drvlst[[#This Row],[tmp-number]],$O:$O, "BJ And dev",$U:$U, "Review-1"))</f>
        <v/>
      </c>
      <c r="R271" s="7" t="str">
        <f>IF(ISBLANK(drvlst[[#This Row],[number]]), "",COUNTIFS($A:$A,drvlst[[#This Row],[tmp-number]],$O:$O, "FL And dev",$U:$U, "Review-1"))</f>
        <v/>
      </c>
      <c r="S271" s="7" t="str">
        <f>IF(ISBLANK(drvlst[[#This Row],[number]]), "",COUNTIFS($A:$A,drvlst[[#This Row],[tmp-number]],$O:$O, "BJ And dev",$V:$V, "&lt;&gt;IntegratorComment"))</f>
        <v/>
      </c>
      <c r="T271" s="7" t="str">
        <f>IF(ISBLANK(drvlst[[#This Row],[number]]), "",COUNTIFS($A:$A,drvlst[[#This Row],[tmp-number]],$O:$O, "FL And dev",$V:$V, "&lt;&gt;IntegratorComment"))</f>
        <v/>
      </c>
      <c r="U271" s="7" t="str">
        <f>IF(OR(ISNUMBER(FIND("Review-1", drvlst[[#This Row],[comments]])), ISNUMBER(FIND("Approver-1", drvlst[[#This Row],[comments]]))), "Review-1", "")</f>
        <v/>
      </c>
      <c r="V271" s="7" t="str">
        <f>IF(OR(ISNUMBER(FIND(": Integrator", drvlst[[#This Row],[comments]])), ISNUMBER(FIND(":\n\nIntegrator", drvlst[[#This Row],[comments]])), ISNUMBER(FIND("-Integrator", drvlst[[#This Row],[comments]]))), "IntegratorComment", "")</f>
        <v/>
      </c>
      <c r="W271" s="7" t="str">
        <f>IF(ISBLANK(drvlst[[#This Row],[status]]),W270,drvlst[[#This Row],[status]])</f>
        <v>MERGED</v>
      </c>
    </row>
    <row r="272" spans="1:23">
      <c r="A272" s="7">
        <f>IF(ISBLANK(drvlst[[#This Row],[number]]),A271,drvlst[[#This Row],[number]])</f>
        <v>95512</v>
      </c>
      <c r="J272" t="s">
        <v>34</v>
      </c>
      <c r="K272" s="8">
        <v>42394.82980324074</v>
      </c>
      <c r="L272" t="s">
        <v>1985</v>
      </c>
      <c r="M272" s="7" t="str">
        <f>IF(ISBLANK(drvlst[[#This Row],[owner.emal]]),M271,drvlst[[#This Row],[owner.emal]])</f>
        <v>shuguang.gong@intel.com</v>
      </c>
      <c r="N272" s="7">
        <f>_xlfn.IFNA(VLOOKUP(drvlst[[#This Row],[tmp-owner.email]],OrgTree!$A:$J, 10, 0), "not ICG SWFW")</f>
        <v>0</v>
      </c>
      <c r="O272" s="7">
        <f>IF(drvlst[[#This Row],[reviewer]]=drvlst[[#This Row],[tmp-owner.email]], "author", _xlfn.IFNA(VLOOKUP(drvlst[[#This Row],[reviewer]],OrgTree!$A:$J, 10, 0), "not ICG SWFW"))</f>
        <v>0</v>
      </c>
      <c r="P272" s="7" t="str">
        <f>IF(ISBLANK(drvlst[[#This Row],[number]]), "",SUM(drvlst[[#This Row],[BJ -1 num]],drvlst[[#This Row],[FI -1 num]]))</f>
        <v/>
      </c>
      <c r="Q272" s="7" t="str">
        <f>IF(ISBLANK(drvlst[[#This Row],[number]]), "",COUNTIFS($A:$A,drvlst[[#This Row],[tmp-number]],$O:$O, "BJ And dev",$U:$U, "Review-1"))</f>
        <v/>
      </c>
      <c r="R272" s="7" t="str">
        <f>IF(ISBLANK(drvlst[[#This Row],[number]]), "",COUNTIFS($A:$A,drvlst[[#This Row],[tmp-number]],$O:$O, "FL And dev",$U:$U, "Review-1"))</f>
        <v/>
      </c>
      <c r="S272" s="7" t="str">
        <f>IF(ISBLANK(drvlst[[#This Row],[number]]), "",COUNTIFS($A:$A,drvlst[[#This Row],[tmp-number]],$O:$O, "BJ And dev",$V:$V, "&lt;&gt;IntegratorComment"))</f>
        <v/>
      </c>
      <c r="T272" s="7" t="str">
        <f>IF(ISBLANK(drvlst[[#This Row],[number]]), "",COUNTIFS($A:$A,drvlst[[#This Row],[tmp-number]],$O:$O, "FL And dev",$V:$V, "&lt;&gt;IntegratorComment"))</f>
        <v/>
      </c>
      <c r="U272" s="7" t="str">
        <f>IF(OR(ISNUMBER(FIND("Review-1", drvlst[[#This Row],[comments]])), ISNUMBER(FIND("Approver-1", drvlst[[#This Row],[comments]]))), "Review-1", "")</f>
        <v/>
      </c>
      <c r="V272" s="7" t="str">
        <f>IF(OR(ISNUMBER(FIND(": Integrator", drvlst[[#This Row],[comments]])), ISNUMBER(FIND(":\n\nIntegrator", drvlst[[#This Row],[comments]])), ISNUMBER(FIND("-Integrator", drvlst[[#This Row],[comments]]))), "IntegratorComment", "")</f>
        <v/>
      </c>
      <c r="W272" s="7" t="str">
        <f>IF(ISBLANK(drvlst[[#This Row],[status]]),W271,drvlst[[#This Row],[status]])</f>
        <v>MERGED</v>
      </c>
    </row>
    <row r="273" spans="1:23">
      <c r="A273" s="7">
        <f>IF(ISBLANK(drvlst[[#This Row],[number]]),A272,drvlst[[#This Row],[number]])</f>
        <v>95512</v>
      </c>
      <c r="J273" t="s">
        <v>34</v>
      </c>
      <c r="K273" s="8">
        <v>42394.854641203703</v>
      </c>
      <c r="L273" t="s">
        <v>1986</v>
      </c>
      <c r="M273" s="7" t="str">
        <f>IF(ISBLANK(drvlst[[#This Row],[owner.emal]]),M272,drvlst[[#This Row],[owner.emal]])</f>
        <v>shuguang.gong@intel.com</v>
      </c>
      <c r="N273" s="7">
        <f>_xlfn.IFNA(VLOOKUP(drvlst[[#This Row],[tmp-owner.email]],OrgTree!$A:$J, 10, 0), "not ICG SWFW")</f>
        <v>0</v>
      </c>
      <c r="O273" s="7">
        <f>IF(drvlst[[#This Row],[reviewer]]=drvlst[[#This Row],[tmp-owner.email]], "author", _xlfn.IFNA(VLOOKUP(drvlst[[#This Row],[reviewer]],OrgTree!$A:$J, 10, 0), "not ICG SWFW"))</f>
        <v>0</v>
      </c>
      <c r="P273" s="7" t="str">
        <f>IF(ISBLANK(drvlst[[#This Row],[number]]), "",SUM(drvlst[[#This Row],[BJ -1 num]],drvlst[[#This Row],[FI -1 num]]))</f>
        <v/>
      </c>
      <c r="Q273" s="7" t="str">
        <f>IF(ISBLANK(drvlst[[#This Row],[number]]), "",COUNTIFS($A:$A,drvlst[[#This Row],[tmp-number]],$O:$O, "BJ And dev",$U:$U, "Review-1"))</f>
        <v/>
      </c>
      <c r="R273" s="7" t="str">
        <f>IF(ISBLANK(drvlst[[#This Row],[number]]), "",COUNTIFS($A:$A,drvlst[[#This Row],[tmp-number]],$O:$O, "FL And dev",$U:$U, "Review-1"))</f>
        <v/>
      </c>
      <c r="S273" s="7" t="str">
        <f>IF(ISBLANK(drvlst[[#This Row],[number]]), "",COUNTIFS($A:$A,drvlst[[#This Row],[tmp-number]],$O:$O, "BJ And dev",$V:$V, "&lt;&gt;IntegratorComment"))</f>
        <v/>
      </c>
      <c r="T273" s="7" t="str">
        <f>IF(ISBLANK(drvlst[[#This Row],[number]]), "",COUNTIFS($A:$A,drvlst[[#This Row],[tmp-number]],$O:$O, "FL And dev",$V:$V, "&lt;&gt;IntegratorComment"))</f>
        <v/>
      </c>
      <c r="U273" s="7" t="str">
        <f>IF(OR(ISNUMBER(FIND("Review-1", drvlst[[#This Row],[comments]])), ISNUMBER(FIND("Approver-1", drvlst[[#This Row],[comments]]))), "Review-1", "")</f>
        <v/>
      </c>
      <c r="V273" s="7" t="str">
        <f>IF(OR(ISNUMBER(FIND(": Integrator", drvlst[[#This Row],[comments]])), ISNUMBER(FIND(":\n\nIntegrator", drvlst[[#This Row],[comments]])), ISNUMBER(FIND("-Integrator", drvlst[[#This Row],[comments]]))), "IntegratorComment", "")</f>
        <v/>
      </c>
      <c r="W273" s="7" t="str">
        <f>IF(ISBLANK(drvlst[[#This Row],[status]]),W272,drvlst[[#This Row],[status]])</f>
        <v>MERGED</v>
      </c>
    </row>
    <row r="274" spans="1:23">
      <c r="A274" s="7">
        <f>IF(ISBLANK(drvlst[[#This Row],[number]]),A273,drvlst[[#This Row],[number]])</f>
        <v>95512</v>
      </c>
      <c r="J274" t="s">
        <v>34</v>
      </c>
      <c r="K274" s="8">
        <v>42395.428078703706</v>
      </c>
      <c r="L274" t="s">
        <v>1984</v>
      </c>
      <c r="M274" s="7" t="str">
        <f>IF(ISBLANK(drvlst[[#This Row],[owner.emal]]),M273,drvlst[[#This Row],[owner.emal]])</f>
        <v>shuguang.gong@intel.com</v>
      </c>
      <c r="N274" s="7">
        <f>_xlfn.IFNA(VLOOKUP(drvlst[[#This Row],[tmp-owner.email]],OrgTree!$A:$J, 10, 0), "not ICG SWFW")</f>
        <v>0</v>
      </c>
      <c r="O274" s="7">
        <f>IF(drvlst[[#This Row],[reviewer]]=drvlst[[#This Row],[tmp-owner.email]], "author", _xlfn.IFNA(VLOOKUP(drvlst[[#This Row],[reviewer]],OrgTree!$A:$J, 10, 0), "not ICG SWFW"))</f>
        <v>0</v>
      </c>
      <c r="P274" s="7" t="str">
        <f>IF(ISBLANK(drvlst[[#This Row],[number]]), "",SUM(drvlst[[#This Row],[BJ -1 num]],drvlst[[#This Row],[FI -1 num]]))</f>
        <v/>
      </c>
      <c r="Q274" s="7" t="str">
        <f>IF(ISBLANK(drvlst[[#This Row],[number]]), "",COUNTIFS($A:$A,drvlst[[#This Row],[tmp-number]],$O:$O, "BJ And dev",$U:$U, "Review-1"))</f>
        <v/>
      </c>
      <c r="R274" s="7" t="str">
        <f>IF(ISBLANK(drvlst[[#This Row],[number]]), "",COUNTIFS($A:$A,drvlst[[#This Row],[tmp-number]],$O:$O, "FL And dev",$U:$U, "Review-1"))</f>
        <v/>
      </c>
      <c r="S274" s="7" t="str">
        <f>IF(ISBLANK(drvlst[[#This Row],[number]]), "",COUNTIFS($A:$A,drvlst[[#This Row],[tmp-number]],$O:$O, "BJ And dev",$V:$V, "&lt;&gt;IntegratorComment"))</f>
        <v/>
      </c>
      <c r="T274" s="7" t="str">
        <f>IF(ISBLANK(drvlst[[#This Row],[number]]), "",COUNTIFS($A:$A,drvlst[[#This Row],[tmp-number]],$O:$O, "FL And dev",$V:$V, "&lt;&gt;IntegratorComment"))</f>
        <v/>
      </c>
      <c r="U274" s="7" t="str">
        <f>IF(OR(ISNUMBER(FIND("Review-1", drvlst[[#This Row],[comments]])), ISNUMBER(FIND("Approver-1", drvlst[[#This Row],[comments]]))), "Review-1", "")</f>
        <v/>
      </c>
      <c r="V274" s="7" t="str">
        <f>IF(OR(ISNUMBER(FIND(": Integrator", drvlst[[#This Row],[comments]])), ISNUMBER(FIND(":\n\nIntegrator", drvlst[[#This Row],[comments]])), ISNUMBER(FIND("-Integrator", drvlst[[#This Row],[comments]]))), "IntegratorComment", "")</f>
        <v/>
      </c>
      <c r="W274" s="7" t="str">
        <f>IF(ISBLANK(drvlst[[#This Row],[status]]),W273,drvlst[[#This Row],[status]])</f>
        <v>MERGED</v>
      </c>
    </row>
    <row r="275" spans="1:23">
      <c r="A275" s="7">
        <f>IF(ISBLANK(drvlst[[#This Row],[number]]),A274,drvlst[[#This Row],[number]])</f>
        <v>95512</v>
      </c>
      <c r="J275" t="s">
        <v>34</v>
      </c>
      <c r="K275" s="8">
        <v>42395.62259259259</v>
      </c>
      <c r="L275" t="s">
        <v>1987</v>
      </c>
      <c r="M275" s="7" t="str">
        <f>IF(ISBLANK(drvlst[[#This Row],[owner.emal]]),M274,drvlst[[#This Row],[owner.emal]])</f>
        <v>shuguang.gong@intel.com</v>
      </c>
      <c r="N275" s="7">
        <f>_xlfn.IFNA(VLOOKUP(drvlst[[#This Row],[tmp-owner.email]],OrgTree!$A:$J, 10, 0), "not ICG SWFW")</f>
        <v>0</v>
      </c>
      <c r="O275" s="7">
        <f>IF(drvlst[[#This Row],[reviewer]]=drvlst[[#This Row],[tmp-owner.email]], "author", _xlfn.IFNA(VLOOKUP(drvlst[[#This Row],[reviewer]],OrgTree!$A:$J, 10, 0), "not ICG SWFW"))</f>
        <v>0</v>
      </c>
      <c r="P275" s="7" t="str">
        <f>IF(ISBLANK(drvlst[[#This Row],[number]]), "",SUM(drvlst[[#This Row],[BJ -1 num]],drvlst[[#This Row],[FI -1 num]]))</f>
        <v/>
      </c>
      <c r="Q275" s="7" t="str">
        <f>IF(ISBLANK(drvlst[[#This Row],[number]]), "",COUNTIFS($A:$A,drvlst[[#This Row],[tmp-number]],$O:$O, "BJ And dev",$U:$U, "Review-1"))</f>
        <v/>
      </c>
      <c r="R275" s="7" t="str">
        <f>IF(ISBLANK(drvlst[[#This Row],[number]]), "",COUNTIFS($A:$A,drvlst[[#This Row],[tmp-number]],$O:$O, "FL And dev",$U:$U, "Review-1"))</f>
        <v/>
      </c>
      <c r="S275" s="7" t="str">
        <f>IF(ISBLANK(drvlst[[#This Row],[number]]), "",COUNTIFS($A:$A,drvlst[[#This Row],[tmp-number]],$O:$O, "BJ And dev",$V:$V, "&lt;&gt;IntegratorComment"))</f>
        <v/>
      </c>
      <c r="T275" s="7" t="str">
        <f>IF(ISBLANK(drvlst[[#This Row],[number]]), "",COUNTIFS($A:$A,drvlst[[#This Row],[tmp-number]],$O:$O, "FL And dev",$V:$V, "&lt;&gt;IntegratorComment"))</f>
        <v/>
      </c>
      <c r="U275" s="7" t="str">
        <f>IF(OR(ISNUMBER(FIND("Review-1", drvlst[[#This Row],[comments]])), ISNUMBER(FIND("Approver-1", drvlst[[#This Row],[comments]]))), "Review-1", "")</f>
        <v/>
      </c>
      <c r="V275" s="7" t="str">
        <f>IF(OR(ISNUMBER(FIND(": Integrator", drvlst[[#This Row],[comments]])), ISNUMBER(FIND(":\n\nIntegrator", drvlst[[#This Row],[comments]])), ISNUMBER(FIND("-Integrator", drvlst[[#This Row],[comments]]))), "IntegratorComment", "")</f>
        <v/>
      </c>
      <c r="W275" s="7" t="str">
        <f>IF(ISBLANK(drvlst[[#This Row],[status]]),W274,drvlst[[#This Row],[status]])</f>
        <v>MERGED</v>
      </c>
    </row>
    <row r="276" spans="1:23">
      <c r="A276" s="7">
        <f>IF(ISBLANK(drvlst[[#This Row],[number]]),A275,drvlst[[#This Row],[number]])</f>
        <v>97338</v>
      </c>
      <c r="B276">
        <v>97338</v>
      </c>
      <c r="C276" t="s">
        <v>84</v>
      </c>
      <c r="D276" t="s">
        <v>53</v>
      </c>
      <c r="E276" t="s">
        <v>23</v>
      </c>
      <c r="F276" t="s">
        <v>1897</v>
      </c>
      <c r="G276" t="s">
        <v>1988</v>
      </c>
      <c r="H276" s="8">
        <v>42391.84642361111</v>
      </c>
      <c r="I276" s="8">
        <v>42395.651828703703</v>
      </c>
      <c r="J276" t="s">
        <v>53</v>
      </c>
      <c r="K276" s="8">
        <v>42391.84642361111</v>
      </c>
      <c r="L276" t="s">
        <v>25</v>
      </c>
      <c r="M276" s="7" t="str">
        <f>IF(ISBLANK(drvlst[[#This Row],[owner.emal]]),M275,drvlst[[#This Row],[owner.emal]])</f>
        <v>shuguang.gong@intel.com</v>
      </c>
      <c r="N276" s="7">
        <f>_xlfn.IFNA(VLOOKUP(drvlst[[#This Row],[tmp-owner.email]],OrgTree!$A:$J, 10, 0), "not ICG SWFW")</f>
        <v>0</v>
      </c>
      <c r="O276" s="7" t="str">
        <f>IF(drvlst[[#This Row],[reviewer]]=drvlst[[#This Row],[tmp-owner.email]], "author", _xlfn.IFNA(VLOOKUP(drvlst[[#This Row],[reviewer]],OrgTree!$A:$J, 10, 0), "not ICG SWFW"))</f>
        <v>author</v>
      </c>
      <c r="P276" s="7">
        <f>IF(ISBLANK(drvlst[[#This Row],[number]]), "",SUM(drvlst[[#This Row],[BJ -1 num]],drvlst[[#This Row],[FI -1 num]]))</f>
        <v>0</v>
      </c>
      <c r="Q276" s="7">
        <f>IF(ISBLANK(drvlst[[#This Row],[number]]), "",COUNTIFS($A:$A,drvlst[[#This Row],[tmp-number]],$O:$O, "BJ And dev",$U:$U, "Review-1"))</f>
        <v>0</v>
      </c>
      <c r="R276" s="7">
        <f>IF(ISBLANK(drvlst[[#This Row],[number]]), "",COUNTIFS($A:$A,drvlst[[#This Row],[tmp-number]],$O:$O, "FL And dev",$U:$U, "Review-1"))</f>
        <v>0</v>
      </c>
      <c r="S276" s="7">
        <f>IF(ISBLANK(drvlst[[#This Row],[number]]), "",COUNTIFS($A:$A,drvlst[[#This Row],[tmp-number]],$O:$O, "BJ And dev",$V:$V, "&lt;&gt;IntegratorComment"))</f>
        <v>0</v>
      </c>
      <c r="T276" s="7">
        <f>IF(ISBLANK(drvlst[[#This Row],[number]]), "",COUNTIFS($A:$A,drvlst[[#This Row],[tmp-number]],$O:$O, "FL And dev",$V:$V, "&lt;&gt;IntegratorComment"))</f>
        <v>0</v>
      </c>
      <c r="U276" s="7" t="str">
        <f>IF(OR(ISNUMBER(FIND("Review-1", drvlst[[#This Row],[comments]])), ISNUMBER(FIND("Approver-1", drvlst[[#This Row],[comments]]))), "Review-1", "")</f>
        <v/>
      </c>
      <c r="V276" s="7" t="str">
        <f>IF(OR(ISNUMBER(FIND(": Integrator", drvlst[[#This Row],[comments]])), ISNUMBER(FIND(":\n\nIntegrator", drvlst[[#This Row],[comments]])), ISNUMBER(FIND("-Integrator", drvlst[[#This Row],[comments]]))), "IntegratorComment", "")</f>
        <v/>
      </c>
      <c r="W276" s="7" t="str">
        <f>IF(ISBLANK(drvlst[[#This Row],[status]]),W275,drvlst[[#This Row],[status]])</f>
        <v>MERGED</v>
      </c>
    </row>
    <row r="277" spans="1:23">
      <c r="A277" s="7">
        <f>IF(ISBLANK(drvlst[[#This Row],[number]]),A276,drvlst[[#This Row],[number]])</f>
        <v>97338</v>
      </c>
      <c r="J277" t="s">
        <v>53</v>
      </c>
      <c r="K277" s="8">
        <v>42391.846435185187</v>
      </c>
      <c r="L277" t="s">
        <v>85</v>
      </c>
      <c r="M277" s="7" t="str">
        <f>IF(ISBLANK(drvlst[[#This Row],[owner.emal]]),M276,drvlst[[#This Row],[owner.emal]])</f>
        <v>shuguang.gong@intel.com</v>
      </c>
      <c r="N277" s="7">
        <f>_xlfn.IFNA(VLOOKUP(drvlst[[#This Row],[tmp-owner.email]],OrgTree!$A:$J, 10, 0), "not ICG SWFW")</f>
        <v>0</v>
      </c>
      <c r="O277" s="7" t="str">
        <f>IF(drvlst[[#This Row],[reviewer]]=drvlst[[#This Row],[tmp-owner.email]], "author", _xlfn.IFNA(VLOOKUP(drvlst[[#This Row],[reviewer]],OrgTree!$A:$J, 10, 0), "not ICG SWFW"))</f>
        <v>author</v>
      </c>
      <c r="P277" s="7" t="str">
        <f>IF(ISBLANK(drvlst[[#This Row],[number]]), "",SUM(drvlst[[#This Row],[BJ -1 num]],drvlst[[#This Row],[FI -1 num]]))</f>
        <v/>
      </c>
      <c r="Q277" s="7" t="str">
        <f>IF(ISBLANK(drvlst[[#This Row],[number]]), "",COUNTIFS($A:$A,drvlst[[#This Row],[tmp-number]],$O:$O, "BJ And dev",$U:$U, "Review-1"))</f>
        <v/>
      </c>
      <c r="R277" s="7" t="str">
        <f>IF(ISBLANK(drvlst[[#This Row],[number]]), "",COUNTIFS($A:$A,drvlst[[#This Row],[tmp-number]],$O:$O, "FL And dev",$U:$U, "Review-1"))</f>
        <v/>
      </c>
      <c r="S277" s="7" t="str">
        <f>IF(ISBLANK(drvlst[[#This Row],[number]]), "",COUNTIFS($A:$A,drvlst[[#This Row],[tmp-number]],$O:$O, "BJ And dev",$V:$V, "&lt;&gt;IntegratorComment"))</f>
        <v/>
      </c>
      <c r="T277" s="7" t="str">
        <f>IF(ISBLANK(drvlst[[#This Row],[number]]), "",COUNTIFS($A:$A,drvlst[[#This Row],[tmp-number]],$O:$O, "FL And dev",$V:$V, "&lt;&gt;IntegratorComment"))</f>
        <v/>
      </c>
      <c r="U277" s="7" t="str">
        <f>IF(OR(ISNUMBER(FIND("Review-1", drvlst[[#This Row],[comments]])), ISNUMBER(FIND("Approver-1", drvlst[[#This Row],[comments]]))), "Review-1", "")</f>
        <v/>
      </c>
      <c r="V277" s="7" t="str">
        <f>IF(OR(ISNUMBER(FIND(": Integrator", drvlst[[#This Row],[comments]])), ISNUMBER(FIND(":\n\nIntegrator", drvlst[[#This Row],[comments]])), ISNUMBER(FIND("-Integrator", drvlst[[#This Row],[comments]]))), "IntegratorComment", "")</f>
        <v/>
      </c>
      <c r="W277" s="7" t="str">
        <f>IF(ISBLANK(drvlst[[#This Row],[status]]),W276,drvlst[[#This Row],[status]])</f>
        <v>MERGED</v>
      </c>
    </row>
    <row r="278" spans="1:23">
      <c r="A278" s="7">
        <f>IF(ISBLANK(drvlst[[#This Row],[number]]),A277,drvlst[[#This Row],[number]])</f>
        <v>97338</v>
      </c>
      <c r="J278" t="s">
        <v>53</v>
      </c>
      <c r="K278" s="8">
        <v>42391.847256944442</v>
      </c>
      <c r="L278" t="s">
        <v>40</v>
      </c>
      <c r="M278" s="7" t="str">
        <f>IF(ISBLANK(drvlst[[#This Row],[owner.emal]]),M277,drvlst[[#This Row],[owner.emal]])</f>
        <v>shuguang.gong@intel.com</v>
      </c>
      <c r="N278" s="7">
        <f>_xlfn.IFNA(VLOOKUP(drvlst[[#This Row],[tmp-owner.email]],OrgTree!$A:$J, 10, 0), "not ICG SWFW")</f>
        <v>0</v>
      </c>
      <c r="O278" s="7" t="str">
        <f>IF(drvlst[[#This Row],[reviewer]]=drvlst[[#This Row],[tmp-owner.email]], "author", _xlfn.IFNA(VLOOKUP(drvlst[[#This Row],[reviewer]],OrgTree!$A:$J, 10, 0), "not ICG SWFW"))</f>
        <v>author</v>
      </c>
      <c r="P278" s="7" t="str">
        <f>IF(ISBLANK(drvlst[[#This Row],[number]]), "",SUM(drvlst[[#This Row],[BJ -1 num]],drvlst[[#This Row],[FI -1 num]]))</f>
        <v/>
      </c>
      <c r="Q278" s="7" t="str">
        <f>IF(ISBLANK(drvlst[[#This Row],[number]]), "",COUNTIFS($A:$A,drvlst[[#This Row],[tmp-number]],$O:$O, "BJ And dev",$U:$U, "Review-1"))</f>
        <v/>
      </c>
      <c r="R278" s="7" t="str">
        <f>IF(ISBLANK(drvlst[[#This Row],[number]]), "",COUNTIFS($A:$A,drvlst[[#This Row],[tmp-number]],$O:$O, "FL And dev",$U:$U, "Review-1"))</f>
        <v/>
      </c>
      <c r="S278" s="7" t="str">
        <f>IF(ISBLANK(drvlst[[#This Row],[number]]), "",COUNTIFS($A:$A,drvlst[[#This Row],[tmp-number]],$O:$O, "BJ And dev",$V:$V, "&lt;&gt;IntegratorComment"))</f>
        <v/>
      </c>
      <c r="T278" s="7" t="str">
        <f>IF(ISBLANK(drvlst[[#This Row],[number]]), "",COUNTIFS($A:$A,drvlst[[#This Row],[tmp-number]],$O:$O, "FL And dev",$V:$V, "&lt;&gt;IntegratorComment"))</f>
        <v/>
      </c>
      <c r="U278" s="7" t="str">
        <f>IF(OR(ISNUMBER(FIND("Review-1", drvlst[[#This Row],[comments]])), ISNUMBER(FIND("Approver-1", drvlst[[#This Row],[comments]]))), "Review-1", "")</f>
        <v/>
      </c>
      <c r="V278" s="7" t="str">
        <f>IF(OR(ISNUMBER(FIND(": Integrator", drvlst[[#This Row],[comments]])), ISNUMBER(FIND(":\n\nIntegrator", drvlst[[#This Row],[comments]])), ISNUMBER(FIND("-Integrator", drvlst[[#This Row],[comments]]))), "IntegratorComment", "")</f>
        <v/>
      </c>
      <c r="W278" s="7" t="str">
        <f>IF(ISBLANK(drvlst[[#This Row],[status]]),W277,drvlst[[#This Row],[status]])</f>
        <v>MERGED</v>
      </c>
    </row>
    <row r="279" spans="1:23">
      <c r="A279" s="7">
        <f>IF(ISBLANK(drvlst[[#This Row],[number]]),A278,drvlst[[#This Row],[number]])</f>
        <v>97338</v>
      </c>
      <c r="J279" t="s">
        <v>30</v>
      </c>
      <c r="K279" s="8">
        <v>42391.853055555555</v>
      </c>
      <c r="L279" t="s">
        <v>46</v>
      </c>
      <c r="M279" s="7" t="str">
        <f>IF(ISBLANK(drvlst[[#This Row],[owner.emal]]),M278,drvlst[[#This Row],[owner.emal]])</f>
        <v>shuguang.gong@intel.com</v>
      </c>
      <c r="N279" s="7">
        <f>_xlfn.IFNA(VLOOKUP(drvlst[[#This Row],[tmp-owner.email]],OrgTree!$A:$J, 10, 0), "not ICG SWFW")</f>
        <v>0</v>
      </c>
      <c r="O279" s="7">
        <f>IF(drvlst[[#This Row],[reviewer]]=drvlst[[#This Row],[tmp-owner.email]], "author", _xlfn.IFNA(VLOOKUP(drvlst[[#This Row],[reviewer]],OrgTree!$A:$J, 10, 0), "not ICG SWFW"))</f>
        <v>0</v>
      </c>
      <c r="P279" s="7" t="str">
        <f>IF(ISBLANK(drvlst[[#This Row],[number]]), "",SUM(drvlst[[#This Row],[BJ -1 num]],drvlst[[#This Row],[FI -1 num]]))</f>
        <v/>
      </c>
      <c r="Q279" s="7" t="str">
        <f>IF(ISBLANK(drvlst[[#This Row],[number]]), "",COUNTIFS($A:$A,drvlst[[#This Row],[tmp-number]],$O:$O, "BJ And dev",$U:$U, "Review-1"))</f>
        <v/>
      </c>
      <c r="R279" s="7" t="str">
        <f>IF(ISBLANK(drvlst[[#This Row],[number]]), "",COUNTIFS($A:$A,drvlst[[#This Row],[tmp-number]],$O:$O, "FL And dev",$U:$U, "Review-1"))</f>
        <v/>
      </c>
      <c r="S279" s="7" t="str">
        <f>IF(ISBLANK(drvlst[[#This Row],[number]]), "",COUNTIFS($A:$A,drvlst[[#This Row],[tmp-number]],$O:$O, "BJ And dev",$V:$V, "&lt;&gt;IntegratorComment"))</f>
        <v/>
      </c>
      <c r="T279" s="7" t="str">
        <f>IF(ISBLANK(drvlst[[#This Row],[number]]), "",COUNTIFS($A:$A,drvlst[[#This Row],[tmp-number]],$O:$O, "FL And dev",$V:$V, "&lt;&gt;IntegratorComment"))</f>
        <v/>
      </c>
      <c r="U279" s="7" t="str">
        <f>IF(OR(ISNUMBER(FIND("Review-1", drvlst[[#This Row],[comments]])), ISNUMBER(FIND("Approver-1", drvlst[[#This Row],[comments]]))), "Review-1", "")</f>
        <v/>
      </c>
      <c r="V279" s="7" t="str">
        <f>IF(OR(ISNUMBER(FIND(": Integrator", drvlst[[#This Row],[comments]])), ISNUMBER(FIND(":\n\nIntegrator", drvlst[[#This Row],[comments]])), ISNUMBER(FIND("-Integrator", drvlst[[#This Row],[comments]]))), "IntegratorComment", "")</f>
        <v/>
      </c>
      <c r="W279" s="7" t="str">
        <f>IF(ISBLANK(drvlst[[#This Row],[status]]),W278,drvlst[[#This Row],[status]])</f>
        <v>MERGED</v>
      </c>
    </row>
    <row r="280" spans="1:23">
      <c r="A280" s="7">
        <f>IF(ISBLANK(drvlst[[#This Row],[number]]),A279,drvlst[[#This Row],[number]])</f>
        <v>97338</v>
      </c>
      <c r="J280" t="s">
        <v>86</v>
      </c>
      <c r="K280" s="8">
        <v>42392.082453703704</v>
      </c>
      <c r="L280" t="s">
        <v>40</v>
      </c>
      <c r="M280" s="7" t="str">
        <f>IF(ISBLANK(drvlst[[#This Row],[owner.emal]]),M279,drvlst[[#This Row],[owner.emal]])</f>
        <v>shuguang.gong@intel.com</v>
      </c>
      <c r="N280" s="7">
        <f>_xlfn.IFNA(VLOOKUP(drvlst[[#This Row],[tmp-owner.email]],OrgTree!$A:$J, 10, 0), "not ICG SWFW")</f>
        <v>0</v>
      </c>
      <c r="O280" s="7">
        <f>IF(drvlst[[#This Row],[reviewer]]=drvlst[[#This Row],[tmp-owner.email]], "author", _xlfn.IFNA(VLOOKUP(drvlst[[#This Row],[reviewer]],OrgTree!$A:$J, 10, 0), "not ICG SWFW"))</f>
        <v>0</v>
      </c>
      <c r="P280" s="7" t="str">
        <f>IF(ISBLANK(drvlst[[#This Row],[number]]), "",SUM(drvlst[[#This Row],[BJ -1 num]],drvlst[[#This Row],[FI -1 num]]))</f>
        <v/>
      </c>
      <c r="Q280" s="7" t="str">
        <f>IF(ISBLANK(drvlst[[#This Row],[number]]), "",COUNTIFS($A:$A,drvlst[[#This Row],[tmp-number]],$O:$O, "BJ And dev",$U:$U, "Review-1"))</f>
        <v/>
      </c>
      <c r="R280" s="7" t="str">
        <f>IF(ISBLANK(drvlst[[#This Row],[number]]), "",COUNTIFS($A:$A,drvlst[[#This Row],[tmp-number]],$O:$O, "FL And dev",$U:$U, "Review-1"))</f>
        <v/>
      </c>
      <c r="S280" s="7" t="str">
        <f>IF(ISBLANK(drvlst[[#This Row],[number]]), "",COUNTIFS($A:$A,drvlst[[#This Row],[tmp-number]],$O:$O, "BJ And dev",$V:$V, "&lt;&gt;IntegratorComment"))</f>
        <v/>
      </c>
      <c r="T280" s="7" t="str">
        <f>IF(ISBLANK(drvlst[[#This Row],[number]]), "",COUNTIFS($A:$A,drvlst[[#This Row],[tmp-number]],$O:$O, "FL And dev",$V:$V, "&lt;&gt;IntegratorComment"))</f>
        <v/>
      </c>
      <c r="U280" s="7" t="str">
        <f>IF(OR(ISNUMBER(FIND("Review-1", drvlst[[#This Row],[comments]])), ISNUMBER(FIND("Approver-1", drvlst[[#This Row],[comments]]))), "Review-1", "")</f>
        <v/>
      </c>
      <c r="V280" s="7" t="str">
        <f>IF(OR(ISNUMBER(FIND(": Integrator", drvlst[[#This Row],[comments]])), ISNUMBER(FIND(":\n\nIntegrator", drvlst[[#This Row],[comments]])), ISNUMBER(FIND("-Integrator", drvlst[[#This Row],[comments]]))), "IntegratorComment", "")</f>
        <v/>
      </c>
      <c r="W280" s="7" t="str">
        <f>IF(ISBLANK(drvlst[[#This Row],[status]]),W279,drvlst[[#This Row],[status]])</f>
        <v>MERGED</v>
      </c>
    </row>
    <row r="281" spans="1:23">
      <c r="A281" s="7">
        <f>IF(ISBLANK(drvlst[[#This Row],[number]]),A280,drvlst[[#This Row],[number]])</f>
        <v>97338</v>
      </c>
      <c r="J281" t="s">
        <v>38</v>
      </c>
      <c r="K281" s="8">
        <v>42394.440821759257</v>
      </c>
      <c r="L281" t="s">
        <v>58</v>
      </c>
      <c r="M281" s="7" t="str">
        <f>IF(ISBLANK(drvlst[[#This Row],[owner.emal]]),M280,drvlst[[#This Row],[owner.emal]])</f>
        <v>shuguang.gong@intel.com</v>
      </c>
      <c r="N281" s="7">
        <f>_xlfn.IFNA(VLOOKUP(drvlst[[#This Row],[tmp-owner.email]],OrgTree!$A:$J, 10, 0), "not ICG SWFW")</f>
        <v>0</v>
      </c>
      <c r="O281" s="7">
        <f>IF(drvlst[[#This Row],[reviewer]]=drvlst[[#This Row],[tmp-owner.email]], "author", _xlfn.IFNA(VLOOKUP(drvlst[[#This Row],[reviewer]],OrgTree!$A:$J, 10, 0), "not ICG SWFW"))</f>
        <v>0</v>
      </c>
      <c r="P281" s="7" t="str">
        <f>IF(ISBLANK(drvlst[[#This Row],[number]]), "",SUM(drvlst[[#This Row],[BJ -1 num]],drvlst[[#This Row],[FI -1 num]]))</f>
        <v/>
      </c>
      <c r="Q281" s="7" t="str">
        <f>IF(ISBLANK(drvlst[[#This Row],[number]]), "",COUNTIFS($A:$A,drvlst[[#This Row],[tmp-number]],$O:$O, "BJ And dev",$U:$U, "Review-1"))</f>
        <v/>
      </c>
      <c r="R281" s="7" t="str">
        <f>IF(ISBLANK(drvlst[[#This Row],[number]]), "",COUNTIFS($A:$A,drvlst[[#This Row],[tmp-number]],$O:$O, "FL And dev",$U:$U, "Review-1"))</f>
        <v/>
      </c>
      <c r="S281" s="7" t="str">
        <f>IF(ISBLANK(drvlst[[#This Row],[number]]), "",COUNTIFS($A:$A,drvlst[[#This Row],[tmp-number]],$O:$O, "BJ And dev",$V:$V, "&lt;&gt;IntegratorComment"))</f>
        <v/>
      </c>
      <c r="T281" s="7" t="str">
        <f>IF(ISBLANK(drvlst[[#This Row],[number]]), "",COUNTIFS($A:$A,drvlst[[#This Row],[tmp-number]],$O:$O, "FL And dev",$V:$V, "&lt;&gt;IntegratorComment"))</f>
        <v/>
      </c>
      <c r="U281" s="7" t="str">
        <f>IF(OR(ISNUMBER(FIND("Review-1", drvlst[[#This Row],[comments]])), ISNUMBER(FIND("Approver-1", drvlst[[#This Row],[comments]]))), "Review-1", "")</f>
        <v/>
      </c>
      <c r="V281" s="7" t="str">
        <f>IF(OR(ISNUMBER(FIND(": Integrator", drvlst[[#This Row],[comments]])), ISNUMBER(FIND(":\n\nIntegrator", drvlst[[#This Row],[comments]])), ISNUMBER(FIND("-Integrator", drvlst[[#This Row],[comments]]))), "IntegratorComment", "")</f>
        <v/>
      </c>
      <c r="W281" s="7" t="str">
        <f>IF(ISBLANK(drvlst[[#This Row],[status]]),W280,drvlst[[#This Row],[status]])</f>
        <v>MERGED</v>
      </c>
    </row>
    <row r="282" spans="1:23">
      <c r="A282" s="7">
        <f>IF(ISBLANK(drvlst[[#This Row],[number]]),A281,drvlst[[#This Row],[number]])</f>
        <v>97338</v>
      </c>
      <c r="J282" t="s">
        <v>34</v>
      </c>
      <c r="K282" s="8">
        <v>42394.597361111111</v>
      </c>
      <c r="L282" t="s">
        <v>87</v>
      </c>
      <c r="M282" s="7" t="str">
        <f>IF(ISBLANK(drvlst[[#This Row],[owner.emal]]),M281,drvlst[[#This Row],[owner.emal]])</f>
        <v>shuguang.gong@intel.com</v>
      </c>
      <c r="N282" s="7">
        <f>_xlfn.IFNA(VLOOKUP(drvlst[[#This Row],[tmp-owner.email]],OrgTree!$A:$J, 10, 0), "not ICG SWFW")</f>
        <v>0</v>
      </c>
      <c r="O282" s="7">
        <f>IF(drvlst[[#This Row],[reviewer]]=drvlst[[#This Row],[tmp-owner.email]], "author", _xlfn.IFNA(VLOOKUP(drvlst[[#This Row],[reviewer]],OrgTree!$A:$J, 10, 0), "not ICG SWFW"))</f>
        <v>0</v>
      </c>
      <c r="P282" s="7" t="str">
        <f>IF(ISBLANK(drvlst[[#This Row],[number]]), "",SUM(drvlst[[#This Row],[BJ -1 num]],drvlst[[#This Row],[FI -1 num]]))</f>
        <v/>
      </c>
      <c r="Q282" s="7" t="str">
        <f>IF(ISBLANK(drvlst[[#This Row],[number]]), "",COUNTIFS($A:$A,drvlst[[#This Row],[tmp-number]],$O:$O, "BJ And dev",$U:$U, "Review-1"))</f>
        <v/>
      </c>
      <c r="R282" s="7" t="str">
        <f>IF(ISBLANK(drvlst[[#This Row],[number]]), "",COUNTIFS($A:$A,drvlst[[#This Row],[tmp-number]],$O:$O, "FL And dev",$U:$U, "Review-1"))</f>
        <v/>
      </c>
      <c r="S282" s="7" t="str">
        <f>IF(ISBLANK(drvlst[[#This Row],[number]]), "",COUNTIFS($A:$A,drvlst[[#This Row],[tmp-number]],$O:$O, "BJ And dev",$V:$V, "&lt;&gt;IntegratorComment"))</f>
        <v/>
      </c>
      <c r="T282" s="7" t="str">
        <f>IF(ISBLANK(drvlst[[#This Row],[number]]), "",COUNTIFS($A:$A,drvlst[[#This Row],[tmp-number]],$O:$O, "FL And dev",$V:$V, "&lt;&gt;IntegratorComment"))</f>
        <v/>
      </c>
      <c r="U282" s="7" t="str">
        <f>IF(OR(ISNUMBER(FIND("Review-1", drvlst[[#This Row],[comments]])), ISNUMBER(FIND("Approver-1", drvlst[[#This Row],[comments]]))), "Review-1", "")</f>
        <v/>
      </c>
      <c r="V282" s="7" t="str">
        <f>IF(OR(ISNUMBER(FIND(": Integrator", drvlst[[#This Row],[comments]])), ISNUMBER(FIND(":\n\nIntegrator", drvlst[[#This Row],[comments]])), ISNUMBER(FIND("-Integrator", drvlst[[#This Row],[comments]]))), "IntegratorComment", "")</f>
        <v>IntegratorComment</v>
      </c>
      <c r="W282" s="7" t="str">
        <f>IF(ISBLANK(drvlst[[#This Row],[status]]),W281,drvlst[[#This Row],[status]])</f>
        <v>MERGED</v>
      </c>
    </row>
    <row r="283" spans="1:23">
      <c r="A283" s="7">
        <f>IF(ISBLANK(drvlst[[#This Row],[number]]),A282,drvlst[[#This Row],[number]])</f>
        <v>97338</v>
      </c>
      <c r="J283" t="s">
        <v>34</v>
      </c>
      <c r="K283" s="8">
        <v>42394.826157407406</v>
      </c>
      <c r="L283" t="s">
        <v>67</v>
      </c>
      <c r="M283" s="7" t="str">
        <f>IF(ISBLANK(drvlst[[#This Row],[owner.emal]]),M282,drvlst[[#This Row],[owner.emal]])</f>
        <v>shuguang.gong@intel.com</v>
      </c>
      <c r="N283" s="7">
        <f>_xlfn.IFNA(VLOOKUP(drvlst[[#This Row],[tmp-owner.email]],OrgTree!$A:$J, 10, 0), "not ICG SWFW")</f>
        <v>0</v>
      </c>
      <c r="O283" s="7">
        <f>IF(drvlst[[#This Row],[reviewer]]=drvlst[[#This Row],[tmp-owner.email]], "author", _xlfn.IFNA(VLOOKUP(drvlst[[#This Row],[reviewer]],OrgTree!$A:$J, 10, 0), "not ICG SWFW"))</f>
        <v>0</v>
      </c>
      <c r="P283" s="7" t="str">
        <f>IF(ISBLANK(drvlst[[#This Row],[number]]), "",SUM(drvlst[[#This Row],[BJ -1 num]],drvlst[[#This Row],[FI -1 num]]))</f>
        <v/>
      </c>
      <c r="Q283" s="7" t="str">
        <f>IF(ISBLANK(drvlst[[#This Row],[number]]), "",COUNTIFS($A:$A,drvlst[[#This Row],[tmp-number]],$O:$O, "BJ And dev",$U:$U, "Review-1"))</f>
        <v/>
      </c>
      <c r="R283" s="7" t="str">
        <f>IF(ISBLANK(drvlst[[#This Row],[number]]), "",COUNTIFS($A:$A,drvlst[[#This Row],[tmp-number]],$O:$O, "FL And dev",$U:$U, "Review-1"))</f>
        <v/>
      </c>
      <c r="S283" s="7" t="str">
        <f>IF(ISBLANK(drvlst[[#This Row],[number]]), "",COUNTIFS($A:$A,drvlst[[#This Row],[tmp-number]],$O:$O, "BJ And dev",$V:$V, "&lt;&gt;IntegratorComment"))</f>
        <v/>
      </c>
      <c r="T283" s="7" t="str">
        <f>IF(ISBLANK(drvlst[[#This Row],[number]]), "",COUNTIFS($A:$A,drvlst[[#This Row],[tmp-number]],$O:$O, "FL And dev",$V:$V, "&lt;&gt;IntegratorComment"))</f>
        <v/>
      </c>
      <c r="U283" s="7" t="str">
        <f>IF(OR(ISNUMBER(FIND("Review-1", drvlst[[#This Row],[comments]])), ISNUMBER(FIND("Approver-1", drvlst[[#This Row],[comments]]))), "Review-1", "")</f>
        <v/>
      </c>
      <c r="V283" s="7" t="str">
        <f>IF(OR(ISNUMBER(FIND(": Integrator", drvlst[[#This Row],[comments]])), ISNUMBER(FIND(":\n\nIntegrator", drvlst[[#This Row],[comments]])), ISNUMBER(FIND("-Integrator", drvlst[[#This Row],[comments]]))), "IntegratorComment", "")</f>
        <v/>
      </c>
      <c r="W283" s="7" t="str">
        <f>IF(ISBLANK(drvlst[[#This Row],[status]]),W282,drvlst[[#This Row],[status]])</f>
        <v>MERGED</v>
      </c>
    </row>
    <row r="284" spans="1:23">
      <c r="A284" s="7">
        <f>IF(ISBLANK(drvlst[[#This Row],[number]]),A283,drvlst[[#This Row],[number]])</f>
        <v>97338</v>
      </c>
      <c r="J284" t="s">
        <v>34</v>
      </c>
      <c r="K284" s="8">
        <v>42394.829687500001</v>
      </c>
      <c r="L284" t="s">
        <v>89</v>
      </c>
      <c r="M284" s="7" t="str">
        <f>IF(ISBLANK(drvlst[[#This Row],[owner.emal]]),M283,drvlst[[#This Row],[owner.emal]])</f>
        <v>shuguang.gong@intel.com</v>
      </c>
      <c r="N284" s="7">
        <f>_xlfn.IFNA(VLOOKUP(drvlst[[#This Row],[tmp-owner.email]],OrgTree!$A:$J, 10, 0), "not ICG SWFW")</f>
        <v>0</v>
      </c>
      <c r="O284" s="7">
        <f>IF(drvlst[[#This Row],[reviewer]]=drvlst[[#This Row],[tmp-owner.email]], "author", _xlfn.IFNA(VLOOKUP(drvlst[[#This Row],[reviewer]],OrgTree!$A:$J, 10, 0), "not ICG SWFW"))</f>
        <v>0</v>
      </c>
      <c r="P284" s="7" t="str">
        <f>IF(ISBLANK(drvlst[[#This Row],[number]]), "",SUM(drvlst[[#This Row],[BJ -1 num]],drvlst[[#This Row],[FI -1 num]]))</f>
        <v/>
      </c>
      <c r="Q284" s="7" t="str">
        <f>IF(ISBLANK(drvlst[[#This Row],[number]]), "",COUNTIFS($A:$A,drvlst[[#This Row],[tmp-number]],$O:$O, "BJ And dev",$U:$U, "Review-1"))</f>
        <v/>
      </c>
      <c r="R284" s="7" t="str">
        <f>IF(ISBLANK(drvlst[[#This Row],[number]]), "",COUNTIFS($A:$A,drvlst[[#This Row],[tmp-number]],$O:$O, "FL And dev",$U:$U, "Review-1"))</f>
        <v/>
      </c>
      <c r="S284" s="7" t="str">
        <f>IF(ISBLANK(drvlst[[#This Row],[number]]), "",COUNTIFS($A:$A,drvlst[[#This Row],[tmp-number]],$O:$O, "BJ And dev",$V:$V, "&lt;&gt;IntegratorComment"))</f>
        <v/>
      </c>
      <c r="T284" s="7" t="str">
        <f>IF(ISBLANK(drvlst[[#This Row],[number]]), "",COUNTIFS($A:$A,drvlst[[#This Row],[tmp-number]],$O:$O, "FL And dev",$V:$V, "&lt;&gt;IntegratorComment"))</f>
        <v/>
      </c>
      <c r="U284" s="7" t="str">
        <f>IF(OR(ISNUMBER(FIND("Review-1", drvlst[[#This Row],[comments]])), ISNUMBER(FIND("Approver-1", drvlst[[#This Row],[comments]]))), "Review-1", "")</f>
        <v/>
      </c>
      <c r="V284" s="7" t="str">
        <f>IF(OR(ISNUMBER(FIND(": Integrator", drvlst[[#This Row],[comments]])), ISNUMBER(FIND(":\n\nIntegrator", drvlst[[#This Row],[comments]])), ISNUMBER(FIND("-Integrator", drvlst[[#This Row],[comments]]))), "IntegratorComment", "")</f>
        <v/>
      </c>
      <c r="W284" s="7" t="str">
        <f>IF(ISBLANK(drvlst[[#This Row],[status]]),W283,drvlst[[#This Row],[status]])</f>
        <v>MERGED</v>
      </c>
    </row>
    <row r="285" spans="1:23">
      <c r="A285" s="7">
        <f>IF(ISBLANK(drvlst[[#This Row],[number]]),A284,drvlst[[#This Row],[number]])</f>
        <v>97338</v>
      </c>
      <c r="J285" t="s">
        <v>34</v>
      </c>
      <c r="K285" s="8">
        <v>42394.854548611111</v>
      </c>
      <c r="L285" t="s">
        <v>88</v>
      </c>
      <c r="M285" s="7" t="str">
        <f>IF(ISBLANK(drvlst[[#This Row],[owner.emal]]),M284,drvlst[[#This Row],[owner.emal]])</f>
        <v>shuguang.gong@intel.com</v>
      </c>
      <c r="N285" s="7">
        <f>_xlfn.IFNA(VLOOKUP(drvlst[[#This Row],[tmp-owner.email]],OrgTree!$A:$J, 10, 0), "not ICG SWFW")</f>
        <v>0</v>
      </c>
      <c r="O285" s="7">
        <f>IF(drvlst[[#This Row],[reviewer]]=drvlst[[#This Row],[tmp-owner.email]], "author", _xlfn.IFNA(VLOOKUP(drvlst[[#This Row],[reviewer]],OrgTree!$A:$J, 10, 0), "not ICG SWFW"))</f>
        <v>0</v>
      </c>
      <c r="P285" s="7" t="str">
        <f>IF(ISBLANK(drvlst[[#This Row],[number]]), "",SUM(drvlst[[#This Row],[BJ -1 num]],drvlst[[#This Row],[FI -1 num]]))</f>
        <v/>
      </c>
      <c r="Q285" s="7" t="str">
        <f>IF(ISBLANK(drvlst[[#This Row],[number]]), "",COUNTIFS($A:$A,drvlst[[#This Row],[tmp-number]],$O:$O, "BJ And dev",$U:$U, "Review-1"))</f>
        <v/>
      </c>
      <c r="R285" s="7" t="str">
        <f>IF(ISBLANK(drvlst[[#This Row],[number]]), "",COUNTIFS($A:$A,drvlst[[#This Row],[tmp-number]],$O:$O, "FL And dev",$U:$U, "Review-1"))</f>
        <v/>
      </c>
      <c r="S285" s="7" t="str">
        <f>IF(ISBLANK(drvlst[[#This Row],[number]]), "",COUNTIFS($A:$A,drvlst[[#This Row],[tmp-number]],$O:$O, "BJ And dev",$V:$V, "&lt;&gt;IntegratorComment"))</f>
        <v/>
      </c>
      <c r="T285" s="7" t="str">
        <f>IF(ISBLANK(drvlst[[#This Row],[number]]), "",COUNTIFS($A:$A,drvlst[[#This Row],[tmp-number]],$O:$O, "FL And dev",$V:$V, "&lt;&gt;IntegratorComment"))</f>
        <v/>
      </c>
      <c r="U285" s="7" t="str">
        <f>IF(OR(ISNUMBER(FIND("Review-1", drvlst[[#This Row],[comments]])), ISNUMBER(FIND("Approver-1", drvlst[[#This Row],[comments]]))), "Review-1", "")</f>
        <v/>
      </c>
      <c r="V285" s="7" t="str">
        <f>IF(OR(ISNUMBER(FIND(": Integrator", drvlst[[#This Row],[comments]])), ISNUMBER(FIND(":\n\nIntegrator", drvlst[[#This Row],[comments]])), ISNUMBER(FIND("-Integrator", drvlst[[#This Row],[comments]]))), "IntegratorComment", "")</f>
        <v/>
      </c>
      <c r="W285" s="7" t="str">
        <f>IF(ISBLANK(drvlst[[#This Row],[status]]),W284,drvlst[[#This Row],[status]])</f>
        <v>MERGED</v>
      </c>
    </row>
    <row r="286" spans="1:23">
      <c r="A286" s="7">
        <f>IF(ISBLANK(drvlst[[#This Row],[number]]),A285,drvlst[[#This Row],[number]])</f>
        <v>97338</v>
      </c>
      <c r="J286" t="s">
        <v>34</v>
      </c>
      <c r="K286" s="8">
        <v>42395.42796296296</v>
      </c>
      <c r="L286" t="s">
        <v>67</v>
      </c>
      <c r="M286" s="7" t="str">
        <f>IF(ISBLANK(drvlst[[#This Row],[owner.emal]]),M285,drvlst[[#This Row],[owner.emal]])</f>
        <v>shuguang.gong@intel.com</v>
      </c>
      <c r="N286" s="7">
        <f>_xlfn.IFNA(VLOOKUP(drvlst[[#This Row],[tmp-owner.email]],OrgTree!$A:$J, 10, 0), "not ICG SWFW")</f>
        <v>0</v>
      </c>
      <c r="O286" s="7">
        <f>IF(drvlst[[#This Row],[reviewer]]=drvlst[[#This Row],[tmp-owner.email]], "author", _xlfn.IFNA(VLOOKUP(drvlst[[#This Row],[reviewer]],OrgTree!$A:$J, 10, 0), "not ICG SWFW"))</f>
        <v>0</v>
      </c>
      <c r="P286" s="7" t="str">
        <f>IF(ISBLANK(drvlst[[#This Row],[number]]), "",SUM(drvlst[[#This Row],[BJ -1 num]],drvlst[[#This Row],[FI -1 num]]))</f>
        <v/>
      </c>
      <c r="Q286" s="7" t="str">
        <f>IF(ISBLANK(drvlst[[#This Row],[number]]), "",COUNTIFS($A:$A,drvlst[[#This Row],[tmp-number]],$O:$O, "BJ And dev",$U:$U, "Review-1"))</f>
        <v/>
      </c>
      <c r="R286" s="7" t="str">
        <f>IF(ISBLANK(drvlst[[#This Row],[number]]), "",COUNTIFS($A:$A,drvlst[[#This Row],[tmp-number]],$O:$O, "FL And dev",$U:$U, "Review-1"))</f>
        <v/>
      </c>
      <c r="S286" s="7" t="str">
        <f>IF(ISBLANK(drvlst[[#This Row],[number]]), "",COUNTIFS($A:$A,drvlst[[#This Row],[tmp-number]],$O:$O, "BJ And dev",$V:$V, "&lt;&gt;IntegratorComment"))</f>
        <v/>
      </c>
      <c r="T286" s="7" t="str">
        <f>IF(ISBLANK(drvlst[[#This Row],[number]]), "",COUNTIFS($A:$A,drvlst[[#This Row],[tmp-number]],$O:$O, "FL And dev",$V:$V, "&lt;&gt;IntegratorComment"))</f>
        <v/>
      </c>
      <c r="U286" s="7" t="str">
        <f>IF(OR(ISNUMBER(FIND("Review-1", drvlst[[#This Row],[comments]])), ISNUMBER(FIND("Approver-1", drvlst[[#This Row],[comments]]))), "Review-1", "")</f>
        <v/>
      </c>
      <c r="V286" s="7" t="str">
        <f>IF(OR(ISNUMBER(FIND(": Integrator", drvlst[[#This Row],[comments]])), ISNUMBER(FIND(":\n\nIntegrator", drvlst[[#This Row],[comments]])), ISNUMBER(FIND("-Integrator", drvlst[[#This Row],[comments]]))), "IntegratorComment", "")</f>
        <v/>
      </c>
      <c r="W286" s="7" t="str">
        <f>IF(ISBLANK(drvlst[[#This Row],[status]]),W285,drvlst[[#This Row],[status]])</f>
        <v>MERGED</v>
      </c>
    </row>
    <row r="287" spans="1:23">
      <c r="A287" s="7">
        <f>IF(ISBLANK(drvlst[[#This Row],[number]]),A286,drvlst[[#This Row],[number]])</f>
        <v>97338</v>
      </c>
      <c r="J287" t="s">
        <v>34</v>
      </c>
      <c r="K287" s="8">
        <v>42395.622395833336</v>
      </c>
      <c r="L287" t="s">
        <v>90</v>
      </c>
      <c r="M287" s="7" t="str">
        <f>IF(ISBLANK(drvlst[[#This Row],[owner.emal]]),M286,drvlst[[#This Row],[owner.emal]])</f>
        <v>shuguang.gong@intel.com</v>
      </c>
      <c r="N287" s="7">
        <f>_xlfn.IFNA(VLOOKUP(drvlst[[#This Row],[tmp-owner.email]],OrgTree!$A:$J, 10, 0), "not ICG SWFW")</f>
        <v>0</v>
      </c>
      <c r="O287" s="7">
        <f>IF(drvlst[[#This Row],[reviewer]]=drvlst[[#This Row],[tmp-owner.email]], "author", _xlfn.IFNA(VLOOKUP(drvlst[[#This Row],[reviewer]],OrgTree!$A:$J, 10, 0), "not ICG SWFW"))</f>
        <v>0</v>
      </c>
      <c r="P287" s="7" t="str">
        <f>IF(ISBLANK(drvlst[[#This Row],[number]]), "",SUM(drvlst[[#This Row],[BJ -1 num]],drvlst[[#This Row],[FI -1 num]]))</f>
        <v/>
      </c>
      <c r="Q287" s="7" t="str">
        <f>IF(ISBLANK(drvlst[[#This Row],[number]]), "",COUNTIFS($A:$A,drvlst[[#This Row],[tmp-number]],$O:$O, "BJ And dev",$U:$U, "Review-1"))</f>
        <v/>
      </c>
      <c r="R287" s="7" t="str">
        <f>IF(ISBLANK(drvlst[[#This Row],[number]]), "",COUNTIFS($A:$A,drvlst[[#This Row],[tmp-number]],$O:$O, "FL And dev",$U:$U, "Review-1"))</f>
        <v/>
      </c>
      <c r="S287" s="7" t="str">
        <f>IF(ISBLANK(drvlst[[#This Row],[number]]), "",COUNTIFS($A:$A,drvlst[[#This Row],[tmp-number]],$O:$O, "BJ And dev",$V:$V, "&lt;&gt;IntegratorComment"))</f>
        <v/>
      </c>
      <c r="T287" s="7" t="str">
        <f>IF(ISBLANK(drvlst[[#This Row],[number]]), "",COUNTIFS($A:$A,drvlst[[#This Row],[tmp-number]],$O:$O, "FL And dev",$V:$V, "&lt;&gt;IntegratorComment"))</f>
        <v/>
      </c>
      <c r="U287" s="7" t="str">
        <f>IF(OR(ISNUMBER(FIND("Review-1", drvlst[[#This Row],[comments]])), ISNUMBER(FIND("Approver-1", drvlst[[#This Row],[comments]]))), "Review-1", "")</f>
        <v/>
      </c>
      <c r="V287" s="7" t="str">
        <f>IF(OR(ISNUMBER(FIND(": Integrator", drvlst[[#This Row],[comments]])), ISNUMBER(FIND(":\n\nIntegrator", drvlst[[#This Row],[comments]])), ISNUMBER(FIND("-Integrator", drvlst[[#This Row],[comments]]))), "IntegratorComment", "")</f>
        <v/>
      </c>
      <c r="W287" s="7" t="str">
        <f>IF(ISBLANK(drvlst[[#This Row],[status]]),W286,drvlst[[#This Row],[status]])</f>
        <v>MERGED</v>
      </c>
    </row>
    <row r="288" spans="1:23">
      <c r="A288" s="7">
        <f>IF(ISBLANK(drvlst[[#This Row],[number]]),A287,drvlst[[#This Row],[number]])</f>
        <v>96751</v>
      </c>
      <c r="B288">
        <v>96751</v>
      </c>
      <c r="C288" t="s">
        <v>84</v>
      </c>
      <c r="D288" t="s">
        <v>70</v>
      </c>
      <c r="E288" t="s">
        <v>23</v>
      </c>
      <c r="F288" t="s">
        <v>1989</v>
      </c>
      <c r="G288" t="s">
        <v>1990</v>
      </c>
      <c r="H288" s="8">
        <v>42389.962557870371</v>
      </c>
      <c r="I288" s="8">
        <v>42395.639398148145</v>
      </c>
      <c r="J288" t="s">
        <v>70</v>
      </c>
      <c r="K288" s="8">
        <v>42389.962557870371</v>
      </c>
      <c r="L288" t="s">
        <v>25</v>
      </c>
      <c r="M288" s="7" t="str">
        <f>IF(ISBLANK(drvlst[[#This Row],[owner.emal]]),M287,drvlst[[#This Row],[owner.emal]])</f>
        <v>antti.laakso@intel.com</v>
      </c>
      <c r="N288" s="7">
        <f>_xlfn.IFNA(VLOOKUP(drvlst[[#This Row],[tmp-owner.email]],OrgTree!$A:$J, 10, 0), "not ICG SWFW")</f>
        <v>0</v>
      </c>
      <c r="O288" s="7" t="str">
        <f>IF(drvlst[[#This Row],[reviewer]]=drvlst[[#This Row],[tmp-owner.email]], "author", _xlfn.IFNA(VLOOKUP(drvlst[[#This Row],[reviewer]],OrgTree!$A:$J, 10, 0), "not ICG SWFW"))</f>
        <v>author</v>
      </c>
      <c r="P288" s="7">
        <f>IF(ISBLANK(drvlst[[#This Row],[number]]), "",SUM(drvlst[[#This Row],[BJ -1 num]],drvlst[[#This Row],[FI -1 num]]))</f>
        <v>0</v>
      </c>
      <c r="Q288" s="7">
        <f>IF(ISBLANK(drvlst[[#This Row],[number]]), "",COUNTIFS($A:$A,drvlst[[#This Row],[tmp-number]],$O:$O, "BJ And dev",$U:$U, "Review-1"))</f>
        <v>0</v>
      </c>
      <c r="R288" s="7">
        <f>IF(ISBLANK(drvlst[[#This Row],[number]]), "",COUNTIFS($A:$A,drvlst[[#This Row],[tmp-number]],$O:$O, "FL And dev",$U:$U, "Review-1"))</f>
        <v>0</v>
      </c>
      <c r="S288" s="7">
        <f>IF(ISBLANK(drvlst[[#This Row],[number]]), "",COUNTIFS($A:$A,drvlst[[#This Row],[tmp-number]],$O:$O, "BJ And dev",$V:$V, "&lt;&gt;IntegratorComment"))</f>
        <v>0</v>
      </c>
      <c r="T288" s="7">
        <f>IF(ISBLANK(drvlst[[#This Row],[number]]), "",COUNTIFS($A:$A,drvlst[[#This Row],[tmp-number]],$O:$O, "FL And dev",$V:$V, "&lt;&gt;IntegratorComment"))</f>
        <v>0</v>
      </c>
      <c r="U288" s="7" t="str">
        <f>IF(OR(ISNUMBER(FIND("Review-1", drvlst[[#This Row],[comments]])), ISNUMBER(FIND("Approver-1", drvlst[[#This Row],[comments]]))), "Review-1", "")</f>
        <v/>
      </c>
      <c r="V288" s="7" t="str">
        <f>IF(OR(ISNUMBER(FIND(": Integrator", drvlst[[#This Row],[comments]])), ISNUMBER(FIND(":\n\nIntegrator", drvlst[[#This Row],[comments]])), ISNUMBER(FIND("-Integrator", drvlst[[#This Row],[comments]]))), "IntegratorComment", "")</f>
        <v/>
      </c>
      <c r="W288" s="7" t="str">
        <f>IF(ISBLANK(drvlst[[#This Row],[status]]),W287,drvlst[[#This Row],[status]])</f>
        <v>MERGED</v>
      </c>
    </row>
    <row r="289" spans="1:23">
      <c r="A289" s="7">
        <f>IF(ISBLANK(drvlst[[#This Row],[number]]),A288,drvlst[[#This Row],[number]])</f>
        <v>96751</v>
      </c>
      <c r="J289" t="s">
        <v>70</v>
      </c>
      <c r="K289" s="8">
        <v>42389.962557870371</v>
      </c>
      <c r="L289" t="s">
        <v>85</v>
      </c>
      <c r="M289" s="7" t="str">
        <f>IF(ISBLANK(drvlst[[#This Row],[owner.emal]]),M288,drvlst[[#This Row],[owner.emal]])</f>
        <v>antti.laakso@intel.com</v>
      </c>
      <c r="N289" s="7">
        <f>_xlfn.IFNA(VLOOKUP(drvlst[[#This Row],[tmp-owner.email]],OrgTree!$A:$J, 10, 0), "not ICG SWFW")</f>
        <v>0</v>
      </c>
      <c r="O289" s="7" t="str">
        <f>IF(drvlst[[#This Row],[reviewer]]=drvlst[[#This Row],[tmp-owner.email]], "author", _xlfn.IFNA(VLOOKUP(drvlst[[#This Row],[reviewer]],OrgTree!$A:$J, 10, 0), "not ICG SWFW"))</f>
        <v>author</v>
      </c>
      <c r="P289" s="7" t="str">
        <f>IF(ISBLANK(drvlst[[#This Row],[number]]), "",SUM(drvlst[[#This Row],[BJ -1 num]],drvlst[[#This Row],[FI -1 num]]))</f>
        <v/>
      </c>
      <c r="Q289" s="7" t="str">
        <f>IF(ISBLANK(drvlst[[#This Row],[number]]), "",COUNTIFS($A:$A,drvlst[[#This Row],[tmp-number]],$O:$O, "BJ And dev",$U:$U, "Review-1"))</f>
        <v/>
      </c>
      <c r="R289" s="7" t="str">
        <f>IF(ISBLANK(drvlst[[#This Row],[number]]), "",COUNTIFS($A:$A,drvlst[[#This Row],[tmp-number]],$O:$O, "FL And dev",$U:$U, "Review-1"))</f>
        <v/>
      </c>
      <c r="S289" s="7" t="str">
        <f>IF(ISBLANK(drvlst[[#This Row],[number]]), "",COUNTIFS($A:$A,drvlst[[#This Row],[tmp-number]],$O:$O, "BJ And dev",$V:$V, "&lt;&gt;IntegratorComment"))</f>
        <v/>
      </c>
      <c r="T289" s="7" t="str">
        <f>IF(ISBLANK(drvlst[[#This Row],[number]]), "",COUNTIFS($A:$A,drvlst[[#This Row],[tmp-number]],$O:$O, "FL And dev",$V:$V, "&lt;&gt;IntegratorComment"))</f>
        <v/>
      </c>
      <c r="U289" s="7" t="str">
        <f>IF(OR(ISNUMBER(FIND("Review-1", drvlst[[#This Row],[comments]])), ISNUMBER(FIND("Approver-1", drvlst[[#This Row],[comments]]))), "Review-1", "")</f>
        <v/>
      </c>
      <c r="V289" s="7" t="str">
        <f>IF(OR(ISNUMBER(FIND(": Integrator", drvlst[[#This Row],[comments]])), ISNUMBER(FIND(":\n\nIntegrator", drvlst[[#This Row],[comments]])), ISNUMBER(FIND("-Integrator", drvlst[[#This Row],[comments]]))), "IntegratorComment", "")</f>
        <v/>
      </c>
      <c r="W289" s="7" t="str">
        <f>IF(ISBLANK(drvlst[[#This Row],[status]]),W288,drvlst[[#This Row],[status]])</f>
        <v>MERGED</v>
      </c>
    </row>
    <row r="290" spans="1:23">
      <c r="A290" s="7">
        <f>IF(ISBLANK(drvlst[[#This Row],[number]]),A289,drvlst[[#This Row],[number]])</f>
        <v>96751</v>
      </c>
      <c r="J290" t="s">
        <v>70</v>
      </c>
      <c r="K290" s="8">
        <v>42389.969930555555</v>
      </c>
      <c r="L290" t="s">
        <v>40</v>
      </c>
      <c r="M290" s="7" t="str">
        <f>IF(ISBLANK(drvlst[[#This Row],[owner.emal]]),M289,drvlst[[#This Row],[owner.emal]])</f>
        <v>antti.laakso@intel.com</v>
      </c>
      <c r="N290" s="7">
        <f>_xlfn.IFNA(VLOOKUP(drvlst[[#This Row],[tmp-owner.email]],OrgTree!$A:$J, 10, 0), "not ICG SWFW")</f>
        <v>0</v>
      </c>
      <c r="O290" s="7" t="str">
        <f>IF(drvlst[[#This Row],[reviewer]]=drvlst[[#This Row],[tmp-owner.email]], "author", _xlfn.IFNA(VLOOKUP(drvlst[[#This Row],[reviewer]],OrgTree!$A:$J, 10, 0), "not ICG SWFW"))</f>
        <v>author</v>
      </c>
      <c r="P290" s="7" t="str">
        <f>IF(ISBLANK(drvlst[[#This Row],[number]]), "",SUM(drvlst[[#This Row],[BJ -1 num]],drvlst[[#This Row],[FI -1 num]]))</f>
        <v/>
      </c>
      <c r="Q290" s="7" t="str">
        <f>IF(ISBLANK(drvlst[[#This Row],[number]]), "",COUNTIFS($A:$A,drvlst[[#This Row],[tmp-number]],$O:$O, "BJ And dev",$U:$U, "Review-1"))</f>
        <v/>
      </c>
      <c r="R290" s="7" t="str">
        <f>IF(ISBLANK(drvlst[[#This Row],[number]]), "",COUNTIFS($A:$A,drvlst[[#This Row],[tmp-number]],$O:$O, "FL And dev",$U:$U, "Review-1"))</f>
        <v/>
      </c>
      <c r="S290" s="7" t="str">
        <f>IF(ISBLANK(drvlst[[#This Row],[number]]), "",COUNTIFS($A:$A,drvlst[[#This Row],[tmp-number]],$O:$O, "BJ And dev",$V:$V, "&lt;&gt;IntegratorComment"))</f>
        <v/>
      </c>
      <c r="T290" s="7" t="str">
        <f>IF(ISBLANK(drvlst[[#This Row],[number]]), "",COUNTIFS($A:$A,drvlst[[#This Row],[tmp-number]],$O:$O, "FL And dev",$V:$V, "&lt;&gt;IntegratorComment"))</f>
        <v/>
      </c>
      <c r="U290" s="7" t="str">
        <f>IF(OR(ISNUMBER(FIND("Review-1", drvlst[[#This Row],[comments]])), ISNUMBER(FIND("Approver-1", drvlst[[#This Row],[comments]]))), "Review-1", "")</f>
        <v/>
      </c>
      <c r="V290" s="7" t="str">
        <f>IF(OR(ISNUMBER(FIND(": Integrator", drvlst[[#This Row],[comments]])), ISNUMBER(FIND(":\n\nIntegrator", drvlst[[#This Row],[comments]])), ISNUMBER(FIND("-Integrator", drvlst[[#This Row],[comments]]))), "IntegratorComment", "")</f>
        <v/>
      </c>
      <c r="W290" s="7" t="str">
        <f>IF(ISBLANK(drvlst[[#This Row],[status]]),W289,drvlst[[#This Row],[status]])</f>
        <v>MERGED</v>
      </c>
    </row>
    <row r="291" spans="1:23">
      <c r="A291" s="7">
        <f>IF(ISBLANK(drvlst[[#This Row],[number]]),A290,drvlst[[#This Row],[number]])</f>
        <v>96751</v>
      </c>
      <c r="J291" t="s">
        <v>45</v>
      </c>
      <c r="K291" s="8">
        <v>42390.026307870372</v>
      </c>
      <c r="L291" t="s">
        <v>1889</v>
      </c>
      <c r="M291" s="7" t="str">
        <f>IF(ISBLANK(drvlst[[#This Row],[owner.emal]]),M290,drvlst[[#This Row],[owner.emal]])</f>
        <v>antti.laakso@intel.com</v>
      </c>
      <c r="N291" s="7">
        <f>_xlfn.IFNA(VLOOKUP(drvlst[[#This Row],[tmp-owner.email]],OrgTree!$A:$J, 10, 0), "not ICG SWFW")</f>
        <v>0</v>
      </c>
      <c r="O291" s="7">
        <f>IF(drvlst[[#This Row],[reviewer]]=drvlst[[#This Row],[tmp-owner.email]], "author", _xlfn.IFNA(VLOOKUP(drvlst[[#This Row],[reviewer]],OrgTree!$A:$J, 10, 0), "not ICG SWFW"))</f>
        <v>0</v>
      </c>
      <c r="P291" s="7" t="str">
        <f>IF(ISBLANK(drvlst[[#This Row],[number]]), "",SUM(drvlst[[#This Row],[BJ -1 num]],drvlst[[#This Row],[FI -1 num]]))</f>
        <v/>
      </c>
      <c r="Q291" s="7" t="str">
        <f>IF(ISBLANK(drvlst[[#This Row],[number]]), "",COUNTIFS($A:$A,drvlst[[#This Row],[tmp-number]],$O:$O, "BJ And dev",$U:$U, "Review-1"))</f>
        <v/>
      </c>
      <c r="R291" s="7" t="str">
        <f>IF(ISBLANK(drvlst[[#This Row],[number]]), "",COUNTIFS($A:$A,drvlst[[#This Row],[tmp-number]],$O:$O, "FL And dev",$U:$U, "Review-1"))</f>
        <v/>
      </c>
      <c r="S291" s="7" t="str">
        <f>IF(ISBLANK(drvlst[[#This Row],[number]]), "",COUNTIFS($A:$A,drvlst[[#This Row],[tmp-number]],$O:$O, "BJ And dev",$V:$V, "&lt;&gt;IntegratorComment"))</f>
        <v/>
      </c>
      <c r="T291" s="7" t="str">
        <f>IF(ISBLANK(drvlst[[#This Row],[number]]), "",COUNTIFS($A:$A,drvlst[[#This Row],[tmp-number]],$O:$O, "FL And dev",$V:$V, "&lt;&gt;IntegratorComment"))</f>
        <v/>
      </c>
      <c r="U291" s="7" t="str">
        <f>IF(OR(ISNUMBER(FIND("Review-1", drvlst[[#This Row],[comments]])), ISNUMBER(FIND("Approver-1", drvlst[[#This Row],[comments]]))), "Review-1", "")</f>
        <v>Review-1</v>
      </c>
      <c r="V291" s="7" t="str">
        <f>IF(OR(ISNUMBER(FIND(": Integrator", drvlst[[#This Row],[comments]])), ISNUMBER(FIND(":\n\nIntegrator", drvlst[[#This Row],[comments]])), ISNUMBER(FIND("-Integrator", drvlst[[#This Row],[comments]]))), "IntegratorComment", "")</f>
        <v/>
      </c>
      <c r="W291" s="7" t="str">
        <f>IF(ISBLANK(drvlst[[#This Row],[status]]),W290,drvlst[[#This Row],[status]])</f>
        <v>MERGED</v>
      </c>
    </row>
    <row r="292" spans="1:23">
      <c r="A292" s="7">
        <f>IF(ISBLANK(drvlst[[#This Row],[number]]),A291,drvlst[[#This Row],[number]])</f>
        <v>96751</v>
      </c>
      <c r="J292" t="s">
        <v>30</v>
      </c>
      <c r="K292" s="8">
        <v>42390.659525462965</v>
      </c>
      <c r="L292" t="s">
        <v>46</v>
      </c>
      <c r="M292" s="7" t="str">
        <f>IF(ISBLANK(drvlst[[#This Row],[owner.emal]]),M291,drvlst[[#This Row],[owner.emal]])</f>
        <v>antti.laakso@intel.com</v>
      </c>
      <c r="N292" s="7">
        <f>_xlfn.IFNA(VLOOKUP(drvlst[[#This Row],[tmp-owner.email]],OrgTree!$A:$J, 10, 0), "not ICG SWFW")</f>
        <v>0</v>
      </c>
      <c r="O292" s="7">
        <f>IF(drvlst[[#This Row],[reviewer]]=drvlst[[#This Row],[tmp-owner.email]], "author", _xlfn.IFNA(VLOOKUP(drvlst[[#This Row],[reviewer]],OrgTree!$A:$J, 10, 0), "not ICG SWFW"))</f>
        <v>0</v>
      </c>
      <c r="P292" s="7" t="str">
        <f>IF(ISBLANK(drvlst[[#This Row],[number]]), "",SUM(drvlst[[#This Row],[BJ -1 num]],drvlst[[#This Row],[FI -1 num]]))</f>
        <v/>
      </c>
      <c r="Q292" s="7" t="str">
        <f>IF(ISBLANK(drvlst[[#This Row],[number]]), "",COUNTIFS($A:$A,drvlst[[#This Row],[tmp-number]],$O:$O, "BJ And dev",$U:$U, "Review-1"))</f>
        <v/>
      </c>
      <c r="R292" s="7" t="str">
        <f>IF(ISBLANK(drvlst[[#This Row],[number]]), "",COUNTIFS($A:$A,drvlst[[#This Row],[tmp-number]],$O:$O, "FL And dev",$U:$U, "Review-1"))</f>
        <v/>
      </c>
      <c r="S292" s="7" t="str">
        <f>IF(ISBLANK(drvlst[[#This Row],[number]]), "",COUNTIFS($A:$A,drvlst[[#This Row],[tmp-number]],$O:$O, "BJ And dev",$V:$V, "&lt;&gt;IntegratorComment"))</f>
        <v/>
      </c>
      <c r="T292" s="7" t="str">
        <f>IF(ISBLANK(drvlst[[#This Row],[number]]), "",COUNTIFS($A:$A,drvlst[[#This Row],[tmp-number]],$O:$O, "FL And dev",$V:$V, "&lt;&gt;IntegratorComment"))</f>
        <v/>
      </c>
      <c r="U292" s="7" t="str">
        <f>IF(OR(ISNUMBER(FIND("Review-1", drvlst[[#This Row],[comments]])), ISNUMBER(FIND("Approver-1", drvlst[[#This Row],[comments]]))), "Review-1", "")</f>
        <v/>
      </c>
      <c r="V292" s="7" t="str">
        <f>IF(OR(ISNUMBER(FIND(": Integrator", drvlst[[#This Row],[comments]])), ISNUMBER(FIND(":\n\nIntegrator", drvlst[[#This Row],[comments]])), ISNUMBER(FIND("-Integrator", drvlst[[#This Row],[comments]]))), "IntegratorComment", "")</f>
        <v/>
      </c>
      <c r="W292" s="7" t="str">
        <f>IF(ISBLANK(drvlst[[#This Row],[status]]),W291,drvlst[[#This Row],[status]])</f>
        <v>MERGED</v>
      </c>
    </row>
    <row r="293" spans="1:23">
      <c r="A293" s="7">
        <f>IF(ISBLANK(drvlst[[#This Row],[number]]),A292,drvlst[[#This Row],[number]])</f>
        <v>96751</v>
      </c>
      <c r="J293" t="s">
        <v>70</v>
      </c>
      <c r="K293" s="8">
        <v>42390.763159722221</v>
      </c>
      <c r="L293" t="s">
        <v>29</v>
      </c>
      <c r="M293" s="7" t="str">
        <f>IF(ISBLANK(drvlst[[#This Row],[owner.emal]]),M292,drvlst[[#This Row],[owner.emal]])</f>
        <v>antti.laakso@intel.com</v>
      </c>
      <c r="N293" s="7">
        <f>_xlfn.IFNA(VLOOKUP(drvlst[[#This Row],[tmp-owner.email]],OrgTree!$A:$J, 10, 0), "not ICG SWFW")</f>
        <v>0</v>
      </c>
      <c r="O293" s="7" t="str">
        <f>IF(drvlst[[#This Row],[reviewer]]=drvlst[[#This Row],[tmp-owner.email]], "author", _xlfn.IFNA(VLOOKUP(drvlst[[#This Row],[reviewer]],OrgTree!$A:$J, 10, 0), "not ICG SWFW"))</f>
        <v>author</v>
      </c>
      <c r="P293" s="7" t="str">
        <f>IF(ISBLANK(drvlst[[#This Row],[number]]), "",SUM(drvlst[[#This Row],[BJ -1 num]],drvlst[[#This Row],[FI -1 num]]))</f>
        <v/>
      </c>
      <c r="Q293" s="7" t="str">
        <f>IF(ISBLANK(drvlst[[#This Row],[number]]), "",COUNTIFS($A:$A,drvlst[[#This Row],[tmp-number]],$O:$O, "BJ And dev",$U:$U, "Review-1"))</f>
        <v/>
      </c>
      <c r="R293" s="7" t="str">
        <f>IF(ISBLANK(drvlst[[#This Row],[number]]), "",COUNTIFS($A:$A,drvlst[[#This Row],[tmp-number]],$O:$O, "FL And dev",$U:$U, "Review-1"))</f>
        <v/>
      </c>
      <c r="S293" s="7" t="str">
        <f>IF(ISBLANK(drvlst[[#This Row],[number]]), "",COUNTIFS($A:$A,drvlst[[#This Row],[tmp-number]],$O:$O, "BJ And dev",$V:$V, "&lt;&gt;IntegratorComment"))</f>
        <v/>
      </c>
      <c r="T293" s="7" t="str">
        <f>IF(ISBLANK(drvlst[[#This Row],[number]]), "",COUNTIFS($A:$A,drvlst[[#This Row],[tmp-number]],$O:$O, "FL And dev",$V:$V, "&lt;&gt;IntegratorComment"))</f>
        <v/>
      </c>
      <c r="U293" s="7" t="str">
        <f>IF(OR(ISNUMBER(FIND("Review-1", drvlst[[#This Row],[comments]])), ISNUMBER(FIND("Approver-1", drvlst[[#This Row],[comments]]))), "Review-1", "")</f>
        <v/>
      </c>
      <c r="V293" s="7" t="str">
        <f>IF(OR(ISNUMBER(FIND(": Integrator", drvlst[[#This Row],[comments]])), ISNUMBER(FIND(":\n\nIntegrator", drvlst[[#This Row],[comments]])), ISNUMBER(FIND("-Integrator", drvlst[[#This Row],[comments]]))), "IntegratorComment", "")</f>
        <v/>
      </c>
      <c r="W293" s="7" t="str">
        <f>IF(ISBLANK(drvlst[[#This Row],[status]]),W292,drvlst[[#This Row],[status]])</f>
        <v>MERGED</v>
      </c>
    </row>
    <row r="294" spans="1:23">
      <c r="A294" s="7">
        <f>IF(ISBLANK(drvlst[[#This Row],[number]]),A293,drvlst[[#This Row],[number]])</f>
        <v>96751</v>
      </c>
      <c r="J294" t="s">
        <v>70</v>
      </c>
      <c r="K294" s="8">
        <v>42390.763159722221</v>
      </c>
      <c r="L294" t="s">
        <v>92</v>
      </c>
      <c r="M294" s="7" t="str">
        <f>IF(ISBLANK(drvlst[[#This Row],[owner.emal]]),M293,drvlst[[#This Row],[owner.emal]])</f>
        <v>antti.laakso@intel.com</v>
      </c>
      <c r="N294" s="7">
        <f>_xlfn.IFNA(VLOOKUP(drvlst[[#This Row],[tmp-owner.email]],OrgTree!$A:$J, 10, 0), "not ICG SWFW")</f>
        <v>0</v>
      </c>
      <c r="O294" s="7" t="str">
        <f>IF(drvlst[[#This Row],[reviewer]]=drvlst[[#This Row],[tmp-owner.email]], "author", _xlfn.IFNA(VLOOKUP(drvlst[[#This Row],[reviewer]],OrgTree!$A:$J, 10, 0), "not ICG SWFW"))</f>
        <v>author</v>
      </c>
      <c r="P294" s="7" t="str">
        <f>IF(ISBLANK(drvlst[[#This Row],[number]]), "",SUM(drvlst[[#This Row],[BJ -1 num]],drvlst[[#This Row],[FI -1 num]]))</f>
        <v/>
      </c>
      <c r="Q294" s="7" t="str">
        <f>IF(ISBLANK(drvlst[[#This Row],[number]]), "",COUNTIFS($A:$A,drvlst[[#This Row],[tmp-number]],$O:$O, "BJ And dev",$U:$U, "Review-1"))</f>
        <v/>
      </c>
      <c r="R294" s="7" t="str">
        <f>IF(ISBLANK(drvlst[[#This Row],[number]]), "",COUNTIFS($A:$A,drvlst[[#This Row],[tmp-number]],$O:$O, "FL And dev",$U:$U, "Review-1"))</f>
        <v/>
      </c>
      <c r="S294" s="7" t="str">
        <f>IF(ISBLANK(drvlst[[#This Row],[number]]), "",COUNTIFS($A:$A,drvlst[[#This Row],[tmp-number]],$O:$O, "BJ And dev",$V:$V, "&lt;&gt;IntegratorComment"))</f>
        <v/>
      </c>
      <c r="T294" s="7" t="str">
        <f>IF(ISBLANK(drvlst[[#This Row],[number]]), "",COUNTIFS($A:$A,drvlst[[#This Row],[tmp-number]],$O:$O, "FL And dev",$V:$V, "&lt;&gt;IntegratorComment"))</f>
        <v/>
      </c>
      <c r="U294" s="7" t="str">
        <f>IF(OR(ISNUMBER(FIND("Review-1", drvlst[[#This Row],[comments]])), ISNUMBER(FIND("Approver-1", drvlst[[#This Row],[comments]]))), "Review-1", "")</f>
        <v/>
      </c>
      <c r="V294" s="7" t="str">
        <f>IF(OR(ISNUMBER(FIND(": Integrator", drvlst[[#This Row],[comments]])), ISNUMBER(FIND(":\n\nIntegrator", drvlst[[#This Row],[comments]])), ISNUMBER(FIND("-Integrator", drvlst[[#This Row],[comments]]))), "IntegratorComment", "")</f>
        <v/>
      </c>
      <c r="W294" s="7" t="str">
        <f>IF(ISBLANK(drvlst[[#This Row],[status]]),W293,drvlst[[#This Row],[status]])</f>
        <v>MERGED</v>
      </c>
    </row>
    <row r="295" spans="1:23">
      <c r="A295" s="7">
        <f>IF(ISBLANK(drvlst[[#This Row],[number]]),A294,drvlst[[#This Row],[number]])</f>
        <v>96751</v>
      </c>
      <c r="J295" t="s">
        <v>70</v>
      </c>
      <c r="K295" s="8">
        <v>42390.763333333336</v>
      </c>
      <c r="L295" t="s">
        <v>27</v>
      </c>
      <c r="M295" s="7" t="str">
        <f>IF(ISBLANK(drvlst[[#This Row],[owner.emal]]),M294,drvlst[[#This Row],[owner.emal]])</f>
        <v>antti.laakso@intel.com</v>
      </c>
      <c r="N295" s="7">
        <f>_xlfn.IFNA(VLOOKUP(drvlst[[#This Row],[tmp-owner.email]],OrgTree!$A:$J, 10, 0), "not ICG SWFW")</f>
        <v>0</v>
      </c>
      <c r="O295" s="7" t="str">
        <f>IF(drvlst[[#This Row],[reviewer]]=drvlst[[#This Row],[tmp-owner.email]], "author", _xlfn.IFNA(VLOOKUP(drvlst[[#This Row],[reviewer]],OrgTree!$A:$J, 10, 0), "not ICG SWFW"))</f>
        <v>author</v>
      </c>
      <c r="P295" s="7" t="str">
        <f>IF(ISBLANK(drvlst[[#This Row],[number]]), "",SUM(drvlst[[#This Row],[BJ -1 num]],drvlst[[#This Row],[FI -1 num]]))</f>
        <v/>
      </c>
      <c r="Q295" s="7" t="str">
        <f>IF(ISBLANK(drvlst[[#This Row],[number]]), "",COUNTIFS($A:$A,drvlst[[#This Row],[tmp-number]],$O:$O, "BJ And dev",$U:$U, "Review-1"))</f>
        <v/>
      </c>
      <c r="R295" s="7" t="str">
        <f>IF(ISBLANK(drvlst[[#This Row],[number]]), "",COUNTIFS($A:$A,drvlst[[#This Row],[tmp-number]],$O:$O, "FL And dev",$U:$U, "Review-1"))</f>
        <v/>
      </c>
      <c r="S295" s="7" t="str">
        <f>IF(ISBLANK(drvlst[[#This Row],[number]]), "",COUNTIFS($A:$A,drvlst[[#This Row],[tmp-number]],$O:$O, "BJ And dev",$V:$V, "&lt;&gt;IntegratorComment"))</f>
        <v/>
      </c>
      <c r="T295" s="7" t="str">
        <f>IF(ISBLANK(drvlst[[#This Row],[number]]), "",COUNTIFS($A:$A,drvlst[[#This Row],[tmp-number]],$O:$O, "FL And dev",$V:$V, "&lt;&gt;IntegratorComment"))</f>
        <v/>
      </c>
      <c r="U295" s="7" t="str">
        <f>IF(OR(ISNUMBER(FIND("Review-1", drvlst[[#This Row],[comments]])), ISNUMBER(FIND("Approver-1", drvlst[[#This Row],[comments]]))), "Review-1", "")</f>
        <v/>
      </c>
      <c r="V295" s="7" t="str">
        <f>IF(OR(ISNUMBER(FIND(": Integrator", drvlst[[#This Row],[comments]])), ISNUMBER(FIND(":\n\nIntegrator", drvlst[[#This Row],[comments]])), ISNUMBER(FIND("-Integrator", drvlst[[#This Row],[comments]]))), "IntegratorComment", "")</f>
        <v/>
      </c>
      <c r="W295" s="7" t="str">
        <f>IF(ISBLANK(drvlst[[#This Row],[status]]),W294,drvlst[[#This Row],[status]])</f>
        <v>MERGED</v>
      </c>
    </row>
    <row r="296" spans="1:23">
      <c r="A296" s="7">
        <f>IF(ISBLANK(drvlst[[#This Row],[number]]),A295,drvlst[[#This Row],[number]])</f>
        <v>96751</v>
      </c>
      <c r="J296" t="s">
        <v>43</v>
      </c>
      <c r="K296" s="8">
        <v>42390.821377314816</v>
      </c>
      <c r="L296" t="s">
        <v>27</v>
      </c>
      <c r="M296" s="7" t="str">
        <f>IF(ISBLANK(drvlst[[#This Row],[owner.emal]]),M295,drvlst[[#This Row],[owner.emal]])</f>
        <v>antti.laakso@intel.com</v>
      </c>
      <c r="N296" s="7">
        <f>_xlfn.IFNA(VLOOKUP(drvlst[[#This Row],[tmp-owner.email]],OrgTree!$A:$J, 10, 0), "not ICG SWFW")</f>
        <v>0</v>
      </c>
      <c r="O296" s="7">
        <f>IF(drvlst[[#This Row],[reviewer]]=drvlst[[#This Row],[tmp-owner.email]], "author", _xlfn.IFNA(VLOOKUP(drvlst[[#This Row],[reviewer]],OrgTree!$A:$J, 10, 0), "not ICG SWFW"))</f>
        <v>0</v>
      </c>
      <c r="P296" s="7" t="str">
        <f>IF(ISBLANK(drvlst[[#This Row],[number]]), "",SUM(drvlst[[#This Row],[BJ -1 num]],drvlst[[#This Row],[FI -1 num]]))</f>
        <v/>
      </c>
      <c r="Q296" s="7" t="str">
        <f>IF(ISBLANK(drvlst[[#This Row],[number]]), "",COUNTIFS($A:$A,drvlst[[#This Row],[tmp-number]],$O:$O, "BJ And dev",$U:$U, "Review-1"))</f>
        <v/>
      </c>
      <c r="R296" s="7" t="str">
        <f>IF(ISBLANK(drvlst[[#This Row],[number]]), "",COUNTIFS($A:$A,drvlst[[#This Row],[tmp-number]],$O:$O, "FL And dev",$U:$U, "Review-1"))</f>
        <v/>
      </c>
      <c r="S296" s="7" t="str">
        <f>IF(ISBLANK(drvlst[[#This Row],[number]]), "",COUNTIFS($A:$A,drvlst[[#This Row],[tmp-number]],$O:$O, "BJ And dev",$V:$V, "&lt;&gt;IntegratorComment"))</f>
        <v/>
      </c>
      <c r="T296" s="7" t="str">
        <f>IF(ISBLANK(drvlst[[#This Row],[number]]), "",COUNTIFS($A:$A,drvlst[[#This Row],[tmp-number]],$O:$O, "FL And dev",$V:$V, "&lt;&gt;IntegratorComment"))</f>
        <v/>
      </c>
      <c r="U296" s="7" t="str">
        <f>IF(OR(ISNUMBER(FIND("Review-1", drvlst[[#This Row],[comments]])), ISNUMBER(FIND("Approver-1", drvlst[[#This Row],[comments]]))), "Review-1", "")</f>
        <v/>
      </c>
      <c r="V296" s="7" t="str">
        <f>IF(OR(ISNUMBER(FIND(": Integrator", drvlst[[#This Row],[comments]])), ISNUMBER(FIND(":\n\nIntegrator", drvlst[[#This Row],[comments]])), ISNUMBER(FIND("-Integrator", drvlst[[#This Row],[comments]]))), "IntegratorComment", "")</f>
        <v/>
      </c>
      <c r="W296" s="7" t="str">
        <f>IF(ISBLANK(drvlst[[#This Row],[status]]),W295,drvlst[[#This Row],[status]])</f>
        <v>MERGED</v>
      </c>
    </row>
    <row r="297" spans="1:23">
      <c r="A297" s="7">
        <f>IF(ISBLANK(drvlst[[#This Row],[number]]),A296,drvlst[[#This Row],[number]])</f>
        <v>96751</v>
      </c>
      <c r="J297" t="s">
        <v>91</v>
      </c>
      <c r="K297" s="8">
        <v>42390.900300925925</v>
      </c>
      <c r="L297" t="s">
        <v>1869</v>
      </c>
      <c r="M297" s="7" t="str">
        <f>IF(ISBLANK(drvlst[[#This Row],[owner.emal]]),M296,drvlst[[#This Row],[owner.emal]])</f>
        <v>antti.laakso@intel.com</v>
      </c>
      <c r="N297" s="7">
        <f>_xlfn.IFNA(VLOOKUP(drvlst[[#This Row],[tmp-owner.email]],OrgTree!$A:$J, 10, 0), "not ICG SWFW")</f>
        <v>0</v>
      </c>
      <c r="O297" s="7">
        <f>IF(drvlst[[#This Row],[reviewer]]=drvlst[[#This Row],[tmp-owner.email]], "author", _xlfn.IFNA(VLOOKUP(drvlst[[#This Row],[reviewer]],OrgTree!$A:$J, 10, 0), "not ICG SWFW"))</f>
        <v>0</v>
      </c>
      <c r="P297" s="7" t="str">
        <f>IF(ISBLANK(drvlst[[#This Row],[number]]), "",SUM(drvlst[[#This Row],[BJ -1 num]],drvlst[[#This Row],[FI -1 num]]))</f>
        <v/>
      </c>
      <c r="Q297" s="7" t="str">
        <f>IF(ISBLANK(drvlst[[#This Row],[number]]), "",COUNTIFS($A:$A,drvlst[[#This Row],[tmp-number]],$O:$O, "BJ And dev",$U:$U, "Review-1"))</f>
        <v/>
      </c>
      <c r="R297" s="7" t="str">
        <f>IF(ISBLANK(drvlst[[#This Row],[number]]), "",COUNTIFS($A:$A,drvlst[[#This Row],[tmp-number]],$O:$O, "FL And dev",$U:$U, "Review-1"))</f>
        <v/>
      </c>
      <c r="S297" s="7" t="str">
        <f>IF(ISBLANK(drvlst[[#This Row],[number]]), "",COUNTIFS($A:$A,drvlst[[#This Row],[tmp-number]],$O:$O, "BJ And dev",$V:$V, "&lt;&gt;IntegratorComment"))</f>
        <v/>
      </c>
      <c r="T297" s="7" t="str">
        <f>IF(ISBLANK(drvlst[[#This Row],[number]]), "",COUNTIFS($A:$A,drvlst[[#This Row],[tmp-number]],$O:$O, "FL And dev",$V:$V, "&lt;&gt;IntegratorComment"))</f>
        <v/>
      </c>
      <c r="U297" s="7" t="str">
        <f>IF(OR(ISNUMBER(FIND("Review-1", drvlst[[#This Row],[comments]])), ISNUMBER(FIND("Approver-1", drvlst[[#This Row],[comments]]))), "Review-1", "")</f>
        <v>Review-1</v>
      </c>
      <c r="V297" s="7" t="str">
        <f>IF(OR(ISNUMBER(FIND(": Integrator", drvlst[[#This Row],[comments]])), ISNUMBER(FIND(":\n\nIntegrator", drvlst[[#This Row],[comments]])), ISNUMBER(FIND("-Integrator", drvlst[[#This Row],[comments]]))), "IntegratorComment", "")</f>
        <v/>
      </c>
      <c r="W297" s="7" t="str">
        <f>IF(ISBLANK(drvlst[[#This Row],[status]]),W296,drvlst[[#This Row],[status]])</f>
        <v>MERGED</v>
      </c>
    </row>
    <row r="298" spans="1:23">
      <c r="A298" s="7">
        <f>IF(ISBLANK(drvlst[[#This Row],[number]]),A297,drvlst[[#This Row],[number]])</f>
        <v>96751</v>
      </c>
      <c r="J298" t="s">
        <v>45</v>
      </c>
      <c r="K298" s="8">
        <v>42390.938726851855</v>
      </c>
      <c r="L298" t="s">
        <v>1900</v>
      </c>
      <c r="M298" s="7" t="str">
        <f>IF(ISBLANK(drvlst[[#This Row],[owner.emal]]),M297,drvlst[[#This Row],[owner.emal]])</f>
        <v>antti.laakso@intel.com</v>
      </c>
      <c r="N298" s="7">
        <f>_xlfn.IFNA(VLOOKUP(drvlst[[#This Row],[tmp-owner.email]],OrgTree!$A:$J, 10, 0), "not ICG SWFW")</f>
        <v>0</v>
      </c>
      <c r="O298" s="7">
        <f>IF(drvlst[[#This Row],[reviewer]]=drvlst[[#This Row],[tmp-owner.email]], "author", _xlfn.IFNA(VLOOKUP(drvlst[[#This Row],[reviewer]],OrgTree!$A:$J, 10, 0), "not ICG SWFW"))</f>
        <v>0</v>
      </c>
      <c r="P298" s="7" t="str">
        <f>IF(ISBLANK(drvlst[[#This Row],[number]]), "",SUM(drvlst[[#This Row],[BJ -1 num]],drvlst[[#This Row],[FI -1 num]]))</f>
        <v/>
      </c>
      <c r="Q298" s="7" t="str">
        <f>IF(ISBLANK(drvlst[[#This Row],[number]]), "",COUNTIFS($A:$A,drvlst[[#This Row],[tmp-number]],$O:$O, "BJ And dev",$U:$U, "Review-1"))</f>
        <v/>
      </c>
      <c r="R298" s="7" t="str">
        <f>IF(ISBLANK(drvlst[[#This Row],[number]]), "",COUNTIFS($A:$A,drvlst[[#This Row],[tmp-number]],$O:$O, "FL And dev",$U:$U, "Review-1"))</f>
        <v/>
      </c>
      <c r="S298" s="7" t="str">
        <f>IF(ISBLANK(drvlst[[#This Row],[number]]), "",COUNTIFS($A:$A,drvlst[[#This Row],[tmp-number]],$O:$O, "BJ And dev",$V:$V, "&lt;&gt;IntegratorComment"))</f>
        <v/>
      </c>
      <c r="T298" s="7" t="str">
        <f>IF(ISBLANK(drvlst[[#This Row],[number]]), "",COUNTIFS($A:$A,drvlst[[#This Row],[tmp-number]],$O:$O, "FL And dev",$V:$V, "&lt;&gt;IntegratorComment"))</f>
        <v/>
      </c>
      <c r="U298" s="7" t="str">
        <f>IF(OR(ISNUMBER(FIND("Review-1", drvlst[[#This Row],[comments]])), ISNUMBER(FIND("Approver-1", drvlst[[#This Row],[comments]]))), "Review-1", "")</f>
        <v/>
      </c>
      <c r="V298" s="7" t="str">
        <f>IF(OR(ISNUMBER(FIND(": Integrator", drvlst[[#This Row],[comments]])), ISNUMBER(FIND(":\n\nIntegrator", drvlst[[#This Row],[comments]])), ISNUMBER(FIND("-Integrator", drvlst[[#This Row],[comments]]))), "IntegratorComment", "")</f>
        <v/>
      </c>
      <c r="W298" s="7" t="str">
        <f>IF(ISBLANK(drvlst[[#This Row],[status]]),W297,drvlst[[#This Row],[status]])</f>
        <v>MERGED</v>
      </c>
    </row>
    <row r="299" spans="1:23">
      <c r="A299" s="7">
        <f>IF(ISBLANK(drvlst[[#This Row],[number]]),A298,drvlst[[#This Row],[number]])</f>
        <v>96751</v>
      </c>
      <c r="J299" t="s">
        <v>41</v>
      </c>
      <c r="K299" s="8">
        <v>42390.949247685188</v>
      </c>
      <c r="L299" t="s">
        <v>1863</v>
      </c>
      <c r="M299" s="7" t="str">
        <f>IF(ISBLANK(drvlst[[#This Row],[owner.emal]]),M298,drvlst[[#This Row],[owner.emal]])</f>
        <v>antti.laakso@intel.com</v>
      </c>
      <c r="N299" s="7">
        <f>_xlfn.IFNA(VLOOKUP(drvlst[[#This Row],[tmp-owner.email]],OrgTree!$A:$J, 10, 0), "not ICG SWFW")</f>
        <v>0</v>
      </c>
      <c r="O299" s="7">
        <f>IF(drvlst[[#This Row],[reviewer]]=drvlst[[#This Row],[tmp-owner.email]], "author", _xlfn.IFNA(VLOOKUP(drvlst[[#This Row],[reviewer]],OrgTree!$A:$J, 10, 0), "not ICG SWFW"))</f>
        <v>0</v>
      </c>
      <c r="P299" s="7" t="str">
        <f>IF(ISBLANK(drvlst[[#This Row],[number]]), "",SUM(drvlst[[#This Row],[BJ -1 num]],drvlst[[#This Row],[FI -1 num]]))</f>
        <v/>
      </c>
      <c r="Q299" s="7" t="str">
        <f>IF(ISBLANK(drvlst[[#This Row],[number]]), "",COUNTIFS($A:$A,drvlst[[#This Row],[tmp-number]],$O:$O, "BJ And dev",$U:$U, "Review-1"))</f>
        <v/>
      </c>
      <c r="R299" s="7" t="str">
        <f>IF(ISBLANK(drvlst[[#This Row],[number]]), "",COUNTIFS($A:$A,drvlst[[#This Row],[tmp-number]],$O:$O, "FL And dev",$U:$U, "Review-1"))</f>
        <v/>
      </c>
      <c r="S299" s="7" t="str">
        <f>IF(ISBLANK(drvlst[[#This Row],[number]]), "",COUNTIFS($A:$A,drvlst[[#This Row],[tmp-number]],$O:$O, "BJ And dev",$V:$V, "&lt;&gt;IntegratorComment"))</f>
        <v/>
      </c>
      <c r="T299" s="7" t="str">
        <f>IF(ISBLANK(drvlst[[#This Row],[number]]), "",COUNTIFS($A:$A,drvlst[[#This Row],[tmp-number]],$O:$O, "FL And dev",$V:$V, "&lt;&gt;IntegratorComment"))</f>
        <v/>
      </c>
      <c r="U299" s="7" t="str">
        <f>IF(OR(ISNUMBER(FIND("Review-1", drvlst[[#This Row],[comments]])), ISNUMBER(FIND("Approver-1", drvlst[[#This Row],[comments]]))), "Review-1", "")</f>
        <v/>
      </c>
      <c r="V299" s="7" t="str">
        <f>IF(OR(ISNUMBER(FIND(": Integrator", drvlst[[#This Row],[comments]])), ISNUMBER(FIND(":\n\nIntegrator", drvlst[[#This Row],[comments]])), ISNUMBER(FIND("-Integrator", drvlst[[#This Row],[comments]]))), "IntegratorComment", "")</f>
        <v/>
      </c>
      <c r="W299" s="7" t="str">
        <f>IF(ISBLANK(drvlst[[#This Row],[status]]),W298,drvlst[[#This Row],[status]])</f>
        <v>MERGED</v>
      </c>
    </row>
    <row r="300" spans="1:23">
      <c r="A300" s="7">
        <f>IF(ISBLANK(drvlst[[#This Row],[number]]),A299,drvlst[[#This Row],[number]])</f>
        <v>96751</v>
      </c>
      <c r="J300" t="s">
        <v>70</v>
      </c>
      <c r="K300" s="8">
        <v>42390.955185185187</v>
      </c>
      <c r="L300" t="s">
        <v>1863</v>
      </c>
      <c r="M300" s="7" t="str">
        <f>IF(ISBLANK(drvlst[[#This Row],[owner.emal]]),M299,drvlst[[#This Row],[owner.emal]])</f>
        <v>antti.laakso@intel.com</v>
      </c>
      <c r="N300" s="7">
        <f>_xlfn.IFNA(VLOOKUP(drvlst[[#This Row],[tmp-owner.email]],OrgTree!$A:$J, 10, 0), "not ICG SWFW")</f>
        <v>0</v>
      </c>
      <c r="O300" s="7" t="str">
        <f>IF(drvlst[[#This Row],[reviewer]]=drvlst[[#This Row],[tmp-owner.email]], "author", _xlfn.IFNA(VLOOKUP(drvlst[[#This Row],[reviewer]],OrgTree!$A:$J, 10, 0), "not ICG SWFW"))</f>
        <v>author</v>
      </c>
      <c r="P300" s="7" t="str">
        <f>IF(ISBLANK(drvlst[[#This Row],[number]]), "",SUM(drvlst[[#This Row],[BJ -1 num]],drvlst[[#This Row],[FI -1 num]]))</f>
        <v/>
      </c>
      <c r="Q300" s="7" t="str">
        <f>IF(ISBLANK(drvlst[[#This Row],[number]]), "",COUNTIFS($A:$A,drvlst[[#This Row],[tmp-number]],$O:$O, "BJ And dev",$U:$U, "Review-1"))</f>
        <v/>
      </c>
      <c r="R300" s="7" t="str">
        <f>IF(ISBLANK(drvlst[[#This Row],[number]]), "",COUNTIFS($A:$A,drvlst[[#This Row],[tmp-number]],$O:$O, "FL And dev",$U:$U, "Review-1"))</f>
        <v/>
      </c>
      <c r="S300" s="7" t="str">
        <f>IF(ISBLANK(drvlst[[#This Row],[number]]), "",COUNTIFS($A:$A,drvlst[[#This Row],[tmp-number]],$O:$O, "BJ And dev",$V:$V, "&lt;&gt;IntegratorComment"))</f>
        <v/>
      </c>
      <c r="T300" s="7" t="str">
        <f>IF(ISBLANK(drvlst[[#This Row],[number]]), "",COUNTIFS($A:$A,drvlst[[#This Row],[tmp-number]],$O:$O, "FL And dev",$V:$V, "&lt;&gt;IntegratorComment"))</f>
        <v/>
      </c>
      <c r="U300" s="7" t="str">
        <f>IF(OR(ISNUMBER(FIND("Review-1", drvlst[[#This Row],[comments]])), ISNUMBER(FIND("Approver-1", drvlst[[#This Row],[comments]]))), "Review-1", "")</f>
        <v/>
      </c>
      <c r="V300" s="7" t="str">
        <f>IF(OR(ISNUMBER(FIND(": Integrator", drvlst[[#This Row],[comments]])), ISNUMBER(FIND(":\n\nIntegrator", drvlst[[#This Row],[comments]])), ISNUMBER(FIND("-Integrator", drvlst[[#This Row],[comments]]))), "IntegratorComment", "")</f>
        <v/>
      </c>
      <c r="W300" s="7" t="str">
        <f>IF(ISBLANK(drvlst[[#This Row],[status]]),W299,drvlst[[#This Row],[status]])</f>
        <v>MERGED</v>
      </c>
    </row>
    <row r="301" spans="1:23">
      <c r="A301" s="7">
        <f>IF(ISBLANK(drvlst[[#This Row],[number]]),A300,drvlst[[#This Row],[number]])</f>
        <v>96751</v>
      </c>
      <c r="J301" t="s">
        <v>30</v>
      </c>
      <c r="K301" s="8">
        <v>42391.691921296297</v>
      </c>
      <c r="L301" t="s">
        <v>1872</v>
      </c>
      <c r="M301" s="7" t="str">
        <f>IF(ISBLANK(drvlst[[#This Row],[owner.emal]]),M300,drvlst[[#This Row],[owner.emal]])</f>
        <v>antti.laakso@intel.com</v>
      </c>
      <c r="N301" s="7">
        <f>_xlfn.IFNA(VLOOKUP(drvlst[[#This Row],[tmp-owner.email]],OrgTree!$A:$J, 10, 0), "not ICG SWFW")</f>
        <v>0</v>
      </c>
      <c r="O301" s="7">
        <f>IF(drvlst[[#This Row],[reviewer]]=drvlst[[#This Row],[tmp-owner.email]], "author", _xlfn.IFNA(VLOOKUP(drvlst[[#This Row],[reviewer]],OrgTree!$A:$J, 10, 0), "not ICG SWFW"))</f>
        <v>0</v>
      </c>
      <c r="P301" s="7" t="str">
        <f>IF(ISBLANK(drvlst[[#This Row],[number]]), "",SUM(drvlst[[#This Row],[BJ -1 num]],drvlst[[#This Row],[FI -1 num]]))</f>
        <v/>
      </c>
      <c r="Q301" s="7" t="str">
        <f>IF(ISBLANK(drvlst[[#This Row],[number]]), "",COUNTIFS($A:$A,drvlst[[#This Row],[tmp-number]],$O:$O, "BJ And dev",$U:$U, "Review-1"))</f>
        <v/>
      </c>
      <c r="R301" s="7" t="str">
        <f>IF(ISBLANK(drvlst[[#This Row],[number]]), "",COUNTIFS($A:$A,drvlst[[#This Row],[tmp-number]],$O:$O, "FL And dev",$U:$U, "Review-1"))</f>
        <v/>
      </c>
      <c r="S301" s="7" t="str">
        <f>IF(ISBLANK(drvlst[[#This Row],[number]]), "",COUNTIFS($A:$A,drvlst[[#This Row],[tmp-number]],$O:$O, "BJ And dev",$V:$V, "&lt;&gt;IntegratorComment"))</f>
        <v/>
      </c>
      <c r="T301" s="7" t="str">
        <f>IF(ISBLANK(drvlst[[#This Row],[number]]), "",COUNTIFS($A:$A,drvlst[[#This Row],[tmp-number]],$O:$O, "FL And dev",$V:$V, "&lt;&gt;IntegratorComment"))</f>
        <v/>
      </c>
      <c r="U301" s="7" t="str">
        <f>IF(OR(ISNUMBER(FIND("Review-1", drvlst[[#This Row],[comments]])), ISNUMBER(FIND("Approver-1", drvlst[[#This Row],[comments]]))), "Review-1", "")</f>
        <v/>
      </c>
      <c r="V301" s="7" t="str">
        <f>IF(OR(ISNUMBER(FIND(": Integrator", drvlst[[#This Row],[comments]])), ISNUMBER(FIND(":\n\nIntegrator", drvlst[[#This Row],[comments]])), ISNUMBER(FIND("-Integrator", drvlst[[#This Row],[comments]]))), "IntegratorComment", "")</f>
        <v/>
      </c>
      <c r="W301" s="7" t="str">
        <f>IF(ISBLANK(drvlst[[#This Row],[status]]),W300,drvlst[[#This Row],[status]])</f>
        <v>MERGED</v>
      </c>
    </row>
    <row r="302" spans="1:23">
      <c r="A302" s="7">
        <f>IF(ISBLANK(drvlst[[#This Row],[number]]),A301,drvlst[[#This Row],[number]])</f>
        <v>96751</v>
      </c>
      <c r="J302" t="s">
        <v>79</v>
      </c>
      <c r="K302" s="8">
        <v>42391.700636574074</v>
      </c>
      <c r="L302" t="s">
        <v>27</v>
      </c>
      <c r="M302" s="7" t="str">
        <f>IF(ISBLANK(drvlst[[#This Row],[owner.emal]]),M301,drvlst[[#This Row],[owner.emal]])</f>
        <v>antti.laakso@intel.com</v>
      </c>
      <c r="N302" s="7">
        <f>_xlfn.IFNA(VLOOKUP(drvlst[[#This Row],[tmp-owner.email]],OrgTree!$A:$J, 10, 0), "not ICG SWFW")</f>
        <v>0</v>
      </c>
      <c r="O302" s="7">
        <f>IF(drvlst[[#This Row],[reviewer]]=drvlst[[#This Row],[tmp-owner.email]], "author", _xlfn.IFNA(VLOOKUP(drvlst[[#This Row],[reviewer]],OrgTree!$A:$J, 10, 0), "not ICG SWFW"))</f>
        <v>0</v>
      </c>
      <c r="P302" s="7" t="str">
        <f>IF(ISBLANK(drvlst[[#This Row],[number]]), "",SUM(drvlst[[#This Row],[BJ -1 num]],drvlst[[#This Row],[FI -1 num]]))</f>
        <v/>
      </c>
      <c r="Q302" s="7" t="str">
        <f>IF(ISBLANK(drvlst[[#This Row],[number]]), "",COUNTIFS($A:$A,drvlst[[#This Row],[tmp-number]],$O:$O, "BJ And dev",$U:$U, "Review-1"))</f>
        <v/>
      </c>
      <c r="R302" s="7" t="str">
        <f>IF(ISBLANK(drvlst[[#This Row],[number]]), "",COUNTIFS($A:$A,drvlst[[#This Row],[tmp-number]],$O:$O, "FL And dev",$U:$U, "Review-1"))</f>
        <v/>
      </c>
      <c r="S302" s="7" t="str">
        <f>IF(ISBLANK(drvlst[[#This Row],[number]]), "",COUNTIFS($A:$A,drvlst[[#This Row],[tmp-number]],$O:$O, "BJ And dev",$V:$V, "&lt;&gt;IntegratorComment"))</f>
        <v/>
      </c>
      <c r="T302" s="7" t="str">
        <f>IF(ISBLANK(drvlst[[#This Row],[number]]), "",COUNTIFS($A:$A,drvlst[[#This Row],[tmp-number]],$O:$O, "FL And dev",$V:$V, "&lt;&gt;IntegratorComment"))</f>
        <v/>
      </c>
      <c r="U302" s="7" t="str">
        <f>IF(OR(ISNUMBER(FIND("Review-1", drvlst[[#This Row],[comments]])), ISNUMBER(FIND("Approver-1", drvlst[[#This Row],[comments]]))), "Review-1", "")</f>
        <v/>
      </c>
      <c r="V302" s="7" t="str">
        <f>IF(OR(ISNUMBER(FIND(": Integrator", drvlst[[#This Row],[comments]])), ISNUMBER(FIND(":\n\nIntegrator", drvlst[[#This Row],[comments]])), ISNUMBER(FIND("-Integrator", drvlst[[#This Row],[comments]]))), "IntegratorComment", "")</f>
        <v/>
      </c>
      <c r="W302" s="7" t="str">
        <f>IF(ISBLANK(drvlst[[#This Row],[status]]),W301,drvlst[[#This Row],[status]])</f>
        <v>MERGED</v>
      </c>
    </row>
    <row r="303" spans="1:23">
      <c r="A303" s="7">
        <f>IF(ISBLANK(drvlst[[#This Row],[number]]),A302,drvlst[[#This Row],[number]])</f>
        <v>96751</v>
      </c>
      <c r="J303" t="s">
        <v>45</v>
      </c>
      <c r="K303" s="8">
        <v>42391.71266203704</v>
      </c>
      <c r="L303" t="s">
        <v>1863</v>
      </c>
      <c r="M303" s="7" t="str">
        <f>IF(ISBLANK(drvlst[[#This Row],[owner.emal]]),M302,drvlst[[#This Row],[owner.emal]])</f>
        <v>antti.laakso@intel.com</v>
      </c>
      <c r="N303" s="7">
        <f>_xlfn.IFNA(VLOOKUP(drvlst[[#This Row],[tmp-owner.email]],OrgTree!$A:$J, 10, 0), "not ICG SWFW")</f>
        <v>0</v>
      </c>
      <c r="O303" s="7">
        <f>IF(drvlst[[#This Row],[reviewer]]=drvlst[[#This Row],[tmp-owner.email]], "author", _xlfn.IFNA(VLOOKUP(drvlst[[#This Row],[reviewer]],OrgTree!$A:$J, 10, 0), "not ICG SWFW"))</f>
        <v>0</v>
      </c>
      <c r="P303" s="7" t="str">
        <f>IF(ISBLANK(drvlst[[#This Row],[number]]), "",SUM(drvlst[[#This Row],[BJ -1 num]],drvlst[[#This Row],[FI -1 num]]))</f>
        <v/>
      </c>
      <c r="Q303" s="7" t="str">
        <f>IF(ISBLANK(drvlst[[#This Row],[number]]), "",COUNTIFS($A:$A,drvlst[[#This Row],[tmp-number]],$O:$O, "BJ And dev",$U:$U, "Review-1"))</f>
        <v/>
      </c>
      <c r="R303" s="7" t="str">
        <f>IF(ISBLANK(drvlst[[#This Row],[number]]), "",COUNTIFS($A:$A,drvlst[[#This Row],[tmp-number]],$O:$O, "FL And dev",$U:$U, "Review-1"))</f>
        <v/>
      </c>
      <c r="S303" s="7" t="str">
        <f>IF(ISBLANK(drvlst[[#This Row],[number]]), "",COUNTIFS($A:$A,drvlst[[#This Row],[tmp-number]],$O:$O, "BJ And dev",$V:$V, "&lt;&gt;IntegratorComment"))</f>
        <v/>
      </c>
      <c r="T303" s="7" t="str">
        <f>IF(ISBLANK(drvlst[[#This Row],[number]]), "",COUNTIFS($A:$A,drvlst[[#This Row],[tmp-number]],$O:$O, "FL And dev",$V:$V, "&lt;&gt;IntegratorComment"))</f>
        <v/>
      </c>
      <c r="U303" s="7" t="str">
        <f>IF(OR(ISNUMBER(FIND("Review-1", drvlst[[#This Row],[comments]])), ISNUMBER(FIND("Approver-1", drvlst[[#This Row],[comments]]))), "Review-1", "")</f>
        <v/>
      </c>
      <c r="V303" s="7" t="str">
        <f>IF(OR(ISNUMBER(FIND(": Integrator", drvlst[[#This Row],[comments]])), ISNUMBER(FIND(":\n\nIntegrator", drvlst[[#This Row],[comments]])), ISNUMBER(FIND("-Integrator", drvlst[[#This Row],[comments]]))), "IntegratorComment", "")</f>
        <v/>
      </c>
      <c r="W303" s="7" t="str">
        <f>IF(ISBLANK(drvlst[[#This Row],[status]]),W302,drvlst[[#This Row],[status]])</f>
        <v>MERGED</v>
      </c>
    </row>
    <row r="304" spans="1:23">
      <c r="A304" s="7">
        <f>IF(ISBLANK(drvlst[[#This Row],[number]]),A303,drvlst[[#This Row],[number]])</f>
        <v>96751</v>
      </c>
      <c r="J304" t="s">
        <v>45</v>
      </c>
      <c r="K304" s="8">
        <v>42391.81050925926</v>
      </c>
      <c r="L304" t="s">
        <v>1991</v>
      </c>
      <c r="M304" s="7" t="str">
        <f>IF(ISBLANK(drvlst[[#This Row],[owner.emal]]),M303,drvlst[[#This Row],[owner.emal]])</f>
        <v>antti.laakso@intel.com</v>
      </c>
      <c r="N304" s="7">
        <f>_xlfn.IFNA(VLOOKUP(drvlst[[#This Row],[tmp-owner.email]],OrgTree!$A:$J, 10, 0), "not ICG SWFW")</f>
        <v>0</v>
      </c>
      <c r="O304" s="7">
        <f>IF(drvlst[[#This Row],[reviewer]]=drvlst[[#This Row],[tmp-owner.email]], "author", _xlfn.IFNA(VLOOKUP(drvlst[[#This Row],[reviewer]],OrgTree!$A:$J, 10, 0), "not ICG SWFW"))</f>
        <v>0</v>
      </c>
      <c r="P304" s="7" t="str">
        <f>IF(ISBLANK(drvlst[[#This Row],[number]]), "",SUM(drvlst[[#This Row],[BJ -1 num]],drvlst[[#This Row],[FI -1 num]]))</f>
        <v/>
      </c>
      <c r="Q304" s="7" t="str">
        <f>IF(ISBLANK(drvlst[[#This Row],[number]]), "",COUNTIFS($A:$A,drvlst[[#This Row],[tmp-number]],$O:$O, "BJ And dev",$U:$U, "Review-1"))</f>
        <v/>
      </c>
      <c r="R304" s="7" t="str">
        <f>IF(ISBLANK(drvlst[[#This Row],[number]]), "",COUNTIFS($A:$A,drvlst[[#This Row],[tmp-number]],$O:$O, "FL And dev",$U:$U, "Review-1"))</f>
        <v/>
      </c>
      <c r="S304" s="7" t="str">
        <f>IF(ISBLANK(drvlst[[#This Row],[number]]), "",COUNTIFS($A:$A,drvlst[[#This Row],[tmp-number]],$O:$O, "BJ And dev",$V:$V, "&lt;&gt;IntegratorComment"))</f>
        <v/>
      </c>
      <c r="T304" s="7" t="str">
        <f>IF(ISBLANK(drvlst[[#This Row],[number]]), "",COUNTIFS($A:$A,drvlst[[#This Row],[tmp-number]],$O:$O, "FL And dev",$V:$V, "&lt;&gt;IntegratorComment"))</f>
        <v/>
      </c>
      <c r="U304" s="7" t="str">
        <f>IF(OR(ISNUMBER(FIND("Review-1", drvlst[[#This Row],[comments]])), ISNUMBER(FIND("Approver-1", drvlst[[#This Row],[comments]]))), "Review-1", "")</f>
        <v>Review-1</v>
      </c>
      <c r="V304" s="7" t="str">
        <f>IF(OR(ISNUMBER(FIND(": Integrator", drvlst[[#This Row],[comments]])), ISNUMBER(FIND(":\n\nIntegrator", drvlst[[#This Row],[comments]])), ISNUMBER(FIND("-Integrator", drvlst[[#This Row],[comments]]))), "IntegratorComment", "")</f>
        <v/>
      </c>
      <c r="W304" s="7" t="str">
        <f>IF(ISBLANK(drvlst[[#This Row],[status]]),W303,drvlst[[#This Row],[status]])</f>
        <v>MERGED</v>
      </c>
    </row>
    <row r="305" spans="1:23">
      <c r="A305" s="7">
        <f>IF(ISBLANK(drvlst[[#This Row],[number]]),A304,drvlst[[#This Row],[number]])</f>
        <v>96751</v>
      </c>
      <c r="J305" t="s">
        <v>70</v>
      </c>
      <c r="K305" s="8">
        <v>42391.832141203704</v>
      </c>
      <c r="L305" t="s">
        <v>1992</v>
      </c>
      <c r="M305" s="7" t="str">
        <f>IF(ISBLANK(drvlst[[#This Row],[owner.emal]]),M304,drvlst[[#This Row],[owner.emal]])</f>
        <v>antti.laakso@intel.com</v>
      </c>
      <c r="N305" s="7">
        <f>_xlfn.IFNA(VLOOKUP(drvlst[[#This Row],[tmp-owner.email]],OrgTree!$A:$J, 10, 0), "not ICG SWFW")</f>
        <v>0</v>
      </c>
      <c r="O305" s="7" t="str">
        <f>IF(drvlst[[#This Row],[reviewer]]=drvlst[[#This Row],[tmp-owner.email]], "author", _xlfn.IFNA(VLOOKUP(drvlst[[#This Row],[reviewer]],OrgTree!$A:$J, 10, 0), "not ICG SWFW"))</f>
        <v>author</v>
      </c>
      <c r="P305" s="7" t="str">
        <f>IF(ISBLANK(drvlst[[#This Row],[number]]), "",SUM(drvlst[[#This Row],[BJ -1 num]],drvlst[[#This Row],[FI -1 num]]))</f>
        <v/>
      </c>
      <c r="Q305" s="7" t="str">
        <f>IF(ISBLANK(drvlst[[#This Row],[number]]), "",COUNTIFS($A:$A,drvlst[[#This Row],[tmp-number]],$O:$O, "BJ And dev",$U:$U, "Review-1"))</f>
        <v/>
      </c>
      <c r="R305" s="7" t="str">
        <f>IF(ISBLANK(drvlst[[#This Row],[number]]), "",COUNTIFS($A:$A,drvlst[[#This Row],[tmp-number]],$O:$O, "FL And dev",$U:$U, "Review-1"))</f>
        <v/>
      </c>
      <c r="S305" s="7" t="str">
        <f>IF(ISBLANK(drvlst[[#This Row],[number]]), "",COUNTIFS($A:$A,drvlst[[#This Row],[tmp-number]],$O:$O, "BJ And dev",$V:$V, "&lt;&gt;IntegratorComment"))</f>
        <v/>
      </c>
      <c r="T305" s="7" t="str">
        <f>IF(ISBLANK(drvlst[[#This Row],[number]]), "",COUNTIFS($A:$A,drvlst[[#This Row],[tmp-number]],$O:$O, "FL And dev",$V:$V, "&lt;&gt;IntegratorComment"))</f>
        <v/>
      </c>
      <c r="U305" s="7" t="str">
        <f>IF(OR(ISNUMBER(FIND("Review-1", drvlst[[#This Row],[comments]])), ISNUMBER(FIND("Approver-1", drvlst[[#This Row],[comments]]))), "Review-1", "")</f>
        <v/>
      </c>
      <c r="V305" s="7" t="str">
        <f>IF(OR(ISNUMBER(FIND(": Integrator", drvlst[[#This Row],[comments]])), ISNUMBER(FIND(":\n\nIntegrator", drvlst[[#This Row],[comments]])), ISNUMBER(FIND("-Integrator", drvlst[[#This Row],[comments]]))), "IntegratorComment", "")</f>
        <v/>
      </c>
      <c r="W305" s="7" t="str">
        <f>IF(ISBLANK(drvlst[[#This Row],[status]]),W304,drvlst[[#This Row],[status]])</f>
        <v>MERGED</v>
      </c>
    </row>
    <row r="306" spans="1:23">
      <c r="A306" s="7">
        <f>IF(ISBLANK(drvlst[[#This Row],[number]]),A305,drvlst[[#This Row],[number]])</f>
        <v>96751</v>
      </c>
      <c r="J306" t="s">
        <v>91</v>
      </c>
      <c r="K306" s="8">
        <v>42391.847708333335</v>
      </c>
      <c r="L306" t="s">
        <v>27</v>
      </c>
      <c r="M306" s="7" t="str">
        <f>IF(ISBLANK(drvlst[[#This Row],[owner.emal]]),M305,drvlst[[#This Row],[owner.emal]])</f>
        <v>antti.laakso@intel.com</v>
      </c>
      <c r="N306" s="7">
        <f>_xlfn.IFNA(VLOOKUP(drvlst[[#This Row],[tmp-owner.email]],OrgTree!$A:$J, 10, 0), "not ICG SWFW")</f>
        <v>0</v>
      </c>
      <c r="O306" s="7">
        <f>IF(drvlst[[#This Row],[reviewer]]=drvlst[[#This Row],[tmp-owner.email]], "author", _xlfn.IFNA(VLOOKUP(drvlst[[#This Row],[reviewer]],OrgTree!$A:$J, 10, 0), "not ICG SWFW"))</f>
        <v>0</v>
      </c>
      <c r="P306" s="7" t="str">
        <f>IF(ISBLANK(drvlst[[#This Row],[number]]), "",SUM(drvlst[[#This Row],[BJ -1 num]],drvlst[[#This Row],[FI -1 num]]))</f>
        <v/>
      </c>
      <c r="Q306" s="7" t="str">
        <f>IF(ISBLANK(drvlst[[#This Row],[number]]), "",COUNTIFS($A:$A,drvlst[[#This Row],[tmp-number]],$O:$O, "BJ And dev",$U:$U, "Review-1"))</f>
        <v/>
      </c>
      <c r="R306" s="7" t="str">
        <f>IF(ISBLANK(drvlst[[#This Row],[number]]), "",COUNTIFS($A:$A,drvlst[[#This Row],[tmp-number]],$O:$O, "FL And dev",$U:$U, "Review-1"))</f>
        <v/>
      </c>
      <c r="S306" s="7" t="str">
        <f>IF(ISBLANK(drvlst[[#This Row],[number]]), "",COUNTIFS($A:$A,drvlst[[#This Row],[tmp-number]],$O:$O, "BJ And dev",$V:$V, "&lt;&gt;IntegratorComment"))</f>
        <v/>
      </c>
      <c r="T306" s="7" t="str">
        <f>IF(ISBLANK(drvlst[[#This Row],[number]]), "",COUNTIFS($A:$A,drvlst[[#This Row],[tmp-number]],$O:$O, "FL And dev",$V:$V, "&lt;&gt;IntegratorComment"))</f>
        <v/>
      </c>
      <c r="U306" s="7" t="str">
        <f>IF(OR(ISNUMBER(FIND("Review-1", drvlst[[#This Row],[comments]])), ISNUMBER(FIND("Approver-1", drvlst[[#This Row],[comments]]))), "Review-1", "")</f>
        <v/>
      </c>
      <c r="V306" s="7" t="str">
        <f>IF(OR(ISNUMBER(FIND(": Integrator", drvlst[[#This Row],[comments]])), ISNUMBER(FIND(":\n\nIntegrator", drvlst[[#This Row],[comments]])), ISNUMBER(FIND("-Integrator", drvlst[[#This Row],[comments]]))), "IntegratorComment", "")</f>
        <v/>
      </c>
      <c r="W306" s="7" t="str">
        <f>IF(ISBLANK(drvlst[[#This Row],[status]]),W305,drvlst[[#This Row],[status]])</f>
        <v>MERGED</v>
      </c>
    </row>
    <row r="307" spans="1:23">
      <c r="A307" s="7">
        <f>IF(ISBLANK(drvlst[[#This Row],[number]]),A306,drvlst[[#This Row],[number]])</f>
        <v>96751</v>
      </c>
      <c r="J307" t="s">
        <v>70</v>
      </c>
      <c r="K307" s="8">
        <v>42391.857291666667</v>
      </c>
      <c r="L307" t="s">
        <v>1829</v>
      </c>
      <c r="M307" s="7" t="str">
        <f>IF(ISBLANK(drvlst[[#This Row],[owner.emal]]),M306,drvlst[[#This Row],[owner.emal]])</f>
        <v>antti.laakso@intel.com</v>
      </c>
      <c r="N307" s="7">
        <f>_xlfn.IFNA(VLOOKUP(drvlst[[#This Row],[tmp-owner.email]],OrgTree!$A:$J, 10, 0), "not ICG SWFW")</f>
        <v>0</v>
      </c>
      <c r="O307" s="7" t="str">
        <f>IF(drvlst[[#This Row],[reviewer]]=drvlst[[#This Row],[tmp-owner.email]], "author", _xlfn.IFNA(VLOOKUP(drvlst[[#This Row],[reviewer]],OrgTree!$A:$J, 10, 0), "not ICG SWFW"))</f>
        <v>author</v>
      </c>
      <c r="P307" s="7" t="str">
        <f>IF(ISBLANK(drvlst[[#This Row],[number]]), "",SUM(drvlst[[#This Row],[BJ -1 num]],drvlst[[#This Row],[FI -1 num]]))</f>
        <v/>
      </c>
      <c r="Q307" s="7" t="str">
        <f>IF(ISBLANK(drvlst[[#This Row],[number]]), "",COUNTIFS($A:$A,drvlst[[#This Row],[tmp-number]],$O:$O, "BJ And dev",$U:$U, "Review-1"))</f>
        <v/>
      </c>
      <c r="R307" s="7" t="str">
        <f>IF(ISBLANK(drvlst[[#This Row],[number]]), "",COUNTIFS($A:$A,drvlst[[#This Row],[tmp-number]],$O:$O, "FL And dev",$U:$U, "Review-1"))</f>
        <v/>
      </c>
      <c r="S307" s="7" t="str">
        <f>IF(ISBLANK(drvlst[[#This Row],[number]]), "",COUNTIFS($A:$A,drvlst[[#This Row],[tmp-number]],$O:$O, "BJ And dev",$V:$V, "&lt;&gt;IntegratorComment"))</f>
        <v/>
      </c>
      <c r="T307" s="7" t="str">
        <f>IF(ISBLANK(drvlst[[#This Row],[number]]), "",COUNTIFS($A:$A,drvlst[[#This Row],[tmp-number]],$O:$O, "FL And dev",$V:$V, "&lt;&gt;IntegratorComment"))</f>
        <v/>
      </c>
      <c r="U307" s="7" t="str">
        <f>IF(OR(ISNUMBER(FIND("Review-1", drvlst[[#This Row],[comments]])), ISNUMBER(FIND("Approver-1", drvlst[[#This Row],[comments]]))), "Review-1", "")</f>
        <v/>
      </c>
      <c r="V307" s="7" t="str">
        <f>IF(OR(ISNUMBER(FIND(": Integrator", drvlst[[#This Row],[comments]])), ISNUMBER(FIND(":\n\nIntegrator", drvlst[[#This Row],[comments]])), ISNUMBER(FIND("-Integrator", drvlst[[#This Row],[comments]]))), "IntegratorComment", "")</f>
        <v/>
      </c>
      <c r="W307" s="7" t="str">
        <f>IF(ISBLANK(drvlst[[#This Row],[status]]),W306,drvlst[[#This Row],[status]])</f>
        <v>MERGED</v>
      </c>
    </row>
    <row r="308" spans="1:23">
      <c r="A308" s="7">
        <f>IF(ISBLANK(drvlst[[#This Row],[number]]),A307,drvlst[[#This Row],[number]])</f>
        <v>96751</v>
      </c>
      <c r="J308" t="s">
        <v>70</v>
      </c>
      <c r="K308" s="8">
        <v>42391.857291666667</v>
      </c>
      <c r="L308" t="s">
        <v>98</v>
      </c>
      <c r="M308" s="7" t="str">
        <f>IF(ISBLANK(drvlst[[#This Row],[owner.emal]]),M307,drvlst[[#This Row],[owner.emal]])</f>
        <v>antti.laakso@intel.com</v>
      </c>
      <c r="N308" s="7">
        <f>_xlfn.IFNA(VLOOKUP(drvlst[[#This Row],[tmp-owner.email]],OrgTree!$A:$J, 10, 0), "not ICG SWFW")</f>
        <v>0</v>
      </c>
      <c r="O308" s="7" t="str">
        <f>IF(drvlst[[#This Row],[reviewer]]=drvlst[[#This Row],[tmp-owner.email]], "author", _xlfn.IFNA(VLOOKUP(drvlst[[#This Row],[reviewer]],OrgTree!$A:$J, 10, 0), "not ICG SWFW"))</f>
        <v>author</v>
      </c>
      <c r="P308" s="7" t="str">
        <f>IF(ISBLANK(drvlst[[#This Row],[number]]), "",SUM(drvlst[[#This Row],[BJ -1 num]],drvlst[[#This Row],[FI -1 num]]))</f>
        <v/>
      </c>
      <c r="Q308" s="7" t="str">
        <f>IF(ISBLANK(drvlst[[#This Row],[number]]), "",COUNTIFS($A:$A,drvlst[[#This Row],[tmp-number]],$O:$O, "BJ And dev",$U:$U, "Review-1"))</f>
        <v/>
      </c>
      <c r="R308" s="7" t="str">
        <f>IF(ISBLANK(drvlst[[#This Row],[number]]), "",COUNTIFS($A:$A,drvlst[[#This Row],[tmp-number]],$O:$O, "FL And dev",$U:$U, "Review-1"))</f>
        <v/>
      </c>
      <c r="S308" s="7" t="str">
        <f>IF(ISBLANK(drvlst[[#This Row],[number]]), "",COUNTIFS($A:$A,drvlst[[#This Row],[tmp-number]],$O:$O, "BJ And dev",$V:$V, "&lt;&gt;IntegratorComment"))</f>
        <v/>
      </c>
      <c r="T308" s="7" t="str">
        <f>IF(ISBLANK(drvlst[[#This Row],[number]]), "",COUNTIFS($A:$A,drvlst[[#This Row],[tmp-number]],$O:$O, "FL And dev",$V:$V, "&lt;&gt;IntegratorComment"))</f>
        <v/>
      </c>
      <c r="U308" s="7" t="str">
        <f>IF(OR(ISNUMBER(FIND("Review-1", drvlst[[#This Row],[comments]])), ISNUMBER(FIND("Approver-1", drvlst[[#This Row],[comments]]))), "Review-1", "")</f>
        <v/>
      </c>
      <c r="V308" s="7" t="str">
        <f>IF(OR(ISNUMBER(FIND(": Integrator", drvlst[[#This Row],[comments]])), ISNUMBER(FIND(":\n\nIntegrator", drvlst[[#This Row],[comments]])), ISNUMBER(FIND("-Integrator", drvlst[[#This Row],[comments]]))), "IntegratorComment", "")</f>
        <v/>
      </c>
      <c r="W308" s="7" t="str">
        <f>IF(ISBLANK(drvlst[[#This Row],[status]]),W307,drvlst[[#This Row],[status]])</f>
        <v>MERGED</v>
      </c>
    </row>
    <row r="309" spans="1:23">
      <c r="A309" s="7">
        <f>IF(ISBLANK(drvlst[[#This Row],[number]]),A308,drvlst[[#This Row],[number]])</f>
        <v>96751</v>
      </c>
      <c r="J309" t="s">
        <v>70</v>
      </c>
      <c r="K309" s="8">
        <v>42391.857546296298</v>
      </c>
      <c r="L309" t="s">
        <v>48</v>
      </c>
      <c r="M309" s="7" t="str">
        <f>IF(ISBLANK(drvlst[[#This Row],[owner.emal]]),M308,drvlst[[#This Row],[owner.emal]])</f>
        <v>antti.laakso@intel.com</v>
      </c>
      <c r="N309" s="7">
        <f>_xlfn.IFNA(VLOOKUP(drvlst[[#This Row],[tmp-owner.email]],OrgTree!$A:$J, 10, 0), "not ICG SWFW")</f>
        <v>0</v>
      </c>
      <c r="O309" s="7" t="str">
        <f>IF(drvlst[[#This Row],[reviewer]]=drvlst[[#This Row],[tmp-owner.email]], "author", _xlfn.IFNA(VLOOKUP(drvlst[[#This Row],[reviewer]],OrgTree!$A:$J, 10, 0), "not ICG SWFW"))</f>
        <v>author</v>
      </c>
      <c r="P309" s="7" t="str">
        <f>IF(ISBLANK(drvlst[[#This Row],[number]]), "",SUM(drvlst[[#This Row],[BJ -1 num]],drvlst[[#This Row],[FI -1 num]]))</f>
        <v/>
      </c>
      <c r="Q309" s="7" t="str">
        <f>IF(ISBLANK(drvlst[[#This Row],[number]]), "",COUNTIFS($A:$A,drvlst[[#This Row],[tmp-number]],$O:$O, "BJ And dev",$U:$U, "Review-1"))</f>
        <v/>
      </c>
      <c r="R309" s="7" t="str">
        <f>IF(ISBLANK(drvlst[[#This Row],[number]]), "",COUNTIFS($A:$A,drvlst[[#This Row],[tmp-number]],$O:$O, "FL And dev",$U:$U, "Review-1"))</f>
        <v/>
      </c>
      <c r="S309" s="7" t="str">
        <f>IF(ISBLANK(drvlst[[#This Row],[number]]), "",COUNTIFS($A:$A,drvlst[[#This Row],[tmp-number]],$O:$O, "BJ And dev",$V:$V, "&lt;&gt;IntegratorComment"))</f>
        <v/>
      </c>
      <c r="T309" s="7" t="str">
        <f>IF(ISBLANK(drvlst[[#This Row],[number]]), "",COUNTIFS($A:$A,drvlst[[#This Row],[tmp-number]],$O:$O, "FL And dev",$V:$V, "&lt;&gt;IntegratorComment"))</f>
        <v/>
      </c>
      <c r="U309" s="7" t="str">
        <f>IF(OR(ISNUMBER(FIND("Review-1", drvlst[[#This Row],[comments]])), ISNUMBER(FIND("Approver-1", drvlst[[#This Row],[comments]]))), "Review-1", "")</f>
        <v/>
      </c>
      <c r="V309" s="7" t="str">
        <f>IF(OR(ISNUMBER(FIND(": Integrator", drvlst[[#This Row],[comments]])), ISNUMBER(FIND(":\n\nIntegrator", drvlst[[#This Row],[comments]])), ISNUMBER(FIND("-Integrator", drvlst[[#This Row],[comments]]))), "IntegratorComment", "")</f>
        <v/>
      </c>
      <c r="W309" s="7" t="str">
        <f>IF(ISBLANK(drvlst[[#This Row],[status]]),W308,drvlst[[#This Row],[status]])</f>
        <v>MERGED</v>
      </c>
    </row>
    <row r="310" spans="1:23">
      <c r="A310" s="7">
        <f>IF(ISBLANK(drvlst[[#This Row],[number]]),A309,drvlst[[#This Row],[number]])</f>
        <v>96751</v>
      </c>
      <c r="J310" t="s">
        <v>45</v>
      </c>
      <c r="K310" s="8">
        <v>42391.858449074076</v>
      </c>
      <c r="L310" t="s">
        <v>48</v>
      </c>
      <c r="M310" s="7" t="str">
        <f>IF(ISBLANK(drvlst[[#This Row],[owner.emal]]),M309,drvlst[[#This Row],[owner.emal]])</f>
        <v>antti.laakso@intel.com</v>
      </c>
      <c r="N310" s="7">
        <f>_xlfn.IFNA(VLOOKUP(drvlst[[#This Row],[tmp-owner.email]],OrgTree!$A:$J, 10, 0), "not ICG SWFW")</f>
        <v>0</v>
      </c>
      <c r="O310" s="7">
        <f>IF(drvlst[[#This Row],[reviewer]]=drvlst[[#This Row],[tmp-owner.email]], "author", _xlfn.IFNA(VLOOKUP(drvlst[[#This Row],[reviewer]],OrgTree!$A:$J, 10, 0), "not ICG SWFW"))</f>
        <v>0</v>
      </c>
      <c r="P310" s="7" t="str">
        <f>IF(ISBLANK(drvlst[[#This Row],[number]]), "",SUM(drvlst[[#This Row],[BJ -1 num]],drvlst[[#This Row],[FI -1 num]]))</f>
        <v/>
      </c>
      <c r="Q310" s="7" t="str">
        <f>IF(ISBLANK(drvlst[[#This Row],[number]]), "",COUNTIFS($A:$A,drvlst[[#This Row],[tmp-number]],$O:$O, "BJ And dev",$U:$U, "Review-1"))</f>
        <v/>
      </c>
      <c r="R310" s="7" t="str">
        <f>IF(ISBLANK(drvlst[[#This Row],[number]]), "",COUNTIFS($A:$A,drvlst[[#This Row],[tmp-number]],$O:$O, "FL And dev",$U:$U, "Review-1"))</f>
        <v/>
      </c>
      <c r="S310" s="7" t="str">
        <f>IF(ISBLANK(drvlst[[#This Row],[number]]), "",COUNTIFS($A:$A,drvlst[[#This Row],[tmp-number]],$O:$O, "BJ And dev",$V:$V, "&lt;&gt;IntegratorComment"))</f>
        <v/>
      </c>
      <c r="T310" s="7" t="str">
        <f>IF(ISBLANK(drvlst[[#This Row],[number]]), "",COUNTIFS($A:$A,drvlst[[#This Row],[tmp-number]],$O:$O, "FL And dev",$V:$V, "&lt;&gt;IntegratorComment"))</f>
        <v/>
      </c>
      <c r="U310" s="7" t="str">
        <f>IF(OR(ISNUMBER(FIND("Review-1", drvlst[[#This Row],[comments]])), ISNUMBER(FIND("Approver-1", drvlst[[#This Row],[comments]]))), "Review-1", "")</f>
        <v/>
      </c>
      <c r="V310" s="7" t="str">
        <f>IF(OR(ISNUMBER(FIND(": Integrator", drvlst[[#This Row],[comments]])), ISNUMBER(FIND(":\n\nIntegrator", drvlst[[#This Row],[comments]])), ISNUMBER(FIND("-Integrator", drvlst[[#This Row],[comments]]))), "IntegratorComment", "")</f>
        <v/>
      </c>
      <c r="W310" s="7" t="str">
        <f>IF(ISBLANK(drvlst[[#This Row],[status]]),W309,drvlst[[#This Row],[status]])</f>
        <v>MERGED</v>
      </c>
    </row>
    <row r="311" spans="1:23">
      <c r="A311" s="7">
        <f>IF(ISBLANK(drvlst[[#This Row],[number]]),A310,drvlst[[#This Row],[number]])</f>
        <v>96751</v>
      </c>
      <c r="J311" t="s">
        <v>30</v>
      </c>
      <c r="K311" s="8">
        <v>42391.859791666669</v>
      </c>
      <c r="L311" t="s">
        <v>1852</v>
      </c>
      <c r="M311" s="7" t="str">
        <f>IF(ISBLANK(drvlst[[#This Row],[owner.emal]]),M310,drvlst[[#This Row],[owner.emal]])</f>
        <v>antti.laakso@intel.com</v>
      </c>
      <c r="N311" s="7">
        <f>_xlfn.IFNA(VLOOKUP(drvlst[[#This Row],[tmp-owner.email]],OrgTree!$A:$J, 10, 0), "not ICG SWFW")</f>
        <v>0</v>
      </c>
      <c r="O311" s="7">
        <f>IF(drvlst[[#This Row],[reviewer]]=drvlst[[#This Row],[tmp-owner.email]], "author", _xlfn.IFNA(VLOOKUP(drvlst[[#This Row],[reviewer]],OrgTree!$A:$J, 10, 0), "not ICG SWFW"))</f>
        <v>0</v>
      </c>
      <c r="P311" s="7" t="str">
        <f>IF(ISBLANK(drvlst[[#This Row],[number]]), "",SUM(drvlst[[#This Row],[BJ -1 num]],drvlst[[#This Row],[FI -1 num]]))</f>
        <v/>
      </c>
      <c r="Q311" s="7" t="str">
        <f>IF(ISBLANK(drvlst[[#This Row],[number]]), "",COUNTIFS($A:$A,drvlst[[#This Row],[tmp-number]],$O:$O, "BJ And dev",$U:$U, "Review-1"))</f>
        <v/>
      </c>
      <c r="R311" s="7" t="str">
        <f>IF(ISBLANK(drvlst[[#This Row],[number]]), "",COUNTIFS($A:$A,drvlst[[#This Row],[tmp-number]],$O:$O, "FL And dev",$U:$U, "Review-1"))</f>
        <v/>
      </c>
      <c r="S311" s="7" t="str">
        <f>IF(ISBLANK(drvlst[[#This Row],[number]]), "",COUNTIFS($A:$A,drvlst[[#This Row],[tmp-number]],$O:$O, "BJ And dev",$V:$V, "&lt;&gt;IntegratorComment"))</f>
        <v/>
      </c>
      <c r="T311" s="7" t="str">
        <f>IF(ISBLANK(drvlst[[#This Row],[number]]), "",COUNTIFS($A:$A,drvlst[[#This Row],[tmp-number]],$O:$O, "FL And dev",$V:$V, "&lt;&gt;IntegratorComment"))</f>
        <v/>
      </c>
      <c r="U311" s="7" t="str">
        <f>IF(OR(ISNUMBER(FIND("Review-1", drvlst[[#This Row],[comments]])), ISNUMBER(FIND("Approver-1", drvlst[[#This Row],[comments]]))), "Review-1", "")</f>
        <v/>
      </c>
      <c r="V311" s="7" t="str">
        <f>IF(OR(ISNUMBER(FIND(": Integrator", drvlst[[#This Row],[comments]])), ISNUMBER(FIND(":\n\nIntegrator", drvlst[[#This Row],[comments]])), ISNUMBER(FIND("-Integrator", drvlst[[#This Row],[comments]]))), "IntegratorComment", "")</f>
        <v/>
      </c>
      <c r="W311" s="7" t="str">
        <f>IF(ISBLANK(drvlst[[#This Row],[status]]),W310,drvlst[[#This Row],[status]])</f>
        <v>MERGED</v>
      </c>
    </row>
    <row r="312" spans="1:23">
      <c r="A312" s="7">
        <f>IF(ISBLANK(drvlst[[#This Row],[number]]),A311,drvlst[[#This Row],[number]])</f>
        <v>96751</v>
      </c>
      <c r="J312" t="s">
        <v>91</v>
      </c>
      <c r="K312" s="8">
        <v>42391.862337962964</v>
      </c>
      <c r="L312" t="s">
        <v>1831</v>
      </c>
      <c r="M312" s="7" t="str">
        <f>IF(ISBLANK(drvlst[[#This Row],[owner.emal]]),M311,drvlst[[#This Row],[owner.emal]])</f>
        <v>antti.laakso@intel.com</v>
      </c>
      <c r="N312" s="7">
        <f>_xlfn.IFNA(VLOOKUP(drvlst[[#This Row],[tmp-owner.email]],OrgTree!$A:$J, 10, 0), "not ICG SWFW")</f>
        <v>0</v>
      </c>
      <c r="O312" s="7">
        <f>IF(drvlst[[#This Row],[reviewer]]=drvlst[[#This Row],[tmp-owner.email]], "author", _xlfn.IFNA(VLOOKUP(drvlst[[#This Row],[reviewer]],OrgTree!$A:$J, 10, 0), "not ICG SWFW"))</f>
        <v>0</v>
      </c>
      <c r="P312" s="7" t="str">
        <f>IF(ISBLANK(drvlst[[#This Row],[number]]), "",SUM(drvlst[[#This Row],[BJ -1 num]],drvlst[[#This Row],[FI -1 num]]))</f>
        <v/>
      </c>
      <c r="Q312" s="7" t="str">
        <f>IF(ISBLANK(drvlst[[#This Row],[number]]), "",COUNTIFS($A:$A,drvlst[[#This Row],[tmp-number]],$O:$O, "BJ And dev",$U:$U, "Review-1"))</f>
        <v/>
      </c>
      <c r="R312" s="7" t="str">
        <f>IF(ISBLANK(drvlst[[#This Row],[number]]), "",COUNTIFS($A:$A,drvlst[[#This Row],[tmp-number]],$O:$O, "FL And dev",$U:$U, "Review-1"))</f>
        <v/>
      </c>
      <c r="S312" s="7" t="str">
        <f>IF(ISBLANK(drvlst[[#This Row],[number]]), "",COUNTIFS($A:$A,drvlst[[#This Row],[tmp-number]],$O:$O, "BJ And dev",$V:$V, "&lt;&gt;IntegratorComment"))</f>
        <v/>
      </c>
      <c r="T312" s="7" t="str">
        <f>IF(ISBLANK(drvlst[[#This Row],[number]]), "",COUNTIFS($A:$A,drvlst[[#This Row],[tmp-number]],$O:$O, "FL And dev",$V:$V, "&lt;&gt;IntegratorComment"))</f>
        <v/>
      </c>
      <c r="U312" s="7" t="str">
        <f>IF(OR(ISNUMBER(FIND("Review-1", drvlst[[#This Row],[comments]])), ISNUMBER(FIND("Approver-1", drvlst[[#This Row],[comments]]))), "Review-1", "")</f>
        <v/>
      </c>
      <c r="V312" s="7" t="str">
        <f>IF(OR(ISNUMBER(FIND(": Integrator", drvlst[[#This Row],[comments]])), ISNUMBER(FIND(":\n\nIntegrator", drvlst[[#This Row],[comments]])), ISNUMBER(FIND("-Integrator", drvlst[[#This Row],[comments]]))), "IntegratorComment", "")</f>
        <v/>
      </c>
      <c r="W312" s="7" t="str">
        <f>IF(ISBLANK(drvlst[[#This Row],[status]]),W311,drvlst[[#This Row],[status]])</f>
        <v>MERGED</v>
      </c>
    </row>
    <row r="313" spans="1:23">
      <c r="A313" s="7">
        <f>IF(ISBLANK(drvlst[[#This Row],[number]]),A312,drvlst[[#This Row],[number]])</f>
        <v>96751</v>
      </c>
      <c r="J313" t="s">
        <v>41</v>
      </c>
      <c r="K313" s="8">
        <v>42391.866898148146</v>
      </c>
      <c r="L313" t="s">
        <v>1868</v>
      </c>
      <c r="M313" s="7" t="str">
        <f>IF(ISBLANK(drvlst[[#This Row],[owner.emal]]),M312,drvlst[[#This Row],[owner.emal]])</f>
        <v>antti.laakso@intel.com</v>
      </c>
      <c r="N313" s="7">
        <f>_xlfn.IFNA(VLOOKUP(drvlst[[#This Row],[tmp-owner.email]],OrgTree!$A:$J, 10, 0), "not ICG SWFW")</f>
        <v>0</v>
      </c>
      <c r="O313" s="7">
        <f>IF(drvlst[[#This Row],[reviewer]]=drvlst[[#This Row],[tmp-owner.email]], "author", _xlfn.IFNA(VLOOKUP(drvlst[[#This Row],[reviewer]],OrgTree!$A:$J, 10, 0), "not ICG SWFW"))</f>
        <v>0</v>
      </c>
      <c r="P313" s="7" t="str">
        <f>IF(ISBLANK(drvlst[[#This Row],[number]]), "",SUM(drvlst[[#This Row],[BJ -1 num]],drvlst[[#This Row],[FI -1 num]]))</f>
        <v/>
      </c>
      <c r="Q313" s="7" t="str">
        <f>IF(ISBLANK(drvlst[[#This Row],[number]]), "",COUNTIFS($A:$A,drvlst[[#This Row],[tmp-number]],$O:$O, "BJ And dev",$U:$U, "Review-1"))</f>
        <v/>
      </c>
      <c r="R313" s="7" t="str">
        <f>IF(ISBLANK(drvlst[[#This Row],[number]]), "",COUNTIFS($A:$A,drvlst[[#This Row],[tmp-number]],$O:$O, "FL And dev",$U:$U, "Review-1"))</f>
        <v/>
      </c>
      <c r="S313" s="7" t="str">
        <f>IF(ISBLANK(drvlst[[#This Row],[number]]), "",COUNTIFS($A:$A,drvlst[[#This Row],[tmp-number]],$O:$O, "BJ And dev",$V:$V, "&lt;&gt;IntegratorComment"))</f>
        <v/>
      </c>
      <c r="T313" s="7" t="str">
        <f>IF(ISBLANK(drvlst[[#This Row],[number]]), "",COUNTIFS($A:$A,drvlst[[#This Row],[tmp-number]],$O:$O, "FL And dev",$V:$V, "&lt;&gt;IntegratorComment"))</f>
        <v/>
      </c>
      <c r="U313" s="7" t="str">
        <f>IF(OR(ISNUMBER(FIND("Review-1", drvlst[[#This Row],[comments]])), ISNUMBER(FIND("Approver-1", drvlst[[#This Row],[comments]]))), "Review-1", "")</f>
        <v/>
      </c>
      <c r="V313" s="7" t="str">
        <f>IF(OR(ISNUMBER(FIND(": Integrator", drvlst[[#This Row],[comments]])), ISNUMBER(FIND(":\n\nIntegrator", drvlst[[#This Row],[comments]])), ISNUMBER(FIND("-Integrator", drvlst[[#This Row],[comments]]))), "IntegratorComment", "")</f>
        <v/>
      </c>
      <c r="W313" s="7" t="str">
        <f>IF(ISBLANK(drvlst[[#This Row],[status]]),W312,drvlst[[#This Row],[status]])</f>
        <v>MERGED</v>
      </c>
    </row>
    <row r="314" spans="1:23">
      <c r="A314" s="7">
        <f>IF(ISBLANK(drvlst[[#This Row],[number]]),A313,drvlst[[#This Row],[number]])</f>
        <v>96751</v>
      </c>
      <c r="J314" t="s">
        <v>70</v>
      </c>
      <c r="K314" s="8">
        <v>42391.869803240741</v>
      </c>
      <c r="L314" t="s">
        <v>1868</v>
      </c>
      <c r="M314" s="7" t="str">
        <f>IF(ISBLANK(drvlst[[#This Row],[owner.emal]]),M313,drvlst[[#This Row],[owner.emal]])</f>
        <v>antti.laakso@intel.com</v>
      </c>
      <c r="N314" s="7">
        <f>_xlfn.IFNA(VLOOKUP(drvlst[[#This Row],[tmp-owner.email]],OrgTree!$A:$J, 10, 0), "not ICG SWFW")</f>
        <v>0</v>
      </c>
      <c r="O314" s="7" t="str">
        <f>IF(drvlst[[#This Row],[reviewer]]=drvlst[[#This Row],[tmp-owner.email]], "author", _xlfn.IFNA(VLOOKUP(drvlst[[#This Row],[reviewer]],OrgTree!$A:$J, 10, 0), "not ICG SWFW"))</f>
        <v>author</v>
      </c>
      <c r="P314" s="7" t="str">
        <f>IF(ISBLANK(drvlst[[#This Row],[number]]), "",SUM(drvlst[[#This Row],[BJ -1 num]],drvlst[[#This Row],[FI -1 num]]))</f>
        <v/>
      </c>
      <c r="Q314" s="7" t="str">
        <f>IF(ISBLANK(drvlst[[#This Row],[number]]), "",COUNTIFS($A:$A,drvlst[[#This Row],[tmp-number]],$O:$O, "BJ And dev",$U:$U, "Review-1"))</f>
        <v/>
      </c>
      <c r="R314" s="7" t="str">
        <f>IF(ISBLANK(drvlst[[#This Row],[number]]), "",COUNTIFS($A:$A,drvlst[[#This Row],[tmp-number]],$O:$O, "FL And dev",$U:$U, "Review-1"))</f>
        <v/>
      </c>
      <c r="S314" s="7" t="str">
        <f>IF(ISBLANK(drvlst[[#This Row],[number]]), "",COUNTIFS($A:$A,drvlst[[#This Row],[tmp-number]],$O:$O, "BJ And dev",$V:$V, "&lt;&gt;IntegratorComment"))</f>
        <v/>
      </c>
      <c r="T314" s="7" t="str">
        <f>IF(ISBLANK(drvlst[[#This Row],[number]]), "",COUNTIFS($A:$A,drvlst[[#This Row],[tmp-number]],$O:$O, "FL And dev",$V:$V, "&lt;&gt;IntegratorComment"))</f>
        <v/>
      </c>
      <c r="U314" s="7" t="str">
        <f>IF(OR(ISNUMBER(FIND("Review-1", drvlst[[#This Row],[comments]])), ISNUMBER(FIND("Approver-1", drvlst[[#This Row],[comments]]))), "Review-1", "")</f>
        <v/>
      </c>
      <c r="V314" s="7" t="str">
        <f>IF(OR(ISNUMBER(FIND(": Integrator", drvlst[[#This Row],[comments]])), ISNUMBER(FIND(":\n\nIntegrator", drvlst[[#This Row],[comments]])), ISNUMBER(FIND("-Integrator", drvlst[[#This Row],[comments]]))), "IntegratorComment", "")</f>
        <v/>
      </c>
      <c r="W314" s="7" t="str">
        <f>IF(ISBLANK(drvlst[[#This Row],[status]]),W313,drvlst[[#This Row],[status]])</f>
        <v>MERGED</v>
      </c>
    </row>
    <row r="315" spans="1:23">
      <c r="A315" s="7">
        <f>IF(ISBLANK(drvlst[[#This Row],[number]]),A314,drvlst[[#This Row],[number]])</f>
        <v>96751</v>
      </c>
      <c r="J315" t="s">
        <v>30</v>
      </c>
      <c r="K315" s="8">
        <v>42391.958391203705</v>
      </c>
      <c r="L315" t="s">
        <v>1937</v>
      </c>
      <c r="M315" s="7" t="str">
        <f>IF(ISBLANK(drvlst[[#This Row],[owner.emal]]),M314,drvlst[[#This Row],[owner.emal]])</f>
        <v>antti.laakso@intel.com</v>
      </c>
      <c r="N315" s="7">
        <f>_xlfn.IFNA(VLOOKUP(drvlst[[#This Row],[tmp-owner.email]],OrgTree!$A:$J, 10, 0), "not ICG SWFW")</f>
        <v>0</v>
      </c>
      <c r="O315" s="7">
        <f>IF(drvlst[[#This Row],[reviewer]]=drvlst[[#This Row],[tmp-owner.email]], "author", _xlfn.IFNA(VLOOKUP(drvlst[[#This Row],[reviewer]],OrgTree!$A:$J, 10, 0), "not ICG SWFW"))</f>
        <v>0</v>
      </c>
      <c r="P315" s="7" t="str">
        <f>IF(ISBLANK(drvlst[[#This Row],[number]]), "",SUM(drvlst[[#This Row],[BJ -1 num]],drvlst[[#This Row],[FI -1 num]]))</f>
        <v/>
      </c>
      <c r="Q315" s="7" t="str">
        <f>IF(ISBLANK(drvlst[[#This Row],[number]]), "",COUNTIFS($A:$A,drvlst[[#This Row],[tmp-number]],$O:$O, "BJ And dev",$U:$U, "Review-1"))</f>
        <v/>
      </c>
      <c r="R315" s="7" t="str">
        <f>IF(ISBLANK(drvlst[[#This Row],[number]]), "",COUNTIFS($A:$A,drvlst[[#This Row],[tmp-number]],$O:$O, "FL And dev",$U:$U, "Review-1"))</f>
        <v/>
      </c>
      <c r="S315" s="7" t="str">
        <f>IF(ISBLANK(drvlst[[#This Row],[number]]), "",COUNTIFS($A:$A,drvlst[[#This Row],[tmp-number]],$O:$O, "BJ And dev",$V:$V, "&lt;&gt;IntegratorComment"))</f>
        <v/>
      </c>
      <c r="T315" s="7" t="str">
        <f>IF(ISBLANK(drvlst[[#This Row],[number]]), "",COUNTIFS($A:$A,drvlst[[#This Row],[tmp-number]],$O:$O, "FL And dev",$V:$V, "&lt;&gt;IntegratorComment"))</f>
        <v/>
      </c>
      <c r="U315" s="7" t="str">
        <f>IF(OR(ISNUMBER(FIND("Review-1", drvlst[[#This Row],[comments]])), ISNUMBER(FIND("Approver-1", drvlst[[#This Row],[comments]]))), "Review-1", "")</f>
        <v/>
      </c>
      <c r="V315" s="7" t="str">
        <f>IF(OR(ISNUMBER(FIND(": Integrator", drvlst[[#This Row],[comments]])), ISNUMBER(FIND(":\n\nIntegrator", drvlst[[#This Row],[comments]])), ISNUMBER(FIND("-Integrator", drvlst[[#This Row],[comments]]))), "IntegratorComment", "")</f>
        <v/>
      </c>
      <c r="W315" s="7" t="str">
        <f>IF(ISBLANK(drvlst[[#This Row],[status]]),W314,drvlst[[#This Row],[status]])</f>
        <v>MERGED</v>
      </c>
    </row>
    <row r="316" spans="1:23">
      <c r="A316" s="7">
        <f>IF(ISBLANK(drvlst[[#This Row],[number]]),A315,drvlst[[#This Row],[number]])</f>
        <v>96751</v>
      </c>
      <c r="J316" t="s">
        <v>74</v>
      </c>
      <c r="K316" s="8">
        <v>42394.56753472222</v>
      </c>
      <c r="L316" t="s">
        <v>48</v>
      </c>
      <c r="M316" s="7" t="str">
        <f>IF(ISBLANK(drvlst[[#This Row],[owner.emal]]),M315,drvlst[[#This Row],[owner.emal]])</f>
        <v>antti.laakso@intel.com</v>
      </c>
      <c r="N316" s="7">
        <f>_xlfn.IFNA(VLOOKUP(drvlst[[#This Row],[tmp-owner.email]],OrgTree!$A:$J, 10, 0), "not ICG SWFW")</f>
        <v>0</v>
      </c>
      <c r="O316" s="7">
        <f>IF(drvlst[[#This Row],[reviewer]]=drvlst[[#This Row],[tmp-owner.email]], "author", _xlfn.IFNA(VLOOKUP(drvlst[[#This Row],[reviewer]],OrgTree!$A:$J, 10, 0), "not ICG SWFW"))</f>
        <v>0</v>
      </c>
      <c r="P316" s="7" t="str">
        <f>IF(ISBLANK(drvlst[[#This Row],[number]]), "",SUM(drvlst[[#This Row],[BJ -1 num]],drvlst[[#This Row],[FI -1 num]]))</f>
        <v/>
      </c>
      <c r="Q316" s="7" t="str">
        <f>IF(ISBLANK(drvlst[[#This Row],[number]]), "",COUNTIFS($A:$A,drvlst[[#This Row],[tmp-number]],$O:$O, "BJ And dev",$U:$U, "Review-1"))</f>
        <v/>
      </c>
      <c r="R316" s="7" t="str">
        <f>IF(ISBLANK(drvlst[[#This Row],[number]]), "",COUNTIFS($A:$A,drvlst[[#This Row],[tmp-number]],$O:$O, "FL And dev",$U:$U, "Review-1"))</f>
        <v/>
      </c>
      <c r="S316" s="7" t="str">
        <f>IF(ISBLANK(drvlst[[#This Row],[number]]), "",COUNTIFS($A:$A,drvlst[[#This Row],[tmp-number]],$O:$O, "BJ And dev",$V:$V, "&lt;&gt;IntegratorComment"))</f>
        <v/>
      </c>
      <c r="T316" s="7" t="str">
        <f>IF(ISBLANK(drvlst[[#This Row],[number]]), "",COUNTIFS($A:$A,drvlst[[#This Row],[tmp-number]],$O:$O, "FL And dev",$V:$V, "&lt;&gt;IntegratorComment"))</f>
        <v/>
      </c>
      <c r="U316" s="7" t="str">
        <f>IF(OR(ISNUMBER(FIND("Review-1", drvlst[[#This Row],[comments]])), ISNUMBER(FIND("Approver-1", drvlst[[#This Row],[comments]]))), "Review-1", "")</f>
        <v/>
      </c>
      <c r="V316" s="7" t="str">
        <f>IF(OR(ISNUMBER(FIND(": Integrator", drvlst[[#This Row],[comments]])), ISNUMBER(FIND(":\n\nIntegrator", drvlst[[#This Row],[comments]])), ISNUMBER(FIND("-Integrator", drvlst[[#This Row],[comments]]))), "IntegratorComment", "")</f>
        <v/>
      </c>
      <c r="W316" s="7" t="str">
        <f>IF(ISBLANK(drvlst[[#This Row],[status]]),W315,drvlst[[#This Row],[status]])</f>
        <v>MERGED</v>
      </c>
    </row>
    <row r="317" spans="1:23">
      <c r="A317" s="7">
        <f>IF(ISBLANK(drvlst[[#This Row],[number]]),A316,drvlst[[#This Row],[number]])</f>
        <v>96751</v>
      </c>
      <c r="J317" t="s">
        <v>34</v>
      </c>
      <c r="K317" s="8">
        <v>42394.596956018519</v>
      </c>
      <c r="L317" t="s">
        <v>1830</v>
      </c>
      <c r="M317" s="7" t="str">
        <f>IF(ISBLANK(drvlst[[#This Row],[owner.emal]]),M316,drvlst[[#This Row],[owner.emal]])</f>
        <v>antti.laakso@intel.com</v>
      </c>
      <c r="N317" s="7">
        <f>_xlfn.IFNA(VLOOKUP(drvlst[[#This Row],[tmp-owner.email]],OrgTree!$A:$J, 10, 0), "not ICG SWFW")</f>
        <v>0</v>
      </c>
      <c r="O317" s="7">
        <f>IF(drvlst[[#This Row],[reviewer]]=drvlst[[#This Row],[tmp-owner.email]], "author", _xlfn.IFNA(VLOOKUP(drvlst[[#This Row],[reviewer]],OrgTree!$A:$J, 10, 0), "not ICG SWFW"))</f>
        <v>0</v>
      </c>
      <c r="P317" s="7" t="str">
        <f>IF(ISBLANK(drvlst[[#This Row],[number]]), "",SUM(drvlst[[#This Row],[BJ -1 num]],drvlst[[#This Row],[FI -1 num]]))</f>
        <v/>
      </c>
      <c r="Q317" s="7" t="str">
        <f>IF(ISBLANK(drvlst[[#This Row],[number]]), "",COUNTIFS($A:$A,drvlst[[#This Row],[tmp-number]],$O:$O, "BJ And dev",$U:$U, "Review-1"))</f>
        <v/>
      </c>
      <c r="R317" s="7" t="str">
        <f>IF(ISBLANK(drvlst[[#This Row],[number]]), "",COUNTIFS($A:$A,drvlst[[#This Row],[tmp-number]],$O:$O, "FL And dev",$U:$U, "Review-1"))</f>
        <v/>
      </c>
      <c r="S317" s="7" t="str">
        <f>IF(ISBLANK(drvlst[[#This Row],[number]]), "",COUNTIFS($A:$A,drvlst[[#This Row],[tmp-number]],$O:$O, "BJ And dev",$V:$V, "&lt;&gt;IntegratorComment"))</f>
        <v/>
      </c>
      <c r="T317" s="7" t="str">
        <f>IF(ISBLANK(drvlst[[#This Row],[number]]), "",COUNTIFS($A:$A,drvlst[[#This Row],[tmp-number]],$O:$O, "FL And dev",$V:$V, "&lt;&gt;IntegratorComment"))</f>
        <v/>
      </c>
      <c r="U317" s="7" t="str">
        <f>IF(OR(ISNUMBER(FIND("Review-1", drvlst[[#This Row],[comments]])), ISNUMBER(FIND("Approver-1", drvlst[[#This Row],[comments]]))), "Review-1", "")</f>
        <v/>
      </c>
      <c r="V317" s="7" t="str">
        <f>IF(OR(ISNUMBER(FIND(": Integrator", drvlst[[#This Row],[comments]])), ISNUMBER(FIND(":\n\nIntegrator", drvlst[[#This Row],[comments]])), ISNUMBER(FIND("-Integrator", drvlst[[#This Row],[comments]]))), "IntegratorComment", "")</f>
        <v>IntegratorComment</v>
      </c>
      <c r="W317" s="7" t="str">
        <f>IF(ISBLANK(drvlst[[#This Row],[status]]),W316,drvlst[[#This Row],[status]])</f>
        <v>MERGED</v>
      </c>
    </row>
    <row r="318" spans="1:23">
      <c r="A318" s="7">
        <f>IF(ISBLANK(drvlst[[#This Row],[number]]),A317,drvlst[[#This Row],[number]])</f>
        <v>96751</v>
      </c>
      <c r="J318" t="s">
        <v>30</v>
      </c>
      <c r="K318" s="8">
        <v>42394.668425925927</v>
      </c>
      <c r="L318" t="s">
        <v>1937</v>
      </c>
      <c r="M318" s="7" t="str">
        <f>IF(ISBLANK(drvlst[[#This Row],[owner.emal]]),M317,drvlst[[#This Row],[owner.emal]])</f>
        <v>antti.laakso@intel.com</v>
      </c>
      <c r="N318" s="7">
        <f>_xlfn.IFNA(VLOOKUP(drvlst[[#This Row],[tmp-owner.email]],OrgTree!$A:$J, 10, 0), "not ICG SWFW")</f>
        <v>0</v>
      </c>
      <c r="O318" s="7">
        <f>IF(drvlst[[#This Row],[reviewer]]=drvlst[[#This Row],[tmp-owner.email]], "author", _xlfn.IFNA(VLOOKUP(drvlst[[#This Row],[reviewer]],OrgTree!$A:$J, 10, 0), "not ICG SWFW"))</f>
        <v>0</v>
      </c>
      <c r="P318" s="7" t="str">
        <f>IF(ISBLANK(drvlst[[#This Row],[number]]), "",SUM(drvlst[[#This Row],[BJ -1 num]],drvlst[[#This Row],[FI -1 num]]))</f>
        <v/>
      </c>
      <c r="Q318" s="7" t="str">
        <f>IF(ISBLANK(drvlst[[#This Row],[number]]), "",COUNTIFS($A:$A,drvlst[[#This Row],[tmp-number]],$O:$O, "BJ And dev",$U:$U, "Review-1"))</f>
        <v/>
      </c>
      <c r="R318" s="7" t="str">
        <f>IF(ISBLANK(drvlst[[#This Row],[number]]), "",COUNTIFS($A:$A,drvlst[[#This Row],[tmp-number]],$O:$O, "FL And dev",$U:$U, "Review-1"))</f>
        <v/>
      </c>
      <c r="S318" s="7" t="str">
        <f>IF(ISBLANK(drvlst[[#This Row],[number]]), "",COUNTIFS($A:$A,drvlst[[#This Row],[tmp-number]],$O:$O, "BJ And dev",$V:$V, "&lt;&gt;IntegratorComment"))</f>
        <v/>
      </c>
      <c r="T318" s="7" t="str">
        <f>IF(ISBLANK(drvlst[[#This Row],[number]]), "",COUNTIFS($A:$A,drvlst[[#This Row],[tmp-number]],$O:$O, "FL And dev",$V:$V, "&lt;&gt;IntegratorComment"))</f>
        <v/>
      </c>
      <c r="U318" s="7" t="str">
        <f>IF(OR(ISNUMBER(FIND("Review-1", drvlst[[#This Row],[comments]])), ISNUMBER(FIND("Approver-1", drvlst[[#This Row],[comments]]))), "Review-1", "")</f>
        <v/>
      </c>
      <c r="V318" s="7" t="str">
        <f>IF(OR(ISNUMBER(FIND(": Integrator", drvlst[[#This Row],[comments]])), ISNUMBER(FIND(":\n\nIntegrator", drvlst[[#This Row],[comments]])), ISNUMBER(FIND("-Integrator", drvlst[[#This Row],[comments]]))), "IntegratorComment", "")</f>
        <v/>
      </c>
      <c r="W318" s="7" t="str">
        <f>IF(ISBLANK(drvlst[[#This Row],[status]]),W317,drvlst[[#This Row],[status]])</f>
        <v>MERGED</v>
      </c>
    </row>
    <row r="319" spans="1:23">
      <c r="A319" s="7">
        <f>IF(ISBLANK(drvlst[[#This Row],[number]]),A318,drvlst[[#This Row],[number]])</f>
        <v>96751</v>
      </c>
      <c r="J319" t="s">
        <v>34</v>
      </c>
      <c r="K319" s="8">
        <v>42394.825960648152</v>
      </c>
      <c r="L319" t="s">
        <v>1834</v>
      </c>
      <c r="M319" s="7" t="str">
        <f>IF(ISBLANK(drvlst[[#This Row],[owner.emal]]),M318,drvlst[[#This Row],[owner.emal]])</f>
        <v>antti.laakso@intel.com</v>
      </c>
      <c r="N319" s="7">
        <f>_xlfn.IFNA(VLOOKUP(drvlst[[#This Row],[tmp-owner.email]],OrgTree!$A:$J, 10, 0), "not ICG SWFW")</f>
        <v>0</v>
      </c>
      <c r="O319" s="7">
        <f>IF(drvlst[[#This Row],[reviewer]]=drvlst[[#This Row],[tmp-owner.email]], "author", _xlfn.IFNA(VLOOKUP(drvlst[[#This Row],[reviewer]],OrgTree!$A:$J, 10, 0), "not ICG SWFW"))</f>
        <v>0</v>
      </c>
      <c r="P319" s="7" t="str">
        <f>IF(ISBLANK(drvlst[[#This Row],[number]]), "",SUM(drvlst[[#This Row],[BJ -1 num]],drvlst[[#This Row],[FI -1 num]]))</f>
        <v/>
      </c>
      <c r="Q319" s="7" t="str">
        <f>IF(ISBLANK(drvlst[[#This Row],[number]]), "",COUNTIFS($A:$A,drvlst[[#This Row],[tmp-number]],$O:$O, "BJ And dev",$U:$U, "Review-1"))</f>
        <v/>
      </c>
      <c r="R319" s="7" t="str">
        <f>IF(ISBLANK(drvlst[[#This Row],[number]]), "",COUNTIFS($A:$A,drvlst[[#This Row],[tmp-number]],$O:$O, "FL And dev",$U:$U, "Review-1"))</f>
        <v/>
      </c>
      <c r="S319" s="7" t="str">
        <f>IF(ISBLANK(drvlst[[#This Row],[number]]), "",COUNTIFS($A:$A,drvlst[[#This Row],[tmp-number]],$O:$O, "BJ And dev",$V:$V, "&lt;&gt;IntegratorComment"))</f>
        <v/>
      </c>
      <c r="T319" s="7" t="str">
        <f>IF(ISBLANK(drvlst[[#This Row],[number]]), "",COUNTIFS($A:$A,drvlst[[#This Row],[tmp-number]],$O:$O, "FL And dev",$V:$V, "&lt;&gt;IntegratorComment"))</f>
        <v/>
      </c>
      <c r="U319" s="7" t="str">
        <f>IF(OR(ISNUMBER(FIND("Review-1", drvlst[[#This Row],[comments]])), ISNUMBER(FIND("Approver-1", drvlst[[#This Row],[comments]]))), "Review-1", "")</f>
        <v/>
      </c>
      <c r="V319" s="7" t="str">
        <f>IF(OR(ISNUMBER(FIND(": Integrator", drvlst[[#This Row],[comments]])), ISNUMBER(FIND(":\n\nIntegrator", drvlst[[#This Row],[comments]])), ISNUMBER(FIND("-Integrator", drvlst[[#This Row],[comments]]))), "IntegratorComment", "")</f>
        <v/>
      </c>
      <c r="W319" s="7" t="str">
        <f>IF(ISBLANK(drvlst[[#This Row],[status]]),W318,drvlst[[#This Row],[status]])</f>
        <v>MERGED</v>
      </c>
    </row>
    <row r="320" spans="1:23">
      <c r="A320" s="7">
        <f>IF(ISBLANK(drvlst[[#This Row],[number]]),A319,drvlst[[#This Row],[number]])</f>
        <v>96751</v>
      </c>
      <c r="J320" t="s">
        <v>34</v>
      </c>
      <c r="K320" s="8">
        <v>42394.829502314817</v>
      </c>
      <c r="L320" t="s">
        <v>1832</v>
      </c>
      <c r="M320" s="7" t="str">
        <f>IF(ISBLANK(drvlst[[#This Row],[owner.emal]]),M319,drvlst[[#This Row],[owner.emal]])</f>
        <v>antti.laakso@intel.com</v>
      </c>
      <c r="N320" s="7">
        <f>_xlfn.IFNA(VLOOKUP(drvlst[[#This Row],[tmp-owner.email]],OrgTree!$A:$J, 10, 0), "not ICG SWFW")</f>
        <v>0</v>
      </c>
      <c r="O320" s="7">
        <f>IF(drvlst[[#This Row],[reviewer]]=drvlst[[#This Row],[tmp-owner.email]], "author", _xlfn.IFNA(VLOOKUP(drvlst[[#This Row],[reviewer]],OrgTree!$A:$J, 10, 0), "not ICG SWFW"))</f>
        <v>0</v>
      </c>
      <c r="P320" s="7" t="str">
        <f>IF(ISBLANK(drvlst[[#This Row],[number]]), "",SUM(drvlst[[#This Row],[BJ -1 num]],drvlst[[#This Row],[FI -1 num]]))</f>
        <v/>
      </c>
      <c r="Q320" s="7" t="str">
        <f>IF(ISBLANK(drvlst[[#This Row],[number]]), "",COUNTIFS($A:$A,drvlst[[#This Row],[tmp-number]],$O:$O, "BJ And dev",$U:$U, "Review-1"))</f>
        <v/>
      </c>
      <c r="R320" s="7" t="str">
        <f>IF(ISBLANK(drvlst[[#This Row],[number]]), "",COUNTIFS($A:$A,drvlst[[#This Row],[tmp-number]],$O:$O, "FL And dev",$U:$U, "Review-1"))</f>
        <v/>
      </c>
      <c r="S320" s="7" t="str">
        <f>IF(ISBLANK(drvlst[[#This Row],[number]]), "",COUNTIFS($A:$A,drvlst[[#This Row],[tmp-number]],$O:$O, "BJ And dev",$V:$V, "&lt;&gt;IntegratorComment"))</f>
        <v/>
      </c>
      <c r="T320" s="7" t="str">
        <f>IF(ISBLANK(drvlst[[#This Row],[number]]), "",COUNTIFS($A:$A,drvlst[[#This Row],[tmp-number]],$O:$O, "FL And dev",$V:$V, "&lt;&gt;IntegratorComment"))</f>
        <v/>
      </c>
      <c r="U320" s="7" t="str">
        <f>IF(OR(ISNUMBER(FIND("Review-1", drvlst[[#This Row],[comments]])), ISNUMBER(FIND("Approver-1", drvlst[[#This Row],[comments]]))), "Review-1", "")</f>
        <v/>
      </c>
      <c r="V320" s="7" t="str">
        <f>IF(OR(ISNUMBER(FIND(": Integrator", drvlst[[#This Row],[comments]])), ISNUMBER(FIND(":\n\nIntegrator", drvlst[[#This Row],[comments]])), ISNUMBER(FIND("-Integrator", drvlst[[#This Row],[comments]]))), "IntegratorComment", "")</f>
        <v/>
      </c>
      <c r="W320" s="7" t="str">
        <f>IF(ISBLANK(drvlst[[#This Row],[status]]),W319,drvlst[[#This Row],[status]])</f>
        <v>MERGED</v>
      </c>
    </row>
    <row r="321" spans="1:23">
      <c r="A321" s="7">
        <f>IF(ISBLANK(drvlst[[#This Row],[number]]),A320,drvlst[[#This Row],[number]])</f>
        <v>96751</v>
      </c>
      <c r="J321" t="s">
        <v>30</v>
      </c>
      <c r="K321" s="8">
        <v>42394.841493055559</v>
      </c>
      <c r="L321" t="s">
        <v>1937</v>
      </c>
      <c r="M321" s="7" t="str">
        <f>IF(ISBLANK(drvlst[[#This Row],[owner.emal]]),M320,drvlst[[#This Row],[owner.emal]])</f>
        <v>antti.laakso@intel.com</v>
      </c>
      <c r="N321" s="7">
        <f>_xlfn.IFNA(VLOOKUP(drvlst[[#This Row],[tmp-owner.email]],OrgTree!$A:$J, 10, 0), "not ICG SWFW")</f>
        <v>0</v>
      </c>
      <c r="O321" s="7">
        <f>IF(drvlst[[#This Row],[reviewer]]=drvlst[[#This Row],[tmp-owner.email]], "author", _xlfn.IFNA(VLOOKUP(drvlst[[#This Row],[reviewer]],OrgTree!$A:$J, 10, 0), "not ICG SWFW"))</f>
        <v>0</v>
      </c>
      <c r="P321" s="7" t="str">
        <f>IF(ISBLANK(drvlst[[#This Row],[number]]), "",SUM(drvlst[[#This Row],[BJ -1 num]],drvlst[[#This Row],[FI -1 num]]))</f>
        <v/>
      </c>
      <c r="Q321" s="7" t="str">
        <f>IF(ISBLANK(drvlst[[#This Row],[number]]), "",COUNTIFS($A:$A,drvlst[[#This Row],[tmp-number]],$O:$O, "BJ And dev",$U:$U, "Review-1"))</f>
        <v/>
      </c>
      <c r="R321" s="7" t="str">
        <f>IF(ISBLANK(drvlst[[#This Row],[number]]), "",COUNTIFS($A:$A,drvlst[[#This Row],[tmp-number]],$O:$O, "FL And dev",$U:$U, "Review-1"))</f>
        <v/>
      </c>
      <c r="S321" s="7" t="str">
        <f>IF(ISBLANK(drvlst[[#This Row],[number]]), "",COUNTIFS($A:$A,drvlst[[#This Row],[tmp-number]],$O:$O, "BJ And dev",$V:$V, "&lt;&gt;IntegratorComment"))</f>
        <v/>
      </c>
      <c r="T321" s="7" t="str">
        <f>IF(ISBLANK(drvlst[[#This Row],[number]]), "",COUNTIFS($A:$A,drvlst[[#This Row],[tmp-number]],$O:$O, "FL And dev",$V:$V, "&lt;&gt;IntegratorComment"))</f>
        <v/>
      </c>
      <c r="U321" s="7" t="str">
        <f>IF(OR(ISNUMBER(FIND("Review-1", drvlst[[#This Row],[comments]])), ISNUMBER(FIND("Approver-1", drvlst[[#This Row],[comments]]))), "Review-1", "")</f>
        <v/>
      </c>
      <c r="V321" s="7" t="str">
        <f>IF(OR(ISNUMBER(FIND(": Integrator", drvlst[[#This Row],[comments]])), ISNUMBER(FIND(":\n\nIntegrator", drvlst[[#This Row],[comments]])), ISNUMBER(FIND("-Integrator", drvlst[[#This Row],[comments]]))), "IntegratorComment", "")</f>
        <v/>
      </c>
      <c r="W321" s="7" t="str">
        <f>IF(ISBLANK(drvlst[[#This Row],[status]]),W320,drvlst[[#This Row],[status]])</f>
        <v>MERGED</v>
      </c>
    </row>
    <row r="322" spans="1:23">
      <c r="A322" s="7">
        <f>IF(ISBLANK(drvlst[[#This Row],[number]]),A321,drvlst[[#This Row],[number]])</f>
        <v>96751</v>
      </c>
      <c r="J322" t="s">
        <v>34</v>
      </c>
      <c r="K322" s="8">
        <v>42394.854375000003</v>
      </c>
      <c r="L322" t="s">
        <v>1833</v>
      </c>
      <c r="M322" s="7" t="str">
        <f>IF(ISBLANK(drvlst[[#This Row],[owner.emal]]),M321,drvlst[[#This Row],[owner.emal]])</f>
        <v>antti.laakso@intel.com</v>
      </c>
      <c r="N322" s="7">
        <f>_xlfn.IFNA(VLOOKUP(drvlst[[#This Row],[tmp-owner.email]],OrgTree!$A:$J, 10, 0), "not ICG SWFW")</f>
        <v>0</v>
      </c>
      <c r="O322" s="7">
        <f>IF(drvlst[[#This Row],[reviewer]]=drvlst[[#This Row],[tmp-owner.email]], "author", _xlfn.IFNA(VLOOKUP(drvlst[[#This Row],[reviewer]],OrgTree!$A:$J, 10, 0), "not ICG SWFW"))</f>
        <v>0</v>
      </c>
      <c r="P322" s="7" t="str">
        <f>IF(ISBLANK(drvlst[[#This Row],[number]]), "",SUM(drvlst[[#This Row],[BJ -1 num]],drvlst[[#This Row],[FI -1 num]]))</f>
        <v/>
      </c>
      <c r="Q322" s="7" t="str">
        <f>IF(ISBLANK(drvlst[[#This Row],[number]]), "",COUNTIFS($A:$A,drvlst[[#This Row],[tmp-number]],$O:$O, "BJ And dev",$U:$U, "Review-1"))</f>
        <v/>
      </c>
      <c r="R322" s="7" t="str">
        <f>IF(ISBLANK(drvlst[[#This Row],[number]]), "",COUNTIFS($A:$A,drvlst[[#This Row],[tmp-number]],$O:$O, "FL And dev",$U:$U, "Review-1"))</f>
        <v/>
      </c>
      <c r="S322" s="7" t="str">
        <f>IF(ISBLANK(drvlst[[#This Row],[number]]), "",COUNTIFS($A:$A,drvlst[[#This Row],[tmp-number]],$O:$O, "BJ And dev",$V:$V, "&lt;&gt;IntegratorComment"))</f>
        <v/>
      </c>
      <c r="T322" s="7" t="str">
        <f>IF(ISBLANK(drvlst[[#This Row],[number]]), "",COUNTIFS($A:$A,drvlst[[#This Row],[tmp-number]],$O:$O, "FL And dev",$V:$V, "&lt;&gt;IntegratorComment"))</f>
        <v/>
      </c>
      <c r="U322" s="7" t="str">
        <f>IF(OR(ISNUMBER(FIND("Review-1", drvlst[[#This Row],[comments]])), ISNUMBER(FIND("Approver-1", drvlst[[#This Row],[comments]]))), "Review-1", "")</f>
        <v/>
      </c>
      <c r="V322" s="7" t="str">
        <f>IF(OR(ISNUMBER(FIND(": Integrator", drvlst[[#This Row],[comments]])), ISNUMBER(FIND(":\n\nIntegrator", drvlst[[#This Row],[comments]])), ISNUMBER(FIND("-Integrator", drvlst[[#This Row],[comments]]))), "IntegratorComment", "")</f>
        <v/>
      </c>
      <c r="W322" s="7" t="str">
        <f>IF(ISBLANK(drvlst[[#This Row],[status]]),W321,drvlst[[#This Row],[status]])</f>
        <v>MERGED</v>
      </c>
    </row>
    <row r="323" spans="1:23">
      <c r="A323" s="7">
        <f>IF(ISBLANK(drvlst[[#This Row],[number]]),A322,drvlst[[#This Row],[number]])</f>
        <v>96751</v>
      </c>
      <c r="J323" t="s">
        <v>34</v>
      </c>
      <c r="K323" s="8">
        <v>42395.427743055552</v>
      </c>
      <c r="L323" t="s">
        <v>1834</v>
      </c>
      <c r="M323" s="7" t="str">
        <f>IF(ISBLANK(drvlst[[#This Row],[owner.emal]]),M322,drvlst[[#This Row],[owner.emal]])</f>
        <v>antti.laakso@intel.com</v>
      </c>
      <c r="N323" s="7">
        <f>_xlfn.IFNA(VLOOKUP(drvlst[[#This Row],[tmp-owner.email]],OrgTree!$A:$J, 10, 0), "not ICG SWFW")</f>
        <v>0</v>
      </c>
      <c r="O323" s="7">
        <f>IF(drvlst[[#This Row],[reviewer]]=drvlst[[#This Row],[tmp-owner.email]], "author", _xlfn.IFNA(VLOOKUP(drvlst[[#This Row],[reviewer]],OrgTree!$A:$J, 10, 0), "not ICG SWFW"))</f>
        <v>0</v>
      </c>
      <c r="P323" s="7" t="str">
        <f>IF(ISBLANK(drvlst[[#This Row],[number]]), "",SUM(drvlst[[#This Row],[BJ -1 num]],drvlst[[#This Row],[FI -1 num]]))</f>
        <v/>
      </c>
      <c r="Q323" s="7" t="str">
        <f>IF(ISBLANK(drvlst[[#This Row],[number]]), "",COUNTIFS($A:$A,drvlst[[#This Row],[tmp-number]],$O:$O, "BJ And dev",$U:$U, "Review-1"))</f>
        <v/>
      </c>
      <c r="R323" s="7" t="str">
        <f>IF(ISBLANK(drvlst[[#This Row],[number]]), "",COUNTIFS($A:$A,drvlst[[#This Row],[tmp-number]],$O:$O, "FL And dev",$U:$U, "Review-1"))</f>
        <v/>
      </c>
      <c r="S323" s="7" t="str">
        <f>IF(ISBLANK(drvlst[[#This Row],[number]]), "",COUNTIFS($A:$A,drvlst[[#This Row],[tmp-number]],$O:$O, "BJ And dev",$V:$V, "&lt;&gt;IntegratorComment"))</f>
        <v/>
      </c>
      <c r="T323" s="7" t="str">
        <f>IF(ISBLANK(drvlst[[#This Row],[number]]), "",COUNTIFS($A:$A,drvlst[[#This Row],[tmp-number]],$O:$O, "FL And dev",$V:$V, "&lt;&gt;IntegratorComment"))</f>
        <v/>
      </c>
      <c r="U323" s="7" t="str">
        <f>IF(OR(ISNUMBER(FIND("Review-1", drvlst[[#This Row],[comments]])), ISNUMBER(FIND("Approver-1", drvlst[[#This Row],[comments]]))), "Review-1", "")</f>
        <v/>
      </c>
      <c r="V323" s="7" t="str">
        <f>IF(OR(ISNUMBER(FIND(": Integrator", drvlst[[#This Row],[comments]])), ISNUMBER(FIND(":\n\nIntegrator", drvlst[[#This Row],[comments]])), ISNUMBER(FIND("-Integrator", drvlst[[#This Row],[comments]]))), "IntegratorComment", "")</f>
        <v/>
      </c>
      <c r="W323" s="7" t="str">
        <f>IF(ISBLANK(drvlst[[#This Row],[status]]),W322,drvlst[[#This Row],[status]])</f>
        <v>MERGED</v>
      </c>
    </row>
    <row r="324" spans="1:23">
      <c r="A324" s="7">
        <f>IF(ISBLANK(drvlst[[#This Row],[number]]),A323,drvlst[[#This Row],[number]])</f>
        <v>96751</v>
      </c>
      <c r="J324" t="s">
        <v>34</v>
      </c>
      <c r="K324" s="8">
        <v>42395.621990740743</v>
      </c>
      <c r="L324" t="s">
        <v>1835</v>
      </c>
      <c r="M324" s="7" t="str">
        <f>IF(ISBLANK(drvlst[[#This Row],[owner.emal]]),M323,drvlst[[#This Row],[owner.emal]])</f>
        <v>antti.laakso@intel.com</v>
      </c>
      <c r="N324" s="7">
        <f>_xlfn.IFNA(VLOOKUP(drvlst[[#This Row],[tmp-owner.email]],OrgTree!$A:$J, 10, 0), "not ICG SWFW")</f>
        <v>0</v>
      </c>
      <c r="O324" s="7">
        <f>IF(drvlst[[#This Row],[reviewer]]=drvlst[[#This Row],[tmp-owner.email]], "author", _xlfn.IFNA(VLOOKUP(drvlst[[#This Row],[reviewer]],OrgTree!$A:$J, 10, 0), "not ICG SWFW"))</f>
        <v>0</v>
      </c>
      <c r="P324" s="7" t="str">
        <f>IF(ISBLANK(drvlst[[#This Row],[number]]), "",SUM(drvlst[[#This Row],[BJ -1 num]],drvlst[[#This Row],[FI -1 num]]))</f>
        <v/>
      </c>
      <c r="Q324" s="7" t="str">
        <f>IF(ISBLANK(drvlst[[#This Row],[number]]), "",COUNTIFS($A:$A,drvlst[[#This Row],[tmp-number]],$O:$O, "BJ And dev",$U:$U, "Review-1"))</f>
        <v/>
      </c>
      <c r="R324" s="7" t="str">
        <f>IF(ISBLANK(drvlst[[#This Row],[number]]), "",COUNTIFS($A:$A,drvlst[[#This Row],[tmp-number]],$O:$O, "FL And dev",$U:$U, "Review-1"))</f>
        <v/>
      </c>
      <c r="S324" s="7" t="str">
        <f>IF(ISBLANK(drvlst[[#This Row],[number]]), "",COUNTIFS($A:$A,drvlst[[#This Row],[tmp-number]],$O:$O, "BJ And dev",$V:$V, "&lt;&gt;IntegratorComment"))</f>
        <v/>
      </c>
      <c r="T324" s="7" t="str">
        <f>IF(ISBLANK(drvlst[[#This Row],[number]]), "",COUNTIFS($A:$A,drvlst[[#This Row],[tmp-number]],$O:$O, "FL And dev",$V:$V, "&lt;&gt;IntegratorComment"))</f>
        <v/>
      </c>
      <c r="U324" s="7" t="str">
        <f>IF(OR(ISNUMBER(FIND("Review-1", drvlst[[#This Row],[comments]])), ISNUMBER(FIND("Approver-1", drvlst[[#This Row],[comments]]))), "Review-1", "")</f>
        <v/>
      </c>
      <c r="V324" s="7" t="str">
        <f>IF(OR(ISNUMBER(FIND(": Integrator", drvlst[[#This Row],[comments]])), ISNUMBER(FIND(":\n\nIntegrator", drvlst[[#This Row],[comments]])), ISNUMBER(FIND("-Integrator", drvlst[[#This Row],[comments]]))), "IntegratorComment", "")</f>
        <v/>
      </c>
      <c r="W324" s="7" t="str">
        <f>IF(ISBLANK(drvlst[[#This Row],[status]]),W323,drvlst[[#This Row],[status]])</f>
        <v>MERGED</v>
      </c>
    </row>
    <row r="325" spans="1:23">
      <c r="A325" s="7">
        <f>IF(ISBLANK(drvlst[[#This Row],[number]]),A324,drvlst[[#This Row],[number]])</f>
        <v>92307</v>
      </c>
      <c r="B325">
        <v>92307</v>
      </c>
      <c r="C325" t="s">
        <v>84</v>
      </c>
      <c r="D325" t="s">
        <v>101</v>
      </c>
      <c r="E325" t="s">
        <v>36</v>
      </c>
      <c r="F325" t="s">
        <v>1993</v>
      </c>
      <c r="G325" t="s">
        <v>1994</v>
      </c>
      <c r="H325" s="8">
        <v>42366.748692129629</v>
      </c>
      <c r="J325" t="s">
        <v>101</v>
      </c>
      <c r="K325" s="8">
        <v>42366.748692129629</v>
      </c>
      <c r="L325" t="s">
        <v>25</v>
      </c>
      <c r="M325" s="7" t="str">
        <f>IF(ISBLANK(drvlst[[#This Row],[owner.emal]]),M324,drvlst[[#This Row],[owner.emal]])</f>
        <v>vinod.govindapillai@intel.com</v>
      </c>
      <c r="N325" s="7">
        <f>_xlfn.IFNA(VLOOKUP(drvlst[[#This Row],[tmp-owner.email]],OrgTree!$A:$J, 10, 0), "not ICG SWFW")</f>
        <v>0</v>
      </c>
      <c r="O325" s="7" t="str">
        <f>IF(drvlst[[#This Row],[reviewer]]=drvlst[[#This Row],[tmp-owner.email]], "author", _xlfn.IFNA(VLOOKUP(drvlst[[#This Row],[reviewer]],OrgTree!$A:$J, 10, 0), "not ICG SWFW"))</f>
        <v>author</v>
      </c>
      <c r="P325" s="7">
        <f>IF(ISBLANK(drvlst[[#This Row],[number]]), "",SUM(drvlst[[#This Row],[BJ -1 num]],drvlst[[#This Row],[FI -1 num]]))</f>
        <v>0</v>
      </c>
      <c r="Q325" s="7">
        <f>IF(ISBLANK(drvlst[[#This Row],[number]]), "",COUNTIFS($A:$A,drvlst[[#This Row],[tmp-number]],$O:$O, "BJ And dev",$U:$U, "Review-1"))</f>
        <v>0</v>
      </c>
      <c r="R325" s="7">
        <f>IF(ISBLANK(drvlst[[#This Row],[number]]), "",COUNTIFS($A:$A,drvlst[[#This Row],[tmp-number]],$O:$O, "FL And dev",$U:$U, "Review-1"))</f>
        <v>0</v>
      </c>
      <c r="S325" s="7">
        <f>IF(ISBLANK(drvlst[[#This Row],[number]]), "",COUNTIFS($A:$A,drvlst[[#This Row],[tmp-number]],$O:$O, "BJ And dev",$V:$V, "&lt;&gt;IntegratorComment"))</f>
        <v>0</v>
      </c>
      <c r="T325" s="7">
        <f>IF(ISBLANK(drvlst[[#This Row],[number]]), "",COUNTIFS($A:$A,drvlst[[#This Row],[tmp-number]],$O:$O, "FL And dev",$V:$V, "&lt;&gt;IntegratorComment"))</f>
        <v>0</v>
      </c>
      <c r="U325" s="7" t="str">
        <f>IF(OR(ISNUMBER(FIND("Review-1", drvlst[[#This Row],[comments]])), ISNUMBER(FIND("Approver-1", drvlst[[#This Row],[comments]]))), "Review-1", "")</f>
        <v/>
      </c>
      <c r="V325" s="7" t="str">
        <f>IF(OR(ISNUMBER(FIND(": Integrator", drvlst[[#This Row],[comments]])), ISNUMBER(FIND(":\n\nIntegrator", drvlst[[#This Row],[comments]])), ISNUMBER(FIND("-Integrator", drvlst[[#This Row],[comments]]))), "IntegratorComment", "")</f>
        <v/>
      </c>
      <c r="W325" s="7" t="str">
        <f>IF(ISBLANK(drvlst[[#This Row],[status]]),W324,drvlst[[#This Row],[status]])</f>
        <v>ABANDONED</v>
      </c>
    </row>
    <row r="326" spans="1:23">
      <c r="A326" s="7">
        <f>IF(ISBLANK(drvlst[[#This Row],[number]]),A325,drvlst[[#This Row],[number]])</f>
        <v>92307</v>
      </c>
      <c r="J326" t="s">
        <v>101</v>
      </c>
      <c r="K326" s="8">
        <v>42366.748692129629</v>
      </c>
      <c r="L326" t="s">
        <v>85</v>
      </c>
      <c r="M326" s="7" t="str">
        <f>IF(ISBLANK(drvlst[[#This Row],[owner.emal]]),M325,drvlst[[#This Row],[owner.emal]])</f>
        <v>vinod.govindapillai@intel.com</v>
      </c>
      <c r="N326" s="7">
        <f>_xlfn.IFNA(VLOOKUP(drvlst[[#This Row],[tmp-owner.email]],OrgTree!$A:$J, 10, 0), "not ICG SWFW")</f>
        <v>0</v>
      </c>
      <c r="O326" s="7" t="str">
        <f>IF(drvlst[[#This Row],[reviewer]]=drvlst[[#This Row],[tmp-owner.email]], "author", _xlfn.IFNA(VLOOKUP(drvlst[[#This Row],[reviewer]],OrgTree!$A:$J, 10, 0), "not ICG SWFW"))</f>
        <v>author</v>
      </c>
      <c r="P326" s="7" t="str">
        <f>IF(ISBLANK(drvlst[[#This Row],[number]]), "",SUM(drvlst[[#This Row],[BJ -1 num]],drvlst[[#This Row],[FI -1 num]]))</f>
        <v/>
      </c>
      <c r="Q326" s="7" t="str">
        <f>IF(ISBLANK(drvlst[[#This Row],[number]]), "",COUNTIFS($A:$A,drvlst[[#This Row],[tmp-number]],$O:$O, "BJ And dev",$U:$U, "Review-1"))</f>
        <v/>
      </c>
      <c r="R326" s="7" t="str">
        <f>IF(ISBLANK(drvlst[[#This Row],[number]]), "",COUNTIFS($A:$A,drvlst[[#This Row],[tmp-number]],$O:$O, "FL And dev",$U:$U, "Review-1"))</f>
        <v/>
      </c>
      <c r="S326" s="7" t="str">
        <f>IF(ISBLANK(drvlst[[#This Row],[number]]), "",COUNTIFS($A:$A,drvlst[[#This Row],[tmp-number]],$O:$O, "BJ And dev",$V:$V, "&lt;&gt;IntegratorComment"))</f>
        <v/>
      </c>
      <c r="T326" s="7" t="str">
        <f>IF(ISBLANK(drvlst[[#This Row],[number]]), "",COUNTIFS($A:$A,drvlst[[#This Row],[tmp-number]],$O:$O, "FL And dev",$V:$V, "&lt;&gt;IntegratorComment"))</f>
        <v/>
      </c>
      <c r="U326" s="7" t="str">
        <f>IF(OR(ISNUMBER(FIND("Review-1", drvlst[[#This Row],[comments]])), ISNUMBER(FIND("Approver-1", drvlst[[#This Row],[comments]]))), "Review-1", "")</f>
        <v/>
      </c>
      <c r="V326" s="7" t="str">
        <f>IF(OR(ISNUMBER(FIND(": Integrator", drvlst[[#This Row],[comments]])), ISNUMBER(FIND(":\n\nIntegrator", drvlst[[#This Row],[comments]])), ISNUMBER(FIND("-Integrator", drvlst[[#This Row],[comments]]))), "IntegratorComment", "")</f>
        <v/>
      </c>
      <c r="W326" s="7" t="str">
        <f>IF(ISBLANK(drvlst[[#This Row],[status]]),W325,drvlst[[#This Row],[status]])</f>
        <v>ABANDONED</v>
      </c>
    </row>
    <row r="327" spans="1:23">
      <c r="A327" s="7">
        <f>IF(ISBLANK(drvlst[[#This Row],[number]]),A326,drvlst[[#This Row],[number]])</f>
        <v>92307</v>
      </c>
      <c r="J327" t="s">
        <v>101</v>
      </c>
      <c r="K327" s="8">
        <v>42366.749456018515</v>
      </c>
      <c r="L327" t="s">
        <v>1995</v>
      </c>
      <c r="M327" s="7" t="str">
        <f>IF(ISBLANK(drvlst[[#This Row],[owner.emal]]),M326,drvlst[[#This Row],[owner.emal]])</f>
        <v>vinod.govindapillai@intel.com</v>
      </c>
      <c r="N327" s="7">
        <f>_xlfn.IFNA(VLOOKUP(drvlst[[#This Row],[tmp-owner.email]],OrgTree!$A:$J, 10, 0), "not ICG SWFW")</f>
        <v>0</v>
      </c>
      <c r="O327" s="7" t="str">
        <f>IF(drvlst[[#This Row],[reviewer]]=drvlst[[#This Row],[tmp-owner.email]], "author", _xlfn.IFNA(VLOOKUP(drvlst[[#This Row],[reviewer]],OrgTree!$A:$J, 10, 0), "not ICG SWFW"))</f>
        <v>author</v>
      </c>
      <c r="P327" s="7" t="str">
        <f>IF(ISBLANK(drvlst[[#This Row],[number]]), "",SUM(drvlst[[#This Row],[BJ -1 num]],drvlst[[#This Row],[FI -1 num]]))</f>
        <v/>
      </c>
      <c r="Q327" s="7" t="str">
        <f>IF(ISBLANK(drvlst[[#This Row],[number]]), "",COUNTIFS($A:$A,drvlst[[#This Row],[tmp-number]],$O:$O, "BJ And dev",$U:$U, "Review-1"))</f>
        <v/>
      </c>
      <c r="R327" s="7" t="str">
        <f>IF(ISBLANK(drvlst[[#This Row],[number]]), "",COUNTIFS($A:$A,drvlst[[#This Row],[tmp-number]],$O:$O, "FL And dev",$U:$U, "Review-1"))</f>
        <v/>
      </c>
      <c r="S327" s="7" t="str">
        <f>IF(ISBLANK(drvlst[[#This Row],[number]]), "",COUNTIFS($A:$A,drvlst[[#This Row],[tmp-number]],$O:$O, "BJ And dev",$V:$V, "&lt;&gt;IntegratorComment"))</f>
        <v/>
      </c>
      <c r="T327" s="7" t="str">
        <f>IF(ISBLANK(drvlst[[#This Row],[number]]), "",COUNTIFS($A:$A,drvlst[[#This Row],[tmp-number]],$O:$O, "FL And dev",$V:$V, "&lt;&gt;IntegratorComment"))</f>
        <v/>
      </c>
      <c r="U327" s="7" t="str">
        <f>IF(OR(ISNUMBER(FIND("Review-1", drvlst[[#This Row],[comments]])), ISNUMBER(FIND("Approver-1", drvlst[[#This Row],[comments]]))), "Review-1", "")</f>
        <v>Review-1</v>
      </c>
      <c r="V327" s="7" t="str">
        <f>IF(OR(ISNUMBER(FIND(": Integrator", drvlst[[#This Row],[comments]])), ISNUMBER(FIND(":\n\nIntegrator", drvlst[[#This Row],[comments]])), ISNUMBER(FIND("-Integrator", drvlst[[#This Row],[comments]]))), "IntegratorComment", "")</f>
        <v/>
      </c>
      <c r="W327" s="7" t="str">
        <f>IF(ISBLANK(drvlst[[#This Row],[status]]),W326,drvlst[[#This Row],[status]])</f>
        <v>ABANDONED</v>
      </c>
    </row>
    <row r="328" spans="1:23">
      <c r="A328" s="7">
        <f>IF(ISBLANK(drvlst[[#This Row],[number]]),A327,drvlst[[#This Row],[number]])</f>
        <v>97763</v>
      </c>
      <c r="B328">
        <v>97763</v>
      </c>
      <c r="C328" t="s">
        <v>84</v>
      </c>
      <c r="D328" t="s">
        <v>38</v>
      </c>
      <c r="E328" t="s">
        <v>36</v>
      </c>
      <c r="F328" t="s">
        <v>1996</v>
      </c>
      <c r="G328" t="s">
        <v>1997</v>
      </c>
      <c r="H328" s="8">
        <v>42394.725648148145</v>
      </c>
      <c r="J328" t="s">
        <v>38</v>
      </c>
      <c r="K328" s="8">
        <v>42394.725648148145</v>
      </c>
      <c r="L328" t="s">
        <v>25</v>
      </c>
      <c r="M328" s="7" t="str">
        <f>IF(ISBLANK(drvlst[[#This Row],[owner.emal]]),M327,drvlst[[#This Row],[owner.emal]])</f>
        <v>yunliang.ding@intel.com</v>
      </c>
      <c r="N328" s="7">
        <f>_xlfn.IFNA(VLOOKUP(drvlst[[#This Row],[tmp-owner.email]],OrgTree!$A:$J, 10, 0), "not ICG SWFW")</f>
        <v>0</v>
      </c>
      <c r="O328" s="7" t="str">
        <f>IF(drvlst[[#This Row],[reviewer]]=drvlst[[#This Row],[tmp-owner.email]], "author", _xlfn.IFNA(VLOOKUP(drvlst[[#This Row],[reviewer]],OrgTree!$A:$J, 10, 0), "not ICG SWFW"))</f>
        <v>author</v>
      </c>
      <c r="P328" s="7">
        <f>IF(ISBLANK(drvlst[[#This Row],[number]]), "",SUM(drvlst[[#This Row],[BJ -1 num]],drvlst[[#This Row],[FI -1 num]]))</f>
        <v>0</v>
      </c>
      <c r="Q328" s="7">
        <f>IF(ISBLANK(drvlst[[#This Row],[number]]), "",COUNTIFS($A:$A,drvlst[[#This Row],[tmp-number]],$O:$O, "BJ And dev",$U:$U, "Review-1"))</f>
        <v>0</v>
      </c>
      <c r="R328" s="7">
        <f>IF(ISBLANK(drvlst[[#This Row],[number]]), "",COUNTIFS($A:$A,drvlst[[#This Row],[tmp-number]],$O:$O, "FL And dev",$U:$U, "Review-1"))</f>
        <v>0</v>
      </c>
      <c r="S328" s="7">
        <f>IF(ISBLANK(drvlst[[#This Row],[number]]), "",COUNTIFS($A:$A,drvlst[[#This Row],[tmp-number]],$O:$O, "BJ And dev",$V:$V, "&lt;&gt;IntegratorComment"))</f>
        <v>0</v>
      </c>
      <c r="T328" s="7">
        <f>IF(ISBLANK(drvlst[[#This Row],[number]]), "",COUNTIFS($A:$A,drvlst[[#This Row],[tmp-number]],$O:$O, "FL And dev",$V:$V, "&lt;&gt;IntegratorComment"))</f>
        <v>0</v>
      </c>
      <c r="U328" s="7" t="str">
        <f>IF(OR(ISNUMBER(FIND("Review-1", drvlst[[#This Row],[comments]])), ISNUMBER(FIND("Approver-1", drvlst[[#This Row],[comments]]))), "Review-1", "")</f>
        <v/>
      </c>
      <c r="V328" s="7" t="str">
        <f>IF(OR(ISNUMBER(FIND(": Integrator", drvlst[[#This Row],[comments]])), ISNUMBER(FIND(":\n\nIntegrator", drvlst[[#This Row],[comments]])), ISNUMBER(FIND("-Integrator", drvlst[[#This Row],[comments]]))), "IntegratorComment", "")</f>
        <v/>
      </c>
      <c r="W328" s="7" t="str">
        <f>IF(ISBLANK(drvlst[[#This Row],[status]]),W327,drvlst[[#This Row],[status]])</f>
        <v>ABANDONED</v>
      </c>
    </row>
    <row r="329" spans="1:23">
      <c r="A329" s="7">
        <f>IF(ISBLANK(drvlst[[#This Row],[number]]),A328,drvlst[[#This Row],[number]])</f>
        <v>97763</v>
      </c>
      <c r="J329" t="s">
        <v>38</v>
      </c>
      <c r="K329" s="8">
        <v>42394.725659722222</v>
      </c>
      <c r="L329" t="s">
        <v>85</v>
      </c>
      <c r="M329" s="7" t="str">
        <f>IF(ISBLANK(drvlst[[#This Row],[owner.emal]]),M328,drvlst[[#This Row],[owner.emal]])</f>
        <v>yunliang.ding@intel.com</v>
      </c>
      <c r="N329" s="7">
        <f>_xlfn.IFNA(VLOOKUP(drvlst[[#This Row],[tmp-owner.email]],OrgTree!$A:$J, 10, 0), "not ICG SWFW")</f>
        <v>0</v>
      </c>
      <c r="O329" s="7" t="str">
        <f>IF(drvlst[[#This Row],[reviewer]]=drvlst[[#This Row],[tmp-owner.email]], "author", _xlfn.IFNA(VLOOKUP(drvlst[[#This Row],[reviewer]],OrgTree!$A:$J, 10, 0), "not ICG SWFW"))</f>
        <v>author</v>
      </c>
      <c r="P329" s="7" t="str">
        <f>IF(ISBLANK(drvlst[[#This Row],[number]]), "",SUM(drvlst[[#This Row],[BJ -1 num]],drvlst[[#This Row],[FI -1 num]]))</f>
        <v/>
      </c>
      <c r="Q329" s="7" t="str">
        <f>IF(ISBLANK(drvlst[[#This Row],[number]]), "",COUNTIFS($A:$A,drvlst[[#This Row],[tmp-number]],$O:$O, "BJ And dev",$U:$U, "Review-1"))</f>
        <v/>
      </c>
      <c r="R329" s="7" t="str">
        <f>IF(ISBLANK(drvlst[[#This Row],[number]]), "",COUNTIFS($A:$A,drvlst[[#This Row],[tmp-number]],$O:$O, "FL And dev",$U:$U, "Review-1"))</f>
        <v/>
      </c>
      <c r="S329" s="7" t="str">
        <f>IF(ISBLANK(drvlst[[#This Row],[number]]), "",COUNTIFS($A:$A,drvlst[[#This Row],[tmp-number]],$O:$O, "BJ And dev",$V:$V, "&lt;&gt;IntegratorComment"))</f>
        <v/>
      </c>
      <c r="T329" s="7" t="str">
        <f>IF(ISBLANK(drvlst[[#This Row],[number]]), "",COUNTIFS($A:$A,drvlst[[#This Row],[tmp-number]],$O:$O, "FL And dev",$V:$V, "&lt;&gt;IntegratorComment"))</f>
        <v/>
      </c>
      <c r="U329" s="7" t="str">
        <f>IF(OR(ISNUMBER(FIND("Review-1", drvlst[[#This Row],[comments]])), ISNUMBER(FIND("Approver-1", drvlst[[#This Row],[comments]]))), "Review-1", "")</f>
        <v/>
      </c>
      <c r="V329" s="7" t="str">
        <f>IF(OR(ISNUMBER(FIND(": Integrator", drvlst[[#This Row],[comments]])), ISNUMBER(FIND(":\n\nIntegrator", drvlst[[#This Row],[comments]])), ISNUMBER(FIND("-Integrator", drvlst[[#This Row],[comments]]))), "IntegratorComment", "")</f>
        <v/>
      </c>
      <c r="W329" s="7" t="str">
        <f>IF(ISBLANK(drvlst[[#This Row],[status]]),W328,drvlst[[#This Row],[status]])</f>
        <v>ABANDONED</v>
      </c>
    </row>
    <row r="330" spans="1:23">
      <c r="A330" s="7">
        <f>IF(ISBLANK(drvlst[[#This Row],[number]]),A329,drvlst[[#This Row],[number]])</f>
        <v>97763</v>
      </c>
      <c r="J330" t="s">
        <v>38</v>
      </c>
      <c r="K330" s="8">
        <v>42394.726689814815</v>
      </c>
      <c r="L330" t="s">
        <v>40</v>
      </c>
      <c r="M330" s="7" t="str">
        <f>IF(ISBLANK(drvlst[[#This Row],[owner.emal]]),M329,drvlst[[#This Row],[owner.emal]])</f>
        <v>yunliang.ding@intel.com</v>
      </c>
      <c r="N330" s="7">
        <f>_xlfn.IFNA(VLOOKUP(drvlst[[#This Row],[tmp-owner.email]],OrgTree!$A:$J, 10, 0), "not ICG SWFW")</f>
        <v>0</v>
      </c>
      <c r="O330" s="7" t="str">
        <f>IF(drvlst[[#This Row],[reviewer]]=drvlst[[#This Row],[tmp-owner.email]], "author", _xlfn.IFNA(VLOOKUP(drvlst[[#This Row],[reviewer]],OrgTree!$A:$J, 10, 0), "not ICG SWFW"))</f>
        <v>author</v>
      </c>
      <c r="P330" s="7" t="str">
        <f>IF(ISBLANK(drvlst[[#This Row],[number]]), "",SUM(drvlst[[#This Row],[BJ -1 num]],drvlst[[#This Row],[FI -1 num]]))</f>
        <v/>
      </c>
      <c r="Q330" s="7" t="str">
        <f>IF(ISBLANK(drvlst[[#This Row],[number]]), "",COUNTIFS($A:$A,drvlst[[#This Row],[tmp-number]],$O:$O, "BJ And dev",$U:$U, "Review-1"))</f>
        <v/>
      </c>
      <c r="R330" s="7" t="str">
        <f>IF(ISBLANK(drvlst[[#This Row],[number]]), "",COUNTIFS($A:$A,drvlst[[#This Row],[tmp-number]],$O:$O, "FL And dev",$U:$U, "Review-1"))</f>
        <v/>
      </c>
      <c r="S330" s="7" t="str">
        <f>IF(ISBLANK(drvlst[[#This Row],[number]]), "",COUNTIFS($A:$A,drvlst[[#This Row],[tmp-number]],$O:$O, "BJ And dev",$V:$V, "&lt;&gt;IntegratorComment"))</f>
        <v/>
      </c>
      <c r="T330" s="7" t="str">
        <f>IF(ISBLANK(drvlst[[#This Row],[number]]), "",COUNTIFS($A:$A,drvlst[[#This Row],[tmp-number]],$O:$O, "FL And dev",$V:$V, "&lt;&gt;IntegratorComment"))</f>
        <v/>
      </c>
      <c r="U330" s="7" t="str">
        <f>IF(OR(ISNUMBER(FIND("Review-1", drvlst[[#This Row],[comments]])), ISNUMBER(FIND("Approver-1", drvlst[[#This Row],[comments]]))), "Review-1", "")</f>
        <v/>
      </c>
      <c r="V330" s="7" t="str">
        <f>IF(OR(ISNUMBER(FIND(": Integrator", drvlst[[#This Row],[comments]])), ISNUMBER(FIND(":\n\nIntegrator", drvlst[[#This Row],[comments]])), ISNUMBER(FIND("-Integrator", drvlst[[#This Row],[comments]]))), "IntegratorComment", "")</f>
        <v/>
      </c>
      <c r="W330" s="7" t="str">
        <f>IF(ISBLANK(drvlst[[#This Row],[status]]),W329,drvlst[[#This Row],[status]])</f>
        <v>ABANDONED</v>
      </c>
    </row>
    <row r="331" spans="1:23">
      <c r="A331" s="7">
        <f>IF(ISBLANK(drvlst[[#This Row],[number]]),A330,drvlst[[#This Row],[number]])</f>
        <v>97763</v>
      </c>
      <c r="J331" t="s">
        <v>99</v>
      </c>
      <c r="K331" s="8">
        <v>42394.741840277777</v>
      </c>
      <c r="L331" t="s">
        <v>1998</v>
      </c>
      <c r="M331" s="7" t="str">
        <f>IF(ISBLANK(drvlst[[#This Row],[owner.emal]]),M330,drvlst[[#This Row],[owner.emal]])</f>
        <v>yunliang.ding@intel.com</v>
      </c>
      <c r="N331" s="7">
        <f>_xlfn.IFNA(VLOOKUP(drvlst[[#This Row],[tmp-owner.email]],OrgTree!$A:$J, 10, 0), "not ICG SWFW")</f>
        <v>0</v>
      </c>
      <c r="O331" s="7">
        <f>IF(drvlst[[#This Row],[reviewer]]=drvlst[[#This Row],[tmp-owner.email]], "author", _xlfn.IFNA(VLOOKUP(drvlst[[#This Row],[reviewer]],OrgTree!$A:$J, 10, 0), "not ICG SWFW"))</f>
        <v>0</v>
      </c>
      <c r="P331" s="7" t="str">
        <f>IF(ISBLANK(drvlst[[#This Row],[number]]), "",SUM(drvlst[[#This Row],[BJ -1 num]],drvlst[[#This Row],[FI -1 num]]))</f>
        <v/>
      </c>
      <c r="Q331" s="7" t="str">
        <f>IF(ISBLANK(drvlst[[#This Row],[number]]), "",COUNTIFS($A:$A,drvlst[[#This Row],[tmp-number]],$O:$O, "BJ And dev",$U:$U, "Review-1"))</f>
        <v/>
      </c>
      <c r="R331" s="7" t="str">
        <f>IF(ISBLANK(drvlst[[#This Row],[number]]), "",COUNTIFS($A:$A,drvlst[[#This Row],[tmp-number]],$O:$O, "FL And dev",$U:$U, "Review-1"))</f>
        <v/>
      </c>
      <c r="S331" s="7" t="str">
        <f>IF(ISBLANK(drvlst[[#This Row],[number]]), "",COUNTIFS($A:$A,drvlst[[#This Row],[tmp-number]],$O:$O, "BJ And dev",$V:$V, "&lt;&gt;IntegratorComment"))</f>
        <v/>
      </c>
      <c r="T331" s="7" t="str">
        <f>IF(ISBLANK(drvlst[[#This Row],[number]]), "",COUNTIFS($A:$A,drvlst[[#This Row],[tmp-number]],$O:$O, "FL And dev",$V:$V, "&lt;&gt;IntegratorComment"))</f>
        <v/>
      </c>
      <c r="U331" s="7" t="str">
        <f>IF(OR(ISNUMBER(FIND("Review-1", drvlst[[#This Row],[comments]])), ISNUMBER(FIND("Approver-1", drvlst[[#This Row],[comments]]))), "Review-1", "")</f>
        <v>Review-1</v>
      </c>
      <c r="V331" s="7" t="str">
        <f>IF(OR(ISNUMBER(FIND(": Integrator", drvlst[[#This Row],[comments]])), ISNUMBER(FIND(":\n\nIntegrator", drvlst[[#This Row],[comments]])), ISNUMBER(FIND("-Integrator", drvlst[[#This Row],[comments]]))), "IntegratorComment", "")</f>
        <v/>
      </c>
      <c r="W331" s="7" t="str">
        <f>IF(ISBLANK(drvlst[[#This Row],[status]]),W330,drvlst[[#This Row],[status]])</f>
        <v>ABANDONED</v>
      </c>
    </row>
    <row r="332" spans="1:23">
      <c r="A332" s="7">
        <f>IF(ISBLANK(drvlst[[#This Row],[number]]),A331,drvlst[[#This Row],[number]])</f>
        <v>97763</v>
      </c>
      <c r="J332" t="s">
        <v>38</v>
      </c>
      <c r="K332" s="8">
        <v>42395.62232638889</v>
      </c>
      <c r="L332" t="s">
        <v>37</v>
      </c>
      <c r="M332" s="7" t="str">
        <f>IF(ISBLANK(drvlst[[#This Row],[owner.emal]]),M331,drvlst[[#This Row],[owner.emal]])</f>
        <v>yunliang.ding@intel.com</v>
      </c>
      <c r="N332" s="7">
        <f>_xlfn.IFNA(VLOOKUP(drvlst[[#This Row],[tmp-owner.email]],OrgTree!$A:$J, 10, 0), "not ICG SWFW")</f>
        <v>0</v>
      </c>
      <c r="O332" s="7" t="str">
        <f>IF(drvlst[[#This Row],[reviewer]]=drvlst[[#This Row],[tmp-owner.email]], "author", _xlfn.IFNA(VLOOKUP(drvlst[[#This Row],[reviewer]],OrgTree!$A:$J, 10, 0), "not ICG SWFW"))</f>
        <v>author</v>
      </c>
      <c r="P332" s="7" t="str">
        <f>IF(ISBLANK(drvlst[[#This Row],[number]]), "",SUM(drvlst[[#This Row],[BJ -1 num]],drvlst[[#This Row],[FI -1 num]]))</f>
        <v/>
      </c>
      <c r="Q332" s="7" t="str">
        <f>IF(ISBLANK(drvlst[[#This Row],[number]]), "",COUNTIFS($A:$A,drvlst[[#This Row],[tmp-number]],$O:$O, "BJ And dev",$U:$U, "Review-1"))</f>
        <v/>
      </c>
      <c r="R332" s="7" t="str">
        <f>IF(ISBLANK(drvlst[[#This Row],[number]]), "",COUNTIFS($A:$A,drvlst[[#This Row],[tmp-number]],$O:$O, "FL And dev",$U:$U, "Review-1"))</f>
        <v/>
      </c>
      <c r="S332" s="7" t="str">
        <f>IF(ISBLANK(drvlst[[#This Row],[number]]), "",COUNTIFS($A:$A,drvlst[[#This Row],[tmp-number]],$O:$O, "BJ And dev",$V:$V, "&lt;&gt;IntegratorComment"))</f>
        <v/>
      </c>
      <c r="T332" s="7" t="str">
        <f>IF(ISBLANK(drvlst[[#This Row],[number]]), "",COUNTIFS($A:$A,drvlst[[#This Row],[tmp-number]],$O:$O, "FL And dev",$V:$V, "&lt;&gt;IntegratorComment"))</f>
        <v/>
      </c>
      <c r="U332" s="7" t="str">
        <f>IF(OR(ISNUMBER(FIND("Review-1", drvlst[[#This Row],[comments]])), ISNUMBER(FIND("Approver-1", drvlst[[#This Row],[comments]]))), "Review-1", "")</f>
        <v/>
      </c>
      <c r="V332" s="7" t="str">
        <f>IF(OR(ISNUMBER(FIND(": Integrator", drvlst[[#This Row],[comments]])), ISNUMBER(FIND(":\n\nIntegrator", drvlst[[#This Row],[comments]])), ISNUMBER(FIND("-Integrator", drvlst[[#This Row],[comments]]))), "IntegratorComment", "")</f>
        <v/>
      </c>
      <c r="W332" s="7" t="str">
        <f>IF(ISBLANK(drvlst[[#This Row],[status]]),W331,drvlst[[#This Row],[status]])</f>
        <v>ABANDONED</v>
      </c>
    </row>
    <row r="333" spans="1:23">
      <c r="A333" s="7">
        <f>IF(ISBLANK(drvlst[[#This Row],[number]]),A332,drvlst[[#This Row],[number]])</f>
        <v>97762</v>
      </c>
      <c r="B333">
        <v>97762</v>
      </c>
      <c r="C333" t="s">
        <v>84</v>
      </c>
      <c r="D333" t="s">
        <v>38</v>
      </c>
      <c r="E333" t="s">
        <v>36</v>
      </c>
      <c r="F333" t="s">
        <v>1999</v>
      </c>
      <c r="G333" t="s">
        <v>2000</v>
      </c>
      <c r="H333" s="8">
        <v>42394.725648148145</v>
      </c>
      <c r="J333" t="s">
        <v>38</v>
      </c>
      <c r="K333" s="8">
        <v>42394.725648148145</v>
      </c>
      <c r="L333" t="s">
        <v>85</v>
      </c>
      <c r="M333" s="7" t="str">
        <f>IF(ISBLANK(drvlst[[#This Row],[owner.emal]]),M332,drvlst[[#This Row],[owner.emal]])</f>
        <v>yunliang.ding@intel.com</v>
      </c>
      <c r="N333" s="7">
        <f>_xlfn.IFNA(VLOOKUP(drvlst[[#This Row],[tmp-owner.email]],OrgTree!$A:$J, 10, 0), "not ICG SWFW")</f>
        <v>0</v>
      </c>
      <c r="O333" s="7" t="str">
        <f>IF(drvlst[[#This Row],[reviewer]]=drvlst[[#This Row],[tmp-owner.email]], "author", _xlfn.IFNA(VLOOKUP(drvlst[[#This Row],[reviewer]],OrgTree!$A:$J, 10, 0), "not ICG SWFW"))</f>
        <v>author</v>
      </c>
      <c r="P333" s="7">
        <f>IF(ISBLANK(drvlst[[#This Row],[number]]), "",SUM(drvlst[[#This Row],[BJ -1 num]],drvlst[[#This Row],[FI -1 num]]))</f>
        <v>0</v>
      </c>
      <c r="Q333" s="7">
        <f>IF(ISBLANK(drvlst[[#This Row],[number]]), "",COUNTIFS($A:$A,drvlst[[#This Row],[tmp-number]],$O:$O, "BJ And dev",$U:$U, "Review-1"))</f>
        <v>0</v>
      </c>
      <c r="R333" s="7">
        <f>IF(ISBLANK(drvlst[[#This Row],[number]]), "",COUNTIFS($A:$A,drvlst[[#This Row],[tmp-number]],$O:$O, "FL And dev",$U:$U, "Review-1"))</f>
        <v>0</v>
      </c>
      <c r="S333" s="7">
        <f>IF(ISBLANK(drvlst[[#This Row],[number]]), "",COUNTIFS($A:$A,drvlst[[#This Row],[tmp-number]],$O:$O, "BJ And dev",$V:$V, "&lt;&gt;IntegratorComment"))</f>
        <v>0</v>
      </c>
      <c r="T333" s="7">
        <f>IF(ISBLANK(drvlst[[#This Row],[number]]), "",COUNTIFS($A:$A,drvlst[[#This Row],[tmp-number]],$O:$O, "FL And dev",$V:$V, "&lt;&gt;IntegratorComment"))</f>
        <v>0</v>
      </c>
      <c r="U333" s="7" t="str">
        <f>IF(OR(ISNUMBER(FIND("Review-1", drvlst[[#This Row],[comments]])), ISNUMBER(FIND("Approver-1", drvlst[[#This Row],[comments]]))), "Review-1", "")</f>
        <v/>
      </c>
      <c r="V333" s="7" t="str">
        <f>IF(OR(ISNUMBER(FIND(": Integrator", drvlst[[#This Row],[comments]])), ISNUMBER(FIND(":\n\nIntegrator", drvlst[[#This Row],[comments]])), ISNUMBER(FIND("-Integrator", drvlst[[#This Row],[comments]]))), "IntegratorComment", "")</f>
        <v/>
      </c>
      <c r="W333" s="7" t="str">
        <f>IF(ISBLANK(drvlst[[#This Row],[status]]),W332,drvlst[[#This Row],[status]])</f>
        <v>ABANDONED</v>
      </c>
    </row>
    <row r="334" spans="1:23">
      <c r="A334" s="7">
        <f>IF(ISBLANK(drvlst[[#This Row],[number]]),A333,drvlst[[#This Row],[number]])</f>
        <v>97762</v>
      </c>
      <c r="J334" t="s">
        <v>38</v>
      </c>
      <c r="K334" s="8">
        <v>42394.725648148145</v>
      </c>
      <c r="L334" t="s">
        <v>25</v>
      </c>
      <c r="M334" s="7" t="str">
        <f>IF(ISBLANK(drvlst[[#This Row],[owner.emal]]),M333,drvlst[[#This Row],[owner.emal]])</f>
        <v>yunliang.ding@intel.com</v>
      </c>
      <c r="N334" s="7">
        <f>_xlfn.IFNA(VLOOKUP(drvlst[[#This Row],[tmp-owner.email]],OrgTree!$A:$J, 10, 0), "not ICG SWFW")</f>
        <v>0</v>
      </c>
      <c r="O334" s="7" t="str">
        <f>IF(drvlst[[#This Row],[reviewer]]=drvlst[[#This Row],[tmp-owner.email]], "author", _xlfn.IFNA(VLOOKUP(drvlst[[#This Row],[reviewer]],OrgTree!$A:$J, 10, 0), "not ICG SWFW"))</f>
        <v>author</v>
      </c>
      <c r="P334" s="7" t="str">
        <f>IF(ISBLANK(drvlst[[#This Row],[number]]), "",SUM(drvlst[[#This Row],[BJ -1 num]],drvlst[[#This Row],[FI -1 num]]))</f>
        <v/>
      </c>
      <c r="Q334" s="7" t="str">
        <f>IF(ISBLANK(drvlst[[#This Row],[number]]), "",COUNTIFS($A:$A,drvlst[[#This Row],[tmp-number]],$O:$O, "BJ And dev",$U:$U, "Review-1"))</f>
        <v/>
      </c>
      <c r="R334" s="7" t="str">
        <f>IF(ISBLANK(drvlst[[#This Row],[number]]), "",COUNTIFS($A:$A,drvlst[[#This Row],[tmp-number]],$O:$O, "FL And dev",$U:$U, "Review-1"))</f>
        <v/>
      </c>
      <c r="S334" s="7" t="str">
        <f>IF(ISBLANK(drvlst[[#This Row],[number]]), "",COUNTIFS($A:$A,drvlst[[#This Row],[tmp-number]],$O:$O, "BJ And dev",$V:$V, "&lt;&gt;IntegratorComment"))</f>
        <v/>
      </c>
      <c r="T334" s="7" t="str">
        <f>IF(ISBLANK(drvlst[[#This Row],[number]]), "",COUNTIFS($A:$A,drvlst[[#This Row],[tmp-number]],$O:$O, "FL And dev",$V:$V, "&lt;&gt;IntegratorComment"))</f>
        <v/>
      </c>
      <c r="U334" s="7" t="str">
        <f>IF(OR(ISNUMBER(FIND("Review-1", drvlst[[#This Row],[comments]])), ISNUMBER(FIND("Approver-1", drvlst[[#This Row],[comments]]))), "Review-1", "")</f>
        <v/>
      </c>
      <c r="V334" s="7" t="str">
        <f>IF(OR(ISNUMBER(FIND(": Integrator", drvlst[[#This Row],[comments]])), ISNUMBER(FIND(":\n\nIntegrator", drvlst[[#This Row],[comments]])), ISNUMBER(FIND("-Integrator", drvlst[[#This Row],[comments]]))), "IntegratorComment", "")</f>
        <v/>
      </c>
      <c r="W334" s="7" t="str">
        <f>IF(ISBLANK(drvlst[[#This Row],[status]]),W333,drvlst[[#This Row],[status]])</f>
        <v>ABANDONED</v>
      </c>
    </row>
    <row r="335" spans="1:23">
      <c r="A335" s="7">
        <f>IF(ISBLANK(drvlst[[#This Row],[number]]),A334,drvlst[[#This Row],[number]])</f>
        <v>97762</v>
      </c>
      <c r="J335" t="s">
        <v>38</v>
      </c>
      <c r="K335" s="8">
        <v>42394.725983796299</v>
      </c>
      <c r="L335" t="s">
        <v>40</v>
      </c>
      <c r="M335" s="7" t="str">
        <f>IF(ISBLANK(drvlst[[#This Row],[owner.emal]]),M334,drvlst[[#This Row],[owner.emal]])</f>
        <v>yunliang.ding@intel.com</v>
      </c>
      <c r="N335" s="7">
        <f>_xlfn.IFNA(VLOOKUP(drvlst[[#This Row],[tmp-owner.email]],OrgTree!$A:$J, 10, 0), "not ICG SWFW")</f>
        <v>0</v>
      </c>
      <c r="O335" s="7" t="str">
        <f>IF(drvlst[[#This Row],[reviewer]]=drvlst[[#This Row],[tmp-owner.email]], "author", _xlfn.IFNA(VLOOKUP(drvlst[[#This Row],[reviewer]],OrgTree!$A:$J, 10, 0), "not ICG SWFW"))</f>
        <v>author</v>
      </c>
      <c r="P335" s="7" t="str">
        <f>IF(ISBLANK(drvlst[[#This Row],[number]]), "",SUM(drvlst[[#This Row],[BJ -1 num]],drvlst[[#This Row],[FI -1 num]]))</f>
        <v/>
      </c>
      <c r="Q335" s="7" t="str">
        <f>IF(ISBLANK(drvlst[[#This Row],[number]]), "",COUNTIFS($A:$A,drvlst[[#This Row],[tmp-number]],$O:$O, "BJ And dev",$U:$U, "Review-1"))</f>
        <v/>
      </c>
      <c r="R335" s="7" t="str">
        <f>IF(ISBLANK(drvlst[[#This Row],[number]]), "",COUNTIFS($A:$A,drvlst[[#This Row],[tmp-number]],$O:$O, "FL And dev",$U:$U, "Review-1"))</f>
        <v/>
      </c>
      <c r="S335" s="7" t="str">
        <f>IF(ISBLANK(drvlst[[#This Row],[number]]), "",COUNTIFS($A:$A,drvlst[[#This Row],[tmp-number]],$O:$O, "BJ And dev",$V:$V, "&lt;&gt;IntegratorComment"))</f>
        <v/>
      </c>
      <c r="T335" s="7" t="str">
        <f>IF(ISBLANK(drvlst[[#This Row],[number]]), "",COUNTIFS($A:$A,drvlst[[#This Row],[tmp-number]],$O:$O, "FL And dev",$V:$V, "&lt;&gt;IntegratorComment"))</f>
        <v/>
      </c>
      <c r="U335" s="7" t="str">
        <f>IF(OR(ISNUMBER(FIND("Review-1", drvlst[[#This Row],[comments]])), ISNUMBER(FIND("Approver-1", drvlst[[#This Row],[comments]]))), "Review-1", "")</f>
        <v/>
      </c>
      <c r="V335" s="7" t="str">
        <f>IF(OR(ISNUMBER(FIND(": Integrator", drvlst[[#This Row],[comments]])), ISNUMBER(FIND(":\n\nIntegrator", drvlst[[#This Row],[comments]])), ISNUMBER(FIND("-Integrator", drvlst[[#This Row],[comments]]))), "IntegratorComment", "")</f>
        <v/>
      </c>
      <c r="W335" s="7" t="str">
        <f>IF(ISBLANK(drvlst[[#This Row],[status]]),W334,drvlst[[#This Row],[status]])</f>
        <v>ABANDONED</v>
      </c>
    </row>
    <row r="336" spans="1:23">
      <c r="A336" s="7">
        <f>IF(ISBLANK(drvlst[[#This Row],[number]]),A335,drvlst[[#This Row],[number]])</f>
        <v>97762</v>
      </c>
      <c r="J336" t="s">
        <v>99</v>
      </c>
      <c r="K336" s="8">
        <v>42394.742199074077</v>
      </c>
      <c r="L336" t="s">
        <v>2001</v>
      </c>
      <c r="M336" s="7" t="str">
        <f>IF(ISBLANK(drvlst[[#This Row],[owner.emal]]),M335,drvlst[[#This Row],[owner.emal]])</f>
        <v>yunliang.ding@intel.com</v>
      </c>
      <c r="N336" s="7">
        <f>_xlfn.IFNA(VLOOKUP(drvlst[[#This Row],[tmp-owner.email]],OrgTree!$A:$J, 10, 0), "not ICG SWFW")</f>
        <v>0</v>
      </c>
      <c r="O336" s="7">
        <f>IF(drvlst[[#This Row],[reviewer]]=drvlst[[#This Row],[tmp-owner.email]], "author", _xlfn.IFNA(VLOOKUP(drvlst[[#This Row],[reviewer]],OrgTree!$A:$J, 10, 0), "not ICG SWFW"))</f>
        <v>0</v>
      </c>
      <c r="P336" s="7" t="str">
        <f>IF(ISBLANK(drvlst[[#This Row],[number]]), "",SUM(drvlst[[#This Row],[BJ -1 num]],drvlst[[#This Row],[FI -1 num]]))</f>
        <v/>
      </c>
      <c r="Q336" s="7" t="str">
        <f>IF(ISBLANK(drvlst[[#This Row],[number]]), "",COUNTIFS($A:$A,drvlst[[#This Row],[tmp-number]],$O:$O, "BJ And dev",$U:$U, "Review-1"))</f>
        <v/>
      </c>
      <c r="R336" s="7" t="str">
        <f>IF(ISBLANK(drvlst[[#This Row],[number]]), "",COUNTIFS($A:$A,drvlst[[#This Row],[tmp-number]],$O:$O, "FL And dev",$U:$U, "Review-1"))</f>
        <v/>
      </c>
      <c r="S336" s="7" t="str">
        <f>IF(ISBLANK(drvlst[[#This Row],[number]]), "",COUNTIFS($A:$A,drvlst[[#This Row],[tmp-number]],$O:$O, "BJ And dev",$V:$V, "&lt;&gt;IntegratorComment"))</f>
        <v/>
      </c>
      <c r="T336" s="7" t="str">
        <f>IF(ISBLANK(drvlst[[#This Row],[number]]), "",COUNTIFS($A:$A,drvlst[[#This Row],[tmp-number]],$O:$O, "FL And dev",$V:$V, "&lt;&gt;IntegratorComment"))</f>
        <v/>
      </c>
      <c r="U336" s="7" t="str">
        <f>IF(OR(ISNUMBER(FIND("Review-1", drvlst[[#This Row],[comments]])), ISNUMBER(FIND("Approver-1", drvlst[[#This Row],[comments]]))), "Review-1", "")</f>
        <v>Review-1</v>
      </c>
      <c r="V336" s="7" t="str">
        <f>IF(OR(ISNUMBER(FIND(": Integrator", drvlst[[#This Row],[comments]])), ISNUMBER(FIND(":\n\nIntegrator", drvlst[[#This Row],[comments]])), ISNUMBER(FIND("-Integrator", drvlst[[#This Row],[comments]]))), "IntegratorComment", "")</f>
        <v/>
      </c>
      <c r="W336" s="7" t="str">
        <f>IF(ISBLANK(drvlst[[#This Row],[status]]),W335,drvlst[[#This Row],[status]])</f>
        <v>ABANDONED</v>
      </c>
    </row>
    <row r="337" spans="1:23">
      <c r="A337" s="7">
        <f>IF(ISBLANK(drvlst[[#This Row],[number]]),A336,drvlst[[#This Row],[number]])</f>
        <v>97762</v>
      </c>
      <c r="J337" t="s">
        <v>38</v>
      </c>
      <c r="K337" s="8">
        <v>42395.622164351851</v>
      </c>
      <c r="L337" t="s">
        <v>37</v>
      </c>
      <c r="M337" s="7" t="str">
        <f>IF(ISBLANK(drvlst[[#This Row],[owner.emal]]),M336,drvlst[[#This Row],[owner.emal]])</f>
        <v>yunliang.ding@intel.com</v>
      </c>
      <c r="N337" s="7">
        <f>_xlfn.IFNA(VLOOKUP(drvlst[[#This Row],[tmp-owner.email]],OrgTree!$A:$J, 10, 0), "not ICG SWFW")</f>
        <v>0</v>
      </c>
      <c r="O337" s="7" t="str">
        <f>IF(drvlst[[#This Row],[reviewer]]=drvlst[[#This Row],[tmp-owner.email]], "author", _xlfn.IFNA(VLOOKUP(drvlst[[#This Row],[reviewer]],OrgTree!$A:$J, 10, 0), "not ICG SWFW"))</f>
        <v>author</v>
      </c>
      <c r="P337" s="7" t="str">
        <f>IF(ISBLANK(drvlst[[#This Row],[number]]), "",SUM(drvlst[[#This Row],[BJ -1 num]],drvlst[[#This Row],[FI -1 num]]))</f>
        <v/>
      </c>
      <c r="Q337" s="7" t="str">
        <f>IF(ISBLANK(drvlst[[#This Row],[number]]), "",COUNTIFS($A:$A,drvlst[[#This Row],[tmp-number]],$O:$O, "BJ And dev",$U:$U, "Review-1"))</f>
        <v/>
      </c>
      <c r="R337" s="7" t="str">
        <f>IF(ISBLANK(drvlst[[#This Row],[number]]), "",COUNTIFS($A:$A,drvlst[[#This Row],[tmp-number]],$O:$O, "FL And dev",$U:$U, "Review-1"))</f>
        <v/>
      </c>
      <c r="S337" s="7" t="str">
        <f>IF(ISBLANK(drvlst[[#This Row],[number]]), "",COUNTIFS($A:$A,drvlst[[#This Row],[tmp-number]],$O:$O, "BJ And dev",$V:$V, "&lt;&gt;IntegratorComment"))</f>
        <v/>
      </c>
      <c r="T337" s="7" t="str">
        <f>IF(ISBLANK(drvlst[[#This Row],[number]]), "",COUNTIFS($A:$A,drvlst[[#This Row],[tmp-number]],$O:$O, "FL And dev",$V:$V, "&lt;&gt;IntegratorComment"))</f>
        <v/>
      </c>
      <c r="U337" s="7" t="str">
        <f>IF(OR(ISNUMBER(FIND("Review-1", drvlst[[#This Row],[comments]])), ISNUMBER(FIND("Approver-1", drvlst[[#This Row],[comments]]))), "Review-1", "")</f>
        <v/>
      </c>
      <c r="V337" s="7" t="str">
        <f>IF(OR(ISNUMBER(FIND(": Integrator", drvlst[[#This Row],[comments]])), ISNUMBER(FIND(":\n\nIntegrator", drvlst[[#This Row],[comments]])), ISNUMBER(FIND("-Integrator", drvlst[[#This Row],[comments]]))), "IntegratorComment", "")</f>
        <v/>
      </c>
      <c r="W337" s="7" t="str">
        <f>IF(ISBLANK(drvlst[[#This Row],[status]]),W336,drvlst[[#This Row],[status]])</f>
        <v>ABANDONED</v>
      </c>
    </row>
    <row r="338" spans="1:23">
      <c r="A338" s="7">
        <f>IF(ISBLANK(drvlst[[#This Row],[number]]),A337,drvlst[[#This Row],[number]])</f>
        <v>97149</v>
      </c>
      <c r="B338">
        <v>97149</v>
      </c>
      <c r="C338" t="s">
        <v>84</v>
      </c>
      <c r="D338" t="s">
        <v>1879</v>
      </c>
      <c r="E338" t="s">
        <v>23</v>
      </c>
      <c r="F338" t="s">
        <v>2002</v>
      </c>
      <c r="G338" t="s">
        <v>2003</v>
      </c>
      <c r="H338" s="8">
        <v>42391.29519675926</v>
      </c>
      <c r="I338" s="8">
        <v>42394.613391203704</v>
      </c>
      <c r="J338" t="s">
        <v>1879</v>
      </c>
      <c r="K338" s="8">
        <v>42391.29519675926</v>
      </c>
      <c r="L338" t="s">
        <v>25</v>
      </c>
      <c r="M338" s="7" t="str">
        <f>IF(ISBLANK(drvlst[[#This Row],[owner.emal]]),M337,drvlst[[#This Row],[owner.emal]])</f>
        <v>icgvert@intel.com</v>
      </c>
      <c r="N338" s="7" t="str">
        <f>_xlfn.IFNA(VLOOKUP(drvlst[[#This Row],[tmp-owner.email]],OrgTree!$A:$J, 10, 0), "not ICG SWFW")</f>
        <v>not ICG SWFW</v>
      </c>
      <c r="O338" s="7" t="str">
        <f>IF(drvlst[[#This Row],[reviewer]]=drvlst[[#This Row],[tmp-owner.email]], "author", _xlfn.IFNA(VLOOKUP(drvlst[[#This Row],[reviewer]],OrgTree!$A:$J, 10, 0), "not ICG SWFW"))</f>
        <v>author</v>
      </c>
      <c r="P338" s="7">
        <f>IF(ISBLANK(drvlst[[#This Row],[number]]), "",SUM(drvlst[[#This Row],[BJ -1 num]],drvlst[[#This Row],[FI -1 num]]))</f>
        <v>0</v>
      </c>
      <c r="Q338" s="7">
        <f>IF(ISBLANK(drvlst[[#This Row],[number]]), "",COUNTIFS($A:$A,drvlst[[#This Row],[tmp-number]],$O:$O, "BJ And dev",$U:$U, "Review-1"))</f>
        <v>0</v>
      </c>
      <c r="R338" s="7">
        <f>IF(ISBLANK(drvlst[[#This Row],[number]]), "",COUNTIFS($A:$A,drvlst[[#This Row],[tmp-number]],$O:$O, "FL And dev",$U:$U, "Review-1"))</f>
        <v>0</v>
      </c>
      <c r="S338" s="7">
        <f>IF(ISBLANK(drvlst[[#This Row],[number]]), "",COUNTIFS($A:$A,drvlst[[#This Row],[tmp-number]],$O:$O, "BJ And dev",$V:$V, "&lt;&gt;IntegratorComment"))</f>
        <v>0</v>
      </c>
      <c r="T338" s="7">
        <f>IF(ISBLANK(drvlst[[#This Row],[number]]), "",COUNTIFS($A:$A,drvlst[[#This Row],[tmp-number]],$O:$O, "FL And dev",$V:$V, "&lt;&gt;IntegratorComment"))</f>
        <v>0</v>
      </c>
      <c r="U338" s="7" t="str">
        <f>IF(OR(ISNUMBER(FIND("Review-1", drvlst[[#This Row],[comments]])), ISNUMBER(FIND("Approver-1", drvlst[[#This Row],[comments]]))), "Review-1", "")</f>
        <v/>
      </c>
      <c r="V338" s="7" t="str">
        <f>IF(OR(ISNUMBER(FIND(": Integrator", drvlst[[#This Row],[comments]])), ISNUMBER(FIND(":\n\nIntegrator", drvlst[[#This Row],[comments]])), ISNUMBER(FIND("-Integrator", drvlst[[#This Row],[comments]]))), "IntegratorComment", "")</f>
        <v/>
      </c>
      <c r="W338" s="7" t="str">
        <f>IF(ISBLANK(drvlst[[#This Row],[status]]),W337,drvlst[[#This Row],[status]])</f>
        <v>MERGED</v>
      </c>
    </row>
    <row r="339" spans="1:23">
      <c r="A339" s="7">
        <f>IF(ISBLANK(drvlst[[#This Row],[number]]),A338,drvlst[[#This Row],[number]])</f>
        <v>97149</v>
      </c>
      <c r="J339" t="s">
        <v>1879</v>
      </c>
      <c r="K339" s="8">
        <v>42391.29519675926</v>
      </c>
      <c r="L339" t="s">
        <v>1851</v>
      </c>
      <c r="M339" s="7" t="str">
        <f>IF(ISBLANK(drvlst[[#This Row],[owner.emal]]),M338,drvlst[[#This Row],[owner.emal]])</f>
        <v>icgvert@intel.com</v>
      </c>
      <c r="N339" s="7" t="str">
        <f>_xlfn.IFNA(VLOOKUP(drvlst[[#This Row],[tmp-owner.email]],OrgTree!$A:$J, 10, 0), "not ICG SWFW")</f>
        <v>not ICG SWFW</v>
      </c>
      <c r="O339" s="7" t="str">
        <f>IF(drvlst[[#This Row],[reviewer]]=drvlst[[#This Row],[tmp-owner.email]], "author", _xlfn.IFNA(VLOOKUP(drvlst[[#This Row],[reviewer]],OrgTree!$A:$J, 10, 0), "not ICG SWFW"))</f>
        <v>author</v>
      </c>
      <c r="P339" s="7" t="str">
        <f>IF(ISBLANK(drvlst[[#This Row],[number]]), "",SUM(drvlst[[#This Row],[BJ -1 num]],drvlst[[#This Row],[FI -1 num]]))</f>
        <v/>
      </c>
      <c r="Q339" s="7" t="str">
        <f>IF(ISBLANK(drvlst[[#This Row],[number]]), "",COUNTIFS($A:$A,drvlst[[#This Row],[tmp-number]],$O:$O, "BJ And dev",$U:$U, "Review-1"))</f>
        <v/>
      </c>
      <c r="R339" s="7" t="str">
        <f>IF(ISBLANK(drvlst[[#This Row],[number]]), "",COUNTIFS($A:$A,drvlst[[#This Row],[tmp-number]],$O:$O, "FL And dev",$U:$U, "Review-1"))</f>
        <v/>
      </c>
      <c r="S339" s="7" t="str">
        <f>IF(ISBLANK(drvlst[[#This Row],[number]]), "",COUNTIFS($A:$A,drvlst[[#This Row],[tmp-number]],$O:$O, "BJ And dev",$V:$V, "&lt;&gt;IntegratorComment"))</f>
        <v/>
      </c>
      <c r="T339" s="7" t="str">
        <f>IF(ISBLANK(drvlst[[#This Row],[number]]), "",COUNTIFS($A:$A,drvlst[[#This Row],[tmp-number]],$O:$O, "FL And dev",$V:$V, "&lt;&gt;IntegratorComment"))</f>
        <v/>
      </c>
      <c r="U339" s="7" t="str">
        <f>IF(OR(ISNUMBER(FIND("Review-1", drvlst[[#This Row],[comments]])), ISNUMBER(FIND("Approver-1", drvlst[[#This Row],[comments]]))), "Review-1", "")</f>
        <v/>
      </c>
      <c r="V339" s="7" t="str">
        <f>IF(OR(ISNUMBER(FIND(": Integrator", drvlst[[#This Row],[comments]])), ISNUMBER(FIND(":\n\nIntegrator", drvlst[[#This Row],[comments]])), ISNUMBER(FIND("-Integrator", drvlst[[#This Row],[comments]]))), "IntegratorComment", "")</f>
        <v/>
      </c>
      <c r="W339" s="7" t="str">
        <f>IF(ISBLANK(drvlst[[#This Row],[status]]),W338,drvlst[[#This Row],[status]])</f>
        <v>MERGED</v>
      </c>
    </row>
    <row r="340" spans="1:23">
      <c r="A340" s="7">
        <f>IF(ISBLANK(drvlst[[#This Row],[number]]),A339,drvlst[[#This Row],[number]])</f>
        <v>97149</v>
      </c>
      <c r="J340" t="s">
        <v>1879</v>
      </c>
      <c r="K340" s="8">
        <v>42391.403263888889</v>
      </c>
      <c r="L340" t="s">
        <v>65</v>
      </c>
      <c r="M340" s="7" t="str">
        <f>IF(ISBLANK(drvlst[[#This Row],[owner.emal]]),M339,drvlst[[#This Row],[owner.emal]])</f>
        <v>icgvert@intel.com</v>
      </c>
      <c r="N340" s="7" t="str">
        <f>_xlfn.IFNA(VLOOKUP(drvlst[[#This Row],[tmp-owner.email]],OrgTree!$A:$J, 10, 0), "not ICG SWFW")</f>
        <v>not ICG SWFW</v>
      </c>
      <c r="O340" s="7" t="str">
        <f>IF(drvlst[[#This Row],[reviewer]]=drvlst[[#This Row],[tmp-owner.email]], "author", _xlfn.IFNA(VLOOKUP(drvlst[[#This Row],[reviewer]],OrgTree!$A:$J, 10, 0), "not ICG SWFW"))</f>
        <v>author</v>
      </c>
      <c r="P340" s="7" t="str">
        <f>IF(ISBLANK(drvlst[[#This Row],[number]]), "",SUM(drvlst[[#This Row],[BJ -1 num]],drvlst[[#This Row],[FI -1 num]]))</f>
        <v/>
      </c>
      <c r="Q340" s="7" t="str">
        <f>IF(ISBLANK(drvlst[[#This Row],[number]]), "",COUNTIFS($A:$A,drvlst[[#This Row],[tmp-number]],$O:$O, "BJ And dev",$U:$U, "Review-1"))</f>
        <v/>
      </c>
      <c r="R340" s="7" t="str">
        <f>IF(ISBLANK(drvlst[[#This Row],[number]]), "",COUNTIFS($A:$A,drvlst[[#This Row],[tmp-number]],$O:$O, "FL And dev",$U:$U, "Review-1"))</f>
        <v/>
      </c>
      <c r="S340" s="7" t="str">
        <f>IF(ISBLANK(drvlst[[#This Row],[number]]), "",COUNTIFS($A:$A,drvlst[[#This Row],[tmp-number]],$O:$O, "BJ And dev",$V:$V, "&lt;&gt;IntegratorComment"))</f>
        <v/>
      </c>
      <c r="T340" s="7" t="str">
        <f>IF(ISBLANK(drvlst[[#This Row],[number]]), "",COUNTIFS($A:$A,drvlst[[#This Row],[tmp-number]],$O:$O, "FL And dev",$V:$V, "&lt;&gt;IntegratorComment"))</f>
        <v/>
      </c>
      <c r="U340" s="7" t="str">
        <f>IF(OR(ISNUMBER(FIND("Review-1", drvlst[[#This Row],[comments]])), ISNUMBER(FIND("Approver-1", drvlst[[#This Row],[comments]]))), "Review-1", "")</f>
        <v/>
      </c>
      <c r="V340" s="7" t="str">
        <f>IF(OR(ISNUMBER(FIND(": Integrator", drvlst[[#This Row],[comments]])), ISNUMBER(FIND(":\n\nIntegrator", drvlst[[#This Row],[comments]])), ISNUMBER(FIND("-Integrator", drvlst[[#This Row],[comments]]))), "IntegratorComment", "")</f>
        <v/>
      </c>
      <c r="W340" s="7" t="str">
        <f>IF(ISBLANK(drvlst[[#This Row],[status]]),W339,drvlst[[#This Row],[status]])</f>
        <v>MERGED</v>
      </c>
    </row>
    <row r="341" spans="1:23">
      <c r="A341" s="7">
        <f>IF(ISBLANK(drvlst[[#This Row],[number]]),A340,drvlst[[#This Row],[number]])</f>
        <v>97149</v>
      </c>
      <c r="J341" t="s">
        <v>1879</v>
      </c>
      <c r="K341" s="8">
        <v>42391.403263888889</v>
      </c>
      <c r="L341" t="s">
        <v>92</v>
      </c>
      <c r="M341" s="7" t="str">
        <f>IF(ISBLANK(drvlst[[#This Row],[owner.emal]]),M340,drvlst[[#This Row],[owner.emal]])</f>
        <v>icgvert@intel.com</v>
      </c>
      <c r="N341" s="7" t="str">
        <f>_xlfn.IFNA(VLOOKUP(drvlst[[#This Row],[tmp-owner.email]],OrgTree!$A:$J, 10, 0), "not ICG SWFW")</f>
        <v>not ICG SWFW</v>
      </c>
      <c r="O341" s="7" t="str">
        <f>IF(drvlst[[#This Row],[reviewer]]=drvlst[[#This Row],[tmp-owner.email]], "author", _xlfn.IFNA(VLOOKUP(drvlst[[#This Row],[reviewer]],OrgTree!$A:$J, 10, 0), "not ICG SWFW"))</f>
        <v>author</v>
      </c>
      <c r="P341" s="7" t="str">
        <f>IF(ISBLANK(drvlst[[#This Row],[number]]), "",SUM(drvlst[[#This Row],[BJ -1 num]],drvlst[[#This Row],[FI -1 num]]))</f>
        <v/>
      </c>
      <c r="Q341" s="7" t="str">
        <f>IF(ISBLANK(drvlst[[#This Row],[number]]), "",COUNTIFS($A:$A,drvlst[[#This Row],[tmp-number]],$O:$O, "BJ And dev",$U:$U, "Review-1"))</f>
        <v/>
      </c>
      <c r="R341" s="7" t="str">
        <f>IF(ISBLANK(drvlst[[#This Row],[number]]), "",COUNTIFS($A:$A,drvlst[[#This Row],[tmp-number]],$O:$O, "FL And dev",$U:$U, "Review-1"))</f>
        <v/>
      </c>
      <c r="S341" s="7" t="str">
        <f>IF(ISBLANK(drvlst[[#This Row],[number]]), "",COUNTIFS($A:$A,drvlst[[#This Row],[tmp-number]],$O:$O, "BJ And dev",$V:$V, "&lt;&gt;IntegratorComment"))</f>
        <v/>
      </c>
      <c r="T341" s="7" t="str">
        <f>IF(ISBLANK(drvlst[[#This Row],[number]]), "",COUNTIFS($A:$A,drvlst[[#This Row],[tmp-number]],$O:$O, "FL And dev",$V:$V, "&lt;&gt;IntegratorComment"))</f>
        <v/>
      </c>
      <c r="U341" s="7" t="str">
        <f>IF(OR(ISNUMBER(FIND("Review-1", drvlst[[#This Row],[comments]])), ISNUMBER(FIND("Approver-1", drvlst[[#This Row],[comments]]))), "Review-1", "")</f>
        <v/>
      </c>
      <c r="V341" s="7" t="str">
        <f>IF(OR(ISNUMBER(FIND(": Integrator", drvlst[[#This Row],[comments]])), ISNUMBER(FIND(":\n\nIntegrator", drvlst[[#This Row],[comments]])), ISNUMBER(FIND("-Integrator", drvlst[[#This Row],[comments]]))), "IntegratorComment", "")</f>
        <v/>
      </c>
      <c r="W341" s="7" t="str">
        <f>IF(ISBLANK(drvlst[[#This Row],[status]]),W340,drvlst[[#This Row],[status]])</f>
        <v>MERGED</v>
      </c>
    </row>
    <row r="342" spans="1:23">
      <c r="A342" s="7">
        <f>IF(ISBLANK(drvlst[[#This Row],[number]]),A341,drvlst[[#This Row],[number]])</f>
        <v>97149</v>
      </c>
      <c r="J342" t="s">
        <v>102</v>
      </c>
      <c r="K342" s="8">
        <v>42391.403981481482</v>
      </c>
      <c r="L342" t="s">
        <v>27</v>
      </c>
      <c r="M342" s="7" t="str">
        <f>IF(ISBLANK(drvlst[[#This Row],[owner.emal]]),M341,drvlst[[#This Row],[owner.emal]])</f>
        <v>icgvert@intel.com</v>
      </c>
      <c r="N342" s="7" t="str">
        <f>_xlfn.IFNA(VLOOKUP(drvlst[[#This Row],[tmp-owner.email]],OrgTree!$A:$J, 10, 0), "not ICG SWFW")</f>
        <v>not ICG SWFW</v>
      </c>
      <c r="O342" s="7">
        <f>IF(drvlst[[#This Row],[reviewer]]=drvlst[[#This Row],[tmp-owner.email]], "author", _xlfn.IFNA(VLOOKUP(drvlst[[#This Row],[reviewer]],OrgTree!$A:$J, 10, 0), "not ICG SWFW"))</f>
        <v>0</v>
      </c>
      <c r="P342" s="7" t="str">
        <f>IF(ISBLANK(drvlst[[#This Row],[number]]), "",SUM(drvlst[[#This Row],[BJ -1 num]],drvlst[[#This Row],[FI -1 num]]))</f>
        <v/>
      </c>
      <c r="Q342" s="7" t="str">
        <f>IF(ISBLANK(drvlst[[#This Row],[number]]), "",COUNTIFS($A:$A,drvlst[[#This Row],[tmp-number]],$O:$O, "BJ And dev",$U:$U, "Review-1"))</f>
        <v/>
      </c>
      <c r="R342" s="7" t="str">
        <f>IF(ISBLANK(drvlst[[#This Row],[number]]), "",COUNTIFS($A:$A,drvlst[[#This Row],[tmp-number]],$O:$O, "FL And dev",$U:$U, "Review-1"))</f>
        <v/>
      </c>
      <c r="S342" s="7" t="str">
        <f>IF(ISBLANK(drvlst[[#This Row],[number]]), "",COUNTIFS($A:$A,drvlst[[#This Row],[tmp-number]],$O:$O, "BJ And dev",$V:$V, "&lt;&gt;IntegratorComment"))</f>
        <v/>
      </c>
      <c r="T342" s="7" t="str">
        <f>IF(ISBLANK(drvlst[[#This Row],[number]]), "",COUNTIFS($A:$A,drvlst[[#This Row],[tmp-number]],$O:$O, "FL And dev",$V:$V, "&lt;&gt;IntegratorComment"))</f>
        <v/>
      </c>
      <c r="U342" s="7" t="str">
        <f>IF(OR(ISNUMBER(FIND("Review-1", drvlst[[#This Row],[comments]])), ISNUMBER(FIND("Approver-1", drvlst[[#This Row],[comments]]))), "Review-1", "")</f>
        <v/>
      </c>
      <c r="V342" s="7" t="str">
        <f>IF(OR(ISNUMBER(FIND(": Integrator", drvlst[[#This Row],[comments]])), ISNUMBER(FIND(":\n\nIntegrator", drvlst[[#This Row],[comments]])), ISNUMBER(FIND("-Integrator", drvlst[[#This Row],[comments]]))), "IntegratorComment", "")</f>
        <v/>
      </c>
      <c r="W342" s="7" t="str">
        <f>IF(ISBLANK(drvlst[[#This Row],[status]]),W341,drvlst[[#This Row],[status]])</f>
        <v>MERGED</v>
      </c>
    </row>
    <row r="343" spans="1:23">
      <c r="A343" s="7">
        <f>IF(ISBLANK(drvlst[[#This Row],[number]]),A342,drvlst[[#This Row],[number]])</f>
        <v>97149</v>
      </c>
      <c r="J343" t="s">
        <v>34</v>
      </c>
      <c r="K343" s="8">
        <v>42391.421516203707</v>
      </c>
      <c r="L343" t="s">
        <v>42</v>
      </c>
      <c r="M343" s="7" t="str">
        <f>IF(ISBLANK(drvlst[[#This Row],[owner.emal]]),M342,drvlst[[#This Row],[owner.emal]])</f>
        <v>icgvert@intel.com</v>
      </c>
      <c r="N343" s="7" t="str">
        <f>_xlfn.IFNA(VLOOKUP(drvlst[[#This Row],[tmp-owner.email]],OrgTree!$A:$J, 10, 0), "not ICG SWFW")</f>
        <v>not ICG SWFW</v>
      </c>
      <c r="O343" s="7">
        <f>IF(drvlst[[#This Row],[reviewer]]=drvlst[[#This Row],[tmp-owner.email]], "author", _xlfn.IFNA(VLOOKUP(drvlst[[#This Row],[reviewer]],OrgTree!$A:$J, 10, 0), "not ICG SWFW"))</f>
        <v>0</v>
      </c>
      <c r="P343" s="7" t="str">
        <f>IF(ISBLANK(drvlst[[#This Row],[number]]), "",SUM(drvlst[[#This Row],[BJ -1 num]],drvlst[[#This Row],[FI -1 num]]))</f>
        <v/>
      </c>
      <c r="Q343" s="7" t="str">
        <f>IF(ISBLANK(drvlst[[#This Row],[number]]), "",COUNTIFS($A:$A,drvlst[[#This Row],[tmp-number]],$O:$O, "BJ And dev",$U:$U, "Review-1"))</f>
        <v/>
      </c>
      <c r="R343" s="7" t="str">
        <f>IF(ISBLANK(drvlst[[#This Row],[number]]), "",COUNTIFS($A:$A,drvlst[[#This Row],[tmp-number]],$O:$O, "FL And dev",$U:$U, "Review-1"))</f>
        <v/>
      </c>
      <c r="S343" s="7" t="str">
        <f>IF(ISBLANK(drvlst[[#This Row],[number]]), "",COUNTIFS($A:$A,drvlst[[#This Row],[tmp-number]],$O:$O, "BJ And dev",$V:$V, "&lt;&gt;IntegratorComment"))</f>
        <v/>
      </c>
      <c r="T343" s="7" t="str">
        <f>IF(ISBLANK(drvlst[[#This Row],[number]]), "",COUNTIFS($A:$A,drvlst[[#This Row],[tmp-number]],$O:$O, "FL And dev",$V:$V, "&lt;&gt;IntegratorComment"))</f>
        <v/>
      </c>
      <c r="U343" s="7" t="str">
        <f>IF(OR(ISNUMBER(FIND("Review-1", drvlst[[#This Row],[comments]])), ISNUMBER(FIND("Approver-1", drvlst[[#This Row],[comments]]))), "Review-1", "")</f>
        <v/>
      </c>
      <c r="V343" s="7" t="str">
        <f>IF(OR(ISNUMBER(FIND(": Integrator", drvlst[[#This Row],[comments]])), ISNUMBER(FIND(":\n\nIntegrator", drvlst[[#This Row],[comments]])), ISNUMBER(FIND("-Integrator", drvlst[[#This Row],[comments]]))), "IntegratorComment", "")</f>
        <v/>
      </c>
      <c r="W343" s="7" t="str">
        <f>IF(ISBLANK(drvlst[[#This Row],[status]]),W342,drvlst[[#This Row],[status]])</f>
        <v>MERGED</v>
      </c>
    </row>
    <row r="344" spans="1:23">
      <c r="A344" s="7">
        <f>IF(ISBLANK(drvlst[[#This Row],[number]]),A343,drvlst[[#This Row],[number]])</f>
        <v>97149</v>
      </c>
      <c r="J344" t="s">
        <v>34</v>
      </c>
      <c r="K344" s="8">
        <v>42391.593599537038</v>
      </c>
      <c r="L344" t="s">
        <v>93</v>
      </c>
      <c r="M344" s="7" t="str">
        <f>IF(ISBLANK(drvlst[[#This Row],[owner.emal]]),M343,drvlst[[#This Row],[owner.emal]])</f>
        <v>icgvert@intel.com</v>
      </c>
      <c r="N344" s="7" t="str">
        <f>_xlfn.IFNA(VLOOKUP(drvlst[[#This Row],[tmp-owner.email]],OrgTree!$A:$J, 10, 0), "not ICG SWFW")</f>
        <v>not ICG SWFW</v>
      </c>
      <c r="O344" s="7">
        <f>IF(drvlst[[#This Row],[reviewer]]=drvlst[[#This Row],[tmp-owner.email]], "author", _xlfn.IFNA(VLOOKUP(drvlst[[#This Row],[reviewer]],OrgTree!$A:$J, 10, 0), "not ICG SWFW"))</f>
        <v>0</v>
      </c>
      <c r="P344" s="7" t="str">
        <f>IF(ISBLANK(drvlst[[#This Row],[number]]), "",SUM(drvlst[[#This Row],[BJ -1 num]],drvlst[[#This Row],[FI -1 num]]))</f>
        <v/>
      </c>
      <c r="Q344" s="7" t="str">
        <f>IF(ISBLANK(drvlst[[#This Row],[number]]), "",COUNTIFS($A:$A,drvlst[[#This Row],[tmp-number]],$O:$O, "BJ And dev",$U:$U, "Review-1"))</f>
        <v/>
      </c>
      <c r="R344" s="7" t="str">
        <f>IF(ISBLANK(drvlst[[#This Row],[number]]), "",COUNTIFS($A:$A,drvlst[[#This Row],[tmp-number]],$O:$O, "FL And dev",$U:$U, "Review-1"))</f>
        <v/>
      </c>
      <c r="S344" s="7" t="str">
        <f>IF(ISBLANK(drvlst[[#This Row],[number]]), "",COUNTIFS($A:$A,drvlst[[#This Row],[tmp-number]],$O:$O, "BJ And dev",$V:$V, "&lt;&gt;IntegratorComment"))</f>
        <v/>
      </c>
      <c r="T344" s="7" t="str">
        <f>IF(ISBLANK(drvlst[[#This Row],[number]]), "",COUNTIFS($A:$A,drvlst[[#This Row],[tmp-number]],$O:$O, "FL And dev",$V:$V, "&lt;&gt;IntegratorComment"))</f>
        <v/>
      </c>
      <c r="U344" s="7" t="str">
        <f>IF(OR(ISNUMBER(FIND("Review-1", drvlst[[#This Row],[comments]])), ISNUMBER(FIND("Approver-1", drvlst[[#This Row],[comments]]))), "Review-1", "")</f>
        <v/>
      </c>
      <c r="V344" s="7" t="str">
        <f>IF(OR(ISNUMBER(FIND(": Integrator", drvlst[[#This Row],[comments]])), ISNUMBER(FIND(":\n\nIntegrator", drvlst[[#This Row],[comments]])), ISNUMBER(FIND("-Integrator", drvlst[[#This Row],[comments]]))), "IntegratorComment", "")</f>
        <v>IntegratorComment</v>
      </c>
      <c r="W344" s="7" t="str">
        <f>IF(ISBLANK(drvlst[[#This Row],[status]]),W343,drvlst[[#This Row],[status]])</f>
        <v>MERGED</v>
      </c>
    </row>
    <row r="345" spans="1:23">
      <c r="A345" s="7">
        <f>IF(ISBLANK(drvlst[[#This Row],[number]]),A344,drvlst[[#This Row],[number]])</f>
        <v>97149</v>
      </c>
      <c r="J345" t="s">
        <v>34</v>
      </c>
      <c r="K345" s="8">
        <v>42391.747777777775</v>
      </c>
      <c r="L345" t="s">
        <v>94</v>
      </c>
      <c r="M345" s="7" t="str">
        <f>IF(ISBLANK(drvlst[[#This Row],[owner.emal]]),M344,drvlst[[#This Row],[owner.emal]])</f>
        <v>icgvert@intel.com</v>
      </c>
      <c r="N345" s="7" t="str">
        <f>_xlfn.IFNA(VLOOKUP(drvlst[[#This Row],[tmp-owner.email]],OrgTree!$A:$J, 10, 0), "not ICG SWFW")</f>
        <v>not ICG SWFW</v>
      </c>
      <c r="O345" s="7">
        <f>IF(drvlst[[#This Row],[reviewer]]=drvlst[[#This Row],[tmp-owner.email]], "author", _xlfn.IFNA(VLOOKUP(drvlst[[#This Row],[reviewer]],OrgTree!$A:$J, 10, 0), "not ICG SWFW"))</f>
        <v>0</v>
      </c>
      <c r="P345" s="7" t="str">
        <f>IF(ISBLANK(drvlst[[#This Row],[number]]), "",SUM(drvlst[[#This Row],[BJ -1 num]],drvlst[[#This Row],[FI -1 num]]))</f>
        <v/>
      </c>
      <c r="Q345" s="7" t="str">
        <f>IF(ISBLANK(drvlst[[#This Row],[number]]), "",COUNTIFS($A:$A,drvlst[[#This Row],[tmp-number]],$O:$O, "BJ And dev",$U:$U, "Review-1"))</f>
        <v/>
      </c>
      <c r="R345" s="7" t="str">
        <f>IF(ISBLANK(drvlst[[#This Row],[number]]), "",COUNTIFS($A:$A,drvlst[[#This Row],[tmp-number]],$O:$O, "FL And dev",$U:$U, "Review-1"))</f>
        <v/>
      </c>
      <c r="S345" s="7" t="str">
        <f>IF(ISBLANK(drvlst[[#This Row],[number]]), "",COUNTIFS($A:$A,drvlst[[#This Row],[tmp-number]],$O:$O, "BJ And dev",$V:$V, "&lt;&gt;IntegratorComment"))</f>
        <v/>
      </c>
      <c r="T345" s="7" t="str">
        <f>IF(ISBLANK(drvlst[[#This Row],[number]]), "",COUNTIFS($A:$A,drvlst[[#This Row],[tmp-number]],$O:$O, "FL And dev",$V:$V, "&lt;&gt;IntegratorComment"))</f>
        <v/>
      </c>
      <c r="U345" s="7" t="str">
        <f>IF(OR(ISNUMBER(FIND("Review-1", drvlst[[#This Row],[comments]])), ISNUMBER(FIND("Approver-1", drvlst[[#This Row],[comments]]))), "Review-1", "")</f>
        <v/>
      </c>
      <c r="V345" s="7" t="str">
        <f>IF(OR(ISNUMBER(FIND(": Integrator", drvlst[[#This Row],[comments]])), ISNUMBER(FIND(":\n\nIntegrator", drvlst[[#This Row],[comments]])), ISNUMBER(FIND("-Integrator", drvlst[[#This Row],[comments]]))), "IntegratorComment", "")</f>
        <v/>
      </c>
      <c r="W345" s="7" t="str">
        <f>IF(ISBLANK(drvlst[[#This Row],[status]]),W344,drvlst[[#This Row],[status]])</f>
        <v>MERGED</v>
      </c>
    </row>
    <row r="346" spans="1:23">
      <c r="A346" s="7">
        <f>IF(ISBLANK(drvlst[[#This Row],[number]]),A345,drvlst[[#This Row],[number]])</f>
        <v>97149</v>
      </c>
      <c r="J346" t="s">
        <v>34</v>
      </c>
      <c r="K346" s="8">
        <v>42391.809155092589</v>
      </c>
      <c r="L346" t="s">
        <v>95</v>
      </c>
      <c r="M346" s="7" t="str">
        <f>IF(ISBLANK(drvlst[[#This Row],[owner.emal]]),M345,drvlst[[#This Row],[owner.emal]])</f>
        <v>icgvert@intel.com</v>
      </c>
      <c r="N346" s="7" t="str">
        <f>_xlfn.IFNA(VLOOKUP(drvlst[[#This Row],[tmp-owner.email]],OrgTree!$A:$J, 10, 0), "not ICG SWFW")</f>
        <v>not ICG SWFW</v>
      </c>
      <c r="O346" s="7">
        <f>IF(drvlst[[#This Row],[reviewer]]=drvlst[[#This Row],[tmp-owner.email]], "author", _xlfn.IFNA(VLOOKUP(drvlst[[#This Row],[reviewer]],OrgTree!$A:$J, 10, 0), "not ICG SWFW"))</f>
        <v>0</v>
      </c>
      <c r="P346" s="7" t="str">
        <f>IF(ISBLANK(drvlst[[#This Row],[number]]), "",SUM(drvlst[[#This Row],[BJ -1 num]],drvlst[[#This Row],[FI -1 num]]))</f>
        <v/>
      </c>
      <c r="Q346" s="7" t="str">
        <f>IF(ISBLANK(drvlst[[#This Row],[number]]), "",COUNTIFS($A:$A,drvlst[[#This Row],[tmp-number]],$O:$O, "BJ And dev",$U:$U, "Review-1"))</f>
        <v/>
      </c>
      <c r="R346" s="7" t="str">
        <f>IF(ISBLANK(drvlst[[#This Row],[number]]), "",COUNTIFS($A:$A,drvlst[[#This Row],[tmp-number]],$O:$O, "FL And dev",$U:$U, "Review-1"))</f>
        <v/>
      </c>
      <c r="S346" s="7" t="str">
        <f>IF(ISBLANK(drvlst[[#This Row],[number]]), "",COUNTIFS($A:$A,drvlst[[#This Row],[tmp-number]],$O:$O, "BJ And dev",$V:$V, "&lt;&gt;IntegratorComment"))</f>
        <v/>
      </c>
      <c r="T346" s="7" t="str">
        <f>IF(ISBLANK(drvlst[[#This Row],[number]]), "",COUNTIFS($A:$A,drvlst[[#This Row],[tmp-number]],$O:$O, "FL And dev",$V:$V, "&lt;&gt;IntegratorComment"))</f>
        <v/>
      </c>
      <c r="U346" s="7" t="str">
        <f>IF(OR(ISNUMBER(FIND("Review-1", drvlst[[#This Row],[comments]])), ISNUMBER(FIND("Approver-1", drvlst[[#This Row],[comments]]))), "Review-1", "")</f>
        <v/>
      </c>
      <c r="V346" s="7" t="str">
        <f>IF(OR(ISNUMBER(FIND(": Integrator", drvlst[[#This Row],[comments]])), ISNUMBER(FIND(":\n\nIntegrator", drvlst[[#This Row],[comments]])), ISNUMBER(FIND("-Integrator", drvlst[[#This Row],[comments]]))), "IntegratorComment", "")</f>
        <v/>
      </c>
      <c r="W346" s="7" t="str">
        <f>IF(ISBLANK(drvlst[[#This Row],[status]]),W345,drvlst[[#This Row],[status]])</f>
        <v>MERGED</v>
      </c>
    </row>
    <row r="347" spans="1:23">
      <c r="A347" s="7">
        <f>IF(ISBLANK(drvlst[[#This Row],[number]]),A346,drvlst[[#This Row],[number]])</f>
        <v>97149</v>
      </c>
      <c r="J347" t="s">
        <v>34</v>
      </c>
      <c r="K347" s="8">
        <v>42391.896296296298</v>
      </c>
      <c r="L347" t="s">
        <v>95</v>
      </c>
      <c r="M347" s="7" t="str">
        <f>IF(ISBLANK(drvlst[[#This Row],[owner.emal]]),M346,drvlst[[#This Row],[owner.emal]])</f>
        <v>icgvert@intel.com</v>
      </c>
      <c r="N347" s="7" t="str">
        <f>_xlfn.IFNA(VLOOKUP(drvlst[[#This Row],[tmp-owner.email]],OrgTree!$A:$J, 10, 0), "not ICG SWFW")</f>
        <v>not ICG SWFW</v>
      </c>
      <c r="O347" s="7">
        <f>IF(drvlst[[#This Row],[reviewer]]=drvlst[[#This Row],[tmp-owner.email]], "author", _xlfn.IFNA(VLOOKUP(drvlst[[#This Row],[reviewer]],OrgTree!$A:$J, 10, 0), "not ICG SWFW"))</f>
        <v>0</v>
      </c>
      <c r="P347" s="7" t="str">
        <f>IF(ISBLANK(drvlst[[#This Row],[number]]), "",SUM(drvlst[[#This Row],[BJ -1 num]],drvlst[[#This Row],[FI -1 num]]))</f>
        <v/>
      </c>
      <c r="Q347" s="7" t="str">
        <f>IF(ISBLANK(drvlst[[#This Row],[number]]), "",COUNTIFS($A:$A,drvlst[[#This Row],[tmp-number]],$O:$O, "BJ And dev",$U:$U, "Review-1"))</f>
        <v/>
      </c>
      <c r="R347" s="7" t="str">
        <f>IF(ISBLANK(drvlst[[#This Row],[number]]), "",COUNTIFS($A:$A,drvlst[[#This Row],[tmp-number]],$O:$O, "FL And dev",$U:$U, "Review-1"))</f>
        <v/>
      </c>
      <c r="S347" s="7" t="str">
        <f>IF(ISBLANK(drvlst[[#This Row],[number]]), "",COUNTIFS($A:$A,drvlst[[#This Row],[tmp-number]],$O:$O, "BJ And dev",$V:$V, "&lt;&gt;IntegratorComment"))</f>
        <v/>
      </c>
      <c r="T347" s="7" t="str">
        <f>IF(ISBLANK(drvlst[[#This Row],[number]]), "",COUNTIFS($A:$A,drvlst[[#This Row],[tmp-number]],$O:$O, "FL And dev",$V:$V, "&lt;&gt;IntegratorComment"))</f>
        <v/>
      </c>
      <c r="U347" s="7" t="str">
        <f>IF(OR(ISNUMBER(FIND("Review-1", drvlst[[#This Row],[comments]])), ISNUMBER(FIND("Approver-1", drvlst[[#This Row],[comments]]))), "Review-1", "")</f>
        <v/>
      </c>
      <c r="V347" s="7" t="str">
        <f>IF(OR(ISNUMBER(FIND(": Integrator", drvlst[[#This Row],[comments]])), ISNUMBER(FIND(":\n\nIntegrator", drvlst[[#This Row],[comments]])), ISNUMBER(FIND("-Integrator", drvlst[[#This Row],[comments]]))), "IntegratorComment", "")</f>
        <v/>
      </c>
      <c r="W347" s="7" t="str">
        <f>IF(ISBLANK(drvlst[[#This Row],[status]]),W346,drvlst[[#This Row],[status]])</f>
        <v>MERGED</v>
      </c>
    </row>
    <row r="348" spans="1:23">
      <c r="A348" s="7">
        <f>IF(ISBLANK(drvlst[[#This Row],[number]]),A347,drvlst[[#This Row],[number]])</f>
        <v>97149</v>
      </c>
      <c r="J348" t="s">
        <v>34</v>
      </c>
      <c r="K348" s="8">
        <v>42392.483229166668</v>
      </c>
      <c r="L348" t="s">
        <v>94</v>
      </c>
      <c r="M348" s="7" t="str">
        <f>IF(ISBLANK(drvlst[[#This Row],[owner.emal]]),M347,drvlst[[#This Row],[owner.emal]])</f>
        <v>icgvert@intel.com</v>
      </c>
      <c r="N348" s="7" t="str">
        <f>_xlfn.IFNA(VLOOKUP(drvlst[[#This Row],[tmp-owner.email]],OrgTree!$A:$J, 10, 0), "not ICG SWFW")</f>
        <v>not ICG SWFW</v>
      </c>
      <c r="O348" s="7">
        <f>IF(drvlst[[#This Row],[reviewer]]=drvlst[[#This Row],[tmp-owner.email]], "author", _xlfn.IFNA(VLOOKUP(drvlst[[#This Row],[reviewer]],OrgTree!$A:$J, 10, 0), "not ICG SWFW"))</f>
        <v>0</v>
      </c>
      <c r="P348" s="7" t="str">
        <f>IF(ISBLANK(drvlst[[#This Row],[number]]), "",SUM(drvlst[[#This Row],[BJ -1 num]],drvlst[[#This Row],[FI -1 num]]))</f>
        <v/>
      </c>
      <c r="Q348" s="7" t="str">
        <f>IF(ISBLANK(drvlst[[#This Row],[number]]), "",COUNTIFS($A:$A,drvlst[[#This Row],[tmp-number]],$O:$O, "BJ And dev",$U:$U, "Review-1"))</f>
        <v/>
      </c>
      <c r="R348" s="7" t="str">
        <f>IF(ISBLANK(drvlst[[#This Row],[number]]), "",COUNTIFS($A:$A,drvlst[[#This Row],[tmp-number]],$O:$O, "FL And dev",$U:$U, "Review-1"))</f>
        <v/>
      </c>
      <c r="S348" s="7" t="str">
        <f>IF(ISBLANK(drvlst[[#This Row],[number]]), "",COUNTIFS($A:$A,drvlst[[#This Row],[tmp-number]],$O:$O, "BJ And dev",$V:$V, "&lt;&gt;IntegratorComment"))</f>
        <v/>
      </c>
      <c r="T348" s="7" t="str">
        <f>IF(ISBLANK(drvlst[[#This Row],[number]]), "",COUNTIFS($A:$A,drvlst[[#This Row],[tmp-number]],$O:$O, "FL And dev",$V:$V, "&lt;&gt;IntegratorComment"))</f>
        <v/>
      </c>
      <c r="U348" s="7" t="str">
        <f>IF(OR(ISNUMBER(FIND("Review-1", drvlst[[#This Row],[comments]])), ISNUMBER(FIND("Approver-1", drvlst[[#This Row],[comments]]))), "Review-1", "")</f>
        <v/>
      </c>
      <c r="V348" s="7" t="str">
        <f>IF(OR(ISNUMBER(FIND(": Integrator", drvlst[[#This Row],[comments]])), ISNUMBER(FIND(":\n\nIntegrator", drvlst[[#This Row],[comments]])), ISNUMBER(FIND("-Integrator", drvlst[[#This Row],[comments]]))), "IntegratorComment", "")</f>
        <v/>
      </c>
      <c r="W348" s="7" t="str">
        <f>IF(ISBLANK(drvlst[[#This Row],[status]]),W347,drvlst[[#This Row],[status]])</f>
        <v>MERGED</v>
      </c>
    </row>
    <row r="349" spans="1:23">
      <c r="A349" s="7">
        <f>IF(ISBLANK(drvlst[[#This Row],[number]]),A348,drvlst[[#This Row],[number]])</f>
        <v>97149</v>
      </c>
      <c r="J349" t="s">
        <v>34</v>
      </c>
      <c r="K349" s="8">
        <v>42394.612083333333</v>
      </c>
      <c r="L349" t="s">
        <v>96</v>
      </c>
      <c r="M349" s="7" t="str">
        <f>IF(ISBLANK(drvlst[[#This Row],[owner.emal]]),M348,drvlst[[#This Row],[owner.emal]])</f>
        <v>icgvert@intel.com</v>
      </c>
      <c r="N349" s="7" t="str">
        <f>_xlfn.IFNA(VLOOKUP(drvlst[[#This Row],[tmp-owner.email]],OrgTree!$A:$J, 10, 0), "not ICG SWFW")</f>
        <v>not ICG SWFW</v>
      </c>
      <c r="O349" s="7">
        <f>IF(drvlst[[#This Row],[reviewer]]=drvlst[[#This Row],[tmp-owner.email]], "author", _xlfn.IFNA(VLOOKUP(drvlst[[#This Row],[reviewer]],OrgTree!$A:$J, 10, 0), "not ICG SWFW"))</f>
        <v>0</v>
      </c>
      <c r="P349" s="7" t="str">
        <f>IF(ISBLANK(drvlst[[#This Row],[number]]), "",SUM(drvlst[[#This Row],[BJ -1 num]],drvlst[[#This Row],[FI -1 num]]))</f>
        <v/>
      </c>
      <c r="Q349" s="7" t="str">
        <f>IF(ISBLANK(drvlst[[#This Row],[number]]), "",COUNTIFS($A:$A,drvlst[[#This Row],[tmp-number]],$O:$O, "BJ And dev",$U:$U, "Review-1"))</f>
        <v/>
      </c>
      <c r="R349" s="7" t="str">
        <f>IF(ISBLANK(drvlst[[#This Row],[number]]), "",COUNTIFS($A:$A,drvlst[[#This Row],[tmp-number]],$O:$O, "FL And dev",$U:$U, "Review-1"))</f>
        <v/>
      </c>
      <c r="S349" s="7" t="str">
        <f>IF(ISBLANK(drvlst[[#This Row],[number]]), "",COUNTIFS($A:$A,drvlst[[#This Row],[tmp-number]],$O:$O, "BJ And dev",$V:$V, "&lt;&gt;IntegratorComment"))</f>
        <v/>
      </c>
      <c r="T349" s="7" t="str">
        <f>IF(ISBLANK(drvlst[[#This Row],[number]]), "",COUNTIFS($A:$A,drvlst[[#This Row],[tmp-number]],$O:$O, "FL And dev",$V:$V, "&lt;&gt;IntegratorComment"))</f>
        <v/>
      </c>
      <c r="U349" s="7" t="str">
        <f>IF(OR(ISNUMBER(FIND("Review-1", drvlst[[#This Row],[comments]])), ISNUMBER(FIND("Approver-1", drvlst[[#This Row],[comments]]))), "Review-1", "")</f>
        <v/>
      </c>
      <c r="V349" s="7" t="str">
        <f>IF(OR(ISNUMBER(FIND(": Integrator", drvlst[[#This Row],[comments]])), ISNUMBER(FIND(":\n\nIntegrator", drvlst[[#This Row],[comments]])), ISNUMBER(FIND("-Integrator", drvlst[[#This Row],[comments]]))), "IntegratorComment", "")</f>
        <v/>
      </c>
      <c r="W349" s="7" t="str">
        <f>IF(ISBLANK(drvlst[[#This Row],[status]]),W348,drvlst[[#This Row],[status]])</f>
        <v>MERGED</v>
      </c>
    </row>
    <row r="350" spans="1:23">
      <c r="A350" s="7">
        <f>IF(ISBLANK(drvlst[[#This Row],[number]]),A349,drvlst[[#This Row],[number]])</f>
        <v>97149</v>
      </c>
      <c r="J350" t="s">
        <v>34</v>
      </c>
      <c r="K350" s="8">
        <v>42394.675682870373</v>
      </c>
      <c r="L350" t="s">
        <v>62</v>
      </c>
      <c r="M350" s="7" t="str">
        <f>IF(ISBLANK(drvlst[[#This Row],[owner.emal]]),M349,drvlst[[#This Row],[owner.emal]])</f>
        <v>icgvert@intel.com</v>
      </c>
      <c r="N350" s="7" t="str">
        <f>_xlfn.IFNA(VLOOKUP(drvlst[[#This Row],[tmp-owner.email]],OrgTree!$A:$J, 10, 0), "not ICG SWFW")</f>
        <v>not ICG SWFW</v>
      </c>
      <c r="O350" s="7">
        <f>IF(drvlst[[#This Row],[reviewer]]=drvlst[[#This Row],[tmp-owner.email]], "author", _xlfn.IFNA(VLOOKUP(drvlst[[#This Row],[reviewer]],OrgTree!$A:$J, 10, 0), "not ICG SWFW"))</f>
        <v>0</v>
      </c>
      <c r="P350" s="7" t="str">
        <f>IF(ISBLANK(drvlst[[#This Row],[number]]), "",SUM(drvlst[[#This Row],[BJ -1 num]],drvlst[[#This Row],[FI -1 num]]))</f>
        <v/>
      </c>
      <c r="Q350" s="7" t="str">
        <f>IF(ISBLANK(drvlst[[#This Row],[number]]), "",COUNTIFS($A:$A,drvlst[[#This Row],[tmp-number]],$O:$O, "BJ And dev",$U:$U, "Review-1"))</f>
        <v/>
      </c>
      <c r="R350" s="7" t="str">
        <f>IF(ISBLANK(drvlst[[#This Row],[number]]), "",COUNTIFS($A:$A,drvlst[[#This Row],[tmp-number]],$O:$O, "FL And dev",$U:$U, "Review-1"))</f>
        <v/>
      </c>
      <c r="S350" s="7" t="str">
        <f>IF(ISBLANK(drvlst[[#This Row],[number]]), "",COUNTIFS($A:$A,drvlst[[#This Row],[tmp-number]],$O:$O, "BJ And dev",$V:$V, "&lt;&gt;IntegratorComment"))</f>
        <v/>
      </c>
      <c r="T350" s="7" t="str">
        <f>IF(ISBLANK(drvlst[[#This Row],[number]]), "",COUNTIFS($A:$A,drvlst[[#This Row],[tmp-number]],$O:$O, "FL And dev",$V:$V, "&lt;&gt;IntegratorComment"))</f>
        <v/>
      </c>
      <c r="U350" s="7" t="str">
        <f>IF(OR(ISNUMBER(FIND("Review-1", drvlst[[#This Row],[comments]])), ISNUMBER(FIND("Approver-1", drvlst[[#This Row],[comments]]))), "Review-1", "")</f>
        <v/>
      </c>
      <c r="V350" s="7" t="str">
        <f>IF(OR(ISNUMBER(FIND(": Integrator", drvlst[[#This Row],[comments]])), ISNUMBER(FIND(":\n\nIntegrator", drvlst[[#This Row],[comments]])), ISNUMBER(FIND("-Integrator", drvlst[[#This Row],[comments]]))), "IntegratorComment", "")</f>
        <v/>
      </c>
      <c r="W350" s="7" t="str">
        <f>IF(ISBLANK(drvlst[[#This Row],[status]]),W349,drvlst[[#This Row],[status]])</f>
        <v>MERGED</v>
      </c>
    </row>
    <row r="351" spans="1:23">
      <c r="A351" s="7">
        <f>IF(ISBLANK(drvlst[[#This Row],[number]]),A350,drvlst[[#This Row],[number]])</f>
        <v>97148</v>
      </c>
      <c r="B351">
        <v>97148</v>
      </c>
      <c r="C351" t="s">
        <v>84</v>
      </c>
      <c r="D351" t="s">
        <v>1879</v>
      </c>
      <c r="E351" t="s">
        <v>23</v>
      </c>
      <c r="F351" t="s">
        <v>2004</v>
      </c>
      <c r="G351" t="s">
        <v>2005</v>
      </c>
      <c r="H351" s="8">
        <v>42391.29519675926</v>
      </c>
      <c r="I351" s="8">
        <v>42394.613078703704</v>
      </c>
      <c r="J351" t="s">
        <v>1879</v>
      </c>
      <c r="K351" s="8">
        <v>42391.29519675926</v>
      </c>
      <c r="L351" t="s">
        <v>25</v>
      </c>
      <c r="M351" s="7" t="str">
        <f>IF(ISBLANK(drvlst[[#This Row],[owner.emal]]),M350,drvlst[[#This Row],[owner.emal]])</f>
        <v>icgvert@intel.com</v>
      </c>
      <c r="N351" s="7" t="str">
        <f>_xlfn.IFNA(VLOOKUP(drvlst[[#This Row],[tmp-owner.email]],OrgTree!$A:$J, 10, 0), "not ICG SWFW")</f>
        <v>not ICG SWFW</v>
      </c>
      <c r="O351" s="7" t="str">
        <f>IF(drvlst[[#This Row],[reviewer]]=drvlst[[#This Row],[tmp-owner.email]], "author", _xlfn.IFNA(VLOOKUP(drvlst[[#This Row],[reviewer]],OrgTree!$A:$J, 10, 0), "not ICG SWFW"))</f>
        <v>author</v>
      </c>
      <c r="P351" s="7">
        <f>IF(ISBLANK(drvlst[[#This Row],[number]]), "",SUM(drvlst[[#This Row],[BJ -1 num]],drvlst[[#This Row],[FI -1 num]]))</f>
        <v>0</v>
      </c>
      <c r="Q351" s="7">
        <f>IF(ISBLANK(drvlst[[#This Row],[number]]), "",COUNTIFS($A:$A,drvlst[[#This Row],[tmp-number]],$O:$O, "BJ And dev",$U:$U, "Review-1"))</f>
        <v>0</v>
      </c>
      <c r="R351" s="7">
        <f>IF(ISBLANK(drvlst[[#This Row],[number]]), "",COUNTIFS($A:$A,drvlst[[#This Row],[tmp-number]],$O:$O, "FL And dev",$U:$U, "Review-1"))</f>
        <v>0</v>
      </c>
      <c r="S351" s="7">
        <f>IF(ISBLANK(drvlst[[#This Row],[number]]), "",COUNTIFS($A:$A,drvlst[[#This Row],[tmp-number]],$O:$O, "BJ And dev",$V:$V, "&lt;&gt;IntegratorComment"))</f>
        <v>0</v>
      </c>
      <c r="T351" s="7">
        <f>IF(ISBLANK(drvlst[[#This Row],[number]]), "",COUNTIFS($A:$A,drvlst[[#This Row],[tmp-number]],$O:$O, "FL And dev",$V:$V, "&lt;&gt;IntegratorComment"))</f>
        <v>0</v>
      </c>
      <c r="U351" s="7" t="str">
        <f>IF(OR(ISNUMBER(FIND("Review-1", drvlst[[#This Row],[comments]])), ISNUMBER(FIND("Approver-1", drvlst[[#This Row],[comments]]))), "Review-1", "")</f>
        <v/>
      </c>
      <c r="V351" s="7" t="str">
        <f>IF(OR(ISNUMBER(FIND(": Integrator", drvlst[[#This Row],[comments]])), ISNUMBER(FIND(":\n\nIntegrator", drvlst[[#This Row],[comments]])), ISNUMBER(FIND("-Integrator", drvlst[[#This Row],[comments]]))), "IntegratorComment", "")</f>
        <v/>
      </c>
      <c r="W351" s="7" t="str">
        <f>IF(ISBLANK(drvlst[[#This Row],[status]]),W350,drvlst[[#This Row],[status]])</f>
        <v>MERGED</v>
      </c>
    </row>
    <row r="352" spans="1:23">
      <c r="A352" s="7">
        <f>IF(ISBLANK(drvlst[[#This Row],[number]]),A351,drvlst[[#This Row],[number]])</f>
        <v>97148</v>
      </c>
      <c r="J352" t="s">
        <v>1879</v>
      </c>
      <c r="K352" s="8">
        <v>42391.29519675926</v>
      </c>
      <c r="L352" t="s">
        <v>1851</v>
      </c>
      <c r="M352" s="7" t="str">
        <f>IF(ISBLANK(drvlst[[#This Row],[owner.emal]]),M351,drvlst[[#This Row],[owner.emal]])</f>
        <v>icgvert@intel.com</v>
      </c>
      <c r="N352" s="7" t="str">
        <f>_xlfn.IFNA(VLOOKUP(drvlst[[#This Row],[tmp-owner.email]],OrgTree!$A:$J, 10, 0), "not ICG SWFW")</f>
        <v>not ICG SWFW</v>
      </c>
      <c r="O352" s="7" t="str">
        <f>IF(drvlst[[#This Row],[reviewer]]=drvlst[[#This Row],[tmp-owner.email]], "author", _xlfn.IFNA(VLOOKUP(drvlst[[#This Row],[reviewer]],OrgTree!$A:$J, 10, 0), "not ICG SWFW"))</f>
        <v>author</v>
      </c>
      <c r="P352" s="7" t="str">
        <f>IF(ISBLANK(drvlst[[#This Row],[number]]), "",SUM(drvlst[[#This Row],[BJ -1 num]],drvlst[[#This Row],[FI -1 num]]))</f>
        <v/>
      </c>
      <c r="Q352" s="7" t="str">
        <f>IF(ISBLANK(drvlst[[#This Row],[number]]), "",COUNTIFS($A:$A,drvlst[[#This Row],[tmp-number]],$O:$O, "BJ And dev",$U:$U, "Review-1"))</f>
        <v/>
      </c>
      <c r="R352" s="7" t="str">
        <f>IF(ISBLANK(drvlst[[#This Row],[number]]), "",COUNTIFS($A:$A,drvlst[[#This Row],[tmp-number]],$O:$O, "FL And dev",$U:$U, "Review-1"))</f>
        <v/>
      </c>
      <c r="S352" s="7" t="str">
        <f>IF(ISBLANK(drvlst[[#This Row],[number]]), "",COUNTIFS($A:$A,drvlst[[#This Row],[tmp-number]],$O:$O, "BJ And dev",$V:$V, "&lt;&gt;IntegratorComment"))</f>
        <v/>
      </c>
      <c r="T352" s="7" t="str">
        <f>IF(ISBLANK(drvlst[[#This Row],[number]]), "",COUNTIFS($A:$A,drvlst[[#This Row],[tmp-number]],$O:$O, "FL And dev",$V:$V, "&lt;&gt;IntegratorComment"))</f>
        <v/>
      </c>
      <c r="U352" s="7" t="str">
        <f>IF(OR(ISNUMBER(FIND("Review-1", drvlst[[#This Row],[comments]])), ISNUMBER(FIND("Approver-1", drvlst[[#This Row],[comments]]))), "Review-1", "")</f>
        <v/>
      </c>
      <c r="V352" s="7" t="str">
        <f>IF(OR(ISNUMBER(FIND(": Integrator", drvlst[[#This Row],[comments]])), ISNUMBER(FIND(":\n\nIntegrator", drvlst[[#This Row],[comments]])), ISNUMBER(FIND("-Integrator", drvlst[[#This Row],[comments]]))), "IntegratorComment", "")</f>
        <v/>
      </c>
      <c r="W352" s="7" t="str">
        <f>IF(ISBLANK(drvlst[[#This Row],[status]]),W351,drvlst[[#This Row],[status]])</f>
        <v>MERGED</v>
      </c>
    </row>
    <row r="353" spans="1:23">
      <c r="A353" s="7">
        <f>IF(ISBLANK(drvlst[[#This Row],[number]]),A352,drvlst[[#This Row],[number]])</f>
        <v>97148</v>
      </c>
      <c r="J353" t="s">
        <v>1879</v>
      </c>
      <c r="K353" s="8">
        <v>42391.403263888889</v>
      </c>
      <c r="L353" t="s">
        <v>65</v>
      </c>
      <c r="M353" s="7" t="str">
        <f>IF(ISBLANK(drvlst[[#This Row],[owner.emal]]),M352,drvlst[[#This Row],[owner.emal]])</f>
        <v>icgvert@intel.com</v>
      </c>
      <c r="N353" s="7" t="str">
        <f>_xlfn.IFNA(VLOOKUP(drvlst[[#This Row],[tmp-owner.email]],OrgTree!$A:$J, 10, 0), "not ICG SWFW")</f>
        <v>not ICG SWFW</v>
      </c>
      <c r="O353" s="7" t="str">
        <f>IF(drvlst[[#This Row],[reviewer]]=drvlst[[#This Row],[tmp-owner.email]], "author", _xlfn.IFNA(VLOOKUP(drvlst[[#This Row],[reviewer]],OrgTree!$A:$J, 10, 0), "not ICG SWFW"))</f>
        <v>author</v>
      </c>
      <c r="P353" s="7" t="str">
        <f>IF(ISBLANK(drvlst[[#This Row],[number]]), "",SUM(drvlst[[#This Row],[BJ -1 num]],drvlst[[#This Row],[FI -1 num]]))</f>
        <v/>
      </c>
      <c r="Q353" s="7" t="str">
        <f>IF(ISBLANK(drvlst[[#This Row],[number]]), "",COUNTIFS($A:$A,drvlst[[#This Row],[tmp-number]],$O:$O, "BJ And dev",$U:$U, "Review-1"))</f>
        <v/>
      </c>
      <c r="R353" s="7" t="str">
        <f>IF(ISBLANK(drvlst[[#This Row],[number]]), "",COUNTIFS($A:$A,drvlst[[#This Row],[tmp-number]],$O:$O, "FL And dev",$U:$U, "Review-1"))</f>
        <v/>
      </c>
      <c r="S353" s="7" t="str">
        <f>IF(ISBLANK(drvlst[[#This Row],[number]]), "",COUNTIFS($A:$A,drvlst[[#This Row],[tmp-number]],$O:$O, "BJ And dev",$V:$V, "&lt;&gt;IntegratorComment"))</f>
        <v/>
      </c>
      <c r="T353" s="7" t="str">
        <f>IF(ISBLANK(drvlst[[#This Row],[number]]), "",COUNTIFS($A:$A,drvlst[[#This Row],[tmp-number]],$O:$O, "FL And dev",$V:$V, "&lt;&gt;IntegratorComment"))</f>
        <v/>
      </c>
      <c r="U353" s="7" t="str">
        <f>IF(OR(ISNUMBER(FIND("Review-1", drvlst[[#This Row],[comments]])), ISNUMBER(FIND("Approver-1", drvlst[[#This Row],[comments]]))), "Review-1", "")</f>
        <v/>
      </c>
      <c r="V353" s="7" t="str">
        <f>IF(OR(ISNUMBER(FIND(": Integrator", drvlst[[#This Row],[comments]])), ISNUMBER(FIND(":\n\nIntegrator", drvlst[[#This Row],[comments]])), ISNUMBER(FIND("-Integrator", drvlst[[#This Row],[comments]]))), "IntegratorComment", "")</f>
        <v/>
      </c>
      <c r="W353" s="7" t="str">
        <f>IF(ISBLANK(drvlst[[#This Row],[status]]),W352,drvlst[[#This Row],[status]])</f>
        <v>MERGED</v>
      </c>
    </row>
    <row r="354" spans="1:23">
      <c r="A354" s="7">
        <f>IF(ISBLANK(drvlst[[#This Row],[number]]),A353,drvlst[[#This Row],[number]])</f>
        <v>97148</v>
      </c>
      <c r="J354" t="s">
        <v>1879</v>
      </c>
      <c r="K354" s="8">
        <v>42391.403275462966</v>
      </c>
      <c r="L354" t="s">
        <v>92</v>
      </c>
      <c r="M354" s="7" t="str">
        <f>IF(ISBLANK(drvlst[[#This Row],[owner.emal]]),M353,drvlst[[#This Row],[owner.emal]])</f>
        <v>icgvert@intel.com</v>
      </c>
      <c r="N354" s="7" t="str">
        <f>_xlfn.IFNA(VLOOKUP(drvlst[[#This Row],[tmp-owner.email]],OrgTree!$A:$J, 10, 0), "not ICG SWFW")</f>
        <v>not ICG SWFW</v>
      </c>
      <c r="O354" s="7" t="str">
        <f>IF(drvlst[[#This Row],[reviewer]]=drvlst[[#This Row],[tmp-owner.email]], "author", _xlfn.IFNA(VLOOKUP(drvlst[[#This Row],[reviewer]],OrgTree!$A:$J, 10, 0), "not ICG SWFW"))</f>
        <v>author</v>
      </c>
      <c r="P354" s="7" t="str">
        <f>IF(ISBLANK(drvlst[[#This Row],[number]]), "",SUM(drvlst[[#This Row],[BJ -1 num]],drvlst[[#This Row],[FI -1 num]]))</f>
        <v/>
      </c>
      <c r="Q354" s="7" t="str">
        <f>IF(ISBLANK(drvlst[[#This Row],[number]]), "",COUNTIFS($A:$A,drvlst[[#This Row],[tmp-number]],$O:$O, "BJ And dev",$U:$U, "Review-1"))</f>
        <v/>
      </c>
      <c r="R354" s="7" t="str">
        <f>IF(ISBLANK(drvlst[[#This Row],[number]]), "",COUNTIFS($A:$A,drvlst[[#This Row],[tmp-number]],$O:$O, "FL And dev",$U:$U, "Review-1"))</f>
        <v/>
      </c>
      <c r="S354" s="7" t="str">
        <f>IF(ISBLANK(drvlst[[#This Row],[number]]), "",COUNTIFS($A:$A,drvlst[[#This Row],[tmp-number]],$O:$O, "BJ And dev",$V:$V, "&lt;&gt;IntegratorComment"))</f>
        <v/>
      </c>
      <c r="T354" s="7" t="str">
        <f>IF(ISBLANK(drvlst[[#This Row],[number]]), "",COUNTIFS($A:$A,drvlst[[#This Row],[tmp-number]],$O:$O, "FL And dev",$V:$V, "&lt;&gt;IntegratorComment"))</f>
        <v/>
      </c>
      <c r="U354" s="7" t="str">
        <f>IF(OR(ISNUMBER(FIND("Review-1", drvlst[[#This Row],[comments]])), ISNUMBER(FIND("Approver-1", drvlst[[#This Row],[comments]]))), "Review-1", "")</f>
        <v/>
      </c>
      <c r="V354" s="7" t="str">
        <f>IF(OR(ISNUMBER(FIND(": Integrator", drvlst[[#This Row],[comments]])), ISNUMBER(FIND(":\n\nIntegrator", drvlst[[#This Row],[comments]])), ISNUMBER(FIND("-Integrator", drvlst[[#This Row],[comments]]))), "IntegratorComment", "")</f>
        <v/>
      </c>
      <c r="W354" s="7" t="str">
        <f>IF(ISBLANK(drvlst[[#This Row],[status]]),W353,drvlst[[#This Row],[status]])</f>
        <v>MERGED</v>
      </c>
    </row>
    <row r="355" spans="1:23">
      <c r="A355" s="7">
        <f>IF(ISBLANK(drvlst[[#This Row],[number]]),A354,drvlst[[#This Row],[number]])</f>
        <v>97148</v>
      </c>
      <c r="J355" t="s">
        <v>102</v>
      </c>
      <c r="K355" s="8">
        <v>42391.403738425928</v>
      </c>
      <c r="L355" t="s">
        <v>27</v>
      </c>
      <c r="M355" s="7" t="str">
        <f>IF(ISBLANK(drvlst[[#This Row],[owner.emal]]),M354,drvlst[[#This Row],[owner.emal]])</f>
        <v>icgvert@intel.com</v>
      </c>
      <c r="N355" s="7" t="str">
        <f>_xlfn.IFNA(VLOOKUP(drvlst[[#This Row],[tmp-owner.email]],OrgTree!$A:$J, 10, 0), "not ICG SWFW")</f>
        <v>not ICG SWFW</v>
      </c>
      <c r="O355" s="7">
        <f>IF(drvlst[[#This Row],[reviewer]]=drvlst[[#This Row],[tmp-owner.email]], "author", _xlfn.IFNA(VLOOKUP(drvlst[[#This Row],[reviewer]],OrgTree!$A:$J, 10, 0), "not ICG SWFW"))</f>
        <v>0</v>
      </c>
      <c r="P355" s="7" t="str">
        <f>IF(ISBLANK(drvlst[[#This Row],[number]]), "",SUM(drvlst[[#This Row],[BJ -1 num]],drvlst[[#This Row],[FI -1 num]]))</f>
        <v/>
      </c>
      <c r="Q355" s="7" t="str">
        <f>IF(ISBLANK(drvlst[[#This Row],[number]]), "",COUNTIFS($A:$A,drvlst[[#This Row],[tmp-number]],$O:$O, "BJ And dev",$U:$U, "Review-1"))</f>
        <v/>
      </c>
      <c r="R355" s="7" t="str">
        <f>IF(ISBLANK(drvlst[[#This Row],[number]]), "",COUNTIFS($A:$A,drvlst[[#This Row],[tmp-number]],$O:$O, "FL And dev",$U:$U, "Review-1"))</f>
        <v/>
      </c>
      <c r="S355" s="7" t="str">
        <f>IF(ISBLANK(drvlst[[#This Row],[number]]), "",COUNTIFS($A:$A,drvlst[[#This Row],[tmp-number]],$O:$O, "BJ And dev",$V:$V, "&lt;&gt;IntegratorComment"))</f>
        <v/>
      </c>
      <c r="T355" s="7" t="str">
        <f>IF(ISBLANK(drvlst[[#This Row],[number]]), "",COUNTIFS($A:$A,drvlst[[#This Row],[tmp-number]],$O:$O, "FL And dev",$V:$V, "&lt;&gt;IntegratorComment"))</f>
        <v/>
      </c>
      <c r="U355" s="7" t="str">
        <f>IF(OR(ISNUMBER(FIND("Review-1", drvlst[[#This Row],[comments]])), ISNUMBER(FIND("Approver-1", drvlst[[#This Row],[comments]]))), "Review-1", "")</f>
        <v/>
      </c>
      <c r="V355" s="7" t="str">
        <f>IF(OR(ISNUMBER(FIND(": Integrator", drvlst[[#This Row],[comments]])), ISNUMBER(FIND(":\n\nIntegrator", drvlst[[#This Row],[comments]])), ISNUMBER(FIND("-Integrator", drvlst[[#This Row],[comments]]))), "IntegratorComment", "")</f>
        <v/>
      </c>
      <c r="W355" s="7" t="str">
        <f>IF(ISBLANK(drvlst[[#This Row],[status]]),W354,drvlst[[#This Row],[status]])</f>
        <v>MERGED</v>
      </c>
    </row>
    <row r="356" spans="1:23">
      <c r="A356" s="7">
        <f>IF(ISBLANK(drvlst[[#This Row],[number]]),A355,drvlst[[#This Row],[number]])</f>
        <v>97148</v>
      </c>
      <c r="J356" t="s">
        <v>34</v>
      </c>
      <c r="K356" s="8">
        <v>42391.421400462961</v>
      </c>
      <c r="L356" t="s">
        <v>42</v>
      </c>
      <c r="M356" s="7" t="str">
        <f>IF(ISBLANK(drvlst[[#This Row],[owner.emal]]),M355,drvlst[[#This Row],[owner.emal]])</f>
        <v>icgvert@intel.com</v>
      </c>
      <c r="N356" s="7" t="str">
        <f>_xlfn.IFNA(VLOOKUP(drvlst[[#This Row],[tmp-owner.email]],OrgTree!$A:$J, 10, 0), "not ICG SWFW")</f>
        <v>not ICG SWFW</v>
      </c>
      <c r="O356" s="7">
        <f>IF(drvlst[[#This Row],[reviewer]]=drvlst[[#This Row],[tmp-owner.email]], "author", _xlfn.IFNA(VLOOKUP(drvlst[[#This Row],[reviewer]],OrgTree!$A:$J, 10, 0), "not ICG SWFW"))</f>
        <v>0</v>
      </c>
      <c r="P356" s="7" t="str">
        <f>IF(ISBLANK(drvlst[[#This Row],[number]]), "",SUM(drvlst[[#This Row],[BJ -1 num]],drvlst[[#This Row],[FI -1 num]]))</f>
        <v/>
      </c>
      <c r="Q356" s="7" t="str">
        <f>IF(ISBLANK(drvlst[[#This Row],[number]]), "",COUNTIFS($A:$A,drvlst[[#This Row],[tmp-number]],$O:$O, "BJ And dev",$U:$U, "Review-1"))</f>
        <v/>
      </c>
      <c r="R356" s="7" t="str">
        <f>IF(ISBLANK(drvlst[[#This Row],[number]]), "",COUNTIFS($A:$A,drvlst[[#This Row],[tmp-number]],$O:$O, "FL And dev",$U:$U, "Review-1"))</f>
        <v/>
      </c>
      <c r="S356" s="7" t="str">
        <f>IF(ISBLANK(drvlst[[#This Row],[number]]), "",COUNTIFS($A:$A,drvlst[[#This Row],[tmp-number]],$O:$O, "BJ And dev",$V:$V, "&lt;&gt;IntegratorComment"))</f>
        <v/>
      </c>
      <c r="T356" s="7" t="str">
        <f>IF(ISBLANK(drvlst[[#This Row],[number]]), "",COUNTIFS($A:$A,drvlst[[#This Row],[tmp-number]],$O:$O, "FL And dev",$V:$V, "&lt;&gt;IntegratorComment"))</f>
        <v/>
      </c>
      <c r="U356" s="7" t="str">
        <f>IF(OR(ISNUMBER(FIND("Review-1", drvlst[[#This Row],[comments]])), ISNUMBER(FIND("Approver-1", drvlst[[#This Row],[comments]]))), "Review-1", "")</f>
        <v/>
      </c>
      <c r="V356" s="7" t="str">
        <f>IF(OR(ISNUMBER(FIND(": Integrator", drvlst[[#This Row],[comments]])), ISNUMBER(FIND(":\n\nIntegrator", drvlst[[#This Row],[comments]])), ISNUMBER(FIND("-Integrator", drvlst[[#This Row],[comments]]))), "IntegratorComment", "")</f>
        <v/>
      </c>
      <c r="W356" s="7" t="str">
        <f>IF(ISBLANK(drvlst[[#This Row],[status]]),W355,drvlst[[#This Row],[status]])</f>
        <v>MERGED</v>
      </c>
    </row>
    <row r="357" spans="1:23">
      <c r="A357" s="7">
        <f>IF(ISBLANK(drvlst[[#This Row],[number]]),A356,drvlst[[#This Row],[number]])</f>
        <v>97148</v>
      </c>
      <c r="J357" t="s">
        <v>34</v>
      </c>
      <c r="K357" s="8">
        <v>42391.593252314815</v>
      </c>
      <c r="L357" t="s">
        <v>93</v>
      </c>
      <c r="M357" s="7" t="str">
        <f>IF(ISBLANK(drvlst[[#This Row],[owner.emal]]),M356,drvlst[[#This Row],[owner.emal]])</f>
        <v>icgvert@intel.com</v>
      </c>
      <c r="N357" s="7" t="str">
        <f>_xlfn.IFNA(VLOOKUP(drvlst[[#This Row],[tmp-owner.email]],OrgTree!$A:$J, 10, 0), "not ICG SWFW")</f>
        <v>not ICG SWFW</v>
      </c>
      <c r="O357" s="7">
        <f>IF(drvlst[[#This Row],[reviewer]]=drvlst[[#This Row],[tmp-owner.email]], "author", _xlfn.IFNA(VLOOKUP(drvlst[[#This Row],[reviewer]],OrgTree!$A:$J, 10, 0), "not ICG SWFW"))</f>
        <v>0</v>
      </c>
      <c r="P357" s="7" t="str">
        <f>IF(ISBLANK(drvlst[[#This Row],[number]]), "",SUM(drvlst[[#This Row],[BJ -1 num]],drvlst[[#This Row],[FI -1 num]]))</f>
        <v/>
      </c>
      <c r="Q357" s="7" t="str">
        <f>IF(ISBLANK(drvlst[[#This Row],[number]]), "",COUNTIFS($A:$A,drvlst[[#This Row],[tmp-number]],$O:$O, "BJ And dev",$U:$U, "Review-1"))</f>
        <v/>
      </c>
      <c r="R357" s="7" t="str">
        <f>IF(ISBLANK(drvlst[[#This Row],[number]]), "",COUNTIFS($A:$A,drvlst[[#This Row],[tmp-number]],$O:$O, "FL And dev",$U:$U, "Review-1"))</f>
        <v/>
      </c>
      <c r="S357" s="7" t="str">
        <f>IF(ISBLANK(drvlst[[#This Row],[number]]), "",COUNTIFS($A:$A,drvlst[[#This Row],[tmp-number]],$O:$O, "BJ And dev",$V:$V, "&lt;&gt;IntegratorComment"))</f>
        <v/>
      </c>
      <c r="T357" s="7" t="str">
        <f>IF(ISBLANK(drvlst[[#This Row],[number]]), "",COUNTIFS($A:$A,drvlst[[#This Row],[tmp-number]],$O:$O, "FL And dev",$V:$V, "&lt;&gt;IntegratorComment"))</f>
        <v/>
      </c>
      <c r="U357" s="7" t="str">
        <f>IF(OR(ISNUMBER(FIND("Review-1", drvlst[[#This Row],[comments]])), ISNUMBER(FIND("Approver-1", drvlst[[#This Row],[comments]]))), "Review-1", "")</f>
        <v/>
      </c>
      <c r="V357" s="7" t="str">
        <f>IF(OR(ISNUMBER(FIND(": Integrator", drvlst[[#This Row],[comments]])), ISNUMBER(FIND(":\n\nIntegrator", drvlst[[#This Row],[comments]])), ISNUMBER(FIND("-Integrator", drvlst[[#This Row],[comments]]))), "IntegratorComment", "")</f>
        <v>IntegratorComment</v>
      </c>
      <c r="W357" s="7" t="str">
        <f>IF(ISBLANK(drvlst[[#This Row],[status]]),W356,drvlst[[#This Row],[status]])</f>
        <v>MERGED</v>
      </c>
    </row>
    <row r="358" spans="1:23">
      <c r="A358" s="7">
        <f>IF(ISBLANK(drvlst[[#This Row],[number]]),A357,drvlst[[#This Row],[number]])</f>
        <v>97148</v>
      </c>
      <c r="J358" t="s">
        <v>34</v>
      </c>
      <c r="K358" s="8">
        <v>42391.747627314813</v>
      </c>
      <c r="L358" t="s">
        <v>94</v>
      </c>
      <c r="M358" s="7" t="str">
        <f>IF(ISBLANK(drvlst[[#This Row],[owner.emal]]),M357,drvlst[[#This Row],[owner.emal]])</f>
        <v>icgvert@intel.com</v>
      </c>
      <c r="N358" s="7" t="str">
        <f>_xlfn.IFNA(VLOOKUP(drvlst[[#This Row],[tmp-owner.email]],OrgTree!$A:$J, 10, 0), "not ICG SWFW")</f>
        <v>not ICG SWFW</v>
      </c>
      <c r="O358" s="7">
        <f>IF(drvlst[[#This Row],[reviewer]]=drvlst[[#This Row],[tmp-owner.email]], "author", _xlfn.IFNA(VLOOKUP(drvlst[[#This Row],[reviewer]],OrgTree!$A:$J, 10, 0), "not ICG SWFW"))</f>
        <v>0</v>
      </c>
      <c r="P358" s="7" t="str">
        <f>IF(ISBLANK(drvlst[[#This Row],[number]]), "",SUM(drvlst[[#This Row],[BJ -1 num]],drvlst[[#This Row],[FI -1 num]]))</f>
        <v/>
      </c>
      <c r="Q358" s="7" t="str">
        <f>IF(ISBLANK(drvlst[[#This Row],[number]]), "",COUNTIFS($A:$A,drvlst[[#This Row],[tmp-number]],$O:$O, "BJ And dev",$U:$U, "Review-1"))</f>
        <v/>
      </c>
      <c r="R358" s="7" t="str">
        <f>IF(ISBLANK(drvlst[[#This Row],[number]]), "",COUNTIFS($A:$A,drvlst[[#This Row],[tmp-number]],$O:$O, "FL And dev",$U:$U, "Review-1"))</f>
        <v/>
      </c>
      <c r="S358" s="7" t="str">
        <f>IF(ISBLANK(drvlst[[#This Row],[number]]), "",COUNTIFS($A:$A,drvlst[[#This Row],[tmp-number]],$O:$O, "BJ And dev",$V:$V, "&lt;&gt;IntegratorComment"))</f>
        <v/>
      </c>
      <c r="T358" s="7" t="str">
        <f>IF(ISBLANK(drvlst[[#This Row],[number]]), "",COUNTIFS($A:$A,drvlst[[#This Row],[tmp-number]],$O:$O, "FL And dev",$V:$V, "&lt;&gt;IntegratorComment"))</f>
        <v/>
      </c>
      <c r="U358" s="7" t="str">
        <f>IF(OR(ISNUMBER(FIND("Review-1", drvlst[[#This Row],[comments]])), ISNUMBER(FIND("Approver-1", drvlst[[#This Row],[comments]]))), "Review-1", "")</f>
        <v/>
      </c>
      <c r="V358" s="7" t="str">
        <f>IF(OR(ISNUMBER(FIND(": Integrator", drvlst[[#This Row],[comments]])), ISNUMBER(FIND(":\n\nIntegrator", drvlst[[#This Row],[comments]])), ISNUMBER(FIND("-Integrator", drvlst[[#This Row],[comments]]))), "IntegratorComment", "")</f>
        <v/>
      </c>
      <c r="W358" s="7" t="str">
        <f>IF(ISBLANK(drvlst[[#This Row],[status]]),W357,drvlst[[#This Row],[status]])</f>
        <v>MERGED</v>
      </c>
    </row>
    <row r="359" spans="1:23">
      <c r="A359" s="7">
        <f>IF(ISBLANK(drvlst[[#This Row],[number]]),A358,drvlst[[#This Row],[number]])</f>
        <v>97148</v>
      </c>
      <c r="J359" t="s">
        <v>34</v>
      </c>
      <c r="K359" s="8">
        <v>42391.809004629627</v>
      </c>
      <c r="L359" t="s">
        <v>95</v>
      </c>
      <c r="M359" s="7" t="str">
        <f>IF(ISBLANK(drvlst[[#This Row],[owner.emal]]),M358,drvlst[[#This Row],[owner.emal]])</f>
        <v>icgvert@intel.com</v>
      </c>
      <c r="N359" s="7" t="str">
        <f>_xlfn.IFNA(VLOOKUP(drvlst[[#This Row],[tmp-owner.email]],OrgTree!$A:$J, 10, 0), "not ICG SWFW")</f>
        <v>not ICG SWFW</v>
      </c>
      <c r="O359" s="7">
        <f>IF(drvlst[[#This Row],[reviewer]]=drvlst[[#This Row],[tmp-owner.email]], "author", _xlfn.IFNA(VLOOKUP(drvlst[[#This Row],[reviewer]],OrgTree!$A:$J, 10, 0), "not ICG SWFW"))</f>
        <v>0</v>
      </c>
      <c r="P359" s="7" t="str">
        <f>IF(ISBLANK(drvlst[[#This Row],[number]]), "",SUM(drvlst[[#This Row],[BJ -1 num]],drvlst[[#This Row],[FI -1 num]]))</f>
        <v/>
      </c>
      <c r="Q359" s="7" t="str">
        <f>IF(ISBLANK(drvlst[[#This Row],[number]]), "",COUNTIFS($A:$A,drvlst[[#This Row],[tmp-number]],$O:$O, "BJ And dev",$U:$U, "Review-1"))</f>
        <v/>
      </c>
      <c r="R359" s="7" t="str">
        <f>IF(ISBLANK(drvlst[[#This Row],[number]]), "",COUNTIFS($A:$A,drvlst[[#This Row],[tmp-number]],$O:$O, "FL And dev",$U:$U, "Review-1"))</f>
        <v/>
      </c>
      <c r="S359" s="7" t="str">
        <f>IF(ISBLANK(drvlst[[#This Row],[number]]), "",COUNTIFS($A:$A,drvlst[[#This Row],[tmp-number]],$O:$O, "BJ And dev",$V:$V, "&lt;&gt;IntegratorComment"))</f>
        <v/>
      </c>
      <c r="T359" s="7" t="str">
        <f>IF(ISBLANK(drvlst[[#This Row],[number]]), "",COUNTIFS($A:$A,drvlst[[#This Row],[tmp-number]],$O:$O, "FL And dev",$V:$V, "&lt;&gt;IntegratorComment"))</f>
        <v/>
      </c>
      <c r="U359" s="7" t="str">
        <f>IF(OR(ISNUMBER(FIND("Review-1", drvlst[[#This Row],[comments]])), ISNUMBER(FIND("Approver-1", drvlst[[#This Row],[comments]]))), "Review-1", "")</f>
        <v/>
      </c>
      <c r="V359" s="7" t="str">
        <f>IF(OR(ISNUMBER(FIND(": Integrator", drvlst[[#This Row],[comments]])), ISNUMBER(FIND(":\n\nIntegrator", drvlst[[#This Row],[comments]])), ISNUMBER(FIND("-Integrator", drvlst[[#This Row],[comments]]))), "IntegratorComment", "")</f>
        <v/>
      </c>
      <c r="W359" s="7" t="str">
        <f>IF(ISBLANK(drvlst[[#This Row],[status]]),W358,drvlst[[#This Row],[status]])</f>
        <v>MERGED</v>
      </c>
    </row>
    <row r="360" spans="1:23">
      <c r="A360" s="7">
        <f>IF(ISBLANK(drvlst[[#This Row],[number]]),A359,drvlst[[#This Row],[number]])</f>
        <v>97148</v>
      </c>
      <c r="J360" t="s">
        <v>34</v>
      </c>
      <c r="K360" s="8">
        <v>42391.896157407406</v>
      </c>
      <c r="L360" t="s">
        <v>95</v>
      </c>
      <c r="M360" s="7" t="str">
        <f>IF(ISBLANK(drvlst[[#This Row],[owner.emal]]),M359,drvlst[[#This Row],[owner.emal]])</f>
        <v>icgvert@intel.com</v>
      </c>
      <c r="N360" s="7" t="str">
        <f>_xlfn.IFNA(VLOOKUP(drvlst[[#This Row],[tmp-owner.email]],OrgTree!$A:$J, 10, 0), "not ICG SWFW")</f>
        <v>not ICG SWFW</v>
      </c>
      <c r="O360" s="7">
        <f>IF(drvlst[[#This Row],[reviewer]]=drvlst[[#This Row],[tmp-owner.email]], "author", _xlfn.IFNA(VLOOKUP(drvlst[[#This Row],[reviewer]],OrgTree!$A:$J, 10, 0), "not ICG SWFW"))</f>
        <v>0</v>
      </c>
      <c r="P360" s="7" t="str">
        <f>IF(ISBLANK(drvlst[[#This Row],[number]]), "",SUM(drvlst[[#This Row],[BJ -1 num]],drvlst[[#This Row],[FI -1 num]]))</f>
        <v/>
      </c>
      <c r="Q360" s="7" t="str">
        <f>IF(ISBLANK(drvlst[[#This Row],[number]]), "",COUNTIFS($A:$A,drvlst[[#This Row],[tmp-number]],$O:$O, "BJ And dev",$U:$U, "Review-1"))</f>
        <v/>
      </c>
      <c r="R360" s="7" t="str">
        <f>IF(ISBLANK(drvlst[[#This Row],[number]]), "",COUNTIFS($A:$A,drvlst[[#This Row],[tmp-number]],$O:$O, "FL And dev",$U:$U, "Review-1"))</f>
        <v/>
      </c>
      <c r="S360" s="7" t="str">
        <f>IF(ISBLANK(drvlst[[#This Row],[number]]), "",COUNTIFS($A:$A,drvlst[[#This Row],[tmp-number]],$O:$O, "BJ And dev",$V:$V, "&lt;&gt;IntegratorComment"))</f>
        <v/>
      </c>
      <c r="T360" s="7" t="str">
        <f>IF(ISBLANK(drvlst[[#This Row],[number]]), "",COUNTIFS($A:$A,drvlst[[#This Row],[tmp-number]],$O:$O, "FL And dev",$V:$V, "&lt;&gt;IntegratorComment"))</f>
        <v/>
      </c>
      <c r="U360" s="7" t="str">
        <f>IF(OR(ISNUMBER(FIND("Review-1", drvlst[[#This Row],[comments]])), ISNUMBER(FIND("Approver-1", drvlst[[#This Row],[comments]]))), "Review-1", "")</f>
        <v/>
      </c>
      <c r="V360" s="7" t="str">
        <f>IF(OR(ISNUMBER(FIND(": Integrator", drvlst[[#This Row],[comments]])), ISNUMBER(FIND(":\n\nIntegrator", drvlst[[#This Row],[comments]])), ISNUMBER(FIND("-Integrator", drvlst[[#This Row],[comments]]))), "IntegratorComment", "")</f>
        <v/>
      </c>
      <c r="W360" s="7" t="str">
        <f>IF(ISBLANK(drvlst[[#This Row],[status]]),W359,drvlst[[#This Row],[status]])</f>
        <v>MERGED</v>
      </c>
    </row>
    <row r="361" spans="1:23">
      <c r="A361" s="7">
        <f>IF(ISBLANK(drvlst[[#This Row],[number]]),A360,drvlst[[#This Row],[number]])</f>
        <v>97148</v>
      </c>
      <c r="J361" t="s">
        <v>34</v>
      </c>
      <c r="K361" s="8">
        <v>42392.483078703706</v>
      </c>
      <c r="L361" t="s">
        <v>94</v>
      </c>
      <c r="M361" s="7" t="str">
        <f>IF(ISBLANK(drvlst[[#This Row],[owner.emal]]),M360,drvlst[[#This Row],[owner.emal]])</f>
        <v>icgvert@intel.com</v>
      </c>
      <c r="N361" s="7" t="str">
        <f>_xlfn.IFNA(VLOOKUP(drvlst[[#This Row],[tmp-owner.email]],OrgTree!$A:$J, 10, 0), "not ICG SWFW")</f>
        <v>not ICG SWFW</v>
      </c>
      <c r="O361" s="7">
        <f>IF(drvlst[[#This Row],[reviewer]]=drvlst[[#This Row],[tmp-owner.email]], "author", _xlfn.IFNA(VLOOKUP(drvlst[[#This Row],[reviewer]],OrgTree!$A:$J, 10, 0), "not ICG SWFW"))</f>
        <v>0</v>
      </c>
      <c r="P361" s="7" t="str">
        <f>IF(ISBLANK(drvlst[[#This Row],[number]]), "",SUM(drvlst[[#This Row],[BJ -1 num]],drvlst[[#This Row],[FI -1 num]]))</f>
        <v/>
      </c>
      <c r="Q361" s="7" t="str">
        <f>IF(ISBLANK(drvlst[[#This Row],[number]]), "",COUNTIFS($A:$A,drvlst[[#This Row],[tmp-number]],$O:$O, "BJ And dev",$U:$U, "Review-1"))</f>
        <v/>
      </c>
      <c r="R361" s="7" t="str">
        <f>IF(ISBLANK(drvlst[[#This Row],[number]]), "",COUNTIFS($A:$A,drvlst[[#This Row],[tmp-number]],$O:$O, "FL And dev",$U:$U, "Review-1"))</f>
        <v/>
      </c>
      <c r="S361" s="7" t="str">
        <f>IF(ISBLANK(drvlst[[#This Row],[number]]), "",COUNTIFS($A:$A,drvlst[[#This Row],[tmp-number]],$O:$O, "BJ And dev",$V:$V, "&lt;&gt;IntegratorComment"))</f>
        <v/>
      </c>
      <c r="T361" s="7" t="str">
        <f>IF(ISBLANK(drvlst[[#This Row],[number]]), "",COUNTIFS($A:$A,drvlst[[#This Row],[tmp-number]],$O:$O, "FL And dev",$V:$V, "&lt;&gt;IntegratorComment"))</f>
        <v/>
      </c>
      <c r="U361" s="7" t="str">
        <f>IF(OR(ISNUMBER(FIND("Review-1", drvlst[[#This Row],[comments]])), ISNUMBER(FIND("Approver-1", drvlst[[#This Row],[comments]]))), "Review-1", "")</f>
        <v/>
      </c>
      <c r="V361" s="7" t="str">
        <f>IF(OR(ISNUMBER(FIND(": Integrator", drvlst[[#This Row],[comments]])), ISNUMBER(FIND(":\n\nIntegrator", drvlst[[#This Row],[comments]])), ISNUMBER(FIND("-Integrator", drvlst[[#This Row],[comments]]))), "IntegratorComment", "")</f>
        <v/>
      </c>
      <c r="W361" s="7" t="str">
        <f>IF(ISBLANK(drvlst[[#This Row],[status]]),W360,drvlst[[#This Row],[status]])</f>
        <v>MERGED</v>
      </c>
    </row>
    <row r="362" spans="1:23">
      <c r="A362" s="7">
        <f>IF(ISBLANK(drvlst[[#This Row],[number]]),A361,drvlst[[#This Row],[number]])</f>
        <v>97148</v>
      </c>
      <c r="J362" t="s">
        <v>34</v>
      </c>
      <c r="K362" s="8">
        <v>42394.611770833333</v>
      </c>
      <c r="L362" t="s">
        <v>96</v>
      </c>
      <c r="M362" s="7" t="str">
        <f>IF(ISBLANK(drvlst[[#This Row],[owner.emal]]),M361,drvlst[[#This Row],[owner.emal]])</f>
        <v>icgvert@intel.com</v>
      </c>
      <c r="N362" s="7" t="str">
        <f>_xlfn.IFNA(VLOOKUP(drvlst[[#This Row],[tmp-owner.email]],OrgTree!$A:$J, 10, 0), "not ICG SWFW")</f>
        <v>not ICG SWFW</v>
      </c>
      <c r="O362" s="7">
        <f>IF(drvlst[[#This Row],[reviewer]]=drvlst[[#This Row],[tmp-owner.email]], "author", _xlfn.IFNA(VLOOKUP(drvlst[[#This Row],[reviewer]],OrgTree!$A:$J, 10, 0), "not ICG SWFW"))</f>
        <v>0</v>
      </c>
      <c r="P362" s="7" t="str">
        <f>IF(ISBLANK(drvlst[[#This Row],[number]]), "",SUM(drvlst[[#This Row],[BJ -1 num]],drvlst[[#This Row],[FI -1 num]]))</f>
        <v/>
      </c>
      <c r="Q362" s="7" t="str">
        <f>IF(ISBLANK(drvlst[[#This Row],[number]]), "",COUNTIFS($A:$A,drvlst[[#This Row],[tmp-number]],$O:$O, "BJ And dev",$U:$U, "Review-1"))</f>
        <v/>
      </c>
      <c r="R362" s="7" t="str">
        <f>IF(ISBLANK(drvlst[[#This Row],[number]]), "",COUNTIFS($A:$A,drvlst[[#This Row],[tmp-number]],$O:$O, "FL And dev",$U:$U, "Review-1"))</f>
        <v/>
      </c>
      <c r="S362" s="7" t="str">
        <f>IF(ISBLANK(drvlst[[#This Row],[number]]), "",COUNTIFS($A:$A,drvlst[[#This Row],[tmp-number]],$O:$O, "BJ And dev",$V:$V, "&lt;&gt;IntegratorComment"))</f>
        <v/>
      </c>
      <c r="T362" s="7" t="str">
        <f>IF(ISBLANK(drvlst[[#This Row],[number]]), "",COUNTIFS($A:$A,drvlst[[#This Row],[tmp-number]],$O:$O, "FL And dev",$V:$V, "&lt;&gt;IntegratorComment"))</f>
        <v/>
      </c>
      <c r="U362" s="7" t="str">
        <f>IF(OR(ISNUMBER(FIND("Review-1", drvlst[[#This Row],[comments]])), ISNUMBER(FIND("Approver-1", drvlst[[#This Row],[comments]]))), "Review-1", "")</f>
        <v/>
      </c>
      <c r="V362" s="7" t="str">
        <f>IF(OR(ISNUMBER(FIND(": Integrator", drvlst[[#This Row],[comments]])), ISNUMBER(FIND(":\n\nIntegrator", drvlst[[#This Row],[comments]])), ISNUMBER(FIND("-Integrator", drvlst[[#This Row],[comments]]))), "IntegratorComment", "")</f>
        <v/>
      </c>
      <c r="W362" s="7" t="str">
        <f>IF(ISBLANK(drvlst[[#This Row],[status]]),W361,drvlst[[#This Row],[status]])</f>
        <v>MERGED</v>
      </c>
    </row>
    <row r="363" spans="1:23">
      <c r="A363" s="7">
        <f>IF(ISBLANK(drvlst[[#This Row],[number]]),A362,drvlst[[#This Row],[number]])</f>
        <v>97148</v>
      </c>
      <c r="J363" t="s">
        <v>34</v>
      </c>
      <c r="K363" s="8">
        <v>42394.675532407404</v>
      </c>
      <c r="L363" t="s">
        <v>62</v>
      </c>
      <c r="M363" s="7" t="str">
        <f>IF(ISBLANK(drvlst[[#This Row],[owner.emal]]),M362,drvlst[[#This Row],[owner.emal]])</f>
        <v>icgvert@intel.com</v>
      </c>
      <c r="N363" s="7" t="str">
        <f>_xlfn.IFNA(VLOOKUP(drvlst[[#This Row],[tmp-owner.email]],OrgTree!$A:$J, 10, 0), "not ICG SWFW")</f>
        <v>not ICG SWFW</v>
      </c>
      <c r="O363" s="7">
        <f>IF(drvlst[[#This Row],[reviewer]]=drvlst[[#This Row],[tmp-owner.email]], "author", _xlfn.IFNA(VLOOKUP(drvlst[[#This Row],[reviewer]],OrgTree!$A:$J, 10, 0), "not ICG SWFW"))</f>
        <v>0</v>
      </c>
      <c r="P363" s="7" t="str">
        <f>IF(ISBLANK(drvlst[[#This Row],[number]]), "",SUM(drvlst[[#This Row],[BJ -1 num]],drvlst[[#This Row],[FI -1 num]]))</f>
        <v/>
      </c>
      <c r="Q363" s="7" t="str">
        <f>IF(ISBLANK(drvlst[[#This Row],[number]]), "",COUNTIFS($A:$A,drvlst[[#This Row],[tmp-number]],$O:$O, "BJ And dev",$U:$U, "Review-1"))</f>
        <v/>
      </c>
      <c r="R363" s="7" t="str">
        <f>IF(ISBLANK(drvlst[[#This Row],[number]]), "",COUNTIFS($A:$A,drvlst[[#This Row],[tmp-number]],$O:$O, "FL And dev",$U:$U, "Review-1"))</f>
        <v/>
      </c>
      <c r="S363" s="7" t="str">
        <f>IF(ISBLANK(drvlst[[#This Row],[number]]), "",COUNTIFS($A:$A,drvlst[[#This Row],[tmp-number]],$O:$O, "BJ And dev",$V:$V, "&lt;&gt;IntegratorComment"))</f>
        <v/>
      </c>
      <c r="T363" s="7" t="str">
        <f>IF(ISBLANK(drvlst[[#This Row],[number]]), "",COUNTIFS($A:$A,drvlst[[#This Row],[tmp-number]],$O:$O, "FL And dev",$V:$V, "&lt;&gt;IntegratorComment"))</f>
        <v/>
      </c>
      <c r="U363" s="7" t="str">
        <f>IF(OR(ISNUMBER(FIND("Review-1", drvlst[[#This Row],[comments]])), ISNUMBER(FIND("Approver-1", drvlst[[#This Row],[comments]]))), "Review-1", "")</f>
        <v/>
      </c>
      <c r="V363" s="7" t="str">
        <f>IF(OR(ISNUMBER(FIND(": Integrator", drvlst[[#This Row],[comments]])), ISNUMBER(FIND(":\n\nIntegrator", drvlst[[#This Row],[comments]])), ISNUMBER(FIND("-Integrator", drvlst[[#This Row],[comments]]))), "IntegratorComment", "")</f>
        <v/>
      </c>
      <c r="W363" s="7" t="str">
        <f>IF(ISBLANK(drvlst[[#This Row],[status]]),W362,drvlst[[#This Row],[status]])</f>
        <v>MERGED</v>
      </c>
    </row>
    <row r="364" spans="1:23">
      <c r="A364" s="7">
        <f>IF(ISBLANK(drvlst[[#This Row],[number]]),A363,drvlst[[#This Row],[number]])</f>
        <v>91547</v>
      </c>
      <c r="B364">
        <v>91547</v>
      </c>
      <c r="C364" t="s">
        <v>84</v>
      </c>
      <c r="D364" t="s">
        <v>103</v>
      </c>
      <c r="E364" t="s">
        <v>23</v>
      </c>
      <c r="F364" t="s">
        <v>2006</v>
      </c>
      <c r="G364" t="s">
        <v>2007</v>
      </c>
      <c r="H364" s="8">
        <v>42360.788391203707</v>
      </c>
      <c r="I364" s="8">
        <v>42394.612881944442</v>
      </c>
      <c r="J364" t="s">
        <v>103</v>
      </c>
      <c r="K364" s="8">
        <v>42360.788391203707</v>
      </c>
      <c r="L364" t="s">
        <v>25</v>
      </c>
      <c r="M364" s="7" t="str">
        <f>IF(ISBLANK(drvlst[[#This Row],[owner.emal]]),M363,drvlst[[#This Row],[owner.emal]])</f>
        <v>jouni.ukkonen@intel.com</v>
      </c>
      <c r="N364" s="7">
        <f>_xlfn.IFNA(VLOOKUP(drvlst[[#This Row],[tmp-owner.email]],OrgTree!$A:$J, 10, 0), "not ICG SWFW")</f>
        <v>0</v>
      </c>
      <c r="O364" s="7" t="str">
        <f>IF(drvlst[[#This Row],[reviewer]]=drvlst[[#This Row],[tmp-owner.email]], "author", _xlfn.IFNA(VLOOKUP(drvlst[[#This Row],[reviewer]],OrgTree!$A:$J, 10, 0), "not ICG SWFW"))</f>
        <v>author</v>
      </c>
      <c r="P364" s="7">
        <f>IF(ISBLANK(drvlst[[#This Row],[number]]), "",SUM(drvlst[[#This Row],[BJ -1 num]],drvlst[[#This Row],[FI -1 num]]))</f>
        <v>0</v>
      </c>
      <c r="Q364" s="7">
        <f>IF(ISBLANK(drvlst[[#This Row],[number]]), "",COUNTIFS($A:$A,drvlst[[#This Row],[tmp-number]],$O:$O, "BJ And dev",$U:$U, "Review-1"))</f>
        <v>0</v>
      </c>
      <c r="R364" s="7">
        <f>IF(ISBLANK(drvlst[[#This Row],[number]]), "",COUNTIFS($A:$A,drvlst[[#This Row],[tmp-number]],$O:$O, "FL And dev",$U:$U, "Review-1"))</f>
        <v>0</v>
      </c>
      <c r="S364" s="7">
        <f>IF(ISBLANK(drvlst[[#This Row],[number]]), "",COUNTIFS($A:$A,drvlst[[#This Row],[tmp-number]],$O:$O, "BJ And dev",$V:$V, "&lt;&gt;IntegratorComment"))</f>
        <v>0</v>
      </c>
      <c r="T364" s="7">
        <f>IF(ISBLANK(drvlst[[#This Row],[number]]), "",COUNTIFS($A:$A,drvlst[[#This Row],[tmp-number]],$O:$O, "FL And dev",$V:$V, "&lt;&gt;IntegratorComment"))</f>
        <v>0</v>
      </c>
      <c r="U364" s="7" t="str">
        <f>IF(OR(ISNUMBER(FIND("Review-1", drvlst[[#This Row],[comments]])), ISNUMBER(FIND("Approver-1", drvlst[[#This Row],[comments]]))), "Review-1", "")</f>
        <v/>
      </c>
      <c r="V364" s="7" t="str">
        <f>IF(OR(ISNUMBER(FIND(": Integrator", drvlst[[#This Row],[comments]])), ISNUMBER(FIND(":\n\nIntegrator", drvlst[[#This Row],[comments]])), ISNUMBER(FIND("-Integrator", drvlst[[#This Row],[comments]]))), "IntegratorComment", "")</f>
        <v/>
      </c>
      <c r="W364" s="7" t="str">
        <f>IF(ISBLANK(drvlst[[#This Row],[status]]),W363,drvlst[[#This Row],[status]])</f>
        <v>MERGED</v>
      </c>
    </row>
    <row r="365" spans="1:23">
      <c r="A365" s="7">
        <f>IF(ISBLANK(drvlst[[#This Row],[number]]),A364,drvlst[[#This Row],[number]])</f>
        <v>91547</v>
      </c>
      <c r="J365" t="s">
        <v>103</v>
      </c>
      <c r="K365" s="8">
        <v>42360.788391203707</v>
      </c>
      <c r="L365" t="s">
        <v>85</v>
      </c>
      <c r="M365" s="7" t="str">
        <f>IF(ISBLANK(drvlst[[#This Row],[owner.emal]]),M364,drvlst[[#This Row],[owner.emal]])</f>
        <v>jouni.ukkonen@intel.com</v>
      </c>
      <c r="N365" s="7">
        <f>_xlfn.IFNA(VLOOKUP(drvlst[[#This Row],[tmp-owner.email]],OrgTree!$A:$J, 10, 0), "not ICG SWFW")</f>
        <v>0</v>
      </c>
      <c r="O365" s="7" t="str">
        <f>IF(drvlst[[#This Row],[reviewer]]=drvlst[[#This Row],[tmp-owner.email]], "author", _xlfn.IFNA(VLOOKUP(drvlst[[#This Row],[reviewer]],OrgTree!$A:$J, 10, 0), "not ICG SWFW"))</f>
        <v>author</v>
      </c>
      <c r="P365" s="7" t="str">
        <f>IF(ISBLANK(drvlst[[#This Row],[number]]), "",SUM(drvlst[[#This Row],[BJ -1 num]],drvlst[[#This Row],[FI -1 num]]))</f>
        <v/>
      </c>
      <c r="Q365" s="7" t="str">
        <f>IF(ISBLANK(drvlst[[#This Row],[number]]), "",COUNTIFS($A:$A,drvlst[[#This Row],[tmp-number]],$O:$O, "BJ And dev",$U:$U, "Review-1"))</f>
        <v/>
      </c>
      <c r="R365" s="7" t="str">
        <f>IF(ISBLANK(drvlst[[#This Row],[number]]), "",COUNTIFS($A:$A,drvlst[[#This Row],[tmp-number]],$O:$O, "FL And dev",$U:$U, "Review-1"))</f>
        <v/>
      </c>
      <c r="S365" s="7" t="str">
        <f>IF(ISBLANK(drvlst[[#This Row],[number]]), "",COUNTIFS($A:$A,drvlst[[#This Row],[tmp-number]],$O:$O, "BJ And dev",$V:$V, "&lt;&gt;IntegratorComment"))</f>
        <v/>
      </c>
      <c r="T365" s="7" t="str">
        <f>IF(ISBLANK(drvlst[[#This Row],[number]]), "",COUNTIFS($A:$A,drvlst[[#This Row],[tmp-number]],$O:$O, "FL And dev",$V:$V, "&lt;&gt;IntegratorComment"))</f>
        <v/>
      </c>
      <c r="U365" s="7" t="str">
        <f>IF(OR(ISNUMBER(FIND("Review-1", drvlst[[#This Row],[comments]])), ISNUMBER(FIND("Approver-1", drvlst[[#This Row],[comments]]))), "Review-1", "")</f>
        <v/>
      </c>
      <c r="V365" s="7" t="str">
        <f>IF(OR(ISNUMBER(FIND(": Integrator", drvlst[[#This Row],[comments]])), ISNUMBER(FIND(":\n\nIntegrator", drvlst[[#This Row],[comments]])), ISNUMBER(FIND("-Integrator", drvlst[[#This Row],[comments]]))), "IntegratorComment", "")</f>
        <v/>
      </c>
      <c r="W365" s="7" t="str">
        <f>IF(ISBLANK(drvlst[[#This Row],[status]]),W364,drvlst[[#This Row],[status]])</f>
        <v>MERGED</v>
      </c>
    </row>
    <row r="366" spans="1:23">
      <c r="A366" s="7">
        <f>IF(ISBLANK(drvlst[[#This Row],[number]]),A365,drvlst[[#This Row],[number]])</f>
        <v>91547</v>
      </c>
      <c r="J366" t="s">
        <v>30</v>
      </c>
      <c r="K366" s="8">
        <v>42382.616932870369</v>
      </c>
      <c r="L366" t="s">
        <v>46</v>
      </c>
      <c r="M366" s="7" t="str">
        <f>IF(ISBLANK(drvlst[[#This Row],[owner.emal]]),M365,drvlst[[#This Row],[owner.emal]])</f>
        <v>jouni.ukkonen@intel.com</v>
      </c>
      <c r="N366" s="7">
        <f>_xlfn.IFNA(VLOOKUP(drvlst[[#This Row],[tmp-owner.email]],OrgTree!$A:$J, 10, 0), "not ICG SWFW")</f>
        <v>0</v>
      </c>
      <c r="O366" s="7">
        <f>IF(drvlst[[#This Row],[reviewer]]=drvlst[[#This Row],[tmp-owner.email]], "author", _xlfn.IFNA(VLOOKUP(drvlst[[#This Row],[reviewer]],OrgTree!$A:$J, 10, 0), "not ICG SWFW"))</f>
        <v>0</v>
      </c>
      <c r="P366" s="7" t="str">
        <f>IF(ISBLANK(drvlst[[#This Row],[number]]), "",SUM(drvlst[[#This Row],[BJ -1 num]],drvlst[[#This Row],[FI -1 num]]))</f>
        <v/>
      </c>
      <c r="Q366" s="7" t="str">
        <f>IF(ISBLANK(drvlst[[#This Row],[number]]), "",COUNTIFS($A:$A,drvlst[[#This Row],[tmp-number]],$O:$O, "BJ And dev",$U:$U, "Review-1"))</f>
        <v/>
      </c>
      <c r="R366" s="7" t="str">
        <f>IF(ISBLANK(drvlst[[#This Row],[number]]), "",COUNTIFS($A:$A,drvlst[[#This Row],[tmp-number]],$O:$O, "FL And dev",$U:$U, "Review-1"))</f>
        <v/>
      </c>
      <c r="S366" s="7" t="str">
        <f>IF(ISBLANK(drvlst[[#This Row],[number]]), "",COUNTIFS($A:$A,drvlst[[#This Row],[tmp-number]],$O:$O, "BJ And dev",$V:$V, "&lt;&gt;IntegratorComment"))</f>
        <v/>
      </c>
      <c r="T366" s="7" t="str">
        <f>IF(ISBLANK(drvlst[[#This Row],[number]]), "",COUNTIFS($A:$A,drvlst[[#This Row],[tmp-number]],$O:$O, "FL And dev",$V:$V, "&lt;&gt;IntegratorComment"))</f>
        <v/>
      </c>
      <c r="U366" s="7" t="str">
        <f>IF(OR(ISNUMBER(FIND("Review-1", drvlst[[#This Row],[comments]])), ISNUMBER(FIND("Approver-1", drvlst[[#This Row],[comments]]))), "Review-1", "")</f>
        <v/>
      </c>
      <c r="V366" s="7" t="str">
        <f>IF(OR(ISNUMBER(FIND(": Integrator", drvlst[[#This Row],[comments]])), ISNUMBER(FIND(":\n\nIntegrator", drvlst[[#This Row],[comments]])), ISNUMBER(FIND("-Integrator", drvlst[[#This Row],[comments]]))), "IntegratorComment", "")</f>
        <v/>
      </c>
      <c r="W366" s="7" t="str">
        <f>IF(ISBLANK(drvlst[[#This Row],[status]]),W365,drvlst[[#This Row],[status]])</f>
        <v>MERGED</v>
      </c>
    </row>
    <row r="367" spans="1:23">
      <c r="A367" s="7">
        <f>IF(ISBLANK(drvlst[[#This Row],[number]]),A366,drvlst[[#This Row],[number]])</f>
        <v>91547</v>
      </c>
      <c r="J367" t="s">
        <v>103</v>
      </c>
      <c r="K367" s="8">
        <v>42382.693923611114</v>
      </c>
      <c r="L367" t="s">
        <v>40</v>
      </c>
      <c r="M367" s="7" t="str">
        <f>IF(ISBLANK(drvlst[[#This Row],[owner.emal]]),M366,drvlst[[#This Row],[owner.emal]])</f>
        <v>jouni.ukkonen@intel.com</v>
      </c>
      <c r="N367" s="7">
        <f>_xlfn.IFNA(VLOOKUP(drvlst[[#This Row],[tmp-owner.email]],OrgTree!$A:$J, 10, 0), "not ICG SWFW")</f>
        <v>0</v>
      </c>
      <c r="O367" s="7" t="str">
        <f>IF(drvlst[[#This Row],[reviewer]]=drvlst[[#This Row],[tmp-owner.email]], "author", _xlfn.IFNA(VLOOKUP(drvlst[[#This Row],[reviewer]],OrgTree!$A:$J, 10, 0), "not ICG SWFW"))</f>
        <v>author</v>
      </c>
      <c r="P367" s="7" t="str">
        <f>IF(ISBLANK(drvlst[[#This Row],[number]]), "",SUM(drvlst[[#This Row],[BJ -1 num]],drvlst[[#This Row],[FI -1 num]]))</f>
        <v/>
      </c>
      <c r="Q367" s="7" t="str">
        <f>IF(ISBLANK(drvlst[[#This Row],[number]]), "",COUNTIFS($A:$A,drvlst[[#This Row],[tmp-number]],$O:$O, "BJ And dev",$U:$U, "Review-1"))</f>
        <v/>
      </c>
      <c r="R367" s="7" t="str">
        <f>IF(ISBLANK(drvlst[[#This Row],[number]]), "",COUNTIFS($A:$A,drvlst[[#This Row],[tmp-number]],$O:$O, "FL And dev",$U:$U, "Review-1"))</f>
        <v/>
      </c>
      <c r="S367" s="7" t="str">
        <f>IF(ISBLANK(drvlst[[#This Row],[number]]), "",COUNTIFS($A:$A,drvlst[[#This Row],[tmp-number]],$O:$O, "BJ And dev",$V:$V, "&lt;&gt;IntegratorComment"))</f>
        <v/>
      </c>
      <c r="T367" s="7" t="str">
        <f>IF(ISBLANK(drvlst[[#This Row],[number]]), "",COUNTIFS($A:$A,drvlst[[#This Row],[tmp-number]],$O:$O, "FL And dev",$V:$V, "&lt;&gt;IntegratorComment"))</f>
        <v/>
      </c>
      <c r="U367" s="7" t="str">
        <f>IF(OR(ISNUMBER(FIND("Review-1", drvlst[[#This Row],[comments]])), ISNUMBER(FIND("Approver-1", drvlst[[#This Row],[comments]]))), "Review-1", "")</f>
        <v/>
      </c>
      <c r="V367" s="7" t="str">
        <f>IF(OR(ISNUMBER(FIND(": Integrator", drvlst[[#This Row],[comments]])), ISNUMBER(FIND(":\n\nIntegrator", drvlst[[#This Row],[comments]])), ISNUMBER(FIND("-Integrator", drvlst[[#This Row],[comments]]))), "IntegratorComment", "")</f>
        <v/>
      </c>
      <c r="W367" s="7" t="str">
        <f>IF(ISBLANK(drvlst[[#This Row],[status]]),W366,drvlst[[#This Row],[status]])</f>
        <v>MERGED</v>
      </c>
    </row>
    <row r="368" spans="1:23">
      <c r="A368" s="7">
        <f>IF(ISBLANK(drvlst[[#This Row],[number]]),A367,drvlst[[#This Row],[number]])</f>
        <v>91547</v>
      </c>
      <c r="J368" t="s">
        <v>86</v>
      </c>
      <c r="K368" s="8">
        <v>42388.661192129628</v>
      </c>
      <c r="L368" t="s">
        <v>40</v>
      </c>
      <c r="M368" s="7" t="str">
        <f>IF(ISBLANK(drvlst[[#This Row],[owner.emal]]),M367,drvlst[[#This Row],[owner.emal]])</f>
        <v>jouni.ukkonen@intel.com</v>
      </c>
      <c r="N368" s="7">
        <f>_xlfn.IFNA(VLOOKUP(drvlst[[#This Row],[tmp-owner.email]],OrgTree!$A:$J, 10, 0), "not ICG SWFW")</f>
        <v>0</v>
      </c>
      <c r="O368" s="7">
        <f>IF(drvlst[[#This Row],[reviewer]]=drvlst[[#This Row],[tmp-owner.email]], "author", _xlfn.IFNA(VLOOKUP(drvlst[[#This Row],[reviewer]],OrgTree!$A:$J, 10, 0), "not ICG SWFW"))</f>
        <v>0</v>
      </c>
      <c r="P368" s="7" t="str">
        <f>IF(ISBLANK(drvlst[[#This Row],[number]]), "",SUM(drvlst[[#This Row],[BJ -1 num]],drvlst[[#This Row],[FI -1 num]]))</f>
        <v/>
      </c>
      <c r="Q368" s="7" t="str">
        <f>IF(ISBLANK(drvlst[[#This Row],[number]]), "",COUNTIFS($A:$A,drvlst[[#This Row],[tmp-number]],$O:$O, "BJ And dev",$U:$U, "Review-1"))</f>
        <v/>
      </c>
      <c r="R368" s="7" t="str">
        <f>IF(ISBLANK(drvlst[[#This Row],[number]]), "",COUNTIFS($A:$A,drvlst[[#This Row],[tmp-number]],$O:$O, "FL And dev",$U:$U, "Review-1"))</f>
        <v/>
      </c>
      <c r="S368" s="7" t="str">
        <f>IF(ISBLANK(drvlst[[#This Row],[number]]), "",COUNTIFS($A:$A,drvlst[[#This Row],[tmp-number]],$O:$O, "BJ And dev",$V:$V, "&lt;&gt;IntegratorComment"))</f>
        <v/>
      </c>
      <c r="T368" s="7" t="str">
        <f>IF(ISBLANK(drvlst[[#This Row],[number]]), "",COUNTIFS($A:$A,drvlst[[#This Row],[tmp-number]],$O:$O, "FL And dev",$V:$V, "&lt;&gt;IntegratorComment"))</f>
        <v/>
      </c>
      <c r="U368" s="7" t="str">
        <f>IF(OR(ISNUMBER(FIND("Review-1", drvlst[[#This Row],[comments]])), ISNUMBER(FIND("Approver-1", drvlst[[#This Row],[comments]]))), "Review-1", "")</f>
        <v/>
      </c>
      <c r="V368" s="7" t="str">
        <f>IF(OR(ISNUMBER(FIND(": Integrator", drvlst[[#This Row],[comments]])), ISNUMBER(FIND(":\n\nIntegrator", drvlst[[#This Row],[comments]])), ISNUMBER(FIND("-Integrator", drvlst[[#This Row],[comments]]))), "IntegratorComment", "")</f>
        <v/>
      </c>
      <c r="W368" s="7" t="str">
        <f>IF(ISBLANK(drvlst[[#This Row],[status]]),W367,drvlst[[#This Row],[status]])</f>
        <v>MERGED</v>
      </c>
    </row>
    <row r="369" spans="1:23">
      <c r="A369" s="7">
        <f>IF(ISBLANK(drvlst[[#This Row],[number]]),A368,drvlst[[#This Row],[number]])</f>
        <v>91547</v>
      </c>
      <c r="J369" t="s">
        <v>91</v>
      </c>
      <c r="K369" s="8">
        <v>42390.73296296296</v>
      </c>
      <c r="L369" t="s">
        <v>1880</v>
      </c>
      <c r="M369" s="7" t="str">
        <f>IF(ISBLANK(drvlst[[#This Row],[owner.emal]]),M368,drvlst[[#This Row],[owner.emal]])</f>
        <v>jouni.ukkonen@intel.com</v>
      </c>
      <c r="N369" s="7">
        <f>_xlfn.IFNA(VLOOKUP(drvlst[[#This Row],[tmp-owner.email]],OrgTree!$A:$J, 10, 0), "not ICG SWFW")</f>
        <v>0</v>
      </c>
      <c r="O369" s="7">
        <f>IF(drvlst[[#This Row],[reviewer]]=drvlst[[#This Row],[tmp-owner.email]], "author", _xlfn.IFNA(VLOOKUP(drvlst[[#This Row],[reviewer]],OrgTree!$A:$J, 10, 0), "not ICG SWFW"))</f>
        <v>0</v>
      </c>
      <c r="P369" s="7" t="str">
        <f>IF(ISBLANK(drvlst[[#This Row],[number]]), "",SUM(drvlst[[#This Row],[BJ -1 num]],drvlst[[#This Row],[FI -1 num]]))</f>
        <v/>
      </c>
      <c r="Q369" s="7" t="str">
        <f>IF(ISBLANK(drvlst[[#This Row],[number]]), "",COUNTIFS($A:$A,drvlst[[#This Row],[tmp-number]],$O:$O, "BJ And dev",$U:$U, "Review-1"))</f>
        <v/>
      </c>
      <c r="R369" s="7" t="str">
        <f>IF(ISBLANK(drvlst[[#This Row],[number]]), "",COUNTIFS($A:$A,drvlst[[#This Row],[tmp-number]],$O:$O, "FL And dev",$U:$U, "Review-1"))</f>
        <v/>
      </c>
      <c r="S369" s="7" t="str">
        <f>IF(ISBLANK(drvlst[[#This Row],[number]]), "",COUNTIFS($A:$A,drvlst[[#This Row],[tmp-number]],$O:$O, "BJ And dev",$V:$V, "&lt;&gt;IntegratorComment"))</f>
        <v/>
      </c>
      <c r="T369" s="7" t="str">
        <f>IF(ISBLANK(drvlst[[#This Row],[number]]), "",COUNTIFS($A:$A,drvlst[[#This Row],[tmp-number]],$O:$O, "FL And dev",$V:$V, "&lt;&gt;IntegratorComment"))</f>
        <v/>
      </c>
      <c r="U369" s="7" t="str">
        <f>IF(OR(ISNUMBER(FIND("Review-1", drvlst[[#This Row],[comments]])), ISNUMBER(FIND("Approver-1", drvlst[[#This Row],[comments]]))), "Review-1", "")</f>
        <v/>
      </c>
      <c r="V369" s="7" t="str">
        <f>IF(OR(ISNUMBER(FIND(": Integrator", drvlst[[#This Row],[comments]])), ISNUMBER(FIND(":\n\nIntegrator", drvlst[[#This Row],[comments]])), ISNUMBER(FIND("-Integrator", drvlst[[#This Row],[comments]]))), "IntegratorComment", "")</f>
        <v/>
      </c>
      <c r="W369" s="7" t="str">
        <f>IF(ISBLANK(drvlst[[#This Row],[status]]),W368,drvlst[[#This Row],[status]])</f>
        <v>MERGED</v>
      </c>
    </row>
    <row r="370" spans="1:23">
      <c r="A370" s="7">
        <f>IF(ISBLANK(drvlst[[#This Row],[number]]),A369,drvlst[[#This Row],[number]])</f>
        <v>91547</v>
      </c>
      <c r="J370" t="s">
        <v>34</v>
      </c>
      <c r="K370" s="8">
        <v>42391.593136574076</v>
      </c>
      <c r="L370" t="s">
        <v>87</v>
      </c>
      <c r="M370" s="7" t="str">
        <f>IF(ISBLANK(drvlst[[#This Row],[owner.emal]]),M369,drvlst[[#This Row],[owner.emal]])</f>
        <v>jouni.ukkonen@intel.com</v>
      </c>
      <c r="N370" s="7">
        <f>_xlfn.IFNA(VLOOKUP(drvlst[[#This Row],[tmp-owner.email]],OrgTree!$A:$J, 10, 0), "not ICG SWFW")</f>
        <v>0</v>
      </c>
      <c r="O370" s="7">
        <f>IF(drvlst[[#This Row],[reviewer]]=drvlst[[#This Row],[tmp-owner.email]], "author", _xlfn.IFNA(VLOOKUP(drvlst[[#This Row],[reviewer]],OrgTree!$A:$J, 10, 0), "not ICG SWFW"))</f>
        <v>0</v>
      </c>
      <c r="P370" s="7" t="str">
        <f>IF(ISBLANK(drvlst[[#This Row],[number]]), "",SUM(drvlst[[#This Row],[BJ -1 num]],drvlst[[#This Row],[FI -1 num]]))</f>
        <v/>
      </c>
      <c r="Q370" s="7" t="str">
        <f>IF(ISBLANK(drvlst[[#This Row],[number]]), "",COUNTIFS($A:$A,drvlst[[#This Row],[tmp-number]],$O:$O, "BJ And dev",$U:$U, "Review-1"))</f>
        <v/>
      </c>
      <c r="R370" s="7" t="str">
        <f>IF(ISBLANK(drvlst[[#This Row],[number]]), "",COUNTIFS($A:$A,drvlst[[#This Row],[tmp-number]],$O:$O, "FL And dev",$U:$U, "Review-1"))</f>
        <v/>
      </c>
      <c r="S370" s="7" t="str">
        <f>IF(ISBLANK(drvlst[[#This Row],[number]]), "",COUNTIFS($A:$A,drvlst[[#This Row],[tmp-number]],$O:$O, "BJ And dev",$V:$V, "&lt;&gt;IntegratorComment"))</f>
        <v/>
      </c>
      <c r="T370" s="7" t="str">
        <f>IF(ISBLANK(drvlst[[#This Row],[number]]), "",COUNTIFS($A:$A,drvlst[[#This Row],[tmp-number]],$O:$O, "FL And dev",$V:$V, "&lt;&gt;IntegratorComment"))</f>
        <v/>
      </c>
      <c r="U370" s="7" t="str">
        <f>IF(OR(ISNUMBER(FIND("Review-1", drvlst[[#This Row],[comments]])), ISNUMBER(FIND("Approver-1", drvlst[[#This Row],[comments]]))), "Review-1", "")</f>
        <v/>
      </c>
      <c r="V370" s="7" t="str">
        <f>IF(OR(ISNUMBER(FIND(": Integrator", drvlst[[#This Row],[comments]])), ISNUMBER(FIND(":\n\nIntegrator", drvlst[[#This Row],[comments]])), ISNUMBER(FIND("-Integrator", drvlst[[#This Row],[comments]]))), "IntegratorComment", "")</f>
        <v>IntegratorComment</v>
      </c>
      <c r="W370" s="7" t="str">
        <f>IF(ISBLANK(drvlst[[#This Row],[status]]),W369,drvlst[[#This Row],[status]])</f>
        <v>MERGED</v>
      </c>
    </row>
    <row r="371" spans="1:23">
      <c r="A371" s="7">
        <f>IF(ISBLANK(drvlst[[#This Row],[number]]),A370,drvlst[[#This Row],[number]])</f>
        <v>91547</v>
      </c>
      <c r="J371" t="s">
        <v>34</v>
      </c>
      <c r="K371" s="8">
        <v>42391.747581018521</v>
      </c>
      <c r="L371" t="s">
        <v>88</v>
      </c>
      <c r="M371" s="7" t="str">
        <f>IF(ISBLANK(drvlst[[#This Row],[owner.emal]]),M370,drvlst[[#This Row],[owner.emal]])</f>
        <v>jouni.ukkonen@intel.com</v>
      </c>
      <c r="N371" s="7">
        <f>_xlfn.IFNA(VLOOKUP(drvlst[[#This Row],[tmp-owner.email]],OrgTree!$A:$J, 10, 0), "not ICG SWFW")</f>
        <v>0</v>
      </c>
      <c r="O371" s="7">
        <f>IF(drvlst[[#This Row],[reviewer]]=drvlst[[#This Row],[tmp-owner.email]], "author", _xlfn.IFNA(VLOOKUP(drvlst[[#This Row],[reviewer]],OrgTree!$A:$J, 10, 0), "not ICG SWFW"))</f>
        <v>0</v>
      </c>
      <c r="P371" s="7" t="str">
        <f>IF(ISBLANK(drvlst[[#This Row],[number]]), "",SUM(drvlst[[#This Row],[BJ -1 num]],drvlst[[#This Row],[FI -1 num]]))</f>
        <v/>
      </c>
      <c r="Q371" s="7" t="str">
        <f>IF(ISBLANK(drvlst[[#This Row],[number]]), "",COUNTIFS($A:$A,drvlst[[#This Row],[tmp-number]],$O:$O, "BJ And dev",$U:$U, "Review-1"))</f>
        <v/>
      </c>
      <c r="R371" s="7" t="str">
        <f>IF(ISBLANK(drvlst[[#This Row],[number]]), "",COUNTIFS($A:$A,drvlst[[#This Row],[tmp-number]],$O:$O, "FL And dev",$U:$U, "Review-1"))</f>
        <v/>
      </c>
      <c r="S371" s="7" t="str">
        <f>IF(ISBLANK(drvlst[[#This Row],[number]]), "",COUNTIFS($A:$A,drvlst[[#This Row],[tmp-number]],$O:$O, "BJ And dev",$V:$V, "&lt;&gt;IntegratorComment"))</f>
        <v/>
      </c>
      <c r="T371" s="7" t="str">
        <f>IF(ISBLANK(drvlst[[#This Row],[number]]), "",COUNTIFS($A:$A,drvlst[[#This Row],[tmp-number]],$O:$O, "FL And dev",$V:$V, "&lt;&gt;IntegratorComment"))</f>
        <v/>
      </c>
      <c r="U371" s="7" t="str">
        <f>IF(OR(ISNUMBER(FIND("Review-1", drvlst[[#This Row],[comments]])), ISNUMBER(FIND("Approver-1", drvlst[[#This Row],[comments]]))), "Review-1", "")</f>
        <v/>
      </c>
      <c r="V371" s="7" t="str">
        <f>IF(OR(ISNUMBER(FIND(": Integrator", drvlst[[#This Row],[comments]])), ISNUMBER(FIND(":\n\nIntegrator", drvlst[[#This Row],[comments]])), ISNUMBER(FIND("-Integrator", drvlst[[#This Row],[comments]]))), "IntegratorComment", "")</f>
        <v/>
      </c>
      <c r="W371" s="7" t="str">
        <f>IF(ISBLANK(drvlst[[#This Row],[status]]),W370,drvlst[[#This Row],[status]])</f>
        <v>MERGED</v>
      </c>
    </row>
    <row r="372" spans="1:23">
      <c r="A372" s="7">
        <f>IF(ISBLANK(drvlst[[#This Row],[number]]),A371,drvlst[[#This Row],[number]])</f>
        <v>91547</v>
      </c>
      <c r="J372" t="s">
        <v>34</v>
      </c>
      <c r="K372" s="8">
        <v>42391.808958333335</v>
      </c>
      <c r="L372" t="s">
        <v>89</v>
      </c>
      <c r="M372" s="7" t="str">
        <f>IF(ISBLANK(drvlst[[#This Row],[owner.emal]]),M371,drvlst[[#This Row],[owner.emal]])</f>
        <v>jouni.ukkonen@intel.com</v>
      </c>
      <c r="N372" s="7">
        <f>_xlfn.IFNA(VLOOKUP(drvlst[[#This Row],[tmp-owner.email]],OrgTree!$A:$J, 10, 0), "not ICG SWFW")</f>
        <v>0</v>
      </c>
      <c r="O372" s="7">
        <f>IF(drvlst[[#This Row],[reviewer]]=drvlst[[#This Row],[tmp-owner.email]], "author", _xlfn.IFNA(VLOOKUP(drvlst[[#This Row],[reviewer]],OrgTree!$A:$J, 10, 0), "not ICG SWFW"))</f>
        <v>0</v>
      </c>
      <c r="P372" s="7" t="str">
        <f>IF(ISBLANK(drvlst[[#This Row],[number]]), "",SUM(drvlst[[#This Row],[BJ -1 num]],drvlst[[#This Row],[FI -1 num]]))</f>
        <v/>
      </c>
      <c r="Q372" s="7" t="str">
        <f>IF(ISBLANK(drvlst[[#This Row],[number]]), "",COUNTIFS($A:$A,drvlst[[#This Row],[tmp-number]],$O:$O, "BJ And dev",$U:$U, "Review-1"))</f>
        <v/>
      </c>
      <c r="R372" s="7" t="str">
        <f>IF(ISBLANK(drvlst[[#This Row],[number]]), "",COUNTIFS($A:$A,drvlst[[#This Row],[tmp-number]],$O:$O, "FL And dev",$U:$U, "Review-1"))</f>
        <v/>
      </c>
      <c r="S372" s="7" t="str">
        <f>IF(ISBLANK(drvlst[[#This Row],[number]]), "",COUNTIFS($A:$A,drvlst[[#This Row],[tmp-number]],$O:$O, "BJ And dev",$V:$V, "&lt;&gt;IntegratorComment"))</f>
        <v/>
      </c>
      <c r="T372" s="7" t="str">
        <f>IF(ISBLANK(drvlst[[#This Row],[number]]), "",COUNTIFS($A:$A,drvlst[[#This Row],[tmp-number]],$O:$O, "FL And dev",$V:$V, "&lt;&gt;IntegratorComment"))</f>
        <v/>
      </c>
      <c r="U372" s="7" t="str">
        <f>IF(OR(ISNUMBER(FIND("Review-1", drvlst[[#This Row],[comments]])), ISNUMBER(FIND("Approver-1", drvlst[[#This Row],[comments]]))), "Review-1", "")</f>
        <v/>
      </c>
      <c r="V372" s="7" t="str">
        <f>IF(OR(ISNUMBER(FIND(": Integrator", drvlst[[#This Row],[comments]])), ISNUMBER(FIND(":\n\nIntegrator", drvlst[[#This Row],[comments]])), ISNUMBER(FIND("-Integrator", drvlst[[#This Row],[comments]]))), "IntegratorComment", "")</f>
        <v/>
      </c>
      <c r="W372" s="7" t="str">
        <f>IF(ISBLANK(drvlst[[#This Row],[status]]),W371,drvlst[[#This Row],[status]])</f>
        <v>MERGED</v>
      </c>
    </row>
    <row r="373" spans="1:23">
      <c r="A373" s="7">
        <f>IF(ISBLANK(drvlst[[#This Row],[number]]),A372,drvlst[[#This Row],[number]])</f>
        <v>91547</v>
      </c>
      <c r="J373" t="s">
        <v>34</v>
      </c>
      <c r="K373" s="8">
        <v>42391.896111111113</v>
      </c>
      <c r="L373" t="s">
        <v>89</v>
      </c>
      <c r="M373" s="7" t="str">
        <f>IF(ISBLANK(drvlst[[#This Row],[owner.emal]]),M372,drvlst[[#This Row],[owner.emal]])</f>
        <v>jouni.ukkonen@intel.com</v>
      </c>
      <c r="N373" s="7">
        <f>_xlfn.IFNA(VLOOKUP(drvlst[[#This Row],[tmp-owner.email]],OrgTree!$A:$J, 10, 0), "not ICG SWFW")</f>
        <v>0</v>
      </c>
      <c r="O373" s="7">
        <f>IF(drvlst[[#This Row],[reviewer]]=drvlst[[#This Row],[tmp-owner.email]], "author", _xlfn.IFNA(VLOOKUP(drvlst[[#This Row],[reviewer]],OrgTree!$A:$J, 10, 0), "not ICG SWFW"))</f>
        <v>0</v>
      </c>
      <c r="P373" s="7" t="str">
        <f>IF(ISBLANK(drvlst[[#This Row],[number]]), "",SUM(drvlst[[#This Row],[BJ -1 num]],drvlst[[#This Row],[FI -1 num]]))</f>
        <v/>
      </c>
      <c r="Q373" s="7" t="str">
        <f>IF(ISBLANK(drvlst[[#This Row],[number]]), "",COUNTIFS($A:$A,drvlst[[#This Row],[tmp-number]],$O:$O, "BJ And dev",$U:$U, "Review-1"))</f>
        <v/>
      </c>
      <c r="R373" s="7" t="str">
        <f>IF(ISBLANK(drvlst[[#This Row],[number]]), "",COUNTIFS($A:$A,drvlst[[#This Row],[tmp-number]],$O:$O, "FL And dev",$U:$U, "Review-1"))</f>
        <v/>
      </c>
      <c r="S373" s="7" t="str">
        <f>IF(ISBLANK(drvlst[[#This Row],[number]]), "",COUNTIFS($A:$A,drvlst[[#This Row],[tmp-number]],$O:$O, "BJ And dev",$V:$V, "&lt;&gt;IntegratorComment"))</f>
        <v/>
      </c>
      <c r="T373" s="7" t="str">
        <f>IF(ISBLANK(drvlst[[#This Row],[number]]), "",COUNTIFS($A:$A,drvlst[[#This Row],[tmp-number]],$O:$O, "FL And dev",$V:$V, "&lt;&gt;IntegratorComment"))</f>
        <v/>
      </c>
      <c r="U373" s="7" t="str">
        <f>IF(OR(ISNUMBER(FIND("Review-1", drvlst[[#This Row],[comments]])), ISNUMBER(FIND("Approver-1", drvlst[[#This Row],[comments]]))), "Review-1", "")</f>
        <v/>
      </c>
      <c r="V373" s="7" t="str">
        <f>IF(OR(ISNUMBER(FIND(": Integrator", drvlst[[#This Row],[comments]])), ISNUMBER(FIND(":\n\nIntegrator", drvlst[[#This Row],[comments]])), ISNUMBER(FIND("-Integrator", drvlst[[#This Row],[comments]]))), "IntegratorComment", "")</f>
        <v/>
      </c>
      <c r="W373" s="7" t="str">
        <f>IF(ISBLANK(drvlst[[#This Row],[status]]),W372,drvlst[[#This Row],[status]])</f>
        <v>MERGED</v>
      </c>
    </row>
    <row r="374" spans="1:23">
      <c r="A374" s="7">
        <f>IF(ISBLANK(drvlst[[#This Row],[number]]),A373,drvlst[[#This Row],[number]])</f>
        <v>91547</v>
      </c>
      <c r="J374" t="s">
        <v>34</v>
      </c>
      <c r="K374" s="8">
        <v>42392.483020833337</v>
      </c>
      <c r="L374" t="s">
        <v>88</v>
      </c>
      <c r="M374" s="7" t="str">
        <f>IF(ISBLANK(drvlst[[#This Row],[owner.emal]]),M373,drvlst[[#This Row],[owner.emal]])</f>
        <v>jouni.ukkonen@intel.com</v>
      </c>
      <c r="N374" s="7">
        <f>_xlfn.IFNA(VLOOKUP(drvlst[[#This Row],[tmp-owner.email]],OrgTree!$A:$J, 10, 0), "not ICG SWFW")</f>
        <v>0</v>
      </c>
      <c r="O374" s="7">
        <f>IF(drvlst[[#This Row],[reviewer]]=drvlst[[#This Row],[tmp-owner.email]], "author", _xlfn.IFNA(VLOOKUP(drvlst[[#This Row],[reviewer]],OrgTree!$A:$J, 10, 0), "not ICG SWFW"))</f>
        <v>0</v>
      </c>
      <c r="P374" s="7" t="str">
        <f>IF(ISBLANK(drvlst[[#This Row],[number]]), "",SUM(drvlst[[#This Row],[BJ -1 num]],drvlst[[#This Row],[FI -1 num]]))</f>
        <v/>
      </c>
      <c r="Q374" s="7" t="str">
        <f>IF(ISBLANK(drvlst[[#This Row],[number]]), "",COUNTIFS($A:$A,drvlst[[#This Row],[tmp-number]],$O:$O, "BJ And dev",$U:$U, "Review-1"))</f>
        <v/>
      </c>
      <c r="R374" s="7" t="str">
        <f>IF(ISBLANK(drvlst[[#This Row],[number]]), "",COUNTIFS($A:$A,drvlst[[#This Row],[tmp-number]],$O:$O, "FL And dev",$U:$U, "Review-1"))</f>
        <v/>
      </c>
      <c r="S374" s="7" t="str">
        <f>IF(ISBLANK(drvlst[[#This Row],[number]]), "",COUNTIFS($A:$A,drvlst[[#This Row],[tmp-number]],$O:$O, "BJ And dev",$V:$V, "&lt;&gt;IntegratorComment"))</f>
        <v/>
      </c>
      <c r="T374" s="7" t="str">
        <f>IF(ISBLANK(drvlst[[#This Row],[number]]), "",COUNTIFS($A:$A,drvlst[[#This Row],[tmp-number]],$O:$O, "FL And dev",$V:$V, "&lt;&gt;IntegratorComment"))</f>
        <v/>
      </c>
      <c r="U374" s="7" t="str">
        <f>IF(OR(ISNUMBER(FIND("Review-1", drvlst[[#This Row],[comments]])), ISNUMBER(FIND("Approver-1", drvlst[[#This Row],[comments]]))), "Review-1", "")</f>
        <v/>
      </c>
      <c r="V374" s="7" t="str">
        <f>IF(OR(ISNUMBER(FIND(": Integrator", drvlst[[#This Row],[comments]])), ISNUMBER(FIND(":\n\nIntegrator", drvlst[[#This Row],[comments]])), ISNUMBER(FIND("-Integrator", drvlst[[#This Row],[comments]]))), "IntegratorComment", "")</f>
        <v/>
      </c>
      <c r="W374" s="7" t="str">
        <f>IF(ISBLANK(drvlst[[#This Row],[status]]),W373,drvlst[[#This Row],[status]])</f>
        <v>MERGED</v>
      </c>
    </row>
    <row r="375" spans="1:23">
      <c r="A375" s="7">
        <f>IF(ISBLANK(drvlst[[#This Row],[number]]),A374,drvlst[[#This Row],[number]])</f>
        <v>91547</v>
      </c>
      <c r="J375" t="s">
        <v>34</v>
      </c>
      <c r="K375" s="8">
        <v>42394.611655092594</v>
      </c>
      <c r="L375" t="s">
        <v>90</v>
      </c>
      <c r="M375" s="7" t="str">
        <f>IF(ISBLANK(drvlst[[#This Row],[owner.emal]]),M374,drvlst[[#This Row],[owner.emal]])</f>
        <v>jouni.ukkonen@intel.com</v>
      </c>
      <c r="N375" s="7">
        <f>_xlfn.IFNA(VLOOKUP(drvlst[[#This Row],[tmp-owner.email]],OrgTree!$A:$J, 10, 0), "not ICG SWFW")</f>
        <v>0</v>
      </c>
      <c r="O375" s="7">
        <f>IF(drvlst[[#This Row],[reviewer]]=drvlst[[#This Row],[tmp-owner.email]], "author", _xlfn.IFNA(VLOOKUP(drvlst[[#This Row],[reviewer]],OrgTree!$A:$J, 10, 0), "not ICG SWFW"))</f>
        <v>0</v>
      </c>
      <c r="P375" s="7" t="str">
        <f>IF(ISBLANK(drvlst[[#This Row],[number]]), "",SUM(drvlst[[#This Row],[BJ -1 num]],drvlst[[#This Row],[FI -1 num]]))</f>
        <v/>
      </c>
      <c r="Q375" s="7" t="str">
        <f>IF(ISBLANK(drvlst[[#This Row],[number]]), "",COUNTIFS($A:$A,drvlst[[#This Row],[tmp-number]],$O:$O, "BJ And dev",$U:$U, "Review-1"))</f>
        <v/>
      </c>
      <c r="R375" s="7" t="str">
        <f>IF(ISBLANK(drvlst[[#This Row],[number]]), "",COUNTIFS($A:$A,drvlst[[#This Row],[tmp-number]],$O:$O, "FL And dev",$U:$U, "Review-1"))</f>
        <v/>
      </c>
      <c r="S375" s="7" t="str">
        <f>IF(ISBLANK(drvlst[[#This Row],[number]]), "",COUNTIFS($A:$A,drvlst[[#This Row],[tmp-number]],$O:$O, "BJ And dev",$V:$V, "&lt;&gt;IntegratorComment"))</f>
        <v/>
      </c>
      <c r="T375" s="7" t="str">
        <f>IF(ISBLANK(drvlst[[#This Row],[number]]), "",COUNTIFS($A:$A,drvlst[[#This Row],[tmp-number]],$O:$O, "FL And dev",$V:$V, "&lt;&gt;IntegratorComment"))</f>
        <v/>
      </c>
      <c r="U375" s="7" t="str">
        <f>IF(OR(ISNUMBER(FIND("Review-1", drvlst[[#This Row],[comments]])), ISNUMBER(FIND("Approver-1", drvlst[[#This Row],[comments]]))), "Review-1", "")</f>
        <v/>
      </c>
      <c r="V375" s="7" t="str">
        <f>IF(OR(ISNUMBER(FIND(": Integrator", drvlst[[#This Row],[comments]])), ISNUMBER(FIND(":\n\nIntegrator", drvlst[[#This Row],[comments]])), ISNUMBER(FIND("-Integrator", drvlst[[#This Row],[comments]]))), "IntegratorComment", "")</f>
        <v/>
      </c>
      <c r="W375" s="7" t="str">
        <f>IF(ISBLANK(drvlst[[#This Row],[status]]),W374,drvlst[[#This Row],[status]])</f>
        <v>MERGED</v>
      </c>
    </row>
    <row r="376" spans="1:23">
      <c r="A376" s="7">
        <f>IF(ISBLANK(drvlst[[#This Row],[number]]),A375,drvlst[[#This Row],[number]])</f>
        <v>91547</v>
      </c>
      <c r="J376" t="s">
        <v>34</v>
      </c>
      <c r="K376" s="8">
        <v>42394.675474537034</v>
      </c>
      <c r="L376" t="s">
        <v>67</v>
      </c>
      <c r="M376" s="7" t="str">
        <f>IF(ISBLANK(drvlst[[#This Row],[owner.emal]]),M375,drvlst[[#This Row],[owner.emal]])</f>
        <v>jouni.ukkonen@intel.com</v>
      </c>
      <c r="N376" s="7">
        <f>_xlfn.IFNA(VLOOKUP(drvlst[[#This Row],[tmp-owner.email]],OrgTree!$A:$J, 10, 0), "not ICG SWFW")</f>
        <v>0</v>
      </c>
      <c r="O376" s="7">
        <f>IF(drvlst[[#This Row],[reviewer]]=drvlst[[#This Row],[tmp-owner.email]], "author", _xlfn.IFNA(VLOOKUP(drvlst[[#This Row],[reviewer]],OrgTree!$A:$J, 10, 0), "not ICG SWFW"))</f>
        <v>0</v>
      </c>
      <c r="P376" s="7" t="str">
        <f>IF(ISBLANK(drvlst[[#This Row],[number]]), "",SUM(drvlst[[#This Row],[BJ -1 num]],drvlst[[#This Row],[FI -1 num]]))</f>
        <v/>
      </c>
      <c r="Q376" s="7" t="str">
        <f>IF(ISBLANK(drvlst[[#This Row],[number]]), "",COUNTIFS($A:$A,drvlst[[#This Row],[tmp-number]],$O:$O, "BJ And dev",$U:$U, "Review-1"))</f>
        <v/>
      </c>
      <c r="R376" s="7" t="str">
        <f>IF(ISBLANK(drvlst[[#This Row],[number]]), "",COUNTIFS($A:$A,drvlst[[#This Row],[tmp-number]],$O:$O, "FL And dev",$U:$U, "Review-1"))</f>
        <v/>
      </c>
      <c r="S376" s="7" t="str">
        <f>IF(ISBLANK(drvlst[[#This Row],[number]]), "",COUNTIFS($A:$A,drvlst[[#This Row],[tmp-number]],$O:$O, "BJ And dev",$V:$V, "&lt;&gt;IntegratorComment"))</f>
        <v/>
      </c>
      <c r="T376" s="7" t="str">
        <f>IF(ISBLANK(drvlst[[#This Row],[number]]), "",COUNTIFS($A:$A,drvlst[[#This Row],[tmp-number]],$O:$O, "FL And dev",$V:$V, "&lt;&gt;IntegratorComment"))</f>
        <v/>
      </c>
      <c r="U376" s="7" t="str">
        <f>IF(OR(ISNUMBER(FIND("Review-1", drvlst[[#This Row],[comments]])), ISNUMBER(FIND("Approver-1", drvlst[[#This Row],[comments]]))), "Review-1", "")</f>
        <v/>
      </c>
      <c r="V376" s="7" t="str">
        <f>IF(OR(ISNUMBER(FIND(": Integrator", drvlst[[#This Row],[comments]])), ISNUMBER(FIND(":\n\nIntegrator", drvlst[[#This Row],[comments]])), ISNUMBER(FIND("-Integrator", drvlst[[#This Row],[comments]]))), "IntegratorComment", "")</f>
        <v/>
      </c>
      <c r="W376" s="7" t="str">
        <f>IF(ISBLANK(drvlst[[#This Row],[status]]),W375,drvlst[[#This Row],[status]])</f>
        <v>MERGED</v>
      </c>
    </row>
    <row r="377" spans="1:23">
      <c r="A377" s="7">
        <f>IF(ISBLANK(drvlst[[#This Row],[number]]),A376,drvlst[[#This Row],[number]])</f>
        <v>96994</v>
      </c>
      <c r="B377">
        <v>96994</v>
      </c>
      <c r="C377" t="s">
        <v>84</v>
      </c>
      <c r="D377" t="s">
        <v>53</v>
      </c>
      <c r="E377" t="s">
        <v>36</v>
      </c>
      <c r="F377" t="s">
        <v>2008</v>
      </c>
      <c r="G377" t="s">
        <v>2009</v>
      </c>
      <c r="H377" s="8">
        <v>42390.762557870374</v>
      </c>
      <c r="J377" t="s">
        <v>53</v>
      </c>
      <c r="K377" s="8">
        <v>42390.762557870374</v>
      </c>
      <c r="L377" t="s">
        <v>25</v>
      </c>
      <c r="M377" s="7" t="str">
        <f>IF(ISBLANK(drvlst[[#This Row],[owner.emal]]),M376,drvlst[[#This Row],[owner.emal]])</f>
        <v>shuguang.gong@intel.com</v>
      </c>
      <c r="N377" s="7">
        <f>_xlfn.IFNA(VLOOKUP(drvlst[[#This Row],[tmp-owner.email]],OrgTree!$A:$J, 10, 0), "not ICG SWFW")</f>
        <v>0</v>
      </c>
      <c r="O377" s="7" t="str">
        <f>IF(drvlst[[#This Row],[reviewer]]=drvlst[[#This Row],[tmp-owner.email]], "author", _xlfn.IFNA(VLOOKUP(drvlst[[#This Row],[reviewer]],OrgTree!$A:$J, 10, 0), "not ICG SWFW"))</f>
        <v>author</v>
      </c>
      <c r="P377" s="7">
        <f>IF(ISBLANK(drvlst[[#This Row],[number]]), "",SUM(drvlst[[#This Row],[BJ -1 num]],drvlst[[#This Row],[FI -1 num]]))</f>
        <v>0</v>
      </c>
      <c r="Q377" s="7">
        <f>IF(ISBLANK(drvlst[[#This Row],[number]]), "",COUNTIFS($A:$A,drvlst[[#This Row],[tmp-number]],$O:$O, "BJ And dev",$U:$U, "Review-1"))</f>
        <v>0</v>
      </c>
      <c r="R377" s="7">
        <f>IF(ISBLANK(drvlst[[#This Row],[number]]), "",COUNTIFS($A:$A,drvlst[[#This Row],[tmp-number]],$O:$O, "FL And dev",$U:$U, "Review-1"))</f>
        <v>0</v>
      </c>
      <c r="S377" s="7">
        <f>IF(ISBLANK(drvlst[[#This Row],[number]]), "",COUNTIFS($A:$A,drvlst[[#This Row],[tmp-number]],$O:$O, "BJ And dev",$V:$V, "&lt;&gt;IntegratorComment"))</f>
        <v>0</v>
      </c>
      <c r="T377" s="7">
        <f>IF(ISBLANK(drvlst[[#This Row],[number]]), "",COUNTIFS($A:$A,drvlst[[#This Row],[tmp-number]],$O:$O, "FL And dev",$V:$V, "&lt;&gt;IntegratorComment"))</f>
        <v>0</v>
      </c>
      <c r="U377" s="7" t="str">
        <f>IF(OR(ISNUMBER(FIND("Review-1", drvlst[[#This Row],[comments]])), ISNUMBER(FIND("Approver-1", drvlst[[#This Row],[comments]]))), "Review-1", "")</f>
        <v/>
      </c>
      <c r="V377" s="7" t="str">
        <f>IF(OR(ISNUMBER(FIND(": Integrator", drvlst[[#This Row],[comments]])), ISNUMBER(FIND(":\n\nIntegrator", drvlst[[#This Row],[comments]])), ISNUMBER(FIND("-Integrator", drvlst[[#This Row],[comments]]))), "IntegratorComment", "")</f>
        <v/>
      </c>
      <c r="W377" s="7" t="str">
        <f>IF(ISBLANK(drvlst[[#This Row],[status]]),W376,drvlst[[#This Row],[status]])</f>
        <v>ABANDONED</v>
      </c>
    </row>
    <row r="378" spans="1:23">
      <c r="A378" s="7">
        <f>IF(ISBLANK(drvlst[[#This Row],[number]]),A377,drvlst[[#This Row],[number]])</f>
        <v>96994</v>
      </c>
      <c r="J378" t="s">
        <v>53</v>
      </c>
      <c r="K378" s="8">
        <v>42390.76258101852</v>
      </c>
      <c r="L378" t="s">
        <v>85</v>
      </c>
      <c r="M378" s="7" t="str">
        <f>IF(ISBLANK(drvlst[[#This Row],[owner.emal]]),M377,drvlst[[#This Row],[owner.emal]])</f>
        <v>shuguang.gong@intel.com</v>
      </c>
      <c r="N378" s="7">
        <f>_xlfn.IFNA(VLOOKUP(drvlst[[#This Row],[tmp-owner.email]],OrgTree!$A:$J, 10, 0), "not ICG SWFW")</f>
        <v>0</v>
      </c>
      <c r="O378" s="7" t="str">
        <f>IF(drvlst[[#This Row],[reviewer]]=drvlst[[#This Row],[tmp-owner.email]], "author", _xlfn.IFNA(VLOOKUP(drvlst[[#This Row],[reviewer]],OrgTree!$A:$J, 10, 0), "not ICG SWFW"))</f>
        <v>author</v>
      </c>
      <c r="P378" s="7" t="str">
        <f>IF(ISBLANK(drvlst[[#This Row],[number]]), "",SUM(drvlst[[#This Row],[BJ -1 num]],drvlst[[#This Row],[FI -1 num]]))</f>
        <v/>
      </c>
      <c r="Q378" s="7" t="str">
        <f>IF(ISBLANK(drvlst[[#This Row],[number]]), "",COUNTIFS($A:$A,drvlst[[#This Row],[tmp-number]],$O:$O, "BJ And dev",$U:$U, "Review-1"))</f>
        <v/>
      </c>
      <c r="R378" s="7" t="str">
        <f>IF(ISBLANK(drvlst[[#This Row],[number]]), "",COUNTIFS($A:$A,drvlst[[#This Row],[tmp-number]],$O:$O, "FL And dev",$U:$U, "Review-1"))</f>
        <v/>
      </c>
      <c r="S378" s="7" t="str">
        <f>IF(ISBLANK(drvlst[[#This Row],[number]]), "",COUNTIFS($A:$A,drvlst[[#This Row],[tmp-number]],$O:$O, "BJ And dev",$V:$V, "&lt;&gt;IntegratorComment"))</f>
        <v/>
      </c>
      <c r="T378" s="7" t="str">
        <f>IF(ISBLANK(drvlst[[#This Row],[number]]), "",COUNTIFS($A:$A,drvlst[[#This Row],[tmp-number]],$O:$O, "FL And dev",$V:$V, "&lt;&gt;IntegratorComment"))</f>
        <v/>
      </c>
      <c r="U378" s="7" t="str">
        <f>IF(OR(ISNUMBER(FIND("Review-1", drvlst[[#This Row],[comments]])), ISNUMBER(FIND("Approver-1", drvlst[[#This Row],[comments]]))), "Review-1", "")</f>
        <v/>
      </c>
      <c r="V378" s="7" t="str">
        <f>IF(OR(ISNUMBER(FIND(": Integrator", drvlst[[#This Row],[comments]])), ISNUMBER(FIND(":\n\nIntegrator", drvlst[[#This Row],[comments]])), ISNUMBER(FIND("-Integrator", drvlst[[#This Row],[comments]]))), "IntegratorComment", "")</f>
        <v/>
      </c>
      <c r="W378" s="7" t="str">
        <f>IF(ISBLANK(drvlst[[#This Row],[status]]),W377,drvlst[[#This Row],[status]])</f>
        <v>ABANDONED</v>
      </c>
    </row>
    <row r="379" spans="1:23">
      <c r="A379" s="7">
        <f>IF(ISBLANK(drvlst[[#This Row],[number]]),A378,drvlst[[#This Row],[number]])</f>
        <v>96994</v>
      </c>
      <c r="J379" t="s">
        <v>53</v>
      </c>
      <c r="K379" s="8">
        <v>42390.764548611114</v>
      </c>
      <c r="L379" t="s">
        <v>40</v>
      </c>
      <c r="M379" s="7" t="str">
        <f>IF(ISBLANK(drvlst[[#This Row],[owner.emal]]),M378,drvlst[[#This Row],[owner.emal]])</f>
        <v>shuguang.gong@intel.com</v>
      </c>
      <c r="N379" s="7">
        <f>_xlfn.IFNA(VLOOKUP(drvlst[[#This Row],[tmp-owner.email]],OrgTree!$A:$J, 10, 0), "not ICG SWFW")</f>
        <v>0</v>
      </c>
      <c r="O379" s="7" t="str">
        <f>IF(drvlst[[#This Row],[reviewer]]=drvlst[[#This Row],[tmp-owner.email]], "author", _xlfn.IFNA(VLOOKUP(drvlst[[#This Row],[reviewer]],OrgTree!$A:$J, 10, 0), "not ICG SWFW"))</f>
        <v>author</v>
      </c>
      <c r="P379" s="7" t="str">
        <f>IF(ISBLANK(drvlst[[#This Row],[number]]), "",SUM(drvlst[[#This Row],[BJ -1 num]],drvlst[[#This Row],[FI -1 num]]))</f>
        <v/>
      </c>
      <c r="Q379" s="7" t="str">
        <f>IF(ISBLANK(drvlst[[#This Row],[number]]), "",COUNTIFS($A:$A,drvlst[[#This Row],[tmp-number]],$O:$O, "BJ And dev",$U:$U, "Review-1"))</f>
        <v/>
      </c>
      <c r="R379" s="7" t="str">
        <f>IF(ISBLANK(drvlst[[#This Row],[number]]), "",COUNTIFS($A:$A,drvlst[[#This Row],[tmp-number]],$O:$O, "FL And dev",$U:$U, "Review-1"))</f>
        <v/>
      </c>
      <c r="S379" s="7" t="str">
        <f>IF(ISBLANK(drvlst[[#This Row],[number]]), "",COUNTIFS($A:$A,drvlst[[#This Row],[tmp-number]],$O:$O, "BJ And dev",$V:$V, "&lt;&gt;IntegratorComment"))</f>
        <v/>
      </c>
      <c r="T379" s="7" t="str">
        <f>IF(ISBLANK(drvlst[[#This Row],[number]]), "",COUNTIFS($A:$A,drvlst[[#This Row],[tmp-number]],$O:$O, "FL And dev",$V:$V, "&lt;&gt;IntegratorComment"))</f>
        <v/>
      </c>
      <c r="U379" s="7" t="str">
        <f>IF(OR(ISNUMBER(FIND("Review-1", drvlst[[#This Row],[comments]])), ISNUMBER(FIND("Approver-1", drvlst[[#This Row],[comments]]))), "Review-1", "")</f>
        <v/>
      </c>
      <c r="V379" s="7" t="str">
        <f>IF(OR(ISNUMBER(FIND(": Integrator", drvlst[[#This Row],[comments]])), ISNUMBER(FIND(":\n\nIntegrator", drvlst[[#This Row],[comments]])), ISNUMBER(FIND("-Integrator", drvlst[[#This Row],[comments]]))), "IntegratorComment", "")</f>
        <v/>
      </c>
      <c r="W379" s="7" t="str">
        <f>IF(ISBLANK(drvlst[[#This Row],[status]]),W378,drvlst[[#This Row],[status]])</f>
        <v>ABANDONED</v>
      </c>
    </row>
    <row r="380" spans="1:23">
      <c r="A380" s="7">
        <f>IF(ISBLANK(drvlst[[#This Row],[number]]),A379,drvlst[[#This Row],[number]])</f>
        <v>96994</v>
      </c>
      <c r="J380" t="s">
        <v>101</v>
      </c>
      <c r="K380" s="8">
        <v>42391.059849537036</v>
      </c>
      <c r="L380" t="s">
        <v>2010</v>
      </c>
      <c r="M380" s="7" t="str">
        <f>IF(ISBLANK(drvlst[[#This Row],[owner.emal]]),M379,drvlst[[#This Row],[owner.emal]])</f>
        <v>shuguang.gong@intel.com</v>
      </c>
      <c r="N380" s="7">
        <f>_xlfn.IFNA(VLOOKUP(drvlst[[#This Row],[tmp-owner.email]],OrgTree!$A:$J, 10, 0), "not ICG SWFW")</f>
        <v>0</v>
      </c>
      <c r="O380" s="7">
        <f>IF(drvlst[[#This Row],[reviewer]]=drvlst[[#This Row],[tmp-owner.email]], "author", _xlfn.IFNA(VLOOKUP(drvlst[[#This Row],[reviewer]],OrgTree!$A:$J, 10, 0), "not ICG SWFW"))</f>
        <v>0</v>
      </c>
      <c r="P380" s="7" t="str">
        <f>IF(ISBLANK(drvlst[[#This Row],[number]]), "",SUM(drvlst[[#This Row],[BJ -1 num]],drvlst[[#This Row],[FI -1 num]]))</f>
        <v/>
      </c>
      <c r="Q380" s="7" t="str">
        <f>IF(ISBLANK(drvlst[[#This Row],[number]]), "",COUNTIFS($A:$A,drvlst[[#This Row],[tmp-number]],$O:$O, "BJ And dev",$U:$U, "Review-1"))</f>
        <v/>
      </c>
      <c r="R380" s="7" t="str">
        <f>IF(ISBLANK(drvlst[[#This Row],[number]]), "",COUNTIFS($A:$A,drvlst[[#This Row],[tmp-number]],$O:$O, "FL And dev",$U:$U, "Review-1"))</f>
        <v/>
      </c>
      <c r="S380" s="7" t="str">
        <f>IF(ISBLANK(drvlst[[#This Row],[number]]), "",COUNTIFS($A:$A,drvlst[[#This Row],[tmp-number]],$O:$O, "BJ And dev",$V:$V, "&lt;&gt;IntegratorComment"))</f>
        <v/>
      </c>
      <c r="T380" s="7" t="str">
        <f>IF(ISBLANK(drvlst[[#This Row],[number]]), "",COUNTIFS($A:$A,drvlst[[#This Row],[tmp-number]],$O:$O, "FL And dev",$V:$V, "&lt;&gt;IntegratorComment"))</f>
        <v/>
      </c>
      <c r="U380" s="7" t="str">
        <f>IF(OR(ISNUMBER(FIND("Review-1", drvlst[[#This Row],[comments]])), ISNUMBER(FIND("Approver-1", drvlst[[#This Row],[comments]]))), "Review-1", "")</f>
        <v/>
      </c>
      <c r="V380" s="7" t="str">
        <f>IF(OR(ISNUMBER(FIND(": Integrator", drvlst[[#This Row],[comments]])), ISNUMBER(FIND(":\n\nIntegrator", drvlst[[#This Row],[comments]])), ISNUMBER(FIND("-Integrator", drvlst[[#This Row],[comments]]))), "IntegratorComment", "")</f>
        <v/>
      </c>
      <c r="W380" s="7" t="str">
        <f>IF(ISBLANK(drvlst[[#This Row],[status]]),W379,drvlst[[#This Row],[status]])</f>
        <v>ABANDONED</v>
      </c>
    </row>
    <row r="381" spans="1:23">
      <c r="A381" s="7">
        <f>IF(ISBLANK(drvlst[[#This Row],[number]]),A380,drvlst[[#This Row],[number]])</f>
        <v>96994</v>
      </c>
      <c r="J381" t="s">
        <v>101</v>
      </c>
      <c r="K381" s="8">
        <v>42391.059918981482</v>
      </c>
      <c r="L381" t="s">
        <v>1871</v>
      </c>
      <c r="M381" s="7" t="str">
        <f>IF(ISBLANK(drvlst[[#This Row],[owner.emal]]),M380,drvlst[[#This Row],[owner.emal]])</f>
        <v>shuguang.gong@intel.com</v>
      </c>
      <c r="N381" s="7">
        <f>_xlfn.IFNA(VLOOKUP(drvlst[[#This Row],[tmp-owner.email]],OrgTree!$A:$J, 10, 0), "not ICG SWFW")</f>
        <v>0</v>
      </c>
      <c r="O381" s="7">
        <f>IF(drvlst[[#This Row],[reviewer]]=drvlst[[#This Row],[tmp-owner.email]], "author", _xlfn.IFNA(VLOOKUP(drvlst[[#This Row],[reviewer]],OrgTree!$A:$J, 10, 0), "not ICG SWFW"))</f>
        <v>0</v>
      </c>
      <c r="P381" s="7" t="str">
        <f>IF(ISBLANK(drvlst[[#This Row],[number]]), "",SUM(drvlst[[#This Row],[BJ -1 num]],drvlst[[#This Row],[FI -1 num]]))</f>
        <v/>
      </c>
      <c r="Q381" s="7" t="str">
        <f>IF(ISBLANK(drvlst[[#This Row],[number]]), "",COUNTIFS($A:$A,drvlst[[#This Row],[tmp-number]],$O:$O, "BJ And dev",$U:$U, "Review-1"))</f>
        <v/>
      </c>
      <c r="R381" s="7" t="str">
        <f>IF(ISBLANK(drvlst[[#This Row],[number]]), "",COUNTIFS($A:$A,drvlst[[#This Row],[tmp-number]],$O:$O, "FL And dev",$U:$U, "Review-1"))</f>
        <v/>
      </c>
      <c r="S381" s="7" t="str">
        <f>IF(ISBLANK(drvlst[[#This Row],[number]]), "",COUNTIFS($A:$A,drvlst[[#This Row],[tmp-number]],$O:$O, "BJ And dev",$V:$V, "&lt;&gt;IntegratorComment"))</f>
        <v/>
      </c>
      <c r="T381" s="7" t="str">
        <f>IF(ISBLANK(drvlst[[#This Row],[number]]), "",COUNTIFS($A:$A,drvlst[[#This Row],[tmp-number]],$O:$O, "FL And dev",$V:$V, "&lt;&gt;IntegratorComment"))</f>
        <v/>
      </c>
      <c r="U381" s="7" t="str">
        <f>IF(OR(ISNUMBER(FIND("Review-1", drvlst[[#This Row],[comments]])), ISNUMBER(FIND("Approver-1", drvlst[[#This Row],[comments]]))), "Review-1", "")</f>
        <v>Review-1</v>
      </c>
      <c r="V381" s="7" t="str">
        <f>IF(OR(ISNUMBER(FIND(": Integrator", drvlst[[#This Row],[comments]])), ISNUMBER(FIND(":\n\nIntegrator", drvlst[[#This Row],[comments]])), ISNUMBER(FIND("-Integrator", drvlst[[#This Row],[comments]]))), "IntegratorComment", "")</f>
        <v/>
      </c>
      <c r="W381" s="7" t="str">
        <f>IF(ISBLANK(drvlst[[#This Row],[status]]),W380,drvlst[[#This Row],[status]])</f>
        <v>ABANDONED</v>
      </c>
    </row>
    <row r="382" spans="1:23">
      <c r="A382" s="7">
        <f>IF(ISBLANK(drvlst[[#This Row],[number]]),A381,drvlst[[#This Row],[number]])</f>
        <v>96994</v>
      </c>
      <c r="J382" t="s">
        <v>53</v>
      </c>
      <c r="K382" s="8">
        <v>42391.667581018519</v>
      </c>
      <c r="L382" t="s">
        <v>1889</v>
      </c>
      <c r="M382" s="7" t="str">
        <f>IF(ISBLANK(drvlst[[#This Row],[owner.emal]]),M381,drvlst[[#This Row],[owner.emal]])</f>
        <v>shuguang.gong@intel.com</v>
      </c>
      <c r="N382" s="7">
        <f>_xlfn.IFNA(VLOOKUP(drvlst[[#This Row],[tmp-owner.email]],OrgTree!$A:$J, 10, 0), "not ICG SWFW")</f>
        <v>0</v>
      </c>
      <c r="O382" s="7" t="str">
        <f>IF(drvlst[[#This Row],[reviewer]]=drvlst[[#This Row],[tmp-owner.email]], "author", _xlfn.IFNA(VLOOKUP(drvlst[[#This Row],[reviewer]],OrgTree!$A:$J, 10, 0), "not ICG SWFW"))</f>
        <v>author</v>
      </c>
      <c r="P382" s="7" t="str">
        <f>IF(ISBLANK(drvlst[[#This Row],[number]]), "",SUM(drvlst[[#This Row],[BJ -1 num]],drvlst[[#This Row],[FI -1 num]]))</f>
        <v/>
      </c>
      <c r="Q382" s="7" t="str">
        <f>IF(ISBLANK(drvlst[[#This Row],[number]]), "",COUNTIFS($A:$A,drvlst[[#This Row],[tmp-number]],$O:$O, "BJ And dev",$U:$U, "Review-1"))</f>
        <v/>
      </c>
      <c r="R382" s="7" t="str">
        <f>IF(ISBLANK(drvlst[[#This Row],[number]]), "",COUNTIFS($A:$A,drvlst[[#This Row],[tmp-number]],$O:$O, "FL And dev",$U:$U, "Review-1"))</f>
        <v/>
      </c>
      <c r="S382" s="7" t="str">
        <f>IF(ISBLANK(drvlst[[#This Row],[number]]), "",COUNTIFS($A:$A,drvlst[[#This Row],[tmp-number]],$O:$O, "BJ And dev",$V:$V, "&lt;&gt;IntegratorComment"))</f>
        <v/>
      </c>
      <c r="T382" s="7" t="str">
        <f>IF(ISBLANK(drvlst[[#This Row],[number]]), "",COUNTIFS($A:$A,drvlst[[#This Row],[tmp-number]],$O:$O, "FL And dev",$V:$V, "&lt;&gt;IntegratorComment"))</f>
        <v/>
      </c>
      <c r="U382" s="7" t="str">
        <f>IF(OR(ISNUMBER(FIND("Review-1", drvlst[[#This Row],[comments]])), ISNUMBER(FIND("Approver-1", drvlst[[#This Row],[comments]]))), "Review-1", "")</f>
        <v>Review-1</v>
      </c>
      <c r="V382" s="7" t="str">
        <f>IF(OR(ISNUMBER(FIND(": Integrator", drvlst[[#This Row],[comments]])), ISNUMBER(FIND(":\n\nIntegrator", drvlst[[#This Row],[comments]])), ISNUMBER(FIND("-Integrator", drvlst[[#This Row],[comments]]))), "IntegratorComment", "")</f>
        <v/>
      </c>
      <c r="W382" s="7" t="str">
        <f>IF(ISBLANK(drvlst[[#This Row],[status]]),W381,drvlst[[#This Row],[status]])</f>
        <v>ABANDONED</v>
      </c>
    </row>
    <row r="383" spans="1:23">
      <c r="A383" s="7">
        <f>IF(ISBLANK(drvlst[[#This Row],[number]]),A382,drvlst[[#This Row],[number]])</f>
        <v>96994</v>
      </c>
      <c r="J383" t="s">
        <v>53</v>
      </c>
      <c r="K383" s="8">
        <v>42394.555347222224</v>
      </c>
      <c r="L383" t="s">
        <v>2011</v>
      </c>
      <c r="M383" s="7" t="str">
        <f>IF(ISBLANK(drvlst[[#This Row],[owner.emal]]),M382,drvlst[[#This Row],[owner.emal]])</f>
        <v>shuguang.gong@intel.com</v>
      </c>
      <c r="N383" s="7">
        <f>_xlfn.IFNA(VLOOKUP(drvlst[[#This Row],[tmp-owner.email]],OrgTree!$A:$J, 10, 0), "not ICG SWFW")</f>
        <v>0</v>
      </c>
      <c r="O383" s="7" t="str">
        <f>IF(drvlst[[#This Row],[reviewer]]=drvlst[[#This Row],[tmp-owner.email]], "author", _xlfn.IFNA(VLOOKUP(drvlst[[#This Row],[reviewer]],OrgTree!$A:$J, 10, 0), "not ICG SWFW"))</f>
        <v>author</v>
      </c>
      <c r="P383" s="7" t="str">
        <f>IF(ISBLANK(drvlst[[#This Row],[number]]), "",SUM(drvlst[[#This Row],[BJ -1 num]],drvlst[[#This Row],[FI -1 num]]))</f>
        <v/>
      </c>
      <c r="Q383" s="7" t="str">
        <f>IF(ISBLANK(drvlst[[#This Row],[number]]), "",COUNTIFS($A:$A,drvlst[[#This Row],[tmp-number]],$O:$O, "BJ And dev",$U:$U, "Review-1"))</f>
        <v/>
      </c>
      <c r="R383" s="7" t="str">
        <f>IF(ISBLANK(drvlst[[#This Row],[number]]), "",COUNTIFS($A:$A,drvlst[[#This Row],[tmp-number]],$O:$O, "FL And dev",$U:$U, "Review-1"))</f>
        <v/>
      </c>
      <c r="S383" s="7" t="str">
        <f>IF(ISBLANK(drvlst[[#This Row],[number]]), "",COUNTIFS($A:$A,drvlst[[#This Row],[tmp-number]],$O:$O, "BJ And dev",$V:$V, "&lt;&gt;IntegratorComment"))</f>
        <v/>
      </c>
      <c r="T383" s="7" t="str">
        <f>IF(ISBLANK(drvlst[[#This Row],[number]]), "",COUNTIFS($A:$A,drvlst[[#This Row],[tmp-number]],$O:$O, "FL And dev",$V:$V, "&lt;&gt;IntegratorComment"))</f>
        <v/>
      </c>
      <c r="U383" s="7" t="str">
        <f>IF(OR(ISNUMBER(FIND("Review-1", drvlst[[#This Row],[comments]])), ISNUMBER(FIND("Approver-1", drvlst[[#This Row],[comments]]))), "Review-1", "")</f>
        <v/>
      </c>
      <c r="V383" s="7" t="str">
        <f>IF(OR(ISNUMBER(FIND(": Integrator", drvlst[[#This Row],[comments]])), ISNUMBER(FIND(":\n\nIntegrator", drvlst[[#This Row],[comments]])), ISNUMBER(FIND("-Integrator", drvlst[[#This Row],[comments]]))), "IntegratorComment", "")</f>
        <v/>
      </c>
      <c r="W383" s="7" t="str">
        <f>IF(ISBLANK(drvlst[[#This Row],[status]]),W382,drvlst[[#This Row],[status]])</f>
        <v>ABANDONED</v>
      </c>
    </row>
  </sheetData>
  <phoneticPr fontId="5" type="noConversion"/>
  <conditionalFormatting sqref="B2:B383">
    <cfRule type="duplicateValues" dxfId="21" priority="1"/>
  </conditionalFormatting>
  <hyperlinks>
    <hyperlink ref="D2" r:id="rId1"/>
  </hyperlinks>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K475"/>
  <sheetViews>
    <sheetView showGridLines="0" topLeftCell="A125" workbookViewId="0">
      <selection activeCell="A21" sqref="A21:A155"/>
    </sheetView>
  </sheetViews>
  <sheetFormatPr defaultRowHeight="15"/>
  <cols>
    <col min="1" max="1" width="36" style="12" bestFit="1" customWidth="1"/>
    <col min="2" max="2" width="9.140625" style="12"/>
    <col min="3" max="3" width="23" style="12" customWidth="1"/>
    <col min="4" max="5" width="5.7109375" style="12" customWidth="1"/>
    <col min="6" max="6" width="6.28515625" style="12" customWidth="1"/>
    <col min="7" max="7" width="5.5703125" style="12" customWidth="1"/>
    <col min="8" max="8" width="21.7109375" style="12" bestFit="1" customWidth="1"/>
    <col min="9" max="10" width="7.140625" style="12" customWidth="1"/>
    <col min="11" max="11" width="8.5703125" style="12" customWidth="1"/>
    <col min="12" max="16384" width="9.140625" style="11"/>
  </cols>
  <sheetData>
    <row r="1" spans="1:11" ht="18">
      <c r="A1" s="21" t="s">
        <v>1808</v>
      </c>
      <c r="B1" s="20" t="s">
        <v>1807</v>
      </c>
      <c r="C1" s="20" t="s">
        <v>1806</v>
      </c>
      <c r="D1" s="20" t="s">
        <v>1805</v>
      </c>
      <c r="E1" s="20" t="s">
        <v>1804</v>
      </c>
      <c r="F1" s="20" t="s">
        <v>1803</v>
      </c>
      <c r="G1" s="20" t="s">
        <v>1802</v>
      </c>
      <c r="H1" s="109" t="s">
        <v>1801</v>
      </c>
      <c r="I1" s="110" t="s">
        <v>2392</v>
      </c>
      <c r="J1" s="19" t="s">
        <v>2393</v>
      </c>
      <c r="K1" s="19" t="s">
        <v>2394</v>
      </c>
    </row>
    <row r="2" spans="1:11" s="19" customFormat="1" ht="18">
      <c r="A2" s="18" t="s">
        <v>1800</v>
      </c>
      <c r="B2" s="15" t="s">
        <v>1799</v>
      </c>
      <c r="C2" s="15" t="s">
        <v>1798</v>
      </c>
      <c r="D2" s="15" t="s">
        <v>1797</v>
      </c>
      <c r="E2" s="15" t="s">
        <v>1796</v>
      </c>
      <c r="F2" s="15" t="s">
        <v>142</v>
      </c>
      <c r="G2" s="15">
        <v>0</v>
      </c>
      <c r="H2" s="111" t="s">
        <v>141</v>
      </c>
      <c r="I2" s="112"/>
      <c r="J2" s="112" t="s">
        <v>2395</v>
      </c>
      <c r="K2" s="113" t="s">
        <v>300</v>
      </c>
    </row>
    <row r="3" spans="1:11" s="13" customFormat="1" ht="18">
      <c r="A3" s="18" t="s">
        <v>1795</v>
      </c>
      <c r="B3" s="15" t="s">
        <v>1794</v>
      </c>
      <c r="C3" s="15" t="s">
        <v>1793</v>
      </c>
      <c r="D3" s="15" t="s">
        <v>1792</v>
      </c>
      <c r="E3" s="15" t="s">
        <v>1791</v>
      </c>
      <c r="F3" s="15" t="s">
        <v>142</v>
      </c>
      <c r="G3" s="15">
        <v>1</v>
      </c>
      <c r="H3" s="111" t="s">
        <v>141</v>
      </c>
      <c r="I3" s="112"/>
      <c r="J3" s="112"/>
      <c r="K3" s="113" t="s">
        <v>2396</v>
      </c>
    </row>
    <row r="4" spans="1:11" s="13" customFormat="1" ht="18">
      <c r="A4" s="18" t="s">
        <v>1790</v>
      </c>
      <c r="B4" s="15" t="s">
        <v>1789</v>
      </c>
      <c r="C4" s="15" t="s">
        <v>1788</v>
      </c>
      <c r="D4" s="15" t="s">
        <v>1787</v>
      </c>
      <c r="E4" s="15" t="s">
        <v>820</v>
      </c>
      <c r="F4" s="15" t="s">
        <v>380</v>
      </c>
      <c r="G4" s="15">
        <v>2</v>
      </c>
      <c r="H4" s="111" t="s">
        <v>379</v>
      </c>
      <c r="I4" s="112"/>
      <c r="J4" s="112"/>
      <c r="K4" s="113" t="s">
        <v>2396</v>
      </c>
    </row>
    <row r="5" spans="1:11" s="13" customFormat="1" ht="18">
      <c r="A5" s="18" t="s">
        <v>102</v>
      </c>
      <c r="B5" s="15" t="s">
        <v>1786</v>
      </c>
      <c r="C5" s="15" t="s">
        <v>1785</v>
      </c>
      <c r="D5" s="15" t="s">
        <v>1784</v>
      </c>
      <c r="E5" s="15" t="s">
        <v>1783</v>
      </c>
      <c r="F5" s="15" t="s">
        <v>380</v>
      </c>
      <c r="G5" s="15">
        <v>2</v>
      </c>
      <c r="H5" s="111" t="s">
        <v>379</v>
      </c>
      <c r="I5" s="112"/>
      <c r="J5" s="112"/>
      <c r="K5" s="113" t="s">
        <v>2396</v>
      </c>
    </row>
    <row r="6" spans="1:11" s="13" customFormat="1" ht="18">
      <c r="A6" s="18" t="s">
        <v>1782</v>
      </c>
      <c r="B6" s="15" t="s">
        <v>1781</v>
      </c>
      <c r="C6" s="15" t="s">
        <v>1780</v>
      </c>
      <c r="D6" s="15" t="s">
        <v>1779</v>
      </c>
      <c r="E6" s="15" t="s">
        <v>483</v>
      </c>
      <c r="F6" s="15" t="s">
        <v>142</v>
      </c>
      <c r="G6" s="15">
        <v>2</v>
      </c>
      <c r="H6" s="111" t="s">
        <v>141</v>
      </c>
      <c r="I6" s="112"/>
      <c r="J6" s="112"/>
      <c r="K6" s="113" t="s">
        <v>2396</v>
      </c>
    </row>
    <row r="7" spans="1:11" s="13" customFormat="1" ht="18">
      <c r="A7" s="18" t="s">
        <v>1778</v>
      </c>
      <c r="B7" s="15" t="s">
        <v>1777</v>
      </c>
      <c r="C7" s="15" t="s">
        <v>1776</v>
      </c>
      <c r="D7" s="15" t="s">
        <v>829</v>
      </c>
      <c r="E7" s="15" t="s">
        <v>1775</v>
      </c>
      <c r="F7" s="15" t="s">
        <v>142</v>
      </c>
      <c r="G7" s="15">
        <v>3</v>
      </c>
      <c r="H7" s="111" t="s">
        <v>141</v>
      </c>
      <c r="I7" s="112"/>
      <c r="J7" s="112"/>
      <c r="K7" s="113" t="s">
        <v>2396</v>
      </c>
    </row>
    <row r="8" spans="1:11" s="13" customFormat="1" ht="18">
      <c r="A8" s="18" t="s">
        <v>1774</v>
      </c>
      <c r="B8" s="15" t="s">
        <v>1773</v>
      </c>
      <c r="C8" s="15" t="s">
        <v>1772</v>
      </c>
      <c r="D8" s="15" t="s">
        <v>1771</v>
      </c>
      <c r="E8" s="15" t="s">
        <v>1770</v>
      </c>
      <c r="F8" s="15" t="s">
        <v>142</v>
      </c>
      <c r="G8" s="15">
        <v>3</v>
      </c>
      <c r="H8" s="111" t="s">
        <v>141</v>
      </c>
      <c r="I8" s="112"/>
      <c r="J8" s="112"/>
      <c r="K8" s="113" t="s">
        <v>2396</v>
      </c>
    </row>
    <row r="9" spans="1:11" s="13" customFormat="1" ht="18">
      <c r="A9" s="18" t="s">
        <v>1769</v>
      </c>
      <c r="B9" s="15" t="s">
        <v>1768</v>
      </c>
      <c r="C9" s="15" t="s">
        <v>1767</v>
      </c>
      <c r="D9" s="15" t="s">
        <v>1766</v>
      </c>
      <c r="E9" s="15" t="s">
        <v>1765</v>
      </c>
      <c r="F9" s="15" t="s">
        <v>142</v>
      </c>
      <c r="G9" s="15">
        <v>3</v>
      </c>
      <c r="H9" s="111" t="s">
        <v>141</v>
      </c>
      <c r="I9" s="112"/>
      <c r="J9" s="112"/>
      <c r="K9" s="113" t="s">
        <v>2396</v>
      </c>
    </row>
    <row r="10" spans="1:11" s="13" customFormat="1" ht="18">
      <c r="A10" s="18" t="s">
        <v>1764</v>
      </c>
      <c r="B10" s="15" t="s">
        <v>1763</v>
      </c>
      <c r="C10" s="15" t="s">
        <v>1762</v>
      </c>
      <c r="D10" s="15" t="s">
        <v>1761</v>
      </c>
      <c r="E10" s="15" t="s">
        <v>1760</v>
      </c>
      <c r="F10" s="15" t="s">
        <v>142</v>
      </c>
      <c r="G10" s="15">
        <v>3</v>
      </c>
      <c r="H10" s="111" t="s">
        <v>141</v>
      </c>
      <c r="I10" s="112"/>
      <c r="J10" s="112"/>
      <c r="K10" s="113" t="s">
        <v>2396</v>
      </c>
    </row>
    <row r="11" spans="1:11" s="13" customFormat="1" ht="18">
      <c r="A11" s="18" t="s">
        <v>1759</v>
      </c>
      <c r="B11" s="15" t="s">
        <v>1758</v>
      </c>
      <c r="C11" s="15" t="s">
        <v>1757</v>
      </c>
      <c r="D11" s="15" t="s">
        <v>1756</v>
      </c>
      <c r="E11" s="15" t="s">
        <v>1755</v>
      </c>
      <c r="F11" s="15" t="s">
        <v>142</v>
      </c>
      <c r="G11" s="15">
        <v>3</v>
      </c>
      <c r="H11" s="111" t="s">
        <v>141</v>
      </c>
      <c r="I11" s="112"/>
      <c r="J11" s="112"/>
      <c r="K11" s="113" t="s">
        <v>2396</v>
      </c>
    </row>
    <row r="12" spans="1:11" s="13" customFormat="1" ht="18">
      <c r="A12" s="18" t="s">
        <v>1754</v>
      </c>
      <c r="B12" s="15" t="s">
        <v>1753</v>
      </c>
      <c r="C12" s="15" t="s">
        <v>1752</v>
      </c>
      <c r="D12" s="15" t="s">
        <v>1751</v>
      </c>
      <c r="E12" s="15" t="s">
        <v>1750</v>
      </c>
      <c r="F12" s="15" t="s">
        <v>142</v>
      </c>
      <c r="G12" s="15">
        <v>3</v>
      </c>
      <c r="H12" s="111" t="s">
        <v>141</v>
      </c>
      <c r="I12" s="112"/>
      <c r="J12" s="112"/>
      <c r="K12" s="113" t="s">
        <v>2396</v>
      </c>
    </row>
    <row r="13" spans="1:11" s="13" customFormat="1" ht="18">
      <c r="A13" s="18" t="s">
        <v>123</v>
      </c>
      <c r="B13" s="15" t="s">
        <v>1713</v>
      </c>
      <c r="C13" s="15" t="s">
        <v>1712</v>
      </c>
      <c r="D13" s="15" t="s">
        <v>1711</v>
      </c>
      <c r="E13" s="15" t="s">
        <v>1710</v>
      </c>
      <c r="F13" s="15" t="s">
        <v>142</v>
      </c>
      <c r="G13" s="15">
        <v>3</v>
      </c>
      <c r="H13" s="111" t="s">
        <v>141</v>
      </c>
      <c r="I13" s="112"/>
      <c r="J13" s="112"/>
      <c r="K13" s="113" t="s">
        <v>2396</v>
      </c>
    </row>
    <row r="14" spans="1:11" s="13" customFormat="1" ht="18">
      <c r="A14" s="18" t="s">
        <v>1744</v>
      </c>
      <c r="B14" s="15" t="s">
        <v>1743</v>
      </c>
      <c r="C14" s="15" t="s">
        <v>1742</v>
      </c>
      <c r="D14" s="15" t="s">
        <v>1741</v>
      </c>
      <c r="E14" s="15" t="s">
        <v>1740</v>
      </c>
      <c r="F14" s="15" t="s">
        <v>142</v>
      </c>
      <c r="G14" s="15">
        <v>3</v>
      </c>
      <c r="H14" s="111" t="s">
        <v>141</v>
      </c>
      <c r="I14" s="112"/>
      <c r="J14" s="112"/>
      <c r="K14" s="113" t="s">
        <v>2396</v>
      </c>
    </row>
    <row r="15" spans="1:11" s="13" customFormat="1" ht="18">
      <c r="A15" s="18" t="s">
        <v>1739</v>
      </c>
      <c r="B15" s="15" t="s">
        <v>1738</v>
      </c>
      <c r="C15" s="15" t="s">
        <v>1737</v>
      </c>
      <c r="D15" s="15" t="s">
        <v>1736</v>
      </c>
      <c r="E15" s="15" t="s">
        <v>1735</v>
      </c>
      <c r="F15" s="15" t="s">
        <v>142</v>
      </c>
      <c r="G15" s="15">
        <v>3</v>
      </c>
      <c r="H15" s="111" t="s">
        <v>141</v>
      </c>
      <c r="I15" s="112"/>
      <c r="J15" s="112"/>
      <c r="K15" s="113" t="s">
        <v>2396</v>
      </c>
    </row>
    <row r="16" spans="1:11" s="13" customFormat="1" ht="18">
      <c r="A16" s="18" t="s">
        <v>1729</v>
      </c>
      <c r="B16" s="15" t="s">
        <v>1728</v>
      </c>
      <c r="C16" s="15" t="s">
        <v>1727</v>
      </c>
      <c r="D16" s="15" t="s">
        <v>758</v>
      </c>
      <c r="E16" s="15" t="s">
        <v>301</v>
      </c>
      <c r="F16" s="15" t="s">
        <v>142</v>
      </c>
      <c r="G16" s="15">
        <v>3</v>
      </c>
      <c r="H16" s="111" t="s">
        <v>141</v>
      </c>
      <c r="I16" s="112"/>
      <c r="J16" s="112"/>
      <c r="K16" s="113" t="s">
        <v>2396</v>
      </c>
    </row>
    <row r="17" spans="1:11" s="13" customFormat="1" ht="18">
      <c r="A17" s="114" t="s">
        <v>1734</v>
      </c>
      <c r="B17" s="115" t="s">
        <v>1733</v>
      </c>
      <c r="C17" s="115" t="s">
        <v>1732</v>
      </c>
      <c r="D17" s="115" t="s">
        <v>1731</v>
      </c>
      <c r="E17" s="115" t="s">
        <v>1730</v>
      </c>
      <c r="F17" s="115" t="s">
        <v>142</v>
      </c>
      <c r="G17" s="115">
        <v>3</v>
      </c>
      <c r="H17" s="116" t="s">
        <v>141</v>
      </c>
      <c r="I17" s="112" t="s">
        <v>2397</v>
      </c>
      <c r="J17" s="112"/>
      <c r="K17" s="113" t="s">
        <v>2396</v>
      </c>
    </row>
    <row r="18" spans="1:11" s="13" customFormat="1" ht="18">
      <c r="A18" s="114" t="s">
        <v>2103</v>
      </c>
      <c r="B18" s="115" t="s">
        <v>2104</v>
      </c>
      <c r="C18" s="115" t="s">
        <v>2105</v>
      </c>
      <c r="D18" s="115" t="s">
        <v>2106</v>
      </c>
      <c r="E18" s="115" t="s">
        <v>2107</v>
      </c>
      <c r="F18" s="115" t="s">
        <v>142</v>
      </c>
      <c r="G18" s="115">
        <v>2</v>
      </c>
      <c r="H18" s="116" t="s">
        <v>974</v>
      </c>
      <c r="I18" s="112" t="s">
        <v>2397</v>
      </c>
      <c r="J18" s="112"/>
      <c r="K18" s="113" t="s">
        <v>2396</v>
      </c>
    </row>
    <row r="19" spans="1:11" s="13" customFormat="1" ht="18">
      <c r="A19" s="18" t="s">
        <v>1726</v>
      </c>
      <c r="B19" s="15" t="s">
        <v>1725</v>
      </c>
      <c r="C19" s="15" t="s">
        <v>1724</v>
      </c>
      <c r="D19" s="15" t="s">
        <v>1723</v>
      </c>
      <c r="E19" s="15" t="s">
        <v>1722</v>
      </c>
      <c r="F19" s="15" t="s">
        <v>142</v>
      </c>
      <c r="G19" s="15">
        <v>2</v>
      </c>
      <c r="H19" s="111" t="s">
        <v>141</v>
      </c>
      <c r="I19" s="112"/>
      <c r="J19" s="112"/>
      <c r="K19" s="113" t="s">
        <v>2396</v>
      </c>
    </row>
    <row r="20" spans="1:11" s="13" customFormat="1" ht="18">
      <c r="A20" s="18" t="s">
        <v>108</v>
      </c>
      <c r="B20" s="15" t="s">
        <v>1721</v>
      </c>
      <c r="C20" s="15" t="s">
        <v>1720</v>
      </c>
      <c r="D20" s="15" t="s">
        <v>1719</v>
      </c>
      <c r="E20" s="15" t="s">
        <v>1718</v>
      </c>
      <c r="F20" s="15" t="s">
        <v>142</v>
      </c>
      <c r="G20" s="15">
        <v>3</v>
      </c>
      <c r="H20" s="111" t="s">
        <v>141</v>
      </c>
      <c r="I20" s="112"/>
      <c r="J20" s="112"/>
      <c r="K20" s="113" t="s">
        <v>2396</v>
      </c>
    </row>
    <row r="21" spans="1:11" s="13" customFormat="1" ht="18">
      <c r="A21" s="18" t="s">
        <v>1749</v>
      </c>
      <c r="B21" s="15" t="s">
        <v>1748</v>
      </c>
      <c r="C21" s="15" t="s">
        <v>1747</v>
      </c>
      <c r="D21" s="15" t="s">
        <v>1746</v>
      </c>
      <c r="E21" s="15" t="s">
        <v>1745</v>
      </c>
      <c r="F21" s="15" t="s">
        <v>142</v>
      </c>
      <c r="G21" s="15">
        <v>3</v>
      </c>
      <c r="H21" s="111" t="s">
        <v>141</v>
      </c>
      <c r="I21" s="112"/>
      <c r="J21" s="112"/>
      <c r="K21" s="113" t="s">
        <v>2396</v>
      </c>
    </row>
    <row r="22" spans="1:11" s="13" customFormat="1" ht="18">
      <c r="A22" s="18" t="s">
        <v>1717</v>
      </c>
      <c r="B22" s="15" t="s">
        <v>1716</v>
      </c>
      <c r="C22" s="15" t="s">
        <v>1715</v>
      </c>
      <c r="D22" s="15" t="s">
        <v>1714</v>
      </c>
      <c r="E22" s="15" t="s">
        <v>316</v>
      </c>
      <c r="F22" s="15" t="s">
        <v>142</v>
      </c>
      <c r="G22" s="15">
        <v>3</v>
      </c>
      <c r="H22" s="111" t="s">
        <v>141</v>
      </c>
      <c r="I22" s="112"/>
      <c r="J22" s="112"/>
      <c r="K22" s="113" t="s">
        <v>2396</v>
      </c>
    </row>
    <row r="23" spans="1:11" s="13" customFormat="1" ht="18">
      <c r="A23" s="18" t="s">
        <v>1709</v>
      </c>
      <c r="B23" s="15" t="s">
        <v>1708</v>
      </c>
      <c r="C23" s="15" t="s">
        <v>1707</v>
      </c>
      <c r="D23" s="15" t="s">
        <v>1706</v>
      </c>
      <c r="E23" s="15" t="s">
        <v>1705</v>
      </c>
      <c r="F23" s="15" t="s">
        <v>142</v>
      </c>
      <c r="G23" s="15">
        <v>3</v>
      </c>
      <c r="H23" s="111" t="s">
        <v>141</v>
      </c>
      <c r="I23" s="112"/>
      <c r="J23" s="112"/>
      <c r="K23" s="113" t="s">
        <v>2396</v>
      </c>
    </row>
    <row r="24" spans="1:11" s="13" customFormat="1" ht="18">
      <c r="A24" s="18" t="s">
        <v>1704</v>
      </c>
      <c r="B24" s="15" t="s">
        <v>1703</v>
      </c>
      <c r="C24" s="15" t="s">
        <v>1702</v>
      </c>
      <c r="D24" s="15" t="s">
        <v>1701</v>
      </c>
      <c r="E24" s="15" t="s">
        <v>1700</v>
      </c>
      <c r="F24" s="15" t="s">
        <v>142</v>
      </c>
      <c r="G24" s="15">
        <v>3</v>
      </c>
      <c r="H24" s="111" t="s">
        <v>141</v>
      </c>
      <c r="I24" s="112"/>
      <c r="J24" s="112"/>
      <c r="K24" s="113" t="s">
        <v>2396</v>
      </c>
    </row>
    <row r="25" spans="1:11" s="13" customFormat="1" ht="18">
      <c r="A25" s="114" t="s">
        <v>2108</v>
      </c>
      <c r="B25" s="115" t="s">
        <v>2109</v>
      </c>
      <c r="C25" s="115" t="s">
        <v>2110</v>
      </c>
      <c r="D25" s="115" t="s">
        <v>2111</v>
      </c>
      <c r="E25" s="115" t="s">
        <v>2112</v>
      </c>
      <c r="F25" s="115" t="s">
        <v>142</v>
      </c>
      <c r="G25" s="115">
        <v>3</v>
      </c>
      <c r="H25" s="116" t="s">
        <v>141</v>
      </c>
      <c r="I25" s="112" t="s">
        <v>2397</v>
      </c>
      <c r="J25" s="112"/>
      <c r="K25" s="113" t="s">
        <v>2396</v>
      </c>
    </row>
    <row r="26" spans="1:11" s="13" customFormat="1" ht="18">
      <c r="A26" s="114" t="s">
        <v>106</v>
      </c>
      <c r="B26" s="115" t="s">
        <v>1694</v>
      </c>
      <c r="C26" s="115" t="s">
        <v>1693</v>
      </c>
      <c r="D26" s="115" t="s">
        <v>1692</v>
      </c>
      <c r="E26" s="115" t="s">
        <v>1691</v>
      </c>
      <c r="F26" s="115" t="s">
        <v>142</v>
      </c>
      <c r="G26" s="115">
        <v>2</v>
      </c>
      <c r="H26" s="116" t="s">
        <v>141</v>
      </c>
      <c r="I26" s="112" t="s">
        <v>2397</v>
      </c>
      <c r="J26" s="112"/>
      <c r="K26" s="113" t="s">
        <v>2396</v>
      </c>
    </row>
    <row r="27" spans="1:11" s="13" customFormat="1" ht="18">
      <c r="A27" s="18" t="s">
        <v>1690</v>
      </c>
      <c r="B27" s="15" t="s">
        <v>1689</v>
      </c>
      <c r="C27" s="15" t="s">
        <v>1688</v>
      </c>
      <c r="D27" s="15" t="s">
        <v>1587</v>
      </c>
      <c r="E27" s="15" t="s">
        <v>1687</v>
      </c>
      <c r="F27" s="15" t="s">
        <v>142</v>
      </c>
      <c r="G27" s="15">
        <v>2</v>
      </c>
      <c r="H27" s="111" t="s">
        <v>141</v>
      </c>
      <c r="I27" s="112"/>
      <c r="J27" s="112"/>
      <c r="K27" s="113" t="s">
        <v>2396</v>
      </c>
    </row>
    <row r="28" spans="1:11" s="13" customFormat="1" ht="18">
      <c r="A28" s="18" t="s">
        <v>1699</v>
      </c>
      <c r="B28" s="15" t="s">
        <v>1698</v>
      </c>
      <c r="C28" s="15" t="s">
        <v>1697</v>
      </c>
      <c r="D28" s="15" t="s">
        <v>1696</v>
      </c>
      <c r="E28" s="15" t="s">
        <v>1695</v>
      </c>
      <c r="F28" s="15" t="s">
        <v>142</v>
      </c>
      <c r="G28" s="15">
        <v>3</v>
      </c>
      <c r="H28" s="111" t="s">
        <v>141</v>
      </c>
      <c r="I28" s="112"/>
      <c r="J28" s="112"/>
      <c r="K28" s="113" t="s">
        <v>2396</v>
      </c>
    </row>
    <row r="29" spans="1:11" s="13" customFormat="1" ht="18">
      <c r="A29" s="18" t="s">
        <v>1686</v>
      </c>
      <c r="B29" s="15" t="s">
        <v>1685</v>
      </c>
      <c r="C29" s="15" t="s">
        <v>1684</v>
      </c>
      <c r="D29" s="15" t="s">
        <v>1348</v>
      </c>
      <c r="E29" s="15" t="s">
        <v>1276</v>
      </c>
      <c r="F29" s="15" t="s">
        <v>142</v>
      </c>
      <c r="G29" s="15">
        <v>2</v>
      </c>
      <c r="H29" s="111" t="s">
        <v>141</v>
      </c>
      <c r="I29" s="112"/>
      <c r="J29" s="112"/>
      <c r="K29" s="113" t="s">
        <v>2396</v>
      </c>
    </row>
    <row r="30" spans="1:11" s="13" customFormat="1" ht="18">
      <c r="A30" s="117" t="s">
        <v>1642</v>
      </c>
      <c r="B30" s="118" t="s">
        <v>1641</v>
      </c>
      <c r="C30" s="118" t="s">
        <v>1640</v>
      </c>
      <c r="D30" s="118" t="s">
        <v>1639</v>
      </c>
      <c r="E30" s="118" t="s">
        <v>1638</v>
      </c>
      <c r="F30" s="118" t="s">
        <v>142</v>
      </c>
      <c r="G30" s="118">
        <v>1</v>
      </c>
      <c r="H30" s="119" t="s">
        <v>141</v>
      </c>
      <c r="I30" s="120"/>
      <c r="J30" s="112"/>
      <c r="K30" s="113" t="s">
        <v>2396</v>
      </c>
    </row>
    <row r="31" spans="1:11" s="13" customFormat="1" ht="18">
      <c r="A31" s="18" t="s">
        <v>1637</v>
      </c>
      <c r="B31" s="15" t="s">
        <v>1636</v>
      </c>
      <c r="C31" s="15" t="s">
        <v>1635</v>
      </c>
      <c r="D31" s="15" t="s">
        <v>1634</v>
      </c>
      <c r="E31" s="15" t="s">
        <v>1633</v>
      </c>
      <c r="F31" s="15" t="s">
        <v>142</v>
      </c>
      <c r="G31" s="15">
        <v>2</v>
      </c>
      <c r="H31" s="111" t="s">
        <v>141</v>
      </c>
      <c r="I31" s="112"/>
      <c r="J31" s="112"/>
      <c r="K31" s="113" t="s">
        <v>2396</v>
      </c>
    </row>
    <row r="32" spans="1:11" s="13" customFormat="1" ht="18">
      <c r="A32" s="18" t="s">
        <v>1632</v>
      </c>
      <c r="B32" s="15" t="s">
        <v>1631</v>
      </c>
      <c r="C32" s="15" t="s">
        <v>1630</v>
      </c>
      <c r="D32" s="15" t="s">
        <v>1629</v>
      </c>
      <c r="E32" s="15" t="s">
        <v>1628</v>
      </c>
      <c r="F32" s="15" t="s">
        <v>142</v>
      </c>
      <c r="G32" s="15">
        <v>3</v>
      </c>
      <c r="H32" s="111" t="s">
        <v>141</v>
      </c>
      <c r="I32" s="112"/>
      <c r="J32" s="112"/>
      <c r="K32" s="113" t="s">
        <v>2396</v>
      </c>
    </row>
    <row r="33" spans="1:11" s="13" customFormat="1" ht="18">
      <c r="A33" s="18" t="s">
        <v>1627</v>
      </c>
      <c r="B33" s="15" t="s">
        <v>1626</v>
      </c>
      <c r="C33" s="15" t="s">
        <v>1625</v>
      </c>
      <c r="D33" s="15" t="s">
        <v>256</v>
      </c>
      <c r="E33" s="15" t="s">
        <v>1624</v>
      </c>
      <c r="F33" s="15" t="s">
        <v>142</v>
      </c>
      <c r="G33" s="15">
        <v>3</v>
      </c>
      <c r="H33" s="111" t="s">
        <v>141</v>
      </c>
      <c r="I33" s="112"/>
      <c r="J33" s="112"/>
      <c r="K33" s="113" t="s">
        <v>2396</v>
      </c>
    </row>
    <row r="34" spans="1:11" s="13" customFormat="1" ht="18">
      <c r="A34" s="18" t="s">
        <v>1623</v>
      </c>
      <c r="B34" s="15" t="s">
        <v>1622</v>
      </c>
      <c r="C34" s="15" t="s">
        <v>1621</v>
      </c>
      <c r="D34" s="15" t="s">
        <v>1620</v>
      </c>
      <c r="E34" s="15" t="s">
        <v>1619</v>
      </c>
      <c r="F34" s="15" t="s">
        <v>142</v>
      </c>
      <c r="G34" s="15">
        <v>3</v>
      </c>
      <c r="H34" s="111" t="s">
        <v>141</v>
      </c>
      <c r="I34" s="112"/>
      <c r="J34" s="112"/>
      <c r="K34" s="113" t="s">
        <v>2396</v>
      </c>
    </row>
    <row r="35" spans="1:11" s="13" customFormat="1" ht="18">
      <c r="A35" s="18" t="s">
        <v>1618</v>
      </c>
      <c r="B35" s="15" t="s">
        <v>1617</v>
      </c>
      <c r="C35" s="15" t="s">
        <v>1616</v>
      </c>
      <c r="D35" s="15" t="s">
        <v>1587</v>
      </c>
      <c r="E35" s="15" t="s">
        <v>1615</v>
      </c>
      <c r="F35" s="15" t="s">
        <v>142</v>
      </c>
      <c r="G35" s="15">
        <v>3</v>
      </c>
      <c r="H35" s="111" t="s">
        <v>141</v>
      </c>
      <c r="I35" s="112"/>
      <c r="J35" s="112"/>
      <c r="K35" s="113" t="s">
        <v>2396</v>
      </c>
    </row>
    <row r="36" spans="1:11" s="13" customFormat="1" ht="18">
      <c r="A36" s="18" t="s">
        <v>1614</v>
      </c>
      <c r="B36" s="15" t="s">
        <v>1613</v>
      </c>
      <c r="C36" s="15" t="s">
        <v>1612</v>
      </c>
      <c r="D36" s="15" t="s">
        <v>1611</v>
      </c>
      <c r="E36" s="15" t="s">
        <v>1610</v>
      </c>
      <c r="F36" s="15" t="s">
        <v>142</v>
      </c>
      <c r="G36" s="15">
        <v>3</v>
      </c>
      <c r="H36" s="111" t="s">
        <v>141</v>
      </c>
      <c r="I36" s="112"/>
      <c r="J36" s="112"/>
      <c r="K36" s="113" t="s">
        <v>2396</v>
      </c>
    </row>
    <row r="37" spans="1:11" s="13" customFormat="1" ht="18">
      <c r="A37" s="18" t="s">
        <v>1609</v>
      </c>
      <c r="B37" s="15" t="s">
        <v>1608</v>
      </c>
      <c r="C37" s="15" t="s">
        <v>1607</v>
      </c>
      <c r="D37" s="15" t="s">
        <v>1606</v>
      </c>
      <c r="E37" s="15" t="s">
        <v>1605</v>
      </c>
      <c r="F37" s="15" t="s">
        <v>142</v>
      </c>
      <c r="G37" s="15">
        <v>3</v>
      </c>
      <c r="H37" s="111" t="s">
        <v>141</v>
      </c>
      <c r="I37" s="112"/>
      <c r="J37" s="112"/>
      <c r="K37" s="113" t="s">
        <v>2396</v>
      </c>
    </row>
    <row r="38" spans="1:11" s="13" customFormat="1" ht="18">
      <c r="A38" s="18" t="s">
        <v>1604</v>
      </c>
      <c r="B38" s="15" t="s">
        <v>1603</v>
      </c>
      <c r="C38" s="15" t="s">
        <v>1602</v>
      </c>
      <c r="D38" s="15" t="s">
        <v>1601</v>
      </c>
      <c r="E38" s="15" t="s">
        <v>1600</v>
      </c>
      <c r="F38" s="15" t="s">
        <v>142</v>
      </c>
      <c r="G38" s="15">
        <v>3</v>
      </c>
      <c r="H38" s="111" t="s">
        <v>141</v>
      </c>
      <c r="I38" s="112"/>
      <c r="J38" s="112"/>
      <c r="K38" s="113" t="s">
        <v>2396</v>
      </c>
    </row>
    <row r="39" spans="1:11" s="13" customFormat="1" ht="18">
      <c r="A39" s="18" t="s">
        <v>1599</v>
      </c>
      <c r="B39" s="15" t="s">
        <v>1598</v>
      </c>
      <c r="C39" s="15" t="s">
        <v>1597</v>
      </c>
      <c r="D39" s="15" t="s">
        <v>1596</v>
      </c>
      <c r="E39" s="15" t="s">
        <v>1595</v>
      </c>
      <c r="F39" s="15" t="s">
        <v>142</v>
      </c>
      <c r="G39" s="15">
        <v>3</v>
      </c>
      <c r="H39" s="111" t="s">
        <v>141</v>
      </c>
      <c r="I39" s="112"/>
      <c r="J39" s="112"/>
      <c r="K39" s="113" t="s">
        <v>2396</v>
      </c>
    </row>
    <row r="40" spans="1:11" s="13" customFormat="1" ht="18">
      <c r="A40" s="18" t="s">
        <v>1594</v>
      </c>
      <c r="B40" s="15" t="s">
        <v>1593</v>
      </c>
      <c r="C40" s="15" t="s">
        <v>1592</v>
      </c>
      <c r="D40" s="15" t="s">
        <v>1591</v>
      </c>
      <c r="E40" s="15" t="s">
        <v>1468</v>
      </c>
      <c r="F40" s="15" t="s">
        <v>142</v>
      </c>
      <c r="G40" s="15">
        <v>3</v>
      </c>
      <c r="H40" s="111" t="s">
        <v>141</v>
      </c>
      <c r="I40" s="112"/>
      <c r="J40" s="112"/>
      <c r="K40" s="113" t="s">
        <v>2396</v>
      </c>
    </row>
    <row r="41" spans="1:11" s="13" customFormat="1" ht="18">
      <c r="A41" s="18" t="s">
        <v>1590</v>
      </c>
      <c r="B41" s="15" t="s">
        <v>1589</v>
      </c>
      <c r="C41" s="15" t="s">
        <v>1588</v>
      </c>
      <c r="D41" s="15" t="s">
        <v>1587</v>
      </c>
      <c r="E41" s="15" t="s">
        <v>1586</v>
      </c>
      <c r="F41" s="15" t="s">
        <v>142</v>
      </c>
      <c r="G41" s="15">
        <v>3</v>
      </c>
      <c r="H41" s="111" t="s">
        <v>141</v>
      </c>
      <c r="I41" s="112"/>
      <c r="J41" s="112"/>
      <c r="K41" s="113" t="s">
        <v>2396</v>
      </c>
    </row>
    <row r="42" spans="1:11" s="13" customFormat="1" ht="18">
      <c r="A42" s="18" t="s">
        <v>1585</v>
      </c>
      <c r="B42" s="15" t="s">
        <v>1584</v>
      </c>
      <c r="C42" s="15" t="s">
        <v>1583</v>
      </c>
      <c r="D42" s="15" t="s">
        <v>1582</v>
      </c>
      <c r="E42" s="15" t="s">
        <v>1581</v>
      </c>
      <c r="F42" s="15" t="s">
        <v>142</v>
      </c>
      <c r="G42" s="15">
        <v>3</v>
      </c>
      <c r="H42" s="111" t="s">
        <v>141</v>
      </c>
      <c r="I42" s="112"/>
      <c r="J42" s="112"/>
      <c r="K42" s="113" t="s">
        <v>2396</v>
      </c>
    </row>
    <row r="43" spans="1:11" s="13" customFormat="1" ht="18">
      <c r="A43" s="18" t="s">
        <v>1580</v>
      </c>
      <c r="B43" s="15" t="s">
        <v>1579</v>
      </c>
      <c r="C43" s="15" t="s">
        <v>1578</v>
      </c>
      <c r="D43" s="15" t="s">
        <v>1577</v>
      </c>
      <c r="E43" s="15" t="s">
        <v>1576</v>
      </c>
      <c r="F43" s="15" t="s">
        <v>142</v>
      </c>
      <c r="G43" s="15">
        <v>3</v>
      </c>
      <c r="H43" s="111" t="s">
        <v>141</v>
      </c>
      <c r="I43" s="112"/>
      <c r="J43" s="112"/>
      <c r="K43" s="113" t="s">
        <v>2396</v>
      </c>
    </row>
    <row r="44" spans="1:11" s="13" customFormat="1" ht="18">
      <c r="A44" s="18" t="s">
        <v>120</v>
      </c>
      <c r="B44" s="15" t="s">
        <v>1575</v>
      </c>
      <c r="C44" s="15" t="s">
        <v>1574</v>
      </c>
      <c r="D44" s="15" t="s">
        <v>1348</v>
      </c>
      <c r="E44" s="15" t="s">
        <v>1573</v>
      </c>
      <c r="F44" s="15" t="s">
        <v>142</v>
      </c>
      <c r="G44" s="15">
        <v>3</v>
      </c>
      <c r="H44" s="111" t="s">
        <v>141</v>
      </c>
      <c r="I44" s="112"/>
      <c r="J44" s="112"/>
      <c r="K44" s="113" t="s">
        <v>2396</v>
      </c>
    </row>
    <row r="45" spans="1:11" s="13" customFormat="1" ht="18">
      <c r="A45" s="18" t="s">
        <v>1572</v>
      </c>
      <c r="B45" s="15" t="s">
        <v>1571</v>
      </c>
      <c r="C45" s="15" t="s">
        <v>1570</v>
      </c>
      <c r="D45" s="15" t="s">
        <v>1569</v>
      </c>
      <c r="E45" s="15" t="s">
        <v>374</v>
      </c>
      <c r="F45" s="15" t="s">
        <v>142</v>
      </c>
      <c r="G45" s="15">
        <v>3</v>
      </c>
      <c r="H45" s="111" t="s">
        <v>141</v>
      </c>
      <c r="I45" s="112"/>
      <c r="J45" s="112"/>
      <c r="K45" s="113" t="s">
        <v>2396</v>
      </c>
    </row>
    <row r="46" spans="1:11" s="13" customFormat="1" ht="18">
      <c r="A46" s="18" t="s">
        <v>1568</v>
      </c>
      <c r="B46" s="15" t="s">
        <v>1567</v>
      </c>
      <c r="C46" s="15" t="s">
        <v>1566</v>
      </c>
      <c r="D46" s="15" t="s">
        <v>1013</v>
      </c>
      <c r="E46" s="15" t="s">
        <v>1565</v>
      </c>
      <c r="F46" s="15" t="s">
        <v>142</v>
      </c>
      <c r="G46" s="15">
        <v>3</v>
      </c>
      <c r="H46" s="111" t="s">
        <v>141</v>
      </c>
      <c r="I46" s="112"/>
      <c r="J46" s="112"/>
      <c r="K46" s="113" t="s">
        <v>2396</v>
      </c>
    </row>
    <row r="47" spans="1:11" s="13" customFormat="1" ht="18">
      <c r="A47" s="18" t="s">
        <v>1564</v>
      </c>
      <c r="B47" s="15" t="s">
        <v>1563</v>
      </c>
      <c r="C47" s="15" t="s">
        <v>1562</v>
      </c>
      <c r="D47" s="15" t="s">
        <v>366</v>
      </c>
      <c r="E47" s="15" t="s">
        <v>1561</v>
      </c>
      <c r="F47" s="15" t="s">
        <v>142</v>
      </c>
      <c r="G47" s="15">
        <v>3</v>
      </c>
      <c r="H47" s="111" t="s">
        <v>141</v>
      </c>
      <c r="I47" s="112"/>
      <c r="J47" s="112"/>
      <c r="K47" s="113" t="s">
        <v>2396</v>
      </c>
    </row>
    <row r="48" spans="1:11" s="13" customFormat="1" ht="18">
      <c r="A48" s="18" t="s">
        <v>1560</v>
      </c>
      <c r="B48" s="15" t="s">
        <v>1559</v>
      </c>
      <c r="C48" s="15" t="s">
        <v>1558</v>
      </c>
      <c r="D48" s="15" t="s">
        <v>382</v>
      </c>
      <c r="E48" s="15" t="s">
        <v>1557</v>
      </c>
      <c r="F48" s="15" t="s">
        <v>142</v>
      </c>
      <c r="G48" s="15">
        <v>2</v>
      </c>
      <c r="H48" s="111" t="s">
        <v>141</v>
      </c>
      <c r="I48" s="112"/>
      <c r="J48" s="112"/>
      <c r="K48" s="113" t="s">
        <v>2396</v>
      </c>
    </row>
    <row r="49" spans="1:11" s="13" customFormat="1" ht="18">
      <c r="A49" s="18" t="s">
        <v>1556</v>
      </c>
      <c r="B49" s="15" t="s">
        <v>1555</v>
      </c>
      <c r="C49" s="15" t="s">
        <v>1554</v>
      </c>
      <c r="D49" s="15" t="s">
        <v>1553</v>
      </c>
      <c r="E49" s="15" t="s">
        <v>1552</v>
      </c>
      <c r="F49" s="15" t="s">
        <v>142</v>
      </c>
      <c r="G49" s="15">
        <v>2</v>
      </c>
      <c r="H49" s="111" t="s">
        <v>141</v>
      </c>
      <c r="I49" s="112"/>
      <c r="J49" s="112"/>
      <c r="K49" s="113" t="s">
        <v>2396</v>
      </c>
    </row>
    <row r="50" spans="1:11" s="13" customFormat="1" ht="18">
      <c r="A50" s="18" t="s">
        <v>1551</v>
      </c>
      <c r="B50" s="15" t="s">
        <v>1550</v>
      </c>
      <c r="C50" s="15" t="s">
        <v>1549</v>
      </c>
      <c r="D50" s="15" t="s">
        <v>1548</v>
      </c>
      <c r="E50" s="15" t="s">
        <v>1547</v>
      </c>
      <c r="F50" s="15" t="s">
        <v>142</v>
      </c>
      <c r="G50" s="15">
        <v>2</v>
      </c>
      <c r="H50" s="111" t="s">
        <v>141</v>
      </c>
      <c r="I50" s="112"/>
      <c r="J50" s="112"/>
      <c r="K50" s="113" t="s">
        <v>2396</v>
      </c>
    </row>
    <row r="51" spans="1:11" s="13" customFormat="1" ht="18">
      <c r="A51" s="18" t="s">
        <v>1546</v>
      </c>
      <c r="B51" s="15" t="s">
        <v>1545</v>
      </c>
      <c r="C51" s="15" t="s">
        <v>1544</v>
      </c>
      <c r="D51" s="15" t="s">
        <v>1543</v>
      </c>
      <c r="E51" s="15" t="s">
        <v>1542</v>
      </c>
      <c r="F51" s="15" t="s">
        <v>142</v>
      </c>
      <c r="G51" s="15">
        <v>3</v>
      </c>
      <c r="H51" s="111" t="s">
        <v>141</v>
      </c>
      <c r="I51" s="112"/>
      <c r="J51" s="112"/>
      <c r="K51" s="113" t="s">
        <v>2396</v>
      </c>
    </row>
    <row r="52" spans="1:11" s="13" customFormat="1" ht="18">
      <c r="A52" s="18" t="s">
        <v>1541</v>
      </c>
      <c r="B52" s="15" t="s">
        <v>1540</v>
      </c>
      <c r="C52" s="15" t="s">
        <v>1539</v>
      </c>
      <c r="D52" s="15" t="s">
        <v>1538</v>
      </c>
      <c r="E52" s="15" t="s">
        <v>1537</v>
      </c>
      <c r="F52" s="15" t="s">
        <v>142</v>
      </c>
      <c r="G52" s="15">
        <v>3</v>
      </c>
      <c r="H52" s="111" t="s">
        <v>141</v>
      </c>
      <c r="I52" s="112"/>
      <c r="J52" s="112"/>
      <c r="K52" s="113" t="s">
        <v>2396</v>
      </c>
    </row>
    <row r="53" spans="1:11" s="13" customFormat="1" ht="18">
      <c r="A53" s="18" t="s">
        <v>1536</v>
      </c>
      <c r="B53" s="15" t="s">
        <v>1535</v>
      </c>
      <c r="C53" s="15" t="s">
        <v>1534</v>
      </c>
      <c r="D53" s="15" t="s">
        <v>1533</v>
      </c>
      <c r="E53" s="15" t="s">
        <v>1532</v>
      </c>
      <c r="F53" s="15" t="s">
        <v>142</v>
      </c>
      <c r="G53" s="15">
        <v>3</v>
      </c>
      <c r="H53" s="111" t="s">
        <v>141</v>
      </c>
      <c r="I53" s="112"/>
      <c r="J53" s="112"/>
      <c r="K53" s="113" t="s">
        <v>2396</v>
      </c>
    </row>
    <row r="54" spans="1:11" s="13" customFormat="1" ht="18">
      <c r="A54" s="18" t="s">
        <v>1531</v>
      </c>
      <c r="B54" s="15" t="s">
        <v>1530</v>
      </c>
      <c r="C54" s="15" t="s">
        <v>1529</v>
      </c>
      <c r="D54" s="15" t="s">
        <v>1528</v>
      </c>
      <c r="E54" s="15" t="s">
        <v>1527</v>
      </c>
      <c r="F54" s="15" t="s">
        <v>142</v>
      </c>
      <c r="G54" s="15">
        <v>3</v>
      </c>
      <c r="H54" s="111" t="s">
        <v>141</v>
      </c>
      <c r="I54" s="112"/>
      <c r="J54" s="112"/>
      <c r="K54" s="113" t="s">
        <v>2396</v>
      </c>
    </row>
    <row r="55" spans="1:11" s="13" customFormat="1" ht="18">
      <c r="A55" s="18" t="s">
        <v>1526</v>
      </c>
      <c r="B55" s="15" t="s">
        <v>1525</v>
      </c>
      <c r="C55" s="15" t="s">
        <v>1524</v>
      </c>
      <c r="D55" s="15" t="s">
        <v>1523</v>
      </c>
      <c r="E55" s="15" t="s">
        <v>1522</v>
      </c>
      <c r="F55" s="15" t="s">
        <v>142</v>
      </c>
      <c r="G55" s="15">
        <v>3</v>
      </c>
      <c r="H55" s="111" t="s">
        <v>141</v>
      </c>
      <c r="I55" s="112"/>
      <c r="J55" s="112"/>
      <c r="K55" s="113" t="s">
        <v>2396</v>
      </c>
    </row>
    <row r="56" spans="1:11" s="13" customFormat="1" ht="18">
      <c r="A56" s="18" t="s">
        <v>1521</v>
      </c>
      <c r="B56" s="15" t="s">
        <v>1520</v>
      </c>
      <c r="C56" s="15" t="s">
        <v>1519</v>
      </c>
      <c r="D56" s="15" t="s">
        <v>1518</v>
      </c>
      <c r="E56" s="15" t="s">
        <v>1517</v>
      </c>
      <c r="F56" s="15" t="s">
        <v>142</v>
      </c>
      <c r="G56" s="15">
        <v>3</v>
      </c>
      <c r="H56" s="111" t="s">
        <v>141</v>
      </c>
      <c r="I56" s="112"/>
      <c r="J56" s="112"/>
      <c r="K56" s="113" t="s">
        <v>2396</v>
      </c>
    </row>
    <row r="57" spans="1:11" s="13" customFormat="1" ht="18">
      <c r="A57" s="18" t="s">
        <v>1516</v>
      </c>
      <c r="B57" s="15" t="s">
        <v>1515</v>
      </c>
      <c r="C57" s="15" t="s">
        <v>1514</v>
      </c>
      <c r="D57" s="15" t="s">
        <v>1513</v>
      </c>
      <c r="E57" s="15" t="s">
        <v>1512</v>
      </c>
      <c r="F57" s="15" t="s">
        <v>142</v>
      </c>
      <c r="G57" s="15">
        <v>3</v>
      </c>
      <c r="H57" s="111" t="s">
        <v>141</v>
      </c>
      <c r="I57" s="112"/>
      <c r="J57" s="112"/>
      <c r="K57" s="113" t="s">
        <v>2396</v>
      </c>
    </row>
    <row r="58" spans="1:11" s="13" customFormat="1" ht="18">
      <c r="A58" s="18" t="s">
        <v>1511</v>
      </c>
      <c r="B58" s="15" t="s">
        <v>1510</v>
      </c>
      <c r="C58" s="15" t="s">
        <v>1509</v>
      </c>
      <c r="D58" s="15" t="s">
        <v>1508</v>
      </c>
      <c r="E58" s="15" t="s">
        <v>1507</v>
      </c>
      <c r="F58" s="15" t="s">
        <v>142</v>
      </c>
      <c r="G58" s="15">
        <v>3</v>
      </c>
      <c r="H58" s="111" t="s">
        <v>141</v>
      </c>
      <c r="I58" s="112"/>
      <c r="J58" s="112"/>
      <c r="K58" s="113" t="s">
        <v>2396</v>
      </c>
    </row>
    <row r="59" spans="1:11" s="13" customFormat="1" ht="18">
      <c r="A59" s="18" t="s">
        <v>1506</v>
      </c>
      <c r="B59" s="15" t="s">
        <v>1505</v>
      </c>
      <c r="C59" s="15" t="s">
        <v>1504</v>
      </c>
      <c r="D59" s="15" t="s">
        <v>1503</v>
      </c>
      <c r="E59" s="15" t="s">
        <v>1502</v>
      </c>
      <c r="F59" s="15" t="s">
        <v>142</v>
      </c>
      <c r="G59" s="15">
        <v>3</v>
      </c>
      <c r="H59" s="111" t="s">
        <v>141</v>
      </c>
      <c r="I59" s="112"/>
      <c r="J59" s="112"/>
      <c r="K59" s="113" t="s">
        <v>2396</v>
      </c>
    </row>
    <row r="60" spans="1:11" s="13" customFormat="1" ht="18">
      <c r="A60" s="18" t="s">
        <v>1501</v>
      </c>
      <c r="B60" s="15" t="s">
        <v>1500</v>
      </c>
      <c r="C60" s="15" t="s">
        <v>1499</v>
      </c>
      <c r="D60" s="15" t="s">
        <v>1498</v>
      </c>
      <c r="E60" s="15" t="s">
        <v>1497</v>
      </c>
      <c r="F60" s="15" t="s">
        <v>142</v>
      </c>
      <c r="G60" s="15">
        <v>3</v>
      </c>
      <c r="H60" s="111" t="s">
        <v>141</v>
      </c>
      <c r="I60" s="112"/>
      <c r="J60" s="112"/>
      <c r="K60" s="113" t="s">
        <v>2396</v>
      </c>
    </row>
    <row r="61" spans="1:11" s="13" customFormat="1" ht="18">
      <c r="A61" s="18" t="s">
        <v>1496</v>
      </c>
      <c r="B61" s="15" t="s">
        <v>1495</v>
      </c>
      <c r="C61" s="15" t="s">
        <v>1494</v>
      </c>
      <c r="D61" s="15" t="s">
        <v>1493</v>
      </c>
      <c r="E61" s="15" t="s">
        <v>1492</v>
      </c>
      <c r="F61" s="15" t="s">
        <v>142</v>
      </c>
      <c r="G61" s="15">
        <v>3</v>
      </c>
      <c r="H61" s="111" t="s">
        <v>141</v>
      </c>
      <c r="I61" s="112"/>
      <c r="J61" s="112"/>
      <c r="K61" s="113" t="s">
        <v>2396</v>
      </c>
    </row>
    <row r="62" spans="1:11" s="13" customFormat="1" ht="18">
      <c r="A62" s="114" t="s">
        <v>2113</v>
      </c>
      <c r="B62" s="115" t="s">
        <v>2114</v>
      </c>
      <c r="C62" s="115" t="s">
        <v>2115</v>
      </c>
      <c r="D62" s="115" t="s">
        <v>2116</v>
      </c>
      <c r="E62" s="115" t="s">
        <v>2117</v>
      </c>
      <c r="F62" s="115" t="s">
        <v>142</v>
      </c>
      <c r="G62" s="115">
        <v>2</v>
      </c>
      <c r="H62" s="116" t="s">
        <v>141</v>
      </c>
      <c r="I62" s="112" t="s">
        <v>2397</v>
      </c>
      <c r="J62" s="112"/>
      <c r="K62" s="113" t="s">
        <v>2396</v>
      </c>
    </row>
    <row r="63" spans="1:11" s="13" customFormat="1" ht="18">
      <c r="A63" s="114" t="s">
        <v>2118</v>
      </c>
      <c r="B63" s="115" t="s">
        <v>2119</v>
      </c>
      <c r="C63" s="115" t="s">
        <v>2120</v>
      </c>
      <c r="D63" s="115" t="s">
        <v>2121</v>
      </c>
      <c r="E63" s="115" t="s">
        <v>2122</v>
      </c>
      <c r="F63" s="115" t="s">
        <v>142</v>
      </c>
      <c r="G63" s="115">
        <v>1</v>
      </c>
      <c r="H63" s="116" t="s">
        <v>499</v>
      </c>
      <c r="I63" s="112" t="s">
        <v>2397</v>
      </c>
      <c r="J63" s="112"/>
      <c r="K63" s="113" t="s">
        <v>2396</v>
      </c>
    </row>
    <row r="64" spans="1:11" s="13" customFormat="1" ht="18">
      <c r="A64" s="117" t="s">
        <v>1491</v>
      </c>
      <c r="B64" s="118" t="s">
        <v>1490</v>
      </c>
      <c r="C64" s="118" t="s">
        <v>1489</v>
      </c>
      <c r="D64" s="118" t="s">
        <v>479</v>
      </c>
      <c r="E64" s="118" t="s">
        <v>1488</v>
      </c>
      <c r="F64" s="118" t="s">
        <v>142</v>
      </c>
      <c r="G64" s="118">
        <v>1</v>
      </c>
      <c r="H64" s="119" t="s">
        <v>141</v>
      </c>
      <c r="I64" s="112"/>
      <c r="J64" s="112"/>
      <c r="K64" s="113" t="s">
        <v>300</v>
      </c>
    </row>
    <row r="65" spans="1:11" s="13" customFormat="1" ht="18">
      <c r="A65" s="117" t="s">
        <v>1487</v>
      </c>
      <c r="B65" s="118" t="s">
        <v>1486</v>
      </c>
      <c r="C65" s="118" t="s">
        <v>1485</v>
      </c>
      <c r="D65" s="118" t="s">
        <v>1268</v>
      </c>
      <c r="E65" s="118" t="s">
        <v>488</v>
      </c>
      <c r="F65" s="118" t="s">
        <v>142</v>
      </c>
      <c r="G65" s="118">
        <v>2</v>
      </c>
      <c r="H65" s="119" t="s">
        <v>141</v>
      </c>
      <c r="I65" s="112"/>
      <c r="J65" s="112"/>
      <c r="K65" s="113" t="s">
        <v>1313</v>
      </c>
    </row>
    <row r="66" spans="1:11" s="13" customFormat="1" ht="18">
      <c r="A66" s="18" t="s">
        <v>1484</v>
      </c>
      <c r="B66" s="15" t="s">
        <v>1483</v>
      </c>
      <c r="C66" s="15" t="s">
        <v>1482</v>
      </c>
      <c r="D66" s="15" t="s">
        <v>1481</v>
      </c>
      <c r="E66" s="15" t="s">
        <v>1480</v>
      </c>
      <c r="F66" s="15" t="s">
        <v>142</v>
      </c>
      <c r="G66" s="15">
        <v>3</v>
      </c>
      <c r="H66" s="111" t="s">
        <v>141</v>
      </c>
      <c r="I66" s="112"/>
      <c r="J66" s="112"/>
      <c r="K66" s="113" t="s">
        <v>1313</v>
      </c>
    </row>
    <row r="67" spans="1:11" s="13" customFormat="1" ht="18">
      <c r="A67" s="18" t="s">
        <v>1479</v>
      </c>
      <c r="B67" s="15" t="s">
        <v>1478</v>
      </c>
      <c r="C67" s="15" t="s">
        <v>1477</v>
      </c>
      <c r="D67" s="15" t="s">
        <v>1476</v>
      </c>
      <c r="E67" s="15" t="s">
        <v>578</v>
      </c>
      <c r="F67" s="15" t="s">
        <v>142</v>
      </c>
      <c r="G67" s="15">
        <v>3</v>
      </c>
      <c r="H67" s="111" t="s">
        <v>141</v>
      </c>
      <c r="I67" s="112"/>
      <c r="J67" s="112"/>
      <c r="K67" s="113" t="s">
        <v>1313</v>
      </c>
    </row>
    <row r="68" spans="1:11" s="13" customFormat="1" ht="18">
      <c r="A68" s="18" t="s">
        <v>1475</v>
      </c>
      <c r="B68" s="15" t="s">
        <v>1474</v>
      </c>
      <c r="C68" s="15" t="s">
        <v>1473</v>
      </c>
      <c r="D68" s="15" t="s">
        <v>1472</v>
      </c>
      <c r="E68" s="15" t="s">
        <v>1228</v>
      </c>
      <c r="F68" s="15" t="s">
        <v>142</v>
      </c>
      <c r="G68" s="15">
        <v>3</v>
      </c>
      <c r="H68" s="111" t="s">
        <v>141</v>
      </c>
      <c r="I68" s="112"/>
      <c r="J68" s="112"/>
      <c r="K68" s="113" t="s">
        <v>1313</v>
      </c>
    </row>
    <row r="69" spans="1:11" s="13" customFormat="1" ht="18">
      <c r="A69" s="18" t="s">
        <v>1471</v>
      </c>
      <c r="B69" s="15" t="s">
        <v>1470</v>
      </c>
      <c r="C69" s="15" t="s">
        <v>1469</v>
      </c>
      <c r="D69" s="15" t="s">
        <v>1468</v>
      </c>
      <c r="E69" s="15" t="s">
        <v>316</v>
      </c>
      <c r="F69" s="15" t="s">
        <v>142</v>
      </c>
      <c r="G69" s="15">
        <v>3</v>
      </c>
      <c r="H69" s="111" t="s">
        <v>141</v>
      </c>
      <c r="I69" s="112"/>
      <c r="J69" s="112"/>
      <c r="K69" s="113" t="s">
        <v>1313</v>
      </c>
    </row>
    <row r="70" spans="1:11" s="13" customFormat="1" ht="18">
      <c r="A70" s="18" t="s">
        <v>1467</v>
      </c>
      <c r="B70" s="15" t="s">
        <v>1466</v>
      </c>
      <c r="C70" s="15" t="s">
        <v>1465</v>
      </c>
      <c r="D70" s="15" t="s">
        <v>1464</v>
      </c>
      <c r="E70" s="15" t="s">
        <v>549</v>
      </c>
      <c r="F70" s="15" t="s">
        <v>142</v>
      </c>
      <c r="G70" s="15">
        <v>3</v>
      </c>
      <c r="H70" s="111" t="s">
        <v>141</v>
      </c>
      <c r="I70" s="112"/>
      <c r="J70" s="112"/>
      <c r="K70" s="113" t="s">
        <v>1313</v>
      </c>
    </row>
    <row r="71" spans="1:11" s="13" customFormat="1" ht="18">
      <c r="A71" s="18" t="s">
        <v>1463</v>
      </c>
      <c r="B71" s="15" t="s">
        <v>1462</v>
      </c>
      <c r="C71" s="15" t="s">
        <v>1461</v>
      </c>
      <c r="D71" s="15" t="s">
        <v>1460</v>
      </c>
      <c r="E71" s="15" t="s">
        <v>326</v>
      </c>
      <c r="F71" s="15" t="s">
        <v>380</v>
      </c>
      <c r="G71" s="15">
        <v>4</v>
      </c>
      <c r="H71" s="111" t="s">
        <v>379</v>
      </c>
      <c r="I71" s="112"/>
      <c r="J71" s="112"/>
      <c r="K71" s="113" t="s">
        <v>1313</v>
      </c>
    </row>
    <row r="72" spans="1:11" s="13" customFormat="1" ht="18">
      <c r="A72" s="18" t="s">
        <v>1459</v>
      </c>
      <c r="B72" s="15" t="s">
        <v>1458</v>
      </c>
      <c r="C72" s="15" t="s">
        <v>1457</v>
      </c>
      <c r="D72" s="15" t="s">
        <v>1456</v>
      </c>
      <c r="E72" s="15" t="s">
        <v>1455</v>
      </c>
      <c r="F72" s="15" t="s">
        <v>380</v>
      </c>
      <c r="G72" s="15">
        <v>4</v>
      </c>
      <c r="H72" s="111" t="s">
        <v>379</v>
      </c>
      <c r="I72" s="112"/>
      <c r="J72" s="112"/>
      <c r="K72" s="113" t="s">
        <v>1313</v>
      </c>
    </row>
    <row r="73" spans="1:11" s="13" customFormat="1" ht="18">
      <c r="A73" s="18" t="s">
        <v>1454</v>
      </c>
      <c r="B73" s="15" t="s">
        <v>1453</v>
      </c>
      <c r="C73" s="15" t="s">
        <v>1452</v>
      </c>
      <c r="D73" s="15" t="s">
        <v>1451</v>
      </c>
      <c r="E73" s="15" t="s">
        <v>530</v>
      </c>
      <c r="F73" s="15" t="s">
        <v>380</v>
      </c>
      <c r="G73" s="15">
        <v>4</v>
      </c>
      <c r="H73" s="111" t="s">
        <v>379</v>
      </c>
      <c r="I73" s="112"/>
      <c r="J73" s="112"/>
      <c r="K73" s="113" t="s">
        <v>1313</v>
      </c>
    </row>
    <row r="74" spans="1:11" s="13" customFormat="1" ht="18">
      <c r="A74" s="18" t="s">
        <v>1450</v>
      </c>
      <c r="B74" s="15" t="s">
        <v>1449</v>
      </c>
      <c r="C74" s="15" t="s">
        <v>1448</v>
      </c>
      <c r="D74" s="15" t="s">
        <v>1268</v>
      </c>
      <c r="E74" s="15" t="s">
        <v>479</v>
      </c>
      <c r="F74" s="15" t="s">
        <v>380</v>
      </c>
      <c r="G74" s="15">
        <v>4</v>
      </c>
      <c r="H74" s="111" t="s">
        <v>379</v>
      </c>
      <c r="I74" s="112"/>
      <c r="J74" s="112"/>
      <c r="K74" s="113" t="s">
        <v>1313</v>
      </c>
    </row>
    <row r="75" spans="1:11" s="13" customFormat="1" ht="18">
      <c r="A75" s="18" t="s">
        <v>1447</v>
      </c>
      <c r="B75" s="15" t="s">
        <v>1446</v>
      </c>
      <c r="C75" s="15" t="s">
        <v>1445</v>
      </c>
      <c r="D75" s="15" t="s">
        <v>1444</v>
      </c>
      <c r="E75" s="15" t="s">
        <v>638</v>
      </c>
      <c r="F75" s="15" t="s">
        <v>380</v>
      </c>
      <c r="G75" s="15">
        <v>4</v>
      </c>
      <c r="H75" s="111" t="s">
        <v>379</v>
      </c>
      <c r="I75" s="112"/>
      <c r="J75" s="112"/>
      <c r="K75" s="113" t="s">
        <v>1313</v>
      </c>
    </row>
    <row r="76" spans="1:11" s="13" customFormat="1" ht="18">
      <c r="A76" s="114" t="s">
        <v>2123</v>
      </c>
      <c r="B76" s="115" t="s">
        <v>2124</v>
      </c>
      <c r="C76" s="115" t="s">
        <v>2125</v>
      </c>
      <c r="D76" s="115" t="s">
        <v>2126</v>
      </c>
      <c r="E76" s="115" t="s">
        <v>504</v>
      </c>
      <c r="F76" s="115" t="s">
        <v>380</v>
      </c>
      <c r="G76" s="115">
        <v>4</v>
      </c>
      <c r="H76" s="116" t="s">
        <v>379</v>
      </c>
      <c r="I76" s="112" t="s">
        <v>2397</v>
      </c>
      <c r="J76" s="112"/>
      <c r="K76" s="113" t="s">
        <v>1313</v>
      </c>
    </row>
    <row r="77" spans="1:11" s="13" customFormat="1" ht="18">
      <c r="A77" s="18" t="s">
        <v>1443</v>
      </c>
      <c r="B77" s="15" t="s">
        <v>1442</v>
      </c>
      <c r="C77" s="15" t="s">
        <v>1441</v>
      </c>
      <c r="D77" s="15" t="s">
        <v>1440</v>
      </c>
      <c r="E77" s="15" t="s">
        <v>540</v>
      </c>
      <c r="F77" s="15" t="s">
        <v>142</v>
      </c>
      <c r="G77" s="15">
        <v>3</v>
      </c>
      <c r="H77" s="111" t="s">
        <v>141</v>
      </c>
      <c r="I77" s="112"/>
      <c r="J77" s="112"/>
      <c r="K77" s="113" t="s">
        <v>1313</v>
      </c>
    </row>
    <row r="78" spans="1:11" s="13" customFormat="1" ht="18">
      <c r="A78" s="18" t="s">
        <v>1439</v>
      </c>
      <c r="B78" s="15" t="s">
        <v>1438</v>
      </c>
      <c r="C78" s="15" t="s">
        <v>1437</v>
      </c>
      <c r="D78" s="15" t="s">
        <v>1436</v>
      </c>
      <c r="E78" s="15" t="s">
        <v>1435</v>
      </c>
      <c r="F78" s="15" t="s">
        <v>142</v>
      </c>
      <c r="G78" s="15">
        <v>3</v>
      </c>
      <c r="H78" s="111" t="s">
        <v>141</v>
      </c>
      <c r="I78" s="112"/>
      <c r="J78" s="112"/>
      <c r="K78" s="113" t="s">
        <v>1313</v>
      </c>
    </row>
    <row r="79" spans="1:11" s="13" customFormat="1" ht="18">
      <c r="A79" s="18" t="s">
        <v>1434</v>
      </c>
      <c r="B79" s="15" t="s">
        <v>1433</v>
      </c>
      <c r="C79" s="15" t="s">
        <v>1432</v>
      </c>
      <c r="D79" s="15" t="s">
        <v>1431</v>
      </c>
      <c r="E79" s="15" t="s">
        <v>301</v>
      </c>
      <c r="F79" s="15" t="s">
        <v>142</v>
      </c>
      <c r="G79" s="15">
        <v>3</v>
      </c>
      <c r="H79" s="111" t="s">
        <v>141</v>
      </c>
      <c r="I79" s="112"/>
      <c r="J79" s="112"/>
      <c r="K79" s="113" t="s">
        <v>1313</v>
      </c>
    </row>
    <row r="80" spans="1:11" s="13" customFormat="1" ht="18">
      <c r="A80" s="18" t="s">
        <v>1430</v>
      </c>
      <c r="B80" s="15" t="s">
        <v>1429</v>
      </c>
      <c r="C80" s="15" t="s">
        <v>1428</v>
      </c>
      <c r="D80" s="15" t="s">
        <v>1260</v>
      </c>
      <c r="E80" s="15" t="s">
        <v>351</v>
      </c>
      <c r="F80" s="15" t="s">
        <v>142</v>
      </c>
      <c r="G80" s="15">
        <v>3</v>
      </c>
      <c r="H80" s="111" t="s">
        <v>141</v>
      </c>
      <c r="I80" s="112"/>
      <c r="J80" s="112"/>
      <c r="K80" s="113" t="s">
        <v>1313</v>
      </c>
    </row>
    <row r="81" spans="1:11" s="13" customFormat="1" ht="18">
      <c r="A81" s="18" t="s">
        <v>1427</v>
      </c>
      <c r="B81" s="15" t="s">
        <v>1426</v>
      </c>
      <c r="C81" s="15" t="s">
        <v>1425</v>
      </c>
      <c r="D81" s="15" t="s">
        <v>1424</v>
      </c>
      <c r="E81" s="15" t="s">
        <v>230</v>
      </c>
      <c r="F81" s="15" t="s">
        <v>142</v>
      </c>
      <c r="G81" s="15">
        <v>3</v>
      </c>
      <c r="H81" s="111" t="s">
        <v>141</v>
      </c>
      <c r="I81" s="112"/>
      <c r="J81" s="112"/>
      <c r="K81" s="113" t="s">
        <v>1313</v>
      </c>
    </row>
    <row r="82" spans="1:11" s="13" customFormat="1" ht="18">
      <c r="A82" s="18" t="s">
        <v>1423</v>
      </c>
      <c r="B82" s="15" t="s">
        <v>1422</v>
      </c>
      <c r="C82" s="15" t="s">
        <v>1421</v>
      </c>
      <c r="D82" s="15" t="s">
        <v>1420</v>
      </c>
      <c r="E82" s="15" t="s">
        <v>723</v>
      </c>
      <c r="F82" s="15" t="s">
        <v>142</v>
      </c>
      <c r="G82" s="15">
        <v>4</v>
      </c>
      <c r="H82" s="111" t="s">
        <v>141</v>
      </c>
      <c r="I82" s="112"/>
      <c r="J82" s="112"/>
      <c r="K82" s="113" t="s">
        <v>1313</v>
      </c>
    </row>
    <row r="83" spans="1:11" s="13" customFormat="1" ht="18">
      <c r="A83" s="18" t="s">
        <v>1419</v>
      </c>
      <c r="B83" s="15" t="s">
        <v>1418</v>
      </c>
      <c r="C83" s="15" t="s">
        <v>1417</v>
      </c>
      <c r="D83" s="15" t="s">
        <v>1416</v>
      </c>
      <c r="E83" s="15" t="s">
        <v>578</v>
      </c>
      <c r="F83" s="15" t="s">
        <v>142</v>
      </c>
      <c r="G83" s="15">
        <v>4</v>
      </c>
      <c r="H83" s="111" t="s">
        <v>141</v>
      </c>
      <c r="I83" s="112"/>
      <c r="J83" s="112"/>
      <c r="K83" s="113" t="s">
        <v>1313</v>
      </c>
    </row>
    <row r="84" spans="1:11" s="13" customFormat="1" ht="18">
      <c r="A84" s="18" t="s">
        <v>1415</v>
      </c>
      <c r="B84" s="15" t="s">
        <v>1414</v>
      </c>
      <c r="C84" s="15" t="s">
        <v>1413</v>
      </c>
      <c r="D84" s="15" t="s">
        <v>718</v>
      </c>
      <c r="E84" s="15" t="s">
        <v>540</v>
      </c>
      <c r="F84" s="15" t="s">
        <v>142</v>
      </c>
      <c r="G84" s="15">
        <v>4</v>
      </c>
      <c r="H84" s="111" t="s">
        <v>141</v>
      </c>
      <c r="I84" s="112"/>
      <c r="J84" s="112"/>
      <c r="K84" s="113" t="s">
        <v>1313</v>
      </c>
    </row>
    <row r="85" spans="1:11" s="13" customFormat="1" ht="18">
      <c r="A85" s="18" t="s">
        <v>1412</v>
      </c>
      <c r="B85" s="15" t="s">
        <v>1411</v>
      </c>
      <c r="C85" s="15" t="s">
        <v>1410</v>
      </c>
      <c r="D85" s="15" t="s">
        <v>1365</v>
      </c>
      <c r="E85" s="15" t="s">
        <v>301</v>
      </c>
      <c r="F85" s="15" t="s">
        <v>142</v>
      </c>
      <c r="G85" s="15">
        <v>4</v>
      </c>
      <c r="H85" s="111" t="s">
        <v>141</v>
      </c>
      <c r="I85" s="112"/>
      <c r="J85" s="112"/>
      <c r="K85" s="113" t="s">
        <v>1313</v>
      </c>
    </row>
    <row r="86" spans="1:11" s="13" customFormat="1" ht="18">
      <c r="A86" s="18" t="s">
        <v>1409</v>
      </c>
      <c r="B86" s="15" t="s">
        <v>1408</v>
      </c>
      <c r="C86" s="15" t="s">
        <v>1407</v>
      </c>
      <c r="D86" s="15" t="s">
        <v>1406</v>
      </c>
      <c r="E86" s="15" t="s">
        <v>301</v>
      </c>
      <c r="F86" s="15" t="s">
        <v>142</v>
      </c>
      <c r="G86" s="15">
        <v>4</v>
      </c>
      <c r="H86" s="111" t="s">
        <v>141</v>
      </c>
      <c r="I86" s="112"/>
      <c r="J86" s="112"/>
      <c r="K86" s="113" t="s">
        <v>1313</v>
      </c>
    </row>
    <row r="87" spans="1:11" s="13" customFormat="1" ht="18">
      <c r="A87" s="18" t="s">
        <v>1405</v>
      </c>
      <c r="B87" s="15" t="s">
        <v>1404</v>
      </c>
      <c r="C87" s="15" t="s">
        <v>1403</v>
      </c>
      <c r="D87" s="15" t="s">
        <v>1402</v>
      </c>
      <c r="E87" s="15" t="s">
        <v>638</v>
      </c>
      <c r="F87" s="15" t="s">
        <v>142</v>
      </c>
      <c r="G87" s="15">
        <v>4</v>
      </c>
      <c r="H87" s="111" t="s">
        <v>141</v>
      </c>
      <c r="I87" s="112"/>
      <c r="J87" s="112"/>
      <c r="K87" s="113" t="s">
        <v>1313</v>
      </c>
    </row>
    <row r="88" spans="1:11" s="13" customFormat="1" ht="18">
      <c r="A88" s="18" t="s">
        <v>1401</v>
      </c>
      <c r="B88" s="15" t="s">
        <v>1400</v>
      </c>
      <c r="C88" s="15" t="s">
        <v>1399</v>
      </c>
      <c r="D88" s="15" t="s">
        <v>1398</v>
      </c>
      <c r="E88" s="15" t="s">
        <v>504</v>
      </c>
      <c r="F88" s="15" t="s">
        <v>142</v>
      </c>
      <c r="G88" s="15">
        <v>3</v>
      </c>
      <c r="H88" s="111" t="s">
        <v>141</v>
      </c>
      <c r="I88" s="112"/>
      <c r="J88" s="112"/>
      <c r="K88" s="113" t="s">
        <v>1313</v>
      </c>
    </row>
    <row r="89" spans="1:11" s="13" customFormat="1" ht="18">
      <c r="A89" s="18" t="s">
        <v>1397</v>
      </c>
      <c r="B89" s="15" t="s">
        <v>1396</v>
      </c>
      <c r="C89" s="15" t="s">
        <v>1395</v>
      </c>
      <c r="D89" s="15" t="s">
        <v>1378</v>
      </c>
      <c r="E89" s="15" t="s">
        <v>456</v>
      </c>
      <c r="F89" s="15" t="s">
        <v>142</v>
      </c>
      <c r="G89" s="15">
        <v>3</v>
      </c>
      <c r="H89" s="111" t="s">
        <v>141</v>
      </c>
      <c r="I89" s="112"/>
      <c r="J89" s="112"/>
      <c r="K89" s="113" t="s">
        <v>1313</v>
      </c>
    </row>
    <row r="90" spans="1:11" s="13" customFormat="1" ht="18">
      <c r="A90" s="18" t="s">
        <v>1394</v>
      </c>
      <c r="B90" s="15" t="s">
        <v>1393</v>
      </c>
      <c r="C90" s="15" t="s">
        <v>1392</v>
      </c>
      <c r="D90" s="15" t="s">
        <v>1391</v>
      </c>
      <c r="E90" s="15" t="s">
        <v>1390</v>
      </c>
      <c r="F90" s="15" t="s">
        <v>142</v>
      </c>
      <c r="G90" s="15">
        <v>2</v>
      </c>
      <c r="H90" s="111" t="s">
        <v>141</v>
      </c>
      <c r="I90" s="112"/>
      <c r="J90" s="112"/>
      <c r="K90" s="113" t="s">
        <v>300</v>
      </c>
    </row>
    <row r="91" spans="1:11" s="13" customFormat="1" ht="18">
      <c r="A91" s="18" t="s">
        <v>1389</v>
      </c>
      <c r="B91" s="15" t="s">
        <v>1388</v>
      </c>
      <c r="C91" s="15" t="s">
        <v>1387</v>
      </c>
      <c r="D91" s="15" t="s">
        <v>1386</v>
      </c>
      <c r="E91" s="15" t="s">
        <v>301</v>
      </c>
      <c r="F91" s="15" t="s">
        <v>380</v>
      </c>
      <c r="G91" s="15">
        <v>3</v>
      </c>
      <c r="H91" s="111" t="s">
        <v>379</v>
      </c>
      <c r="I91" s="112"/>
      <c r="J91" s="112"/>
      <c r="K91" s="113" t="s">
        <v>300</v>
      </c>
    </row>
    <row r="92" spans="1:11" s="13" customFormat="1" ht="18">
      <c r="A92" s="18" t="s">
        <v>2344</v>
      </c>
      <c r="B92" s="15" t="s">
        <v>2345</v>
      </c>
      <c r="C92" s="15" t="s">
        <v>2346</v>
      </c>
      <c r="D92" s="15"/>
      <c r="E92" s="15"/>
      <c r="F92" s="15"/>
      <c r="G92" s="15"/>
      <c r="H92" s="111"/>
      <c r="I92" s="112"/>
      <c r="J92" s="112"/>
      <c r="K92" s="113" t="s">
        <v>300</v>
      </c>
    </row>
    <row r="93" spans="1:11" s="13" customFormat="1" ht="18">
      <c r="A93" s="117" t="s">
        <v>1385</v>
      </c>
      <c r="B93" s="118" t="s">
        <v>1384</v>
      </c>
      <c r="C93" s="118" t="s">
        <v>1383</v>
      </c>
      <c r="D93" s="118" t="s">
        <v>1382</v>
      </c>
      <c r="E93" s="118" t="s">
        <v>143</v>
      </c>
      <c r="F93" s="118" t="s">
        <v>142</v>
      </c>
      <c r="G93" s="118">
        <v>2</v>
      </c>
      <c r="H93" s="119" t="s">
        <v>141</v>
      </c>
      <c r="I93" s="112"/>
      <c r="J93" s="112"/>
      <c r="K93" s="113" t="s">
        <v>300</v>
      </c>
    </row>
    <row r="94" spans="1:11" s="13" customFormat="1" ht="18">
      <c r="A94" s="18" t="s">
        <v>1381</v>
      </c>
      <c r="B94" s="15" t="s">
        <v>1380</v>
      </c>
      <c r="C94" s="15" t="s">
        <v>1379</v>
      </c>
      <c r="D94" s="15" t="s">
        <v>1148</v>
      </c>
      <c r="E94" s="15" t="s">
        <v>1378</v>
      </c>
      <c r="F94" s="15" t="s">
        <v>142</v>
      </c>
      <c r="G94" s="15">
        <v>2</v>
      </c>
      <c r="H94" s="111" t="s">
        <v>141</v>
      </c>
      <c r="I94" s="112"/>
      <c r="J94" s="112"/>
      <c r="K94" s="113" t="s">
        <v>1313</v>
      </c>
    </row>
    <row r="95" spans="1:11" s="13" customFormat="1" ht="18">
      <c r="A95" s="18" t="s">
        <v>1377</v>
      </c>
      <c r="B95" s="15" t="s">
        <v>1376</v>
      </c>
      <c r="C95" s="15" t="s">
        <v>1375</v>
      </c>
      <c r="D95" s="15" t="s">
        <v>1374</v>
      </c>
      <c r="E95" s="15" t="s">
        <v>569</v>
      </c>
      <c r="F95" s="15" t="s">
        <v>142</v>
      </c>
      <c r="G95" s="15">
        <v>3</v>
      </c>
      <c r="H95" s="111" t="s">
        <v>141</v>
      </c>
      <c r="I95" s="112"/>
      <c r="J95" s="112"/>
      <c r="K95" s="113" t="s">
        <v>1313</v>
      </c>
    </row>
    <row r="96" spans="1:11" s="13" customFormat="1" ht="18">
      <c r="A96" s="18" t="s">
        <v>1373</v>
      </c>
      <c r="B96" s="15" t="s">
        <v>1372</v>
      </c>
      <c r="C96" s="15" t="s">
        <v>1371</v>
      </c>
      <c r="D96" s="15" t="s">
        <v>1370</v>
      </c>
      <c r="E96" s="15" t="s">
        <v>1369</v>
      </c>
      <c r="F96" s="15" t="s">
        <v>142</v>
      </c>
      <c r="G96" s="15">
        <v>3</v>
      </c>
      <c r="H96" s="111" t="s">
        <v>141</v>
      </c>
      <c r="I96" s="112"/>
      <c r="J96" s="112"/>
      <c r="K96" s="113" t="s">
        <v>1313</v>
      </c>
    </row>
    <row r="97" spans="1:11" s="13" customFormat="1" ht="18">
      <c r="A97" s="18" t="s">
        <v>1368</v>
      </c>
      <c r="B97" s="15" t="s">
        <v>1367</v>
      </c>
      <c r="C97" s="15" t="s">
        <v>1366</v>
      </c>
      <c r="D97" s="15" t="s">
        <v>1365</v>
      </c>
      <c r="E97" s="15" t="s">
        <v>316</v>
      </c>
      <c r="F97" s="15" t="s">
        <v>142</v>
      </c>
      <c r="G97" s="15">
        <v>3</v>
      </c>
      <c r="H97" s="111" t="s">
        <v>141</v>
      </c>
      <c r="I97" s="112"/>
      <c r="J97" s="112"/>
      <c r="K97" s="113" t="s">
        <v>1313</v>
      </c>
    </row>
    <row r="98" spans="1:11" s="13" customFormat="1" ht="18">
      <c r="A98" s="18" t="s">
        <v>1364</v>
      </c>
      <c r="B98" s="15" t="s">
        <v>1363</v>
      </c>
      <c r="C98" s="15" t="s">
        <v>1362</v>
      </c>
      <c r="D98" s="15" t="s">
        <v>1361</v>
      </c>
      <c r="E98" s="15" t="s">
        <v>549</v>
      </c>
      <c r="F98" s="15" t="s">
        <v>142</v>
      </c>
      <c r="G98" s="15">
        <v>3</v>
      </c>
      <c r="H98" s="111" t="s">
        <v>141</v>
      </c>
      <c r="I98" s="112"/>
      <c r="J98" s="112"/>
      <c r="K98" s="113" t="s">
        <v>1313</v>
      </c>
    </row>
    <row r="99" spans="1:11" s="13" customFormat="1" ht="18">
      <c r="A99" s="18" t="s">
        <v>1360</v>
      </c>
      <c r="B99" s="15" t="s">
        <v>1359</v>
      </c>
      <c r="C99" s="15" t="s">
        <v>1358</v>
      </c>
      <c r="D99" s="15" t="s">
        <v>488</v>
      </c>
      <c r="E99" s="15" t="s">
        <v>540</v>
      </c>
      <c r="F99" s="15" t="s">
        <v>142</v>
      </c>
      <c r="G99" s="15">
        <v>3</v>
      </c>
      <c r="H99" s="111" t="s">
        <v>141</v>
      </c>
      <c r="I99" s="112"/>
      <c r="J99" s="112"/>
      <c r="K99" s="113" t="s">
        <v>1313</v>
      </c>
    </row>
    <row r="100" spans="1:11" s="13" customFormat="1" ht="18">
      <c r="A100" s="18" t="s">
        <v>1357</v>
      </c>
      <c r="B100" s="15" t="s">
        <v>1356</v>
      </c>
      <c r="C100" s="15" t="s">
        <v>1355</v>
      </c>
      <c r="D100" s="15" t="s">
        <v>1354</v>
      </c>
      <c r="E100" s="15" t="s">
        <v>540</v>
      </c>
      <c r="F100" s="15" t="s">
        <v>142</v>
      </c>
      <c r="G100" s="15">
        <v>3</v>
      </c>
      <c r="H100" s="111" t="s">
        <v>141</v>
      </c>
      <c r="I100" s="112"/>
      <c r="J100" s="112"/>
      <c r="K100" s="113" t="s">
        <v>1313</v>
      </c>
    </row>
    <row r="101" spans="1:11" s="13" customFormat="1" ht="18">
      <c r="A101" s="18" t="s">
        <v>1353</v>
      </c>
      <c r="B101" s="15" t="s">
        <v>1352</v>
      </c>
      <c r="C101" s="15" t="s">
        <v>1009</v>
      </c>
      <c r="D101" s="15" t="s">
        <v>479</v>
      </c>
      <c r="E101" s="15" t="s">
        <v>540</v>
      </c>
      <c r="F101" s="15" t="s">
        <v>142</v>
      </c>
      <c r="G101" s="15">
        <v>3</v>
      </c>
      <c r="H101" s="111" t="s">
        <v>141</v>
      </c>
      <c r="I101" s="112"/>
      <c r="J101" s="112"/>
      <c r="K101" s="113" t="s">
        <v>1313</v>
      </c>
    </row>
    <row r="102" spans="1:11" s="13" customFormat="1" ht="18">
      <c r="A102" s="18" t="s">
        <v>1184</v>
      </c>
      <c r="B102" s="15" t="s">
        <v>1183</v>
      </c>
      <c r="C102" s="15" t="s">
        <v>1182</v>
      </c>
      <c r="D102" s="15" t="s">
        <v>638</v>
      </c>
      <c r="E102" s="15" t="s">
        <v>540</v>
      </c>
      <c r="F102" s="15" t="s">
        <v>142</v>
      </c>
      <c r="G102" s="15">
        <v>3</v>
      </c>
      <c r="H102" s="111" t="s">
        <v>141</v>
      </c>
      <c r="I102" s="112"/>
      <c r="J102" s="112"/>
      <c r="K102" s="113" t="s">
        <v>1313</v>
      </c>
    </row>
    <row r="103" spans="1:11" s="13" customFormat="1" ht="18">
      <c r="A103" s="18" t="s">
        <v>1351</v>
      </c>
      <c r="B103" s="15" t="s">
        <v>1350</v>
      </c>
      <c r="C103" s="15" t="s">
        <v>1349</v>
      </c>
      <c r="D103" s="15" t="s">
        <v>531</v>
      </c>
      <c r="E103" s="15" t="s">
        <v>1348</v>
      </c>
      <c r="F103" s="15" t="s">
        <v>142</v>
      </c>
      <c r="G103" s="15">
        <v>3</v>
      </c>
      <c r="H103" s="111" t="s">
        <v>141</v>
      </c>
      <c r="I103" s="112"/>
      <c r="J103" s="112"/>
      <c r="K103" s="113" t="s">
        <v>1313</v>
      </c>
    </row>
    <row r="104" spans="1:11" s="13" customFormat="1" ht="18">
      <c r="A104" s="18" t="s">
        <v>1347</v>
      </c>
      <c r="B104" s="15" t="s">
        <v>1346</v>
      </c>
      <c r="C104" s="15" t="s">
        <v>1345</v>
      </c>
      <c r="D104" s="15" t="s">
        <v>1344</v>
      </c>
      <c r="E104" s="15" t="s">
        <v>479</v>
      </c>
      <c r="F104" s="15" t="s">
        <v>142</v>
      </c>
      <c r="G104" s="15">
        <v>3</v>
      </c>
      <c r="H104" s="111" t="s">
        <v>141</v>
      </c>
      <c r="I104" s="112"/>
      <c r="J104" s="112"/>
      <c r="K104" s="113" t="s">
        <v>1313</v>
      </c>
    </row>
    <row r="105" spans="1:11" s="13" customFormat="1" ht="18">
      <c r="A105" s="18" t="s">
        <v>1343</v>
      </c>
      <c r="B105" s="15" t="s">
        <v>1342</v>
      </c>
      <c r="C105" s="15" t="s">
        <v>1341</v>
      </c>
      <c r="D105" s="15" t="s">
        <v>1340</v>
      </c>
      <c r="E105" s="15" t="s">
        <v>351</v>
      </c>
      <c r="F105" s="15" t="s">
        <v>142</v>
      </c>
      <c r="G105" s="15">
        <v>3</v>
      </c>
      <c r="H105" s="111" t="s">
        <v>141</v>
      </c>
      <c r="I105" s="112"/>
      <c r="J105" s="112"/>
      <c r="K105" s="113" t="s">
        <v>1313</v>
      </c>
    </row>
    <row r="106" spans="1:11" s="13" customFormat="1" ht="18">
      <c r="A106" s="18" t="s">
        <v>1339</v>
      </c>
      <c r="B106" s="15" t="s">
        <v>1338</v>
      </c>
      <c r="C106" s="15" t="s">
        <v>1337</v>
      </c>
      <c r="D106" s="15" t="s">
        <v>758</v>
      </c>
      <c r="E106" s="15" t="s">
        <v>143</v>
      </c>
      <c r="F106" s="15" t="s">
        <v>142</v>
      </c>
      <c r="G106" s="15">
        <v>3</v>
      </c>
      <c r="H106" s="111" t="s">
        <v>141</v>
      </c>
      <c r="I106" s="112"/>
      <c r="J106" s="112"/>
      <c r="K106" s="113" t="s">
        <v>1313</v>
      </c>
    </row>
    <row r="107" spans="1:11" s="13" customFormat="1" ht="18">
      <c r="A107" s="18" t="s">
        <v>1336</v>
      </c>
      <c r="B107" s="15" t="s">
        <v>1335</v>
      </c>
      <c r="C107" s="15" t="s">
        <v>1334</v>
      </c>
      <c r="D107" s="15" t="s">
        <v>1333</v>
      </c>
      <c r="E107" s="15" t="s">
        <v>504</v>
      </c>
      <c r="F107" s="15" t="s">
        <v>142</v>
      </c>
      <c r="G107" s="15">
        <v>3</v>
      </c>
      <c r="H107" s="111" t="s">
        <v>141</v>
      </c>
      <c r="I107" s="112"/>
      <c r="J107" s="112"/>
      <c r="K107" s="113" t="s">
        <v>1313</v>
      </c>
    </row>
    <row r="108" spans="1:11" s="13" customFormat="1" ht="18">
      <c r="A108" s="18" t="s">
        <v>1332</v>
      </c>
      <c r="B108" s="15" t="s">
        <v>1331</v>
      </c>
      <c r="C108" s="15" t="s">
        <v>1330</v>
      </c>
      <c r="D108" s="15" t="s">
        <v>1329</v>
      </c>
      <c r="E108" s="15" t="s">
        <v>488</v>
      </c>
      <c r="F108" s="15" t="s">
        <v>380</v>
      </c>
      <c r="G108" s="15">
        <v>4</v>
      </c>
      <c r="H108" s="111" t="s">
        <v>379</v>
      </c>
      <c r="I108" s="112"/>
      <c r="J108" s="112"/>
      <c r="K108" s="113" t="s">
        <v>1313</v>
      </c>
    </row>
    <row r="109" spans="1:11" s="13" customFormat="1" ht="18">
      <c r="A109" s="18" t="s">
        <v>1328</v>
      </c>
      <c r="B109" s="15" t="s">
        <v>1327</v>
      </c>
      <c r="C109" s="15" t="s">
        <v>1326</v>
      </c>
      <c r="D109" s="15" t="s">
        <v>1325</v>
      </c>
      <c r="E109" s="15" t="s">
        <v>316</v>
      </c>
      <c r="F109" s="15" t="s">
        <v>380</v>
      </c>
      <c r="G109" s="15">
        <v>4</v>
      </c>
      <c r="H109" s="111" t="s">
        <v>379</v>
      </c>
      <c r="I109" s="112"/>
      <c r="J109" s="112"/>
      <c r="K109" s="113" t="s">
        <v>1313</v>
      </c>
    </row>
    <row r="110" spans="1:11" s="13" customFormat="1" ht="18">
      <c r="A110" s="18" t="s">
        <v>1324</v>
      </c>
      <c r="B110" s="15" t="s">
        <v>1323</v>
      </c>
      <c r="C110" s="15" t="s">
        <v>1322</v>
      </c>
      <c r="D110" s="15" t="s">
        <v>1321</v>
      </c>
      <c r="E110" s="15" t="s">
        <v>530</v>
      </c>
      <c r="F110" s="15" t="s">
        <v>380</v>
      </c>
      <c r="G110" s="15">
        <v>4</v>
      </c>
      <c r="H110" s="111" t="s">
        <v>379</v>
      </c>
      <c r="I110" s="112"/>
      <c r="J110" s="112"/>
      <c r="K110" s="113" t="s">
        <v>1313</v>
      </c>
    </row>
    <row r="111" spans="1:11" s="13" customFormat="1" ht="18">
      <c r="A111" s="18" t="s">
        <v>1320</v>
      </c>
      <c r="B111" s="15" t="s">
        <v>1319</v>
      </c>
      <c r="C111" s="15" t="s">
        <v>1318</v>
      </c>
      <c r="D111" s="15" t="s">
        <v>1241</v>
      </c>
      <c r="E111" s="15" t="s">
        <v>143</v>
      </c>
      <c r="F111" s="15" t="s">
        <v>380</v>
      </c>
      <c r="G111" s="15">
        <v>4</v>
      </c>
      <c r="H111" s="111" t="s">
        <v>379</v>
      </c>
      <c r="I111" s="112"/>
      <c r="J111" s="112"/>
      <c r="K111" s="113" t="s">
        <v>1313</v>
      </c>
    </row>
    <row r="112" spans="1:11" s="13" customFormat="1" ht="18">
      <c r="A112" s="14" t="s">
        <v>1317</v>
      </c>
      <c r="B112" s="14" t="s">
        <v>1316</v>
      </c>
      <c r="C112" s="121" t="s">
        <v>1315</v>
      </c>
      <c r="D112" s="14" t="s">
        <v>1314</v>
      </c>
      <c r="E112" s="14" t="s">
        <v>504</v>
      </c>
      <c r="F112" s="14" t="s">
        <v>142</v>
      </c>
      <c r="G112" s="14">
        <v>3</v>
      </c>
      <c r="H112" s="111" t="s">
        <v>141</v>
      </c>
      <c r="I112" s="112"/>
      <c r="J112" s="112"/>
      <c r="K112" s="113" t="s">
        <v>1313</v>
      </c>
    </row>
    <row r="113" spans="1:11" s="13" customFormat="1" ht="18">
      <c r="A113" s="14" t="s">
        <v>2127</v>
      </c>
      <c r="B113" s="14" t="s">
        <v>2128</v>
      </c>
      <c r="C113" s="121" t="s">
        <v>2398</v>
      </c>
      <c r="D113" s="14" t="s">
        <v>2129</v>
      </c>
      <c r="E113" s="14"/>
      <c r="F113" s="14"/>
      <c r="G113" s="14" t="s">
        <v>2397</v>
      </c>
      <c r="H113" s="111"/>
      <c r="I113" s="112" t="s">
        <v>2397</v>
      </c>
      <c r="J113" s="112"/>
      <c r="K113" s="113" t="s">
        <v>1313</v>
      </c>
    </row>
    <row r="114" spans="1:11" s="13" customFormat="1" ht="18">
      <c r="A114" s="14" t="s">
        <v>2130</v>
      </c>
      <c r="B114" s="14" t="s">
        <v>2131</v>
      </c>
      <c r="C114" s="121" t="s">
        <v>2132</v>
      </c>
      <c r="D114" s="14" t="s">
        <v>2129</v>
      </c>
      <c r="E114" s="14"/>
      <c r="F114" s="14"/>
      <c r="G114" s="14" t="s">
        <v>2397</v>
      </c>
      <c r="H114" s="111"/>
      <c r="I114" s="112" t="s">
        <v>2397</v>
      </c>
      <c r="J114" s="112"/>
      <c r="K114" s="113" t="s">
        <v>1313</v>
      </c>
    </row>
    <row r="115" spans="1:11" s="13" customFormat="1" ht="18">
      <c r="A115" s="18" t="s">
        <v>2133</v>
      </c>
      <c r="B115" s="15" t="s">
        <v>2134</v>
      </c>
      <c r="C115" s="15" t="s">
        <v>2135</v>
      </c>
      <c r="D115" s="15" t="s">
        <v>2129</v>
      </c>
      <c r="E115" s="15"/>
      <c r="F115" s="15"/>
      <c r="G115" s="15" t="s">
        <v>2397</v>
      </c>
      <c r="H115" s="111"/>
      <c r="I115" s="112" t="s">
        <v>2397</v>
      </c>
      <c r="J115" s="112"/>
      <c r="K115" s="113" t="s">
        <v>1313</v>
      </c>
    </row>
    <row r="116" spans="1:11" s="13" customFormat="1" ht="18">
      <c r="A116" s="18" t="s">
        <v>1312</v>
      </c>
      <c r="B116" s="15" t="s">
        <v>1311</v>
      </c>
      <c r="C116" s="15" t="s">
        <v>1310</v>
      </c>
      <c r="D116" s="15" t="s">
        <v>749</v>
      </c>
      <c r="E116" s="15" t="s">
        <v>504</v>
      </c>
      <c r="F116" s="15" t="s">
        <v>142</v>
      </c>
      <c r="G116" s="15">
        <v>2</v>
      </c>
      <c r="H116" s="111" t="s">
        <v>141</v>
      </c>
      <c r="I116" s="112"/>
      <c r="J116" s="112"/>
      <c r="K116" s="113" t="s">
        <v>300</v>
      </c>
    </row>
    <row r="117" spans="1:11" s="13" customFormat="1" ht="18">
      <c r="A117" s="18" t="s">
        <v>1309</v>
      </c>
      <c r="B117" s="15" t="s">
        <v>1308</v>
      </c>
      <c r="C117" s="15" t="s">
        <v>1307</v>
      </c>
      <c r="D117" s="15" t="s">
        <v>1306</v>
      </c>
      <c r="E117" s="15" t="s">
        <v>451</v>
      </c>
      <c r="F117" s="15" t="s">
        <v>142</v>
      </c>
      <c r="G117" s="15">
        <v>2</v>
      </c>
      <c r="H117" s="111" t="s">
        <v>141</v>
      </c>
      <c r="I117" s="112"/>
      <c r="J117" s="112"/>
      <c r="K117" s="113" t="s">
        <v>300</v>
      </c>
    </row>
    <row r="118" spans="1:11" s="14" customFormat="1" ht="18">
      <c r="A118" s="18" t="s">
        <v>1305</v>
      </c>
      <c r="B118" s="15" t="s">
        <v>1304</v>
      </c>
      <c r="C118" s="15" t="s">
        <v>1303</v>
      </c>
      <c r="D118" s="15" t="s">
        <v>749</v>
      </c>
      <c r="E118" s="15" t="s">
        <v>326</v>
      </c>
      <c r="F118" s="15" t="s">
        <v>142</v>
      </c>
      <c r="G118" s="15">
        <v>3</v>
      </c>
      <c r="H118" s="111" t="s">
        <v>141</v>
      </c>
      <c r="I118" s="112"/>
      <c r="J118" s="112"/>
      <c r="K118" s="113" t="s">
        <v>1144</v>
      </c>
    </row>
    <row r="119" spans="1:11" s="14" customFormat="1" ht="18">
      <c r="A119" s="18" t="s">
        <v>39</v>
      </c>
      <c r="B119" s="15" t="s">
        <v>1302</v>
      </c>
      <c r="C119" s="15" t="s">
        <v>1301</v>
      </c>
      <c r="D119" s="15" t="s">
        <v>1300</v>
      </c>
      <c r="E119" s="15" t="s">
        <v>723</v>
      </c>
      <c r="F119" s="15" t="s">
        <v>142</v>
      </c>
      <c r="G119" s="15">
        <v>4</v>
      </c>
      <c r="H119" s="111" t="s">
        <v>141</v>
      </c>
      <c r="I119" s="112"/>
      <c r="J119" s="112"/>
      <c r="K119" s="113" t="s">
        <v>1144</v>
      </c>
    </row>
    <row r="120" spans="1:11" s="14" customFormat="1" ht="18">
      <c r="A120" s="18" t="s">
        <v>1292</v>
      </c>
      <c r="B120" s="15" t="s">
        <v>1291</v>
      </c>
      <c r="C120" s="15" t="s">
        <v>1290</v>
      </c>
      <c r="D120" s="15" t="s">
        <v>1289</v>
      </c>
      <c r="E120" s="15" t="s">
        <v>540</v>
      </c>
      <c r="F120" s="15" t="s">
        <v>142</v>
      </c>
      <c r="G120" s="15">
        <v>4</v>
      </c>
      <c r="H120" s="15" t="s">
        <v>141</v>
      </c>
      <c r="I120" s="112"/>
      <c r="J120" s="112"/>
      <c r="K120" s="113" t="s">
        <v>1144</v>
      </c>
    </row>
    <row r="121" spans="1:11" s="13" customFormat="1" ht="18">
      <c r="A121" s="114" t="s">
        <v>1288</v>
      </c>
      <c r="B121" s="115" t="s">
        <v>1287</v>
      </c>
      <c r="C121" s="115" t="s">
        <v>1286</v>
      </c>
      <c r="D121" s="115" t="s">
        <v>1285</v>
      </c>
      <c r="E121" s="115" t="s">
        <v>595</v>
      </c>
      <c r="F121" s="115" t="s">
        <v>380</v>
      </c>
      <c r="G121" s="115">
        <v>4</v>
      </c>
      <c r="H121" s="116" t="s">
        <v>379</v>
      </c>
      <c r="I121" s="112" t="s">
        <v>2397</v>
      </c>
      <c r="J121" s="112"/>
      <c r="K121" s="113"/>
    </row>
    <row r="122" spans="1:11" s="13" customFormat="1" ht="18">
      <c r="A122" s="114" t="s">
        <v>26</v>
      </c>
      <c r="B122" s="115" t="s">
        <v>1284</v>
      </c>
      <c r="C122" s="115" t="s">
        <v>1283</v>
      </c>
      <c r="D122" s="115" t="s">
        <v>479</v>
      </c>
      <c r="E122" s="115" t="s">
        <v>595</v>
      </c>
      <c r="F122" s="115" t="s">
        <v>142</v>
      </c>
      <c r="G122" s="115">
        <v>4</v>
      </c>
      <c r="H122" s="116" t="s">
        <v>141</v>
      </c>
      <c r="I122" s="112" t="s">
        <v>2397</v>
      </c>
      <c r="J122" s="112"/>
      <c r="K122" s="113" t="s">
        <v>1144</v>
      </c>
    </row>
    <row r="123" spans="1:11" s="13" customFormat="1" ht="18">
      <c r="A123" s="18" t="s">
        <v>51</v>
      </c>
      <c r="B123" s="15" t="s">
        <v>1282</v>
      </c>
      <c r="C123" s="15" t="s">
        <v>1281</v>
      </c>
      <c r="D123" s="15" t="s">
        <v>1280</v>
      </c>
      <c r="E123" s="15" t="s">
        <v>574</v>
      </c>
      <c r="F123" s="15" t="s">
        <v>380</v>
      </c>
      <c r="G123" s="15">
        <v>4</v>
      </c>
      <c r="H123" s="111" t="s">
        <v>379</v>
      </c>
      <c r="I123" s="112" t="s">
        <v>2397</v>
      </c>
      <c r="J123" s="112"/>
      <c r="K123" s="113" t="s">
        <v>1144</v>
      </c>
    </row>
    <row r="124" spans="1:11" s="13" customFormat="1" ht="18">
      <c r="A124" s="18" t="s">
        <v>68</v>
      </c>
      <c r="B124" s="15" t="s">
        <v>1279</v>
      </c>
      <c r="C124" s="15" t="s">
        <v>1278</v>
      </c>
      <c r="D124" s="15" t="s">
        <v>1277</v>
      </c>
      <c r="E124" s="15" t="s">
        <v>1276</v>
      </c>
      <c r="F124" s="15" t="s">
        <v>142</v>
      </c>
      <c r="G124" s="15">
        <v>4</v>
      </c>
      <c r="H124" s="111" t="s">
        <v>141</v>
      </c>
      <c r="I124" s="112"/>
      <c r="J124" s="112"/>
      <c r="K124" s="113" t="s">
        <v>1144</v>
      </c>
    </row>
    <row r="125" spans="1:11" s="13" customFormat="1" ht="18">
      <c r="A125" s="114" t="s">
        <v>72</v>
      </c>
      <c r="B125" s="115" t="s">
        <v>1275</v>
      </c>
      <c r="C125" s="115" t="s">
        <v>1274</v>
      </c>
      <c r="D125" s="115" t="s">
        <v>1189</v>
      </c>
      <c r="E125" s="115" t="s">
        <v>638</v>
      </c>
      <c r="F125" s="115" t="s">
        <v>142</v>
      </c>
      <c r="G125" s="115">
        <v>4</v>
      </c>
      <c r="H125" s="116" t="s">
        <v>141</v>
      </c>
      <c r="I125" s="112"/>
      <c r="J125" s="112"/>
      <c r="K125" s="113" t="s">
        <v>1144</v>
      </c>
    </row>
    <row r="126" spans="1:11" s="13" customFormat="1" ht="18">
      <c r="A126" s="18" t="s">
        <v>35</v>
      </c>
      <c r="B126" s="15" t="s">
        <v>1273</v>
      </c>
      <c r="C126" s="15" t="s">
        <v>1272</v>
      </c>
      <c r="D126" s="15" t="s">
        <v>1271</v>
      </c>
      <c r="E126" s="15" t="s">
        <v>638</v>
      </c>
      <c r="F126" s="15" t="s">
        <v>380</v>
      </c>
      <c r="G126" s="15">
        <v>4</v>
      </c>
      <c r="H126" s="111" t="s">
        <v>379</v>
      </c>
      <c r="I126" s="112" t="s">
        <v>2397</v>
      </c>
      <c r="J126" s="112"/>
      <c r="K126" s="113" t="s">
        <v>1144</v>
      </c>
    </row>
    <row r="127" spans="1:11" s="13" customFormat="1" ht="18">
      <c r="A127" s="18" t="s">
        <v>2347</v>
      </c>
      <c r="B127" s="15" t="s">
        <v>2348</v>
      </c>
      <c r="C127" s="15" t="s">
        <v>2349</v>
      </c>
      <c r="D127" s="15"/>
      <c r="E127" s="15"/>
      <c r="F127" s="15"/>
      <c r="G127" s="15"/>
      <c r="H127" s="111"/>
      <c r="I127" s="112"/>
      <c r="J127" s="112"/>
      <c r="K127" s="113" t="s">
        <v>1144</v>
      </c>
    </row>
    <row r="128" spans="1:11" s="13" customFormat="1" ht="18">
      <c r="A128" s="18" t="s">
        <v>55</v>
      </c>
      <c r="B128" s="15" t="s">
        <v>1270</v>
      </c>
      <c r="C128" s="15" t="s">
        <v>1269</v>
      </c>
      <c r="D128" s="15" t="s">
        <v>1268</v>
      </c>
      <c r="E128" s="15" t="s">
        <v>638</v>
      </c>
      <c r="F128" s="15" t="s">
        <v>142</v>
      </c>
      <c r="G128" s="15">
        <v>4</v>
      </c>
      <c r="H128" s="111" t="s">
        <v>141</v>
      </c>
      <c r="I128" s="112"/>
      <c r="J128" s="112"/>
      <c r="K128" s="113" t="s">
        <v>1144</v>
      </c>
    </row>
    <row r="129" spans="1:11" s="13" customFormat="1" ht="18">
      <c r="A129" s="18" t="s">
        <v>1267</v>
      </c>
      <c r="B129" s="15" t="s">
        <v>1266</v>
      </c>
      <c r="C129" s="15" t="s">
        <v>1265</v>
      </c>
      <c r="D129" s="15" t="s">
        <v>1264</v>
      </c>
      <c r="E129" s="15" t="s">
        <v>1263</v>
      </c>
      <c r="F129" s="15" t="s">
        <v>142</v>
      </c>
      <c r="G129" s="15">
        <v>4</v>
      </c>
      <c r="H129" s="111" t="s">
        <v>141</v>
      </c>
      <c r="I129" s="112"/>
      <c r="J129" s="112"/>
      <c r="K129" s="113" t="s">
        <v>1144</v>
      </c>
    </row>
    <row r="130" spans="1:11" s="13" customFormat="1" ht="18">
      <c r="A130" s="18" t="s">
        <v>75</v>
      </c>
      <c r="B130" s="15" t="s">
        <v>1262</v>
      </c>
      <c r="C130" s="15" t="s">
        <v>1261</v>
      </c>
      <c r="D130" s="15" t="s">
        <v>1260</v>
      </c>
      <c r="E130" s="15" t="s">
        <v>504</v>
      </c>
      <c r="F130" s="15" t="s">
        <v>142</v>
      </c>
      <c r="G130" s="15">
        <v>4</v>
      </c>
      <c r="H130" s="111" t="s">
        <v>141</v>
      </c>
      <c r="I130" s="112"/>
      <c r="J130" s="112"/>
      <c r="K130" s="113" t="s">
        <v>1144</v>
      </c>
    </row>
    <row r="131" spans="1:11" s="13" customFormat="1" ht="18">
      <c r="A131" s="18" t="s">
        <v>24</v>
      </c>
      <c r="B131" s="15" t="s">
        <v>1259</v>
      </c>
      <c r="C131" s="15" t="s">
        <v>1258</v>
      </c>
      <c r="D131" s="15" t="s">
        <v>1257</v>
      </c>
      <c r="E131" s="15" t="s">
        <v>504</v>
      </c>
      <c r="F131" s="15" t="s">
        <v>142</v>
      </c>
      <c r="G131" s="15">
        <v>4</v>
      </c>
      <c r="H131" s="111" t="s">
        <v>141</v>
      </c>
      <c r="I131" s="112"/>
      <c r="J131" s="112"/>
      <c r="K131" s="113" t="s">
        <v>1144</v>
      </c>
    </row>
    <row r="132" spans="1:11" s="13" customFormat="1" ht="18">
      <c r="A132" s="114" t="s">
        <v>54</v>
      </c>
      <c r="B132" s="115" t="s">
        <v>1256</v>
      </c>
      <c r="C132" s="115" t="s">
        <v>1255</v>
      </c>
      <c r="D132" s="115" t="s">
        <v>1254</v>
      </c>
      <c r="E132" s="115" t="s">
        <v>1148</v>
      </c>
      <c r="F132" s="115" t="s">
        <v>142</v>
      </c>
      <c r="G132" s="115">
        <v>4</v>
      </c>
      <c r="H132" s="116" t="s">
        <v>141</v>
      </c>
      <c r="I132" s="112"/>
      <c r="J132" s="112"/>
      <c r="K132" s="113" t="s">
        <v>1144</v>
      </c>
    </row>
    <row r="133" spans="1:11" s="13" customFormat="1" ht="18">
      <c r="A133" s="18" t="s">
        <v>52</v>
      </c>
      <c r="B133" s="15" t="s">
        <v>1253</v>
      </c>
      <c r="C133" s="15" t="s">
        <v>1252</v>
      </c>
      <c r="D133" s="15" t="s">
        <v>1251</v>
      </c>
      <c r="E133" s="15" t="s">
        <v>451</v>
      </c>
      <c r="F133" s="15" t="s">
        <v>142</v>
      </c>
      <c r="G133" s="15">
        <v>4</v>
      </c>
      <c r="H133" s="111" t="s">
        <v>141</v>
      </c>
      <c r="I133" s="112"/>
      <c r="J133" s="112"/>
      <c r="K133" s="113" t="s">
        <v>1144</v>
      </c>
    </row>
    <row r="134" spans="1:11" s="13" customFormat="1" ht="18">
      <c r="A134" s="18" t="s">
        <v>56</v>
      </c>
      <c r="B134" s="15" t="s">
        <v>1250</v>
      </c>
      <c r="C134" s="15" t="s">
        <v>1249</v>
      </c>
      <c r="D134" s="15" t="s">
        <v>1248</v>
      </c>
      <c r="E134" s="15" t="s">
        <v>451</v>
      </c>
      <c r="F134" s="15" t="s">
        <v>380</v>
      </c>
      <c r="G134" s="15">
        <v>4</v>
      </c>
      <c r="H134" s="111" t="s">
        <v>379</v>
      </c>
      <c r="I134" s="112" t="s">
        <v>2397</v>
      </c>
      <c r="J134" s="112"/>
      <c r="K134" s="113" t="s">
        <v>1144</v>
      </c>
    </row>
    <row r="135" spans="1:11" s="13" customFormat="1" ht="18">
      <c r="A135" s="18" t="s">
        <v>32</v>
      </c>
      <c r="B135" s="15" t="s">
        <v>1247</v>
      </c>
      <c r="C135" s="15" t="s">
        <v>1246</v>
      </c>
      <c r="D135" s="15" t="s">
        <v>1245</v>
      </c>
      <c r="E135" s="15" t="s">
        <v>478</v>
      </c>
      <c r="F135" s="15" t="s">
        <v>142</v>
      </c>
      <c r="G135" s="15">
        <v>3</v>
      </c>
      <c r="H135" s="111" t="s">
        <v>141</v>
      </c>
      <c r="I135" s="112"/>
      <c r="J135" s="112"/>
      <c r="K135" s="113" t="s">
        <v>1144</v>
      </c>
    </row>
    <row r="136" spans="1:11" s="13" customFormat="1" ht="18">
      <c r="A136" s="18" t="s">
        <v>1244</v>
      </c>
      <c r="B136" s="15" t="s">
        <v>1243</v>
      </c>
      <c r="C136" s="15" t="s">
        <v>1242</v>
      </c>
      <c r="D136" s="15" t="s">
        <v>1241</v>
      </c>
      <c r="E136" s="15" t="s">
        <v>316</v>
      </c>
      <c r="F136" s="15" t="s">
        <v>142</v>
      </c>
      <c r="G136" s="15">
        <v>3</v>
      </c>
      <c r="H136" s="111" t="s">
        <v>141</v>
      </c>
      <c r="I136" s="112"/>
      <c r="J136" s="112"/>
      <c r="K136" s="113" t="s">
        <v>1144</v>
      </c>
    </row>
    <row r="137" spans="1:11" s="13" customFormat="1" ht="18">
      <c r="A137" s="18" t="s">
        <v>53</v>
      </c>
      <c r="B137" s="15" t="s">
        <v>1240</v>
      </c>
      <c r="C137" s="15" t="s">
        <v>1239</v>
      </c>
      <c r="D137" s="15" t="s">
        <v>1238</v>
      </c>
      <c r="E137" s="15" t="s">
        <v>629</v>
      </c>
      <c r="F137" s="15" t="s">
        <v>142</v>
      </c>
      <c r="G137" s="15">
        <v>4</v>
      </c>
      <c r="H137" s="111" t="s">
        <v>141</v>
      </c>
      <c r="I137" s="112"/>
      <c r="J137" s="112"/>
      <c r="K137" s="113" t="s">
        <v>1144</v>
      </c>
    </row>
    <row r="138" spans="1:11" s="13" customFormat="1" ht="18">
      <c r="A138" s="18" t="s">
        <v>1237</v>
      </c>
      <c r="B138" s="15" t="s">
        <v>1236</v>
      </c>
      <c r="C138" s="15" t="s">
        <v>1235</v>
      </c>
      <c r="D138" s="15" t="s">
        <v>1234</v>
      </c>
      <c r="E138" s="15" t="s">
        <v>316</v>
      </c>
      <c r="F138" s="15" t="s">
        <v>142</v>
      </c>
      <c r="G138" s="15">
        <v>4</v>
      </c>
      <c r="H138" s="111" t="s">
        <v>141</v>
      </c>
      <c r="I138" s="112"/>
      <c r="J138" s="112"/>
      <c r="K138" s="113" t="s">
        <v>1144</v>
      </c>
    </row>
    <row r="139" spans="1:11" s="13" customFormat="1" ht="18">
      <c r="A139" s="18" t="s">
        <v>63</v>
      </c>
      <c r="B139" s="15" t="s">
        <v>1295</v>
      </c>
      <c r="C139" s="15" t="s">
        <v>1294</v>
      </c>
      <c r="D139" s="15" t="s">
        <v>1293</v>
      </c>
      <c r="E139" s="15" t="s">
        <v>316</v>
      </c>
      <c r="F139" s="15" t="s">
        <v>380</v>
      </c>
      <c r="G139" s="15">
        <v>4</v>
      </c>
      <c r="H139" s="111" t="s">
        <v>379</v>
      </c>
      <c r="I139" s="112"/>
      <c r="J139" s="112"/>
      <c r="K139" s="113" t="s">
        <v>1144</v>
      </c>
    </row>
    <row r="140" spans="1:11" s="13" customFormat="1" ht="18">
      <c r="A140" s="18" t="s">
        <v>59</v>
      </c>
      <c r="B140" s="15" t="s">
        <v>1233</v>
      </c>
      <c r="C140" s="15" t="s">
        <v>1232</v>
      </c>
      <c r="D140" s="15" t="s">
        <v>1231</v>
      </c>
      <c r="E140" s="15" t="s">
        <v>540</v>
      </c>
      <c r="F140" s="15" t="s">
        <v>142</v>
      </c>
      <c r="G140" s="15">
        <v>4</v>
      </c>
      <c r="H140" s="111" t="s">
        <v>141</v>
      </c>
      <c r="I140" s="112"/>
      <c r="J140" s="112"/>
      <c r="K140" s="113" t="s">
        <v>1144</v>
      </c>
    </row>
    <row r="141" spans="1:11" s="13" customFormat="1" ht="18">
      <c r="A141" s="18" t="s">
        <v>73</v>
      </c>
      <c r="B141" s="15" t="s">
        <v>1230</v>
      </c>
      <c r="C141" s="15" t="s">
        <v>1229</v>
      </c>
      <c r="D141" s="15" t="s">
        <v>1228</v>
      </c>
      <c r="E141" s="15" t="s">
        <v>301</v>
      </c>
      <c r="F141" s="15" t="s">
        <v>142</v>
      </c>
      <c r="G141" s="15">
        <v>4</v>
      </c>
      <c r="H141" s="111" t="s">
        <v>141</v>
      </c>
      <c r="I141" s="112"/>
      <c r="J141" s="112"/>
      <c r="K141" s="113" t="s">
        <v>1144</v>
      </c>
    </row>
    <row r="142" spans="1:11" s="13" customFormat="1" ht="18">
      <c r="A142" s="18" t="s">
        <v>82</v>
      </c>
      <c r="B142" s="15" t="s">
        <v>1227</v>
      </c>
      <c r="C142" s="15" t="s">
        <v>1226</v>
      </c>
      <c r="D142" s="15" t="s">
        <v>1225</v>
      </c>
      <c r="E142" s="15" t="s">
        <v>301</v>
      </c>
      <c r="F142" s="15" t="s">
        <v>142</v>
      </c>
      <c r="G142" s="15">
        <v>4</v>
      </c>
      <c r="H142" s="111" t="s">
        <v>141</v>
      </c>
      <c r="I142" s="112"/>
      <c r="J142" s="112"/>
      <c r="K142" s="113" t="s">
        <v>1144</v>
      </c>
    </row>
    <row r="143" spans="1:11" s="13" customFormat="1" ht="18">
      <c r="A143" s="18" t="s">
        <v>677</v>
      </c>
      <c r="B143" s="15" t="s">
        <v>676</v>
      </c>
      <c r="C143" s="15" t="s">
        <v>675</v>
      </c>
      <c r="D143" s="15" t="s">
        <v>674</v>
      </c>
      <c r="E143" s="15" t="s">
        <v>143</v>
      </c>
      <c r="F143" s="15" t="s">
        <v>380</v>
      </c>
      <c r="G143" s="15">
        <v>4</v>
      </c>
      <c r="H143" s="111" t="s">
        <v>379</v>
      </c>
      <c r="I143" s="112"/>
      <c r="J143" s="112"/>
      <c r="K143" s="113" t="s">
        <v>1144</v>
      </c>
    </row>
    <row r="144" spans="1:11" s="13" customFormat="1" ht="18">
      <c r="A144" s="18" t="s">
        <v>28</v>
      </c>
      <c r="B144" s="15" t="s">
        <v>1224</v>
      </c>
      <c r="C144" s="15" t="s">
        <v>1223</v>
      </c>
      <c r="D144" s="15" t="s">
        <v>1222</v>
      </c>
      <c r="E144" s="15" t="s">
        <v>664</v>
      </c>
      <c r="F144" s="15" t="s">
        <v>142</v>
      </c>
      <c r="G144" s="15">
        <v>4</v>
      </c>
      <c r="H144" s="111" t="s">
        <v>141</v>
      </c>
      <c r="I144" s="112"/>
      <c r="J144" s="112"/>
      <c r="K144" s="113" t="s">
        <v>1144</v>
      </c>
    </row>
    <row r="145" spans="1:11" s="13" customFormat="1" ht="18">
      <c r="A145" s="18" t="s">
        <v>1221</v>
      </c>
      <c r="B145" s="15" t="s">
        <v>1220</v>
      </c>
      <c r="C145" s="15" t="s">
        <v>1219</v>
      </c>
      <c r="D145" s="15" t="s">
        <v>1218</v>
      </c>
      <c r="E145" s="15" t="s">
        <v>316</v>
      </c>
      <c r="F145" s="15" t="s">
        <v>142</v>
      </c>
      <c r="G145" s="15">
        <v>3</v>
      </c>
      <c r="H145" s="111" t="s">
        <v>141</v>
      </c>
      <c r="I145" s="112"/>
      <c r="J145" s="112"/>
      <c r="K145" s="113" t="s">
        <v>1144</v>
      </c>
    </row>
    <row r="146" spans="1:11" s="13" customFormat="1" ht="18">
      <c r="A146" s="18" t="s">
        <v>1217</v>
      </c>
      <c r="B146" s="15" t="s">
        <v>1216</v>
      </c>
      <c r="C146" s="15" t="s">
        <v>1215</v>
      </c>
      <c r="D146" s="15" t="s">
        <v>1214</v>
      </c>
      <c r="E146" s="15" t="s">
        <v>1213</v>
      </c>
      <c r="F146" s="15" t="s">
        <v>142</v>
      </c>
      <c r="G146" s="15">
        <v>3</v>
      </c>
      <c r="H146" s="111" t="s">
        <v>141</v>
      </c>
      <c r="I146" s="112"/>
      <c r="J146" s="112"/>
      <c r="K146" s="113" t="s">
        <v>1144</v>
      </c>
    </row>
    <row r="147" spans="1:11" s="13" customFormat="1" ht="18">
      <c r="A147" s="18" t="s">
        <v>1212</v>
      </c>
      <c r="B147" s="15" t="s">
        <v>1211</v>
      </c>
      <c r="C147" s="15" t="s">
        <v>1210</v>
      </c>
      <c r="D147" s="15" t="s">
        <v>1168</v>
      </c>
      <c r="E147" s="15" t="s">
        <v>301</v>
      </c>
      <c r="F147" s="15" t="s">
        <v>142</v>
      </c>
      <c r="G147" s="15">
        <v>3</v>
      </c>
      <c r="H147" s="111" t="s">
        <v>141</v>
      </c>
      <c r="I147" s="112"/>
      <c r="J147" s="112"/>
      <c r="K147" s="113" t="s">
        <v>1144</v>
      </c>
    </row>
    <row r="148" spans="1:11" s="13" customFormat="1" ht="18">
      <c r="A148" s="18" t="s">
        <v>1209</v>
      </c>
      <c r="B148" s="15" t="s">
        <v>1208</v>
      </c>
      <c r="C148" s="15" t="s">
        <v>1207</v>
      </c>
      <c r="D148" s="15" t="s">
        <v>664</v>
      </c>
      <c r="E148" s="15" t="s">
        <v>574</v>
      </c>
      <c r="F148" s="15" t="s">
        <v>142</v>
      </c>
      <c r="G148" s="15">
        <v>3</v>
      </c>
      <c r="H148" s="111" t="s">
        <v>141</v>
      </c>
      <c r="I148" s="112"/>
      <c r="J148" s="112"/>
      <c r="K148" s="113" t="s">
        <v>1144</v>
      </c>
    </row>
    <row r="149" spans="1:11" s="13" customFormat="1" ht="18">
      <c r="A149" s="114" t="s">
        <v>66</v>
      </c>
      <c r="B149" s="115" t="s">
        <v>1206</v>
      </c>
      <c r="C149" s="115" t="s">
        <v>1205</v>
      </c>
      <c r="D149" s="115" t="s">
        <v>1204</v>
      </c>
      <c r="E149" s="115" t="s">
        <v>723</v>
      </c>
      <c r="F149" s="115" t="s">
        <v>142</v>
      </c>
      <c r="G149" s="115">
        <v>4</v>
      </c>
      <c r="H149" s="116" t="s">
        <v>141</v>
      </c>
      <c r="I149" s="112"/>
      <c r="J149" s="112"/>
      <c r="K149" s="113" t="s">
        <v>1144</v>
      </c>
    </row>
    <row r="150" spans="1:11" s="13" customFormat="1" ht="18">
      <c r="A150" s="114" t="s">
        <v>1203</v>
      </c>
      <c r="B150" s="115" t="s">
        <v>1202</v>
      </c>
      <c r="C150" s="115" t="s">
        <v>1201</v>
      </c>
      <c r="D150" s="115" t="s">
        <v>634</v>
      </c>
      <c r="E150" s="115" t="s">
        <v>723</v>
      </c>
      <c r="F150" s="115" t="s">
        <v>142</v>
      </c>
      <c r="G150" s="115">
        <v>4</v>
      </c>
      <c r="H150" s="116" t="s">
        <v>141</v>
      </c>
      <c r="I150" s="112"/>
      <c r="J150" s="112"/>
      <c r="K150" s="113" t="s">
        <v>1144</v>
      </c>
    </row>
    <row r="151" spans="1:11" s="13" customFormat="1" ht="18">
      <c r="A151" s="18" t="s">
        <v>2136</v>
      </c>
      <c r="B151" s="15" t="s">
        <v>2137</v>
      </c>
      <c r="C151" s="15" t="s">
        <v>2138</v>
      </c>
      <c r="D151" s="15" t="s">
        <v>2139</v>
      </c>
      <c r="E151" s="15" t="s">
        <v>326</v>
      </c>
      <c r="F151" s="15" t="s">
        <v>142</v>
      </c>
      <c r="G151" s="15">
        <v>4</v>
      </c>
      <c r="H151" s="111" t="s">
        <v>499</v>
      </c>
      <c r="I151" s="112" t="s">
        <v>2397</v>
      </c>
      <c r="J151" s="112"/>
      <c r="K151" s="113" t="s">
        <v>1144</v>
      </c>
    </row>
    <row r="152" spans="1:11" s="13" customFormat="1" ht="18">
      <c r="A152" s="18" t="s">
        <v>1200</v>
      </c>
      <c r="B152" s="15" t="s">
        <v>1199</v>
      </c>
      <c r="C152" s="15" t="s">
        <v>1198</v>
      </c>
      <c r="D152" s="15" t="s">
        <v>1197</v>
      </c>
      <c r="E152" s="15" t="s">
        <v>1193</v>
      </c>
      <c r="F152" s="15" t="s">
        <v>142</v>
      </c>
      <c r="G152" s="15">
        <v>4</v>
      </c>
      <c r="H152" s="111" t="s">
        <v>499</v>
      </c>
      <c r="I152" s="112" t="s">
        <v>2397</v>
      </c>
      <c r="J152" s="112"/>
      <c r="K152" s="113" t="s">
        <v>1144</v>
      </c>
    </row>
    <row r="153" spans="1:11" s="13" customFormat="1" ht="18">
      <c r="A153" s="18" t="s">
        <v>38</v>
      </c>
      <c r="B153" s="15" t="s">
        <v>1196</v>
      </c>
      <c r="C153" s="15" t="s">
        <v>1195</v>
      </c>
      <c r="D153" s="15" t="s">
        <v>1194</v>
      </c>
      <c r="E153" s="15" t="s">
        <v>1193</v>
      </c>
      <c r="F153" s="15" t="s">
        <v>142</v>
      </c>
      <c r="G153" s="15">
        <v>4</v>
      </c>
      <c r="H153" s="111" t="s">
        <v>141</v>
      </c>
      <c r="I153" s="112"/>
      <c r="J153" s="112"/>
      <c r="K153" s="113" t="s">
        <v>1144</v>
      </c>
    </row>
    <row r="154" spans="1:11" s="13" customFormat="1" ht="18">
      <c r="A154" s="114" t="s">
        <v>1192</v>
      </c>
      <c r="B154" s="115" t="s">
        <v>1191</v>
      </c>
      <c r="C154" s="115" t="s">
        <v>1190</v>
      </c>
      <c r="D154" s="115" t="s">
        <v>1189</v>
      </c>
      <c r="E154" s="115" t="s">
        <v>619</v>
      </c>
      <c r="F154" s="115" t="s">
        <v>142</v>
      </c>
      <c r="G154" s="115">
        <v>4</v>
      </c>
      <c r="H154" s="116" t="s">
        <v>141</v>
      </c>
      <c r="I154" s="112"/>
      <c r="J154" s="112"/>
      <c r="K154" s="113" t="s">
        <v>1144</v>
      </c>
    </row>
    <row r="155" spans="1:11" s="13" customFormat="1" ht="18">
      <c r="A155" s="18" t="s">
        <v>1188</v>
      </c>
      <c r="B155" s="15" t="s">
        <v>1187</v>
      </c>
      <c r="C155" s="15" t="s">
        <v>1186</v>
      </c>
      <c r="D155" s="15" t="s">
        <v>1185</v>
      </c>
      <c r="E155" s="15" t="s">
        <v>540</v>
      </c>
      <c r="F155" s="15" t="s">
        <v>380</v>
      </c>
      <c r="G155" s="15">
        <v>4</v>
      </c>
      <c r="H155" s="111" t="s">
        <v>379</v>
      </c>
      <c r="I155" s="112"/>
      <c r="J155" s="112"/>
      <c r="K155" s="113" t="s">
        <v>1144</v>
      </c>
    </row>
    <row r="156" spans="1:11" s="13" customFormat="1" ht="18">
      <c r="A156" s="18"/>
      <c r="B156" s="15"/>
      <c r="C156" s="15"/>
      <c r="D156" s="15"/>
      <c r="E156" s="15"/>
      <c r="F156" s="15"/>
      <c r="G156" s="15"/>
      <c r="H156" s="111"/>
      <c r="I156" s="112"/>
      <c r="J156" s="112"/>
      <c r="K156" s="113" t="s">
        <v>1144</v>
      </c>
    </row>
    <row r="157" spans="1:11" s="13" customFormat="1" ht="18">
      <c r="A157" s="114" t="s">
        <v>71</v>
      </c>
      <c r="B157" s="115" t="s">
        <v>1181</v>
      </c>
      <c r="C157" s="115" t="s">
        <v>1180</v>
      </c>
      <c r="D157" s="115" t="s">
        <v>1179</v>
      </c>
      <c r="E157" s="115" t="s">
        <v>1178</v>
      </c>
      <c r="F157" s="115" t="s">
        <v>142</v>
      </c>
      <c r="G157" s="115">
        <v>4</v>
      </c>
      <c r="H157" s="116" t="s">
        <v>141</v>
      </c>
      <c r="I157" s="112"/>
      <c r="J157" s="112"/>
      <c r="K157" s="113" t="s">
        <v>1144</v>
      </c>
    </row>
    <row r="158" spans="1:11" s="13" customFormat="1" ht="18">
      <c r="A158" s="18" t="s">
        <v>1175</v>
      </c>
      <c r="B158" s="15" t="s">
        <v>1174</v>
      </c>
      <c r="C158" s="15" t="s">
        <v>1173</v>
      </c>
      <c r="D158" s="15" t="s">
        <v>1172</v>
      </c>
      <c r="E158" s="15" t="s">
        <v>301</v>
      </c>
      <c r="F158" s="15" t="s">
        <v>142</v>
      </c>
      <c r="G158" s="15">
        <v>4</v>
      </c>
      <c r="H158" s="111" t="s">
        <v>499</v>
      </c>
      <c r="I158" s="112"/>
      <c r="J158" s="112"/>
      <c r="K158" s="113" t="s">
        <v>1144</v>
      </c>
    </row>
    <row r="159" spans="1:11" s="13" customFormat="1" ht="18">
      <c r="A159" s="18" t="s">
        <v>74</v>
      </c>
      <c r="B159" s="15" t="s">
        <v>1177</v>
      </c>
      <c r="C159" s="15" t="s">
        <v>1176</v>
      </c>
      <c r="D159" s="15" t="s">
        <v>985</v>
      </c>
      <c r="E159" s="15" t="s">
        <v>758</v>
      </c>
      <c r="F159" s="15" t="s">
        <v>142</v>
      </c>
      <c r="G159" s="15">
        <v>4</v>
      </c>
      <c r="H159" s="111" t="s">
        <v>141</v>
      </c>
      <c r="I159" s="112" t="s">
        <v>2397</v>
      </c>
      <c r="J159" s="112"/>
      <c r="K159" s="113" t="s">
        <v>1144</v>
      </c>
    </row>
    <row r="160" spans="1:11" s="13" customFormat="1" ht="18">
      <c r="A160" s="18" t="s">
        <v>1171</v>
      </c>
      <c r="B160" s="15" t="s">
        <v>1170</v>
      </c>
      <c r="C160" s="15" t="s">
        <v>1169</v>
      </c>
      <c r="D160" s="15" t="s">
        <v>559</v>
      </c>
      <c r="E160" s="15" t="s">
        <v>1168</v>
      </c>
      <c r="F160" s="15" t="s">
        <v>380</v>
      </c>
      <c r="G160" s="15">
        <v>4</v>
      </c>
      <c r="H160" s="111" t="s">
        <v>379</v>
      </c>
      <c r="I160" s="112"/>
      <c r="J160" s="112"/>
      <c r="K160" s="113" t="s">
        <v>1144</v>
      </c>
    </row>
    <row r="161" spans="1:11" s="13" customFormat="1" ht="18">
      <c r="A161" s="18" t="s">
        <v>113</v>
      </c>
      <c r="B161" s="15" t="s">
        <v>1167</v>
      </c>
      <c r="C161" s="15" t="s">
        <v>1166</v>
      </c>
      <c r="D161" s="15" t="s">
        <v>574</v>
      </c>
      <c r="E161" s="15" t="s">
        <v>351</v>
      </c>
      <c r="F161" s="15" t="s">
        <v>142</v>
      </c>
      <c r="G161" s="15">
        <v>4</v>
      </c>
      <c r="H161" s="111" t="s">
        <v>141</v>
      </c>
      <c r="I161" s="112"/>
      <c r="J161" s="112"/>
      <c r="K161" s="113" t="s">
        <v>1144</v>
      </c>
    </row>
    <row r="162" spans="1:11" s="13" customFormat="1" ht="18">
      <c r="A162" s="18" t="s">
        <v>107</v>
      </c>
      <c r="B162" s="15" t="s">
        <v>1165</v>
      </c>
      <c r="C162" s="15" t="s">
        <v>1164</v>
      </c>
      <c r="D162" s="15" t="s">
        <v>1163</v>
      </c>
      <c r="E162" s="15" t="s">
        <v>143</v>
      </c>
      <c r="F162" s="15" t="s">
        <v>142</v>
      </c>
      <c r="G162" s="15">
        <v>4</v>
      </c>
      <c r="H162" s="111" t="s">
        <v>141</v>
      </c>
      <c r="I162" s="112"/>
      <c r="J162" s="112"/>
      <c r="K162" s="113" t="s">
        <v>1144</v>
      </c>
    </row>
    <row r="163" spans="1:11" s="13" customFormat="1" ht="18">
      <c r="A163" s="18" t="s">
        <v>64</v>
      </c>
      <c r="B163" s="15" t="s">
        <v>1162</v>
      </c>
      <c r="C163" s="15" t="s">
        <v>1161</v>
      </c>
      <c r="D163" s="15" t="s">
        <v>1160</v>
      </c>
      <c r="E163" s="15" t="s">
        <v>489</v>
      </c>
      <c r="F163" s="15" t="s">
        <v>380</v>
      </c>
      <c r="G163" s="15">
        <v>4</v>
      </c>
      <c r="H163" s="111" t="s">
        <v>379</v>
      </c>
      <c r="I163" s="112"/>
      <c r="J163" s="112"/>
      <c r="K163" s="113" t="s">
        <v>1144</v>
      </c>
    </row>
    <row r="164" spans="1:11" s="13" customFormat="1" ht="18">
      <c r="A164" s="18" t="s">
        <v>1159</v>
      </c>
      <c r="B164" s="15" t="s">
        <v>1158</v>
      </c>
      <c r="C164" s="15" t="s">
        <v>1157</v>
      </c>
      <c r="D164" s="15" t="s">
        <v>1156</v>
      </c>
      <c r="E164" s="15" t="s">
        <v>504</v>
      </c>
      <c r="F164" s="15" t="s">
        <v>380</v>
      </c>
      <c r="G164" s="15">
        <v>4</v>
      </c>
      <c r="H164" s="111" t="s">
        <v>379</v>
      </c>
      <c r="I164" s="112"/>
      <c r="J164" s="112"/>
      <c r="K164" s="113" t="s">
        <v>1144</v>
      </c>
    </row>
    <row r="165" spans="1:11" s="13" customFormat="1" ht="18">
      <c r="A165" s="18" t="s">
        <v>1155</v>
      </c>
      <c r="B165" s="15" t="s">
        <v>1154</v>
      </c>
      <c r="C165" s="15" t="s">
        <v>1153</v>
      </c>
      <c r="D165" s="15" t="s">
        <v>1152</v>
      </c>
      <c r="E165" s="15" t="s">
        <v>504</v>
      </c>
      <c r="F165" s="15" t="s">
        <v>142</v>
      </c>
      <c r="G165" s="15">
        <v>4</v>
      </c>
      <c r="H165" s="111" t="s">
        <v>499</v>
      </c>
      <c r="I165" s="112"/>
      <c r="J165" s="112"/>
      <c r="K165" s="113" t="s">
        <v>1144</v>
      </c>
    </row>
    <row r="166" spans="1:11" s="13" customFormat="1" ht="18">
      <c r="A166" s="14" t="s">
        <v>97</v>
      </c>
      <c r="B166" s="14" t="s">
        <v>1151</v>
      </c>
      <c r="C166" s="121" t="s">
        <v>1150</v>
      </c>
      <c r="D166" s="14" t="s">
        <v>1149</v>
      </c>
      <c r="E166" s="14" t="s">
        <v>1148</v>
      </c>
      <c r="F166" s="14" t="s">
        <v>142</v>
      </c>
      <c r="G166" s="14">
        <v>4</v>
      </c>
      <c r="H166" s="111" t="s">
        <v>141</v>
      </c>
      <c r="I166" s="112"/>
      <c r="J166" s="112"/>
      <c r="K166" s="113" t="s">
        <v>1144</v>
      </c>
    </row>
    <row r="167" spans="1:11" s="14" customFormat="1" ht="18">
      <c r="A167" s="122" t="s">
        <v>77</v>
      </c>
      <c r="B167" s="14" t="s">
        <v>1147</v>
      </c>
      <c r="C167" s="123" t="s">
        <v>1146</v>
      </c>
      <c r="D167" s="14" t="s">
        <v>1145</v>
      </c>
      <c r="E167" s="14" t="s">
        <v>669</v>
      </c>
      <c r="F167" s="14" t="s">
        <v>142</v>
      </c>
      <c r="G167" s="14">
        <v>3</v>
      </c>
      <c r="H167" s="111" t="s">
        <v>141</v>
      </c>
      <c r="I167" s="112"/>
      <c r="J167" s="112"/>
      <c r="K167" s="113" t="s">
        <v>1144</v>
      </c>
    </row>
    <row r="168" spans="1:11" s="14" customFormat="1" ht="18">
      <c r="A168" s="122" t="s">
        <v>2140</v>
      </c>
      <c r="B168" s="14" t="e">
        <v>#N/A</v>
      </c>
      <c r="C168" s="121" t="e">
        <v>#N/A</v>
      </c>
      <c r="G168" s="14" t="s">
        <v>2397</v>
      </c>
      <c r="H168" s="111" t="s">
        <v>1144</v>
      </c>
      <c r="I168" s="112" t="s">
        <v>2397</v>
      </c>
      <c r="J168" s="112"/>
      <c r="K168" s="113" t="s">
        <v>1144</v>
      </c>
    </row>
    <row r="169" spans="1:11" s="14" customFormat="1" ht="18">
      <c r="A169" s="122" t="s">
        <v>2141</v>
      </c>
      <c r="B169" s="14" t="s">
        <v>2142</v>
      </c>
      <c r="C169" s="121" t="s">
        <v>2142</v>
      </c>
      <c r="G169" s="14" t="s">
        <v>2397</v>
      </c>
      <c r="H169" s="111" t="s">
        <v>1144</v>
      </c>
      <c r="I169" s="112" t="s">
        <v>2397</v>
      </c>
      <c r="J169" s="112"/>
      <c r="K169" s="113" t="s">
        <v>1144</v>
      </c>
    </row>
    <row r="170" spans="1:11" s="14" customFormat="1" ht="18">
      <c r="A170" s="122" t="s">
        <v>2143</v>
      </c>
      <c r="B170" s="14" t="s">
        <v>2144</v>
      </c>
      <c r="C170" s="121" t="s">
        <v>2145</v>
      </c>
      <c r="G170" s="14" t="s">
        <v>2397</v>
      </c>
      <c r="H170" s="111" t="s">
        <v>1313</v>
      </c>
      <c r="I170" s="112" t="s">
        <v>2397</v>
      </c>
      <c r="J170" s="112"/>
      <c r="K170" s="113" t="s">
        <v>1313</v>
      </c>
    </row>
    <row r="171" spans="1:11" s="14" customFormat="1" ht="18">
      <c r="A171" s="122" t="s">
        <v>2399</v>
      </c>
      <c r="B171" s="14" t="s">
        <v>2146</v>
      </c>
      <c r="C171" s="121" t="s">
        <v>2147</v>
      </c>
      <c r="G171" s="14" t="s">
        <v>2397</v>
      </c>
      <c r="H171" s="111" t="s">
        <v>300</v>
      </c>
      <c r="I171" s="112" t="s">
        <v>2397</v>
      </c>
      <c r="J171" s="112"/>
      <c r="K171" s="113" t="s">
        <v>300</v>
      </c>
    </row>
    <row r="172" spans="1:11" s="14" customFormat="1" ht="18">
      <c r="A172" s="122" t="s">
        <v>2148</v>
      </c>
      <c r="B172" s="14" t="s">
        <v>2149</v>
      </c>
      <c r="C172" s="121" t="s">
        <v>2150</v>
      </c>
      <c r="G172" s="14" t="s">
        <v>2397</v>
      </c>
      <c r="H172" s="111" t="s">
        <v>300</v>
      </c>
      <c r="I172" s="112" t="s">
        <v>2397</v>
      </c>
      <c r="J172" s="112"/>
      <c r="K172" s="113" t="s">
        <v>300</v>
      </c>
    </row>
    <row r="173" spans="1:11" s="14" customFormat="1" ht="18">
      <c r="A173" s="122" t="s">
        <v>2151</v>
      </c>
      <c r="B173" s="14" t="s">
        <v>2152</v>
      </c>
      <c r="C173" s="121" t="s">
        <v>2153</v>
      </c>
      <c r="G173" s="14" t="s">
        <v>2397</v>
      </c>
      <c r="H173" s="111" t="s">
        <v>300</v>
      </c>
      <c r="I173" s="112" t="s">
        <v>2397</v>
      </c>
      <c r="J173" s="112"/>
      <c r="K173" s="113" t="s">
        <v>300</v>
      </c>
    </row>
    <row r="174" spans="1:11" s="14" customFormat="1" ht="18">
      <c r="A174" s="122" t="s">
        <v>2154</v>
      </c>
      <c r="B174" s="14" t="e">
        <v>#N/A</v>
      </c>
      <c r="C174" s="121" t="s">
        <v>2155</v>
      </c>
      <c r="G174" s="14" t="s">
        <v>2397</v>
      </c>
      <c r="H174" s="111" t="s">
        <v>300</v>
      </c>
      <c r="I174" s="112" t="s">
        <v>2397</v>
      </c>
      <c r="J174" s="112"/>
      <c r="K174" s="113" t="s">
        <v>300</v>
      </c>
    </row>
    <row r="175" spans="1:11" s="14" customFormat="1" ht="18">
      <c r="A175" s="122" t="s">
        <v>2156</v>
      </c>
      <c r="B175" s="14" t="s">
        <v>2157</v>
      </c>
      <c r="C175" s="121" t="s">
        <v>2158</v>
      </c>
      <c r="G175" s="14" t="s">
        <v>2397</v>
      </c>
      <c r="H175" s="111" t="s">
        <v>300</v>
      </c>
      <c r="I175" s="112" t="s">
        <v>2397</v>
      </c>
      <c r="J175" s="112"/>
      <c r="K175" s="113" t="s">
        <v>300</v>
      </c>
    </row>
    <row r="176" spans="1:11" s="14" customFormat="1" ht="18">
      <c r="A176" s="122" t="s">
        <v>2159</v>
      </c>
      <c r="B176" s="14" t="s">
        <v>2160</v>
      </c>
      <c r="C176" s="121" t="s">
        <v>2161</v>
      </c>
      <c r="G176" s="14" t="s">
        <v>2397</v>
      </c>
      <c r="H176" s="111" t="s">
        <v>300</v>
      </c>
      <c r="I176" s="112" t="s">
        <v>2397</v>
      </c>
      <c r="J176" s="112"/>
      <c r="K176" s="113" t="s">
        <v>300</v>
      </c>
    </row>
    <row r="177" spans="1:11" s="14" customFormat="1" ht="18">
      <c r="A177" s="122" t="s">
        <v>2162</v>
      </c>
      <c r="B177" s="14" t="s">
        <v>2163</v>
      </c>
      <c r="C177" s="121" t="s">
        <v>2164</v>
      </c>
      <c r="G177" s="14" t="s">
        <v>2397</v>
      </c>
      <c r="H177" s="111" t="s">
        <v>300</v>
      </c>
      <c r="I177" s="112" t="s">
        <v>2397</v>
      </c>
      <c r="J177" s="112"/>
      <c r="K177" s="113" t="s">
        <v>300</v>
      </c>
    </row>
    <row r="178" spans="1:11" s="14" customFormat="1" ht="18">
      <c r="A178" s="122" t="s">
        <v>2165</v>
      </c>
      <c r="B178" s="14" t="s">
        <v>2166</v>
      </c>
      <c r="C178" s="121" t="s">
        <v>2167</v>
      </c>
      <c r="G178" s="14" t="s">
        <v>2397</v>
      </c>
      <c r="H178" s="111" t="s">
        <v>300</v>
      </c>
      <c r="I178" s="112" t="s">
        <v>2397</v>
      </c>
      <c r="J178" s="112"/>
      <c r="K178" s="113" t="s">
        <v>300</v>
      </c>
    </row>
    <row r="179" spans="1:11" s="14" customFormat="1" ht="18">
      <c r="A179" s="122" t="s">
        <v>2168</v>
      </c>
      <c r="B179" s="14" t="s">
        <v>2169</v>
      </c>
      <c r="C179" s="121" t="s">
        <v>2170</v>
      </c>
      <c r="G179" s="14" t="s">
        <v>2397</v>
      </c>
      <c r="H179" s="111" t="s">
        <v>300</v>
      </c>
      <c r="I179" s="112" t="s">
        <v>2397</v>
      </c>
      <c r="J179" s="112"/>
      <c r="K179" s="113" t="s">
        <v>300</v>
      </c>
    </row>
    <row r="180" spans="1:11" s="14" customFormat="1" ht="18">
      <c r="A180" s="122" t="s">
        <v>2171</v>
      </c>
      <c r="B180" s="14" t="e">
        <v>#N/A</v>
      </c>
      <c r="C180" s="121" t="s">
        <v>2172</v>
      </c>
      <c r="G180" s="14" t="s">
        <v>2397</v>
      </c>
      <c r="H180" s="111" t="s">
        <v>300</v>
      </c>
      <c r="I180" s="112" t="s">
        <v>2397</v>
      </c>
      <c r="J180" s="112"/>
      <c r="K180" s="113" t="s">
        <v>300</v>
      </c>
    </row>
    <row r="181" spans="1:11" s="14" customFormat="1" ht="18">
      <c r="A181" s="124" t="s">
        <v>2173</v>
      </c>
      <c r="B181" s="125" t="e">
        <v>#N/A</v>
      </c>
      <c r="C181" s="125" t="s">
        <v>2174</v>
      </c>
      <c r="D181" s="125"/>
      <c r="E181" s="125"/>
      <c r="F181" s="125"/>
      <c r="G181" s="125" t="s">
        <v>2397</v>
      </c>
      <c r="H181" s="126" t="s">
        <v>300</v>
      </c>
      <c r="I181" s="120" t="s">
        <v>2397</v>
      </c>
      <c r="J181" s="112"/>
      <c r="K181" s="127" t="s">
        <v>300</v>
      </c>
    </row>
    <row r="182" spans="1:11" s="13" customFormat="1" ht="18">
      <c r="A182" s="18" t="s">
        <v>2175</v>
      </c>
      <c r="B182" s="15" t="e">
        <v>#N/A</v>
      </c>
      <c r="C182" s="15" t="s">
        <v>2176</v>
      </c>
      <c r="D182" s="15"/>
      <c r="E182" s="15"/>
      <c r="F182" s="15"/>
      <c r="G182" s="15" t="s">
        <v>2397</v>
      </c>
      <c r="H182" s="111" t="s">
        <v>300</v>
      </c>
      <c r="I182" s="112" t="s">
        <v>2397</v>
      </c>
      <c r="J182" s="112"/>
      <c r="K182" s="113" t="s">
        <v>300</v>
      </c>
    </row>
    <row r="183" spans="1:11" s="13" customFormat="1" ht="18">
      <c r="A183" s="117" t="s">
        <v>2177</v>
      </c>
      <c r="B183" s="118" t="s">
        <v>2178</v>
      </c>
      <c r="C183" s="118" t="s">
        <v>2179</v>
      </c>
      <c r="D183" s="118" t="s">
        <v>2180</v>
      </c>
      <c r="E183" s="118" t="s">
        <v>2181</v>
      </c>
      <c r="F183" s="118" t="s">
        <v>142</v>
      </c>
      <c r="G183" s="118">
        <v>1</v>
      </c>
      <c r="H183" s="119" t="s">
        <v>499</v>
      </c>
      <c r="I183" s="112" t="s">
        <v>2397</v>
      </c>
      <c r="J183" s="112"/>
      <c r="K183" s="113" t="s">
        <v>300</v>
      </c>
    </row>
    <row r="184" spans="1:11" s="13" customFormat="1" ht="18">
      <c r="A184" s="18" t="s">
        <v>1143</v>
      </c>
      <c r="B184" s="15" t="s">
        <v>1142</v>
      </c>
      <c r="C184" s="15" t="s">
        <v>1141</v>
      </c>
      <c r="D184" s="15" t="s">
        <v>1140</v>
      </c>
      <c r="E184" s="15" t="s">
        <v>1139</v>
      </c>
      <c r="F184" s="15" t="s">
        <v>142</v>
      </c>
      <c r="G184" s="15">
        <v>1</v>
      </c>
      <c r="H184" s="111" t="s">
        <v>141</v>
      </c>
      <c r="I184" s="112"/>
      <c r="J184" s="112"/>
      <c r="K184" s="113" t="s">
        <v>300</v>
      </c>
    </row>
    <row r="185" spans="1:11" s="13" customFormat="1" ht="18">
      <c r="A185" s="18" t="s">
        <v>1138</v>
      </c>
      <c r="B185" s="15" t="s">
        <v>1137</v>
      </c>
      <c r="C185" s="15" t="s">
        <v>1136</v>
      </c>
      <c r="D185" s="15" t="s">
        <v>1135</v>
      </c>
      <c r="E185" s="15" t="s">
        <v>1134</v>
      </c>
      <c r="F185" s="15" t="s">
        <v>142</v>
      </c>
      <c r="G185" s="15">
        <v>1</v>
      </c>
      <c r="H185" s="111" t="s">
        <v>141</v>
      </c>
      <c r="I185" s="112"/>
      <c r="J185" s="112"/>
      <c r="K185" s="113" t="s">
        <v>300</v>
      </c>
    </row>
    <row r="186" spans="1:11" s="13" customFormat="1" ht="18">
      <c r="A186" s="18" t="s">
        <v>1133</v>
      </c>
      <c r="B186" s="15" t="s">
        <v>1132</v>
      </c>
      <c r="C186" s="15" t="s">
        <v>1131</v>
      </c>
      <c r="D186" s="15" t="s">
        <v>1130</v>
      </c>
      <c r="E186" s="15" t="s">
        <v>1129</v>
      </c>
      <c r="F186" s="15" t="s">
        <v>142</v>
      </c>
      <c r="G186" s="15">
        <v>2</v>
      </c>
      <c r="H186" s="111" t="s">
        <v>141</v>
      </c>
      <c r="I186" s="112"/>
      <c r="J186" s="112"/>
      <c r="K186" s="113" t="s">
        <v>300</v>
      </c>
    </row>
    <row r="187" spans="1:11" s="13" customFormat="1" ht="18">
      <c r="A187" s="18" t="s">
        <v>1128</v>
      </c>
      <c r="B187" s="15" t="s">
        <v>1127</v>
      </c>
      <c r="C187" s="15" t="s">
        <v>1126</v>
      </c>
      <c r="D187" s="15" t="s">
        <v>1125</v>
      </c>
      <c r="E187" s="15" t="s">
        <v>1124</v>
      </c>
      <c r="F187" s="15" t="s">
        <v>142</v>
      </c>
      <c r="G187" s="15">
        <v>2</v>
      </c>
      <c r="H187" s="111" t="s">
        <v>141</v>
      </c>
      <c r="I187" s="112"/>
      <c r="J187" s="112"/>
      <c r="K187" s="113" t="s">
        <v>300</v>
      </c>
    </row>
    <row r="188" spans="1:11" s="13" customFormat="1" ht="18">
      <c r="A188" s="18" t="s">
        <v>1123</v>
      </c>
      <c r="B188" s="15" t="s">
        <v>1122</v>
      </c>
      <c r="C188" s="15" t="s">
        <v>1121</v>
      </c>
      <c r="D188" s="15" t="s">
        <v>1120</v>
      </c>
      <c r="E188" s="15" t="s">
        <v>1119</v>
      </c>
      <c r="F188" s="15" t="s">
        <v>142</v>
      </c>
      <c r="G188" s="15">
        <v>2</v>
      </c>
      <c r="H188" s="111" t="s">
        <v>141</v>
      </c>
      <c r="I188" s="112"/>
      <c r="J188" s="112"/>
      <c r="K188" s="113" t="s">
        <v>300</v>
      </c>
    </row>
    <row r="189" spans="1:11" s="13" customFormat="1" ht="18">
      <c r="A189" s="18" t="s">
        <v>1118</v>
      </c>
      <c r="B189" s="15" t="s">
        <v>1117</v>
      </c>
      <c r="C189" s="15" t="s">
        <v>1116</v>
      </c>
      <c r="D189" s="15" t="s">
        <v>1115</v>
      </c>
      <c r="E189" s="15" t="s">
        <v>1114</v>
      </c>
      <c r="F189" s="15" t="s">
        <v>142</v>
      </c>
      <c r="G189" s="15">
        <v>2</v>
      </c>
      <c r="H189" s="111" t="s">
        <v>141</v>
      </c>
      <c r="I189" s="112"/>
      <c r="J189" s="112"/>
      <c r="K189" s="113" t="s">
        <v>300</v>
      </c>
    </row>
    <row r="190" spans="1:11" s="13" customFormat="1" ht="18">
      <c r="A190" s="18" t="s">
        <v>2182</v>
      </c>
      <c r="B190" s="15" t="s">
        <v>2183</v>
      </c>
      <c r="C190" s="15" t="s">
        <v>2184</v>
      </c>
      <c r="D190" s="15" t="s">
        <v>2185</v>
      </c>
      <c r="E190" s="15" t="s">
        <v>2186</v>
      </c>
      <c r="F190" s="15" t="s">
        <v>142</v>
      </c>
      <c r="G190" s="15">
        <v>2</v>
      </c>
      <c r="H190" s="111" t="s">
        <v>499</v>
      </c>
      <c r="I190" s="112"/>
      <c r="J190" s="112"/>
      <c r="K190" s="113" t="s">
        <v>300</v>
      </c>
    </row>
    <row r="191" spans="1:11" s="13" customFormat="1" ht="18">
      <c r="A191" s="18" t="s">
        <v>1113</v>
      </c>
      <c r="B191" s="15" t="s">
        <v>1112</v>
      </c>
      <c r="C191" s="15" t="s">
        <v>1111</v>
      </c>
      <c r="D191" s="15" t="s">
        <v>1110</v>
      </c>
      <c r="E191" s="15" t="s">
        <v>446</v>
      </c>
      <c r="F191" s="15" t="s">
        <v>142</v>
      </c>
      <c r="G191" s="15">
        <v>2</v>
      </c>
      <c r="H191" s="111" t="s">
        <v>141</v>
      </c>
      <c r="I191" s="112"/>
      <c r="J191" s="112"/>
      <c r="K191" s="113" t="s">
        <v>300</v>
      </c>
    </row>
    <row r="192" spans="1:11" s="13" customFormat="1" ht="18">
      <c r="A192" s="18" t="s">
        <v>1109</v>
      </c>
      <c r="B192" s="15" t="s">
        <v>1108</v>
      </c>
      <c r="C192" s="15" t="s">
        <v>1107</v>
      </c>
      <c r="D192" s="15" t="s">
        <v>1106</v>
      </c>
      <c r="E192" s="15" t="s">
        <v>1105</v>
      </c>
      <c r="F192" s="15" t="s">
        <v>142</v>
      </c>
      <c r="G192" s="15">
        <v>2</v>
      </c>
      <c r="H192" s="111" t="s">
        <v>141</v>
      </c>
      <c r="I192" s="112"/>
      <c r="J192" s="112"/>
      <c r="K192" s="113" t="s">
        <v>300</v>
      </c>
    </row>
    <row r="193" spans="1:11" s="13" customFormat="1" ht="18">
      <c r="A193" s="18" t="s">
        <v>1104</v>
      </c>
      <c r="B193" s="15" t="s">
        <v>1103</v>
      </c>
      <c r="C193" s="15" t="s">
        <v>1102</v>
      </c>
      <c r="D193" s="15" t="s">
        <v>1101</v>
      </c>
      <c r="E193" s="15" t="s">
        <v>1100</v>
      </c>
      <c r="F193" s="15" t="s">
        <v>142</v>
      </c>
      <c r="G193" s="15">
        <v>3</v>
      </c>
      <c r="H193" s="111" t="s">
        <v>141</v>
      </c>
      <c r="I193" s="112"/>
      <c r="J193" s="112"/>
      <c r="K193" s="113" t="s">
        <v>300</v>
      </c>
    </row>
    <row r="194" spans="1:11" s="13" customFormat="1" ht="18">
      <c r="A194" s="18" t="s">
        <v>1099</v>
      </c>
      <c r="B194" s="15" t="s">
        <v>1098</v>
      </c>
      <c r="C194" s="15" t="s">
        <v>1097</v>
      </c>
      <c r="D194" s="15" t="s">
        <v>1096</v>
      </c>
      <c r="E194" s="15" t="s">
        <v>1095</v>
      </c>
      <c r="F194" s="15" t="s">
        <v>142</v>
      </c>
      <c r="G194" s="15">
        <v>3</v>
      </c>
      <c r="H194" s="111" t="s">
        <v>141</v>
      </c>
      <c r="I194" s="112"/>
      <c r="J194" s="112"/>
      <c r="K194" s="113" t="s">
        <v>300</v>
      </c>
    </row>
    <row r="195" spans="1:11" s="13" customFormat="1" ht="18">
      <c r="A195" s="18" t="s">
        <v>1094</v>
      </c>
      <c r="B195" s="15" t="s">
        <v>1093</v>
      </c>
      <c r="C195" s="15" t="s">
        <v>1092</v>
      </c>
      <c r="D195" s="15" t="s">
        <v>1091</v>
      </c>
      <c r="E195" s="15" t="s">
        <v>1090</v>
      </c>
      <c r="F195" s="15" t="s">
        <v>142</v>
      </c>
      <c r="G195" s="15">
        <v>3</v>
      </c>
      <c r="H195" s="111" t="s">
        <v>141</v>
      </c>
      <c r="I195" s="112"/>
      <c r="J195" s="112"/>
      <c r="K195" s="113" t="s">
        <v>300</v>
      </c>
    </row>
    <row r="196" spans="1:11" s="13" customFormat="1" ht="18">
      <c r="A196" s="18" t="s">
        <v>1089</v>
      </c>
      <c r="B196" s="15" t="s">
        <v>1088</v>
      </c>
      <c r="C196" s="15" t="s">
        <v>1087</v>
      </c>
      <c r="D196" s="15" t="s">
        <v>1086</v>
      </c>
      <c r="E196" s="15" t="s">
        <v>1085</v>
      </c>
      <c r="F196" s="15" t="s">
        <v>142</v>
      </c>
      <c r="G196" s="15">
        <v>3</v>
      </c>
      <c r="H196" s="111" t="s">
        <v>141</v>
      </c>
      <c r="I196" s="112"/>
      <c r="J196" s="112"/>
      <c r="K196" s="113" t="s">
        <v>300</v>
      </c>
    </row>
    <row r="197" spans="1:11" s="13" customFormat="1" ht="18">
      <c r="A197" s="18" t="s">
        <v>1084</v>
      </c>
      <c r="B197" s="15" t="s">
        <v>1083</v>
      </c>
      <c r="C197" s="15" t="s">
        <v>1082</v>
      </c>
      <c r="D197" s="15" t="s">
        <v>1081</v>
      </c>
      <c r="E197" s="15" t="s">
        <v>1080</v>
      </c>
      <c r="F197" s="15" t="s">
        <v>142</v>
      </c>
      <c r="G197" s="15">
        <v>2</v>
      </c>
      <c r="H197" s="111" t="s">
        <v>141</v>
      </c>
      <c r="I197" s="112"/>
      <c r="J197" s="112"/>
      <c r="K197" s="113" t="s">
        <v>300</v>
      </c>
    </row>
    <row r="198" spans="1:11" s="13" customFormat="1" ht="18">
      <c r="A198" s="18" t="s">
        <v>1079</v>
      </c>
      <c r="B198" s="15" t="s">
        <v>1078</v>
      </c>
      <c r="C198" s="15" t="s">
        <v>1077</v>
      </c>
      <c r="D198" s="15" t="s">
        <v>1076</v>
      </c>
      <c r="E198" s="15" t="s">
        <v>1075</v>
      </c>
      <c r="F198" s="15" t="s">
        <v>142</v>
      </c>
      <c r="G198" s="15">
        <v>3</v>
      </c>
      <c r="H198" s="111" t="s">
        <v>141</v>
      </c>
      <c r="I198" s="112"/>
      <c r="J198" s="112"/>
      <c r="K198" s="113" t="s">
        <v>300</v>
      </c>
    </row>
    <row r="199" spans="1:11" s="13" customFormat="1" ht="18">
      <c r="A199" s="18" t="s">
        <v>1074</v>
      </c>
      <c r="B199" s="15" t="s">
        <v>1073</v>
      </c>
      <c r="C199" s="15" t="s">
        <v>1072</v>
      </c>
      <c r="D199" s="15" t="s">
        <v>1071</v>
      </c>
      <c r="E199" s="15" t="s">
        <v>708</v>
      </c>
      <c r="F199" s="15" t="s">
        <v>142</v>
      </c>
      <c r="G199" s="15">
        <v>3</v>
      </c>
      <c r="H199" s="111" t="s">
        <v>141</v>
      </c>
      <c r="I199" s="112"/>
      <c r="J199" s="112"/>
      <c r="K199" s="113" t="s">
        <v>300</v>
      </c>
    </row>
    <row r="200" spans="1:11" s="13" customFormat="1" ht="18">
      <c r="A200" s="18" t="s">
        <v>1070</v>
      </c>
      <c r="B200" s="15" t="s">
        <v>1069</v>
      </c>
      <c r="C200" s="15" t="s">
        <v>1068</v>
      </c>
      <c r="D200" s="15" t="s">
        <v>1067</v>
      </c>
      <c r="E200" s="15" t="s">
        <v>1066</v>
      </c>
      <c r="F200" s="15" t="s">
        <v>142</v>
      </c>
      <c r="G200" s="15">
        <v>3</v>
      </c>
      <c r="H200" s="111" t="s">
        <v>141</v>
      </c>
      <c r="I200" s="112"/>
      <c r="J200" s="112"/>
      <c r="K200" s="113" t="s">
        <v>300</v>
      </c>
    </row>
    <row r="201" spans="1:11" s="13" customFormat="1" ht="18">
      <c r="A201" s="18" t="s">
        <v>1065</v>
      </c>
      <c r="B201" s="15" t="s">
        <v>1064</v>
      </c>
      <c r="C201" s="15" t="s">
        <v>1063</v>
      </c>
      <c r="D201" s="15" t="s">
        <v>1062</v>
      </c>
      <c r="E201" s="15" t="s">
        <v>1061</v>
      </c>
      <c r="F201" s="15" t="s">
        <v>142</v>
      </c>
      <c r="G201" s="15">
        <v>3</v>
      </c>
      <c r="H201" s="111" t="s">
        <v>499</v>
      </c>
      <c r="I201" s="112"/>
      <c r="J201" s="112"/>
      <c r="K201" s="113" t="s">
        <v>300</v>
      </c>
    </row>
    <row r="202" spans="1:11" s="13" customFormat="1" ht="18">
      <c r="A202" s="18" t="s">
        <v>1060</v>
      </c>
      <c r="B202" s="15" t="s">
        <v>1059</v>
      </c>
      <c r="C202" s="15" t="s">
        <v>1058</v>
      </c>
      <c r="D202" s="15" t="s">
        <v>1057</v>
      </c>
      <c r="E202" s="15" t="s">
        <v>1056</v>
      </c>
      <c r="F202" s="15" t="s">
        <v>142</v>
      </c>
      <c r="G202" s="15">
        <v>3</v>
      </c>
      <c r="H202" s="111" t="s">
        <v>141</v>
      </c>
      <c r="I202" s="112"/>
      <c r="J202" s="112"/>
      <c r="K202" s="113" t="s">
        <v>300</v>
      </c>
    </row>
    <row r="203" spans="1:11" s="13" customFormat="1" ht="18">
      <c r="A203" s="18" t="s">
        <v>1055</v>
      </c>
      <c r="B203" s="15" t="s">
        <v>1054</v>
      </c>
      <c r="C203" s="15" t="s">
        <v>1053</v>
      </c>
      <c r="D203" s="15" t="s">
        <v>1052</v>
      </c>
      <c r="E203" s="15" t="s">
        <v>1051</v>
      </c>
      <c r="F203" s="15" t="s">
        <v>142</v>
      </c>
      <c r="G203" s="15">
        <v>3</v>
      </c>
      <c r="H203" s="111" t="s">
        <v>141</v>
      </c>
      <c r="I203" s="112"/>
      <c r="J203" s="112"/>
      <c r="K203" s="113" t="s">
        <v>300</v>
      </c>
    </row>
    <row r="204" spans="1:11" s="13" customFormat="1" ht="18">
      <c r="A204" s="18" t="s">
        <v>1050</v>
      </c>
      <c r="B204" s="15" t="s">
        <v>1049</v>
      </c>
      <c r="C204" s="15" t="s">
        <v>1048</v>
      </c>
      <c r="D204" s="15" t="s">
        <v>1047</v>
      </c>
      <c r="E204" s="15" t="s">
        <v>1046</v>
      </c>
      <c r="F204" s="15" t="s">
        <v>142</v>
      </c>
      <c r="G204" s="15">
        <v>3</v>
      </c>
      <c r="H204" s="111" t="s">
        <v>141</v>
      </c>
      <c r="I204" s="112"/>
      <c r="J204" s="112"/>
      <c r="K204" s="113" t="s">
        <v>300</v>
      </c>
    </row>
    <row r="205" spans="1:11" s="13" customFormat="1" ht="18">
      <c r="A205" s="18" t="s">
        <v>1045</v>
      </c>
      <c r="B205" s="15" t="s">
        <v>1044</v>
      </c>
      <c r="C205" s="15" t="s">
        <v>1043</v>
      </c>
      <c r="D205" s="15" t="s">
        <v>1042</v>
      </c>
      <c r="E205" s="15" t="s">
        <v>1041</v>
      </c>
      <c r="F205" s="15" t="s">
        <v>142</v>
      </c>
      <c r="G205" s="15">
        <v>3</v>
      </c>
      <c r="H205" s="111" t="s">
        <v>141</v>
      </c>
      <c r="I205" s="112"/>
      <c r="J205" s="112"/>
      <c r="K205" s="113" t="s">
        <v>300</v>
      </c>
    </row>
    <row r="206" spans="1:11" s="13" customFormat="1" ht="18">
      <c r="A206" s="18" t="s">
        <v>1040</v>
      </c>
      <c r="B206" s="15" t="s">
        <v>1039</v>
      </c>
      <c r="C206" s="15" t="s">
        <v>1038</v>
      </c>
      <c r="D206" s="15" t="s">
        <v>1037</v>
      </c>
      <c r="E206" s="15" t="s">
        <v>1036</v>
      </c>
      <c r="F206" s="15" t="s">
        <v>142</v>
      </c>
      <c r="G206" s="15">
        <v>2</v>
      </c>
      <c r="H206" s="111" t="s">
        <v>499</v>
      </c>
      <c r="I206" s="112"/>
      <c r="J206" s="112"/>
      <c r="K206" s="113" t="s">
        <v>300</v>
      </c>
    </row>
    <row r="207" spans="1:11" s="13" customFormat="1" ht="18">
      <c r="A207" s="18" t="s">
        <v>1035</v>
      </c>
      <c r="B207" s="15" t="s">
        <v>1034</v>
      </c>
      <c r="C207" s="15" t="s">
        <v>1033</v>
      </c>
      <c r="D207" s="15" t="s">
        <v>1032</v>
      </c>
      <c r="E207" s="15" t="s">
        <v>1031</v>
      </c>
      <c r="F207" s="15" t="s">
        <v>142</v>
      </c>
      <c r="G207" s="15">
        <v>2</v>
      </c>
      <c r="H207" s="111" t="s">
        <v>141</v>
      </c>
      <c r="I207" s="112"/>
      <c r="J207" s="112"/>
      <c r="K207" s="113" t="s">
        <v>300</v>
      </c>
    </row>
    <row r="208" spans="1:11" s="13" customFormat="1" ht="18">
      <c r="A208" s="114" t="s">
        <v>1030</v>
      </c>
      <c r="B208" s="115" t="s">
        <v>1029</v>
      </c>
      <c r="C208" s="115" t="s">
        <v>1028</v>
      </c>
      <c r="D208" s="115" t="s">
        <v>1027</v>
      </c>
      <c r="E208" s="115" t="s">
        <v>1026</v>
      </c>
      <c r="F208" s="115" t="s">
        <v>142</v>
      </c>
      <c r="G208" s="115">
        <v>2</v>
      </c>
      <c r="H208" s="116" t="s">
        <v>141</v>
      </c>
      <c r="I208" s="112"/>
      <c r="J208" s="112"/>
      <c r="K208" s="113" t="s">
        <v>300</v>
      </c>
    </row>
    <row r="209" spans="1:11" s="13" customFormat="1" ht="18">
      <c r="A209" s="18" t="s">
        <v>1025</v>
      </c>
      <c r="B209" s="15" t="s">
        <v>1024</v>
      </c>
      <c r="C209" s="15" t="s">
        <v>1023</v>
      </c>
      <c r="D209" s="15" t="s">
        <v>1022</v>
      </c>
      <c r="E209" s="15" t="s">
        <v>1021</v>
      </c>
      <c r="F209" s="15" t="s">
        <v>142</v>
      </c>
      <c r="G209" s="15">
        <v>2</v>
      </c>
      <c r="H209" s="111" t="s">
        <v>141</v>
      </c>
      <c r="I209" s="112"/>
      <c r="J209" s="112"/>
      <c r="K209" s="113" t="s">
        <v>300</v>
      </c>
    </row>
    <row r="210" spans="1:11" s="13" customFormat="1" ht="18">
      <c r="A210" s="18" t="s">
        <v>2187</v>
      </c>
      <c r="B210" s="15" t="s">
        <v>1020</v>
      </c>
      <c r="C210" s="15" t="s">
        <v>1019</v>
      </c>
      <c r="D210" s="15" t="s">
        <v>1018</v>
      </c>
      <c r="E210" s="15" t="s">
        <v>1017</v>
      </c>
      <c r="F210" s="15" t="s">
        <v>142</v>
      </c>
      <c r="G210" s="15">
        <v>2</v>
      </c>
      <c r="H210" s="111" t="s">
        <v>499</v>
      </c>
      <c r="I210" s="112" t="s">
        <v>2397</v>
      </c>
      <c r="J210" s="112"/>
      <c r="K210" s="113" t="s">
        <v>300</v>
      </c>
    </row>
    <row r="211" spans="1:11" s="13" customFormat="1" ht="18">
      <c r="A211" s="117" t="s">
        <v>1016</v>
      </c>
      <c r="B211" s="118" t="s">
        <v>1015</v>
      </c>
      <c r="C211" s="118" t="s">
        <v>1014</v>
      </c>
      <c r="D211" s="118" t="s">
        <v>1013</v>
      </c>
      <c r="E211" s="118" t="s">
        <v>1012</v>
      </c>
      <c r="F211" s="118" t="s">
        <v>142</v>
      </c>
      <c r="G211" s="118">
        <v>2</v>
      </c>
      <c r="H211" s="119" t="s">
        <v>141</v>
      </c>
      <c r="I211" s="120"/>
      <c r="J211" s="112"/>
      <c r="K211" s="128" t="s">
        <v>300</v>
      </c>
    </row>
    <row r="212" spans="1:11" s="13" customFormat="1" ht="18">
      <c r="A212" s="18" t="s">
        <v>1011</v>
      </c>
      <c r="B212" s="15" t="s">
        <v>1010</v>
      </c>
      <c r="C212" s="15" t="s">
        <v>1009</v>
      </c>
      <c r="D212" s="15" t="s">
        <v>479</v>
      </c>
      <c r="E212" s="15" t="s">
        <v>540</v>
      </c>
      <c r="F212" s="15" t="s">
        <v>142</v>
      </c>
      <c r="G212" s="15">
        <v>1</v>
      </c>
      <c r="H212" s="111" t="s">
        <v>141</v>
      </c>
      <c r="I212" s="112"/>
      <c r="J212" s="112"/>
      <c r="K212" s="129" t="s">
        <v>300</v>
      </c>
    </row>
    <row r="213" spans="1:11" s="13" customFormat="1" ht="18">
      <c r="A213" s="18" t="s">
        <v>1008</v>
      </c>
      <c r="B213" s="15" t="s">
        <v>1007</v>
      </c>
      <c r="C213" s="15" t="s">
        <v>1006</v>
      </c>
      <c r="D213" s="15" t="s">
        <v>1005</v>
      </c>
      <c r="E213" s="15" t="s">
        <v>1004</v>
      </c>
      <c r="F213" s="15" t="s">
        <v>142</v>
      </c>
      <c r="G213" s="15">
        <v>1</v>
      </c>
      <c r="H213" s="111" t="s">
        <v>141</v>
      </c>
      <c r="I213" s="112"/>
      <c r="J213" s="112"/>
      <c r="K213" s="129" t="s">
        <v>498</v>
      </c>
    </row>
    <row r="214" spans="1:11" s="13" customFormat="1" ht="18">
      <c r="A214" s="18" t="s">
        <v>2188</v>
      </c>
      <c r="B214" s="15" t="s">
        <v>2189</v>
      </c>
      <c r="C214" s="15" t="s">
        <v>2190</v>
      </c>
      <c r="D214" s="15" t="s">
        <v>2191</v>
      </c>
      <c r="E214" s="15" t="s">
        <v>2192</v>
      </c>
      <c r="F214" s="15" t="s">
        <v>142</v>
      </c>
      <c r="G214" s="15">
        <v>2</v>
      </c>
      <c r="H214" s="111" t="s">
        <v>499</v>
      </c>
      <c r="I214" s="112"/>
      <c r="J214" s="112"/>
      <c r="K214" s="129" t="s">
        <v>498</v>
      </c>
    </row>
    <row r="215" spans="1:11" s="13" customFormat="1" ht="18">
      <c r="A215" s="18" t="s">
        <v>1003</v>
      </c>
      <c r="B215" s="15" t="s">
        <v>1002</v>
      </c>
      <c r="C215" s="15" t="s">
        <v>1001</v>
      </c>
      <c r="D215" s="15" t="s">
        <v>1000</v>
      </c>
      <c r="E215" s="15" t="s">
        <v>999</v>
      </c>
      <c r="F215" s="15" t="s">
        <v>142</v>
      </c>
      <c r="G215" s="15">
        <v>2</v>
      </c>
      <c r="H215" s="111" t="s">
        <v>141</v>
      </c>
      <c r="I215" s="112"/>
      <c r="J215" s="112"/>
      <c r="K215" s="129" t="s">
        <v>498</v>
      </c>
    </row>
    <row r="216" spans="1:11" s="13" customFormat="1" ht="18">
      <c r="A216" s="18" t="s">
        <v>998</v>
      </c>
      <c r="B216" s="15" t="s">
        <v>997</v>
      </c>
      <c r="C216" s="15" t="s">
        <v>996</v>
      </c>
      <c r="D216" s="15" t="s">
        <v>995</v>
      </c>
      <c r="E216" s="15" t="s">
        <v>994</v>
      </c>
      <c r="F216" s="15" t="s">
        <v>142</v>
      </c>
      <c r="G216" s="15">
        <v>2</v>
      </c>
      <c r="H216" s="111" t="s">
        <v>141</v>
      </c>
      <c r="I216" s="112"/>
      <c r="J216" s="112"/>
      <c r="K216" s="129" t="s">
        <v>498</v>
      </c>
    </row>
    <row r="217" spans="1:11" s="13" customFormat="1" ht="18">
      <c r="A217" s="18" t="s">
        <v>2350</v>
      </c>
      <c r="B217" s="15" t="s">
        <v>2351</v>
      </c>
      <c r="C217" s="15" t="s">
        <v>2352</v>
      </c>
      <c r="D217" s="15"/>
      <c r="E217" s="15"/>
      <c r="F217" s="15"/>
      <c r="G217" s="15"/>
      <c r="H217" s="111"/>
      <c r="I217" s="112"/>
      <c r="J217" s="112"/>
      <c r="K217" s="129" t="s">
        <v>498</v>
      </c>
    </row>
    <row r="218" spans="1:11" s="13" customFormat="1" ht="18">
      <c r="A218" s="18" t="s">
        <v>993</v>
      </c>
      <c r="B218" s="15" t="s">
        <v>992</v>
      </c>
      <c r="C218" s="15" t="s">
        <v>991</v>
      </c>
      <c r="D218" s="15" t="s">
        <v>990</v>
      </c>
      <c r="E218" s="15" t="s">
        <v>989</v>
      </c>
      <c r="F218" s="15" t="s">
        <v>142</v>
      </c>
      <c r="G218" s="15">
        <v>2</v>
      </c>
      <c r="H218" s="111" t="s">
        <v>141</v>
      </c>
      <c r="I218" s="112"/>
      <c r="J218" s="112"/>
      <c r="K218" s="129" t="s">
        <v>498</v>
      </c>
    </row>
    <row r="219" spans="1:11" s="13" customFormat="1" ht="18">
      <c r="A219" s="18" t="s">
        <v>988</v>
      </c>
      <c r="B219" s="15" t="s">
        <v>987</v>
      </c>
      <c r="C219" s="15" t="s">
        <v>986</v>
      </c>
      <c r="D219" s="15" t="s">
        <v>985</v>
      </c>
      <c r="E219" s="15" t="s">
        <v>316</v>
      </c>
      <c r="F219" s="15" t="s">
        <v>142</v>
      </c>
      <c r="G219" s="15">
        <v>2</v>
      </c>
      <c r="H219" s="111" t="s">
        <v>141</v>
      </c>
      <c r="I219" s="112"/>
      <c r="J219" s="112"/>
      <c r="K219" s="129" t="s">
        <v>498</v>
      </c>
    </row>
    <row r="220" spans="1:11" s="13" customFormat="1" ht="18">
      <c r="A220" s="18" t="s">
        <v>984</v>
      </c>
      <c r="B220" s="15" t="s">
        <v>983</v>
      </c>
      <c r="C220" s="15" t="s">
        <v>982</v>
      </c>
      <c r="D220" s="15" t="s">
        <v>981</v>
      </c>
      <c r="E220" s="15" t="s">
        <v>980</v>
      </c>
      <c r="F220" s="15" t="s">
        <v>142</v>
      </c>
      <c r="G220" s="15">
        <v>2</v>
      </c>
      <c r="H220" s="111" t="s">
        <v>141</v>
      </c>
      <c r="I220" s="112"/>
      <c r="J220" s="112"/>
      <c r="K220" s="129" t="s">
        <v>498</v>
      </c>
    </row>
    <row r="221" spans="1:11" s="13" customFormat="1" ht="18">
      <c r="A221" s="117" t="s">
        <v>979</v>
      </c>
      <c r="B221" s="118" t="s">
        <v>978</v>
      </c>
      <c r="C221" s="118" t="s">
        <v>977</v>
      </c>
      <c r="D221" s="118" t="s">
        <v>976</v>
      </c>
      <c r="E221" s="118" t="s">
        <v>975</v>
      </c>
      <c r="F221" s="118" t="s">
        <v>142</v>
      </c>
      <c r="G221" s="118">
        <v>2</v>
      </c>
      <c r="H221" s="119" t="s">
        <v>974</v>
      </c>
      <c r="I221" s="120"/>
      <c r="J221" s="112"/>
      <c r="K221" s="128" t="s">
        <v>498</v>
      </c>
    </row>
    <row r="222" spans="1:11" s="13" customFormat="1" ht="18">
      <c r="A222" s="18" t="s">
        <v>973</v>
      </c>
      <c r="B222" s="15" t="s">
        <v>972</v>
      </c>
      <c r="C222" s="15" t="s">
        <v>971</v>
      </c>
      <c r="D222" s="15" t="s">
        <v>970</v>
      </c>
      <c r="E222" s="15" t="s">
        <v>969</v>
      </c>
      <c r="F222" s="15" t="s">
        <v>142</v>
      </c>
      <c r="G222" s="15">
        <v>2</v>
      </c>
      <c r="H222" s="111" t="s">
        <v>141</v>
      </c>
      <c r="I222" s="112"/>
      <c r="J222" s="112"/>
      <c r="K222" s="113" t="s">
        <v>498</v>
      </c>
    </row>
    <row r="223" spans="1:11" s="13" customFormat="1" ht="18">
      <c r="A223" s="18" t="s">
        <v>968</v>
      </c>
      <c r="B223" s="15" t="s">
        <v>967</v>
      </c>
      <c r="C223" s="15" t="s">
        <v>966</v>
      </c>
      <c r="D223" s="15" t="s">
        <v>965</v>
      </c>
      <c r="E223" s="15" t="s">
        <v>964</v>
      </c>
      <c r="F223" s="15" t="s">
        <v>142</v>
      </c>
      <c r="G223" s="15">
        <v>2</v>
      </c>
      <c r="H223" s="111" t="s">
        <v>141</v>
      </c>
      <c r="I223" s="112"/>
      <c r="J223" s="112"/>
      <c r="K223" s="113" t="s">
        <v>498</v>
      </c>
    </row>
    <row r="224" spans="1:11" s="13" customFormat="1" ht="18">
      <c r="A224" s="18" t="s">
        <v>963</v>
      </c>
      <c r="B224" s="15" t="s">
        <v>962</v>
      </c>
      <c r="C224" s="15" t="s">
        <v>961</v>
      </c>
      <c r="D224" s="15" t="s">
        <v>960</v>
      </c>
      <c r="E224" s="15" t="s">
        <v>959</v>
      </c>
      <c r="F224" s="15" t="s">
        <v>142</v>
      </c>
      <c r="G224" s="15">
        <v>1</v>
      </c>
      <c r="H224" s="111" t="s">
        <v>141</v>
      </c>
      <c r="I224" s="112"/>
      <c r="J224" s="112"/>
      <c r="K224" s="113" t="s">
        <v>300</v>
      </c>
    </row>
    <row r="225" spans="1:11" s="13" customFormat="1" ht="18">
      <c r="A225" s="18" t="s">
        <v>91</v>
      </c>
      <c r="B225" s="15" t="s">
        <v>958</v>
      </c>
      <c r="C225" s="15" t="s">
        <v>957</v>
      </c>
      <c r="D225" s="15" t="s">
        <v>956</v>
      </c>
      <c r="E225" s="15" t="s">
        <v>955</v>
      </c>
      <c r="F225" s="15" t="s">
        <v>142</v>
      </c>
      <c r="G225" s="15">
        <v>2</v>
      </c>
      <c r="H225" s="111" t="s">
        <v>141</v>
      </c>
      <c r="I225" s="112"/>
      <c r="J225" s="112"/>
      <c r="K225" s="113" t="s">
        <v>838</v>
      </c>
    </row>
    <row r="226" spans="1:11" s="13" customFormat="1" ht="18">
      <c r="A226" s="18" t="s">
        <v>60</v>
      </c>
      <c r="B226" s="15" t="s">
        <v>954</v>
      </c>
      <c r="C226" s="15" t="s">
        <v>953</v>
      </c>
      <c r="D226" s="15" t="s">
        <v>896</v>
      </c>
      <c r="E226" s="15" t="s">
        <v>952</v>
      </c>
      <c r="F226" s="15" t="s">
        <v>142</v>
      </c>
      <c r="G226" s="15">
        <v>2</v>
      </c>
      <c r="H226" s="111" t="s">
        <v>141</v>
      </c>
      <c r="I226" s="112"/>
      <c r="J226" s="112"/>
      <c r="K226" s="113" t="s">
        <v>838</v>
      </c>
    </row>
    <row r="227" spans="1:11" s="13" customFormat="1" ht="18">
      <c r="A227" s="18" t="s">
        <v>951</v>
      </c>
      <c r="B227" s="15" t="s">
        <v>950</v>
      </c>
      <c r="C227" s="15" t="s">
        <v>949</v>
      </c>
      <c r="D227" s="15" t="s">
        <v>948</v>
      </c>
      <c r="E227" s="15" t="s">
        <v>939</v>
      </c>
      <c r="F227" s="15" t="s">
        <v>142</v>
      </c>
      <c r="G227" s="15">
        <v>2</v>
      </c>
      <c r="H227" s="111" t="s">
        <v>141</v>
      </c>
      <c r="I227" s="112"/>
      <c r="J227" s="112"/>
      <c r="K227" s="113" t="s">
        <v>838</v>
      </c>
    </row>
    <row r="228" spans="1:11" s="13" customFormat="1" ht="18">
      <c r="A228" s="18" t="s">
        <v>101</v>
      </c>
      <c r="B228" s="15" t="s">
        <v>947</v>
      </c>
      <c r="C228" s="15" t="s">
        <v>946</v>
      </c>
      <c r="D228" s="15" t="s">
        <v>945</v>
      </c>
      <c r="E228" s="15" t="s">
        <v>944</v>
      </c>
      <c r="F228" s="15" t="s">
        <v>142</v>
      </c>
      <c r="G228" s="15">
        <v>3</v>
      </c>
      <c r="H228" s="111" t="s">
        <v>141</v>
      </c>
      <c r="I228" s="112"/>
      <c r="J228" s="112"/>
      <c r="K228" s="113" t="s">
        <v>838</v>
      </c>
    </row>
    <row r="229" spans="1:11" s="13" customFormat="1" ht="18">
      <c r="A229" s="18" t="s">
        <v>943</v>
      </c>
      <c r="B229" s="15" t="s">
        <v>942</v>
      </c>
      <c r="C229" s="15" t="s">
        <v>941</v>
      </c>
      <c r="D229" s="15" t="s">
        <v>940</v>
      </c>
      <c r="E229" s="15" t="s">
        <v>939</v>
      </c>
      <c r="F229" s="15" t="s">
        <v>142</v>
      </c>
      <c r="G229" s="15">
        <v>3</v>
      </c>
      <c r="H229" s="111" t="s">
        <v>141</v>
      </c>
      <c r="I229" s="112"/>
      <c r="J229" s="112"/>
      <c r="K229" s="113" t="s">
        <v>838</v>
      </c>
    </row>
    <row r="230" spans="1:11" s="13" customFormat="1" ht="18">
      <c r="A230" s="18" t="s">
        <v>43</v>
      </c>
      <c r="B230" s="15" t="s">
        <v>938</v>
      </c>
      <c r="C230" s="15" t="s">
        <v>937</v>
      </c>
      <c r="D230" s="15" t="s">
        <v>936</v>
      </c>
      <c r="E230" s="15" t="s">
        <v>935</v>
      </c>
      <c r="F230" s="15" t="s">
        <v>142</v>
      </c>
      <c r="G230" s="15">
        <v>3</v>
      </c>
      <c r="H230" s="111" t="s">
        <v>141</v>
      </c>
      <c r="I230" s="112"/>
      <c r="J230" s="112"/>
      <c r="K230" s="113" t="s">
        <v>838</v>
      </c>
    </row>
    <row r="231" spans="1:11" s="13" customFormat="1" ht="18">
      <c r="A231" s="18" t="s">
        <v>76</v>
      </c>
      <c r="B231" s="15" t="s">
        <v>934</v>
      </c>
      <c r="C231" s="15" t="s">
        <v>933</v>
      </c>
      <c r="D231" s="15" t="s">
        <v>932</v>
      </c>
      <c r="E231" s="15" t="s">
        <v>931</v>
      </c>
      <c r="F231" s="15" t="s">
        <v>142</v>
      </c>
      <c r="G231" s="15">
        <v>3</v>
      </c>
      <c r="H231" s="111" t="s">
        <v>141</v>
      </c>
      <c r="I231" s="112"/>
      <c r="J231" s="112"/>
      <c r="K231" s="113" t="s">
        <v>838</v>
      </c>
    </row>
    <row r="232" spans="1:11" s="13" customFormat="1" ht="18">
      <c r="A232" s="18" t="s">
        <v>79</v>
      </c>
      <c r="B232" s="15" t="s">
        <v>930</v>
      </c>
      <c r="C232" s="15" t="s">
        <v>929</v>
      </c>
      <c r="D232" s="15" t="s">
        <v>928</v>
      </c>
      <c r="E232" s="15" t="s">
        <v>927</v>
      </c>
      <c r="F232" s="15" t="s">
        <v>142</v>
      </c>
      <c r="G232" s="15">
        <v>3</v>
      </c>
      <c r="H232" s="111" t="s">
        <v>141</v>
      </c>
      <c r="I232" s="112"/>
      <c r="J232" s="112"/>
      <c r="K232" s="113" t="s">
        <v>838</v>
      </c>
    </row>
    <row r="233" spans="1:11" s="13" customFormat="1" ht="18">
      <c r="A233" s="18" t="s">
        <v>70</v>
      </c>
      <c r="B233" s="15" t="s">
        <v>926</v>
      </c>
      <c r="C233" s="15" t="s">
        <v>925</v>
      </c>
      <c r="D233" s="15" t="s">
        <v>924</v>
      </c>
      <c r="E233" s="15" t="s">
        <v>923</v>
      </c>
      <c r="F233" s="15" t="s">
        <v>142</v>
      </c>
      <c r="G233" s="15">
        <v>3</v>
      </c>
      <c r="H233" s="111" t="s">
        <v>141</v>
      </c>
      <c r="I233" s="112"/>
      <c r="J233" s="112"/>
      <c r="K233" s="113" t="s">
        <v>838</v>
      </c>
    </row>
    <row r="234" spans="1:11" s="13" customFormat="1" ht="18">
      <c r="A234" s="18" t="s">
        <v>116</v>
      </c>
      <c r="B234" s="15" t="s">
        <v>922</v>
      </c>
      <c r="C234" s="15" t="s">
        <v>921</v>
      </c>
      <c r="D234" s="15" t="s">
        <v>920</v>
      </c>
      <c r="E234" s="15" t="s">
        <v>919</v>
      </c>
      <c r="F234" s="15" t="s">
        <v>142</v>
      </c>
      <c r="G234" s="15">
        <v>3</v>
      </c>
      <c r="H234" s="111" t="s">
        <v>141</v>
      </c>
      <c r="I234" s="112"/>
      <c r="J234" s="112"/>
      <c r="K234" s="113" t="s">
        <v>838</v>
      </c>
    </row>
    <row r="235" spans="1:11" s="13" customFormat="1" ht="18">
      <c r="A235" s="18" t="s">
        <v>109</v>
      </c>
      <c r="B235" s="15" t="s">
        <v>918</v>
      </c>
      <c r="C235" s="15" t="s">
        <v>917</v>
      </c>
      <c r="D235" s="15" t="s">
        <v>916</v>
      </c>
      <c r="E235" s="15" t="s">
        <v>915</v>
      </c>
      <c r="F235" s="15" t="s">
        <v>142</v>
      </c>
      <c r="G235" s="15">
        <v>3</v>
      </c>
      <c r="H235" s="111" t="s">
        <v>499</v>
      </c>
      <c r="I235" s="112"/>
      <c r="J235" s="112"/>
      <c r="K235" s="113" t="s">
        <v>838</v>
      </c>
    </row>
    <row r="236" spans="1:11" s="13" customFormat="1" ht="18">
      <c r="A236" s="18" t="s">
        <v>45</v>
      </c>
      <c r="B236" s="15" t="s">
        <v>914</v>
      </c>
      <c r="C236" s="15" t="s">
        <v>913</v>
      </c>
      <c r="D236" s="15" t="s">
        <v>912</v>
      </c>
      <c r="E236" s="15" t="s">
        <v>911</v>
      </c>
      <c r="F236" s="15" t="s">
        <v>142</v>
      </c>
      <c r="G236" s="15">
        <v>3</v>
      </c>
      <c r="H236" s="111" t="s">
        <v>141</v>
      </c>
      <c r="I236" s="112"/>
      <c r="J236" s="112"/>
      <c r="K236" s="113" t="s">
        <v>838</v>
      </c>
    </row>
    <row r="237" spans="1:11" s="13" customFormat="1" ht="18">
      <c r="A237" s="18" t="s">
        <v>81</v>
      </c>
      <c r="B237" s="15" t="s">
        <v>910</v>
      </c>
      <c r="C237" s="15" t="s">
        <v>909</v>
      </c>
      <c r="D237" s="15" t="s">
        <v>908</v>
      </c>
      <c r="E237" s="15" t="s">
        <v>907</v>
      </c>
      <c r="F237" s="15" t="s">
        <v>142</v>
      </c>
      <c r="G237" s="15">
        <v>3</v>
      </c>
      <c r="H237" s="111" t="s">
        <v>141</v>
      </c>
      <c r="I237" s="112"/>
      <c r="J237" s="112"/>
      <c r="K237" s="113" t="s">
        <v>838</v>
      </c>
    </row>
    <row r="238" spans="1:11" s="13" customFormat="1" ht="18">
      <c r="A238" s="18" t="s">
        <v>114</v>
      </c>
      <c r="B238" s="15" t="s">
        <v>906</v>
      </c>
      <c r="C238" s="15" t="s">
        <v>905</v>
      </c>
      <c r="D238" s="15" t="s">
        <v>904</v>
      </c>
      <c r="E238" s="15" t="s">
        <v>903</v>
      </c>
      <c r="F238" s="15" t="s">
        <v>142</v>
      </c>
      <c r="G238" s="15">
        <v>2</v>
      </c>
      <c r="H238" s="111" t="s">
        <v>141</v>
      </c>
      <c r="I238" s="112"/>
      <c r="J238" s="112"/>
      <c r="K238" s="113" t="s">
        <v>838</v>
      </c>
    </row>
    <row r="239" spans="1:11" s="13" customFormat="1" ht="18">
      <c r="A239" s="18" t="s">
        <v>104</v>
      </c>
      <c r="B239" s="15" t="s">
        <v>902</v>
      </c>
      <c r="C239" s="15" t="s">
        <v>901</v>
      </c>
      <c r="D239" s="15" t="s">
        <v>900</v>
      </c>
      <c r="E239" s="15" t="s">
        <v>899</v>
      </c>
      <c r="F239" s="15" t="s">
        <v>142</v>
      </c>
      <c r="G239" s="15">
        <v>3</v>
      </c>
      <c r="H239" s="111" t="s">
        <v>141</v>
      </c>
      <c r="I239" s="112"/>
      <c r="J239" s="112"/>
      <c r="K239" s="113" t="s">
        <v>838</v>
      </c>
    </row>
    <row r="240" spans="1:11" s="13" customFormat="1" ht="18">
      <c r="A240" s="18" t="s">
        <v>83</v>
      </c>
      <c r="B240" s="15" t="s">
        <v>898</v>
      </c>
      <c r="C240" s="15" t="s">
        <v>897</v>
      </c>
      <c r="D240" s="15" t="s">
        <v>896</v>
      </c>
      <c r="E240" s="15" t="s">
        <v>895</v>
      </c>
      <c r="F240" s="15" t="s">
        <v>142</v>
      </c>
      <c r="G240" s="15">
        <v>3</v>
      </c>
      <c r="H240" s="111" t="s">
        <v>141</v>
      </c>
      <c r="I240" s="112"/>
      <c r="J240" s="112"/>
      <c r="K240" s="113" t="s">
        <v>838</v>
      </c>
    </row>
    <row r="241" spans="1:11" ht="18">
      <c r="A241" s="18" t="s">
        <v>99</v>
      </c>
      <c r="B241" s="15" t="s">
        <v>894</v>
      </c>
      <c r="C241" s="15" t="s">
        <v>893</v>
      </c>
      <c r="D241" s="15" t="s">
        <v>869</v>
      </c>
      <c r="E241" s="15" t="s">
        <v>892</v>
      </c>
      <c r="F241" s="15" t="s">
        <v>142</v>
      </c>
      <c r="G241" s="15">
        <v>3</v>
      </c>
      <c r="H241" s="111" t="s">
        <v>141</v>
      </c>
      <c r="I241" s="112"/>
      <c r="J241" s="112"/>
      <c r="K241" s="113" t="s">
        <v>838</v>
      </c>
    </row>
    <row r="242" spans="1:11" ht="18">
      <c r="A242" s="18" t="s">
        <v>41</v>
      </c>
      <c r="B242" s="15" t="s">
        <v>891</v>
      </c>
      <c r="C242" s="15" t="s">
        <v>890</v>
      </c>
      <c r="D242" s="15" t="s">
        <v>889</v>
      </c>
      <c r="E242" s="15" t="s">
        <v>888</v>
      </c>
      <c r="F242" s="15" t="s">
        <v>142</v>
      </c>
      <c r="G242" s="15">
        <v>3</v>
      </c>
      <c r="H242" s="111" t="s">
        <v>141</v>
      </c>
      <c r="I242" s="112"/>
      <c r="J242" s="112"/>
      <c r="K242" s="113" t="s">
        <v>838</v>
      </c>
    </row>
    <row r="243" spans="1:11" ht="18">
      <c r="A243" s="18" t="s">
        <v>2353</v>
      </c>
      <c r="B243" s="15" t="s">
        <v>2354</v>
      </c>
      <c r="C243" s="15" t="s">
        <v>2355</v>
      </c>
      <c r="D243" s="15"/>
      <c r="E243" s="15"/>
      <c r="F243" s="15"/>
      <c r="G243" s="15"/>
      <c r="H243" s="111"/>
      <c r="I243" s="112"/>
      <c r="J243" s="112"/>
      <c r="K243" s="113" t="s">
        <v>838</v>
      </c>
    </row>
    <row r="244" spans="1:11" ht="18">
      <c r="A244" s="18" t="s">
        <v>117</v>
      </c>
      <c r="B244" s="15" t="s">
        <v>887</v>
      </c>
      <c r="C244" s="15" t="s">
        <v>886</v>
      </c>
      <c r="D244" s="15" t="s">
        <v>885</v>
      </c>
      <c r="E244" s="15" t="s">
        <v>884</v>
      </c>
      <c r="F244" s="15" t="s">
        <v>142</v>
      </c>
      <c r="G244" s="15">
        <v>3</v>
      </c>
      <c r="H244" s="111" t="s">
        <v>141</v>
      </c>
      <c r="I244" s="112"/>
      <c r="J244" s="112"/>
      <c r="K244" s="113" t="s">
        <v>838</v>
      </c>
    </row>
    <row r="245" spans="1:11" ht="18">
      <c r="A245" s="18" t="s">
        <v>883</v>
      </c>
      <c r="B245" s="15" t="s">
        <v>882</v>
      </c>
      <c r="C245" s="15" t="s">
        <v>881</v>
      </c>
      <c r="D245" s="15" t="s">
        <v>880</v>
      </c>
      <c r="E245" s="15" t="s">
        <v>879</v>
      </c>
      <c r="F245" s="15" t="s">
        <v>142</v>
      </c>
      <c r="G245" s="15">
        <v>3</v>
      </c>
      <c r="H245" s="111" t="s">
        <v>141</v>
      </c>
      <c r="I245" s="112"/>
      <c r="J245" s="112"/>
      <c r="K245" s="113" t="s">
        <v>838</v>
      </c>
    </row>
    <row r="246" spans="1:11" s="13" customFormat="1" ht="18">
      <c r="A246" s="18" t="s">
        <v>61</v>
      </c>
      <c r="B246" s="15" t="s">
        <v>878</v>
      </c>
      <c r="C246" s="15" t="s">
        <v>877</v>
      </c>
      <c r="D246" s="15" t="s">
        <v>876</v>
      </c>
      <c r="E246" s="15" t="s">
        <v>346</v>
      </c>
      <c r="F246" s="15" t="s">
        <v>142</v>
      </c>
      <c r="G246" s="15">
        <v>3</v>
      </c>
      <c r="H246" s="111" t="s">
        <v>141</v>
      </c>
      <c r="I246" s="112"/>
      <c r="J246" s="112"/>
      <c r="K246" s="113" t="s">
        <v>838</v>
      </c>
    </row>
    <row r="247" spans="1:11" s="13" customFormat="1" ht="18">
      <c r="A247" s="18" t="s">
        <v>86</v>
      </c>
      <c r="B247" s="15" t="s">
        <v>875</v>
      </c>
      <c r="C247" s="15" t="s">
        <v>874</v>
      </c>
      <c r="D247" s="15" t="s">
        <v>873</v>
      </c>
      <c r="E247" s="15" t="s">
        <v>872</v>
      </c>
      <c r="F247" s="15" t="s">
        <v>142</v>
      </c>
      <c r="G247" s="15">
        <v>3</v>
      </c>
      <c r="H247" s="111" t="s">
        <v>141</v>
      </c>
      <c r="I247" s="112"/>
      <c r="J247" s="112"/>
      <c r="K247" s="113" t="s">
        <v>838</v>
      </c>
    </row>
    <row r="248" spans="1:11" s="13" customFormat="1" ht="18">
      <c r="A248" s="18" t="s">
        <v>103</v>
      </c>
      <c r="B248" s="15" t="s">
        <v>871</v>
      </c>
      <c r="C248" s="15" t="s">
        <v>870</v>
      </c>
      <c r="D248" s="15" t="s">
        <v>869</v>
      </c>
      <c r="E248" s="15" t="s">
        <v>868</v>
      </c>
      <c r="F248" s="15" t="s">
        <v>142</v>
      </c>
      <c r="G248" s="15">
        <v>3</v>
      </c>
      <c r="H248" s="111" t="s">
        <v>141</v>
      </c>
      <c r="I248" s="112"/>
      <c r="J248" s="112"/>
      <c r="K248" s="113" t="s">
        <v>838</v>
      </c>
    </row>
    <row r="249" spans="1:11" s="13" customFormat="1" ht="18">
      <c r="A249" s="18" t="s">
        <v>69</v>
      </c>
      <c r="B249" s="15" t="s">
        <v>867</v>
      </c>
      <c r="C249" s="15" t="s">
        <v>866</v>
      </c>
      <c r="D249" s="15" t="s">
        <v>865</v>
      </c>
      <c r="E249" s="15" t="s">
        <v>864</v>
      </c>
      <c r="F249" s="15" t="s">
        <v>142</v>
      </c>
      <c r="G249" s="15">
        <v>2</v>
      </c>
      <c r="H249" s="111" t="s">
        <v>141</v>
      </c>
      <c r="I249" s="112"/>
      <c r="J249" s="112"/>
      <c r="K249" s="113" t="s">
        <v>838</v>
      </c>
    </row>
    <row r="250" spans="1:11" s="13" customFormat="1" ht="18">
      <c r="A250" s="18" t="s">
        <v>33</v>
      </c>
      <c r="B250" s="15" t="s">
        <v>863</v>
      </c>
      <c r="C250" s="15" t="s">
        <v>862</v>
      </c>
      <c r="D250" s="15" t="s">
        <v>861</v>
      </c>
      <c r="E250" s="15" t="s">
        <v>860</v>
      </c>
      <c r="F250" s="15" t="s">
        <v>142</v>
      </c>
      <c r="G250" s="15">
        <v>2</v>
      </c>
      <c r="H250" s="111" t="s">
        <v>141</v>
      </c>
      <c r="I250" s="112"/>
      <c r="J250" s="112"/>
      <c r="K250" s="113" t="s">
        <v>838</v>
      </c>
    </row>
    <row r="251" spans="1:11" s="13" customFormat="1" ht="18">
      <c r="A251" s="18" t="s">
        <v>859</v>
      </c>
      <c r="B251" s="15" t="s">
        <v>858</v>
      </c>
      <c r="C251" s="15" t="s">
        <v>857</v>
      </c>
      <c r="D251" s="15" t="s">
        <v>856</v>
      </c>
      <c r="E251" s="15" t="s">
        <v>855</v>
      </c>
      <c r="F251" s="15" t="s">
        <v>142</v>
      </c>
      <c r="G251" s="15">
        <v>2</v>
      </c>
      <c r="H251" s="111" t="s">
        <v>499</v>
      </c>
      <c r="I251" s="112"/>
      <c r="J251" s="112"/>
      <c r="K251" s="113" t="s">
        <v>838</v>
      </c>
    </row>
    <row r="252" spans="1:11" s="13" customFormat="1" ht="18">
      <c r="A252" s="14" t="s">
        <v>78</v>
      </c>
      <c r="B252" s="11" t="s">
        <v>854</v>
      </c>
      <c r="C252" s="11" t="s">
        <v>853</v>
      </c>
      <c r="D252" s="11" t="s">
        <v>852</v>
      </c>
      <c r="E252" s="11" t="s">
        <v>851</v>
      </c>
      <c r="F252" s="11" t="s">
        <v>142</v>
      </c>
      <c r="G252" s="11">
        <v>2</v>
      </c>
      <c r="H252" s="11" t="s">
        <v>141</v>
      </c>
      <c r="I252" s="112"/>
      <c r="J252" s="112"/>
      <c r="K252" s="113" t="s">
        <v>838</v>
      </c>
    </row>
    <row r="253" spans="1:11" s="13" customFormat="1" ht="18">
      <c r="A253" s="14" t="s">
        <v>122</v>
      </c>
      <c r="B253" s="14" t="s">
        <v>850</v>
      </c>
      <c r="C253" s="121" t="s">
        <v>849</v>
      </c>
      <c r="D253" s="11" t="s">
        <v>848</v>
      </c>
      <c r="E253" s="11" t="s">
        <v>847</v>
      </c>
      <c r="F253" s="11" t="s">
        <v>142</v>
      </c>
      <c r="G253" s="11">
        <v>2</v>
      </c>
      <c r="H253" s="11" t="s">
        <v>141</v>
      </c>
      <c r="I253" s="112"/>
      <c r="J253" s="112"/>
      <c r="K253" s="113" t="s">
        <v>838</v>
      </c>
    </row>
    <row r="254" spans="1:11" s="13" customFormat="1" ht="18">
      <c r="A254" s="14" t="s">
        <v>50</v>
      </c>
      <c r="B254" s="11" t="s">
        <v>846</v>
      </c>
      <c r="C254" s="11" t="s">
        <v>845</v>
      </c>
      <c r="D254" s="11" t="s">
        <v>844</v>
      </c>
      <c r="E254" s="11" t="s">
        <v>843</v>
      </c>
      <c r="F254" s="11" t="s">
        <v>142</v>
      </c>
      <c r="G254" s="11">
        <v>2</v>
      </c>
      <c r="H254" s="11" t="s">
        <v>141</v>
      </c>
      <c r="I254" s="112"/>
      <c r="J254" s="112"/>
      <c r="K254" s="113" t="s">
        <v>838</v>
      </c>
    </row>
    <row r="255" spans="1:11" s="13" customFormat="1" ht="18">
      <c r="A255" s="14" t="s">
        <v>44</v>
      </c>
      <c r="B255" s="11" t="s">
        <v>842</v>
      </c>
      <c r="C255" s="11" t="s">
        <v>841</v>
      </c>
      <c r="D255" s="11" t="s">
        <v>840</v>
      </c>
      <c r="E255" s="11" t="s">
        <v>839</v>
      </c>
      <c r="F255" s="11" t="s">
        <v>142</v>
      </c>
      <c r="G255" s="11">
        <v>2</v>
      </c>
      <c r="H255" s="11" t="s">
        <v>141</v>
      </c>
      <c r="I255" s="112"/>
      <c r="J255" s="112"/>
      <c r="K255" s="113" t="s">
        <v>838</v>
      </c>
    </row>
    <row r="256" spans="1:11" s="13" customFormat="1" ht="18">
      <c r="A256" s="14" t="s">
        <v>2193</v>
      </c>
      <c r="B256" s="11"/>
      <c r="C256" s="11"/>
      <c r="D256" s="11"/>
      <c r="E256" s="11"/>
      <c r="F256" s="11"/>
      <c r="G256" s="11" t="s">
        <v>2397</v>
      </c>
      <c r="H256" s="11" t="s">
        <v>838</v>
      </c>
      <c r="I256" s="112" t="s">
        <v>2397</v>
      </c>
      <c r="J256" s="112"/>
      <c r="K256" s="113" t="s">
        <v>838</v>
      </c>
    </row>
    <row r="257" spans="1:11" s="13" customFormat="1" ht="18">
      <c r="A257" s="124" t="s">
        <v>2194</v>
      </c>
      <c r="B257" s="125" t="s">
        <v>2195</v>
      </c>
      <c r="C257" s="125" t="s">
        <v>2196</v>
      </c>
      <c r="D257" s="125"/>
      <c r="E257" s="125"/>
      <c r="F257" s="125"/>
      <c r="G257" s="125" t="s">
        <v>2397</v>
      </c>
      <c r="H257" s="126" t="s">
        <v>838</v>
      </c>
      <c r="I257" s="120" t="s">
        <v>2397</v>
      </c>
      <c r="J257" s="112"/>
      <c r="K257" s="127" t="s">
        <v>838</v>
      </c>
    </row>
    <row r="258" spans="1:11" s="13" customFormat="1" ht="18">
      <c r="A258" s="18" t="s">
        <v>2197</v>
      </c>
      <c r="B258" s="15"/>
      <c r="C258" s="15"/>
      <c r="D258" s="15"/>
      <c r="E258" s="15"/>
      <c r="F258" s="15"/>
      <c r="G258" s="15" t="s">
        <v>2397</v>
      </c>
      <c r="H258" s="111" t="s">
        <v>838</v>
      </c>
      <c r="I258" s="112" t="s">
        <v>2397</v>
      </c>
      <c r="J258" s="112"/>
      <c r="K258" s="129" t="s">
        <v>838</v>
      </c>
    </row>
    <row r="259" spans="1:11" s="13" customFormat="1" ht="18">
      <c r="A259" s="117" t="s">
        <v>2198</v>
      </c>
      <c r="B259" s="118"/>
      <c r="C259" s="118"/>
      <c r="D259" s="118"/>
      <c r="E259" s="118"/>
      <c r="F259" s="118"/>
      <c r="G259" s="118" t="s">
        <v>2397</v>
      </c>
      <c r="H259" s="119" t="s">
        <v>838</v>
      </c>
      <c r="I259" s="112" t="s">
        <v>2397</v>
      </c>
      <c r="J259" s="112"/>
      <c r="K259" s="129" t="s">
        <v>838</v>
      </c>
    </row>
    <row r="260" spans="1:11" s="13" customFormat="1" ht="18">
      <c r="A260" s="18" t="s">
        <v>2199</v>
      </c>
      <c r="B260" s="15"/>
      <c r="C260" s="15"/>
      <c r="D260" s="15"/>
      <c r="E260" s="15"/>
      <c r="F260" s="15"/>
      <c r="G260" s="15" t="s">
        <v>2397</v>
      </c>
      <c r="H260" s="111" t="s">
        <v>838</v>
      </c>
      <c r="I260" s="112" t="s">
        <v>2397</v>
      </c>
      <c r="J260" s="112"/>
      <c r="K260" s="129" t="s">
        <v>838</v>
      </c>
    </row>
    <row r="261" spans="1:11" s="13" customFormat="1" ht="18">
      <c r="A261" s="18" t="s">
        <v>2200</v>
      </c>
      <c r="B261" s="15" t="s">
        <v>2201</v>
      </c>
      <c r="C261" s="15" t="s">
        <v>2202</v>
      </c>
      <c r="D261" s="15" t="s">
        <v>2203</v>
      </c>
      <c r="E261" s="15" t="s">
        <v>2204</v>
      </c>
      <c r="F261" s="15" t="s">
        <v>142</v>
      </c>
      <c r="G261" s="15">
        <v>1</v>
      </c>
      <c r="H261" s="111" t="s">
        <v>300</v>
      </c>
      <c r="I261" s="112" t="s">
        <v>2397</v>
      </c>
      <c r="J261" s="112"/>
      <c r="K261" s="129" t="s">
        <v>300</v>
      </c>
    </row>
    <row r="262" spans="1:11" s="13" customFormat="1" ht="18">
      <c r="A262" s="18" t="s">
        <v>837</v>
      </c>
      <c r="B262" s="15" t="s">
        <v>836</v>
      </c>
      <c r="C262" s="15" t="s">
        <v>835</v>
      </c>
      <c r="D262" s="15" t="s">
        <v>834</v>
      </c>
      <c r="E262" s="15" t="s">
        <v>833</v>
      </c>
      <c r="F262" s="15" t="s">
        <v>142</v>
      </c>
      <c r="G262" s="15">
        <v>1</v>
      </c>
      <c r="H262" s="111" t="s">
        <v>141</v>
      </c>
      <c r="I262" s="112"/>
      <c r="J262" s="112"/>
      <c r="K262" s="129" t="s">
        <v>300</v>
      </c>
    </row>
    <row r="263" spans="1:11" s="13" customFormat="1" ht="18">
      <c r="A263" s="18" t="s">
        <v>832</v>
      </c>
      <c r="B263" s="15" t="s">
        <v>831</v>
      </c>
      <c r="C263" s="15" t="s">
        <v>830</v>
      </c>
      <c r="D263" s="15" t="s">
        <v>829</v>
      </c>
      <c r="E263" s="15" t="s">
        <v>828</v>
      </c>
      <c r="F263" s="15" t="s">
        <v>142</v>
      </c>
      <c r="G263" s="15">
        <v>1</v>
      </c>
      <c r="H263" s="111" t="s">
        <v>141</v>
      </c>
      <c r="I263" s="112"/>
      <c r="J263" s="112"/>
      <c r="K263" s="129" t="s">
        <v>498</v>
      </c>
    </row>
    <row r="264" spans="1:11" s="13" customFormat="1" ht="18">
      <c r="A264" s="18" t="s">
        <v>827</v>
      </c>
      <c r="B264" s="15" t="s">
        <v>826</v>
      </c>
      <c r="C264" s="15" t="s">
        <v>825</v>
      </c>
      <c r="D264" s="15" t="s">
        <v>824</v>
      </c>
      <c r="E264" s="15" t="s">
        <v>823</v>
      </c>
      <c r="F264" s="15" t="s">
        <v>142</v>
      </c>
      <c r="G264" s="15">
        <v>2</v>
      </c>
      <c r="H264" s="111" t="s">
        <v>141</v>
      </c>
      <c r="I264" s="112"/>
      <c r="J264" s="112"/>
      <c r="K264" s="129" t="s">
        <v>498</v>
      </c>
    </row>
    <row r="265" spans="1:11" s="13" customFormat="1" ht="18">
      <c r="A265" s="18"/>
      <c r="B265" s="15"/>
      <c r="C265" s="15"/>
      <c r="D265" s="15"/>
      <c r="E265" s="15"/>
      <c r="F265" s="15"/>
      <c r="G265" s="15"/>
      <c r="H265" s="111"/>
      <c r="I265" s="112"/>
      <c r="J265" s="112"/>
      <c r="K265" s="129" t="s">
        <v>498</v>
      </c>
    </row>
    <row r="266" spans="1:11" s="13" customFormat="1" ht="18">
      <c r="A266" s="18" t="s">
        <v>819</v>
      </c>
      <c r="B266" s="15" t="s">
        <v>818</v>
      </c>
      <c r="C266" s="15" t="s">
        <v>817</v>
      </c>
      <c r="D266" s="15" t="s">
        <v>816</v>
      </c>
      <c r="E266" s="15" t="s">
        <v>815</v>
      </c>
      <c r="F266" s="15" t="s">
        <v>380</v>
      </c>
      <c r="G266" s="15">
        <v>3</v>
      </c>
      <c r="H266" s="111" t="s">
        <v>379</v>
      </c>
      <c r="I266" s="112"/>
      <c r="J266" s="112"/>
      <c r="K266" s="129" t="s">
        <v>498</v>
      </c>
    </row>
    <row r="267" spans="1:11" s="13" customFormat="1" ht="18">
      <c r="A267" s="114" t="s">
        <v>814</v>
      </c>
      <c r="B267" s="115" t="s">
        <v>813</v>
      </c>
      <c r="C267" s="115" t="s">
        <v>812</v>
      </c>
      <c r="D267" s="115" t="s">
        <v>811</v>
      </c>
      <c r="E267" s="115" t="s">
        <v>810</v>
      </c>
      <c r="F267" s="115" t="s">
        <v>380</v>
      </c>
      <c r="G267" s="115">
        <v>3</v>
      </c>
      <c r="H267" s="116" t="s">
        <v>379</v>
      </c>
      <c r="I267" s="112"/>
      <c r="J267" s="112"/>
      <c r="K267" s="129" t="s">
        <v>498</v>
      </c>
    </row>
    <row r="268" spans="1:11" s="13" customFormat="1" ht="18">
      <c r="A268" s="114" t="s">
        <v>809</v>
      </c>
      <c r="B268" s="115" t="s">
        <v>808</v>
      </c>
      <c r="C268" s="115" t="s">
        <v>807</v>
      </c>
      <c r="D268" s="115" t="s">
        <v>806</v>
      </c>
      <c r="E268" s="115" t="s">
        <v>805</v>
      </c>
      <c r="F268" s="115" t="s">
        <v>380</v>
      </c>
      <c r="G268" s="115">
        <v>3</v>
      </c>
      <c r="H268" s="116" t="s">
        <v>379</v>
      </c>
      <c r="I268" s="112"/>
      <c r="J268" s="112"/>
      <c r="K268" s="129" t="s">
        <v>498</v>
      </c>
    </row>
    <row r="269" spans="1:11" s="13" customFormat="1" ht="18">
      <c r="A269" s="18" t="s">
        <v>804</v>
      </c>
      <c r="B269" s="15" t="s">
        <v>803</v>
      </c>
      <c r="C269" s="15" t="s">
        <v>802</v>
      </c>
      <c r="D269" s="15" t="s">
        <v>801</v>
      </c>
      <c r="E269" s="15" t="s">
        <v>800</v>
      </c>
      <c r="F269" s="15" t="s">
        <v>380</v>
      </c>
      <c r="G269" s="15">
        <v>3</v>
      </c>
      <c r="H269" s="111" t="s">
        <v>379</v>
      </c>
      <c r="I269" s="112"/>
      <c r="J269" s="112"/>
      <c r="K269" s="129" t="s">
        <v>498</v>
      </c>
    </row>
    <row r="270" spans="1:11" s="13" customFormat="1" ht="18">
      <c r="A270" s="18" t="s">
        <v>799</v>
      </c>
      <c r="B270" s="15" t="s">
        <v>798</v>
      </c>
      <c r="C270" s="15" t="s">
        <v>797</v>
      </c>
      <c r="D270" s="15" t="s">
        <v>796</v>
      </c>
      <c r="E270" s="15" t="s">
        <v>411</v>
      </c>
      <c r="F270" s="15" t="s">
        <v>142</v>
      </c>
      <c r="G270" s="15">
        <v>3</v>
      </c>
      <c r="H270" s="111" t="s">
        <v>141</v>
      </c>
      <c r="I270" s="112"/>
      <c r="J270" s="112"/>
      <c r="K270" s="129" t="s">
        <v>498</v>
      </c>
    </row>
    <row r="271" spans="1:11" s="13" customFormat="1" ht="18">
      <c r="A271" s="18" t="s">
        <v>795</v>
      </c>
      <c r="B271" s="15" t="s">
        <v>794</v>
      </c>
      <c r="C271" s="15" t="s">
        <v>793</v>
      </c>
      <c r="D271" s="15" t="s">
        <v>792</v>
      </c>
      <c r="E271" s="15" t="s">
        <v>791</v>
      </c>
      <c r="F271" s="15" t="s">
        <v>142</v>
      </c>
      <c r="G271" s="15">
        <v>3</v>
      </c>
      <c r="H271" s="111" t="s">
        <v>141</v>
      </c>
      <c r="I271" s="112" t="s">
        <v>2397</v>
      </c>
      <c r="J271" s="112"/>
      <c r="K271" s="129" t="s">
        <v>498</v>
      </c>
    </row>
    <row r="272" spans="1:11" s="13" customFormat="1" ht="18">
      <c r="A272" s="18" t="s">
        <v>2205</v>
      </c>
      <c r="B272" s="15" t="s">
        <v>2206</v>
      </c>
      <c r="C272" s="15" t="s">
        <v>2207</v>
      </c>
      <c r="D272" s="15" t="s">
        <v>2208</v>
      </c>
      <c r="E272" s="15" t="s">
        <v>2209</v>
      </c>
      <c r="F272" s="15" t="s">
        <v>142</v>
      </c>
      <c r="G272" s="15">
        <v>3</v>
      </c>
      <c r="H272" s="111" t="s">
        <v>141</v>
      </c>
      <c r="I272" s="112" t="s">
        <v>2397</v>
      </c>
      <c r="J272" s="112"/>
      <c r="K272" s="129" t="s">
        <v>498</v>
      </c>
    </row>
    <row r="273" spans="1:11" s="13" customFormat="1" ht="18">
      <c r="A273" s="114" t="s">
        <v>790</v>
      </c>
      <c r="B273" s="115" t="s">
        <v>789</v>
      </c>
      <c r="C273" s="115" t="s">
        <v>788</v>
      </c>
      <c r="D273" s="115" t="s">
        <v>787</v>
      </c>
      <c r="E273" s="115" t="s">
        <v>786</v>
      </c>
      <c r="F273" s="115" t="s">
        <v>142</v>
      </c>
      <c r="G273" s="115">
        <v>3</v>
      </c>
      <c r="H273" s="116" t="s">
        <v>141</v>
      </c>
      <c r="I273" s="112"/>
      <c r="J273" s="112"/>
      <c r="K273" s="129" t="s">
        <v>498</v>
      </c>
    </row>
    <row r="274" spans="1:11" s="13" customFormat="1" ht="18">
      <c r="A274" s="18"/>
      <c r="B274" s="15" t="s">
        <v>785</v>
      </c>
      <c r="C274" s="15" t="s">
        <v>784</v>
      </c>
      <c r="D274" s="15" t="s">
        <v>783</v>
      </c>
      <c r="E274" s="15" t="s">
        <v>782</v>
      </c>
      <c r="F274" s="15" t="s">
        <v>380</v>
      </c>
      <c r="G274" s="15">
        <v>3</v>
      </c>
      <c r="H274" s="111" t="s">
        <v>781</v>
      </c>
      <c r="I274" s="112"/>
      <c r="J274" s="112"/>
      <c r="K274" s="129" t="s">
        <v>498</v>
      </c>
    </row>
    <row r="275" spans="1:11" s="13" customFormat="1" ht="18">
      <c r="A275" s="18" t="s">
        <v>780</v>
      </c>
      <c r="B275" s="15" t="s">
        <v>779</v>
      </c>
      <c r="C275" s="15" t="s">
        <v>778</v>
      </c>
      <c r="D275" s="15" t="s">
        <v>777</v>
      </c>
      <c r="E275" s="15" t="s">
        <v>776</v>
      </c>
      <c r="F275" s="15" t="s">
        <v>142</v>
      </c>
      <c r="G275" s="15">
        <v>3</v>
      </c>
      <c r="H275" s="111" t="s">
        <v>141</v>
      </c>
      <c r="I275" s="112"/>
      <c r="J275" s="112"/>
      <c r="K275" s="129" t="s">
        <v>498</v>
      </c>
    </row>
    <row r="276" spans="1:11" s="13" customFormat="1" ht="18">
      <c r="A276" s="18" t="s">
        <v>775</v>
      </c>
      <c r="B276" s="15" t="s">
        <v>774</v>
      </c>
      <c r="C276" s="15" t="s">
        <v>773</v>
      </c>
      <c r="D276" s="15" t="s">
        <v>772</v>
      </c>
      <c r="E276" s="15" t="s">
        <v>771</v>
      </c>
      <c r="F276" s="15" t="s">
        <v>142</v>
      </c>
      <c r="G276" s="15">
        <v>3</v>
      </c>
      <c r="H276" s="111" t="s">
        <v>141</v>
      </c>
      <c r="I276" s="112"/>
      <c r="J276" s="112"/>
      <c r="K276" s="129" t="s">
        <v>498</v>
      </c>
    </row>
    <row r="277" spans="1:11" s="13" customFormat="1" ht="18">
      <c r="A277" s="18" t="s">
        <v>2210</v>
      </c>
      <c r="B277" s="15" t="s">
        <v>2211</v>
      </c>
      <c r="C277" s="15" t="s">
        <v>2212</v>
      </c>
      <c r="D277" s="15" t="s">
        <v>2213</v>
      </c>
      <c r="E277" s="15" t="s">
        <v>2214</v>
      </c>
      <c r="F277" s="15" t="s">
        <v>380</v>
      </c>
      <c r="G277" s="15">
        <v>3</v>
      </c>
      <c r="H277" s="111" t="s">
        <v>379</v>
      </c>
      <c r="I277" s="112" t="s">
        <v>2397</v>
      </c>
      <c r="J277" s="112"/>
      <c r="K277" s="129" t="s">
        <v>498</v>
      </c>
    </row>
    <row r="278" spans="1:11" s="13" customFormat="1" ht="18">
      <c r="A278" s="18" t="s">
        <v>770</v>
      </c>
      <c r="B278" s="15" t="s">
        <v>769</v>
      </c>
      <c r="C278" s="15" t="s">
        <v>768</v>
      </c>
      <c r="D278" s="15" t="s">
        <v>767</v>
      </c>
      <c r="E278" s="15" t="s">
        <v>766</v>
      </c>
      <c r="F278" s="15" t="s">
        <v>142</v>
      </c>
      <c r="G278" s="15">
        <v>3</v>
      </c>
      <c r="H278" s="111" t="s">
        <v>141</v>
      </c>
      <c r="I278" s="112"/>
      <c r="J278" s="112"/>
      <c r="K278" s="129" t="s">
        <v>498</v>
      </c>
    </row>
    <row r="279" spans="1:11" s="13" customFormat="1" ht="18">
      <c r="A279" s="18" t="s">
        <v>765</v>
      </c>
      <c r="B279" s="15" t="s">
        <v>764</v>
      </c>
      <c r="C279" s="15" t="s">
        <v>763</v>
      </c>
      <c r="D279" s="15" t="s">
        <v>762</v>
      </c>
      <c r="E279" s="15" t="s">
        <v>761</v>
      </c>
      <c r="F279" s="15" t="s">
        <v>380</v>
      </c>
      <c r="G279" s="15">
        <v>3</v>
      </c>
      <c r="H279" s="111" t="s">
        <v>379</v>
      </c>
      <c r="I279" s="112"/>
      <c r="J279" s="112"/>
      <c r="K279" s="129" t="s">
        <v>498</v>
      </c>
    </row>
    <row r="280" spans="1:11" s="13" customFormat="1" ht="18">
      <c r="A280" s="18" t="s">
        <v>30</v>
      </c>
      <c r="B280" s="15" t="s">
        <v>760</v>
      </c>
      <c r="C280" s="15" t="s">
        <v>759</v>
      </c>
      <c r="D280" s="15" t="s">
        <v>479</v>
      </c>
      <c r="E280" s="15" t="s">
        <v>758</v>
      </c>
      <c r="F280" s="15" t="s">
        <v>142</v>
      </c>
      <c r="G280" s="15">
        <v>2</v>
      </c>
      <c r="H280" s="111" t="s">
        <v>141</v>
      </c>
      <c r="I280" s="112"/>
      <c r="J280" s="112"/>
      <c r="K280" s="129" t="s">
        <v>498</v>
      </c>
    </row>
    <row r="281" spans="1:11" s="13" customFormat="1" ht="18">
      <c r="A281" s="114" t="s">
        <v>757</v>
      </c>
      <c r="B281" s="115" t="s">
        <v>756</v>
      </c>
      <c r="C281" s="115" t="s">
        <v>755</v>
      </c>
      <c r="D281" s="115" t="s">
        <v>754</v>
      </c>
      <c r="E281" s="115" t="s">
        <v>753</v>
      </c>
      <c r="F281" s="115" t="s">
        <v>380</v>
      </c>
      <c r="G281" s="115">
        <v>3</v>
      </c>
      <c r="H281" s="116" t="s">
        <v>379</v>
      </c>
      <c r="I281" s="112"/>
      <c r="J281" s="112"/>
      <c r="K281" s="129" t="s">
        <v>498</v>
      </c>
    </row>
    <row r="282" spans="1:11" s="13" customFormat="1" ht="18">
      <c r="A282" s="18" t="s">
        <v>752</v>
      </c>
      <c r="B282" s="15" t="s">
        <v>751</v>
      </c>
      <c r="C282" s="15" t="s">
        <v>750</v>
      </c>
      <c r="D282" s="15" t="s">
        <v>749</v>
      </c>
      <c r="E282" s="15" t="s">
        <v>748</v>
      </c>
      <c r="F282" s="15" t="s">
        <v>142</v>
      </c>
      <c r="G282" s="15">
        <v>3</v>
      </c>
      <c r="H282" s="111" t="s">
        <v>141</v>
      </c>
      <c r="I282" s="112"/>
      <c r="J282" s="112"/>
      <c r="K282" s="129" t="s">
        <v>498</v>
      </c>
    </row>
    <row r="283" spans="1:11" s="13" customFormat="1" ht="18">
      <c r="A283" s="18" t="s">
        <v>747</v>
      </c>
      <c r="B283" s="15" t="s">
        <v>746</v>
      </c>
      <c r="C283" s="15" t="s">
        <v>745</v>
      </c>
      <c r="D283" s="15" t="s">
        <v>744</v>
      </c>
      <c r="E283" s="15" t="s">
        <v>708</v>
      </c>
      <c r="F283" s="15" t="s">
        <v>142</v>
      </c>
      <c r="G283" s="15">
        <v>3</v>
      </c>
      <c r="H283" s="111" t="s">
        <v>141</v>
      </c>
      <c r="I283" s="112"/>
      <c r="J283" s="112"/>
      <c r="K283" s="129" t="s">
        <v>498</v>
      </c>
    </row>
    <row r="284" spans="1:11" s="13" customFormat="1" ht="18">
      <c r="A284" s="114" t="s">
        <v>743</v>
      </c>
      <c r="B284" s="115" t="s">
        <v>742</v>
      </c>
      <c r="C284" s="115" t="s">
        <v>741</v>
      </c>
      <c r="D284" s="115" t="s">
        <v>740</v>
      </c>
      <c r="E284" s="115" t="s">
        <v>619</v>
      </c>
      <c r="F284" s="115" t="s">
        <v>142</v>
      </c>
      <c r="G284" s="115">
        <v>3</v>
      </c>
      <c r="H284" s="116" t="s">
        <v>141</v>
      </c>
      <c r="I284" s="112"/>
      <c r="J284" s="112"/>
      <c r="K284" s="129" t="s">
        <v>498</v>
      </c>
    </row>
    <row r="285" spans="1:11" s="13" customFormat="1" ht="18">
      <c r="A285" s="114" t="s">
        <v>739</v>
      </c>
      <c r="B285" s="115" t="s">
        <v>738</v>
      </c>
      <c r="C285" s="115" t="s">
        <v>737</v>
      </c>
      <c r="D285" s="115" t="s">
        <v>634</v>
      </c>
      <c r="E285" s="115" t="s">
        <v>316</v>
      </c>
      <c r="F285" s="115" t="s">
        <v>142</v>
      </c>
      <c r="G285" s="115">
        <v>2</v>
      </c>
      <c r="H285" s="116" t="s">
        <v>499</v>
      </c>
      <c r="I285" s="112" t="s">
        <v>2397</v>
      </c>
      <c r="J285" s="112"/>
      <c r="K285" s="129" t="s">
        <v>498</v>
      </c>
    </row>
    <row r="286" spans="1:11" s="13" customFormat="1" ht="18">
      <c r="A286" s="114" t="s">
        <v>736</v>
      </c>
      <c r="B286" s="115" t="s">
        <v>735</v>
      </c>
      <c r="C286" s="115" t="s">
        <v>734</v>
      </c>
      <c r="D286" s="115" t="s">
        <v>733</v>
      </c>
      <c r="E286" s="115" t="s">
        <v>732</v>
      </c>
      <c r="F286" s="115" t="s">
        <v>142</v>
      </c>
      <c r="G286" s="115">
        <v>3</v>
      </c>
      <c r="H286" s="116" t="s">
        <v>141</v>
      </c>
      <c r="I286" s="112"/>
      <c r="J286" s="112"/>
      <c r="K286" s="129" t="s">
        <v>498</v>
      </c>
    </row>
    <row r="287" spans="1:11" s="13" customFormat="1" ht="18">
      <c r="A287" s="114" t="s">
        <v>731</v>
      </c>
      <c r="B287" s="115" t="s">
        <v>730</v>
      </c>
      <c r="C287" s="115" t="s">
        <v>729</v>
      </c>
      <c r="D287" s="115" t="s">
        <v>728</v>
      </c>
      <c r="E287" s="115" t="s">
        <v>301</v>
      </c>
      <c r="F287" s="115" t="s">
        <v>142</v>
      </c>
      <c r="G287" s="115">
        <v>3</v>
      </c>
      <c r="H287" s="116" t="s">
        <v>141</v>
      </c>
      <c r="I287" s="112"/>
      <c r="J287" s="112"/>
      <c r="K287" s="129" t="s">
        <v>498</v>
      </c>
    </row>
    <row r="288" spans="1:11" s="13" customFormat="1" ht="18">
      <c r="A288" s="114" t="s">
        <v>2215</v>
      </c>
      <c r="B288" s="115" t="s">
        <v>2216</v>
      </c>
      <c r="C288" s="115" t="s">
        <v>2217</v>
      </c>
      <c r="D288" s="115" t="s">
        <v>2218</v>
      </c>
      <c r="E288" s="115" t="s">
        <v>2219</v>
      </c>
      <c r="F288" s="115" t="s">
        <v>380</v>
      </c>
      <c r="G288" s="115">
        <v>3</v>
      </c>
      <c r="H288" s="116" t="s">
        <v>379</v>
      </c>
      <c r="I288" s="112" t="s">
        <v>2397</v>
      </c>
      <c r="J288" s="112"/>
      <c r="K288" s="129" t="s">
        <v>498</v>
      </c>
    </row>
    <row r="289" spans="1:11" s="13" customFormat="1" ht="18">
      <c r="A289" s="114" t="s">
        <v>2220</v>
      </c>
      <c r="B289" s="115" t="s">
        <v>2221</v>
      </c>
      <c r="C289" s="115" t="s">
        <v>2222</v>
      </c>
      <c r="D289" s="115" t="s">
        <v>1228</v>
      </c>
      <c r="E289" s="115" t="s">
        <v>1488</v>
      </c>
      <c r="F289" s="115" t="s">
        <v>380</v>
      </c>
      <c r="G289" s="115">
        <v>3</v>
      </c>
      <c r="H289" s="116" t="s">
        <v>379</v>
      </c>
      <c r="I289" s="112" t="s">
        <v>2397</v>
      </c>
      <c r="J289" s="112"/>
      <c r="K289" s="129" t="s">
        <v>498</v>
      </c>
    </row>
    <row r="290" spans="1:11" s="13" customFormat="1" ht="18">
      <c r="A290" s="114" t="s">
        <v>722</v>
      </c>
      <c r="B290" s="115" t="s">
        <v>721</v>
      </c>
      <c r="C290" s="115" t="s">
        <v>720</v>
      </c>
      <c r="D290" s="115" t="s">
        <v>719</v>
      </c>
      <c r="E290" s="115" t="s">
        <v>718</v>
      </c>
      <c r="F290" s="115" t="s">
        <v>380</v>
      </c>
      <c r="G290" s="115">
        <v>3</v>
      </c>
      <c r="H290" s="116" t="s">
        <v>379</v>
      </c>
      <c r="I290" s="112" t="s">
        <v>2397</v>
      </c>
      <c r="J290" s="112"/>
      <c r="K290" s="129" t="s">
        <v>498</v>
      </c>
    </row>
    <row r="291" spans="1:11" s="13" customFormat="1" ht="18">
      <c r="A291" s="114" t="s">
        <v>2400</v>
      </c>
      <c r="B291" s="115" t="s">
        <v>2223</v>
      </c>
      <c r="C291" s="115" t="s">
        <v>2224</v>
      </c>
      <c r="D291" s="115" t="s">
        <v>2225</v>
      </c>
      <c r="E291" s="115" t="s">
        <v>753</v>
      </c>
      <c r="F291" s="115" t="s">
        <v>380</v>
      </c>
      <c r="G291" s="115">
        <v>3</v>
      </c>
      <c r="H291" s="116" t="s">
        <v>379</v>
      </c>
      <c r="I291" s="112" t="s">
        <v>2397</v>
      </c>
      <c r="J291" s="112"/>
      <c r="K291" s="129" t="s">
        <v>498</v>
      </c>
    </row>
    <row r="292" spans="1:11" s="13" customFormat="1" ht="18">
      <c r="A292" s="18" t="s">
        <v>1299</v>
      </c>
      <c r="B292" s="15" t="s">
        <v>1298</v>
      </c>
      <c r="C292" s="15" t="s">
        <v>1297</v>
      </c>
      <c r="D292" s="15" t="s">
        <v>1296</v>
      </c>
      <c r="E292" s="15" t="s">
        <v>316</v>
      </c>
      <c r="F292" s="15" t="s">
        <v>380</v>
      </c>
      <c r="G292" s="15">
        <v>3</v>
      </c>
      <c r="H292" s="111" t="s">
        <v>379</v>
      </c>
      <c r="I292" s="112" t="s">
        <v>2397</v>
      </c>
      <c r="J292" s="112"/>
      <c r="K292" s="129" t="s">
        <v>1144</v>
      </c>
    </row>
    <row r="293" spans="1:11" s="13" customFormat="1" ht="18">
      <c r="A293" s="18" t="s">
        <v>2226</v>
      </c>
      <c r="B293" s="15" t="s">
        <v>2227</v>
      </c>
      <c r="C293" s="15" t="s">
        <v>2228</v>
      </c>
      <c r="D293" s="15" t="s">
        <v>1481</v>
      </c>
      <c r="E293" s="15" t="s">
        <v>301</v>
      </c>
      <c r="F293" s="15" t="s">
        <v>380</v>
      </c>
      <c r="G293" s="15">
        <v>3</v>
      </c>
      <c r="H293" s="111" t="s">
        <v>379</v>
      </c>
      <c r="I293" s="112" t="s">
        <v>2397</v>
      </c>
      <c r="J293" s="112"/>
      <c r="K293" s="129" t="s">
        <v>498</v>
      </c>
    </row>
    <row r="294" spans="1:11" s="13" customFormat="1" ht="18">
      <c r="A294" s="18" t="s">
        <v>2229</v>
      </c>
      <c r="B294" s="15" t="s">
        <v>2230</v>
      </c>
      <c r="C294" s="15" t="s">
        <v>2231</v>
      </c>
      <c r="D294" s="15" t="s">
        <v>2232</v>
      </c>
      <c r="E294" s="15" t="s">
        <v>2233</v>
      </c>
      <c r="F294" s="15" t="s">
        <v>380</v>
      </c>
      <c r="G294" s="15">
        <v>3</v>
      </c>
      <c r="H294" s="111" t="s">
        <v>379</v>
      </c>
      <c r="I294" s="112" t="s">
        <v>2397</v>
      </c>
      <c r="J294" s="112"/>
      <c r="K294" s="129" t="s">
        <v>498</v>
      </c>
    </row>
    <row r="295" spans="1:11" s="13" customFormat="1" ht="18">
      <c r="A295" s="18" t="s">
        <v>2234</v>
      </c>
      <c r="B295" s="15" t="s">
        <v>2235</v>
      </c>
      <c r="C295" s="15" t="s">
        <v>2236</v>
      </c>
      <c r="D295" s="15" t="s">
        <v>1365</v>
      </c>
      <c r="E295" s="15" t="s">
        <v>638</v>
      </c>
      <c r="F295" s="15" t="s">
        <v>380</v>
      </c>
      <c r="G295" s="15">
        <v>3</v>
      </c>
      <c r="H295" s="111" t="s">
        <v>379</v>
      </c>
      <c r="I295" s="112" t="s">
        <v>2397</v>
      </c>
      <c r="J295" s="112"/>
      <c r="K295" s="129" t="s">
        <v>498</v>
      </c>
    </row>
    <row r="296" spans="1:11" s="13" customFormat="1" ht="18">
      <c r="A296" s="18" t="s">
        <v>727</v>
      </c>
      <c r="B296" s="15" t="s">
        <v>726</v>
      </c>
      <c r="C296" s="15" t="s">
        <v>725</v>
      </c>
      <c r="D296" s="15" t="s">
        <v>724</v>
      </c>
      <c r="E296" s="15" t="s">
        <v>723</v>
      </c>
      <c r="F296" s="15" t="s">
        <v>380</v>
      </c>
      <c r="G296" s="15">
        <v>4</v>
      </c>
      <c r="H296" s="111" t="s">
        <v>379</v>
      </c>
      <c r="I296" s="112"/>
      <c r="J296" s="112"/>
      <c r="K296" s="129" t="s">
        <v>498</v>
      </c>
    </row>
    <row r="297" spans="1:11" s="13" customFormat="1" ht="18">
      <c r="A297" s="18" t="s">
        <v>717</v>
      </c>
      <c r="B297" s="15" t="s">
        <v>716</v>
      </c>
      <c r="C297" s="15" t="s">
        <v>715</v>
      </c>
      <c r="D297" s="15" t="s">
        <v>714</v>
      </c>
      <c r="E297" s="15" t="s">
        <v>713</v>
      </c>
      <c r="F297" s="15" t="s">
        <v>380</v>
      </c>
      <c r="G297" s="15">
        <v>4</v>
      </c>
      <c r="H297" s="111" t="s">
        <v>379</v>
      </c>
      <c r="I297" s="112"/>
      <c r="J297" s="112"/>
      <c r="K297" s="129" t="s">
        <v>498</v>
      </c>
    </row>
    <row r="298" spans="1:11" s="13" customFormat="1" ht="18">
      <c r="A298" s="18" t="s">
        <v>712</v>
      </c>
      <c r="B298" s="15" t="s">
        <v>711</v>
      </c>
      <c r="C298" s="15" t="s">
        <v>710</v>
      </c>
      <c r="D298" s="15" t="s">
        <v>709</v>
      </c>
      <c r="E298" s="15" t="s">
        <v>708</v>
      </c>
      <c r="F298" s="15" t="s">
        <v>380</v>
      </c>
      <c r="G298" s="15">
        <v>4</v>
      </c>
      <c r="H298" s="111" t="s">
        <v>379</v>
      </c>
      <c r="I298" s="112"/>
      <c r="J298" s="112"/>
      <c r="K298" s="129" t="s">
        <v>498</v>
      </c>
    </row>
    <row r="299" spans="1:11" s="13" customFormat="1" ht="18">
      <c r="A299" s="18" t="s">
        <v>707</v>
      </c>
      <c r="B299" s="15" t="s">
        <v>706</v>
      </c>
      <c r="C299" s="15" t="s">
        <v>705</v>
      </c>
      <c r="D299" s="15" t="s">
        <v>704</v>
      </c>
      <c r="E299" s="15" t="s">
        <v>316</v>
      </c>
      <c r="F299" s="15" t="s">
        <v>380</v>
      </c>
      <c r="G299" s="15">
        <v>4</v>
      </c>
      <c r="H299" s="111" t="s">
        <v>379</v>
      </c>
      <c r="I299" s="112"/>
      <c r="J299" s="112"/>
      <c r="K299" s="129" t="s">
        <v>498</v>
      </c>
    </row>
    <row r="300" spans="1:11" s="13" customFormat="1" ht="18">
      <c r="A300" s="18" t="s">
        <v>703</v>
      </c>
      <c r="B300" s="15" t="s">
        <v>702</v>
      </c>
      <c r="C300" s="15" t="s">
        <v>701</v>
      </c>
      <c r="D300" s="15" t="s">
        <v>700</v>
      </c>
      <c r="E300" s="15" t="s">
        <v>540</v>
      </c>
      <c r="F300" s="15" t="s">
        <v>380</v>
      </c>
      <c r="G300" s="15">
        <v>4</v>
      </c>
      <c r="H300" s="111" t="s">
        <v>379</v>
      </c>
      <c r="I300" s="112"/>
      <c r="J300" s="112"/>
      <c r="K300" s="129" t="s">
        <v>498</v>
      </c>
    </row>
    <row r="301" spans="1:11" s="13" customFormat="1" ht="18">
      <c r="A301" s="18" t="s">
        <v>34</v>
      </c>
      <c r="B301" s="15" t="s">
        <v>699</v>
      </c>
      <c r="C301" s="15" t="s">
        <v>698</v>
      </c>
      <c r="D301" s="15" t="s">
        <v>479</v>
      </c>
      <c r="E301" s="15" t="s">
        <v>697</v>
      </c>
      <c r="F301" s="15" t="s">
        <v>380</v>
      </c>
      <c r="G301" s="15">
        <v>4</v>
      </c>
      <c r="H301" s="111" t="s">
        <v>379</v>
      </c>
      <c r="I301" s="112"/>
      <c r="J301" s="112"/>
      <c r="K301" s="129" t="s">
        <v>498</v>
      </c>
    </row>
    <row r="302" spans="1:11" s="13" customFormat="1" ht="18">
      <c r="A302" s="18" t="s">
        <v>696</v>
      </c>
      <c r="B302" s="15" t="s">
        <v>695</v>
      </c>
      <c r="C302" s="15" t="s">
        <v>694</v>
      </c>
      <c r="D302" s="15" t="s">
        <v>479</v>
      </c>
      <c r="E302" s="15" t="s">
        <v>535</v>
      </c>
      <c r="F302" s="15" t="s">
        <v>380</v>
      </c>
      <c r="G302" s="15">
        <v>4</v>
      </c>
      <c r="H302" s="111" t="s">
        <v>379</v>
      </c>
      <c r="I302" s="112"/>
      <c r="J302" s="112"/>
      <c r="K302" s="129" t="s">
        <v>498</v>
      </c>
    </row>
    <row r="303" spans="1:11" s="13" customFormat="1" ht="18">
      <c r="A303" s="18" t="s">
        <v>693</v>
      </c>
      <c r="B303" s="15" t="s">
        <v>692</v>
      </c>
      <c r="C303" s="15" t="s">
        <v>691</v>
      </c>
      <c r="D303" s="15" t="s">
        <v>690</v>
      </c>
      <c r="E303" s="15" t="s">
        <v>301</v>
      </c>
      <c r="F303" s="15" t="s">
        <v>380</v>
      </c>
      <c r="G303" s="15">
        <v>4</v>
      </c>
      <c r="H303" s="111" t="s">
        <v>379</v>
      </c>
      <c r="I303" s="112"/>
      <c r="J303" s="112"/>
      <c r="K303" s="129" t="s">
        <v>498</v>
      </c>
    </row>
    <row r="304" spans="1:11" s="13" customFormat="1" ht="18">
      <c r="A304" s="18" t="s">
        <v>689</v>
      </c>
      <c r="B304" s="15" t="s">
        <v>688</v>
      </c>
      <c r="C304" s="15" t="s">
        <v>687</v>
      </c>
      <c r="D304" s="15" t="s">
        <v>686</v>
      </c>
      <c r="E304" s="15" t="s">
        <v>301</v>
      </c>
      <c r="F304" s="15" t="s">
        <v>380</v>
      </c>
      <c r="G304" s="15">
        <v>4</v>
      </c>
      <c r="H304" s="111" t="s">
        <v>379</v>
      </c>
      <c r="I304" s="112"/>
      <c r="J304" s="112"/>
      <c r="K304" s="129" t="s">
        <v>498</v>
      </c>
    </row>
    <row r="305" spans="1:11" s="13" customFormat="1" ht="18">
      <c r="A305" s="18" t="s">
        <v>685</v>
      </c>
      <c r="B305" s="15" t="s">
        <v>684</v>
      </c>
      <c r="C305" s="15" t="s">
        <v>683</v>
      </c>
      <c r="D305" s="15" t="s">
        <v>682</v>
      </c>
      <c r="E305" s="15" t="s">
        <v>301</v>
      </c>
      <c r="F305" s="15" t="s">
        <v>380</v>
      </c>
      <c r="G305" s="15">
        <v>4</v>
      </c>
      <c r="H305" s="111" t="s">
        <v>379</v>
      </c>
      <c r="I305" s="112"/>
      <c r="J305" s="112"/>
      <c r="K305" s="129" t="s">
        <v>498</v>
      </c>
    </row>
    <row r="306" spans="1:11" s="13" customFormat="1" ht="18">
      <c r="A306" s="18" t="s">
        <v>681</v>
      </c>
      <c r="B306" s="15" t="s">
        <v>680</v>
      </c>
      <c r="C306" s="15" t="s">
        <v>679</v>
      </c>
      <c r="D306" s="15" t="s">
        <v>678</v>
      </c>
      <c r="E306" s="15" t="s">
        <v>301</v>
      </c>
      <c r="F306" s="15" t="s">
        <v>380</v>
      </c>
      <c r="G306" s="15">
        <v>4</v>
      </c>
      <c r="H306" s="111" t="s">
        <v>379</v>
      </c>
      <c r="I306" s="112"/>
      <c r="J306" s="112"/>
      <c r="K306" s="129" t="s">
        <v>498</v>
      </c>
    </row>
    <row r="307" spans="1:11" s="13" customFormat="1" ht="18">
      <c r="A307" s="18" t="s">
        <v>673</v>
      </c>
      <c r="B307" s="15" t="s">
        <v>672</v>
      </c>
      <c r="C307" s="15" t="s">
        <v>671</v>
      </c>
      <c r="D307" s="15" t="s">
        <v>670</v>
      </c>
      <c r="E307" s="15" t="s">
        <v>669</v>
      </c>
      <c r="F307" s="15" t="s">
        <v>380</v>
      </c>
      <c r="G307" s="15">
        <v>4</v>
      </c>
      <c r="H307" s="111" t="s">
        <v>379</v>
      </c>
      <c r="I307" s="112"/>
      <c r="J307" s="112"/>
      <c r="K307" s="129" t="s">
        <v>498</v>
      </c>
    </row>
    <row r="308" spans="1:11" s="13" customFormat="1" ht="18">
      <c r="A308" s="18" t="s">
        <v>668</v>
      </c>
      <c r="B308" s="15" t="s">
        <v>667</v>
      </c>
      <c r="C308" s="15" t="s">
        <v>666</v>
      </c>
      <c r="D308" s="15" t="s">
        <v>665</v>
      </c>
      <c r="E308" s="15" t="s">
        <v>664</v>
      </c>
      <c r="F308" s="15" t="s">
        <v>380</v>
      </c>
      <c r="G308" s="15">
        <v>4</v>
      </c>
      <c r="H308" s="111" t="s">
        <v>379</v>
      </c>
      <c r="I308" s="112"/>
      <c r="J308" s="112"/>
      <c r="K308" s="129" t="s">
        <v>498</v>
      </c>
    </row>
    <row r="309" spans="1:11" s="13" customFormat="1" ht="18">
      <c r="A309" s="18" t="s">
        <v>663</v>
      </c>
      <c r="B309" s="15" t="s">
        <v>662</v>
      </c>
      <c r="C309" s="15" t="s">
        <v>661</v>
      </c>
      <c r="D309" s="15" t="s">
        <v>660</v>
      </c>
      <c r="E309" s="15" t="s">
        <v>659</v>
      </c>
      <c r="F309" s="15" t="s">
        <v>380</v>
      </c>
      <c r="G309" s="15">
        <v>4</v>
      </c>
      <c r="H309" s="111" t="s">
        <v>379</v>
      </c>
      <c r="I309" s="112"/>
      <c r="J309" s="112"/>
      <c r="K309" s="129" t="s">
        <v>498</v>
      </c>
    </row>
    <row r="310" spans="1:11" s="13" customFormat="1" ht="18">
      <c r="A310" s="18" t="s">
        <v>658</v>
      </c>
      <c r="B310" s="15" t="s">
        <v>657</v>
      </c>
      <c r="C310" s="15" t="s">
        <v>656</v>
      </c>
      <c r="D310" s="15" t="s">
        <v>518</v>
      </c>
      <c r="E310" s="15" t="s">
        <v>456</v>
      </c>
      <c r="F310" s="15" t="s">
        <v>380</v>
      </c>
      <c r="G310" s="15">
        <v>4</v>
      </c>
      <c r="H310" s="111" t="s">
        <v>379</v>
      </c>
      <c r="I310" s="112"/>
      <c r="J310" s="112"/>
      <c r="K310" s="129" t="s">
        <v>498</v>
      </c>
    </row>
    <row r="311" spans="1:11" s="13" customFormat="1" ht="18">
      <c r="A311" s="18" t="s">
        <v>655</v>
      </c>
      <c r="B311" s="15" t="s">
        <v>654</v>
      </c>
      <c r="C311" s="15" t="s">
        <v>653</v>
      </c>
      <c r="D311" s="15" t="s">
        <v>652</v>
      </c>
      <c r="E311" s="15" t="s">
        <v>301</v>
      </c>
      <c r="F311" s="15" t="s">
        <v>142</v>
      </c>
      <c r="G311" s="15">
        <v>3</v>
      </c>
      <c r="H311" s="111" t="s">
        <v>141</v>
      </c>
      <c r="I311" s="112"/>
      <c r="J311" s="112"/>
      <c r="K311" s="129" t="s">
        <v>498</v>
      </c>
    </row>
    <row r="312" spans="1:11" s="13" customFormat="1" ht="18">
      <c r="A312" s="18" t="s">
        <v>111</v>
      </c>
      <c r="B312" s="15" t="s">
        <v>651</v>
      </c>
      <c r="C312" s="15" t="s">
        <v>650</v>
      </c>
      <c r="D312" s="15" t="s">
        <v>569</v>
      </c>
      <c r="E312" s="15" t="s">
        <v>638</v>
      </c>
      <c r="F312" s="15" t="s">
        <v>142</v>
      </c>
      <c r="G312" s="15">
        <v>3</v>
      </c>
      <c r="H312" s="111" t="s">
        <v>141</v>
      </c>
      <c r="I312" s="112"/>
      <c r="J312" s="112"/>
      <c r="K312" s="129" t="s">
        <v>498</v>
      </c>
    </row>
    <row r="313" spans="1:11" s="13" customFormat="1" ht="18">
      <c r="A313" s="18" t="s">
        <v>649</v>
      </c>
      <c r="B313" s="15" t="s">
        <v>648</v>
      </c>
      <c r="C313" s="15" t="s">
        <v>647</v>
      </c>
      <c r="D313" s="15" t="s">
        <v>646</v>
      </c>
      <c r="E313" s="15" t="s">
        <v>638</v>
      </c>
      <c r="F313" s="15" t="s">
        <v>142</v>
      </c>
      <c r="G313" s="15">
        <v>3</v>
      </c>
      <c r="H313" s="111" t="s">
        <v>141</v>
      </c>
      <c r="I313" s="112"/>
      <c r="J313" s="112"/>
      <c r="K313" s="129" t="s">
        <v>498</v>
      </c>
    </row>
    <row r="314" spans="1:11" s="13" customFormat="1" ht="18">
      <c r="A314" s="18" t="s">
        <v>110</v>
      </c>
      <c r="B314" s="15" t="s">
        <v>645</v>
      </c>
      <c r="C314" s="15" t="s">
        <v>644</v>
      </c>
      <c r="D314" s="15" t="s">
        <v>643</v>
      </c>
      <c r="E314" s="15" t="s">
        <v>504</v>
      </c>
      <c r="F314" s="15" t="s">
        <v>142</v>
      </c>
      <c r="G314" s="15">
        <v>3</v>
      </c>
      <c r="H314" s="111" t="s">
        <v>141</v>
      </c>
      <c r="I314" s="112"/>
      <c r="J314" s="112"/>
      <c r="K314" s="129" t="s">
        <v>498</v>
      </c>
    </row>
    <row r="315" spans="1:11" s="13" customFormat="1" ht="18">
      <c r="A315" s="114" t="s">
        <v>642</v>
      </c>
      <c r="B315" s="115" t="s">
        <v>641</v>
      </c>
      <c r="C315" s="115" t="s">
        <v>640</v>
      </c>
      <c r="D315" s="115" t="s">
        <v>639</v>
      </c>
      <c r="E315" s="115" t="s">
        <v>638</v>
      </c>
      <c r="F315" s="115" t="s">
        <v>142</v>
      </c>
      <c r="G315" s="115">
        <v>2</v>
      </c>
      <c r="H315" s="116" t="s">
        <v>141</v>
      </c>
      <c r="I315" s="112"/>
      <c r="J315" s="112"/>
      <c r="K315" s="129" t="s">
        <v>498</v>
      </c>
    </row>
    <row r="316" spans="1:11" s="13" customFormat="1" ht="18">
      <c r="A316" s="114" t="s">
        <v>637</v>
      </c>
      <c r="B316" s="115" t="s">
        <v>636</v>
      </c>
      <c r="C316" s="115" t="s">
        <v>635</v>
      </c>
      <c r="D316" s="115" t="s">
        <v>634</v>
      </c>
      <c r="E316" s="115" t="s">
        <v>326</v>
      </c>
      <c r="F316" s="115" t="s">
        <v>142</v>
      </c>
      <c r="G316" s="115">
        <v>3</v>
      </c>
      <c r="H316" s="116" t="s">
        <v>141</v>
      </c>
      <c r="I316" s="112"/>
      <c r="J316" s="112"/>
      <c r="K316" s="129" t="s">
        <v>498</v>
      </c>
    </row>
    <row r="317" spans="1:11" s="13" customFormat="1" ht="18">
      <c r="A317" s="114" t="s">
        <v>633</v>
      </c>
      <c r="B317" s="115" t="s">
        <v>632</v>
      </c>
      <c r="C317" s="115" t="s">
        <v>631</v>
      </c>
      <c r="D317" s="115" t="s">
        <v>630</v>
      </c>
      <c r="E317" s="115" t="s">
        <v>629</v>
      </c>
      <c r="F317" s="115" t="s">
        <v>142</v>
      </c>
      <c r="G317" s="115">
        <v>3</v>
      </c>
      <c r="H317" s="116" t="s">
        <v>141</v>
      </c>
      <c r="I317" s="112"/>
      <c r="J317" s="112"/>
      <c r="K317" s="129" t="s">
        <v>498</v>
      </c>
    </row>
    <row r="318" spans="1:11" s="13" customFormat="1" ht="18">
      <c r="A318" s="114" t="s">
        <v>628</v>
      </c>
      <c r="B318" s="115" t="s">
        <v>627</v>
      </c>
      <c r="C318" s="115" t="s">
        <v>626</v>
      </c>
      <c r="D318" s="115" t="s">
        <v>625</v>
      </c>
      <c r="E318" s="115" t="s">
        <v>624</v>
      </c>
      <c r="F318" s="115" t="s">
        <v>142</v>
      </c>
      <c r="G318" s="115">
        <v>3</v>
      </c>
      <c r="H318" s="116" t="s">
        <v>141</v>
      </c>
      <c r="I318" s="112"/>
      <c r="J318" s="112"/>
      <c r="K318" s="129" t="s">
        <v>498</v>
      </c>
    </row>
    <row r="319" spans="1:11" s="13" customFormat="1" ht="18">
      <c r="A319" s="114" t="s">
        <v>590</v>
      </c>
      <c r="B319" s="115" t="s">
        <v>589</v>
      </c>
      <c r="C319" s="115" t="s">
        <v>588</v>
      </c>
      <c r="D319" s="115" t="s">
        <v>587</v>
      </c>
      <c r="E319" s="115" t="s">
        <v>586</v>
      </c>
      <c r="F319" s="115" t="s">
        <v>380</v>
      </c>
      <c r="G319" s="115">
        <v>4</v>
      </c>
      <c r="H319" s="116" t="s">
        <v>379</v>
      </c>
      <c r="I319" s="112" t="s">
        <v>2397</v>
      </c>
      <c r="J319" s="112"/>
      <c r="K319" s="129" t="s">
        <v>498</v>
      </c>
    </row>
    <row r="320" spans="1:11" s="13" customFormat="1" ht="18">
      <c r="A320" s="114" t="s">
        <v>585</v>
      </c>
      <c r="B320" s="115" t="s">
        <v>584</v>
      </c>
      <c r="C320" s="115" t="s">
        <v>583</v>
      </c>
      <c r="D320" s="115" t="s">
        <v>582</v>
      </c>
      <c r="E320" s="115" t="s">
        <v>326</v>
      </c>
      <c r="F320" s="115" t="s">
        <v>380</v>
      </c>
      <c r="G320" s="115">
        <v>4</v>
      </c>
      <c r="H320" s="116" t="s">
        <v>379</v>
      </c>
      <c r="I320" s="112" t="s">
        <v>2397</v>
      </c>
      <c r="J320" s="112"/>
      <c r="K320" s="129" t="s">
        <v>498</v>
      </c>
    </row>
    <row r="321" spans="1:11" s="13" customFormat="1" ht="18">
      <c r="A321" s="114" t="s">
        <v>2237</v>
      </c>
      <c r="B321" s="115" t="s">
        <v>2238</v>
      </c>
      <c r="C321" s="115" t="s">
        <v>2239</v>
      </c>
      <c r="D321" s="115" t="s">
        <v>2240</v>
      </c>
      <c r="E321" s="115" t="s">
        <v>326</v>
      </c>
      <c r="F321" s="115" t="s">
        <v>380</v>
      </c>
      <c r="G321" s="115">
        <v>4</v>
      </c>
      <c r="H321" s="116" t="s">
        <v>379</v>
      </c>
      <c r="I321" s="112" t="s">
        <v>2397</v>
      </c>
      <c r="J321" s="112"/>
      <c r="K321" s="129" t="s">
        <v>498</v>
      </c>
    </row>
    <row r="322" spans="1:11" s="13" customFormat="1" ht="18">
      <c r="A322" s="114" t="s">
        <v>581</v>
      </c>
      <c r="B322" s="115" t="s">
        <v>580</v>
      </c>
      <c r="C322" s="115" t="s">
        <v>579</v>
      </c>
      <c r="D322" s="115" t="s">
        <v>469</v>
      </c>
      <c r="E322" s="115" t="s">
        <v>578</v>
      </c>
      <c r="F322" s="115" t="s">
        <v>380</v>
      </c>
      <c r="G322" s="115">
        <v>4</v>
      </c>
      <c r="H322" s="116" t="s">
        <v>379</v>
      </c>
      <c r="I322" s="112" t="s">
        <v>2397</v>
      </c>
      <c r="J322" s="112"/>
      <c r="K322" s="129" t="s">
        <v>498</v>
      </c>
    </row>
    <row r="323" spans="1:11" s="13" customFormat="1" ht="18">
      <c r="A323" s="114" t="s">
        <v>577</v>
      </c>
      <c r="B323" s="115" t="s">
        <v>576</v>
      </c>
      <c r="C323" s="115" t="s">
        <v>575</v>
      </c>
      <c r="D323" s="115" t="s">
        <v>574</v>
      </c>
      <c r="E323" s="115" t="s">
        <v>569</v>
      </c>
      <c r="F323" s="115" t="s">
        <v>380</v>
      </c>
      <c r="G323" s="115">
        <v>4</v>
      </c>
      <c r="H323" s="116" t="s">
        <v>379</v>
      </c>
      <c r="I323" s="112" t="s">
        <v>2397</v>
      </c>
      <c r="J323" s="112"/>
      <c r="K323" s="129" t="s">
        <v>498</v>
      </c>
    </row>
    <row r="324" spans="1:11" s="13" customFormat="1" ht="18">
      <c r="A324" s="114" t="s">
        <v>573</v>
      </c>
      <c r="B324" s="115" t="s">
        <v>572</v>
      </c>
      <c r="C324" s="115" t="s">
        <v>571</v>
      </c>
      <c r="D324" s="115" t="s">
        <v>570</v>
      </c>
      <c r="E324" s="115" t="s">
        <v>569</v>
      </c>
      <c r="F324" s="115" t="s">
        <v>380</v>
      </c>
      <c r="G324" s="115">
        <v>4</v>
      </c>
      <c r="H324" s="116" t="s">
        <v>379</v>
      </c>
      <c r="I324" s="112" t="s">
        <v>2397</v>
      </c>
      <c r="J324" s="112"/>
      <c r="K324" s="129" t="s">
        <v>498</v>
      </c>
    </row>
    <row r="325" spans="1:11" s="13" customFormat="1" ht="18">
      <c r="A325" s="114" t="s">
        <v>568</v>
      </c>
      <c r="B325" s="115" t="s">
        <v>567</v>
      </c>
      <c r="C325" s="115" t="s">
        <v>566</v>
      </c>
      <c r="D325" s="115" t="s">
        <v>565</v>
      </c>
      <c r="E325" s="115" t="s">
        <v>564</v>
      </c>
      <c r="F325" s="115" t="s">
        <v>380</v>
      </c>
      <c r="G325" s="115">
        <v>4</v>
      </c>
      <c r="H325" s="116" t="s">
        <v>379</v>
      </c>
      <c r="I325" s="112" t="s">
        <v>2397</v>
      </c>
      <c r="J325" s="112"/>
      <c r="K325" s="129" t="s">
        <v>498</v>
      </c>
    </row>
    <row r="326" spans="1:11" s="13" customFormat="1" ht="18">
      <c r="A326" s="114" t="s">
        <v>563</v>
      </c>
      <c r="B326" s="115" t="s">
        <v>562</v>
      </c>
      <c r="C326" s="115" t="s">
        <v>561</v>
      </c>
      <c r="D326" s="115" t="s">
        <v>560</v>
      </c>
      <c r="E326" s="115" t="s">
        <v>559</v>
      </c>
      <c r="F326" s="115" t="s">
        <v>380</v>
      </c>
      <c r="G326" s="115">
        <v>4</v>
      </c>
      <c r="H326" s="116" t="s">
        <v>379</v>
      </c>
      <c r="I326" s="112" t="s">
        <v>2397</v>
      </c>
      <c r="J326" s="112"/>
      <c r="K326" s="129" t="s">
        <v>498</v>
      </c>
    </row>
    <row r="327" spans="1:11" s="13" customFormat="1" ht="18">
      <c r="A327" s="114" t="s">
        <v>2241</v>
      </c>
      <c r="B327" s="115" t="s">
        <v>2242</v>
      </c>
      <c r="C327" s="115" t="s">
        <v>2243</v>
      </c>
      <c r="D327" s="115" t="s">
        <v>1451</v>
      </c>
      <c r="E327" s="115" t="s">
        <v>554</v>
      </c>
      <c r="F327" s="115" t="s">
        <v>380</v>
      </c>
      <c r="G327" s="115">
        <v>4</v>
      </c>
      <c r="H327" s="116" t="s">
        <v>379</v>
      </c>
      <c r="I327" s="112" t="s">
        <v>2397</v>
      </c>
      <c r="J327" s="112"/>
      <c r="K327" s="129" t="s">
        <v>498</v>
      </c>
    </row>
    <row r="328" spans="1:11" s="13" customFormat="1" ht="18">
      <c r="A328" s="114" t="s">
        <v>558</v>
      </c>
      <c r="B328" s="115" t="s">
        <v>557</v>
      </c>
      <c r="C328" s="115" t="s">
        <v>556</v>
      </c>
      <c r="D328" s="115" t="s">
        <v>555</v>
      </c>
      <c r="E328" s="115" t="s">
        <v>554</v>
      </c>
      <c r="F328" s="115" t="s">
        <v>380</v>
      </c>
      <c r="G328" s="115">
        <v>4</v>
      </c>
      <c r="H328" s="116" t="s">
        <v>379</v>
      </c>
      <c r="I328" s="112" t="s">
        <v>2397</v>
      </c>
      <c r="J328" s="112"/>
      <c r="K328" s="129" t="s">
        <v>498</v>
      </c>
    </row>
    <row r="329" spans="1:11" s="13" customFormat="1" ht="18">
      <c r="A329" s="114" t="s">
        <v>553</v>
      </c>
      <c r="B329" s="115" t="s">
        <v>552</v>
      </c>
      <c r="C329" s="115" t="s">
        <v>551</v>
      </c>
      <c r="D329" s="115" t="s">
        <v>550</v>
      </c>
      <c r="E329" s="115" t="s">
        <v>549</v>
      </c>
      <c r="F329" s="115" t="s">
        <v>380</v>
      </c>
      <c r="G329" s="115">
        <v>4</v>
      </c>
      <c r="H329" s="116" t="s">
        <v>379</v>
      </c>
      <c r="I329" s="112" t="s">
        <v>2397</v>
      </c>
      <c r="J329" s="112"/>
      <c r="K329" s="129" t="s">
        <v>498</v>
      </c>
    </row>
    <row r="330" spans="1:11" s="13" customFormat="1" ht="18">
      <c r="A330" s="114" t="s">
        <v>548</v>
      </c>
      <c r="B330" s="115" t="s">
        <v>547</v>
      </c>
      <c r="C330" s="115" t="s">
        <v>546</v>
      </c>
      <c r="D330" s="115" t="s">
        <v>545</v>
      </c>
      <c r="E330" s="115" t="s">
        <v>540</v>
      </c>
      <c r="F330" s="115" t="s">
        <v>380</v>
      </c>
      <c r="G330" s="115">
        <v>4</v>
      </c>
      <c r="H330" s="116" t="s">
        <v>379</v>
      </c>
      <c r="I330" s="112" t="s">
        <v>2397</v>
      </c>
      <c r="J330" s="112"/>
      <c r="K330" s="129" t="s">
        <v>498</v>
      </c>
    </row>
    <row r="331" spans="1:11" s="13" customFormat="1" ht="18">
      <c r="A331" s="114" t="s">
        <v>544</v>
      </c>
      <c r="B331" s="115" t="s">
        <v>543</v>
      </c>
      <c r="C331" s="115" t="s">
        <v>542</v>
      </c>
      <c r="D331" s="115" t="s">
        <v>541</v>
      </c>
      <c r="E331" s="115" t="s">
        <v>540</v>
      </c>
      <c r="F331" s="115" t="s">
        <v>380</v>
      </c>
      <c r="G331" s="115">
        <v>4</v>
      </c>
      <c r="H331" s="116" t="s">
        <v>379</v>
      </c>
      <c r="I331" s="112" t="s">
        <v>2397</v>
      </c>
      <c r="J331" s="112"/>
      <c r="K331" s="129" t="s">
        <v>498</v>
      </c>
    </row>
    <row r="332" spans="1:11" s="13" customFormat="1" ht="18">
      <c r="A332" s="114" t="s">
        <v>539</v>
      </c>
      <c r="B332" s="115" t="s">
        <v>538</v>
      </c>
      <c r="C332" s="115" t="s">
        <v>537</v>
      </c>
      <c r="D332" s="115" t="s">
        <v>536</v>
      </c>
      <c r="E332" s="115" t="s">
        <v>535</v>
      </c>
      <c r="F332" s="115" t="s">
        <v>380</v>
      </c>
      <c r="G332" s="115">
        <v>4</v>
      </c>
      <c r="H332" s="116" t="s">
        <v>379</v>
      </c>
      <c r="I332" s="112" t="s">
        <v>2397</v>
      </c>
      <c r="J332" s="112"/>
      <c r="K332" s="129" t="s">
        <v>498</v>
      </c>
    </row>
    <row r="333" spans="1:11" s="13" customFormat="1" ht="18">
      <c r="A333" s="114" t="s">
        <v>534</v>
      </c>
      <c r="B333" s="115" t="s">
        <v>533</v>
      </c>
      <c r="C333" s="115" t="s">
        <v>532</v>
      </c>
      <c r="D333" s="115" t="s">
        <v>531</v>
      </c>
      <c r="E333" s="115" t="s">
        <v>530</v>
      </c>
      <c r="F333" s="115" t="s">
        <v>380</v>
      </c>
      <c r="G333" s="115">
        <v>4</v>
      </c>
      <c r="H333" s="116" t="s">
        <v>379</v>
      </c>
      <c r="I333" s="112" t="s">
        <v>2397</v>
      </c>
      <c r="J333" s="112"/>
      <c r="K333" s="129" t="s">
        <v>498</v>
      </c>
    </row>
    <row r="334" spans="1:11" s="13" customFormat="1" ht="18">
      <c r="A334" s="114" t="s">
        <v>2356</v>
      </c>
      <c r="B334" s="115" t="s">
        <v>2357</v>
      </c>
      <c r="C334" s="115" t="s">
        <v>2358</v>
      </c>
      <c r="D334" s="115"/>
      <c r="E334" s="115"/>
      <c r="F334" s="115"/>
      <c r="G334" s="115"/>
      <c r="H334" s="116"/>
      <c r="I334" s="112"/>
      <c r="J334" s="112"/>
      <c r="K334" s="129" t="s">
        <v>498</v>
      </c>
    </row>
    <row r="335" spans="1:11" s="13" customFormat="1" ht="18">
      <c r="A335" s="114" t="s">
        <v>2359</v>
      </c>
      <c r="B335" s="115" t="s">
        <v>2360</v>
      </c>
      <c r="C335" s="115" t="s">
        <v>2361</v>
      </c>
      <c r="D335" s="115"/>
      <c r="E335" s="115"/>
      <c r="F335" s="115"/>
      <c r="G335" s="115"/>
      <c r="H335" s="116"/>
      <c r="I335" s="112"/>
      <c r="J335" s="112"/>
      <c r="K335" s="129" t="s">
        <v>498</v>
      </c>
    </row>
    <row r="336" spans="1:11" s="13" customFormat="1" ht="18">
      <c r="A336" s="114" t="s">
        <v>2362</v>
      </c>
      <c r="B336" s="115" t="s">
        <v>2363</v>
      </c>
      <c r="C336" s="115" t="s">
        <v>2364</v>
      </c>
      <c r="D336" s="115"/>
      <c r="E336" s="115"/>
      <c r="F336" s="115"/>
      <c r="G336" s="115"/>
      <c r="H336" s="116"/>
      <c r="I336" s="112"/>
      <c r="J336" s="112"/>
      <c r="K336" s="129" t="s">
        <v>498</v>
      </c>
    </row>
    <row r="337" spans="1:11" s="13" customFormat="1" ht="18">
      <c r="A337" s="114" t="s">
        <v>529</v>
      </c>
      <c r="B337" s="115" t="s">
        <v>528</v>
      </c>
      <c r="C337" s="115" t="s">
        <v>527</v>
      </c>
      <c r="D337" s="115" t="s">
        <v>526</v>
      </c>
      <c r="E337" s="115" t="s">
        <v>301</v>
      </c>
      <c r="F337" s="115" t="s">
        <v>380</v>
      </c>
      <c r="G337" s="115">
        <v>4</v>
      </c>
      <c r="H337" s="116" t="s">
        <v>379</v>
      </c>
      <c r="I337" s="112" t="s">
        <v>2397</v>
      </c>
      <c r="J337" s="112"/>
      <c r="K337" s="129" t="s">
        <v>498</v>
      </c>
    </row>
    <row r="338" spans="1:11" s="13" customFormat="1" ht="18">
      <c r="A338" s="18" t="s">
        <v>525</v>
      </c>
      <c r="B338" s="15" t="s">
        <v>524</v>
      </c>
      <c r="C338" s="15" t="s">
        <v>523</v>
      </c>
      <c r="D338" s="15" t="s">
        <v>522</v>
      </c>
      <c r="E338" s="15" t="s">
        <v>479</v>
      </c>
      <c r="F338" s="15" t="s">
        <v>380</v>
      </c>
      <c r="G338" s="15">
        <v>4</v>
      </c>
      <c r="H338" s="111" t="s">
        <v>379</v>
      </c>
      <c r="I338" s="112" t="s">
        <v>2397</v>
      </c>
      <c r="J338" s="112"/>
      <c r="K338" s="129" t="s">
        <v>498</v>
      </c>
    </row>
    <row r="339" spans="1:11" s="13" customFormat="1" ht="18">
      <c r="A339" s="18" t="s">
        <v>521</v>
      </c>
      <c r="B339" s="15" t="s">
        <v>520</v>
      </c>
      <c r="C339" s="15" t="s">
        <v>519</v>
      </c>
      <c r="D339" s="15" t="s">
        <v>518</v>
      </c>
      <c r="E339" s="15" t="s">
        <v>143</v>
      </c>
      <c r="F339" s="15" t="s">
        <v>380</v>
      </c>
      <c r="G339" s="15">
        <v>4</v>
      </c>
      <c r="H339" s="111" t="s">
        <v>379</v>
      </c>
      <c r="I339" s="112" t="s">
        <v>2397</v>
      </c>
      <c r="J339" s="112"/>
      <c r="K339" s="129" t="s">
        <v>498</v>
      </c>
    </row>
    <row r="340" spans="1:11" s="13" customFormat="1" ht="18">
      <c r="A340" s="18" t="s">
        <v>517</v>
      </c>
      <c r="B340" s="15" t="s">
        <v>516</v>
      </c>
      <c r="C340" s="15" t="s">
        <v>515</v>
      </c>
      <c r="D340" s="15" t="s">
        <v>514</v>
      </c>
      <c r="E340" s="15" t="s">
        <v>143</v>
      </c>
      <c r="F340" s="15" t="s">
        <v>380</v>
      </c>
      <c r="G340" s="15">
        <v>4</v>
      </c>
      <c r="H340" s="111" t="s">
        <v>379</v>
      </c>
      <c r="I340" s="112" t="s">
        <v>2397</v>
      </c>
      <c r="J340" s="112"/>
      <c r="K340" s="129" t="s">
        <v>498</v>
      </c>
    </row>
    <row r="341" spans="1:11" s="13" customFormat="1" ht="18">
      <c r="A341" s="18" t="s">
        <v>2244</v>
      </c>
      <c r="B341" s="15" t="s">
        <v>2245</v>
      </c>
      <c r="C341" s="15" t="s">
        <v>2246</v>
      </c>
      <c r="D341" s="15" t="s">
        <v>1365</v>
      </c>
      <c r="E341" s="15" t="s">
        <v>664</v>
      </c>
      <c r="F341" s="15" t="s">
        <v>380</v>
      </c>
      <c r="G341" s="15">
        <v>4</v>
      </c>
      <c r="H341" s="111" t="s">
        <v>379</v>
      </c>
      <c r="I341" s="112" t="s">
        <v>2397</v>
      </c>
      <c r="J341" s="112"/>
      <c r="K341" s="129" t="s">
        <v>498</v>
      </c>
    </row>
    <row r="342" spans="1:11" s="13" customFormat="1" ht="18">
      <c r="A342" s="18" t="s">
        <v>513</v>
      </c>
      <c r="B342" s="15" t="s">
        <v>512</v>
      </c>
      <c r="C342" s="15" t="s">
        <v>511</v>
      </c>
      <c r="D342" s="15" t="s">
        <v>510</v>
      </c>
      <c r="E342" s="15" t="s">
        <v>509</v>
      </c>
      <c r="F342" s="15" t="s">
        <v>380</v>
      </c>
      <c r="G342" s="15">
        <v>4</v>
      </c>
      <c r="H342" s="111" t="s">
        <v>379</v>
      </c>
      <c r="I342" s="112" t="s">
        <v>2397</v>
      </c>
      <c r="J342" s="112"/>
      <c r="K342" s="129" t="s">
        <v>498</v>
      </c>
    </row>
    <row r="343" spans="1:11" s="13" customFormat="1" ht="18">
      <c r="A343" s="18" t="s">
        <v>508</v>
      </c>
      <c r="B343" s="15" t="s">
        <v>507</v>
      </c>
      <c r="C343" s="15" t="s">
        <v>506</v>
      </c>
      <c r="D343" s="15" t="s">
        <v>505</v>
      </c>
      <c r="E343" s="15" t="s">
        <v>504</v>
      </c>
      <c r="F343" s="15" t="s">
        <v>380</v>
      </c>
      <c r="G343" s="15">
        <v>4</v>
      </c>
      <c r="H343" s="111" t="s">
        <v>379</v>
      </c>
      <c r="I343" s="112" t="s">
        <v>2397</v>
      </c>
      <c r="J343" s="112"/>
      <c r="K343" s="129" t="s">
        <v>498</v>
      </c>
    </row>
    <row r="344" spans="1:11" s="13" customFormat="1" ht="18">
      <c r="A344" s="18" t="s">
        <v>2247</v>
      </c>
      <c r="B344" s="15" t="s">
        <v>2248</v>
      </c>
      <c r="C344" s="15" t="s">
        <v>2249</v>
      </c>
      <c r="D344" s="15" t="s">
        <v>2250</v>
      </c>
      <c r="E344" s="15" t="s">
        <v>504</v>
      </c>
      <c r="F344" s="15" t="s">
        <v>380</v>
      </c>
      <c r="G344" s="15">
        <v>4</v>
      </c>
      <c r="H344" s="111" t="s">
        <v>379</v>
      </c>
      <c r="I344" s="112" t="s">
        <v>2397</v>
      </c>
      <c r="J344" s="112"/>
      <c r="K344" s="129" t="s">
        <v>498</v>
      </c>
    </row>
    <row r="345" spans="1:11" s="13" customFormat="1" ht="18">
      <c r="A345" s="18" t="s">
        <v>623</v>
      </c>
      <c r="B345" s="15" t="s">
        <v>622</v>
      </c>
      <c r="C345" s="15" t="s">
        <v>621</v>
      </c>
      <c r="D345" s="15" t="s">
        <v>620</v>
      </c>
      <c r="E345" s="15" t="s">
        <v>619</v>
      </c>
      <c r="F345" s="15" t="s">
        <v>142</v>
      </c>
      <c r="G345" s="15">
        <v>3</v>
      </c>
      <c r="H345" s="111" t="s">
        <v>141</v>
      </c>
      <c r="I345" s="112"/>
      <c r="J345" s="112"/>
      <c r="K345" s="129" t="s">
        <v>498</v>
      </c>
    </row>
    <row r="346" spans="1:11" s="13" customFormat="1" ht="18">
      <c r="A346" s="18" t="s">
        <v>618</v>
      </c>
      <c r="B346" s="15" t="s">
        <v>617</v>
      </c>
      <c r="C346" s="15" t="s">
        <v>616</v>
      </c>
      <c r="D346" s="15" t="s">
        <v>615</v>
      </c>
      <c r="E346" s="15" t="s">
        <v>614</v>
      </c>
      <c r="F346" s="15" t="s">
        <v>142</v>
      </c>
      <c r="G346" s="15">
        <v>3</v>
      </c>
      <c r="H346" s="111" t="s">
        <v>141</v>
      </c>
      <c r="I346" s="112"/>
      <c r="J346" s="112"/>
      <c r="K346" s="129" t="s">
        <v>498</v>
      </c>
    </row>
    <row r="347" spans="1:11" s="13" customFormat="1" ht="18">
      <c r="A347" s="114" t="s">
        <v>613</v>
      </c>
      <c r="B347" s="115" t="s">
        <v>612</v>
      </c>
      <c r="C347" s="115" t="s">
        <v>611</v>
      </c>
      <c r="D347" s="115" t="s">
        <v>610</v>
      </c>
      <c r="E347" s="115" t="s">
        <v>316</v>
      </c>
      <c r="F347" s="115" t="s">
        <v>142</v>
      </c>
      <c r="G347" s="115">
        <v>3</v>
      </c>
      <c r="H347" s="116" t="s">
        <v>141</v>
      </c>
      <c r="I347" s="112"/>
      <c r="J347" s="112"/>
      <c r="K347" s="129" t="s">
        <v>498</v>
      </c>
    </row>
    <row r="348" spans="1:11" s="13" customFormat="1" ht="18">
      <c r="A348" s="18" t="s">
        <v>115</v>
      </c>
      <c r="B348" s="15" t="s">
        <v>609</v>
      </c>
      <c r="C348" s="15" t="s">
        <v>608</v>
      </c>
      <c r="D348" s="15" t="s">
        <v>479</v>
      </c>
      <c r="E348" s="15" t="s">
        <v>316</v>
      </c>
      <c r="F348" s="15" t="s">
        <v>142</v>
      </c>
      <c r="G348" s="15">
        <v>3</v>
      </c>
      <c r="H348" s="111" t="s">
        <v>141</v>
      </c>
      <c r="I348" s="112"/>
      <c r="J348" s="112"/>
      <c r="K348" s="129" t="s">
        <v>498</v>
      </c>
    </row>
    <row r="349" spans="1:11" s="13" customFormat="1" ht="18">
      <c r="A349" s="18" t="s">
        <v>607</v>
      </c>
      <c r="B349" s="15" t="s">
        <v>606</v>
      </c>
      <c r="C349" s="15" t="s">
        <v>605</v>
      </c>
      <c r="D349" s="15" t="s">
        <v>604</v>
      </c>
      <c r="E349" s="15" t="s">
        <v>316</v>
      </c>
      <c r="F349" s="15" t="s">
        <v>142</v>
      </c>
      <c r="G349" s="15">
        <v>3</v>
      </c>
      <c r="H349" s="111" t="s">
        <v>141</v>
      </c>
      <c r="I349" s="112"/>
      <c r="J349" s="112"/>
      <c r="K349" s="129" t="s">
        <v>498</v>
      </c>
    </row>
    <row r="350" spans="1:11" s="13" customFormat="1" ht="18">
      <c r="A350" s="117" t="s">
        <v>603</v>
      </c>
      <c r="B350" s="118" t="s">
        <v>602</v>
      </c>
      <c r="C350" s="118" t="s">
        <v>601</v>
      </c>
      <c r="D350" s="118" t="s">
        <v>600</v>
      </c>
      <c r="E350" s="118" t="s">
        <v>316</v>
      </c>
      <c r="F350" s="118" t="s">
        <v>142</v>
      </c>
      <c r="G350" s="118">
        <v>3</v>
      </c>
      <c r="H350" s="119" t="s">
        <v>141</v>
      </c>
      <c r="I350" s="120"/>
      <c r="J350" s="112"/>
      <c r="K350" s="128" t="s">
        <v>498</v>
      </c>
    </row>
    <row r="351" spans="1:11" s="13" customFormat="1" ht="18">
      <c r="A351" s="18" t="s">
        <v>2251</v>
      </c>
      <c r="B351" s="15" t="s">
        <v>2252</v>
      </c>
      <c r="C351" s="15" t="s">
        <v>2253</v>
      </c>
      <c r="D351" s="15" t="s">
        <v>2254</v>
      </c>
      <c r="E351" s="15" t="s">
        <v>2255</v>
      </c>
      <c r="F351" s="15" t="s">
        <v>142</v>
      </c>
      <c r="G351" s="15">
        <v>3</v>
      </c>
      <c r="H351" s="111" t="s">
        <v>499</v>
      </c>
      <c r="I351" s="112"/>
      <c r="J351" s="112"/>
      <c r="K351" s="129" t="s">
        <v>498</v>
      </c>
    </row>
    <row r="352" spans="1:11" s="13" customFormat="1" ht="18">
      <c r="A352" s="117" t="s">
        <v>599</v>
      </c>
      <c r="B352" s="118" t="s">
        <v>598</v>
      </c>
      <c r="C352" s="118" t="s">
        <v>597</v>
      </c>
      <c r="D352" s="118" t="s">
        <v>596</v>
      </c>
      <c r="E352" s="118" t="s">
        <v>595</v>
      </c>
      <c r="F352" s="118" t="s">
        <v>142</v>
      </c>
      <c r="G352" s="118">
        <v>3</v>
      </c>
      <c r="H352" s="119" t="s">
        <v>141</v>
      </c>
      <c r="I352" s="120"/>
      <c r="J352" s="112"/>
      <c r="K352" s="128" t="s">
        <v>498</v>
      </c>
    </row>
    <row r="353" spans="1:11" s="13" customFormat="1" ht="18">
      <c r="A353" s="18" t="s">
        <v>594</v>
      </c>
      <c r="B353" s="15" t="s">
        <v>593</v>
      </c>
      <c r="C353" s="15" t="s">
        <v>592</v>
      </c>
      <c r="D353" s="15" t="s">
        <v>591</v>
      </c>
      <c r="E353" s="15" t="s">
        <v>531</v>
      </c>
      <c r="F353" s="15" t="s">
        <v>142</v>
      </c>
      <c r="G353" s="15">
        <v>3</v>
      </c>
      <c r="H353" s="111" t="s">
        <v>141</v>
      </c>
      <c r="I353" s="112"/>
      <c r="J353" s="112"/>
      <c r="K353" s="129" t="s">
        <v>498</v>
      </c>
    </row>
    <row r="354" spans="1:11" s="13" customFormat="1" ht="18">
      <c r="A354" s="18" t="s">
        <v>2365</v>
      </c>
      <c r="B354" s="15" t="s">
        <v>2366</v>
      </c>
      <c r="C354" s="15" t="s">
        <v>2367</v>
      </c>
      <c r="D354" s="15"/>
      <c r="E354" s="15"/>
      <c r="F354" s="15"/>
      <c r="G354" s="15"/>
      <c r="H354" s="111"/>
      <c r="I354" s="112"/>
      <c r="J354" s="112"/>
      <c r="K354" s="129" t="s">
        <v>498</v>
      </c>
    </row>
    <row r="355" spans="1:11" s="13" customFormat="1" ht="18">
      <c r="A355" s="18" t="s">
        <v>2368</v>
      </c>
      <c r="B355" s="15" t="s">
        <v>2369</v>
      </c>
      <c r="C355" s="15" t="s">
        <v>2370</v>
      </c>
      <c r="D355" s="15"/>
      <c r="E355" s="15"/>
      <c r="F355" s="15"/>
      <c r="G355" s="15"/>
      <c r="H355" s="111"/>
      <c r="I355" s="112"/>
      <c r="J355" s="112"/>
      <c r="K355" s="129" t="s">
        <v>498</v>
      </c>
    </row>
    <row r="356" spans="1:11" s="13" customFormat="1" ht="18">
      <c r="A356" s="18" t="s">
        <v>2371</v>
      </c>
      <c r="B356" s="15" t="s">
        <v>2372</v>
      </c>
      <c r="C356" s="15" t="s">
        <v>2373</v>
      </c>
      <c r="D356" s="15"/>
      <c r="E356" s="15"/>
      <c r="F356" s="15"/>
      <c r="G356" s="15"/>
      <c r="H356" s="111"/>
      <c r="I356" s="112"/>
      <c r="J356" s="112"/>
      <c r="K356" s="129" t="s">
        <v>498</v>
      </c>
    </row>
    <row r="357" spans="1:11" s="13" customFormat="1" ht="18">
      <c r="A357" s="18" t="s">
        <v>503</v>
      </c>
      <c r="B357" s="15" t="s">
        <v>502</v>
      </c>
      <c r="C357" s="15" t="s">
        <v>501</v>
      </c>
      <c r="D357" s="15" t="s">
        <v>500</v>
      </c>
      <c r="E357" s="15" t="s">
        <v>451</v>
      </c>
      <c r="F357" s="15" t="s">
        <v>142</v>
      </c>
      <c r="G357" s="15">
        <v>3</v>
      </c>
      <c r="H357" s="111" t="s">
        <v>499</v>
      </c>
      <c r="I357" s="112" t="s">
        <v>2397</v>
      </c>
      <c r="J357" s="112"/>
      <c r="K357" s="129" t="s">
        <v>498</v>
      </c>
    </row>
    <row r="358" spans="1:11" s="13" customFormat="1" ht="18">
      <c r="A358" s="114"/>
      <c r="B358" s="115" t="s">
        <v>2256</v>
      </c>
      <c r="C358" s="115" t="s">
        <v>556</v>
      </c>
      <c r="D358" s="115" t="s">
        <v>555</v>
      </c>
      <c r="E358" s="115" t="s">
        <v>554</v>
      </c>
      <c r="F358" s="115" t="s">
        <v>380</v>
      </c>
      <c r="G358" s="115">
        <v>4</v>
      </c>
      <c r="H358" s="116" t="s">
        <v>379</v>
      </c>
      <c r="I358" s="112"/>
      <c r="J358" s="112"/>
      <c r="K358" s="129" t="s">
        <v>498</v>
      </c>
    </row>
    <row r="359" spans="1:11" s="13" customFormat="1" ht="18">
      <c r="A359" s="18" t="s">
        <v>2257</v>
      </c>
      <c r="B359" s="15" t="s">
        <v>2258</v>
      </c>
      <c r="C359" s="15" t="s">
        <v>2259</v>
      </c>
      <c r="D359" s="15" t="s">
        <v>2260</v>
      </c>
      <c r="E359" s="15" t="s">
        <v>2261</v>
      </c>
      <c r="F359" s="15" t="s">
        <v>380</v>
      </c>
      <c r="G359" s="15">
        <v>4</v>
      </c>
      <c r="H359" s="111" t="s">
        <v>379</v>
      </c>
      <c r="I359" s="112"/>
      <c r="J359" s="112"/>
      <c r="K359" s="129" t="s">
        <v>498</v>
      </c>
    </row>
    <row r="360" spans="1:11" s="13" customFormat="1" ht="18">
      <c r="A360" s="18" t="s">
        <v>497</v>
      </c>
      <c r="B360" s="15" t="s">
        <v>496</v>
      </c>
      <c r="C360" s="15" t="s">
        <v>495</v>
      </c>
      <c r="D360" s="15" t="s">
        <v>494</v>
      </c>
      <c r="E360" s="15" t="s">
        <v>493</v>
      </c>
      <c r="F360" s="15" t="s">
        <v>142</v>
      </c>
      <c r="G360" s="15">
        <v>1</v>
      </c>
      <c r="H360" s="111" t="s">
        <v>141</v>
      </c>
      <c r="I360" s="112"/>
      <c r="J360" s="112"/>
      <c r="K360" s="129" t="s">
        <v>300</v>
      </c>
    </row>
    <row r="361" spans="1:11" s="13" customFormat="1" ht="18">
      <c r="A361" s="117" t="s">
        <v>487</v>
      </c>
      <c r="B361" s="118" t="s">
        <v>486</v>
      </c>
      <c r="C361" s="118" t="s">
        <v>485</v>
      </c>
      <c r="D361" s="118" t="s">
        <v>484</v>
      </c>
      <c r="E361" s="118" t="s">
        <v>483</v>
      </c>
      <c r="F361" s="118" t="s">
        <v>142</v>
      </c>
      <c r="G361" s="118">
        <v>2</v>
      </c>
      <c r="H361" s="119" t="s">
        <v>141</v>
      </c>
      <c r="I361" s="120"/>
      <c r="J361" s="112"/>
      <c r="K361" s="128" t="s">
        <v>300</v>
      </c>
    </row>
    <row r="362" spans="1:11" s="13" customFormat="1" ht="18">
      <c r="A362" s="18" t="s">
        <v>482</v>
      </c>
      <c r="B362" s="15" t="s">
        <v>481</v>
      </c>
      <c r="C362" s="15" t="s">
        <v>480</v>
      </c>
      <c r="D362" s="15" t="s">
        <v>479</v>
      </c>
      <c r="E362" s="15" t="s">
        <v>478</v>
      </c>
      <c r="F362" s="15" t="s">
        <v>142</v>
      </c>
      <c r="G362" s="15">
        <v>2</v>
      </c>
      <c r="H362" s="111" t="s">
        <v>141</v>
      </c>
      <c r="I362" s="112"/>
      <c r="J362" s="112"/>
      <c r="K362" s="129" t="s">
        <v>2315</v>
      </c>
    </row>
    <row r="363" spans="1:11" s="13" customFormat="1" ht="18">
      <c r="A363" s="18" t="s">
        <v>2262</v>
      </c>
      <c r="B363" s="15" t="s">
        <v>2263</v>
      </c>
      <c r="C363" s="15" t="s">
        <v>2264</v>
      </c>
      <c r="D363" s="15" t="s">
        <v>1268</v>
      </c>
      <c r="E363" s="15" t="s">
        <v>326</v>
      </c>
      <c r="F363" s="15" t="s">
        <v>142</v>
      </c>
      <c r="G363" s="15">
        <v>3</v>
      </c>
      <c r="H363" s="111" t="s">
        <v>141</v>
      </c>
      <c r="I363" s="112"/>
      <c r="J363" s="112"/>
      <c r="K363" s="129" t="s">
        <v>2315</v>
      </c>
    </row>
    <row r="364" spans="1:11" s="13" customFormat="1" ht="18">
      <c r="A364" s="18" t="s">
        <v>492</v>
      </c>
      <c r="B364" s="15" t="s">
        <v>491</v>
      </c>
      <c r="C364" s="15" t="s">
        <v>490</v>
      </c>
      <c r="D364" s="15" t="s">
        <v>489</v>
      </c>
      <c r="E364" s="15" t="s">
        <v>488</v>
      </c>
      <c r="F364" s="15" t="s">
        <v>142</v>
      </c>
      <c r="G364" s="15">
        <v>3</v>
      </c>
      <c r="H364" s="111" t="s">
        <v>141</v>
      </c>
      <c r="I364" s="112"/>
      <c r="J364" s="112"/>
      <c r="K364" s="129" t="s">
        <v>2315</v>
      </c>
    </row>
    <row r="365" spans="1:11" s="13" customFormat="1" ht="18">
      <c r="A365" s="18" t="s">
        <v>2374</v>
      </c>
      <c r="B365" s="15" t="s">
        <v>2375</v>
      </c>
      <c r="C365" s="15" t="s">
        <v>2376</v>
      </c>
      <c r="D365" s="15"/>
      <c r="E365" s="15"/>
      <c r="F365" s="15"/>
      <c r="G365" s="15"/>
      <c r="H365" s="111"/>
      <c r="I365" s="112"/>
      <c r="J365" s="112"/>
      <c r="K365" s="129" t="s">
        <v>2315</v>
      </c>
    </row>
    <row r="366" spans="1:11" s="13" customFormat="1" ht="18">
      <c r="A366" s="18" t="s">
        <v>2377</v>
      </c>
      <c r="B366" s="15" t="s">
        <v>2378</v>
      </c>
      <c r="C366" s="15" t="s">
        <v>2379</v>
      </c>
      <c r="D366" s="15"/>
      <c r="E366" s="15"/>
      <c r="F366" s="15"/>
      <c r="G366" s="15"/>
      <c r="H366" s="111"/>
      <c r="I366" s="112"/>
      <c r="J366" s="112"/>
      <c r="K366" s="129" t="s">
        <v>2315</v>
      </c>
    </row>
    <row r="367" spans="1:11" s="13" customFormat="1" ht="18">
      <c r="A367" s="18" t="s">
        <v>477</v>
      </c>
      <c r="B367" s="15" t="s">
        <v>476</v>
      </c>
      <c r="C367" s="15" t="s">
        <v>475</v>
      </c>
      <c r="D367" s="15" t="s">
        <v>474</v>
      </c>
      <c r="E367" s="15" t="s">
        <v>473</v>
      </c>
      <c r="F367" s="15" t="s">
        <v>142</v>
      </c>
      <c r="G367" s="15">
        <v>3</v>
      </c>
      <c r="H367" s="111" t="s">
        <v>141</v>
      </c>
      <c r="I367" s="112"/>
      <c r="J367" s="112"/>
      <c r="K367" s="129" t="s">
        <v>2315</v>
      </c>
    </row>
    <row r="368" spans="1:11" s="13" customFormat="1" ht="18">
      <c r="A368" s="114" t="s">
        <v>472</v>
      </c>
      <c r="B368" s="115" t="s">
        <v>471</v>
      </c>
      <c r="C368" s="115" t="s">
        <v>470</v>
      </c>
      <c r="D368" s="115" t="s">
        <v>469</v>
      </c>
      <c r="E368" s="115" t="s">
        <v>316</v>
      </c>
      <c r="F368" s="115" t="s">
        <v>142</v>
      </c>
      <c r="G368" s="115">
        <v>3</v>
      </c>
      <c r="H368" s="116" t="s">
        <v>141</v>
      </c>
      <c r="I368" s="112"/>
      <c r="J368" s="112"/>
      <c r="K368" s="129" t="s">
        <v>2315</v>
      </c>
    </row>
    <row r="369" spans="1:11" s="13" customFormat="1" ht="18">
      <c r="A369" s="130" t="s">
        <v>468</v>
      </c>
      <c r="B369" s="131" t="s">
        <v>467</v>
      </c>
      <c r="C369" s="131" t="s">
        <v>466</v>
      </c>
      <c r="D369" s="131" t="s">
        <v>465</v>
      </c>
      <c r="E369" s="131" t="s">
        <v>351</v>
      </c>
      <c r="F369" s="131" t="s">
        <v>142</v>
      </c>
      <c r="G369" s="131">
        <v>3</v>
      </c>
      <c r="H369" s="132" t="s">
        <v>141</v>
      </c>
      <c r="I369" s="112"/>
      <c r="J369" s="112"/>
      <c r="K369" s="129" t="s">
        <v>2315</v>
      </c>
    </row>
    <row r="370" spans="1:11" s="13" customFormat="1" ht="18">
      <c r="A370" s="18" t="s">
        <v>464</v>
      </c>
      <c r="B370" s="15" t="s">
        <v>463</v>
      </c>
      <c r="C370" s="15" t="s">
        <v>462</v>
      </c>
      <c r="D370" s="15" t="s">
        <v>461</v>
      </c>
      <c r="E370" s="15" t="s">
        <v>143</v>
      </c>
      <c r="F370" s="15" t="s">
        <v>142</v>
      </c>
      <c r="G370" s="15">
        <v>3</v>
      </c>
      <c r="H370" s="111" t="s">
        <v>141</v>
      </c>
      <c r="I370" s="112" t="s">
        <v>2397</v>
      </c>
      <c r="J370" s="112"/>
      <c r="K370" s="129" t="s">
        <v>2315</v>
      </c>
    </row>
    <row r="371" spans="1:11" s="13" customFormat="1" ht="18">
      <c r="A371" s="18" t="s">
        <v>460</v>
      </c>
      <c r="B371" s="15" t="s">
        <v>459</v>
      </c>
      <c r="C371" s="15" t="s">
        <v>458</v>
      </c>
      <c r="D371" s="15" t="s">
        <v>457</v>
      </c>
      <c r="E371" s="15" t="s">
        <v>456</v>
      </c>
      <c r="F371" s="15" t="s">
        <v>142</v>
      </c>
      <c r="G371" s="15">
        <v>3</v>
      </c>
      <c r="H371" s="111" t="s">
        <v>141</v>
      </c>
      <c r="I371" s="112"/>
      <c r="J371" s="112"/>
      <c r="K371" s="129" t="s">
        <v>2315</v>
      </c>
    </row>
    <row r="372" spans="1:11" s="13" customFormat="1" ht="18">
      <c r="A372" s="18" t="s">
        <v>2380</v>
      </c>
      <c r="B372" s="15" t="s">
        <v>2381</v>
      </c>
      <c r="C372" s="15" t="s">
        <v>2382</v>
      </c>
      <c r="D372" s="15"/>
      <c r="E372" s="15"/>
      <c r="F372" s="15"/>
      <c r="G372" s="15"/>
      <c r="H372" s="111"/>
      <c r="I372" s="112"/>
      <c r="J372" s="112"/>
      <c r="K372" s="129" t="s">
        <v>2315</v>
      </c>
    </row>
    <row r="373" spans="1:11" s="13" customFormat="1" ht="18">
      <c r="A373" s="18" t="s">
        <v>455</v>
      </c>
      <c r="B373" s="15" t="s">
        <v>454</v>
      </c>
      <c r="C373" s="15" t="s">
        <v>453</v>
      </c>
      <c r="D373" s="15" t="s">
        <v>452</v>
      </c>
      <c r="E373" s="15" t="s">
        <v>451</v>
      </c>
      <c r="F373" s="15" t="s">
        <v>142</v>
      </c>
      <c r="G373" s="15">
        <v>3</v>
      </c>
      <c r="H373" s="111" t="s">
        <v>141</v>
      </c>
      <c r="I373" s="112"/>
      <c r="J373" s="112"/>
      <c r="K373" s="129" t="s">
        <v>2315</v>
      </c>
    </row>
    <row r="374" spans="1:11" s="13" customFormat="1" ht="18">
      <c r="A374" s="18" t="s">
        <v>450</v>
      </c>
      <c r="B374" s="15" t="s">
        <v>449</v>
      </c>
      <c r="C374" s="15" t="s">
        <v>448</v>
      </c>
      <c r="D374" s="15" t="s">
        <v>447</v>
      </c>
      <c r="E374" s="15" t="s">
        <v>446</v>
      </c>
      <c r="F374" s="15" t="s">
        <v>142</v>
      </c>
      <c r="G374" s="15">
        <v>2</v>
      </c>
      <c r="H374" s="111" t="s">
        <v>141</v>
      </c>
      <c r="I374" s="112"/>
      <c r="J374" s="112"/>
      <c r="K374" s="129" t="s">
        <v>300</v>
      </c>
    </row>
    <row r="375" spans="1:11" s="13" customFormat="1" ht="18">
      <c r="A375" s="18" t="s">
        <v>373</v>
      </c>
      <c r="B375" s="15" t="s">
        <v>372</v>
      </c>
      <c r="C375" s="15" t="s">
        <v>2265</v>
      </c>
      <c r="D375" s="15" t="s">
        <v>370</v>
      </c>
      <c r="E375" s="15" t="s">
        <v>371</v>
      </c>
      <c r="F375" s="15" t="s">
        <v>142</v>
      </c>
      <c r="G375" s="15">
        <v>3</v>
      </c>
      <c r="H375" s="111" t="s">
        <v>141</v>
      </c>
      <c r="I375" s="112"/>
      <c r="J375" s="112"/>
      <c r="K375" s="129" t="s">
        <v>300</v>
      </c>
    </row>
    <row r="376" spans="1:11" s="13" customFormat="1" ht="18">
      <c r="A376" s="18" t="s">
        <v>445</v>
      </c>
      <c r="B376" s="15" t="s">
        <v>444</v>
      </c>
      <c r="C376" s="15" t="s">
        <v>443</v>
      </c>
      <c r="D376" s="15" t="s">
        <v>442</v>
      </c>
      <c r="E376" s="15" t="s">
        <v>441</v>
      </c>
      <c r="F376" s="15" t="s">
        <v>142</v>
      </c>
      <c r="G376" s="15">
        <v>3</v>
      </c>
      <c r="H376" s="111" t="s">
        <v>141</v>
      </c>
      <c r="I376" s="112"/>
      <c r="J376" s="112"/>
      <c r="K376" s="129" t="s">
        <v>300</v>
      </c>
    </row>
    <row r="377" spans="1:11" s="13" customFormat="1" ht="18">
      <c r="A377" s="18" t="s">
        <v>440</v>
      </c>
      <c r="B377" s="15" t="s">
        <v>439</v>
      </c>
      <c r="C377" s="15" t="s">
        <v>438</v>
      </c>
      <c r="D377" s="15" t="s">
        <v>437</v>
      </c>
      <c r="E377" s="15" t="s">
        <v>436</v>
      </c>
      <c r="F377" s="15" t="s">
        <v>380</v>
      </c>
      <c r="G377" s="15">
        <v>3</v>
      </c>
      <c r="H377" s="111" t="s">
        <v>379</v>
      </c>
      <c r="I377" s="112"/>
      <c r="J377" s="112"/>
      <c r="K377" s="129" t="s">
        <v>300</v>
      </c>
    </row>
    <row r="378" spans="1:11" s="13" customFormat="1" ht="18">
      <c r="A378" s="18" t="s">
        <v>435</v>
      </c>
      <c r="B378" s="15" t="s">
        <v>434</v>
      </c>
      <c r="C378" s="15" t="s">
        <v>433</v>
      </c>
      <c r="D378" s="15" t="s">
        <v>432</v>
      </c>
      <c r="E378" s="15" t="s">
        <v>431</v>
      </c>
      <c r="F378" s="15" t="s">
        <v>142</v>
      </c>
      <c r="G378" s="15">
        <v>3</v>
      </c>
      <c r="H378" s="111" t="s">
        <v>141</v>
      </c>
      <c r="I378" s="112"/>
      <c r="J378" s="112"/>
      <c r="K378" s="129" t="s">
        <v>300</v>
      </c>
    </row>
    <row r="379" spans="1:11" s="13" customFormat="1" ht="18">
      <c r="A379" s="18" t="s">
        <v>430</v>
      </c>
      <c r="B379" s="15" t="s">
        <v>429</v>
      </c>
      <c r="C379" s="15" t="s">
        <v>428</v>
      </c>
      <c r="D379" s="15" t="s">
        <v>427</v>
      </c>
      <c r="E379" s="15" t="s">
        <v>426</v>
      </c>
      <c r="F379" s="15" t="s">
        <v>380</v>
      </c>
      <c r="G379" s="15">
        <v>3</v>
      </c>
      <c r="H379" s="111" t="s">
        <v>379</v>
      </c>
      <c r="I379" s="112"/>
      <c r="J379" s="112"/>
      <c r="K379" s="129" t="s">
        <v>300</v>
      </c>
    </row>
    <row r="380" spans="1:11" s="13" customFormat="1" ht="18">
      <c r="A380" s="18" t="s">
        <v>425</v>
      </c>
      <c r="B380" s="15" t="s">
        <v>424</v>
      </c>
      <c r="C380" s="15" t="s">
        <v>423</v>
      </c>
      <c r="D380" s="15" t="s">
        <v>422</v>
      </c>
      <c r="E380" s="15" t="s">
        <v>421</v>
      </c>
      <c r="F380" s="15" t="s">
        <v>380</v>
      </c>
      <c r="G380" s="15">
        <v>3</v>
      </c>
      <c r="H380" s="111" t="s">
        <v>379</v>
      </c>
      <c r="I380" s="112"/>
      <c r="J380" s="112"/>
      <c r="K380" s="129" t="s">
        <v>300</v>
      </c>
    </row>
    <row r="381" spans="1:11" s="13" customFormat="1" ht="18">
      <c r="A381" s="18" t="s">
        <v>420</v>
      </c>
      <c r="B381" s="15" t="s">
        <v>419</v>
      </c>
      <c r="C381" s="15" t="s">
        <v>418</v>
      </c>
      <c r="D381" s="15" t="s">
        <v>417</v>
      </c>
      <c r="E381" s="15" t="s">
        <v>416</v>
      </c>
      <c r="F381" s="15" t="s">
        <v>142</v>
      </c>
      <c r="G381" s="15">
        <v>3</v>
      </c>
      <c r="H381" s="111" t="s">
        <v>141</v>
      </c>
      <c r="I381" s="112" t="s">
        <v>2397</v>
      </c>
      <c r="J381" s="112"/>
      <c r="K381" s="129" t="s">
        <v>300</v>
      </c>
    </row>
    <row r="382" spans="1:11" s="13" customFormat="1" ht="18">
      <c r="A382" s="18"/>
      <c r="B382" s="15"/>
      <c r="C382" s="15"/>
      <c r="D382" s="15"/>
      <c r="E382" s="15"/>
      <c r="F382" s="15"/>
      <c r="G382" s="15"/>
      <c r="H382" s="111"/>
      <c r="I382" s="112"/>
      <c r="J382" s="112"/>
      <c r="K382" s="129" t="s">
        <v>300</v>
      </c>
    </row>
    <row r="383" spans="1:11" s="13" customFormat="1" ht="18">
      <c r="A383" s="18" t="s">
        <v>415</v>
      </c>
      <c r="B383" s="15" t="s">
        <v>414</v>
      </c>
      <c r="C383" s="15" t="s">
        <v>413</v>
      </c>
      <c r="D383" s="15" t="s">
        <v>412</v>
      </c>
      <c r="E383" s="15" t="s">
        <v>411</v>
      </c>
      <c r="F383" s="15" t="s">
        <v>380</v>
      </c>
      <c r="G383" s="15">
        <v>3</v>
      </c>
      <c r="H383" s="111" t="s">
        <v>379</v>
      </c>
      <c r="I383" s="112"/>
      <c r="J383" s="112"/>
      <c r="K383" s="129" t="s">
        <v>300</v>
      </c>
    </row>
    <row r="384" spans="1:11" s="13" customFormat="1" ht="18">
      <c r="A384" s="18" t="s">
        <v>410</v>
      </c>
      <c r="B384" s="15" t="s">
        <v>409</v>
      </c>
      <c r="C384" s="15" t="s">
        <v>408</v>
      </c>
      <c r="D384" s="15" t="s">
        <v>407</v>
      </c>
      <c r="E384" s="15" t="s">
        <v>406</v>
      </c>
      <c r="F384" s="15" t="s">
        <v>142</v>
      </c>
      <c r="G384" s="15">
        <v>3</v>
      </c>
      <c r="H384" s="111" t="s">
        <v>141</v>
      </c>
      <c r="I384" s="112"/>
      <c r="J384" s="112"/>
      <c r="K384" s="129" t="s">
        <v>300</v>
      </c>
    </row>
    <row r="385" spans="1:11" s="13" customFormat="1" ht="18">
      <c r="A385" s="18" t="s">
        <v>405</v>
      </c>
      <c r="B385" s="15" t="s">
        <v>404</v>
      </c>
      <c r="C385" s="15" t="s">
        <v>403</v>
      </c>
      <c r="D385" s="15" t="s">
        <v>402</v>
      </c>
      <c r="E385" s="15" t="s">
        <v>401</v>
      </c>
      <c r="F385" s="15" t="s">
        <v>142</v>
      </c>
      <c r="G385" s="15">
        <v>3</v>
      </c>
      <c r="H385" s="111" t="s">
        <v>141</v>
      </c>
      <c r="I385" s="112"/>
      <c r="J385" s="112"/>
      <c r="K385" s="129" t="s">
        <v>300</v>
      </c>
    </row>
    <row r="386" spans="1:11" s="13" customFormat="1" ht="18">
      <c r="A386" s="18" t="s">
        <v>400</v>
      </c>
      <c r="B386" s="15" t="s">
        <v>399</v>
      </c>
      <c r="C386" s="15" t="s">
        <v>398</v>
      </c>
      <c r="D386" s="15" t="s">
        <v>397</v>
      </c>
      <c r="E386" s="15" t="s">
        <v>396</v>
      </c>
      <c r="F386" s="15" t="s">
        <v>142</v>
      </c>
      <c r="G386" s="15">
        <v>3</v>
      </c>
      <c r="H386" s="111" t="s">
        <v>141</v>
      </c>
      <c r="I386" s="112"/>
      <c r="J386" s="112"/>
      <c r="K386" s="129" t="s">
        <v>300</v>
      </c>
    </row>
    <row r="387" spans="1:11" s="13" customFormat="1" ht="18">
      <c r="A387" s="18" t="s">
        <v>395</v>
      </c>
      <c r="B387" s="15" t="s">
        <v>394</v>
      </c>
      <c r="C387" s="15" t="s">
        <v>393</v>
      </c>
      <c r="D387" s="15" t="s">
        <v>392</v>
      </c>
      <c r="E387" s="15" t="s">
        <v>391</v>
      </c>
      <c r="F387" s="15" t="s">
        <v>380</v>
      </c>
      <c r="G387" s="15">
        <v>3</v>
      </c>
      <c r="H387" s="111" t="s">
        <v>379</v>
      </c>
      <c r="I387" s="112"/>
      <c r="J387" s="112"/>
      <c r="K387" s="129" t="s">
        <v>300</v>
      </c>
    </row>
    <row r="388" spans="1:11" s="13" customFormat="1" ht="18">
      <c r="A388" s="114" t="s">
        <v>390</v>
      </c>
      <c r="B388" s="115" t="s">
        <v>389</v>
      </c>
      <c r="C388" s="115" t="s">
        <v>388</v>
      </c>
      <c r="D388" s="115" t="s">
        <v>387</v>
      </c>
      <c r="E388" s="115" t="s">
        <v>386</v>
      </c>
      <c r="F388" s="115" t="s">
        <v>142</v>
      </c>
      <c r="G388" s="115">
        <v>3</v>
      </c>
      <c r="H388" s="116" t="s">
        <v>141</v>
      </c>
      <c r="I388" s="112"/>
      <c r="J388" s="112"/>
      <c r="K388" s="129" t="s">
        <v>300</v>
      </c>
    </row>
    <row r="389" spans="1:11" s="13" customFormat="1" ht="18">
      <c r="A389" s="18" t="s">
        <v>385</v>
      </c>
      <c r="B389" s="15" t="s">
        <v>384</v>
      </c>
      <c r="C389" s="15" t="s">
        <v>383</v>
      </c>
      <c r="D389" s="15" t="s">
        <v>382</v>
      </c>
      <c r="E389" s="15" t="s">
        <v>381</v>
      </c>
      <c r="F389" s="15" t="s">
        <v>380</v>
      </c>
      <c r="G389" s="15">
        <v>3</v>
      </c>
      <c r="H389" s="111" t="s">
        <v>379</v>
      </c>
      <c r="I389" s="112"/>
      <c r="J389" s="112"/>
      <c r="K389" s="129" t="s">
        <v>300</v>
      </c>
    </row>
    <row r="390" spans="1:11" s="13" customFormat="1" ht="18">
      <c r="A390" s="18" t="s">
        <v>378</v>
      </c>
      <c r="B390" s="15" t="s">
        <v>377</v>
      </c>
      <c r="C390" s="15" t="s">
        <v>376</v>
      </c>
      <c r="D390" s="15" t="s">
        <v>375</v>
      </c>
      <c r="E390" s="15" t="s">
        <v>374</v>
      </c>
      <c r="F390" s="15" t="s">
        <v>142</v>
      </c>
      <c r="G390" s="15">
        <v>3</v>
      </c>
      <c r="H390" s="111" t="s">
        <v>141</v>
      </c>
      <c r="I390" s="112"/>
      <c r="J390" s="112"/>
      <c r="K390" s="129" t="s">
        <v>300</v>
      </c>
    </row>
    <row r="391" spans="1:11" s="13" customFormat="1" ht="18">
      <c r="A391" s="18" t="s">
        <v>2266</v>
      </c>
      <c r="B391" s="15" t="s">
        <v>2267</v>
      </c>
      <c r="C391" s="15" t="s">
        <v>2268</v>
      </c>
      <c r="D391" s="15" t="s">
        <v>2269</v>
      </c>
      <c r="E391" s="15" t="s">
        <v>2270</v>
      </c>
      <c r="F391" s="15" t="s">
        <v>380</v>
      </c>
      <c r="G391" s="15">
        <v>3</v>
      </c>
      <c r="H391" s="111" t="s">
        <v>379</v>
      </c>
      <c r="I391" s="112"/>
      <c r="J391" s="112"/>
      <c r="K391" s="129" t="s">
        <v>300</v>
      </c>
    </row>
    <row r="392" spans="1:11" s="13" customFormat="1" ht="18">
      <c r="A392" s="18" t="s">
        <v>369</v>
      </c>
      <c r="B392" s="15" t="s">
        <v>368</v>
      </c>
      <c r="C392" s="15" t="s">
        <v>367</v>
      </c>
      <c r="D392" s="15" t="s">
        <v>366</v>
      </c>
      <c r="E392" s="15" t="s">
        <v>365</v>
      </c>
      <c r="F392" s="15" t="s">
        <v>142</v>
      </c>
      <c r="G392" s="15">
        <v>3</v>
      </c>
      <c r="H392" s="111" t="s">
        <v>141</v>
      </c>
      <c r="I392" s="112"/>
      <c r="J392" s="112"/>
      <c r="K392" s="129" t="s">
        <v>300</v>
      </c>
    </row>
    <row r="393" spans="1:11" s="13" customFormat="1" ht="18">
      <c r="A393" s="114" t="s">
        <v>2271</v>
      </c>
      <c r="B393" s="115" t="s">
        <v>364</v>
      </c>
      <c r="C393" s="115" t="s">
        <v>363</v>
      </c>
      <c r="D393" s="115" t="s">
        <v>362</v>
      </c>
      <c r="E393" s="115" t="s">
        <v>361</v>
      </c>
      <c r="F393" s="115" t="s">
        <v>142</v>
      </c>
      <c r="G393" s="115">
        <v>3</v>
      </c>
      <c r="H393" s="116" t="s">
        <v>141</v>
      </c>
      <c r="I393" s="112"/>
      <c r="J393" s="112"/>
      <c r="K393" s="129" t="s">
        <v>300</v>
      </c>
    </row>
    <row r="394" spans="1:11" s="13" customFormat="1" ht="18">
      <c r="A394" s="18" t="s">
        <v>360</v>
      </c>
      <c r="B394" s="15" t="s">
        <v>359</v>
      </c>
      <c r="C394" s="15" t="s">
        <v>358</v>
      </c>
      <c r="D394" s="15" t="s">
        <v>357</v>
      </c>
      <c r="E394" s="15" t="s">
        <v>356</v>
      </c>
      <c r="F394" s="15" t="s">
        <v>142</v>
      </c>
      <c r="G394" s="15">
        <v>3</v>
      </c>
      <c r="H394" s="111" t="s">
        <v>141</v>
      </c>
      <c r="I394" s="112"/>
      <c r="J394" s="112"/>
      <c r="K394" s="129" t="s">
        <v>300</v>
      </c>
    </row>
    <row r="395" spans="1:11" s="13" customFormat="1" ht="18">
      <c r="A395" s="114" t="s">
        <v>355</v>
      </c>
      <c r="B395" s="115" t="s">
        <v>354</v>
      </c>
      <c r="C395" s="115" t="s">
        <v>353</v>
      </c>
      <c r="D395" s="115" t="s">
        <v>352</v>
      </c>
      <c r="E395" s="115" t="s">
        <v>351</v>
      </c>
      <c r="F395" s="115" t="s">
        <v>142</v>
      </c>
      <c r="G395" s="115">
        <v>3</v>
      </c>
      <c r="H395" s="116" t="s">
        <v>141</v>
      </c>
      <c r="I395" s="112"/>
      <c r="J395" s="112"/>
      <c r="K395" s="129" t="s">
        <v>300</v>
      </c>
    </row>
    <row r="396" spans="1:11" s="13" customFormat="1" ht="18">
      <c r="A396" s="117" t="s">
        <v>350</v>
      </c>
      <c r="B396" s="118" t="s">
        <v>349</v>
      </c>
      <c r="C396" s="118" t="s">
        <v>348</v>
      </c>
      <c r="D396" s="118" t="s">
        <v>347</v>
      </c>
      <c r="E396" s="118" t="s">
        <v>346</v>
      </c>
      <c r="F396" s="118" t="s">
        <v>142</v>
      </c>
      <c r="G396" s="118">
        <v>2</v>
      </c>
      <c r="H396" s="119" t="s">
        <v>141</v>
      </c>
      <c r="I396" s="120"/>
      <c r="J396" s="112"/>
      <c r="K396" s="128" t="s">
        <v>300</v>
      </c>
    </row>
    <row r="397" spans="1:11" s="13" customFormat="1" ht="18">
      <c r="A397" s="18" t="s">
        <v>345</v>
      </c>
      <c r="B397" s="15" t="s">
        <v>344</v>
      </c>
      <c r="C397" s="15" t="s">
        <v>343</v>
      </c>
      <c r="D397" s="15" t="s">
        <v>342</v>
      </c>
      <c r="E397" s="15" t="s">
        <v>341</v>
      </c>
      <c r="F397" s="15" t="s">
        <v>142</v>
      </c>
      <c r="G397" s="15">
        <v>2</v>
      </c>
      <c r="H397" s="111" t="s">
        <v>141</v>
      </c>
      <c r="I397" s="112"/>
      <c r="J397" s="112"/>
      <c r="K397" s="129" t="s">
        <v>300</v>
      </c>
    </row>
    <row r="398" spans="1:11" s="13" customFormat="1" ht="18">
      <c r="A398" s="18" t="s">
        <v>340</v>
      </c>
      <c r="B398" s="15" t="s">
        <v>339</v>
      </c>
      <c r="C398" s="15" t="s">
        <v>338</v>
      </c>
      <c r="D398" s="15" t="s">
        <v>337</v>
      </c>
      <c r="E398" s="15" t="s">
        <v>336</v>
      </c>
      <c r="F398" s="15" t="s">
        <v>142</v>
      </c>
      <c r="G398" s="15">
        <v>3</v>
      </c>
      <c r="H398" s="111" t="s">
        <v>141</v>
      </c>
      <c r="I398" s="112"/>
      <c r="J398" s="112"/>
      <c r="K398" s="129" t="s">
        <v>300</v>
      </c>
    </row>
    <row r="399" spans="1:11" s="13" customFormat="1" ht="18">
      <c r="A399" s="18" t="s">
        <v>335</v>
      </c>
      <c r="B399" s="15" t="s">
        <v>334</v>
      </c>
      <c r="C399" s="15" t="s">
        <v>333</v>
      </c>
      <c r="D399" s="15" t="s">
        <v>332</v>
      </c>
      <c r="E399" s="15" t="s">
        <v>331</v>
      </c>
      <c r="F399" s="15" t="s">
        <v>142</v>
      </c>
      <c r="G399" s="15">
        <v>3</v>
      </c>
      <c r="H399" s="111" t="s">
        <v>141</v>
      </c>
      <c r="I399" s="112"/>
      <c r="J399" s="112"/>
      <c r="K399" s="129" t="s">
        <v>300</v>
      </c>
    </row>
    <row r="400" spans="1:11" s="13" customFormat="1" ht="18">
      <c r="A400" s="18" t="s">
        <v>330</v>
      </c>
      <c r="B400" s="15" t="s">
        <v>329</v>
      </c>
      <c r="C400" s="15" t="s">
        <v>328</v>
      </c>
      <c r="D400" s="15" t="s">
        <v>327</v>
      </c>
      <c r="E400" s="15" t="s">
        <v>326</v>
      </c>
      <c r="F400" s="15" t="s">
        <v>142</v>
      </c>
      <c r="G400" s="15">
        <v>3</v>
      </c>
      <c r="H400" s="111" t="s">
        <v>141</v>
      </c>
      <c r="I400" s="112"/>
      <c r="J400" s="112"/>
      <c r="K400" s="129" t="s">
        <v>300</v>
      </c>
    </row>
    <row r="401" spans="1:11" s="13" customFormat="1" ht="18">
      <c r="A401" s="18" t="s">
        <v>2272</v>
      </c>
      <c r="B401" s="15" t="s">
        <v>2273</v>
      </c>
      <c r="C401" s="15" t="s">
        <v>2274</v>
      </c>
      <c r="D401" s="15" t="s">
        <v>2203</v>
      </c>
      <c r="E401" s="15" t="s">
        <v>2275</v>
      </c>
      <c r="F401" s="15" t="s">
        <v>142</v>
      </c>
      <c r="G401" s="15">
        <v>3</v>
      </c>
      <c r="H401" s="111" t="s">
        <v>499</v>
      </c>
      <c r="I401" s="112" t="s">
        <v>2397</v>
      </c>
      <c r="J401" s="112"/>
      <c r="K401" s="129" t="s">
        <v>300</v>
      </c>
    </row>
    <row r="402" spans="1:11" s="13" customFormat="1" ht="18">
      <c r="A402" s="18" t="s">
        <v>325</v>
      </c>
      <c r="B402" s="15" t="s">
        <v>324</v>
      </c>
      <c r="C402" s="15" t="s">
        <v>323</v>
      </c>
      <c r="D402" s="15" t="s">
        <v>322</v>
      </c>
      <c r="E402" s="15" t="s">
        <v>321</v>
      </c>
      <c r="F402" s="15" t="s">
        <v>142</v>
      </c>
      <c r="G402" s="15">
        <v>3</v>
      </c>
      <c r="H402" s="111" t="s">
        <v>141</v>
      </c>
      <c r="I402" s="112"/>
      <c r="J402" s="112"/>
      <c r="K402" s="129" t="s">
        <v>300</v>
      </c>
    </row>
    <row r="403" spans="1:11" s="13" customFormat="1" ht="18">
      <c r="A403" s="18" t="s">
        <v>2383</v>
      </c>
      <c r="B403" s="15" t="s">
        <v>2384</v>
      </c>
      <c r="C403" s="15" t="s">
        <v>2385</v>
      </c>
      <c r="D403" s="15"/>
      <c r="E403" s="15"/>
      <c r="F403" s="15"/>
      <c r="G403" s="15"/>
      <c r="H403" s="111"/>
      <c r="I403" s="112"/>
      <c r="J403" s="112"/>
      <c r="K403" s="129" t="s">
        <v>300</v>
      </c>
    </row>
    <row r="404" spans="1:11" s="13" customFormat="1" ht="18">
      <c r="A404" s="18" t="s">
        <v>2386</v>
      </c>
      <c r="B404" s="15" t="s">
        <v>2387</v>
      </c>
      <c r="C404" s="15" t="s">
        <v>2388</v>
      </c>
      <c r="D404" s="15"/>
      <c r="E404" s="15"/>
      <c r="F404" s="15"/>
      <c r="G404" s="15"/>
      <c r="H404" s="111"/>
      <c r="I404" s="112"/>
      <c r="J404" s="112"/>
      <c r="K404" s="129" t="s">
        <v>300</v>
      </c>
    </row>
    <row r="405" spans="1:11" s="13" customFormat="1" ht="18">
      <c r="A405" s="114" t="s">
        <v>2389</v>
      </c>
      <c r="B405" s="115" t="s">
        <v>2390</v>
      </c>
      <c r="C405" s="115" t="s">
        <v>2391</v>
      </c>
      <c r="D405" s="115"/>
      <c r="E405" s="115"/>
      <c r="F405" s="115"/>
      <c r="G405" s="115"/>
      <c r="H405" s="116"/>
      <c r="I405" s="112"/>
      <c r="J405" s="112"/>
      <c r="K405" s="129" t="s">
        <v>300</v>
      </c>
    </row>
    <row r="406" spans="1:11" s="13" customFormat="1" ht="18">
      <c r="A406" s="114" t="s">
        <v>320</v>
      </c>
      <c r="B406" s="115" t="s">
        <v>319</v>
      </c>
      <c r="C406" s="115" t="s">
        <v>318</v>
      </c>
      <c r="D406" s="115" t="s">
        <v>317</v>
      </c>
      <c r="E406" s="115" t="s">
        <v>316</v>
      </c>
      <c r="F406" s="115" t="s">
        <v>142</v>
      </c>
      <c r="G406" s="115">
        <v>3</v>
      </c>
      <c r="H406" s="116" t="s">
        <v>141</v>
      </c>
      <c r="I406" s="112"/>
      <c r="J406" s="112"/>
      <c r="K406" s="129" t="s">
        <v>300</v>
      </c>
    </row>
    <row r="407" spans="1:11" s="13" customFormat="1" ht="18">
      <c r="A407" s="114" t="s">
        <v>315</v>
      </c>
      <c r="B407" s="115" t="s">
        <v>314</v>
      </c>
      <c r="C407" s="115" t="s">
        <v>313</v>
      </c>
      <c r="D407" s="115" t="s">
        <v>312</v>
      </c>
      <c r="E407" s="115" t="s">
        <v>311</v>
      </c>
      <c r="F407" s="115" t="s">
        <v>142</v>
      </c>
      <c r="G407" s="115">
        <v>3</v>
      </c>
      <c r="H407" s="116" t="s">
        <v>141</v>
      </c>
      <c r="I407" s="112"/>
      <c r="J407" s="112"/>
      <c r="K407" s="129" t="s">
        <v>300</v>
      </c>
    </row>
    <row r="408" spans="1:11">
      <c r="A408" s="117" t="s">
        <v>310</v>
      </c>
      <c r="B408" s="118" t="s">
        <v>309</v>
      </c>
      <c r="C408" s="118" t="s">
        <v>308</v>
      </c>
      <c r="D408" s="118" t="s">
        <v>307</v>
      </c>
      <c r="E408" s="118" t="s">
        <v>306</v>
      </c>
      <c r="F408" s="118" t="s">
        <v>142</v>
      </c>
      <c r="G408" s="118">
        <v>3</v>
      </c>
      <c r="H408" s="119" t="s">
        <v>141</v>
      </c>
      <c r="I408" s="120"/>
      <c r="J408" s="112"/>
      <c r="K408" s="128" t="s">
        <v>300</v>
      </c>
    </row>
    <row r="409" spans="1:11">
      <c r="A409" s="18" t="s">
        <v>2276</v>
      </c>
      <c r="B409" s="15" t="s">
        <v>2277</v>
      </c>
      <c r="C409" s="15" t="s">
        <v>2278</v>
      </c>
      <c r="D409" s="15" t="s">
        <v>2203</v>
      </c>
      <c r="E409" s="15" t="s">
        <v>2279</v>
      </c>
      <c r="F409" s="15" t="s">
        <v>142</v>
      </c>
      <c r="G409" s="15">
        <v>3</v>
      </c>
      <c r="H409" s="111" t="s">
        <v>499</v>
      </c>
      <c r="I409" s="112" t="s">
        <v>2397</v>
      </c>
      <c r="J409" s="112"/>
      <c r="K409" s="129" t="s">
        <v>300</v>
      </c>
    </row>
    <row r="410" spans="1:11">
      <c r="A410" s="18" t="s">
        <v>305</v>
      </c>
      <c r="B410" s="15" t="s">
        <v>304</v>
      </c>
      <c r="C410" s="15" t="s">
        <v>303</v>
      </c>
      <c r="D410" s="15" t="s">
        <v>302</v>
      </c>
      <c r="E410" s="15" t="s">
        <v>301</v>
      </c>
      <c r="F410" s="15" t="s">
        <v>142</v>
      </c>
      <c r="G410" s="15">
        <v>3</v>
      </c>
      <c r="H410" s="111" t="s">
        <v>141</v>
      </c>
      <c r="I410" s="112"/>
      <c r="J410" s="112"/>
      <c r="K410" s="129" t="s">
        <v>300</v>
      </c>
    </row>
    <row r="411" spans="1:11">
      <c r="A411" s="18" t="s">
        <v>2280</v>
      </c>
      <c r="B411" s="15" t="s">
        <v>2281</v>
      </c>
      <c r="C411" s="15" t="s">
        <v>2282</v>
      </c>
      <c r="D411" s="15" t="s">
        <v>2283</v>
      </c>
      <c r="E411" s="15" t="s">
        <v>2284</v>
      </c>
      <c r="F411" s="15" t="s">
        <v>142</v>
      </c>
      <c r="G411" s="15">
        <v>1</v>
      </c>
      <c r="H411" s="111" t="s">
        <v>499</v>
      </c>
      <c r="I411" s="112" t="s">
        <v>2397</v>
      </c>
      <c r="J411" s="112"/>
      <c r="K411" s="129" t="s">
        <v>300</v>
      </c>
    </row>
    <row r="412" spans="1:11">
      <c r="A412" s="18" t="s">
        <v>299</v>
      </c>
      <c r="B412" s="15" t="s">
        <v>298</v>
      </c>
      <c r="C412" s="15" t="s">
        <v>297</v>
      </c>
      <c r="D412" s="15" t="s">
        <v>296</v>
      </c>
      <c r="E412" s="15" t="s">
        <v>295</v>
      </c>
      <c r="F412" s="15" t="s">
        <v>142</v>
      </c>
      <c r="G412" s="15">
        <v>1</v>
      </c>
      <c r="H412" s="111" t="s">
        <v>141</v>
      </c>
      <c r="I412" s="112"/>
      <c r="J412" s="112"/>
      <c r="K412" s="129" t="s">
        <v>2396</v>
      </c>
    </row>
    <row r="413" spans="1:11">
      <c r="A413" s="18" t="s">
        <v>80</v>
      </c>
      <c r="B413" s="15" t="s">
        <v>1683</v>
      </c>
      <c r="C413" s="15" t="s">
        <v>1682</v>
      </c>
      <c r="D413" s="15" t="s">
        <v>1681</v>
      </c>
      <c r="E413" s="15" t="s">
        <v>1680</v>
      </c>
      <c r="F413" s="15" t="s">
        <v>142</v>
      </c>
      <c r="G413" s="15">
        <v>2</v>
      </c>
      <c r="H413" s="111" t="s">
        <v>141</v>
      </c>
      <c r="I413" s="112"/>
      <c r="J413" s="112"/>
      <c r="K413" s="129" t="s">
        <v>300</v>
      </c>
    </row>
    <row r="414" spans="1:11">
      <c r="A414" s="18" t="s">
        <v>1674</v>
      </c>
      <c r="B414" s="15" t="s">
        <v>1673</v>
      </c>
      <c r="C414" s="15" t="s">
        <v>1672</v>
      </c>
      <c r="D414" s="15" t="s">
        <v>1115</v>
      </c>
      <c r="E414" s="15" t="s">
        <v>1671</v>
      </c>
      <c r="F414" s="15" t="s">
        <v>142</v>
      </c>
      <c r="G414" s="15">
        <v>3</v>
      </c>
      <c r="H414" s="111" t="s">
        <v>141</v>
      </c>
      <c r="I414" s="112"/>
      <c r="J414" s="112"/>
      <c r="K414" s="129" t="s">
        <v>300</v>
      </c>
    </row>
    <row r="415" spans="1:11">
      <c r="A415" s="18" t="s">
        <v>1670</v>
      </c>
      <c r="B415" s="15" t="s">
        <v>1669</v>
      </c>
      <c r="C415" s="15" t="s">
        <v>1668</v>
      </c>
      <c r="D415" s="15" t="s">
        <v>1667</v>
      </c>
      <c r="E415" s="15" t="s">
        <v>1666</v>
      </c>
      <c r="F415" s="15" t="s">
        <v>142</v>
      </c>
      <c r="G415" s="15">
        <v>3</v>
      </c>
      <c r="H415" s="111" t="s">
        <v>141</v>
      </c>
      <c r="I415" s="112"/>
      <c r="J415" s="112"/>
      <c r="K415" s="129" t="s">
        <v>300</v>
      </c>
    </row>
    <row r="416" spans="1:11">
      <c r="A416" s="18" t="s">
        <v>119</v>
      </c>
      <c r="B416" s="15" t="s">
        <v>1665</v>
      </c>
      <c r="C416" s="15" t="s">
        <v>1664</v>
      </c>
      <c r="D416" s="15" t="s">
        <v>1663</v>
      </c>
      <c r="E416" s="15" t="s">
        <v>1662</v>
      </c>
      <c r="F416" s="15" t="s">
        <v>142</v>
      </c>
      <c r="G416" s="15">
        <v>3</v>
      </c>
      <c r="H416" s="111" t="s">
        <v>141</v>
      </c>
      <c r="I416" s="112"/>
      <c r="J416" s="112"/>
      <c r="K416" s="129" t="s">
        <v>300</v>
      </c>
    </row>
    <row r="417" spans="1:11">
      <c r="A417" s="18" t="s">
        <v>1661</v>
      </c>
      <c r="B417" s="15" t="s">
        <v>1660</v>
      </c>
      <c r="C417" s="15" t="s">
        <v>1659</v>
      </c>
      <c r="D417" s="15" t="s">
        <v>1658</v>
      </c>
      <c r="E417" s="15" t="s">
        <v>1657</v>
      </c>
      <c r="F417" s="15" t="s">
        <v>380</v>
      </c>
      <c r="G417" s="15">
        <v>3</v>
      </c>
      <c r="H417" s="111" t="s">
        <v>379</v>
      </c>
      <c r="I417" s="112"/>
      <c r="J417" s="112"/>
      <c r="K417" s="129" t="s">
        <v>300</v>
      </c>
    </row>
    <row r="418" spans="1:11">
      <c r="A418" s="18" t="s">
        <v>1656</v>
      </c>
      <c r="B418" s="15" t="s">
        <v>1655</v>
      </c>
      <c r="C418" s="15" t="s">
        <v>1654</v>
      </c>
      <c r="D418" s="15" t="s">
        <v>1653</v>
      </c>
      <c r="E418" s="15" t="s">
        <v>1652</v>
      </c>
      <c r="F418" s="15" t="s">
        <v>142</v>
      </c>
      <c r="G418" s="15">
        <v>3</v>
      </c>
      <c r="H418" s="111" t="s">
        <v>141</v>
      </c>
      <c r="I418" s="112"/>
      <c r="J418" s="112"/>
      <c r="K418" s="129" t="s">
        <v>300</v>
      </c>
    </row>
    <row r="419" spans="1:11">
      <c r="A419" s="18" t="s">
        <v>1651</v>
      </c>
      <c r="B419" s="15" t="s">
        <v>1650</v>
      </c>
      <c r="C419" s="15" t="s">
        <v>1649</v>
      </c>
      <c r="D419" s="15" t="s">
        <v>1115</v>
      </c>
      <c r="E419" s="15" t="s">
        <v>1648</v>
      </c>
      <c r="F419" s="15" t="s">
        <v>142</v>
      </c>
      <c r="G419" s="15">
        <v>3</v>
      </c>
      <c r="H419" s="111" t="s">
        <v>141</v>
      </c>
      <c r="I419" s="112"/>
      <c r="J419" s="112"/>
      <c r="K419" s="129" t="s">
        <v>300</v>
      </c>
    </row>
    <row r="420" spans="1:11">
      <c r="A420" s="18" t="s">
        <v>1647</v>
      </c>
      <c r="B420" s="15" t="s">
        <v>1646</v>
      </c>
      <c r="C420" s="15" t="s">
        <v>1645</v>
      </c>
      <c r="D420" s="15" t="s">
        <v>1644</v>
      </c>
      <c r="E420" s="15" t="s">
        <v>1643</v>
      </c>
      <c r="F420" s="15" t="s">
        <v>142</v>
      </c>
      <c r="G420" s="15">
        <v>3</v>
      </c>
      <c r="H420" s="111" t="s">
        <v>141</v>
      </c>
      <c r="I420" s="112"/>
      <c r="J420" s="112"/>
      <c r="K420" s="129" t="s">
        <v>300</v>
      </c>
    </row>
    <row r="421" spans="1:11">
      <c r="A421" s="18" t="s">
        <v>2285</v>
      </c>
      <c r="B421" s="15" t="s">
        <v>2286</v>
      </c>
      <c r="C421" s="15" t="s">
        <v>2287</v>
      </c>
      <c r="D421" s="15" t="s">
        <v>2288</v>
      </c>
      <c r="E421" s="15" t="s">
        <v>2289</v>
      </c>
      <c r="F421" s="15" t="s">
        <v>380</v>
      </c>
      <c r="G421" s="15">
        <v>2</v>
      </c>
      <c r="H421" s="111" t="s">
        <v>379</v>
      </c>
      <c r="I421" s="112" t="s">
        <v>2397</v>
      </c>
      <c r="J421" s="112"/>
      <c r="K421" s="129" t="s">
        <v>300</v>
      </c>
    </row>
    <row r="422" spans="1:11">
      <c r="A422" s="18" t="s">
        <v>1679</v>
      </c>
      <c r="B422" s="15" t="s">
        <v>1678</v>
      </c>
      <c r="C422" s="15" t="s">
        <v>1677</v>
      </c>
      <c r="D422" s="15" t="s">
        <v>1676</v>
      </c>
      <c r="E422" s="15" t="s">
        <v>1675</v>
      </c>
      <c r="F422" s="15" t="s">
        <v>142</v>
      </c>
      <c r="G422" s="15">
        <v>2</v>
      </c>
      <c r="H422" s="111" t="s">
        <v>141</v>
      </c>
      <c r="I422" s="112" t="s">
        <v>2397</v>
      </c>
      <c r="J422" s="112"/>
      <c r="K422" s="129" t="s">
        <v>300</v>
      </c>
    </row>
    <row r="423" spans="1:11">
      <c r="A423" s="18" t="s">
        <v>2290</v>
      </c>
      <c r="B423" s="15" t="s">
        <v>2291</v>
      </c>
      <c r="C423" s="15" t="s">
        <v>2292</v>
      </c>
      <c r="D423" s="15" t="s">
        <v>2293</v>
      </c>
      <c r="E423" s="15" t="s">
        <v>2294</v>
      </c>
      <c r="F423" s="15" t="s">
        <v>380</v>
      </c>
      <c r="G423" s="15">
        <v>2</v>
      </c>
      <c r="H423" s="111" t="s">
        <v>379</v>
      </c>
      <c r="I423" s="112" t="s">
        <v>2397</v>
      </c>
      <c r="J423" s="112"/>
      <c r="K423" s="129" t="s">
        <v>300</v>
      </c>
    </row>
    <row r="424" spans="1:11">
      <c r="A424" s="114" t="s">
        <v>294</v>
      </c>
      <c r="B424" s="115" t="s">
        <v>293</v>
      </c>
      <c r="C424" s="115" t="s">
        <v>292</v>
      </c>
      <c r="D424" s="115" t="s">
        <v>291</v>
      </c>
      <c r="E424" s="115" t="s">
        <v>290</v>
      </c>
      <c r="F424" s="115" t="s">
        <v>142</v>
      </c>
      <c r="G424" s="115">
        <v>2</v>
      </c>
      <c r="H424" s="116" t="s">
        <v>141</v>
      </c>
      <c r="I424" s="112"/>
      <c r="J424" s="112"/>
      <c r="K424" s="129" t="s">
        <v>2396</v>
      </c>
    </row>
    <row r="425" spans="1:11">
      <c r="A425" s="18" t="s">
        <v>289</v>
      </c>
      <c r="B425" s="15" t="s">
        <v>288</v>
      </c>
      <c r="C425" s="15" t="s">
        <v>287</v>
      </c>
      <c r="D425" s="15" t="s">
        <v>286</v>
      </c>
      <c r="E425" s="15" t="s">
        <v>285</v>
      </c>
      <c r="F425" s="15" t="s">
        <v>142</v>
      </c>
      <c r="G425" s="15">
        <v>2</v>
      </c>
      <c r="H425" s="111" t="s">
        <v>141</v>
      </c>
      <c r="I425" s="112"/>
      <c r="J425" s="112"/>
      <c r="K425" s="129" t="s">
        <v>2396</v>
      </c>
    </row>
    <row r="426" spans="1:11">
      <c r="A426" s="18" t="s">
        <v>284</v>
      </c>
      <c r="B426" s="15" t="s">
        <v>283</v>
      </c>
      <c r="C426" s="15" t="s">
        <v>282</v>
      </c>
      <c r="D426" s="15" t="s">
        <v>281</v>
      </c>
      <c r="E426" s="15" t="s">
        <v>280</v>
      </c>
      <c r="F426" s="15" t="s">
        <v>142</v>
      </c>
      <c r="G426" s="15">
        <v>3</v>
      </c>
      <c r="H426" s="111" t="s">
        <v>141</v>
      </c>
      <c r="I426" s="112"/>
      <c r="J426" s="112"/>
      <c r="K426" s="129" t="s">
        <v>2396</v>
      </c>
    </row>
    <row r="427" spans="1:11">
      <c r="A427" s="18" t="s">
        <v>279</v>
      </c>
      <c r="B427" s="15" t="s">
        <v>278</v>
      </c>
      <c r="C427" s="15" t="s">
        <v>277</v>
      </c>
      <c r="D427" s="15" t="s">
        <v>276</v>
      </c>
      <c r="E427" s="15" t="s">
        <v>275</v>
      </c>
      <c r="F427" s="15" t="s">
        <v>142</v>
      </c>
      <c r="G427" s="15">
        <v>3</v>
      </c>
      <c r="H427" s="111" t="s">
        <v>141</v>
      </c>
      <c r="I427" s="112"/>
      <c r="J427" s="112"/>
      <c r="K427" s="129" t="s">
        <v>2396</v>
      </c>
    </row>
    <row r="428" spans="1:11">
      <c r="A428" s="18" t="s">
        <v>274</v>
      </c>
      <c r="B428" s="15" t="s">
        <v>273</v>
      </c>
      <c r="C428" s="15" t="s">
        <v>272</v>
      </c>
      <c r="D428" s="15" t="s">
        <v>271</v>
      </c>
      <c r="E428" s="15" t="s">
        <v>270</v>
      </c>
      <c r="F428" s="15" t="s">
        <v>142</v>
      </c>
      <c r="G428" s="15">
        <v>3</v>
      </c>
      <c r="H428" s="111" t="s">
        <v>141</v>
      </c>
      <c r="I428" s="112"/>
      <c r="J428" s="112"/>
      <c r="K428" s="129" t="s">
        <v>2396</v>
      </c>
    </row>
    <row r="429" spans="1:11">
      <c r="A429" s="18" t="s">
        <v>269</v>
      </c>
      <c r="B429" s="15" t="s">
        <v>268</v>
      </c>
      <c r="C429" s="15" t="s">
        <v>267</v>
      </c>
      <c r="D429" s="15" t="s">
        <v>266</v>
      </c>
      <c r="E429" s="15" t="s">
        <v>265</v>
      </c>
      <c r="F429" s="15" t="s">
        <v>142</v>
      </c>
      <c r="G429" s="15">
        <v>3</v>
      </c>
      <c r="H429" s="111" t="s">
        <v>141</v>
      </c>
      <c r="I429" s="112"/>
      <c r="J429" s="112"/>
      <c r="K429" s="129" t="s">
        <v>2396</v>
      </c>
    </row>
    <row r="430" spans="1:11">
      <c r="A430" s="18" t="s">
        <v>264</v>
      </c>
      <c r="B430" s="15" t="s">
        <v>263</v>
      </c>
      <c r="C430" s="15" t="s">
        <v>262</v>
      </c>
      <c r="D430" s="15" t="s">
        <v>261</v>
      </c>
      <c r="E430" s="15" t="s">
        <v>260</v>
      </c>
      <c r="F430" s="15" t="s">
        <v>142</v>
      </c>
      <c r="G430" s="15">
        <v>3</v>
      </c>
      <c r="H430" s="111" t="s">
        <v>141</v>
      </c>
      <c r="I430" s="112"/>
      <c r="J430" s="112"/>
      <c r="K430" s="129" t="s">
        <v>2396</v>
      </c>
    </row>
    <row r="431" spans="1:11">
      <c r="A431" s="18" t="s">
        <v>259</v>
      </c>
      <c r="B431" s="15" t="s">
        <v>258</v>
      </c>
      <c r="C431" s="15" t="s">
        <v>257</v>
      </c>
      <c r="D431" s="15" t="s">
        <v>256</v>
      </c>
      <c r="E431" s="15" t="s">
        <v>255</v>
      </c>
      <c r="F431" s="15" t="s">
        <v>142</v>
      </c>
      <c r="G431" s="15">
        <v>3</v>
      </c>
      <c r="H431" s="111" t="s">
        <v>141</v>
      </c>
      <c r="I431" s="112"/>
      <c r="J431" s="112"/>
      <c r="K431" s="129" t="s">
        <v>2396</v>
      </c>
    </row>
    <row r="432" spans="1:11">
      <c r="A432" s="18" t="s">
        <v>254</v>
      </c>
      <c r="B432" s="15" t="s">
        <v>253</v>
      </c>
      <c r="C432" s="15" t="s">
        <v>252</v>
      </c>
      <c r="D432" s="15" t="s">
        <v>251</v>
      </c>
      <c r="E432" s="15" t="s">
        <v>250</v>
      </c>
      <c r="F432" s="15" t="s">
        <v>142</v>
      </c>
      <c r="G432" s="15">
        <v>3</v>
      </c>
      <c r="H432" s="111" t="s">
        <v>141</v>
      </c>
      <c r="I432" s="112"/>
      <c r="J432" s="112"/>
      <c r="K432" s="129" t="s">
        <v>2396</v>
      </c>
    </row>
    <row r="433" spans="1:11">
      <c r="A433" s="117" t="s">
        <v>249</v>
      </c>
      <c r="B433" s="118" t="s">
        <v>248</v>
      </c>
      <c r="C433" s="118" t="s">
        <v>247</v>
      </c>
      <c r="D433" s="118" t="s">
        <v>246</v>
      </c>
      <c r="E433" s="118" t="s">
        <v>245</v>
      </c>
      <c r="F433" s="118" t="s">
        <v>142</v>
      </c>
      <c r="G433" s="118">
        <v>3</v>
      </c>
      <c r="H433" s="119" t="s">
        <v>141</v>
      </c>
      <c r="I433" s="120"/>
      <c r="J433" s="112"/>
      <c r="K433" s="128" t="s">
        <v>2396</v>
      </c>
    </row>
    <row r="434" spans="1:11">
      <c r="A434" s="18" t="s">
        <v>244</v>
      </c>
      <c r="B434" s="15" t="s">
        <v>243</v>
      </c>
      <c r="C434" s="15" t="s">
        <v>242</v>
      </c>
      <c r="D434" s="15" t="s">
        <v>241</v>
      </c>
      <c r="E434" s="15" t="s">
        <v>240</v>
      </c>
      <c r="F434" s="15" t="s">
        <v>142</v>
      </c>
      <c r="G434" s="15">
        <v>3</v>
      </c>
      <c r="H434" s="111" t="s">
        <v>141</v>
      </c>
      <c r="I434" s="112"/>
      <c r="J434" s="112"/>
      <c r="K434" s="129" t="s">
        <v>2396</v>
      </c>
    </row>
    <row r="435" spans="1:11">
      <c r="A435" s="18" t="s">
        <v>239</v>
      </c>
      <c r="B435" s="15" t="s">
        <v>238</v>
      </c>
      <c r="C435" s="15" t="s">
        <v>237</v>
      </c>
      <c r="D435" s="15" t="s">
        <v>236</v>
      </c>
      <c r="E435" s="15" t="s">
        <v>235</v>
      </c>
      <c r="F435" s="15" t="s">
        <v>142</v>
      </c>
      <c r="G435" s="15">
        <v>3</v>
      </c>
      <c r="H435" s="111" t="s">
        <v>141</v>
      </c>
      <c r="I435" s="112"/>
      <c r="J435" s="112"/>
      <c r="K435" s="129" t="s">
        <v>2396</v>
      </c>
    </row>
    <row r="436" spans="1:11">
      <c r="A436" s="114" t="s">
        <v>234</v>
      </c>
      <c r="B436" s="115" t="s">
        <v>233</v>
      </c>
      <c r="C436" s="115" t="s">
        <v>232</v>
      </c>
      <c r="D436" s="115" t="s">
        <v>231</v>
      </c>
      <c r="E436" s="115" t="s">
        <v>230</v>
      </c>
      <c r="F436" s="115" t="s">
        <v>142</v>
      </c>
      <c r="G436" s="115">
        <v>3</v>
      </c>
      <c r="H436" s="116" t="s">
        <v>141</v>
      </c>
      <c r="I436" s="112"/>
      <c r="J436" s="112"/>
      <c r="K436" s="129" t="s">
        <v>2396</v>
      </c>
    </row>
    <row r="437" spans="1:11">
      <c r="A437" s="114" t="s">
        <v>229</v>
      </c>
      <c r="B437" s="115" t="s">
        <v>228</v>
      </c>
      <c r="C437" s="115" t="s">
        <v>227</v>
      </c>
      <c r="D437" s="115" t="s">
        <v>226</v>
      </c>
      <c r="E437" s="115" t="s">
        <v>225</v>
      </c>
      <c r="F437" s="115" t="s">
        <v>142</v>
      </c>
      <c r="G437" s="115">
        <v>2</v>
      </c>
      <c r="H437" s="116" t="s">
        <v>141</v>
      </c>
      <c r="I437" s="112"/>
      <c r="J437" s="112"/>
      <c r="K437" s="129" t="s">
        <v>2396</v>
      </c>
    </row>
    <row r="438" spans="1:11">
      <c r="A438" s="18" t="s">
        <v>224</v>
      </c>
      <c r="B438" s="15" t="s">
        <v>223</v>
      </c>
      <c r="C438" s="15" t="s">
        <v>222</v>
      </c>
      <c r="D438" s="15" t="s">
        <v>221</v>
      </c>
      <c r="E438" s="15" t="s">
        <v>220</v>
      </c>
      <c r="F438" s="15" t="s">
        <v>142</v>
      </c>
      <c r="G438" s="15">
        <v>2</v>
      </c>
      <c r="H438" s="111" t="s">
        <v>141</v>
      </c>
      <c r="I438" s="112"/>
      <c r="J438" s="112"/>
      <c r="K438" s="129" t="s">
        <v>2396</v>
      </c>
    </row>
    <row r="439" spans="1:11">
      <c r="A439" s="18" t="s">
        <v>105</v>
      </c>
      <c r="B439" s="15" t="s">
        <v>219</v>
      </c>
      <c r="C439" s="15" t="s">
        <v>218</v>
      </c>
      <c r="D439" s="15" t="s">
        <v>217</v>
      </c>
      <c r="E439" s="15" t="s">
        <v>216</v>
      </c>
      <c r="F439" s="15" t="s">
        <v>142</v>
      </c>
      <c r="G439" s="15">
        <v>3</v>
      </c>
      <c r="H439" s="111" t="s">
        <v>141</v>
      </c>
      <c r="I439" s="112"/>
      <c r="J439" s="112"/>
      <c r="K439" s="129" t="s">
        <v>2396</v>
      </c>
    </row>
    <row r="440" spans="1:11">
      <c r="A440" s="18" t="s">
        <v>2295</v>
      </c>
      <c r="B440" s="15" t="s">
        <v>2296</v>
      </c>
      <c r="C440" s="15" t="s">
        <v>2297</v>
      </c>
      <c r="D440" s="15" t="s">
        <v>2298</v>
      </c>
      <c r="E440" s="15" t="s">
        <v>2299</v>
      </c>
      <c r="F440" s="15" t="s">
        <v>142</v>
      </c>
      <c r="G440" s="15">
        <v>3</v>
      </c>
      <c r="H440" s="111" t="s">
        <v>141</v>
      </c>
      <c r="I440" s="112" t="s">
        <v>2397</v>
      </c>
      <c r="J440" s="112"/>
      <c r="K440" s="129" t="s">
        <v>2396</v>
      </c>
    </row>
    <row r="441" spans="1:11">
      <c r="A441" s="18" t="s">
        <v>215</v>
      </c>
      <c r="B441" s="15" t="s">
        <v>214</v>
      </c>
      <c r="C441" s="15" t="s">
        <v>213</v>
      </c>
      <c r="D441" s="15" t="s">
        <v>212</v>
      </c>
      <c r="E441" s="15" t="s">
        <v>211</v>
      </c>
      <c r="F441" s="15" t="s">
        <v>142</v>
      </c>
      <c r="G441" s="15">
        <v>3</v>
      </c>
      <c r="H441" s="111" t="s">
        <v>141</v>
      </c>
      <c r="I441" s="112"/>
      <c r="J441" s="112"/>
      <c r="K441" s="129" t="s">
        <v>2396</v>
      </c>
    </row>
    <row r="442" spans="1:11" ht="15.75" thickBot="1">
      <c r="A442" s="17" t="s">
        <v>112</v>
      </c>
      <c r="B442" s="16" t="s">
        <v>210</v>
      </c>
      <c r="C442" s="16" t="s">
        <v>209</v>
      </c>
      <c r="D442" s="16" t="s">
        <v>208</v>
      </c>
      <c r="E442" s="16" t="s">
        <v>207</v>
      </c>
      <c r="F442" s="16" t="s">
        <v>142</v>
      </c>
      <c r="G442" s="16">
        <v>3</v>
      </c>
      <c r="H442" s="133" t="s">
        <v>141</v>
      </c>
      <c r="I442" s="112"/>
      <c r="J442" s="112"/>
      <c r="K442" s="129" t="s">
        <v>2396</v>
      </c>
    </row>
    <row r="443" spans="1:11" ht="18">
      <c r="A443" s="134" t="s">
        <v>121</v>
      </c>
      <c r="B443" s="135" t="s">
        <v>206</v>
      </c>
      <c r="C443" s="136" t="s">
        <v>205</v>
      </c>
      <c r="D443" s="11" t="s">
        <v>204</v>
      </c>
      <c r="E443" s="11" t="s">
        <v>203</v>
      </c>
      <c r="F443" s="11" t="s">
        <v>142</v>
      </c>
      <c r="G443" s="137">
        <v>3</v>
      </c>
      <c r="H443" s="11" t="s">
        <v>141</v>
      </c>
      <c r="I443" s="112"/>
      <c r="J443" s="112"/>
      <c r="K443" s="129" t="s">
        <v>2396</v>
      </c>
    </row>
    <row r="444" spans="1:11" ht="18">
      <c r="A444" s="134" t="s">
        <v>202</v>
      </c>
      <c r="B444" s="135" t="s">
        <v>201</v>
      </c>
      <c r="C444" s="136" t="s">
        <v>200</v>
      </c>
      <c r="D444" s="11" t="s">
        <v>199</v>
      </c>
      <c r="E444" s="11" t="s">
        <v>198</v>
      </c>
      <c r="F444" s="11" t="s">
        <v>142</v>
      </c>
      <c r="G444" s="137">
        <v>3</v>
      </c>
      <c r="H444" s="11" t="s">
        <v>141</v>
      </c>
      <c r="I444" s="112"/>
      <c r="J444" s="112"/>
      <c r="K444" s="129" t="s">
        <v>2396</v>
      </c>
    </row>
    <row r="445" spans="1:11" ht="18">
      <c r="A445" s="134" t="s">
        <v>197</v>
      </c>
      <c r="B445" s="135" t="s">
        <v>196</v>
      </c>
      <c r="C445" s="136" t="s">
        <v>195</v>
      </c>
      <c r="D445" s="11" t="s">
        <v>194</v>
      </c>
      <c r="E445" s="11" t="s">
        <v>193</v>
      </c>
      <c r="F445" s="11" t="s">
        <v>142</v>
      </c>
      <c r="G445" s="137">
        <v>3</v>
      </c>
      <c r="H445" s="11" t="s">
        <v>141</v>
      </c>
      <c r="I445" s="112"/>
      <c r="J445" s="112"/>
      <c r="K445" s="129" t="s">
        <v>2396</v>
      </c>
    </row>
    <row r="446" spans="1:11" ht="18">
      <c r="A446" s="134" t="s">
        <v>192</v>
      </c>
      <c r="B446" s="135" t="s">
        <v>191</v>
      </c>
      <c r="C446" s="136" t="s">
        <v>190</v>
      </c>
      <c r="D446" s="11" t="s">
        <v>189</v>
      </c>
      <c r="E446" s="11" t="s">
        <v>188</v>
      </c>
      <c r="F446" s="11" t="s">
        <v>142</v>
      </c>
      <c r="G446" s="137">
        <v>3</v>
      </c>
      <c r="H446" s="14" t="s">
        <v>141</v>
      </c>
      <c r="I446" s="112"/>
      <c r="J446" s="112"/>
      <c r="K446" s="129" t="s">
        <v>2396</v>
      </c>
    </row>
    <row r="447" spans="1:11" ht="18">
      <c r="A447" s="134" t="s">
        <v>187</v>
      </c>
      <c r="B447" s="135" t="s">
        <v>186</v>
      </c>
      <c r="C447" s="136" t="s">
        <v>185</v>
      </c>
      <c r="D447" s="11" t="s">
        <v>184</v>
      </c>
      <c r="E447" s="11" t="s">
        <v>183</v>
      </c>
      <c r="F447" s="11" t="s">
        <v>142</v>
      </c>
      <c r="G447" s="137">
        <v>3</v>
      </c>
      <c r="H447" s="14" t="s">
        <v>141</v>
      </c>
      <c r="I447" s="112"/>
      <c r="J447" s="112"/>
      <c r="K447" s="129" t="s">
        <v>2396</v>
      </c>
    </row>
    <row r="448" spans="1:11" ht="18">
      <c r="A448" s="134" t="s">
        <v>182</v>
      </c>
      <c r="B448" s="135" t="s">
        <v>181</v>
      </c>
      <c r="C448" s="136" t="s">
        <v>180</v>
      </c>
      <c r="D448" s="11" t="s">
        <v>179</v>
      </c>
      <c r="E448" s="11" t="s">
        <v>178</v>
      </c>
      <c r="F448" s="11" t="s">
        <v>142</v>
      </c>
      <c r="G448" s="137">
        <v>2</v>
      </c>
      <c r="H448" s="14" t="s">
        <v>141</v>
      </c>
      <c r="I448" s="112"/>
      <c r="J448" s="112"/>
      <c r="K448" s="129" t="s">
        <v>2396</v>
      </c>
    </row>
    <row r="449" spans="1:11" ht="18">
      <c r="A449" s="134" t="s">
        <v>177</v>
      </c>
      <c r="B449" s="135" t="s">
        <v>176</v>
      </c>
      <c r="C449" s="136" t="s">
        <v>175</v>
      </c>
      <c r="D449" s="11" t="s">
        <v>174</v>
      </c>
      <c r="E449" s="11" t="s">
        <v>173</v>
      </c>
      <c r="F449" s="11" t="s">
        <v>142</v>
      </c>
      <c r="G449" s="137">
        <v>1</v>
      </c>
      <c r="H449" s="11" t="s">
        <v>141</v>
      </c>
      <c r="I449" s="112"/>
      <c r="J449" s="112"/>
      <c r="K449" s="129" t="s">
        <v>2396</v>
      </c>
    </row>
    <row r="450" spans="1:11" ht="18">
      <c r="A450" s="134" t="s">
        <v>172</v>
      </c>
      <c r="B450" s="135" t="s">
        <v>171</v>
      </c>
      <c r="C450" s="136" t="s">
        <v>170</v>
      </c>
      <c r="D450" s="11" t="s">
        <v>169</v>
      </c>
      <c r="E450" s="11" t="s">
        <v>168</v>
      </c>
      <c r="F450" s="11" t="s">
        <v>142</v>
      </c>
      <c r="G450" s="137">
        <v>2</v>
      </c>
      <c r="H450" s="11" t="s">
        <v>141</v>
      </c>
      <c r="I450" s="112"/>
      <c r="J450" s="112"/>
      <c r="K450" s="129" t="s">
        <v>2396</v>
      </c>
    </row>
    <row r="451" spans="1:11" ht="18">
      <c r="A451" s="134" t="s">
        <v>167</v>
      </c>
      <c r="B451" s="135" t="s">
        <v>166</v>
      </c>
      <c r="C451" s="136" t="s">
        <v>165</v>
      </c>
      <c r="D451" s="11" t="s">
        <v>164</v>
      </c>
      <c r="E451" s="11" t="s">
        <v>163</v>
      </c>
      <c r="F451" s="11" t="s">
        <v>142</v>
      </c>
      <c r="G451" s="137">
        <v>2</v>
      </c>
      <c r="H451" s="11" t="s">
        <v>141</v>
      </c>
      <c r="I451" s="112"/>
      <c r="J451" s="112"/>
      <c r="K451" s="129" t="s">
        <v>2396</v>
      </c>
    </row>
    <row r="452" spans="1:11" ht="18">
      <c r="A452" s="134" t="s">
        <v>2040</v>
      </c>
      <c r="B452" s="135" t="s">
        <v>2300</v>
      </c>
      <c r="C452" s="136" t="s">
        <v>2301</v>
      </c>
      <c r="D452" s="11" t="s">
        <v>2302</v>
      </c>
      <c r="E452" s="11" t="s">
        <v>2303</v>
      </c>
      <c r="F452" s="11" t="s">
        <v>142</v>
      </c>
      <c r="G452" s="137">
        <v>3</v>
      </c>
      <c r="H452" s="11" t="s">
        <v>141</v>
      </c>
      <c r="I452" s="112" t="s">
        <v>2397</v>
      </c>
      <c r="J452" s="112"/>
      <c r="K452" s="129" t="s">
        <v>2396</v>
      </c>
    </row>
    <row r="453" spans="1:11" ht="18">
      <c r="A453" s="134" t="s">
        <v>2039</v>
      </c>
      <c r="B453" s="135" t="s">
        <v>2304</v>
      </c>
      <c r="C453" s="136" t="s">
        <v>2305</v>
      </c>
      <c r="D453" s="11" t="s">
        <v>2306</v>
      </c>
      <c r="E453" s="11" t="s">
        <v>2307</v>
      </c>
      <c r="F453" s="11" t="s">
        <v>142</v>
      </c>
      <c r="G453" s="137">
        <v>3</v>
      </c>
      <c r="H453" s="11" t="s">
        <v>141</v>
      </c>
      <c r="I453" s="112" t="s">
        <v>2397</v>
      </c>
      <c r="J453" s="112"/>
      <c r="K453" s="129" t="s">
        <v>2396</v>
      </c>
    </row>
    <row r="454" spans="1:11" ht="18">
      <c r="A454" s="134" t="s">
        <v>118</v>
      </c>
      <c r="B454" s="135" t="s">
        <v>822</v>
      </c>
      <c r="C454" s="136" t="s">
        <v>821</v>
      </c>
      <c r="D454" s="11" t="s">
        <v>806</v>
      </c>
      <c r="E454" s="11" t="s">
        <v>820</v>
      </c>
      <c r="F454" s="11" t="s">
        <v>142</v>
      </c>
      <c r="G454" s="137">
        <v>3</v>
      </c>
      <c r="H454" s="11" t="s">
        <v>141</v>
      </c>
      <c r="I454" s="112"/>
      <c r="J454" s="112"/>
      <c r="K454" s="129" t="s">
        <v>498</v>
      </c>
    </row>
    <row r="455" spans="1:11" ht="18">
      <c r="A455" s="134" t="s">
        <v>162</v>
      </c>
      <c r="B455" s="135" t="s">
        <v>161</v>
      </c>
      <c r="C455" s="136" t="s">
        <v>160</v>
      </c>
      <c r="D455" s="11" t="s">
        <v>159</v>
      </c>
      <c r="E455" s="11" t="s">
        <v>158</v>
      </c>
      <c r="F455" s="11" t="s">
        <v>142</v>
      </c>
      <c r="G455" s="137">
        <v>3</v>
      </c>
      <c r="H455" s="11" t="s">
        <v>141</v>
      </c>
      <c r="I455" s="112"/>
      <c r="J455" s="112"/>
      <c r="K455" s="129" t="s">
        <v>2396</v>
      </c>
    </row>
    <row r="456" spans="1:11" ht="18">
      <c r="A456" s="134" t="s">
        <v>157</v>
      </c>
      <c r="B456" s="135" t="s">
        <v>156</v>
      </c>
      <c r="C456" s="136" t="s">
        <v>155</v>
      </c>
      <c r="D456" s="11" t="s">
        <v>154</v>
      </c>
      <c r="E456" s="11" t="s">
        <v>153</v>
      </c>
      <c r="F456" s="11" t="s">
        <v>142</v>
      </c>
      <c r="G456" s="137">
        <v>3</v>
      </c>
      <c r="H456" s="11" t="s">
        <v>141</v>
      </c>
      <c r="I456" s="112"/>
      <c r="J456" s="112"/>
      <c r="K456" s="129" t="s">
        <v>2396</v>
      </c>
    </row>
    <row r="457" spans="1:11">
      <c r="A457" s="12" t="s">
        <v>152</v>
      </c>
      <c r="B457" s="12" t="s">
        <v>151</v>
      </c>
      <c r="C457" s="12" t="s">
        <v>150</v>
      </c>
      <c r="D457" s="12" t="s">
        <v>149</v>
      </c>
      <c r="E457" s="12" t="s">
        <v>148</v>
      </c>
      <c r="F457" s="12" t="s">
        <v>142</v>
      </c>
      <c r="G457" s="12">
        <v>3</v>
      </c>
      <c r="H457" s="12" t="s">
        <v>141</v>
      </c>
      <c r="I457" s="112"/>
      <c r="J457" s="112"/>
      <c r="K457" s="138" t="s">
        <v>2396</v>
      </c>
    </row>
    <row r="458" spans="1:11">
      <c r="A458" s="12" t="s">
        <v>147</v>
      </c>
      <c r="B458" s="12" t="s">
        <v>146</v>
      </c>
      <c r="C458" s="12" t="s">
        <v>145</v>
      </c>
      <c r="D458" s="12" t="s">
        <v>144</v>
      </c>
      <c r="E458" s="12" t="s">
        <v>143</v>
      </c>
      <c r="F458" s="12" t="s">
        <v>142</v>
      </c>
      <c r="G458" s="12">
        <v>3</v>
      </c>
      <c r="H458" s="12" t="s">
        <v>141</v>
      </c>
      <c r="I458" s="112"/>
      <c r="J458" s="112"/>
      <c r="K458" s="138" t="s">
        <v>2396</v>
      </c>
    </row>
    <row r="459" spans="1:11">
      <c r="A459" s="12" t="s">
        <v>140</v>
      </c>
      <c r="C459" s="12" t="s">
        <v>2401</v>
      </c>
      <c r="G459" s="12" t="s">
        <v>300</v>
      </c>
      <c r="I459" s="112" t="s">
        <v>2397</v>
      </c>
      <c r="J459" s="112"/>
      <c r="K459" s="138" t="s">
        <v>300</v>
      </c>
    </row>
    <row r="460" spans="1:11">
      <c r="A460" s="12" t="s">
        <v>139</v>
      </c>
      <c r="C460" s="12" t="s">
        <v>2401</v>
      </c>
      <c r="G460" s="12" t="s">
        <v>300</v>
      </c>
      <c r="I460" s="12" t="s">
        <v>2397</v>
      </c>
      <c r="K460" s="12" t="s">
        <v>300</v>
      </c>
    </row>
    <row r="461" spans="1:11">
      <c r="A461" s="12" t="s">
        <v>138</v>
      </c>
      <c r="C461" s="12" t="s">
        <v>2401</v>
      </c>
      <c r="G461" s="12" t="s">
        <v>300</v>
      </c>
      <c r="I461" s="12" t="s">
        <v>2397</v>
      </c>
      <c r="K461" s="12" t="s">
        <v>300</v>
      </c>
    </row>
    <row r="462" spans="1:11">
      <c r="A462" s="12" t="s">
        <v>137</v>
      </c>
      <c r="C462" s="12" t="s">
        <v>2402</v>
      </c>
      <c r="G462" s="12" t="s">
        <v>498</v>
      </c>
      <c r="H462" s="12" t="s">
        <v>2403</v>
      </c>
      <c r="I462" s="12" t="s">
        <v>2397</v>
      </c>
      <c r="K462" s="12" t="s">
        <v>498</v>
      </c>
    </row>
    <row r="463" spans="1:11">
      <c r="A463" s="12" t="s">
        <v>136</v>
      </c>
      <c r="C463" s="12" t="s">
        <v>2402</v>
      </c>
      <c r="G463" s="12" t="s">
        <v>498</v>
      </c>
      <c r="H463" s="12" t="s">
        <v>2404</v>
      </c>
      <c r="I463" s="12" t="s">
        <v>2397</v>
      </c>
      <c r="K463" s="12" t="s">
        <v>498</v>
      </c>
    </row>
    <row r="464" spans="1:11">
      <c r="A464" s="12" t="s">
        <v>135</v>
      </c>
      <c r="C464" s="12" t="s">
        <v>2402</v>
      </c>
      <c r="G464" s="12" t="s">
        <v>498</v>
      </c>
      <c r="H464" s="12" t="s">
        <v>2404</v>
      </c>
      <c r="I464" s="12" t="s">
        <v>2397</v>
      </c>
      <c r="K464" s="12" t="s">
        <v>498</v>
      </c>
    </row>
    <row r="465" spans="1:11">
      <c r="A465" s="12" t="s">
        <v>134</v>
      </c>
      <c r="C465" s="12" t="s">
        <v>2401</v>
      </c>
      <c r="G465" s="12" t="s">
        <v>300</v>
      </c>
      <c r="I465" s="12" t="s">
        <v>2397</v>
      </c>
      <c r="K465" s="12" t="s">
        <v>300</v>
      </c>
    </row>
    <row r="466" spans="1:11">
      <c r="A466" s="12" t="s">
        <v>133</v>
      </c>
      <c r="C466" s="12" t="s">
        <v>2401</v>
      </c>
      <c r="G466" s="12" t="s">
        <v>300</v>
      </c>
      <c r="I466" s="12" t="s">
        <v>2397</v>
      </c>
      <c r="K466" s="12" t="s">
        <v>300</v>
      </c>
    </row>
    <row r="467" spans="1:11">
      <c r="A467" s="12" t="s">
        <v>132</v>
      </c>
      <c r="C467" s="12" t="s">
        <v>2401</v>
      </c>
      <c r="G467" s="12" t="s">
        <v>300</v>
      </c>
      <c r="I467" s="12" t="s">
        <v>2397</v>
      </c>
      <c r="K467" s="12" t="s">
        <v>300</v>
      </c>
    </row>
    <row r="468" spans="1:11">
      <c r="A468" s="12" t="s">
        <v>131</v>
      </c>
      <c r="C468" s="12" t="s">
        <v>2401</v>
      </c>
      <c r="G468" s="12" t="s">
        <v>300</v>
      </c>
      <c r="I468" s="12" t="s">
        <v>2397</v>
      </c>
      <c r="K468" s="12" t="s">
        <v>300</v>
      </c>
    </row>
    <row r="469" spans="1:11">
      <c r="A469" s="12" t="s">
        <v>130</v>
      </c>
      <c r="C469" s="12" t="s">
        <v>2401</v>
      </c>
      <c r="G469" s="12" t="s">
        <v>300</v>
      </c>
      <c r="I469" s="12" t="s">
        <v>2397</v>
      </c>
      <c r="K469" s="12" t="s">
        <v>300</v>
      </c>
    </row>
    <row r="470" spans="1:11">
      <c r="A470" s="12" t="s">
        <v>129</v>
      </c>
      <c r="C470" s="12" t="s">
        <v>2401</v>
      </c>
      <c r="G470" s="12" t="s">
        <v>300</v>
      </c>
      <c r="I470" s="12" t="s">
        <v>2397</v>
      </c>
      <c r="K470" s="12" t="s">
        <v>300</v>
      </c>
    </row>
    <row r="471" spans="1:11">
      <c r="A471" s="12" t="s">
        <v>128</v>
      </c>
      <c r="C471" s="12" t="s">
        <v>2401</v>
      </c>
      <c r="G471" s="12" t="s">
        <v>300</v>
      </c>
      <c r="I471" s="12" t="s">
        <v>2397</v>
      </c>
      <c r="K471" s="12" t="s">
        <v>300</v>
      </c>
    </row>
    <row r="472" spans="1:11">
      <c r="A472" s="12" t="s">
        <v>127</v>
      </c>
      <c r="C472" s="12" t="s">
        <v>2401</v>
      </c>
      <c r="G472" s="12" t="s">
        <v>300</v>
      </c>
      <c r="I472" s="12" t="s">
        <v>2397</v>
      </c>
      <c r="K472" s="12" t="s">
        <v>300</v>
      </c>
    </row>
    <row r="473" spans="1:11">
      <c r="A473" s="12" t="s">
        <v>126</v>
      </c>
      <c r="C473" s="12" t="s">
        <v>2405</v>
      </c>
      <c r="I473" s="12" t="s">
        <v>2397</v>
      </c>
      <c r="K473" s="12" t="s">
        <v>2406</v>
      </c>
    </row>
    <row r="474" spans="1:11">
      <c r="A474" s="12" t="s">
        <v>125</v>
      </c>
      <c r="C474" s="12" t="s">
        <v>2405</v>
      </c>
      <c r="I474" s="12" t="s">
        <v>2397</v>
      </c>
      <c r="K474" s="12" t="s">
        <v>2406</v>
      </c>
    </row>
    <row r="475" spans="1:11">
      <c r="A475" s="12" t="s">
        <v>124</v>
      </c>
      <c r="C475" s="12" t="s">
        <v>2405</v>
      </c>
      <c r="I475" s="12" t="s">
        <v>2397</v>
      </c>
      <c r="K475" s="12" t="s">
        <v>2406</v>
      </c>
    </row>
  </sheetData>
  <autoFilter ref="A2:J421"/>
  <phoneticPr fontId="5" type="noConversion"/>
  <conditionalFormatting sqref="G64:G75 G77:G111 G115:G119 G123:G124 G126:G131 G133:G148 G151:G153 G155:G156 G158:G165 G182:G207 G209:G251 G258:G266 G269:G272 G274:G280 G282:G283 G292:G314 G338:G346 G348:G357 G359:G367 G370:G387 G394 G396:G404 G408:G423 G457:G1048576 G425:G435 G438:G442 G389:G392 G1:G61">
    <cfRule type="cellIs" dxfId="20" priority="2" operator="lessThan">
      <formula>3</formula>
    </cfRule>
  </conditionalFormatting>
  <conditionalFormatting sqref="A1:A1048576">
    <cfRule type="duplicateValues" dxfId="19" priority="1"/>
  </conditionalFormatting>
  <pageMargins left="0.75" right="0.75" top="1" bottom="1" header="0.5" footer="0.5"/>
  <pageSetup paperSize="9" orientation="portrait" r:id="rId1"/>
  <drawing r:id="rId2"/>
  <legacyDrawing r:id="rId3"/>
  <controls>
    <mc:AlternateContent xmlns:mc="http://schemas.openxmlformats.org/markup-compatibility/2006">
      <mc:Choice Requires="x14">
        <control shapeId="4097" r:id="rId4" name="Control 1">
          <controlPr defaultSize="0" r:id="rId5">
            <anchor moveWithCells="1">
              <from>
                <xdr:col>0</xdr:col>
                <xdr:colOff>0</xdr:colOff>
                <xdr:row>0</xdr:row>
                <xdr:rowOff>0</xdr:rowOff>
              </from>
              <to>
                <xdr:col>0</xdr:col>
                <xdr:colOff>914400</xdr:colOff>
                <xdr:row>1</xdr:row>
                <xdr:rowOff>0</xdr:rowOff>
              </to>
            </anchor>
          </controlPr>
        </control>
      </mc:Choice>
      <mc:Fallback>
        <control shapeId="4097" r:id="rId4" name="Control 1"/>
      </mc:Fallback>
    </mc:AlternateContent>
  </control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C8"/>
  <sheetViews>
    <sheetView topLeftCell="A2" workbookViewId="0">
      <selection activeCell="C13" sqref="C13"/>
    </sheetView>
  </sheetViews>
  <sheetFormatPr defaultRowHeight="15"/>
  <cols>
    <col min="1" max="1" width="11" customWidth="1"/>
    <col min="2" max="2" width="36.7109375" customWidth="1"/>
    <col min="3" max="3" width="90.5703125" customWidth="1"/>
  </cols>
  <sheetData>
    <row r="1" spans="1:3">
      <c r="A1" s="64" t="s">
        <v>2047</v>
      </c>
      <c r="B1" s="64" t="s">
        <v>2052</v>
      </c>
      <c r="C1" s="64" t="s">
        <v>2048</v>
      </c>
    </row>
    <row r="2" spans="1:3">
      <c r="A2" s="65">
        <v>42451</v>
      </c>
      <c r="B2" s="41" t="s">
        <v>2049</v>
      </c>
      <c r="C2" s="41" t="s">
        <v>2050</v>
      </c>
    </row>
    <row r="3" spans="1:3">
      <c r="A3" s="65">
        <v>42452</v>
      </c>
      <c r="B3" s="41" t="s">
        <v>2051</v>
      </c>
      <c r="C3" s="41" t="s">
        <v>2053</v>
      </c>
    </row>
    <row r="4" spans="1:3" ht="60">
      <c r="A4" s="65">
        <v>42457</v>
      </c>
      <c r="B4" s="5" t="s">
        <v>2071</v>
      </c>
      <c r="C4" s="5" t="s">
        <v>2054</v>
      </c>
    </row>
    <row r="5" spans="1:3" ht="135">
      <c r="A5" s="65">
        <v>42458</v>
      </c>
      <c r="B5" s="5" t="s">
        <v>2086</v>
      </c>
      <c r="C5" s="5" t="s">
        <v>2087</v>
      </c>
    </row>
    <row r="6" spans="1:3" ht="30">
      <c r="A6" s="65">
        <v>42467</v>
      </c>
      <c r="B6" s="5" t="s">
        <v>2308</v>
      </c>
      <c r="C6" s="5" t="s">
        <v>2309</v>
      </c>
    </row>
    <row r="7" spans="1:3" ht="165">
      <c r="A7" s="65">
        <v>42471</v>
      </c>
      <c r="B7" s="5" t="s">
        <v>2328</v>
      </c>
      <c r="C7" s="5" t="s">
        <v>2329</v>
      </c>
    </row>
    <row r="8" spans="1:3" ht="45">
      <c r="A8" s="65">
        <v>42471</v>
      </c>
      <c r="B8" s="5" t="s">
        <v>2330</v>
      </c>
      <c r="C8" s="5" t="s">
        <v>2331</v>
      </c>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AC881"/>
  <sheetViews>
    <sheetView workbookViewId="0">
      <selection activeCell="S7" sqref="S7"/>
    </sheetView>
  </sheetViews>
  <sheetFormatPr defaultRowHeight="15"/>
  <cols>
    <col min="1" max="1" width="27.7109375" customWidth="1"/>
    <col min="3" max="3" width="9.140625" style="26"/>
    <col min="5" max="5" width="9.140625" style="26"/>
    <col min="8" max="8" width="32.28515625" customWidth="1"/>
    <col min="9" max="9" width="15.5703125" customWidth="1"/>
    <col min="10" max="10" width="17.42578125" customWidth="1"/>
    <col min="11" max="11" width="11.42578125" customWidth="1"/>
    <col min="12" max="12" width="15.28515625" customWidth="1"/>
    <col min="13" max="13" width="4.5703125" customWidth="1"/>
    <col min="14" max="14" width="11.85546875" customWidth="1"/>
    <col min="15" max="17" width="12.28515625" customWidth="1"/>
    <col min="18" max="18" width="30.42578125" bestFit="1" customWidth="1"/>
    <col min="19" max="23" width="10" customWidth="1"/>
    <col min="24" max="24" width="30.42578125" customWidth="1"/>
    <col min="25" max="25" width="17.42578125" customWidth="1"/>
    <col min="26" max="26" width="11.42578125" customWidth="1"/>
    <col min="27" max="27" width="15.28515625" customWidth="1"/>
    <col min="28" max="28" width="11.85546875" customWidth="1"/>
    <col min="29" max="29" width="12.28515625" customWidth="1"/>
    <col min="30" max="30" width="4.5703125" customWidth="1"/>
    <col min="31" max="31" width="12.28515625" customWidth="1"/>
    <col min="32" max="32" width="24.42578125" bestFit="1" customWidth="1"/>
    <col min="33" max="33" width="20" bestFit="1" customWidth="1"/>
    <col min="34" max="34" width="12.28515625" bestFit="1" customWidth="1"/>
  </cols>
  <sheetData>
    <row r="2" spans="1:29">
      <c r="H2" s="31" t="s">
        <v>2072</v>
      </c>
      <c r="I2" t="s">
        <v>2085</v>
      </c>
      <c r="X2" s="31" t="s">
        <v>2015</v>
      </c>
      <c r="Y2" t="s">
        <v>1144</v>
      </c>
    </row>
    <row r="3" spans="1:29">
      <c r="H3" s="31" t="s">
        <v>2015</v>
      </c>
      <c r="I3" t="s">
        <v>1144</v>
      </c>
      <c r="X3" s="31" t="s">
        <v>2075</v>
      </c>
      <c r="Y3" t="s">
        <v>2075</v>
      </c>
    </row>
    <row r="5" spans="1:29">
      <c r="H5" s="31" t="s">
        <v>2016</v>
      </c>
      <c r="J5" s="31" t="s">
        <v>1903</v>
      </c>
      <c r="X5" s="31" t="s">
        <v>2076</v>
      </c>
      <c r="Y5" s="31" t="s">
        <v>1903</v>
      </c>
    </row>
    <row r="6" spans="1:29" ht="45">
      <c r="A6" s="66" t="s">
        <v>2073</v>
      </c>
      <c r="B6" s="66" t="s">
        <v>2059</v>
      </c>
      <c r="C6" s="42" t="s">
        <v>2081</v>
      </c>
      <c r="D6" s="66"/>
      <c r="E6" s="42" t="s">
        <v>2082</v>
      </c>
      <c r="F6" s="87" t="s">
        <v>2084</v>
      </c>
      <c r="H6" s="31" t="s">
        <v>1901</v>
      </c>
      <c r="I6" s="31" t="s">
        <v>2017</v>
      </c>
      <c r="J6" t="s">
        <v>1144</v>
      </c>
      <c r="K6" t="s">
        <v>838</v>
      </c>
      <c r="L6" t="s">
        <v>2068</v>
      </c>
      <c r="M6" t="s">
        <v>498</v>
      </c>
      <c r="N6" t="s">
        <v>2315</v>
      </c>
      <c r="O6" t="s">
        <v>1902</v>
      </c>
      <c r="R6" s="80" t="s">
        <v>2073</v>
      </c>
      <c r="S6" s="82" t="s">
        <v>2061</v>
      </c>
      <c r="U6" s="82" t="s">
        <v>2064</v>
      </c>
      <c r="V6" s="26"/>
      <c r="W6" s="87" t="s">
        <v>2083</v>
      </c>
      <c r="X6" s="31" t="s">
        <v>1901</v>
      </c>
      <c r="Y6" t="s">
        <v>1144</v>
      </c>
      <c r="Z6" t="s">
        <v>838</v>
      </c>
      <c r="AA6" t="s">
        <v>2068</v>
      </c>
      <c r="AB6" t="s">
        <v>2315</v>
      </c>
      <c r="AC6" t="s">
        <v>1902</v>
      </c>
    </row>
    <row r="7" spans="1:29">
      <c r="A7" s="72" t="s">
        <v>72</v>
      </c>
      <c r="B7" s="77">
        <f>VLOOKUP($A7, 'BJ-byM'!$B:$P, COLUMN(), 0)</f>
        <v>7</v>
      </c>
      <c r="C7" s="26">
        <f t="shared" ref="C7" si="0">COUNTIFS($H:$H, $A7,J:J, "&gt;0")</f>
        <v>0</v>
      </c>
      <c r="D7" s="77">
        <f>VLOOKUP($A7, 'BJ-byM'!$B:$P, COLUMN()+1, 0)</f>
        <v>0</v>
      </c>
      <c r="E7" s="26">
        <f t="shared" ref="E7" si="1">COUNTIFS($H:$H, $A7,K:K, "&gt;0")</f>
        <v>0</v>
      </c>
      <c r="F7" s="73" t="str">
        <f>_xlfn.IFNA(IF(AND(B7=C7,D7=E7),"=","not ="), "")</f>
        <v>not =</v>
      </c>
      <c r="H7" s="71" t="s">
        <v>32</v>
      </c>
      <c r="I7" s="71">
        <v>95493</v>
      </c>
      <c r="J7" s="7"/>
      <c r="K7" s="7">
        <v>1</v>
      </c>
      <c r="L7" s="7"/>
      <c r="M7" s="7"/>
      <c r="N7" s="7"/>
      <c r="O7" s="7">
        <v>1</v>
      </c>
      <c r="Q7" s="7"/>
      <c r="R7" s="73" t="s">
        <v>72</v>
      </c>
      <c r="S7" s="77">
        <f>VLOOKUP($R7, 'BJ-byM'!$B:$P, COLUMN()-15, 0)</f>
        <v>0</v>
      </c>
      <c r="T7" s="26" t="e">
        <f>VLOOKUP(R7,X:Z, 2, 0)</f>
        <v>#N/A</v>
      </c>
      <c r="U7" s="77">
        <f>VLOOKUP($R7, 'BJ-byM'!$B:$P, COLUMN()-14, 0)</f>
        <v>0</v>
      </c>
      <c r="V7" s="26" t="e">
        <f>VLOOKUP(R7,X:Z, 3, 0)</f>
        <v>#N/A</v>
      </c>
      <c r="W7" s="73" t="str">
        <f>_xlfn.IFNA(IF(AND(S7=T7,U7=V7),"=","not ="), "")</f>
        <v/>
      </c>
      <c r="X7" s="71" t="s">
        <v>32</v>
      </c>
      <c r="Y7" s="7"/>
      <c r="Z7" s="7">
        <v>1</v>
      </c>
      <c r="AA7" s="7"/>
      <c r="AB7" s="7"/>
      <c r="AC7" s="7">
        <v>1</v>
      </c>
    </row>
    <row r="8" spans="1:29">
      <c r="A8" s="72" t="s">
        <v>32</v>
      </c>
      <c r="B8" s="77">
        <f>VLOOKUP($A8, 'BJ-byM'!$B:$P, COLUMN(), 0)</f>
        <v>63</v>
      </c>
      <c r="C8" s="26">
        <f t="shared" ref="C8:C23" si="2">COUNTIFS($H:$H, $A8,J:J, "&gt;0")</f>
        <v>1</v>
      </c>
      <c r="D8" s="77">
        <f>VLOOKUP($A8, 'BJ-byM'!$B:$P, COLUMN()+1, 0)</f>
        <v>16</v>
      </c>
      <c r="E8" s="26">
        <f t="shared" ref="E8:E23" si="3">COUNTIFS($H:$H, $A8,K:K, "&gt;0")</f>
        <v>16</v>
      </c>
      <c r="F8" s="73" t="str">
        <f t="shared" ref="F8:F23" si="4">IF(AND(B8=C8,D8=E8),"=","not =")</f>
        <v>not =</v>
      </c>
      <c r="H8" s="71" t="s">
        <v>32</v>
      </c>
      <c r="I8" s="71">
        <v>96189</v>
      </c>
      <c r="J8" s="7"/>
      <c r="K8" s="7">
        <v>1</v>
      </c>
      <c r="L8" s="7"/>
      <c r="M8" s="7"/>
      <c r="N8" s="7"/>
      <c r="O8" s="7">
        <v>1</v>
      </c>
      <c r="Q8" s="7"/>
      <c r="R8" s="73" t="s">
        <v>2070</v>
      </c>
      <c r="S8" s="77">
        <f>VLOOKUP($R8, 'BJ-byM'!$B:$P, COLUMN()-15, 0)</f>
        <v>10</v>
      </c>
      <c r="T8" s="26">
        <f t="shared" ref="T8:T38" si="5">VLOOKUP(R8,X:Z, 2, 0)</f>
        <v>0</v>
      </c>
      <c r="U8" s="77">
        <f>VLOOKUP($R8, 'BJ-byM'!$B:$P, COLUMN()-14, 0)</f>
        <v>2</v>
      </c>
      <c r="V8" s="26">
        <f t="shared" ref="V8:V38" si="6">VLOOKUP(R8,X:Z, 3, 0)</f>
        <v>1</v>
      </c>
      <c r="W8" s="73" t="str">
        <f t="shared" ref="W8:W38" si="7">_xlfn.IFNA(IF(AND(S8=T8,U8=V8),"=","not ="), "")</f>
        <v>not =</v>
      </c>
      <c r="X8" s="71" t="s">
        <v>54</v>
      </c>
      <c r="Y8" s="7"/>
      <c r="Z8" s="7">
        <v>2</v>
      </c>
      <c r="AA8" s="7"/>
      <c r="AB8" s="7"/>
      <c r="AC8" s="7">
        <v>2</v>
      </c>
    </row>
    <row r="9" spans="1:29">
      <c r="A9" s="72" t="s">
        <v>52</v>
      </c>
      <c r="B9" s="77">
        <f>VLOOKUP($A9, 'BJ-byM'!$B:$P, COLUMN(), 0)</f>
        <v>0</v>
      </c>
      <c r="C9" s="26">
        <f t="shared" si="2"/>
        <v>0</v>
      </c>
      <c r="D9" s="77">
        <f>VLOOKUP($A9, 'BJ-byM'!$B:$P, COLUMN()+1, 0)</f>
        <v>0</v>
      </c>
      <c r="E9" s="26">
        <f t="shared" si="3"/>
        <v>0</v>
      </c>
      <c r="F9" s="73" t="str">
        <f t="shared" si="4"/>
        <v>=</v>
      </c>
      <c r="H9" s="71" t="s">
        <v>32</v>
      </c>
      <c r="I9" s="71">
        <v>97744</v>
      </c>
      <c r="J9" s="7"/>
      <c r="K9" s="7">
        <v>1</v>
      </c>
      <c r="L9" s="7"/>
      <c r="M9" s="7"/>
      <c r="N9" s="7"/>
      <c r="O9" s="7">
        <v>1</v>
      </c>
      <c r="Q9" s="7"/>
      <c r="R9" s="73" t="s">
        <v>52</v>
      </c>
      <c r="S9" s="77">
        <f>VLOOKUP($R9, 'BJ-byM'!$B:$P, COLUMN()-15, 0)</f>
        <v>0</v>
      </c>
      <c r="T9" s="26" t="e">
        <f t="shared" si="5"/>
        <v>#N/A</v>
      </c>
      <c r="U9" s="77">
        <f>VLOOKUP($R9, 'BJ-byM'!$B:$P, COLUMN()-14, 0)</f>
        <v>0</v>
      </c>
      <c r="V9" s="26" t="e">
        <f t="shared" si="6"/>
        <v>#N/A</v>
      </c>
      <c r="W9" s="73" t="str">
        <f t="shared" si="7"/>
        <v/>
      </c>
      <c r="X9" s="71" t="s">
        <v>77</v>
      </c>
      <c r="Y9" s="7">
        <v>1</v>
      </c>
      <c r="Z9" s="7"/>
      <c r="AA9" s="7"/>
      <c r="AB9" s="7"/>
      <c r="AC9" s="7">
        <v>1</v>
      </c>
    </row>
    <row r="10" spans="1:29">
      <c r="A10" s="72" t="s">
        <v>54</v>
      </c>
      <c r="B10" s="77">
        <f>VLOOKUP($A10, 'BJ-byM'!$B:$P, COLUMN(), 0)</f>
        <v>0</v>
      </c>
      <c r="C10" s="26">
        <f t="shared" si="2"/>
        <v>2</v>
      </c>
      <c r="D10" s="77">
        <f>VLOOKUP($A10, 'BJ-byM'!$B:$P, COLUMN()+1, 0)</f>
        <v>0</v>
      </c>
      <c r="E10" s="26">
        <f t="shared" si="3"/>
        <v>26</v>
      </c>
      <c r="F10" s="73" t="str">
        <f t="shared" si="4"/>
        <v>not =</v>
      </c>
      <c r="H10" s="71" t="s">
        <v>32</v>
      </c>
      <c r="I10" s="71">
        <v>98640</v>
      </c>
      <c r="J10" s="7"/>
      <c r="K10" s="7">
        <v>1</v>
      </c>
      <c r="L10" s="7"/>
      <c r="M10" s="7"/>
      <c r="N10" s="7"/>
      <c r="O10" s="7">
        <v>1</v>
      </c>
      <c r="Q10" s="7"/>
      <c r="R10" s="73" t="s">
        <v>54</v>
      </c>
      <c r="S10" s="77">
        <f>VLOOKUP($R10, 'BJ-byM'!$B:$P, COLUMN()-15, 0)</f>
        <v>0</v>
      </c>
      <c r="T10" s="26">
        <f t="shared" si="5"/>
        <v>0</v>
      </c>
      <c r="U10" s="77">
        <f>VLOOKUP($R10, 'BJ-byM'!$B:$P, COLUMN()-14, 0)</f>
        <v>0</v>
      </c>
      <c r="V10" s="26">
        <f t="shared" si="6"/>
        <v>2</v>
      </c>
      <c r="W10" s="73" t="str">
        <f t="shared" si="7"/>
        <v>not =</v>
      </c>
      <c r="X10" s="71" t="s">
        <v>39</v>
      </c>
      <c r="Y10" s="7"/>
      <c r="Z10" s="7"/>
      <c r="AA10" s="7">
        <v>1</v>
      </c>
      <c r="AB10" s="7"/>
      <c r="AC10" s="7">
        <v>1</v>
      </c>
    </row>
    <row r="11" spans="1:29">
      <c r="A11" s="72" t="s">
        <v>39</v>
      </c>
      <c r="B11" s="77">
        <f>VLOOKUP($A11, 'BJ-byM'!$B:$P, COLUMN(), 0)</f>
        <v>1</v>
      </c>
      <c r="C11" s="26">
        <f t="shared" si="2"/>
        <v>0</v>
      </c>
      <c r="D11" s="77">
        <f>VLOOKUP($A11, 'BJ-byM'!$B:$P, COLUMN()+1, 0)</f>
        <v>0</v>
      </c>
      <c r="E11" s="26">
        <f t="shared" si="3"/>
        <v>14</v>
      </c>
      <c r="F11" s="73" t="str">
        <f t="shared" si="4"/>
        <v>not =</v>
      </c>
      <c r="H11" s="71" t="s">
        <v>32</v>
      </c>
      <c r="I11" s="71">
        <v>99270</v>
      </c>
      <c r="J11" s="7"/>
      <c r="K11" s="7">
        <v>1</v>
      </c>
      <c r="L11" s="7"/>
      <c r="M11" s="7"/>
      <c r="N11" s="7"/>
      <c r="O11" s="7">
        <v>1</v>
      </c>
      <c r="Q11" s="7"/>
      <c r="R11" s="73" t="s">
        <v>39</v>
      </c>
      <c r="S11" s="77">
        <f>VLOOKUP($R11, 'BJ-byM'!$B:$P, COLUMN()-15, 0)</f>
        <v>0</v>
      </c>
      <c r="T11" s="26">
        <f t="shared" si="5"/>
        <v>0</v>
      </c>
      <c r="U11" s="77">
        <f>VLOOKUP($R11, 'BJ-byM'!$B:$P, COLUMN()-14, 0)</f>
        <v>0</v>
      </c>
      <c r="V11" s="26">
        <f t="shared" si="6"/>
        <v>0</v>
      </c>
      <c r="W11" s="73" t="str">
        <f t="shared" si="7"/>
        <v>=</v>
      </c>
      <c r="X11" s="71" t="s">
        <v>28</v>
      </c>
      <c r="Y11" s="7">
        <v>1</v>
      </c>
      <c r="Z11" s="7">
        <v>3</v>
      </c>
      <c r="AA11" s="7">
        <v>1</v>
      </c>
      <c r="AB11" s="7">
        <v>1</v>
      </c>
      <c r="AC11" s="7">
        <v>6</v>
      </c>
    </row>
    <row r="12" spans="1:29">
      <c r="A12" s="72" t="s">
        <v>75</v>
      </c>
      <c r="B12" s="77">
        <f>VLOOKUP($A12, 'BJ-byM'!$B:$P, COLUMN(), 0)</f>
        <v>4</v>
      </c>
      <c r="C12" s="26">
        <f t="shared" si="2"/>
        <v>1</v>
      </c>
      <c r="D12" s="77">
        <f>VLOOKUP($A12, 'BJ-byM'!$B:$P, COLUMN()+1, 0)</f>
        <v>0</v>
      </c>
      <c r="E12" s="26">
        <f t="shared" si="3"/>
        <v>0</v>
      </c>
      <c r="F12" s="73" t="str">
        <f t="shared" si="4"/>
        <v>not =</v>
      </c>
      <c r="H12" s="71" t="s">
        <v>32</v>
      </c>
      <c r="I12" s="71">
        <v>101171</v>
      </c>
      <c r="J12" s="7"/>
      <c r="K12" s="7">
        <v>1</v>
      </c>
      <c r="L12" s="7"/>
      <c r="M12" s="7"/>
      <c r="N12" s="7"/>
      <c r="O12" s="7">
        <v>1</v>
      </c>
      <c r="Q12" s="7"/>
      <c r="R12" s="73" t="s">
        <v>75</v>
      </c>
      <c r="S12" s="77">
        <f>VLOOKUP($R12, 'BJ-byM'!$B:$P, COLUMN()-15, 0)</f>
        <v>0</v>
      </c>
      <c r="T12" s="26" t="e">
        <f t="shared" si="5"/>
        <v>#N/A</v>
      </c>
      <c r="U12" s="77">
        <f>VLOOKUP($R12, 'BJ-byM'!$B:$P, COLUMN()-14, 0)</f>
        <v>0</v>
      </c>
      <c r="V12" s="26" t="e">
        <f t="shared" si="6"/>
        <v>#N/A</v>
      </c>
      <c r="W12" s="73" t="str">
        <f t="shared" si="7"/>
        <v/>
      </c>
      <c r="X12" s="71" t="s">
        <v>1902</v>
      </c>
      <c r="Y12" s="7">
        <v>2</v>
      </c>
      <c r="Z12" s="7">
        <v>6</v>
      </c>
      <c r="AA12" s="7">
        <v>2</v>
      </c>
      <c r="AB12" s="7">
        <v>1</v>
      </c>
      <c r="AC12" s="7">
        <v>11</v>
      </c>
    </row>
    <row r="13" spans="1:29">
      <c r="A13" s="72" t="s">
        <v>28</v>
      </c>
      <c r="B13" s="77">
        <f>VLOOKUP($A13, 'BJ-byM'!$B:$P, COLUMN(), 0)</f>
        <v>0</v>
      </c>
      <c r="C13" s="26">
        <f t="shared" si="2"/>
        <v>2</v>
      </c>
      <c r="D13" s="77">
        <f>VLOOKUP($A13, 'BJ-byM'!$B:$P, COLUMN()+1, 0)</f>
        <v>0</v>
      </c>
      <c r="E13" s="26">
        <f t="shared" si="3"/>
        <v>22</v>
      </c>
      <c r="F13" s="73" t="str">
        <f t="shared" si="4"/>
        <v>not =</v>
      </c>
      <c r="H13" s="71" t="s">
        <v>32</v>
      </c>
      <c r="I13" s="71">
        <v>101615</v>
      </c>
      <c r="J13" s="7"/>
      <c r="K13" s="7">
        <v>1</v>
      </c>
      <c r="L13" s="7"/>
      <c r="M13" s="7"/>
      <c r="N13" s="7"/>
      <c r="O13" s="7">
        <v>1</v>
      </c>
      <c r="Q13" s="7"/>
      <c r="R13" s="73" t="s">
        <v>28</v>
      </c>
      <c r="S13" s="77">
        <f>VLOOKUP($R13, 'BJ-byM'!$B:$P, COLUMN()-15, 0)</f>
        <v>0</v>
      </c>
      <c r="T13" s="26">
        <f t="shared" si="5"/>
        <v>1</v>
      </c>
      <c r="U13" s="77">
        <f>VLOOKUP($R13, 'BJ-byM'!$B:$P, COLUMN()-14, 0)</f>
        <v>0</v>
      </c>
      <c r="V13" s="26">
        <f t="shared" si="6"/>
        <v>3</v>
      </c>
      <c r="W13" s="73" t="str">
        <f t="shared" si="7"/>
        <v>not =</v>
      </c>
    </row>
    <row r="14" spans="1:29">
      <c r="A14" s="72" t="s">
        <v>55</v>
      </c>
      <c r="B14" s="77">
        <f>VLOOKUP($A14, 'BJ-byM'!$B:$P, COLUMN(), 0)</f>
        <v>32</v>
      </c>
      <c r="C14" s="26">
        <f t="shared" si="2"/>
        <v>0</v>
      </c>
      <c r="D14" s="77">
        <f>VLOOKUP($A14, 'BJ-byM'!$B:$P, COLUMN()+1, 0)</f>
        <v>5</v>
      </c>
      <c r="E14" s="26">
        <f t="shared" si="3"/>
        <v>0</v>
      </c>
      <c r="F14" s="73" t="str">
        <f t="shared" si="4"/>
        <v>not =</v>
      </c>
      <c r="H14" s="71" t="s">
        <v>32</v>
      </c>
      <c r="I14" s="71">
        <v>102420</v>
      </c>
      <c r="J14" s="7"/>
      <c r="K14" s="7">
        <v>1</v>
      </c>
      <c r="L14" s="7"/>
      <c r="M14" s="7"/>
      <c r="N14" s="7"/>
      <c r="O14" s="7">
        <v>1</v>
      </c>
      <c r="Q14" s="7"/>
      <c r="R14" s="73" t="s">
        <v>55</v>
      </c>
      <c r="S14" s="77">
        <f>VLOOKUP($R14, 'BJ-byM'!$B:$P, COLUMN()-15, 0)</f>
        <v>5</v>
      </c>
      <c r="T14" s="26" t="e">
        <f t="shared" si="5"/>
        <v>#N/A</v>
      </c>
      <c r="U14" s="77">
        <f>VLOOKUP($R14, 'BJ-byM'!$B:$P, COLUMN()-14, 0)</f>
        <v>1</v>
      </c>
      <c r="V14" s="26" t="e">
        <f t="shared" si="6"/>
        <v>#N/A</v>
      </c>
      <c r="W14" s="73" t="str">
        <f t="shared" si="7"/>
        <v/>
      </c>
    </row>
    <row r="15" spans="1:29">
      <c r="A15" s="72" t="s">
        <v>24</v>
      </c>
      <c r="B15" s="77">
        <f>VLOOKUP($A15, 'BJ-byM'!$B:$P, COLUMN(), 0)</f>
        <v>54</v>
      </c>
      <c r="C15" s="26">
        <f t="shared" si="2"/>
        <v>1</v>
      </c>
      <c r="D15" s="77">
        <f>VLOOKUP($A15, 'BJ-byM'!$B:$P, COLUMN()+1, 0)</f>
        <v>3</v>
      </c>
      <c r="E15" s="26">
        <f t="shared" si="3"/>
        <v>0</v>
      </c>
      <c r="F15" s="73" t="str">
        <f t="shared" si="4"/>
        <v>not =</v>
      </c>
      <c r="H15" s="71" t="s">
        <v>32</v>
      </c>
      <c r="I15" s="71">
        <v>103136</v>
      </c>
      <c r="J15" s="7"/>
      <c r="K15" s="7">
        <v>1</v>
      </c>
      <c r="L15" s="7"/>
      <c r="M15" s="7"/>
      <c r="N15" s="7"/>
      <c r="O15" s="7">
        <v>1</v>
      </c>
      <c r="Q15" s="7"/>
      <c r="R15" s="73" t="s">
        <v>24</v>
      </c>
      <c r="S15" s="77">
        <f>VLOOKUP($R15, 'BJ-byM'!$B:$P, COLUMN()-15, 0)</f>
        <v>2</v>
      </c>
      <c r="T15" s="26" t="e">
        <f t="shared" si="5"/>
        <v>#N/A</v>
      </c>
      <c r="U15" s="77">
        <f>VLOOKUP($R15, 'BJ-byM'!$B:$P, COLUMN()-14, 0)</f>
        <v>0</v>
      </c>
      <c r="V15" s="26" t="e">
        <f t="shared" si="6"/>
        <v>#N/A</v>
      </c>
      <c r="W15" s="73" t="str">
        <f t="shared" si="7"/>
        <v/>
      </c>
    </row>
    <row r="16" spans="1:29">
      <c r="A16" s="72" t="s">
        <v>26</v>
      </c>
      <c r="B16" s="77">
        <f>VLOOKUP($A16, 'BJ-byM'!$B:$P, COLUMN(), 0)</f>
        <v>0</v>
      </c>
      <c r="C16" s="26">
        <f t="shared" si="2"/>
        <v>1</v>
      </c>
      <c r="D16" s="77">
        <f>VLOOKUP($A16, 'BJ-byM'!$B:$P, COLUMN()+1, 0)</f>
        <v>0</v>
      </c>
      <c r="E16" s="26">
        <f t="shared" si="3"/>
        <v>1</v>
      </c>
      <c r="F16" s="73" t="str">
        <f t="shared" si="4"/>
        <v>not =</v>
      </c>
      <c r="H16" s="71" t="s">
        <v>32</v>
      </c>
      <c r="I16" s="71">
        <v>104194</v>
      </c>
      <c r="J16" s="7"/>
      <c r="K16" s="7">
        <v>1</v>
      </c>
      <c r="L16" s="7"/>
      <c r="M16" s="7"/>
      <c r="N16" s="7"/>
      <c r="O16" s="7">
        <v>1</v>
      </c>
      <c r="Q16" s="7"/>
      <c r="R16" s="73" t="s">
        <v>26</v>
      </c>
      <c r="S16" s="77">
        <f>VLOOKUP($R16, 'BJ-byM'!$B:$P, COLUMN()-15, 0)</f>
        <v>0</v>
      </c>
      <c r="T16" s="26" t="e">
        <f t="shared" si="5"/>
        <v>#N/A</v>
      </c>
      <c r="U16" s="77">
        <f>VLOOKUP($R16, 'BJ-byM'!$B:$P, COLUMN()-14, 0)</f>
        <v>0</v>
      </c>
      <c r="V16" s="26" t="e">
        <f t="shared" si="6"/>
        <v>#N/A</v>
      </c>
      <c r="W16" s="73" t="str">
        <f t="shared" si="7"/>
        <v/>
      </c>
    </row>
    <row r="17" spans="1:23">
      <c r="A17" s="72" t="s">
        <v>1203</v>
      </c>
      <c r="B17" s="77">
        <f>VLOOKUP($A17, 'BJ-byM'!$B:$P, COLUMN(), 0)</f>
        <v>7</v>
      </c>
      <c r="C17" s="26">
        <f t="shared" si="2"/>
        <v>0</v>
      </c>
      <c r="D17" s="77">
        <f>VLOOKUP($A17, 'BJ-byM'!$B:$P, COLUMN()+1, 0)</f>
        <v>1</v>
      </c>
      <c r="E17" s="26">
        <f t="shared" si="3"/>
        <v>0</v>
      </c>
      <c r="F17" s="73" t="str">
        <f t="shared" si="4"/>
        <v>not =</v>
      </c>
      <c r="H17" s="71" t="s">
        <v>32</v>
      </c>
      <c r="I17" s="71">
        <v>106057</v>
      </c>
      <c r="J17" s="7"/>
      <c r="K17" s="7"/>
      <c r="L17" s="7">
        <v>1</v>
      </c>
      <c r="M17" s="7"/>
      <c r="N17" s="7"/>
      <c r="O17" s="7">
        <v>1</v>
      </c>
      <c r="Q17" s="7"/>
      <c r="R17" s="73" t="s">
        <v>1203</v>
      </c>
      <c r="S17" s="77">
        <f>VLOOKUP($R17, 'BJ-byM'!$B:$P, COLUMN()-15, 0)</f>
        <v>2</v>
      </c>
      <c r="T17" s="26" t="e">
        <f t="shared" si="5"/>
        <v>#N/A</v>
      </c>
      <c r="U17" s="77">
        <f>VLOOKUP($R17, 'BJ-byM'!$B:$P, COLUMN()-14, 0)</f>
        <v>0</v>
      </c>
      <c r="V17" s="26" t="e">
        <f t="shared" si="6"/>
        <v>#N/A</v>
      </c>
      <c r="W17" s="73" t="str">
        <f t="shared" si="7"/>
        <v/>
      </c>
    </row>
    <row r="18" spans="1:23">
      <c r="A18" s="72" t="s">
        <v>59</v>
      </c>
      <c r="B18" s="77">
        <f>VLOOKUP($A18, 'BJ-byM'!$B:$P, COLUMN(), 0)</f>
        <v>136</v>
      </c>
      <c r="C18" s="26">
        <f t="shared" si="2"/>
        <v>0</v>
      </c>
      <c r="D18" s="77">
        <f>VLOOKUP($A18, 'BJ-byM'!$B:$P, COLUMN()+1, 0)</f>
        <v>17</v>
      </c>
      <c r="E18" s="26">
        <f t="shared" si="3"/>
        <v>0</v>
      </c>
      <c r="F18" s="73" t="str">
        <f t="shared" si="4"/>
        <v>not =</v>
      </c>
      <c r="H18" s="71" t="s">
        <v>32</v>
      </c>
      <c r="I18" s="71">
        <v>106172</v>
      </c>
      <c r="J18" s="7">
        <v>4</v>
      </c>
      <c r="K18" s="7"/>
      <c r="L18" s="7"/>
      <c r="M18" s="7"/>
      <c r="N18" s="7"/>
      <c r="O18" s="7">
        <v>4</v>
      </c>
      <c r="Q18" s="7"/>
      <c r="R18" s="73" t="s">
        <v>59</v>
      </c>
      <c r="S18" s="77">
        <f>VLOOKUP($R18, 'BJ-byM'!$B:$P, COLUMN()-15, 0)</f>
        <v>6</v>
      </c>
      <c r="T18" s="26" t="e">
        <f t="shared" si="5"/>
        <v>#N/A</v>
      </c>
      <c r="U18" s="77">
        <f>VLOOKUP($R18, 'BJ-byM'!$B:$P, COLUMN()-14, 0)</f>
        <v>2</v>
      </c>
      <c r="V18" s="26" t="e">
        <f t="shared" si="6"/>
        <v>#N/A</v>
      </c>
      <c r="W18" s="73" t="str">
        <f t="shared" si="7"/>
        <v/>
      </c>
    </row>
    <row r="19" spans="1:23">
      <c r="A19" s="72" t="s">
        <v>51</v>
      </c>
      <c r="B19" s="77">
        <f>VLOOKUP($A19, 'BJ-byM'!$B:$P, COLUMN(), 0)</f>
        <v>0</v>
      </c>
      <c r="C19" s="26">
        <f t="shared" si="2"/>
        <v>0</v>
      </c>
      <c r="D19" s="77">
        <f>VLOOKUP($A19, 'BJ-byM'!$B:$P, COLUMN()+1, 0)</f>
        <v>0</v>
      </c>
      <c r="E19" s="26">
        <f t="shared" si="3"/>
        <v>0</v>
      </c>
      <c r="F19" s="73" t="str">
        <f t="shared" si="4"/>
        <v>=</v>
      </c>
      <c r="H19" s="71" t="s">
        <v>32</v>
      </c>
      <c r="I19" s="71">
        <v>106604</v>
      </c>
      <c r="J19" s="7"/>
      <c r="K19" s="7">
        <v>1</v>
      </c>
      <c r="L19" s="7"/>
      <c r="M19" s="7"/>
      <c r="N19" s="7"/>
      <c r="O19" s="7">
        <v>1</v>
      </c>
      <c r="Q19" s="7"/>
      <c r="R19" s="73" t="s">
        <v>51</v>
      </c>
      <c r="S19" s="77">
        <f>VLOOKUP($R19, 'BJ-byM'!$B:$P, COLUMN()-15, 0)</f>
        <v>0</v>
      </c>
      <c r="T19" s="26" t="e">
        <f t="shared" si="5"/>
        <v>#N/A</v>
      </c>
      <c r="U19" s="77">
        <f>VLOOKUP($R19, 'BJ-byM'!$B:$P, COLUMN()-14, 0)</f>
        <v>0</v>
      </c>
      <c r="V19" s="26" t="e">
        <f t="shared" si="6"/>
        <v>#N/A</v>
      </c>
      <c r="W19" s="73" t="str">
        <f t="shared" si="7"/>
        <v/>
      </c>
    </row>
    <row r="20" spans="1:23">
      <c r="A20" s="72" t="s">
        <v>63</v>
      </c>
      <c r="B20" s="77">
        <f>VLOOKUP($A20, 'BJ-byM'!$B:$P, COLUMN(), 0)</f>
        <v>17</v>
      </c>
      <c r="C20" s="26">
        <f t="shared" si="2"/>
        <v>0</v>
      </c>
      <c r="D20" s="77">
        <f>VLOOKUP($A20, 'BJ-byM'!$B:$P, COLUMN()+1, 0)</f>
        <v>0</v>
      </c>
      <c r="E20" s="26">
        <f t="shared" si="3"/>
        <v>0</v>
      </c>
      <c r="F20" s="73" t="str">
        <f t="shared" si="4"/>
        <v>not =</v>
      </c>
      <c r="H20" s="71" t="s">
        <v>32</v>
      </c>
      <c r="I20" s="71">
        <v>107469</v>
      </c>
      <c r="J20" s="7"/>
      <c r="K20" s="7">
        <v>1</v>
      </c>
      <c r="L20" s="7"/>
      <c r="M20" s="7"/>
      <c r="N20" s="7"/>
      <c r="O20" s="7">
        <v>1</v>
      </c>
      <c r="Q20" s="7"/>
      <c r="R20" s="73" t="s">
        <v>63</v>
      </c>
      <c r="S20" s="77">
        <f>VLOOKUP($R20, 'BJ-byM'!$B:$P, COLUMN()-15, 0)</f>
        <v>2</v>
      </c>
      <c r="T20" s="26" t="e">
        <f t="shared" si="5"/>
        <v>#N/A</v>
      </c>
      <c r="U20" s="77">
        <f>VLOOKUP($R20, 'BJ-byM'!$B:$P, COLUMN()-14, 0)</f>
        <v>0</v>
      </c>
      <c r="V20" s="26" t="e">
        <f t="shared" si="6"/>
        <v>#N/A</v>
      </c>
      <c r="W20" s="73" t="str">
        <f t="shared" si="7"/>
        <v/>
      </c>
    </row>
    <row r="21" spans="1:23">
      <c r="A21" s="72" t="s">
        <v>77</v>
      </c>
      <c r="B21" s="77">
        <f>VLOOKUP($A21, 'BJ-byM'!$B:$P, COLUMN(), 0)</f>
        <v>0</v>
      </c>
      <c r="C21" s="26">
        <f t="shared" si="2"/>
        <v>1</v>
      </c>
      <c r="D21" s="77">
        <f>VLOOKUP($A21, 'BJ-byM'!$B:$P, COLUMN()+1, 0)</f>
        <v>0</v>
      </c>
      <c r="E21" s="26">
        <f t="shared" si="3"/>
        <v>0</v>
      </c>
      <c r="F21" s="73" t="str">
        <f t="shared" si="4"/>
        <v>not =</v>
      </c>
      <c r="H21" s="71" t="s">
        <v>32</v>
      </c>
      <c r="I21" s="71">
        <v>109581</v>
      </c>
      <c r="J21" s="7"/>
      <c r="K21" s="7">
        <v>2</v>
      </c>
      <c r="L21" s="7"/>
      <c r="M21" s="7"/>
      <c r="N21" s="7"/>
      <c r="O21" s="7">
        <v>2</v>
      </c>
      <c r="Q21" s="7"/>
      <c r="R21" s="73" t="s">
        <v>77</v>
      </c>
      <c r="S21" s="77">
        <f>VLOOKUP($R21, 'BJ-byM'!$B:$P, COLUMN()-15, 0)</f>
        <v>0</v>
      </c>
      <c r="T21" s="26">
        <f t="shared" si="5"/>
        <v>1</v>
      </c>
      <c r="U21" s="77">
        <f>VLOOKUP($R21, 'BJ-byM'!$B:$P, COLUMN()-14, 0)</f>
        <v>0</v>
      </c>
      <c r="V21" s="26">
        <f t="shared" si="6"/>
        <v>0</v>
      </c>
      <c r="W21" s="73" t="str">
        <f t="shared" si="7"/>
        <v>not =</v>
      </c>
    </row>
    <row r="22" spans="1:23">
      <c r="A22" s="72" t="s">
        <v>1267</v>
      </c>
      <c r="B22" s="77">
        <f>VLOOKUP($A22, 'BJ-byM'!$B:$P, COLUMN(), 0)</f>
        <v>0</v>
      </c>
      <c r="C22" s="26">
        <f t="shared" si="2"/>
        <v>0</v>
      </c>
      <c r="D22" s="77">
        <f>VLOOKUP($A22, 'BJ-byM'!$B:$P, COLUMN()+1, 0)</f>
        <v>0</v>
      </c>
      <c r="E22" s="26">
        <f t="shared" si="3"/>
        <v>0</v>
      </c>
      <c r="F22" s="73" t="str">
        <f t="shared" si="4"/>
        <v>=</v>
      </c>
      <c r="H22" s="71" t="s">
        <v>32</v>
      </c>
      <c r="I22" s="71">
        <v>108411</v>
      </c>
      <c r="J22" s="7"/>
      <c r="K22" s="7">
        <v>1</v>
      </c>
      <c r="L22" s="7"/>
      <c r="M22" s="7"/>
      <c r="N22" s="7"/>
      <c r="O22" s="7">
        <v>1</v>
      </c>
      <c r="Q22" s="7"/>
      <c r="R22" s="73" t="s">
        <v>1267</v>
      </c>
      <c r="S22" s="77">
        <f>VLOOKUP($R22, 'BJ-byM'!$B:$P, COLUMN()-15, 0)</f>
        <v>0</v>
      </c>
      <c r="T22" s="26" t="e">
        <f t="shared" si="5"/>
        <v>#N/A</v>
      </c>
      <c r="U22" s="77">
        <f>VLOOKUP($R22, 'BJ-byM'!$B:$P, COLUMN()-14, 0)</f>
        <v>0</v>
      </c>
      <c r="V22" s="26" t="e">
        <f t="shared" si="6"/>
        <v>#N/A</v>
      </c>
      <c r="W22" s="73" t="str">
        <f t="shared" si="7"/>
        <v/>
      </c>
    </row>
    <row r="23" spans="1:23">
      <c r="A23" s="72" t="s">
        <v>35</v>
      </c>
      <c r="B23" s="77">
        <f>VLOOKUP($A23, 'BJ-byM'!$B:$P, COLUMN(), 0)</f>
        <v>0</v>
      </c>
      <c r="C23" s="26">
        <f t="shared" si="2"/>
        <v>0</v>
      </c>
      <c r="D23" s="77">
        <f>VLOOKUP($A23, 'BJ-byM'!$B:$P, COLUMN()+1, 0)</f>
        <v>0</v>
      </c>
      <c r="E23" s="26">
        <f t="shared" si="3"/>
        <v>0</v>
      </c>
      <c r="F23" s="73" t="str">
        <f t="shared" si="4"/>
        <v>=</v>
      </c>
      <c r="H23" s="71" t="s">
        <v>32</v>
      </c>
      <c r="I23" s="71">
        <v>107489</v>
      </c>
      <c r="J23" s="7"/>
      <c r="K23" s="7">
        <v>1</v>
      </c>
      <c r="L23" s="7"/>
      <c r="M23" s="7"/>
      <c r="N23" s="7"/>
      <c r="O23" s="7">
        <v>1</v>
      </c>
      <c r="Q23" s="7"/>
      <c r="R23" s="73" t="s">
        <v>35</v>
      </c>
      <c r="S23" s="77">
        <f>VLOOKUP($R23, 'BJ-byM'!$B:$P, COLUMN()-15, 0)</f>
        <v>0</v>
      </c>
      <c r="T23" s="26" t="e">
        <f t="shared" si="5"/>
        <v>#N/A</v>
      </c>
      <c r="U23" s="77">
        <f>VLOOKUP($R23, 'BJ-byM'!$B:$P, COLUMN()-14, 0)</f>
        <v>0</v>
      </c>
      <c r="V23" s="26" t="e">
        <f t="shared" si="6"/>
        <v>#N/A</v>
      </c>
      <c r="W23" s="73" t="str">
        <f t="shared" si="7"/>
        <v/>
      </c>
    </row>
    <row r="24" spans="1:23">
      <c r="H24" s="71" t="s">
        <v>32</v>
      </c>
      <c r="I24" s="71">
        <v>109162</v>
      </c>
      <c r="J24" s="7"/>
      <c r="K24" s="7">
        <v>1</v>
      </c>
      <c r="L24" s="7"/>
      <c r="M24" s="7"/>
      <c r="N24" s="7"/>
      <c r="O24" s="7">
        <v>1</v>
      </c>
      <c r="Q24" s="7"/>
      <c r="V24" s="26"/>
    </row>
    <row r="25" spans="1:23">
      <c r="A25" s="73" t="s">
        <v>1192</v>
      </c>
      <c r="B25" s="77">
        <f>VLOOKUP($A25, 'BJ-byM'!$B:$P, COLUMN(), 0)</f>
        <v>0</v>
      </c>
      <c r="C25" s="26">
        <f t="shared" ref="C25:C38" si="8">COUNTIFS($H:$H, $A25,J:J, "&gt;0")</f>
        <v>0</v>
      </c>
      <c r="D25" s="77">
        <f>VLOOKUP($A25, 'BJ-byM'!$B:$P, COLUMN()+1, 0)</f>
        <v>0</v>
      </c>
      <c r="E25" s="26">
        <f t="shared" ref="E25:E38" si="9">COUNTIFS($H:$H, $A25,K:K, "&gt;0")</f>
        <v>0</v>
      </c>
      <c r="F25" s="73" t="str">
        <f t="shared" ref="F25:F38" si="10">IF(AND(B25=C25,D25=E25),"=","not =")</f>
        <v>=</v>
      </c>
      <c r="H25" s="71" t="s">
        <v>54</v>
      </c>
      <c r="I25" s="71">
        <v>90604</v>
      </c>
      <c r="J25" s="7"/>
      <c r="K25" s="7"/>
      <c r="L25" s="7"/>
      <c r="M25" s="7">
        <v>1</v>
      </c>
      <c r="N25" s="7"/>
      <c r="O25" s="7">
        <v>1</v>
      </c>
      <c r="Q25" s="7"/>
      <c r="R25" s="73" t="s">
        <v>1192</v>
      </c>
      <c r="S25" s="77">
        <f>VLOOKUP($R25, 'BJ-byM'!$B:$P, COLUMN()-15, 0)</f>
        <v>0</v>
      </c>
      <c r="T25" s="26" t="e">
        <f t="shared" si="5"/>
        <v>#N/A</v>
      </c>
      <c r="U25" s="77">
        <f>VLOOKUP($R25, 'BJ-byM'!$B:$P, COLUMN()-14, 0)</f>
        <v>0</v>
      </c>
      <c r="V25" s="26" t="e">
        <f t="shared" si="6"/>
        <v>#N/A</v>
      </c>
      <c r="W25" s="73" t="str">
        <f t="shared" si="7"/>
        <v/>
      </c>
    </row>
    <row r="26" spans="1:23">
      <c r="A26" s="73" t="s">
        <v>66</v>
      </c>
      <c r="B26" s="77">
        <f>VLOOKUP($A26, 'BJ-byM'!$B:$P, COLUMN(), 0)</f>
        <v>0</v>
      </c>
      <c r="C26" s="26">
        <f t="shared" si="8"/>
        <v>0</v>
      </c>
      <c r="D26" s="77">
        <f>VLOOKUP($A26, 'BJ-byM'!$B:$P, COLUMN()+1, 0)</f>
        <v>0</v>
      </c>
      <c r="E26" s="26">
        <f t="shared" si="9"/>
        <v>0</v>
      </c>
      <c r="F26" s="73" t="str">
        <f t="shared" si="10"/>
        <v>=</v>
      </c>
      <c r="H26" s="71" t="s">
        <v>54</v>
      </c>
      <c r="I26" s="71">
        <v>91581</v>
      </c>
      <c r="J26" s="7"/>
      <c r="K26" s="7">
        <v>2</v>
      </c>
      <c r="L26" s="7"/>
      <c r="M26" s="7"/>
      <c r="N26" s="7"/>
      <c r="O26" s="7">
        <v>2</v>
      </c>
      <c r="Q26" s="7"/>
      <c r="R26" s="73" t="s">
        <v>66</v>
      </c>
      <c r="S26" s="77">
        <f>VLOOKUP($R26, 'BJ-byM'!$B:$P, COLUMN()-15, 0)</f>
        <v>0</v>
      </c>
      <c r="T26" s="26" t="e">
        <f t="shared" si="5"/>
        <v>#N/A</v>
      </c>
      <c r="U26" s="77">
        <f>VLOOKUP($R26, 'BJ-byM'!$B:$P, COLUMN()-14, 0)</f>
        <v>0</v>
      </c>
      <c r="V26" s="26" t="e">
        <f t="shared" si="6"/>
        <v>#N/A</v>
      </c>
      <c r="W26" s="73" t="str">
        <f t="shared" si="7"/>
        <v/>
      </c>
    </row>
    <row r="27" spans="1:23">
      <c r="A27" s="73" t="s">
        <v>73</v>
      </c>
      <c r="B27" s="77">
        <f>VLOOKUP($A27, 'BJ-byM'!$B:$P, COLUMN(), 0)</f>
        <v>1</v>
      </c>
      <c r="C27" s="26">
        <f t="shared" si="8"/>
        <v>0</v>
      </c>
      <c r="D27" s="77">
        <f>VLOOKUP($A27, 'BJ-byM'!$B:$P, COLUMN()+1, 0)</f>
        <v>0</v>
      </c>
      <c r="E27" s="26">
        <f t="shared" si="9"/>
        <v>0</v>
      </c>
      <c r="F27" s="73" t="str">
        <f t="shared" si="10"/>
        <v>not =</v>
      </c>
      <c r="H27" s="71" t="s">
        <v>54</v>
      </c>
      <c r="I27" s="71">
        <v>91582</v>
      </c>
      <c r="J27" s="7"/>
      <c r="K27" s="7">
        <v>1</v>
      </c>
      <c r="L27" s="7"/>
      <c r="M27" s="7"/>
      <c r="N27" s="7"/>
      <c r="O27" s="7">
        <v>1</v>
      </c>
      <c r="Q27" s="7"/>
      <c r="R27" s="73" t="s">
        <v>73</v>
      </c>
      <c r="S27" s="77">
        <f>VLOOKUP($R27, 'BJ-byM'!$B:$P, COLUMN()-15, 0)</f>
        <v>0</v>
      </c>
      <c r="T27" s="26" t="e">
        <f t="shared" si="5"/>
        <v>#N/A</v>
      </c>
      <c r="U27" s="77">
        <f>VLOOKUP($R27, 'BJ-byM'!$B:$P, COLUMN()-14, 0)</f>
        <v>0</v>
      </c>
      <c r="V27" s="26" t="e">
        <f t="shared" si="6"/>
        <v>#N/A</v>
      </c>
      <c r="W27" s="73" t="str">
        <f t="shared" si="7"/>
        <v/>
      </c>
    </row>
    <row r="28" spans="1:23">
      <c r="A28" s="73" t="s">
        <v>97</v>
      </c>
      <c r="B28" s="77">
        <f>VLOOKUP($A28, 'BJ-byM'!$B:$P, COLUMN(), 0)</f>
        <v>0</v>
      </c>
      <c r="C28" s="26">
        <f t="shared" si="8"/>
        <v>0</v>
      </c>
      <c r="D28" s="77">
        <f>VLOOKUP($A28, 'BJ-byM'!$B:$P, COLUMN()+1, 0)</f>
        <v>0</v>
      </c>
      <c r="E28" s="26">
        <f t="shared" si="9"/>
        <v>0</v>
      </c>
      <c r="F28" s="73" t="str">
        <f t="shared" si="10"/>
        <v>=</v>
      </c>
      <c r="H28" s="71" t="s">
        <v>54</v>
      </c>
      <c r="I28" s="71">
        <v>91583</v>
      </c>
      <c r="J28" s="7"/>
      <c r="K28" s="7">
        <v>1</v>
      </c>
      <c r="L28" s="7"/>
      <c r="M28" s="7"/>
      <c r="N28" s="7"/>
      <c r="O28" s="7">
        <v>1</v>
      </c>
      <c r="Q28" s="7"/>
      <c r="R28" s="73" t="s">
        <v>97</v>
      </c>
      <c r="S28" s="77">
        <f>VLOOKUP($R28, 'BJ-byM'!$B:$P, COLUMN()-15, 0)</f>
        <v>0</v>
      </c>
      <c r="T28" s="26" t="e">
        <f t="shared" si="5"/>
        <v>#N/A</v>
      </c>
      <c r="U28" s="77">
        <f>VLOOKUP($R28, 'BJ-byM'!$B:$P, COLUMN()-14, 0)</f>
        <v>0</v>
      </c>
      <c r="V28" s="26" t="e">
        <f t="shared" si="6"/>
        <v>#N/A</v>
      </c>
      <c r="W28" s="73" t="str">
        <f t="shared" si="7"/>
        <v/>
      </c>
    </row>
    <row r="29" spans="1:23">
      <c r="A29" s="73" t="s">
        <v>74</v>
      </c>
      <c r="B29" s="77">
        <f>VLOOKUP($A29, 'BJ-byM'!$B:$P, COLUMN(), 0)</f>
        <v>0</v>
      </c>
      <c r="C29" s="26">
        <f t="shared" si="8"/>
        <v>0</v>
      </c>
      <c r="D29" s="77">
        <f>VLOOKUP($A29, 'BJ-byM'!$B:$P, COLUMN()+1, 0)</f>
        <v>0</v>
      </c>
      <c r="E29" s="26">
        <f t="shared" si="9"/>
        <v>0</v>
      </c>
      <c r="F29" s="73" t="str">
        <f t="shared" si="10"/>
        <v>=</v>
      </c>
      <c r="H29" s="71" t="s">
        <v>54</v>
      </c>
      <c r="I29" s="71">
        <v>95501</v>
      </c>
      <c r="J29" s="7"/>
      <c r="K29" s="7">
        <v>1</v>
      </c>
      <c r="L29" s="7"/>
      <c r="M29" s="7"/>
      <c r="N29" s="7"/>
      <c r="O29" s="7">
        <v>1</v>
      </c>
      <c r="Q29" s="7"/>
      <c r="R29" s="73" t="s">
        <v>74</v>
      </c>
      <c r="S29" s="77">
        <f>VLOOKUP($R29, 'BJ-byM'!$B:$P, COLUMN()-15, 0)</f>
        <v>0</v>
      </c>
      <c r="T29" s="26" t="e">
        <f t="shared" si="5"/>
        <v>#N/A</v>
      </c>
      <c r="U29" s="77">
        <f>VLOOKUP($R29, 'BJ-byM'!$B:$P, COLUMN()-14, 0)</f>
        <v>0</v>
      </c>
      <c r="V29" s="26" t="e">
        <f t="shared" si="6"/>
        <v>#N/A</v>
      </c>
      <c r="W29" s="73" t="str">
        <f t="shared" si="7"/>
        <v/>
      </c>
    </row>
    <row r="30" spans="1:23">
      <c r="A30" s="73" t="s">
        <v>107</v>
      </c>
      <c r="B30" s="77">
        <f>VLOOKUP($A30, 'BJ-byM'!$B:$P, COLUMN(), 0)</f>
        <v>0</v>
      </c>
      <c r="C30" s="26">
        <f t="shared" si="8"/>
        <v>0</v>
      </c>
      <c r="D30" s="77">
        <f>VLOOKUP($A30, 'BJ-byM'!$B:$P, COLUMN()+1, 0)</f>
        <v>0</v>
      </c>
      <c r="E30" s="26">
        <f t="shared" si="9"/>
        <v>0</v>
      </c>
      <c r="F30" s="73" t="str">
        <f t="shared" si="10"/>
        <v>=</v>
      </c>
      <c r="H30" s="71" t="s">
        <v>54</v>
      </c>
      <c r="I30" s="71">
        <v>96189</v>
      </c>
      <c r="J30" s="7"/>
      <c r="K30" s="7">
        <v>2</v>
      </c>
      <c r="L30" s="7"/>
      <c r="M30" s="7"/>
      <c r="N30" s="7"/>
      <c r="O30" s="7">
        <v>2</v>
      </c>
      <c r="Q30" s="7"/>
      <c r="R30" s="73" t="s">
        <v>107</v>
      </c>
      <c r="S30" s="77">
        <f>VLOOKUP($R30, 'BJ-byM'!$B:$P, COLUMN()-15, 0)</f>
        <v>0</v>
      </c>
      <c r="T30" s="26" t="e">
        <f t="shared" si="5"/>
        <v>#N/A</v>
      </c>
      <c r="U30" s="77">
        <f>VLOOKUP($R30, 'BJ-byM'!$B:$P, COLUMN()-14, 0)</f>
        <v>0</v>
      </c>
      <c r="V30" s="26" t="e">
        <f t="shared" si="6"/>
        <v>#N/A</v>
      </c>
      <c r="W30" s="73" t="str">
        <f t="shared" si="7"/>
        <v/>
      </c>
    </row>
    <row r="31" spans="1:23">
      <c r="A31" s="73" t="s">
        <v>53</v>
      </c>
      <c r="B31" s="77">
        <f>VLOOKUP($A31, 'BJ-byM'!$B:$P, COLUMN(), 0)</f>
        <v>0</v>
      </c>
      <c r="C31" s="26">
        <f t="shared" si="8"/>
        <v>0</v>
      </c>
      <c r="D31" s="77">
        <f>VLOOKUP($A31, 'BJ-byM'!$B:$P, COLUMN()+1, 0)</f>
        <v>0</v>
      </c>
      <c r="E31" s="26">
        <f t="shared" si="9"/>
        <v>0</v>
      </c>
      <c r="F31" s="73" t="str">
        <f t="shared" si="10"/>
        <v>=</v>
      </c>
      <c r="H31" s="71" t="s">
        <v>54</v>
      </c>
      <c r="I31" s="71">
        <v>96212</v>
      </c>
      <c r="J31" s="7"/>
      <c r="K31" s="7">
        <v>1</v>
      </c>
      <c r="L31" s="7"/>
      <c r="M31" s="7"/>
      <c r="N31" s="7"/>
      <c r="O31" s="7">
        <v>1</v>
      </c>
      <c r="Q31" s="7"/>
      <c r="R31" s="73" t="s">
        <v>53</v>
      </c>
      <c r="S31" s="77">
        <f>VLOOKUP($R31, 'BJ-byM'!$B:$P, COLUMN()-15, 0)</f>
        <v>0</v>
      </c>
      <c r="T31" s="26" t="e">
        <f t="shared" si="5"/>
        <v>#N/A</v>
      </c>
      <c r="U31" s="77">
        <f>VLOOKUP($R31, 'BJ-byM'!$B:$P, COLUMN()-14, 0)</f>
        <v>0</v>
      </c>
      <c r="V31" s="26" t="e">
        <f t="shared" si="6"/>
        <v>#N/A</v>
      </c>
      <c r="W31" s="73" t="str">
        <f t="shared" si="7"/>
        <v/>
      </c>
    </row>
    <row r="32" spans="1:23">
      <c r="A32" s="73" t="s">
        <v>71</v>
      </c>
      <c r="B32" s="77">
        <f>VLOOKUP($A32, 'BJ-byM'!$B:$P, COLUMN(), 0)</f>
        <v>1</v>
      </c>
      <c r="C32" s="26">
        <f t="shared" si="8"/>
        <v>0</v>
      </c>
      <c r="D32" s="77">
        <f>VLOOKUP($A32, 'BJ-byM'!$B:$P, COLUMN()+1, 0)</f>
        <v>0</v>
      </c>
      <c r="E32" s="26">
        <f t="shared" si="9"/>
        <v>0</v>
      </c>
      <c r="F32" s="73" t="str">
        <f t="shared" si="10"/>
        <v>not =</v>
      </c>
      <c r="H32" s="71" t="s">
        <v>54</v>
      </c>
      <c r="I32" s="71">
        <v>97744</v>
      </c>
      <c r="J32" s="7"/>
      <c r="K32" s="7">
        <v>1</v>
      </c>
      <c r="L32" s="7"/>
      <c r="M32" s="7"/>
      <c r="N32" s="7"/>
      <c r="O32" s="7">
        <v>1</v>
      </c>
      <c r="Q32" s="7"/>
      <c r="R32" s="73" t="s">
        <v>71</v>
      </c>
      <c r="S32" s="77">
        <f>VLOOKUP($R32, 'BJ-byM'!$B:$P, COLUMN()-15, 0)</f>
        <v>1</v>
      </c>
      <c r="T32" s="26" t="e">
        <f t="shared" si="5"/>
        <v>#N/A</v>
      </c>
      <c r="U32" s="77">
        <f>VLOOKUP($R32, 'BJ-byM'!$B:$P, COLUMN()-14, 0)</f>
        <v>0</v>
      </c>
      <c r="V32" s="26" t="e">
        <f t="shared" si="6"/>
        <v>#N/A</v>
      </c>
      <c r="W32" s="73" t="str">
        <f t="shared" si="7"/>
        <v/>
      </c>
    </row>
    <row r="33" spans="1:23">
      <c r="A33" s="73" t="s">
        <v>113</v>
      </c>
      <c r="B33" s="77">
        <f>VLOOKUP($A33, 'BJ-byM'!$B:$P, COLUMN(), 0)</f>
        <v>0</v>
      </c>
      <c r="C33" s="26">
        <f t="shared" si="8"/>
        <v>0</v>
      </c>
      <c r="D33" s="77">
        <f>VLOOKUP($A33, 'BJ-byM'!$B:$P, COLUMN()+1, 0)</f>
        <v>0</v>
      </c>
      <c r="E33" s="26">
        <f t="shared" si="9"/>
        <v>0</v>
      </c>
      <c r="F33" s="73" t="str">
        <f t="shared" si="10"/>
        <v>=</v>
      </c>
      <c r="H33" s="71" t="s">
        <v>54</v>
      </c>
      <c r="I33" s="71">
        <v>99753</v>
      </c>
      <c r="J33" s="7">
        <v>1</v>
      </c>
      <c r="K33" s="7"/>
      <c r="L33" s="7"/>
      <c r="M33" s="7"/>
      <c r="N33" s="7"/>
      <c r="O33" s="7">
        <v>1</v>
      </c>
      <c r="Q33" s="7"/>
      <c r="R33" s="73" t="s">
        <v>113</v>
      </c>
      <c r="S33" s="77">
        <f>VLOOKUP($R33, 'BJ-byM'!$B:$P, COLUMN()-15, 0)</f>
        <v>0</v>
      </c>
      <c r="T33" s="26" t="e">
        <f t="shared" si="5"/>
        <v>#N/A</v>
      </c>
      <c r="U33" s="77">
        <f>VLOOKUP($R33, 'BJ-byM'!$B:$P, COLUMN()-14, 0)</f>
        <v>0</v>
      </c>
      <c r="V33" s="26" t="e">
        <f t="shared" si="6"/>
        <v>#N/A</v>
      </c>
      <c r="W33" s="73" t="str">
        <f t="shared" si="7"/>
        <v/>
      </c>
    </row>
    <row r="34" spans="1:23">
      <c r="A34" s="73" t="s">
        <v>38</v>
      </c>
      <c r="B34" s="77">
        <f>VLOOKUP($A34, 'BJ-byM'!$B:$P, COLUMN(), 0)</f>
        <v>0</v>
      </c>
      <c r="C34" s="26">
        <f t="shared" si="8"/>
        <v>0</v>
      </c>
      <c r="D34" s="77">
        <f>VLOOKUP($A34, 'BJ-byM'!$B:$P, COLUMN()+1, 0)</f>
        <v>0</v>
      </c>
      <c r="E34" s="26">
        <f t="shared" si="9"/>
        <v>0</v>
      </c>
      <c r="F34" s="73" t="str">
        <f t="shared" si="10"/>
        <v>=</v>
      </c>
      <c r="H34" s="71" t="s">
        <v>54</v>
      </c>
      <c r="I34" s="71">
        <v>101171</v>
      </c>
      <c r="J34" s="7"/>
      <c r="K34" s="7">
        <v>1</v>
      </c>
      <c r="L34" s="7"/>
      <c r="M34" s="7"/>
      <c r="N34" s="7"/>
      <c r="O34" s="7">
        <v>1</v>
      </c>
      <c r="Q34" s="7"/>
      <c r="R34" s="73" t="s">
        <v>38</v>
      </c>
      <c r="S34" s="77">
        <f>VLOOKUP($R34, 'BJ-byM'!$B:$P, COLUMN()-15, 0)</f>
        <v>0</v>
      </c>
      <c r="T34" s="26" t="e">
        <f t="shared" si="5"/>
        <v>#N/A</v>
      </c>
      <c r="U34" s="77">
        <f>VLOOKUP($R34, 'BJ-byM'!$B:$P, COLUMN()-14, 0)</f>
        <v>0</v>
      </c>
      <c r="V34" s="26" t="e">
        <f t="shared" si="6"/>
        <v>#N/A</v>
      </c>
      <c r="W34" s="73" t="str">
        <f t="shared" si="7"/>
        <v/>
      </c>
    </row>
    <row r="35" spans="1:23">
      <c r="A35" s="73" t="s">
        <v>82</v>
      </c>
      <c r="B35" s="77">
        <f>VLOOKUP($A35, 'BJ-byM'!$B:$P, COLUMN(), 0)</f>
        <v>0</v>
      </c>
      <c r="C35" s="26">
        <f t="shared" si="8"/>
        <v>0</v>
      </c>
      <c r="D35" s="77">
        <f>VLOOKUP($A35, 'BJ-byM'!$B:$P, COLUMN()+1, 0)</f>
        <v>0</v>
      </c>
      <c r="E35" s="26">
        <f t="shared" si="9"/>
        <v>0</v>
      </c>
      <c r="F35" s="73" t="str">
        <f t="shared" si="10"/>
        <v>=</v>
      </c>
      <c r="H35" s="71" t="s">
        <v>54</v>
      </c>
      <c r="I35" s="71">
        <v>101218</v>
      </c>
      <c r="J35" s="7"/>
      <c r="K35" s="7">
        <v>2</v>
      </c>
      <c r="L35" s="7"/>
      <c r="M35" s="7"/>
      <c r="N35" s="7"/>
      <c r="O35" s="7">
        <v>2</v>
      </c>
      <c r="Q35" s="7"/>
      <c r="R35" s="73" t="s">
        <v>82</v>
      </c>
      <c r="S35" s="77">
        <f>VLOOKUP($R35, 'BJ-byM'!$B:$P, COLUMN()-15, 0)</f>
        <v>0</v>
      </c>
      <c r="T35" s="26" t="e">
        <f t="shared" si="5"/>
        <v>#N/A</v>
      </c>
      <c r="U35" s="77">
        <f>VLOOKUP($R35, 'BJ-byM'!$B:$P, COLUMN()-14, 0)</f>
        <v>0</v>
      </c>
      <c r="V35" s="26" t="e">
        <f t="shared" si="6"/>
        <v>#N/A</v>
      </c>
      <c r="W35" s="73" t="str">
        <f t="shared" si="7"/>
        <v/>
      </c>
    </row>
    <row r="36" spans="1:23">
      <c r="A36" s="73" t="s">
        <v>1188</v>
      </c>
      <c r="B36" s="77">
        <f>VLOOKUP($A36, 'BJ-byM'!$B:$P, COLUMN(), 0)</f>
        <v>0</v>
      </c>
      <c r="C36" s="26">
        <f t="shared" si="8"/>
        <v>0</v>
      </c>
      <c r="D36" s="77">
        <f>VLOOKUP($A36, 'BJ-byM'!$B:$P, COLUMN()+1, 0)</f>
        <v>0</v>
      </c>
      <c r="E36" s="26">
        <f t="shared" si="9"/>
        <v>0</v>
      </c>
      <c r="F36" s="73" t="str">
        <f t="shared" si="10"/>
        <v>=</v>
      </c>
      <c r="H36" s="71" t="s">
        <v>54</v>
      </c>
      <c r="I36" s="71">
        <v>101615</v>
      </c>
      <c r="J36" s="7"/>
      <c r="K36" s="7">
        <v>1</v>
      </c>
      <c r="L36" s="7"/>
      <c r="M36" s="7"/>
      <c r="N36" s="7"/>
      <c r="O36" s="7">
        <v>1</v>
      </c>
      <c r="Q36" s="7"/>
      <c r="R36" s="73" t="s">
        <v>1188</v>
      </c>
      <c r="S36" s="77">
        <f>VLOOKUP($R36, 'BJ-byM'!$B:$P, COLUMN()-15, 0)</f>
        <v>0</v>
      </c>
      <c r="T36" s="26" t="e">
        <f t="shared" si="5"/>
        <v>#N/A</v>
      </c>
      <c r="U36" s="77">
        <f>VLOOKUP($R36, 'BJ-byM'!$B:$P, COLUMN()-14, 0)</f>
        <v>0</v>
      </c>
      <c r="V36" s="26" t="e">
        <f t="shared" si="6"/>
        <v>#N/A</v>
      </c>
      <c r="W36" s="73" t="str">
        <f t="shared" si="7"/>
        <v/>
      </c>
    </row>
    <row r="37" spans="1:23">
      <c r="A37" s="73" t="s">
        <v>1159</v>
      </c>
      <c r="B37" s="77">
        <f>VLOOKUP($A37, 'BJ-byM'!$B:$P, COLUMN(), 0)</f>
        <v>0</v>
      </c>
      <c r="C37" s="26">
        <f t="shared" si="8"/>
        <v>0</v>
      </c>
      <c r="D37" s="77">
        <f>VLOOKUP($A37, 'BJ-byM'!$B:$P, COLUMN()+1, 0)</f>
        <v>0</v>
      </c>
      <c r="E37" s="26">
        <f t="shared" si="9"/>
        <v>0</v>
      </c>
      <c r="F37" s="73" t="str">
        <f t="shared" si="10"/>
        <v>=</v>
      </c>
      <c r="H37" s="71" t="s">
        <v>54</v>
      </c>
      <c r="I37" s="71">
        <v>102405</v>
      </c>
      <c r="J37" s="7"/>
      <c r="K37" s="7">
        <v>1</v>
      </c>
      <c r="L37" s="7"/>
      <c r="M37" s="7"/>
      <c r="N37" s="7"/>
      <c r="O37" s="7">
        <v>1</v>
      </c>
      <c r="Q37" s="7"/>
      <c r="R37" s="73" t="s">
        <v>1159</v>
      </c>
      <c r="S37" s="77">
        <f>VLOOKUP($R37, 'BJ-byM'!$B:$P, COLUMN()-15, 0)</f>
        <v>0</v>
      </c>
      <c r="T37" s="26" t="e">
        <f t="shared" si="5"/>
        <v>#N/A</v>
      </c>
      <c r="U37" s="77">
        <f>VLOOKUP($R37, 'BJ-byM'!$B:$P, COLUMN()-14, 0)</f>
        <v>0</v>
      </c>
      <c r="V37" s="26" t="e">
        <f t="shared" si="6"/>
        <v>#N/A</v>
      </c>
      <c r="W37" s="73" t="str">
        <f t="shared" si="7"/>
        <v/>
      </c>
    </row>
    <row r="38" spans="1:23">
      <c r="A38" s="73" t="s">
        <v>64</v>
      </c>
      <c r="B38" s="77">
        <f>VLOOKUP($A38, 'BJ-byM'!$B:$P, COLUMN(), 0)</f>
        <v>0</v>
      </c>
      <c r="C38" s="26">
        <f t="shared" si="8"/>
        <v>0</v>
      </c>
      <c r="D38" s="77">
        <f>VLOOKUP($A38, 'BJ-byM'!$B:$P, COLUMN()+1, 0)</f>
        <v>0</v>
      </c>
      <c r="E38" s="26">
        <f t="shared" si="9"/>
        <v>0</v>
      </c>
      <c r="F38" s="73" t="str">
        <f t="shared" si="10"/>
        <v>=</v>
      </c>
      <c r="H38" s="71" t="s">
        <v>54</v>
      </c>
      <c r="I38" s="71">
        <v>102406</v>
      </c>
      <c r="J38" s="7"/>
      <c r="K38" s="7">
        <v>1</v>
      </c>
      <c r="L38" s="7"/>
      <c r="M38" s="7"/>
      <c r="N38" s="7"/>
      <c r="O38" s="7">
        <v>1</v>
      </c>
      <c r="Q38" s="7"/>
      <c r="R38" s="73" t="s">
        <v>64</v>
      </c>
      <c r="S38" s="77">
        <f>VLOOKUP($R38, 'BJ-byM'!$B:$P, COLUMN()-15, 0)</f>
        <v>0</v>
      </c>
      <c r="T38" s="26" t="e">
        <f t="shared" si="5"/>
        <v>#N/A</v>
      </c>
      <c r="U38" s="77">
        <f>VLOOKUP($R38, 'BJ-byM'!$B:$P, COLUMN()-14, 0)</f>
        <v>0</v>
      </c>
      <c r="V38" s="26" t="e">
        <f t="shared" si="6"/>
        <v>#N/A</v>
      </c>
      <c r="W38" s="73" t="str">
        <f t="shared" si="7"/>
        <v/>
      </c>
    </row>
    <row r="39" spans="1:23">
      <c r="H39" s="71" t="s">
        <v>54</v>
      </c>
      <c r="I39" s="71">
        <v>102407</v>
      </c>
      <c r="J39" s="7"/>
      <c r="K39" s="7">
        <v>1</v>
      </c>
      <c r="L39" s="7"/>
      <c r="M39" s="7"/>
      <c r="N39" s="7"/>
      <c r="O39" s="7">
        <v>1</v>
      </c>
      <c r="Q39" s="7"/>
    </row>
    <row r="40" spans="1:23">
      <c r="H40" s="71" t="s">
        <v>54</v>
      </c>
      <c r="I40" s="71">
        <v>102408</v>
      </c>
      <c r="J40" s="7"/>
      <c r="K40" s="7">
        <v>1</v>
      </c>
      <c r="L40" s="7"/>
      <c r="M40" s="7"/>
      <c r="N40" s="7"/>
      <c r="O40" s="7">
        <v>1</v>
      </c>
      <c r="Q40" s="7"/>
    </row>
    <row r="41" spans="1:23">
      <c r="H41" s="71" t="s">
        <v>54</v>
      </c>
      <c r="I41" s="71">
        <v>102409</v>
      </c>
      <c r="J41" s="7"/>
      <c r="K41" s="7">
        <v>1</v>
      </c>
      <c r="L41" s="7"/>
      <c r="M41" s="7"/>
      <c r="N41" s="7"/>
      <c r="O41" s="7">
        <v>1</v>
      </c>
      <c r="Q41" s="7"/>
    </row>
    <row r="42" spans="1:23">
      <c r="H42" s="71" t="s">
        <v>54</v>
      </c>
      <c r="I42" s="71">
        <v>102410</v>
      </c>
      <c r="J42" s="7"/>
      <c r="K42" s="7">
        <v>1</v>
      </c>
      <c r="L42" s="7"/>
      <c r="M42" s="7"/>
      <c r="N42" s="7"/>
      <c r="O42" s="7">
        <v>1</v>
      </c>
      <c r="Q42" s="7"/>
    </row>
    <row r="43" spans="1:23">
      <c r="H43" s="71" t="s">
        <v>54</v>
      </c>
      <c r="I43" s="71">
        <v>102411</v>
      </c>
      <c r="J43" s="7"/>
      <c r="K43" s="7">
        <v>1</v>
      </c>
      <c r="L43" s="7"/>
      <c r="M43" s="7"/>
      <c r="N43" s="7"/>
      <c r="O43" s="7">
        <v>1</v>
      </c>
      <c r="Q43" s="7"/>
    </row>
    <row r="44" spans="1:23">
      <c r="H44" s="71" t="s">
        <v>54</v>
      </c>
      <c r="I44" s="71">
        <v>103471</v>
      </c>
      <c r="J44" s="7"/>
      <c r="K44" s="7">
        <v>1</v>
      </c>
      <c r="L44" s="7"/>
      <c r="M44" s="7"/>
      <c r="N44" s="7"/>
      <c r="O44" s="7">
        <v>1</v>
      </c>
      <c r="Q44" s="7"/>
    </row>
    <row r="45" spans="1:23">
      <c r="H45" s="71" t="s">
        <v>54</v>
      </c>
      <c r="I45" s="71">
        <v>104194</v>
      </c>
      <c r="J45" s="7"/>
      <c r="K45" s="7">
        <v>1</v>
      </c>
      <c r="L45" s="7"/>
      <c r="M45" s="7"/>
      <c r="N45" s="7"/>
      <c r="O45" s="7">
        <v>1</v>
      </c>
      <c r="Q45" s="7"/>
    </row>
    <row r="46" spans="1:23">
      <c r="H46" s="71" t="s">
        <v>54</v>
      </c>
      <c r="I46" s="71">
        <v>104719</v>
      </c>
      <c r="J46" s="7"/>
      <c r="K46" s="7"/>
      <c r="L46" s="7">
        <v>1</v>
      </c>
      <c r="M46" s="7"/>
      <c r="N46" s="7"/>
      <c r="O46" s="7">
        <v>1</v>
      </c>
      <c r="Q46" s="7"/>
    </row>
    <row r="47" spans="1:23">
      <c r="H47" s="71" t="s">
        <v>54</v>
      </c>
      <c r="I47" s="71">
        <v>104966</v>
      </c>
      <c r="J47" s="7"/>
      <c r="K47" s="7">
        <v>1</v>
      </c>
      <c r="L47" s="7"/>
      <c r="M47" s="7"/>
      <c r="N47" s="7"/>
      <c r="O47" s="7">
        <v>1</v>
      </c>
      <c r="Q47" s="7"/>
    </row>
    <row r="48" spans="1:23">
      <c r="H48" s="71" t="s">
        <v>54</v>
      </c>
      <c r="I48" s="71">
        <v>105719</v>
      </c>
      <c r="J48" s="7"/>
      <c r="K48" s="7">
        <v>2</v>
      </c>
      <c r="L48" s="7"/>
      <c r="M48" s="7"/>
      <c r="N48" s="7"/>
      <c r="O48" s="7">
        <v>2</v>
      </c>
      <c r="Q48" s="7"/>
    </row>
    <row r="49" spans="8:17">
      <c r="H49" s="71" t="s">
        <v>54</v>
      </c>
      <c r="I49" s="71">
        <v>106057</v>
      </c>
      <c r="J49" s="7"/>
      <c r="K49" s="7"/>
      <c r="L49" s="7">
        <v>1</v>
      </c>
      <c r="M49" s="7"/>
      <c r="N49" s="7"/>
      <c r="O49" s="7">
        <v>1</v>
      </c>
      <c r="Q49" s="7"/>
    </row>
    <row r="50" spans="8:17">
      <c r="H50" s="71" t="s">
        <v>54</v>
      </c>
      <c r="I50" s="71">
        <v>106172</v>
      </c>
      <c r="J50" s="7">
        <v>1</v>
      </c>
      <c r="K50" s="7"/>
      <c r="L50" s="7"/>
      <c r="M50" s="7"/>
      <c r="N50" s="7"/>
      <c r="O50" s="7">
        <v>1</v>
      </c>
      <c r="Q50" s="7"/>
    </row>
    <row r="51" spans="8:17">
      <c r="H51" s="71" t="s">
        <v>54</v>
      </c>
      <c r="I51" s="71">
        <v>106604</v>
      </c>
      <c r="J51" s="7"/>
      <c r="K51" s="7">
        <v>1</v>
      </c>
      <c r="L51" s="7"/>
      <c r="M51" s="7"/>
      <c r="N51" s="7"/>
      <c r="O51" s="7">
        <v>1</v>
      </c>
      <c r="Q51" s="7"/>
    </row>
    <row r="52" spans="8:17">
      <c r="H52" s="71" t="s">
        <v>54</v>
      </c>
      <c r="I52" s="71">
        <v>107267</v>
      </c>
      <c r="J52" s="7"/>
      <c r="K52" s="7"/>
      <c r="L52" s="7"/>
      <c r="M52" s="7"/>
      <c r="N52" s="7">
        <v>1</v>
      </c>
      <c r="O52" s="7">
        <v>1</v>
      </c>
      <c r="Q52" s="7"/>
    </row>
    <row r="53" spans="8:17">
      <c r="H53" s="71" t="s">
        <v>54</v>
      </c>
      <c r="I53" s="71">
        <v>108095</v>
      </c>
      <c r="J53" s="7"/>
      <c r="K53" s="7">
        <v>2</v>
      </c>
      <c r="L53" s="7"/>
      <c r="M53" s="7"/>
      <c r="N53" s="7"/>
      <c r="O53" s="7">
        <v>2</v>
      </c>
      <c r="Q53" s="7"/>
    </row>
    <row r="54" spans="8:17">
      <c r="H54" s="71" t="s">
        <v>54</v>
      </c>
      <c r="I54" s="71">
        <v>109581</v>
      </c>
      <c r="J54" s="7"/>
      <c r="K54" s="7">
        <v>1</v>
      </c>
      <c r="L54" s="7"/>
      <c r="M54" s="7"/>
      <c r="N54" s="7"/>
      <c r="O54" s="7">
        <v>1</v>
      </c>
      <c r="Q54" s="7"/>
    </row>
    <row r="55" spans="8:17">
      <c r="H55" s="71" t="s">
        <v>54</v>
      </c>
      <c r="I55" s="71">
        <v>107489</v>
      </c>
      <c r="J55" s="7"/>
      <c r="K55" s="7">
        <v>1</v>
      </c>
      <c r="L55" s="7"/>
      <c r="M55" s="7"/>
      <c r="N55" s="7"/>
      <c r="O55" s="7">
        <v>1</v>
      </c>
      <c r="Q55" s="7"/>
    </row>
    <row r="56" spans="8:17">
      <c r="H56" s="71" t="s">
        <v>54</v>
      </c>
      <c r="I56" s="71">
        <v>109162</v>
      </c>
      <c r="J56" s="7"/>
      <c r="K56" s="7">
        <v>1</v>
      </c>
      <c r="L56" s="7"/>
      <c r="M56" s="7"/>
      <c r="N56" s="7"/>
      <c r="O56" s="7">
        <v>1</v>
      </c>
      <c r="Q56" s="7"/>
    </row>
    <row r="57" spans="8:17">
      <c r="H57" s="71" t="s">
        <v>77</v>
      </c>
      <c r="I57" s="71">
        <v>106172</v>
      </c>
      <c r="J57" s="7">
        <v>5</v>
      </c>
      <c r="K57" s="7"/>
      <c r="L57" s="7"/>
      <c r="M57" s="7"/>
      <c r="N57" s="7"/>
      <c r="O57" s="7">
        <v>5</v>
      </c>
      <c r="Q57" s="7"/>
    </row>
    <row r="58" spans="8:17">
      <c r="H58" s="71" t="s">
        <v>39</v>
      </c>
      <c r="I58" s="71">
        <v>88208</v>
      </c>
      <c r="J58" s="7"/>
      <c r="K58" s="7"/>
      <c r="L58" s="7">
        <v>2</v>
      </c>
      <c r="M58" s="7"/>
      <c r="N58" s="7"/>
      <c r="O58" s="7">
        <v>2</v>
      </c>
      <c r="Q58" s="7"/>
    </row>
    <row r="59" spans="8:17">
      <c r="H59" s="71" t="s">
        <v>39</v>
      </c>
      <c r="I59" s="71">
        <v>91581</v>
      </c>
      <c r="J59" s="7"/>
      <c r="K59" s="7">
        <v>1</v>
      </c>
      <c r="L59" s="7"/>
      <c r="M59" s="7"/>
      <c r="N59" s="7"/>
      <c r="O59" s="7">
        <v>1</v>
      </c>
      <c r="Q59" s="7"/>
    </row>
    <row r="60" spans="8:17">
      <c r="H60" s="71" t="s">
        <v>39</v>
      </c>
      <c r="I60" s="71">
        <v>91582</v>
      </c>
      <c r="J60" s="7"/>
      <c r="K60" s="7">
        <v>1</v>
      </c>
      <c r="L60" s="7"/>
      <c r="M60" s="7"/>
      <c r="N60" s="7"/>
      <c r="O60" s="7">
        <v>1</v>
      </c>
      <c r="Q60" s="7"/>
    </row>
    <row r="61" spans="8:17">
      <c r="H61" s="71" t="s">
        <v>39</v>
      </c>
      <c r="I61" s="71">
        <v>91583</v>
      </c>
      <c r="J61" s="7"/>
      <c r="K61" s="7">
        <v>1</v>
      </c>
      <c r="L61" s="7"/>
      <c r="M61" s="7"/>
      <c r="N61" s="7"/>
      <c r="O61" s="7">
        <v>1</v>
      </c>
      <c r="Q61" s="7"/>
    </row>
    <row r="62" spans="8:17">
      <c r="H62" s="71" t="s">
        <v>39</v>
      </c>
      <c r="I62" s="71">
        <v>92111</v>
      </c>
      <c r="J62" s="7"/>
      <c r="K62" s="7"/>
      <c r="L62" s="7"/>
      <c r="M62" s="7"/>
      <c r="N62" s="7">
        <v>1</v>
      </c>
      <c r="O62" s="7">
        <v>1</v>
      </c>
      <c r="Q62" s="7"/>
    </row>
    <row r="63" spans="8:17">
      <c r="H63" s="71" t="s">
        <v>39</v>
      </c>
      <c r="I63" s="71">
        <v>92993</v>
      </c>
      <c r="J63" s="7"/>
      <c r="K63" s="7">
        <v>1</v>
      </c>
      <c r="L63" s="7"/>
      <c r="M63" s="7"/>
      <c r="N63" s="7"/>
      <c r="O63" s="7">
        <v>1</v>
      </c>
      <c r="Q63" s="7"/>
    </row>
    <row r="64" spans="8:17">
      <c r="H64" s="71" t="s">
        <v>39</v>
      </c>
      <c r="I64" s="71">
        <v>95493</v>
      </c>
      <c r="J64" s="7"/>
      <c r="K64" s="7">
        <v>1</v>
      </c>
      <c r="L64" s="7"/>
      <c r="M64" s="7"/>
      <c r="N64" s="7"/>
      <c r="O64" s="7">
        <v>1</v>
      </c>
      <c r="Q64" s="7"/>
    </row>
    <row r="65" spans="8:17">
      <c r="H65" s="71" t="s">
        <v>39</v>
      </c>
      <c r="I65" s="71">
        <v>96189</v>
      </c>
      <c r="J65" s="7"/>
      <c r="K65" s="7">
        <v>1</v>
      </c>
      <c r="L65" s="7"/>
      <c r="M65" s="7"/>
      <c r="N65" s="7"/>
      <c r="O65" s="7">
        <v>1</v>
      </c>
      <c r="Q65" s="7"/>
    </row>
    <row r="66" spans="8:17">
      <c r="H66" s="71" t="s">
        <v>39</v>
      </c>
      <c r="I66" s="71">
        <v>97744</v>
      </c>
      <c r="J66" s="7"/>
      <c r="K66" s="7">
        <v>1</v>
      </c>
      <c r="L66" s="7"/>
      <c r="M66" s="7"/>
      <c r="N66" s="7"/>
      <c r="O66" s="7">
        <v>1</v>
      </c>
      <c r="Q66" s="7"/>
    </row>
    <row r="67" spans="8:17">
      <c r="H67" s="71" t="s">
        <v>39</v>
      </c>
      <c r="I67" s="71">
        <v>98031</v>
      </c>
      <c r="J67" s="7"/>
      <c r="K67" s="7">
        <v>1</v>
      </c>
      <c r="L67" s="7"/>
      <c r="M67" s="7"/>
      <c r="N67" s="7"/>
      <c r="O67" s="7">
        <v>1</v>
      </c>
      <c r="Q67" s="7"/>
    </row>
    <row r="68" spans="8:17">
      <c r="H68" s="71" t="s">
        <v>39</v>
      </c>
      <c r="I68" s="71">
        <v>98105</v>
      </c>
      <c r="J68" s="7"/>
      <c r="K68" s="7">
        <v>1</v>
      </c>
      <c r="L68" s="7"/>
      <c r="M68" s="7"/>
      <c r="N68" s="7"/>
      <c r="O68" s="7">
        <v>1</v>
      </c>
      <c r="Q68" s="7"/>
    </row>
    <row r="69" spans="8:17">
      <c r="H69" s="71" t="s">
        <v>39</v>
      </c>
      <c r="I69" s="71">
        <v>100087</v>
      </c>
      <c r="J69" s="7"/>
      <c r="K69" s="7">
        <v>1</v>
      </c>
      <c r="L69" s="7"/>
      <c r="M69" s="7"/>
      <c r="N69" s="7"/>
      <c r="O69" s="7">
        <v>1</v>
      </c>
      <c r="Q69" s="7"/>
    </row>
    <row r="70" spans="8:17">
      <c r="H70" s="71" t="s">
        <v>39</v>
      </c>
      <c r="I70" s="71">
        <v>104719</v>
      </c>
      <c r="J70" s="7"/>
      <c r="K70" s="7"/>
      <c r="L70" s="7">
        <v>1</v>
      </c>
      <c r="M70" s="7"/>
      <c r="N70" s="7"/>
      <c r="O70" s="7">
        <v>1</v>
      </c>
      <c r="Q70" s="7"/>
    </row>
    <row r="71" spans="8:17">
      <c r="H71" s="71" t="s">
        <v>39</v>
      </c>
      <c r="I71" s="71">
        <v>106604</v>
      </c>
      <c r="J71" s="7"/>
      <c r="K71" s="7">
        <v>1</v>
      </c>
      <c r="L71" s="7"/>
      <c r="M71" s="7"/>
      <c r="N71" s="7"/>
      <c r="O71" s="7">
        <v>1</v>
      </c>
      <c r="Q71" s="7"/>
    </row>
    <row r="72" spans="8:17">
      <c r="H72" s="71" t="s">
        <v>39</v>
      </c>
      <c r="I72" s="71">
        <v>107469</v>
      </c>
      <c r="J72" s="7"/>
      <c r="K72" s="7">
        <v>1</v>
      </c>
      <c r="L72" s="7"/>
      <c r="M72" s="7"/>
      <c r="N72" s="7"/>
      <c r="O72" s="7">
        <v>1</v>
      </c>
      <c r="Q72" s="7"/>
    </row>
    <row r="73" spans="8:17">
      <c r="H73" s="71" t="s">
        <v>39</v>
      </c>
      <c r="I73" s="71">
        <v>108095</v>
      </c>
      <c r="J73" s="7"/>
      <c r="K73" s="7">
        <v>2</v>
      </c>
      <c r="L73" s="7"/>
      <c r="M73" s="7"/>
      <c r="N73" s="7"/>
      <c r="O73" s="7">
        <v>2</v>
      </c>
      <c r="Q73" s="7"/>
    </row>
    <row r="74" spans="8:17">
      <c r="H74" s="71" t="s">
        <v>39</v>
      </c>
      <c r="I74" s="71">
        <v>109390</v>
      </c>
      <c r="J74" s="7"/>
      <c r="K74" s="7">
        <v>1</v>
      </c>
      <c r="L74" s="7"/>
      <c r="M74" s="7"/>
      <c r="N74" s="7"/>
      <c r="O74" s="7">
        <v>1</v>
      </c>
      <c r="Q74" s="7"/>
    </row>
    <row r="75" spans="8:17">
      <c r="H75" s="71" t="s">
        <v>75</v>
      </c>
      <c r="I75" s="71">
        <v>99753</v>
      </c>
      <c r="J75" s="7">
        <v>2</v>
      </c>
      <c r="K75" s="7"/>
      <c r="L75" s="7"/>
      <c r="M75" s="7"/>
      <c r="N75" s="7"/>
      <c r="O75" s="7">
        <v>2</v>
      </c>
      <c r="Q75" s="7"/>
    </row>
    <row r="76" spans="8:17">
      <c r="H76" s="71" t="s">
        <v>28</v>
      </c>
      <c r="I76" s="71">
        <v>90027</v>
      </c>
      <c r="J76" s="7"/>
      <c r="K76" s="7"/>
      <c r="L76" s="7">
        <v>3</v>
      </c>
      <c r="M76" s="7"/>
      <c r="N76" s="7"/>
      <c r="O76" s="7">
        <v>3</v>
      </c>
      <c r="Q76" s="7"/>
    </row>
    <row r="77" spans="8:17">
      <c r="H77" s="71" t="s">
        <v>28</v>
      </c>
      <c r="I77" s="71">
        <v>91581</v>
      </c>
      <c r="J77" s="7"/>
      <c r="K77" s="7">
        <v>3</v>
      </c>
      <c r="L77" s="7"/>
      <c r="M77" s="7"/>
      <c r="N77" s="7"/>
      <c r="O77" s="7">
        <v>3</v>
      </c>
      <c r="Q77" s="7"/>
    </row>
    <row r="78" spans="8:17">
      <c r="H78" s="71" t="s">
        <v>28</v>
      </c>
      <c r="I78" s="71">
        <v>91582</v>
      </c>
      <c r="J78" s="7"/>
      <c r="K78" s="7">
        <v>1</v>
      </c>
      <c r="L78" s="7"/>
      <c r="M78" s="7"/>
      <c r="N78" s="7"/>
      <c r="O78" s="7">
        <v>1</v>
      </c>
      <c r="Q78" s="7"/>
    </row>
    <row r="79" spans="8:17">
      <c r="H79" s="71" t="s">
        <v>28</v>
      </c>
      <c r="I79" s="71">
        <v>91583</v>
      </c>
      <c r="J79" s="7"/>
      <c r="K79" s="7">
        <v>1</v>
      </c>
      <c r="L79" s="7"/>
      <c r="M79" s="7"/>
      <c r="N79" s="7"/>
      <c r="O79" s="7">
        <v>1</v>
      </c>
      <c r="Q79" s="7"/>
    </row>
    <row r="80" spans="8:17">
      <c r="H80" s="71" t="s">
        <v>28</v>
      </c>
      <c r="I80" s="71">
        <v>91736</v>
      </c>
      <c r="J80" s="7">
        <v>4</v>
      </c>
      <c r="K80" s="7"/>
      <c r="L80" s="7"/>
      <c r="M80" s="7"/>
      <c r="N80" s="7"/>
      <c r="O80" s="7">
        <v>4</v>
      </c>
      <c r="Q80" s="7"/>
    </row>
    <row r="81" spans="8:17">
      <c r="H81" s="71" t="s">
        <v>28</v>
      </c>
      <c r="I81" s="71">
        <v>92111</v>
      </c>
      <c r="J81" s="7"/>
      <c r="K81" s="7"/>
      <c r="L81" s="7"/>
      <c r="M81" s="7"/>
      <c r="N81" s="7">
        <v>3</v>
      </c>
      <c r="O81" s="7">
        <v>3</v>
      </c>
      <c r="Q81" s="7"/>
    </row>
    <row r="82" spans="8:17">
      <c r="H82" s="71" t="s">
        <v>28</v>
      </c>
      <c r="I82" s="71">
        <v>92496</v>
      </c>
      <c r="J82" s="7"/>
      <c r="K82" s="7">
        <v>3</v>
      </c>
      <c r="L82" s="7"/>
      <c r="M82" s="7"/>
      <c r="N82" s="7"/>
      <c r="O82" s="7">
        <v>3</v>
      </c>
      <c r="Q82" s="7"/>
    </row>
    <row r="83" spans="8:17">
      <c r="H83" s="71" t="s">
        <v>28</v>
      </c>
      <c r="I83" s="71">
        <v>92518</v>
      </c>
      <c r="J83" s="7"/>
      <c r="K83" s="7">
        <v>1</v>
      </c>
      <c r="L83" s="7"/>
      <c r="M83" s="7"/>
      <c r="N83" s="7"/>
      <c r="O83" s="7">
        <v>1</v>
      </c>
      <c r="Q83" s="7"/>
    </row>
    <row r="84" spans="8:17">
      <c r="H84" s="71" t="s">
        <v>28</v>
      </c>
      <c r="I84" s="71">
        <v>92968</v>
      </c>
      <c r="J84" s="7"/>
      <c r="K84" s="7">
        <v>1</v>
      </c>
      <c r="L84" s="7"/>
      <c r="M84" s="7"/>
      <c r="N84" s="7"/>
      <c r="O84" s="7">
        <v>1</v>
      </c>
      <c r="Q84" s="7"/>
    </row>
    <row r="85" spans="8:17">
      <c r="H85" s="71" t="s">
        <v>28</v>
      </c>
      <c r="I85" s="71">
        <v>92969</v>
      </c>
      <c r="J85" s="7"/>
      <c r="K85" s="7">
        <v>1</v>
      </c>
      <c r="L85" s="7"/>
      <c r="M85" s="7"/>
      <c r="N85" s="7"/>
      <c r="O85" s="7">
        <v>1</v>
      </c>
      <c r="Q85" s="7"/>
    </row>
    <row r="86" spans="8:17">
      <c r="H86" s="71" t="s">
        <v>28</v>
      </c>
      <c r="I86" s="71">
        <v>92983</v>
      </c>
      <c r="J86" s="7"/>
      <c r="K86" s="7">
        <v>1</v>
      </c>
      <c r="L86" s="7"/>
      <c r="M86" s="7"/>
      <c r="N86" s="7"/>
      <c r="O86" s="7">
        <v>1</v>
      </c>
      <c r="Q86" s="7"/>
    </row>
    <row r="87" spans="8:17">
      <c r="H87" s="71" t="s">
        <v>28</v>
      </c>
      <c r="I87" s="71">
        <v>95493</v>
      </c>
      <c r="J87" s="7"/>
      <c r="K87" s="7">
        <v>2</v>
      </c>
      <c r="L87" s="7"/>
      <c r="M87" s="7"/>
      <c r="N87" s="7"/>
      <c r="O87" s="7">
        <v>2</v>
      </c>
      <c r="Q87" s="7"/>
    </row>
    <row r="88" spans="8:17">
      <c r="H88" s="71" t="s">
        <v>28</v>
      </c>
      <c r="I88" s="71">
        <v>97744</v>
      </c>
      <c r="J88" s="7"/>
      <c r="K88" s="7">
        <v>1</v>
      </c>
      <c r="L88" s="7"/>
      <c r="M88" s="7"/>
      <c r="N88" s="7"/>
      <c r="O88" s="7">
        <v>1</v>
      </c>
      <c r="Q88" s="7"/>
    </row>
    <row r="89" spans="8:17">
      <c r="H89" s="71" t="s">
        <v>28</v>
      </c>
      <c r="I89" s="71">
        <v>102405</v>
      </c>
      <c r="J89" s="7"/>
      <c r="K89" s="7">
        <v>2</v>
      </c>
      <c r="L89" s="7"/>
      <c r="M89" s="7"/>
      <c r="N89" s="7"/>
      <c r="O89" s="7">
        <v>2</v>
      </c>
      <c r="Q89" s="7"/>
    </row>
    <row r="90" spans="8:17">
      <c r="H90" s="71" t="s">
        <v>28</v>
      </c>
      <c r="I90" s="71">
        <v>102406</v>
      </c>
      <c r="J90" s="7"/>
      <c r="K90" s="7">
        <v>1</v>
      </c>
      <c r="L90" s="7"/>
      <c r="M90" s="7"/>
      <c r="N90" s="7"/>
      <c r="O90" s="7">
        <v>1</v>
      </c>
      <c r="Q90" s="7"/>
    </row>
    <row r="91" spans="8:17">
      <c r="H91" s="71" t="s">
        <v>28</v>
      </c>
      <c r="I91" s="71">
        <v>102408</v>
      </c>
      <c r="J91" s="7"/>
      <c r="K91" s="7">
        <v>1</v>
      </c>
      <c r="L91" s="7"/>
      <c r="M91" s="7"/>
      <c r="N91" s="7"/>
      <c r="O91" s="7">
        <v>1</v>
      </c>
      <c r="Q91" s="7"/>
    </row>
    <row r="92" spans="8:17">
      <c r="H92" s="71" t="s">
        <v>28</v>
      </c>
      <c r="I92" s="71">
        <v>102409</v>
      </c>
      <c r="J92" s="7"/>
      <c r="K92" s="7">
        <v>1</v>
      </c>
      <c r="L92" s="7"/>
      <c r="M92" s="7"/>
      <c r="N92" s="7"/>
      <c r="O92" s="7">
        <v>1</v>
      </c>
      <c r="Q92" s="7"/>
    </row>
    <row r="93" spans="8:17">
      <c r="H93" s="71" t="s">
        <v>28</v>
      </c>
      <c r="I93" s="71">
        <v>102410</v>
      </c>
      <c r="J93" s="7"/>
      <c r="K93" s="7">
        <v>1</v>
      </c>
      <c r="L93" s="7"/>
      <c r="M93" s="7"/>
      <c r="N93" s="7"/>
      <c r="O93" s="7">
        <v>1</v>
      </c>
      <c r="Q93" s="7"/>
    </row>
    <row r="94" spans="8:17">
      <c r="H94" s="71" t="s">
        <v>28</v>
      </c>
      <c r="I94" s="71">
        <v>102420</v>
      </c>
      <c r="J94" s="7"/>
      <c r="K94" s="7">
        <v>1</v>
      </c>
      <c r="L94" s="7"/>
      <c r="M94" s="7"/>
      <c r="N94" s="7"/>
      <c r="O94" s="7">
        <v>1</v>
      </c>
      <c r="Q94" s="7"/>
    </row>
    <row r="95" spans="8:17">
      <c r="H95" s="71" t="s">
        <v>28</v>
      </c>
      <c r="I95" s="71">
        <v>104966</v>
      </c>
      <c r="J95" s="7"/>
      <c r="K95" s="7">
        <v>1</v>
      </c>
      <c r="L95" s="7"/>
      <c r="M95" s="7"/>
      <c r="N95" s="7"/>
      <c r="O95" s="7">
        <v>1</v>
      </c>
      <c r="Q95" s="7"/>
    </row>
    <row r="96" spans="8:17">
      <c r="H96" s="71" t="s">
        <v>28</v>
      </c>
      <c r="I96" s="71">
        <v>105719</v>
      </c>
      <c r="J96" s="7"/>
      <c r="K96" s="7">
        <v>1</v>
      </c>
      <c r="L96" s="7"/>
      <c r="M96" s="7"/>
      <c r="N96" s="7"/>
      <c r="O96" s="7">
        <v>1</v>
      </c>
      <c r="Q96" s="7"/>
    </row>
    <row r="97" spans="8:17">
      <c r="H97" s="71" t="s">
        <v>28</v>
      </c>
      <c r="I97" s="71">
        <v>106057</v>
      </c>
      <c r="J97" s="7"/>
      <c r="K97" s="7"/>
      <c r="L97" s="7">
        <v>1</v>
      </c>
      <c r="M97" s="7"/>
      <c r="N97" s="7"/>
      <c r="O97" s="7">
        <v>1</v>
      </c>
      <c r="Q97" s="7"/>
    </row>
    <row r="98" spans="8:17">
      <c r="H98" s="71" t="s">
        <v>28</v>
      </c>
      <c r="I98" s="71">
        <v>106172</v>
      </c>
      <c r="J98" s="7">
        <v>2</v>
      </c>
      <c r="K98" s="7"/>
      <c r="L98" s="7"/>
      <c r="M98" s="7"/>
      <c r="N98" s="7"/>
      <c r="O98" s="7">
        <v>2</v>
      </c>
      <c r="Q98" s="7"/>
    </row>
    <row r="99" spans="8:17">
      <c r="H99" s="71" t="s">
        <v>28</v>
      </c>
      <c r="I99" s="71">
        <v>106604</v>
      </c>
      <c r="J99" s="7"/>
      <c r="K99" s="7">
        <v>1</v>
      </c>
      <c r="L99" s="7"/>
      <c r="M99" s="7"/>
      <c r="N99" s="7"/>
      <c r="O99" s="7">
        <v>1</v>
      </c>
      <c r="Q99" s="7"/>
    </row>
    <row r="100" spans="8:17">
      <c r="H100" s="71" t="s">
        <v>28</v>
      </c>
      <c r="I100" s="71">
        <v>107267</v>
      </c>
      <c r="J100" s="7"/>
      <c r="K100" s="7"/>
      <c r="L100" s="7"/>
      <c r="M100" s="7"/>
      <c r="N100" s="7">
        <v>2</v>
      </c>
      <c r="O100" s="7">
        <v>2</v>
      </c>
      <c r="Q100" s="7"/>
    </row>
    <row r="101" spans="8:17">
      <c r="H101" s="71" t="s">
        <v>28</v>
      </c>
      <c r="I101" s="71">
        <v>108095</v>
      </c>
      <c r="J101" s="7"/>
      <c r="K101" s="7">
        <v>2</v>
      </c>
      <c r="L101" s="7"/>
      <c r="M101" s="7"/>
      <c r="N101" s="7"/>
      <c r="O101" s="7">
        <v>2</v>
      </c>
      <c r="Q101" s="7"/>
    </row>
    <row r="102" spans="8:17">
      <c r="H102" s="71" t="s">
        <v>28</v>
      </c>
      <c r="I102" s="71">
        <v>108411</v>
      </c>
      <c r="J102" s="7"/>
      <c r="K102" s="7">
        <v>1</v>
      </c>
      <c r="L102" s="7"/>
      <c r="M102" s="7"/>
      <c r="N102" s="7"/>
      <c r="O102" s="7">
        <v>1</v>
      </c>
      <c r="Q102" s="7"/>
    </row>
    <row r="103" spans="8:17">
      <c r="H103" s="71" t="s">
        <v>28</v>
      </c>
      <c r="I103" s="71">
        <v>107489</v>
      </c>
      <c r="J103" s="7"/>
      <c r="K103" s="7">
        <v>1</v>
      </c>
      <c r="L103" s="7"/>
      <c r="M103" s="7"/>
      <c r="N103" s="7"/>
      <c r="O103" s="7">
        <v>1</v>
      </c>
      <c r="Q103" s="7"/>
    </row>
    <row r="104" spans="8:17">
      <c r="H104" s="71" t="s">
        <v>24</v>
      </c>
      <c r="I104" s="71">
        <v>91736</v>
      </c>
      <c r="J104" s="7">
        <v>3</v>
      </c>
      <c r="K104" s="7"/>
      <c r="L104" s="7"/>
      <c r="M104" s="7"/>
      <c r="N104" s="7"/>
      <c r="O104" s="7">
        <v>3</v>
      </c>
      <c r="Q104" s="7"/>
    </row>
    <row r="105" spans="8:17">
      <c r="H105" s="71" t="s">
        <v>26</v>
      </c>
      <c r="I105" s="71">
        <v>91736</v>
      </c>
      <c r="J105" s="7">
        <v>1</v>
      </c>
      <c r="K105" s="7"/>
      <c r="L105" s="7"/>
      <c r="M105" s="7"/>
      <c r="N105" s="7"/>
      <c r="O105" s="7">
        <v>1</v>
      </c>
      <c r="Q105" s="7"/>
    </row>
    <row r="106" spans="8:17">
      <c r="H106" s="71" t="s">
        <v>26</v>
      </c>
      <c r="I106" s="71">
        <v>93300</v>
      </c>
      <c r="J106" s="7"/>
      <c r="K106" s="7">
        <v>1</v>
      </c>
      <c r="L106" s="7"/>
      <c r="M106" s="7"/>
      <c r="N106" s="7"/>
      <c r="O106" s="7">
        <v>1</v>
      </c>
      <c r="Q106" s="7"/>
    </row>
    <row r="107" spans="8:17">
      <c r="H107" s="71" t="s">
        <v>1902</v>
      </c>
      <c r="J107" s="7">
        <v>23</v>
      </c>
      <c r="K107" s="7">
        <v>93</v>
      </c>
      <c r="L107" s="7">
        <v>10</v>
      </c>
      <c r="M107" s="7">
        <v>1</v>
      </c>
      <c r="N107" s="7">
        <v>7</v>
      </c>
      <c r="O107" s="7">
        <v>134</v>
      </c>
      <c r="Q107" s="7"/>
    </row>
    <row r="108" spans="8:17">
      <c r="Q108" s="7"/>
    </row>
    <row r="109" spans="8:17">
      <c r="Q109" s="7"/>
    </row>
    <row r="110" spans="8:17">
      <c r="Q110" s="7"/>
    </row>
    <row r="111" spans="8:17">
      <c r="Q111" s="7"/>
    </row>
    <row r="112" spans="8:17">
      <c r="Q112" s="7"/>
    </row>
    <row r="113" spans="17:17">
      <c r="Q113" s="7"/>
    </row>
    <row r="114" spans="17:17">
      <c r="Q114" s="7"/>
    </row>
    <row r="115" spans="17:17">
      <c r="Q115" s="7"/>
    </row>
    <row r="116" spans="17:17">
      <c r="Q116" s="7"/>
    </row>
    <row r="117" spans="17:17">
      <c r="Q117" s="7"/>
    </row>
    <row r="118" spans="17:17">
      <c r="Q118" s="7"/>
    </row>
    <row r="119" spans="17:17">
      <c r="Q119" s="7"/>
    </row>
    <row r="120" spans="17:17">
      <c r="Q120" s="7"/>
    </row>
    <row r="121" spans="17:17">
      <c r="Q121" s="7"/>
    </row>
    <row r="122" spans="17:17">
      <c r="Q122" s="7"/>
    </row>
    <row r="123" spans="17:17">
      <c r="Q123" s="7"/>
    </row>
    <row r="124" spans="17:17">
      <c r="Q124" s="7"/>
    </row>
    <row r="125" spans="17:17">
      <c r="Q125" s="7"/>
    </row>
    <row r="126" spans="17:17">
      <c r="Q126" s="7"/>
    </row>
    <row r="127" spans="17:17">
      <c r="Q127" s="7"/>
    </row>
    <row r="128" spans="17:17">
      <c r="Q128" s="7"/>
    </row>
    <row r="129" spans="17:17">
      <c r="Q129" s="7"/>
    </row>
    <row r="130" spans="17:17">
      <c r="Q130" s="7"/>
    </row>
    <row r="131" spans="17:17">
      <c r="Q131" s="7"/>
    </row>
    <row r="132" spans="17:17">
      <c r="Q132" s="7"/>
    </row>
    <row r="133" spans="17:17">
      <c r="Q133" s="7"/>
    </row>
    <row r="134" spans="17:17">
      <c r="Q134" s="7"/>
    </row>
    <row r="135" spans="17:17">
      <c r="Q135" s="7"/>
    </row>
    <row r="136" spans="17:17">
      <c r="Q136" s="7"/>
    </row>
    <row r="137" spans="17:17">
      <c r="Q137" s="7"/>
    </row>
    <row r="138" spans="17:17">
      <c r="Q138" s="7"/>
    </row>
    <row r="139" spans="17:17">
      <c r="Q139" s="7"/>
    </row>
    <row r="140" spans="17:17">
      <c r="Q140" s="7"/>
    </row>
    <row r="141" spans="17:17">
      <c r="Q141" s="7"/>
    </row>
    <row r="142" spans="17:17">
      <c r="Q142" s="7"/>
    </row>
    <row r="143" spans="17:17">
      <c r="Q143" s="7"/>
    </row>
    <row r="144" spans="17:17">
      <c r="Q144" s="7"/>
    </row>
    <row r="145" spans="17:17">
      <c r="Q145" s="7"/>
    </row>
    <row r="146" spans="17:17">
      <c r="Q146" s="7"/>
    </row>
    <row r="147" spans="17:17">
      <c r="Q147" s="7"/>
    </row>
    <row r="148" spans="17:17">
      <c r="Q148" s="7"/>
    </row>
    <row r="149" spans="17:17">
      <c r="Q149" s="7"/>
    </row>
    <row r="150" spans="17:17">
      <c r="Q150" s="7"/>
    </row>
    <row r="151" spans="17:17">
      <c r="Q151" s="7"/>
    </row>
    <row r="152" spans="17:17">
      <c r="Q152" s="7"/>
    </row>
    <row r="153" spans="17:17">
      <c r="Q153" s="7"/>
    </row>
    <row r="154" spans="17:17">
      <c r="Q154" s="7"/>
    </row>
    <row r="155" spans="17:17">
      <c r="Q155" s="7"/>
    </row>
    <row r="156" spans="17:17">
      <c r="Q156" s="7"/>
    </row>
    <row r="157" spans="17:17">
      <c r="Q157" s="7"/>
    </row>
    <row r="158" spans="17:17">
      <c r="Q158" s="7"/>
    </row>
    <row r="159" spans="17:17">
      <c r="Q159" s="7"/>
    </row>
    <row r="160" spans="17:17">
      <c r="Q160" s="7"/>
    </row>
    <row r="161" spans="17:17">
      <c r="Q161" s="7"/>
    </row>
    <row r="162" spans="17:17">
      <c r="Q162" s="7"/>
    </row>
    <row r="163" spans="17:17">
      <c r="Q163" s="7"/>
    </row>
    <row r="164" spans="17:17">
      <c r="Q164" s="7"/>
    </row>
    <row r="165" spans="17:17">
      <c r="Q165" s="7"/>
    </row>
    <row r="166" spans="17:17">
      <c r="Q166" s="7"/>
    </row>
    <row r="167" spans="17:17">
      <c r="Q167" s="7"/>
    </row>
    <row r="168" spans="17:17">
      <c r="Q168" s="7"/>
    </row>
    <row r="169" spans="17:17">
      <c r="Q169" s="7"/>
    </row>
    <row r="170" spans="17:17">
      <c r="Q170" s="7"/>
    </row>
    <row r="171" spans="17:17">
      <c r="Q171" s="7"/>
    </row>
    <row r="172" spans="17:17">
      <c r="Q172" s="7"/>
    </row>
    <row r="173" spans="17:17">
      <c r="Q173" s="7"/>
    </row>
    <row r="174" spans="17:17">
      <c r="Q174" s="7"/>
    </row>
    <row r="175" spans="17:17">
      <c r="Q175" s="7"/>
    </row>
    <row r="176" spans="17:17">
      <c r="Q176" s="7"/>
    </row>
    <row r="177" spans="17:17">
      <c r="Q177" s="7"/>
    </row>
    <row r="178" spans="17:17">
      <c r="Q178" s="7"/>
    </row>
    <row r="179" spans="17:17">
      <c r="Q179" s="7"/>
    </row>
    <row r="180" spans="17:17">
      <c r="Q180" s="7"/>
    </row>
    <row r="181" spans="17:17">
      <c r="Q181" s="7"/>
    </row>
    <row r="182" spans="17:17">
      <c r="Q182" s="7"/>
    </row>
    <row r="183" spans="17:17">
      <c r="Q183" s="7"/>
    </row>
    <row r="184" spans="17:17">
      <c r="Q184" s="7"/>
    </row>
    <row r="185" spans="17:17">
      <c r="Q185" s="7"/>
    </row>
    <row r="186" spans="17:17">
      <c r="Q186" s="7"/>
    </row>
    <row r="187" spans="17:17">
      <c r="Q187" s="7"/>
    </row>
    <row r="188" spans="17:17">
      <c r="Q188" s="7"/>
    </row>
    <row r="189" spans="17:17">
      <c r="Q189" s="7"/>
    </row>
    <row r="190" spans="17:17">
      <c r="Q190" s="7"/>
    </row>
    <row r="191" spans="17:17">
      <c r="Q191" s="7"/>
    </row>
    <row r="192" spans="17:17">
      <c r="Q192" s="7"/>
    </row>
    <row r="193" spans="17:17">
      <c r="Q193" s="7"/>
    </row>
    <row r="194" spans="17:17">
      <c r="Q194" s="7"/>
    </row>
    <row r="195" spans="17:17">
      <c r="Q195" s="7"/>
    </row>
    <row r="196" spans="17:17">
      <c r="Q196" s="7"/>
    </row>
    <row r="197" spans="17:17">
      <c r="Q197" s="7"/>
    </row>
    <row r="198" spans="17:17">
      <c r="Q198" s="7"/>
    </row>
    <row r="199" spans="17:17">
      <c r="Q199" s="7"/>
    </row>
    <row r="200" spans="17:17">
      <c r="Q200" s="7"/>
    </row>
    <row r="201" spans="17:17">
      <c r="Q201" s="7"/>
    </row>
    <row r="202" spans="17:17">
      <c r="Q202" s="7"/>
    </row>
    <row r="203" spans="17:17">
      <c r="Q203" s="7"/>
    </row>
    <row r="204" spans="17:17">
      <c r="Q204" s="7"/>
    </row>
    <row r="205" spans="17:17">
      <c r="Q205" s="7"/>
    </row>
    <row r="206" spans="17:17">
      <c r="Q206" s="7"/>
    </row>
    <row r="207" spans="17:17">
      <c r="Q207" s="7"/>
    </row>
    <row r="208" spans="17:17">
      <c r="Q208" s="7"/>
    </row>
    <row r="209" spans="17:17">
      <c r="Q209" s="7"/>
    </row>
    <row r="210" spans="17:17">
      <c r="Q210" s="7"/>
    </row>
    <row r="211" spans="17:17">
      <c r="Q211" s="7"/>
    </row>
    <row r="212" spans="17:17">
      <c r="Q212" s="7"/>
    </row>
    <row r="213" spans="17:17">
      <c r="Q213" s="7"/>
    </row>
    <row r="214" spans="17:17">
      <c r="Q214" s="7"/>
    </row>
    <row r="215" spans="17:17">
      <c r="Q215" s="7"/>
    </row>
    <row r="216" spans="17:17">
      <c r="Q216" s="7"/>
    </row>
    <row r="217" spans="17:17">
      <c r="Q217" s="7"/>
    </row>
    <row r="218" spans="17:17">
      <c r="Q218" s="7"/>
    </row>
    <row r="219" spans="17:17">
      <c r="Q219" s="7"/>
    </row>
    <row r="220" spans="17:17">
      <c r="Q220" s="7"/>
    </row>
    <row r="221" spans="17:17">
      <c r="Q221" s="7"/>
    </row>
    <row r="222" spans="17:17">
      <c r="Q222" s="7"/>
    </row>
    <row r="223" spans="17:17">
      <c r="Q223" s="7"/>
    </row>
    <row r="224" spans="17:17">
      <c r="Q224" s="7"/>
    </row>
    <row r="225" spans="17:17">
      <c r="Q225" s="7"/>
    </row>
    <row r="226" spans="17:17">
      <c r="Q226" s="7"/>
    </row>
    <row r="227" spans="17:17">
      <c r="Q227" s="7"/>
    </row>
    <row r="228" spans="17:17">
      <c r="Q228" s="7"/>
    </row>
    <row r="229" spans="17:17">
      <c r="Q229" s="7"/>
    </row>
    <row r="230" spans="17:17">
      <c r="Q230" s="7"/>
    </row>
    <row r="231" spans="17:17">
      <c r="Q231" s="7"/>
    </row>
    <row r="232" spans="17:17">
      <c r="Q232" s="7"/>
    </row>
    <row r="233" spans="17:17">
      <c r="Q233" s="7"/>
    </row>
    <row r="234" spans="17:17">
      <c r="Q234" s="7"/>
    </row>
    <row r="235" spans="17:17">
      <c r="Q235" s="7"/>
    </row>
    <row r="236" spans="17:17">
      <c r="Q236" s="7"/>
    </row>
    <row r="237" spans="17:17">
      <c r="Q237" s="7"/>
    </row>
    <row r="238" spans="17:17">
      <c r="Q238" s="7"/>
    </row>
    <row r="239" spans="17:17">
      <c r="Q239" s="7"/>
    </row>
    <row r="240" spans="17:17">
      <c r="Q240" s="7"/>
    </row>
    <row r="241" spans="17:17">
      <c r="Q241" s="7"/>
    </row>
    <row r="242" spans="17:17">
      <c r="Q242" s="7"/>
    </row>
    <row r="243" spans="17:17">
      <c r="Q243" s="7"/>
    </row>
    <row r="244" spans="17:17">
      <c r="Q244" s="7"/>
    </row>
    <row r="245" spans="17:17">
      <c r="Q245" s="7"/>
    </row>
    <row r="246" spans="17:17">
      <c r="Q246" s="7"/>
    </row>
    <row r="247" spans="17:17">
      <c r="Q247" s="7"/>
    </row>
    <row r="248" spans="17:17">
      <c r="Q248" s="7"/>
    </row>
    <row r="249" spans="17:17">
      <c r="Q249" s="7"/>
    </row>
    <row r="250" spans="17:17">
      <c r="Q250" s="7"/>
    </row>
    <row r="251" spans="17:17">
      <c r="Q251" s="7"/>
    </row>
    <row r="252" spans="17:17">
      <c r="Q252" s="7"/>
    </row>
    <row r="253" spans="17:17">
      <c r="Q253" s="7"/>
    </row>
    <row r="254" spans="17:17">
      <c r="Q254" s="7"/>
    </row>
    <row r="255" spans="17:17">
      <c r="Q255" s="7"/>
    </row>
    <row r="256" spans="17:17">
      <c r="Q256" s="7"/>
    </row>
    <row r="257" spans="17:17">
      <c r="Q257" s="7"/>
    </row>
    <row r="258" spans="17:17">
      <c r="Q258" s="7"/>
    </row>
    <row r="259" spans="17:17">
      <c r="Q259" s="7"/>
    </row>
    <row r="260" spans="17:17">
      <c r="Q260" s="7"/>
    </row>
    <row r="261" spans="17:17">
      <c r="Q261" s="7"/>
    </row>
    <row r="262" spans="17:17">
      <c r="Q262" s="7"/>
    </row>
    <row r="263" spans="17:17">
      <c r="Q263" s="7"/>
    </row>
    <row r="264" spans="17:17">
      <c r="Q264" s="7"/>
    </row>
    <row r="265" spans="17:17">
      <c r="Q265" s="7"/>
    </row>
    <row r="266" spans="17:17">
      <c r="Q266" s="7"/>
    </row>
    <row r="267" spans="17:17">
      <c r="Q267" s="7"/>
    </row>
    <row r="268" spans="17:17">
      <c r="Q268" s="7"/>
    </row>
    <row r="269" spans="17:17">
      <c r="Q269" s="7"/>
    </row>
    <row r="270" spans="17:17">
      <c r="Q270" s="7"/>
    </row>
    <row r="271" spans="17:17">
      <c r="Q271" s="7"/>
    </row>
    <row r="272" spans="17:17">
      <c r="Q272" s="7"/>
    </row>
    <row r="273" spans="17:17">
      <c r="Q273" s="7"/>
    </row>
    <row r="274" spans="17:17">
      <c r="Q274" s="7"/>
    </row>
    <row r="275" spans="17:17">
      <c r="Q275" s="7"/>
    </row>
    <row r="276" spans="17:17">
      <c r="Q276" s="7"/>
    </row>
    <row r="277" spans="17:17">
      <c r="Q277" s="7"/>
    </row>
    <row r="278" spans="17:17">
      <c r="Q278" s="7"/>
    </row>
    <row r="279" spans="17:17">
      <c r="Q279" s="7"/>
    </row>
    <row r="280" spans="17:17">
      <c r="Q280" s="7"/>
    </row>
    <row r="281" spans="17:17">
      <c r="Q281" s="7"/>
    </row>
    <row r="282" spans="17:17">
      <c r="Q282" s="7"/>
    </row>
    <row r="283" spans="17:17">
      <c r="Q283" s="7"/>
    </row>
    <row r="284" spans="17:17">
      <c r="Q284" s="7"/>
    </row>
    <row r="285" spans="17:17">
      <c r="Q285" s="7"/>
    </row>
    <row r="286" spans="17:17">
      <c r="Q286" s="7"/>
    </row>
    <row r="287" spans="17:17">
      <c r="Q287" s="7"/>
    </row>
    <row r="288" spans="17:17">
      <c r="Q288" s="7"/>
    </row>
    <row r="289" spans="17:17">
      <c r="Q289" s="7"/>
    </row>
    <row r="290" spans="17:17">
      <c r="Q290" s="7"/>
    </row>
    <row r="291" spans="17:17">
      <c r="Q291" s="7"/>
    </row>
    <row r="292" spans="17:17">
      <c r="Q292" s="7"/>
    </row>
    <row r="293" spans="17:17">
      <c r="Q293" s="7"/>
    </row>
    <row r="294" spans="17:17">
      <c r="Q294" s="7"/>
    </row>
    <row r="295" spans="17:17">
      <c r="Q295" s="7"/>
    </row>
    <row r="296" spans="17:17">
      <c r="Q296" s="7"/>
    </row>
    <row r="297" spans="17:17">
      <c r="Q297" s="7"/>
    </row>
    <row r="298" spans="17:17">
      <c r="Q298" s="7"/>
    </row>
    <row r="299" spans="17:17">
      <c r="Q299" s="7"/>
    </row>
    <row r="300" spans="17:17">
      <c r="Q300" s="7"/>
    </row>
    <row r="301" spans="17:17">
      <c r="Q301" s="7"/>
    </row>
    <row r="302" spans="17:17">
      <c r="Q302" s="7"/>
    </row>
    <row r="303" spans="17:17">
      <c r="Q303" s="7"/>
    </row>
    <row r="304" spans="17:17">
      <c r="Q304" s="7"/>
    </row>
    <row r="305" spans="17:17">
      <c r="Q305" s="7"/>
    </row>
    <row r="306" spans="17:17">
      <c r="Q306" s="7"/>
    </row>
    <row r="307" spans="17:17">
      <c r="Q307" s="7"/>
    </row>
    <row r="308" spans="17:17">
      <c r="Q308" s="7"/>
    </row>
    <row r="309" spans="17:17">
      <c r="Q309" s="7"/>
    </row>
    <row r="310" spans="17:17">
      <c r="Q310" s="7"/>
    </row>
    <row r="311" spans="17:17">
      <c r="Q311" s="7"/>
    </row>
    <row r="312" spans="17:17">
      <c r="Q312" s="7"/>
    </row>
    <row r="313" spans="17:17">
      <c r="Q313" s="7"/>
    </row>
    <row r="314" spans="17:17">
      <c r="Q314" s="7"/>
    </row>
    <row r="315" spans="17:17">
      <c r="Q315" s="7"/>
    </row>
    <row r="316" spans="17:17">
      <c r="Q316" s="7"/>
    </row>
    <row r="317" spans="17:17">
      <c r="Q317" s="7"/>
    </row>
    <row r="318" spans="17:17">
      <c r="Q318" s="7"/>
    </row>
    <row r="319" spans="17:17">
      <c r="Q319" s="7"/>
    </row>
    <row r="320" spans="17:17">
      <c r="Q320" s="7"/>
    </row>
    <row r="321" spans="17:17">
      <c r="Q321" s="7"/>
    </row>
    <row r="322" spans="17:17">
      <c r="Q322" s="7"/>
    </row>
    <row r="323" spans="17:17">
      <c r="Q323" s="7"/>
    </row>
    <row r="324" spans="17:17">
      <c r="Q324" s="7"/>
    </row>
    <row r="325" spans="17:17">
      <c r="Q325" s="7"/>
    </row>
    <row r="326" spans="17:17">
      <c r="Q326" s="7"/>
    </row>
    <row r="327" spans="17:17">
      <c r="Q327" s="7"/>
    </row>
    <row r="328" spans="17:17">
      <c r="Q328" s="7"/>
    </row>
    <row r="329" spans="17:17">
      <c r="Q329" s="7"/>
    </row>
    <row r="330" spans="17:17">
      <c r="Q330" s="7"/>
    </row>
    <row r="331" spans="17:17">
      <c r="Q331" s="7"/>
    </row>
    <row r="332" spans="17:17">
      <c r="Q332" s="7"/>
    </row>
    <row r="333" spans="17:17">
      <c r="Q333" s="7"/>
    </row>
    <row r="334" spans="17:17">
      <c r="Q334" s="7"/>
    </row>
    <row r="335" spans="17:17">
      <c r="Q335" s="7"/>
    </row>
    <row r="336" spans="17:17">
      <c r="Q336" s="7"/>
    </row>
    <row r="337" spans="17:17">
      <c r="Q337" s="7"/>
    </row>
    <row r="338" spans="17:17">
      <c r="Q338" s="7"/>
    </row>
    <row r="339" spans="17:17">
      <c r="Q339" s="7"/>
    </row>
    <row r="340" spans="17:17">
      <c r="Q340" s="7"/>
    </row>
    <row r="341" spans="17:17">
      <c r="Q341" s="7"/>
    </row>
    <row r="342" spans="17:17">
      <c r="Q342" s="7"/>
    </row>
    <row r="343" spans="17:17">
      <c r="Q343" s="7"/>
    </row>
    <row r="344" spans="17:17">
      <c r="Q344" s="7"/>
    </row>
    <row r="345" spans="17:17">
      <c r="Q345" s="7"/>
    </row>
    <row r="346" spans="17:17">
      <c r="Q346" s="7"/>
    </row>
    <row r="347" spans="17:17">
      <c r="Q347" s="7"/>
    </row>
    <row r="348" spans="17:17">
      <c r="Q348" s="7"/>
    </row>
    <row r="349" spans="17:17">
      <c r="Q349" s="7"/>
    </row>
    <row r="350" spans="17:17">
      <c r="Q350" s="7"/>
    </row>
    <row r="351" spans="17:17">
      <c r="Q351" s="7"/>
    </row>
    <row r="352" spans="17:17">
      <c r="Q352" s="7"/>
    </row>
    <row r="353" spans="17:17">
      <c r="Q353" s="7"/>
    </row>
    <row r="354" spans="17:17">
      <c r="Q354" s="7"/>
    </row>
    <row r="355" spans="17:17">
      <c r="Q355" s="7"/>
    </row>
    <row r="356" spans="17:17">
      <c r="Q356" s="7"/>
    </row>
    <row r="357" spans="17:17">
      <c r="Q357" s="7"/>
    </row>
    <row r="358" spans="17:17">
      <c r="Q358" s="7"/>
    </row>
    <row r="359" spans="17:17">
      <c r="Q359" s="7"/>
    </row>
    <row r="360" spans="17:17">
      <c r="Q360" s="7"/>
    </row>
    <row r="361" spans="17:17">
      <c r="Q361" s="7"/>
    </row>
    <row r="362" spans="17:17">
      <c r="Q362" s="7"/>
    </row>
    <row r="363" spans="17:17">
      <c r="Q363" s="7"/>
    </row>
    <row r="364" spans="17:17">
      <c r="Q364" s="7"/>
    </row>
    <row r="365" spans="17:17">
      <c r="Q365" s="7"/>
    </row>
    <row r="366" spans="17:17">
      <c r="Q366" s="7"/>
    </row>
    <row r="367" spans="17:17">
      <c r="Q367" s="7"/>
    </row>
    <row r="368" spans="17:17">
      <c r="Q368" s="7"/>
    </row>
    <row r="369" spans="17:17">
      <c r="Q369" s="7"/>
    </row>
    <row r="370" spans="17:17">
      <c r="Q370" s="7"/>
    </row>
    <row r="371" spans="17:17">
      <c r="Q371" s="7"/>
    </row>
    <row r="372" spans="17:17">
      <c r="Q372" s="7"/>
    </row>
    <row r="373" spans="17:17">
      <c r="Q373" s="7"/>
    </row>
    <row r="374" spans="17:17">
      <c r="Q374" s="7"/>
    </row>
    <row r="375" spans="17:17">
      <c r="Q375" s="7"/>
    </row>
    <row r="376" spans="17:17">
      <c r="Q376" s="7"/>
    </row>
    <row r="377" spans="17:17">
      <c r="Q377" s="7"/>
    </row>
    <row r="378" spans="17:17">
      <c r="Q378" s="7"/>
    </row>
    <row r="379" spans="17:17">
      <c r="Q379" s="7"/>
    </row>
    <row r="380" spans="17:17">
      <c r="Q380" s="7"/>
    </row>
    <row r="381" spans="17:17">
      <c r="Q381" s="7"/>
    </row>
    <row r="382" spans="17:17">
      <c r="Q382" s="7"/>
    </row>
    <row r="383" spans="17:17">
      <c r="Q383" s="7"/>
    </row>
    <row r="384" spans="17:17">
      <c r="Q384" s="7"/>
    </row>
    <row r="385" spans="17:17">
      <c r="Q385" s="7"/>
    </row>
    <row r="386" spans="17:17">
      <c r="Q386" s="7"/>
    </row>
    <row r="387" spans="17:17">
      <c r="Q387" s="7"/>
    </row>
    <row r="388" spans="17:17">
      <c r="Q388" s="7"/>
    </row>
    <row r="389" spans="17:17">
      <c r="Q389" s="7"/>
    </row>
    <row r="390" spans="17:17">
      <c r="Q390" s="7"/>
    </row>
    <row r="391" spans="17:17">
      <c r="Q391" s="7"/>
    </row>
    <row r="392" spans="17:17">
      <c r="Q392" s="7"/>
    </row>
    <row r="393" spans="17:17">
      <c r="Q393" s="7"/>
    </row>
    <row r="394" spans="17:17">
      <c r="Q394" s="7"/>
    </row>
    <row r="395" spans="17:17">
      <c r="Q395" s="7"/>
    </row>
    <row r="396" spans="17:17">
      <c r="Q396" s="7"/>
    </row>
    <row r="397" spans="17:17">
      <c r="Q397" s="7"/>
    </row>
    <row r="398" spans="17:17">
      <c r="Q398" s="7"/>
    </row>
    <row r="399" spans="17:17">
      <c r="Q399" s="7"/>
    </row>
    <row r="400" spans="17:17">
      <c r="Q400" s="7"/>
    </row>
    <row r="401" spans="17:17">
      <c r="Q401" s="7"/>
    </row>
    <row r="402" spans="17:17">
      <c r="Q402" s="7"/>
    </row>
    <row r="403" spans="17:17">
      <c r="Q403" s="7"/>
    </row>
    <row r="404" spans="17:17">
      <c r="Q404" s="7"/>
    </row>
    <row r="405" spans="17:17">
      <c r="Q405" s="7"/>
    </row>
    <row r="406" spans="17:17">
      <c r="Q406" s="7"/>
    </row>
    <row r="407" spans="17:17">
      <c r="Q407" s="7"/>
    </row>
    <row r="408" spans="17:17">
      <c r="Q408" s="7"/>
    </row>
    <row r="409" spans="17:17">
      <c r="Q409" s="7"/>
    </row>
    <row r="410" spans="17:17">
      <c r="Q410" s="7"/>
    </row>
    <row r="411" spans="17:17">
      <c r="Q411" s="7"/>
    </row>
    <row r="412" spans="17:17">
      <c r="Q412" s="7"/>
    </row>
    <row r="413" spans="17:17">
      <c r="Q413" s="7"/>
    </row>
    <row r="414" spans="17:17">
      <c r="Q414" s="7"/>
    </row>
    <row r="415" spans="17:17">
      <c r="Q415" s="7"/>
    </row>
    <row r="416" spans="17:17">
      <c r="Q416" s="7"/>
    </row>
    <row r="417" spans="17:17">
      <c r="Q417" s="7"/>
    </row>
    <row r="418" spans="17:17">
      <c r="Q418" s="7"/>
    </row>
    <row r="419" spans="17:17">
      <c r="Q419" s="7"/>
    </row>
    <row r="420" spans="17:17">
      <c r="Q420" s="7"/>
    </row>
    <row r="421" spans="17:17">
      <c r="Q421" s="7"/>
    </row>
    <row r="422" spans="17:17">
      <c r="Q422" s="7"/>
    </row>
    <row r="423" spans="17:17">
      <c r="Q423" s="7"/>
    </row>
    <row r="424" spans="17:17">
      <c r="Q424" s="7"/>
    </row>
    <row r="425" spans="17:17">
      <c r="Q425" s="7"/>
    </row>
    <row r="426" spans="17:17">
      <c r="Q426" s="7"/>
    </row>
    <row r="427" spans="17:17">
      <c r="Q427" s="7"/>
    </row>
    <row r="428" spans="17:17">
      <c r="Q428" s="7"/>
    </row>
    <row r="429" spans="17:17">
      <c r="Q429" s="7"/>
    </row>
    <row r="430" spans="17:17">
      <c r="Q430" s="7"/>
    </row>
    <row r="431" spans="17:17">
      <c r="Q431" s="7"/>
    </row>
    <row r="432" spans="17:17">
      <c r="Q432" s="7"/>
    </row>
    <row r="433" spans="17:17">
      <c r="Q433" s="7"/>
    </row>
    <row r="434" spans="17:17">
      <c r="Q434" s="7"/>
    </row>
    <row r="435" spans="17:17">
      <c r="Q435" s="7"/>
    </row>
    <row r="436" spans="17:17">
      <c r="Q436" s="7"/>
    </row>
    <row r="437" spans="17:17">
      <c r="Q437" s="7"/>
    </row>
    <row r="438" spans="17:17">
      <c r="Q438" s="7"/>
    </row>
    <row r="439" spans="17:17">
      <c r="Q439" s="7"/>
    </row>
    <row r="440" spans="17:17">
      <c r="Q440" s="7"/>
    </row>
    <row r="441" spans="17:17">
      <c r="Q441" s="7"/>
    </row>
    <row r="442" spans="17:17">
      <c r="Q442" s="7"/>
    </row>
    <row r="443" spans="17:17">
      <c r="Q443" s="7"/>
    </row>
    <row r="444" spans="17:17">
      <c r="Q444" s="7"/>
    </row>
    <row r="445" spans="17:17">
      <c r="Q445" s="7"/>
    </row>
    <row r="446" spans="17:17">
      <c r="Q446" s="7"/>
    </row>
    <row r="447" spans="17:17">
      <c r="Q447" s="7"/>
    </row>
    <row r="448" spans="17:17">
      <c r="Q448" s="7"/>
    </row>
    <row r="449" spans="17:17">
      <c r="Q449" s="7"/>
    </row>
    <row r="450" spans="17:17">
      <c r="Q450" s="7"/>
    </row>
    <row r="451" spans="17:17">
      <c r="Q451" s="7"/>
    </row>
    <row r="452" spans="17:17">
      <c r="Q452" s="7"/>
    </row>
    <row r="453" spans="17:17">
      <c r="Q453" s="7"/>
    </row>
    <row r="454" spans="17:17">
      <c r="Q454" s="7"/>
    </row>
    <row r="455" spans="17:17">
      <c r="Q455" s="7"/>
    </row>
    <row r="456" spans="17:17">
      <c r="Q456" s="7"/>
    </row>
    <row r="457" spans="17:17">
      <c r="Q457" s="7"/>
    </row>
    <row r="458" spans="17:17">
      <c r="Q458" s="7"/>
    </row>
    <row r="459" spans="17:17">
      <c r="Q459" s="7"/>
    </row>
    <row r="460" spans="17:17">
      <c r="Q460" s="7"/>
    </row>
    <row r="461" spans="17:17">
      <c r="Q461" s="7"/>
    </row>
    <row r="462" spans="17:17">
      <c r="Q462" s="7"/>
    </row>
    <row r="463" spans="17:17">
      <c r="Q463" s="7"/>
    </row>
    <row r="464" spans="17:17">
      <c r="Q464" s="7"/>
    </row>
    <row r="465" spans="17:17">
      <c r="Q465" s="7"/>
    </row>
    <row r="466" spans="17:17">
      <c r="Q466" s="7"/>
    </row>
    <row r="467" spans="17:17">
      <c r="Q467" s="7"/>
    </row>
    <row r="468" spans="17:17">
      <c r="Q468" s="7"/>
    </row>
    <row r="469" spans="17:17">
      <c r="Q469" s="7"/>
    </row>
    <row r="470" spans="17:17">
      <c r="Q470" s="7"/>
    </row>
    <row r="471" spans="17:17">
      <c r="Q471" s="7"/>
    </row>
    <row r="472" spans="17:17">
      <c r="Q472" s="7"/>
    </row>
    <row r="473" spans="17:17">
      <c r="Q473" s="7"/>
    </row>
    <row r="474" spans="17:17">
      <c r="Q474" s="7"/>
    </row>
    <row r="475" spans="17:17">
      <c r="Q475" s="7"/>
    </row>
    <row r="476" spans="17:17">
      <c r="Q476" s="7"/>
    </row>
    <row r="477" spans="17:17">
      <c r="Q477" s="7"/>
    </row>
    <row r="478" spans="17:17">
      <c r="Q478" s="7"/>
    </row>
    <row r="479" spans="17:17">
      <c r="Q479" s="7"/>
    </row>
    <row r="480" spans="17:17">
      <c r="Q480" s="7"/>
    </row>
    <row r="481" spans="17:17">
      <c r="Q481" s="7"/>
    </row>
    <row r="482" spans="17:17">
      <c r="Q482" s="7"/>
    </row>
    <row r="483" spans="17:17">
      <c r="Q483" s="7"/>
    </row>
    <row r="484" spans="17:17">
      <c r="Q484" s="7"/>
    </row>
    <row r="485" spans="17:17">
      <c r="Q485" s="7"/>
    </row>
    <row r="486" spans="17:17">
      <c r="Q486" s="7"/>
    </row>
    <row r="487" spans="17:17">
      <c r="Q487" s="7"/>
    </row>
    <row r="488" spans="17:17">
      <c r="Q488" s="7"/>
    </row>
    <row r="489" spans="17:17">
      <c r="Q489" s="7"/>
    </row>
    <row r="490" spans="17:17">
      <c r="Q490" s="7"/>
    </row>
    <row r="491" spans="17:17">
      <c r="Q491" s="7"/>
    </row>
    <row r="492" spans="17:17">
      <c r="Q492" s="7"/>
    </row>
    <row r="493" spans="17:17">
      <c r="Q493" s="7"/>
    </row>
    <row r="494" spans="17:17">
      <c r="Q494" s="7"/>
    </row>
    <row r="495" spans="17:17">
      <c r="Q495" s="7"/>
    </row>
    <row r="496" spans="17:17">
      <c r="Q496" s="7"/>
    </row>
    <row r="497" spans="17:17">
      <c r="Q497" s="7"/>
    </row>
    <row r="498" spans="17:17">
      <c r="Q498" s="7"/>
    </row>
    <row r="499" spans="17:17">
      <c r="Q499" s="7"/>
    </row>
    <row r="500" spans="17:17">
      <c r="Q500" s="7"/>
    </row>
    <row r="501" spans="17:17">
      <c r="Q501" s="7"/>
    </row>
    <row r="502" spans="17:17">
      <c r="Q502" s="7"/>
    </row>
    <row r="503" spans="17:17">
      <c r="Q503" s="7"/>
    </row>
    <row r="504" spans="17:17">
      <c r="Q504" s="7"/>
    </row>
    <row r="505" spans="17:17">
      <c r="Q505" s="7"/>
    </row>
    <row r="506" spans="17:17">
      <c r="Q506" s="7"/>
    </row>
    <row r="507" spans="17:17">
      <c r="Q507" s="7"/>
    </row>
    <row r="508" spans="17:17">
      <c r="Q508" s="7"/>
    </row>
    <row r="509" spans="17:17">
      <c r="Q509" s="7"/>
    </row>
    <row r="510" spans="17:17">
      <c r="Q510" s="7"/>
    </row>
    <row r="511" spans="17:17">
      <c r="Q511" s="7"/>
    </row>
    <row r="512" spans="17:17">
      <c r="Q512" s="7"/>
    </row>
    <row r="513" spans="17:17">
      <c r="Q513" s="7"/>
    </row>
    <row r="514" spans="17:17">
      <c r="Q514" s="7"/>
    </row>
    <row r="515" spans="17:17">
      <c r="Q515" s="7"/>
    </row>
    <row r="516" spans="17:17">
      <c r="Q516" s="7"/>
    </row>
    <row r="517" spans="17:17">
      <c r="Q517" s="7"/>
    </row>
    <row r="518" spans="17:17">
      <c r="Q518" s="7"/>
    </row>
    <row r="519" spans="17:17">
      <c r="Q519" s="7"/>
    </row>
    <row r="520" spans="17:17">
      <c r="Q520" s="7"/>
    </row>
    <row r="521" spans="17:17">
      <c r="Q521" s="7"/>
    </row>
    <row r="522" spans="17:17">
      <c r="Q522" s="7"/>
    </row>
    <row r="523" spans="17:17">
      <c r="Q523" s="7"/>
    </row>
    <row r="524" spans="17:17">
      <c r="Q524" s="7"/>
    </row>
    <row r="525" spans="17:17">
      <c r="Q525" s="7"/>
    </row>
    <row r="526" spans="17:17">
      <c r="Q526" s="7"/>
    </row>
    <row r="527" spans="17:17">
      <c r="Q527" s="7"/>
    </row>
    <row r="528" spans="17:17">
      <c r="Q528" s="7"/>
    </row>
    <row r="529" spans="17:17">
      <c r="Q529" s="7"/>
    </row>
    <row r="530" spans="17:17">
      <c r="Q530" s="7"/>
    </row>
    <row r="531" spans="17:17">
      <c r="Q531" s="7"/>
    </row>
    <row r="532" spans="17:17">
      <c r="Q532" s="7"/>
    </row>
    <row r="533" spans="17:17">
      <c r="Q533" s="7"/>
    </row>
    <row r="534" spans="17:17">
      <c r="Q534" s="7"/>
    </row>
    <row r="535" spans="17:17">
      <c r="Q535" s="7"/>
    </row>
    <row r="536" spans="17:17">
      <c r="Q536" s="7"/>
    </row>
    <row r="537" spans="17:17">
      <c r="Q537" s="7"/>
    </row>
    <row r="538" spans="17:17">
      <c r="Q538" s="7"/>
    </row>
    <row r="539" spans="17:17">
      <c r="Q539" s="7"/>
    </row>
    <row r="540" spans="17:17">
      <c r="Q540" s="7"/>
    </row>
    <row r="541" spans="17:17">
      <c r="Q541" s="7"/>
    </row>
    <row r="542" spans="17:17">
      <c r="Q542" s="7"/>
    </row>
    <row r="543" spans="17:17">
      <c r="Q543" s="7"/>
    </row>
    <row r="544" spans="17:17">
      <c r="Q544" s="7"/>
    </row>
    <row r="545" spans="17:17">
      <c r="Q545" s="7"/>
    </row>
    <row r="546" spans="17:17">
      <c r="Q546" s="7"/>
    </row>
    <row r="547" spans="17:17">
      <c r="Q547" s="7"/>
    </row>
    <row r="548" spans="17:17">
      <c r="Q548" s="7"/>
    </row>
    <row r="549" spans="17:17">
      <c r="Q549" s="7"/>
    </row>
    <row r="550" spans="17:17">
      <c r="Q550" s="7"/>
    </row>
    <row r="551" spans="17:17">
      <c r="Q551" s="7"/>
    </row>
    <row r="552" spans="17:17">
      <c r="Q552" s="7"/>
    </row>
    <row r="553" spans="17:17">
      <c r="Q553" s="7"/>
    </row>
    <row r="554" spans="17:17">
      <c r="Q554" s="7"/>
    </row>
    <row r="555" spans="17:17">
      <c r="Q555" s="7"/>
    </row>
    <row r="556" spans="17:17">
      <c r="Q556" s="7"/>
    </row>
    <row r="557" spans="17:17">
      <c r="Q557" s="7"/>
    </row>
    <row r="558" spans="17:17">
      <c r="Q558" s="7"/>
    </row>
    <row r="559" spans="17:17">
      <c r="Q559" s="7"/>
    </row>
    <row r="560" spans="17:17">
      <c r="Q560" s="7"/>
    </row>
    <row r="561" spans="17:17">
      <c r="Q561" s="7"/>
    </row>
    <row r="562" spans="17:17">
      <c r="Q562" s="7"/>
    </row>
    <row r="563" spans="17:17">
      <c r="Q563" s="7"/>
    </row>
    <row r="564" spans="17:17">
      <c r="Q564" s="7"/>
    </row>
    <row r="565" spans="17:17">
      <c r="Q565" s="7"/>
    </row>
    <row r="566" spans="17:17">
      <c r="Q566" s="7"/>
    </row>
    <row r="567" spans="17:17">
      <c r="Q567" s="7"/>
    </row>
    <row r="568" spans="17:17">
      <c r="Q568" s="7"/>
    </row>
    <row r="569" spans="17:17">
      <c r="Q569" s="7"/>
    </row>
    <row r="570" spans="17:17">
      <c r="Q570" s="7"/>
    </row>
    <row r="571" spans="17:17">
      <c r="Q571" s="7"/>
    </row>
    <row r="572" spans="17:17">
      <c r="Q572" s="7"/>
    </row>
    <row r="573" spans="17:17">
      <c r="Q573" s="7"/>
    </row>
    <row r="574" spans="17:17">
      <c r="Q574" s="7"/>
    </row>
    <row r="575" spans="17:17">
      <c r="Q575" s="7"/>
    </row>
    <row r="576" spans="17:17">
      <c r="Q576" s="7"/>
    </row>
    <row r="577" spans="17:17">
      <c r="Q577" s="7"/>
    </row>
    <row r="578" spans="17:17">
      <c r="Q578" s="7"/>
    </row>
    <row r="579" spans="17:17">
      <c r="Q579" s="7"/>
    </row>
    <row r="580" spans="17:17">
      <c r="Q580" s="7"/>
    </row>
    <row r="581" spans="17:17">
      <c r="Q581" s="7"/>
    </row>
    <row r="582" spans="17:17">
      <c r="Q582" s="7"/>
    </row>
    <row r="583" spans="17:17">
      <c r="Q583" s="7"/>
    </row>
    <row r="584" spans="17:17">
      <c r="Q584" s="7"/>
    </row>
    <row r="585" spans="17:17">
      <c r="Q585" s="7"/>
    </row>
    <row r="586" spans="17:17">
      <c r="Q586" s="7"/>
    </row>
    <row r="587" spans="17:17">
      <c r="Q587" s="7"/>
    </row>
    <row r="588" spans="17:17">
      <c r="Q588" s="7"/>
    </row>
    <row r="589" spans="17:17">
      <c r="Q589" s="7"/>
    </row>
    <row r="590" spans="17:17">
      <c r="Q590" s="7"/>
    </row>
    <row r="591" spans="17:17">
      <c r="Q591" s="7"/>
    </row>
    <row r="592" spans="17:17">
      <c r="Q592" s="7"/>
    </row>
    <row r="593" spans="17:17">
      <c r="Q593" s="7"/>
    </row>
    <row r="594" spans="17:17">
      <c r="Q594" s="7"/>
    </row>
    <row r="595" spans="17:17">
      <c r="Q595" s="7"/>
    </row>
    <row r="596" spans="17:17">
      <c r="Q596" s="7"/>
    </row>
    <row r="597" spans="17:17">
      <c r="Q597" s="7"/>
    </row>
    <row r="598" spans="17:17">
      <c r="Q598" s="7"/>
    </row>
    <row r="599" spans="17:17">
      <c r="Q599" s="7"/>
    </row>
    <row r="600" spans="17:17">
      <c r="Q600" s="7"/>
    </row>
    <row r="601" spans="17:17">
      <c r="Q601" s="7"/>
    </row>
    <row r="602" spans="17:17">
      <c r="Q602" s="7"/>
    </row>
    <row r="603" spans="17:17">
      <c r="Q603" s="7"/>
    </row>
    <row r="604" spans="17:17">
      <c r="Q604" s="7"/>
    </row>
    <row r="605" spans="17:17">
      <c r="Q605" s="7"/>
    </row>
    <row r="606" spans="17:17">
      <c r="Q606" s="7"/>
    </row>
    <row r="607" spans="17:17">
      <c r="Q607" s="7"/>
    </row>
    <row r="608" spans="17:17">
      <c r="Q608" s="7"/>
    </row>
    <row r="609" spans="17:17">
      <c r="Q609" s="7"/>
    </row>
    <row r="610" spans="17:17">
      <c r="Q610" s="7"/>
    </row>
    <row r="611" spans="17:17">
      <c r="Q611" s="7"/>
    </row>
    <row r="612" spans="17:17">
      <c r="Q612" s="7"/>
    </row>
    <row r="613" spans="17:17">
      <c r="Q613" s="7"/>
    </row>
    <row r="614" spans="17:17">
      <c r="Q614" s="7"/>
    </row>
    <row r="615" spans="17:17">
      <c r="Q615" s="7"/>
    </row>
    <row r="616" spans="17:17">
      <c r="Q616" s="7"/>
    </row>
    <row r="617" spans="17:17">
      <c r="Q617" s="7"/>
    </row>
    <row r="618" spans="17:17">
      <c r="Q618" s="7"/>
    </row>
    <row r="619" spans="17:17">
      <c r="Q619" s="7"/>
    </row>
    <row r="620" spans="17:17">
      <c r="Q620" s="7"/>
    </row>
    <row r="621" spans="17:17">
      <c r="Q621" s="7"/>
    </row>
    <row r="622" spans="17:17">
      <c r="Q622" s="7"/>
    </row>
    <row r="623" spans="17:17">
      <c r="Q623" s="7"/>
    </row>
    <row r="624" spans="17:17">
      <c r="Q624" s="7"/>
    </row>
    <row r="625" spans="17:17">
      <c r="Q625" s="7"/>
    </row>
    <row r="626" spans="17:17">
      <c r="Q626" s="7"/>
    </row>
    <row r="627" spans="17:17">
      <c r="Q627" s="7"/>
    </row>
    <row r="628" spans="17:17">
      <c r="Q628" s="7"/>
    </row>
    <row r="629" spans="17:17">
      <c r="Q629" s="7"/>
    </row>
    <row r="630" spans="17:17">
      <c r="Q630" s="7"/>
    </row>
    <row r="631" spans="17:17">
      <c r="Q631" s="7"/>
    </row>
    <row r="632" spans="17:17">
      <c r="Q632" s="7"/>
    </row>
    <row r="633" spans="17:17">
      <c r="Q633" s="7"/>
    </row>
    <row r="634" spans="17:17">
      <c r="Q634" s="7"/>
    </row>
    <row r="635" spans="17:17">
      <c r="Q635" s="7"/>
    </row>
    <row r="636" spans="17:17">
      <c r="Q636" s="7"/>
    </row>
    <row r="637" spans="17:17">
      <c r="Q637" s="7"/>
    </row>
    <row r="638" spans="17:17">
      <c r="Q638" s="7"/>
    </row>
    <row r="639" spans="17:17">
      <c r="Q639" s="7"/>
    </row>
    <row r="640" spans="17:17">
      <c r="Q640" s="7"/>
    </row>
    <row r="641" spans="17:17">
      <c r="Q641" s="7"/>
    </row>
    <row r="642" spans="17:17">
      <c r="Q642" s="7"/>
    </row>
    <row r="643" spans="17:17">
      <c r="Q643" s="7"/>
    </row>
    <row r="644" spans="17:17">
      <c r="Q644" s="7"/>
    </row>
    <row r="645" spans="17:17">
      <c r="Q645" s="7"/>
    </row>
    <row r="646" spans="17:17">
      <c r="Q646" s="7"/>
    </row>
    <row r="647" spans="17:17">
      <c r="Q647" s="7"/>
    </row>
    <row r="648" spans="17:17">
      <c r="Q648" s="7"/>
    </row>
    <row r="649" spans="17:17">
      <c r="Q649" s="7"/>
    </row>
    <row r="650" spans="17:17">
      <c r="Q650" s="7"/>
    </row>
    <row r="651" spans="17:17">
      <c r="Q651" s="7"/>
    </row>
    <row r="652" spans="17:17">
      <c r="Q652" s="7"/>
    </row>
    <row r="653" spans="17:17">
      <c r="Q653" s="7"/>
    </row>
    <row r="654" spans="17:17">
      <c r="Q654" s="7"/>
    </row>
    <row r="655" spans="17:17">
      <c r="Q655" s="7"/>
    </row>
    <row r="656" spans="17:17">
      <c r="Q656" s="7"/>
    </row>
    <row r="657" spans="17:17">
      <c r="Q657" s="7"/>
    </row>
    <row r="658" spans="17:17">
      <c r="Q658" s="7"/>
    </row>
    <row r="659" spans="17:17">
      <c r="Q659" s="7"/>
    </row>
    <row r="660" spans="17:17">
      <c r="Q660" s="7"/>
    </row>
    <row r="661" spans="17:17">
      <c r="Q661" s="7"/>
    </row>
    <row r="662" spans="17:17">
      <c r="Q662" s="7"/>
    </row>
    <row r="663" spans="17:17">
      <c r="Q663" s="7"/>
    </row>
    <row r="664" spans="17:17">
      <c r="Q664" s="7"/>
    </row>
    <row r="665" spans="17:17">
      <c r="Q665" s="7"/>
    </row>
    <row r="666" spans="17:17">
      <c r="Q666" s="7"/>
    </row>
    <row r="667" spans="17:17">
      <c r="Q667" s="7"/>
    </row>
    <row r="668" spans="17:17">
      <c r="Q668" s="7"/>
    </row>
    <row r="669" spans="17:17">
      <c r="Q669" s="7"/>
    </row>
    <row r="670" spans="17:17">
      <c r="Q670" s="7"/>
    </row>
    <row r="671" spans="17:17">
      <c r="Q671" s="7"/>
    </row>
    <row r="672" spans="17:17">
      <c r="Q672" s="7"/>
    </row>
    <row r="673" spans="17:17">
      <c r="Q673" s="7"/>
    </row>
    <row r="674" spans="17:17">
      <c r="Q674" s="7"/>
    </row>
    <row r="675" spans="17:17">
      <c r="Q675" s="7"/>
    </row>
    <row r="676" spans="17:17">
      <c r="Q676" s="7"/>
    </row>
    <row r="677" spans="17:17">
      <c r="Q677" s="7"/>
    </row>
    <row r="678" spans="17:17">
      <c r="Q678" s="7"/>
    </row>
    <row r="679" spans="17:17">
      <c r="Q679" s="7"/>
    </row>
    <row r="680" spans="17:17">
      <c r="Q680" s="7"/>
    </row>
    <row r="681" spans="17:17">
      <c r="Q681" s="7"/>
    </row>
    <row r="682" spans="17:17">
      <c r="Q682" s="7"/>
    </row>
    <row r="683" spans="17:17">
      <c r="Q683" s="7"/>
    </row>
    <row r="684" spans="17:17">
      <c r="Q684" s="7"/>
    </row>
    <row r="685" spans="17:17">
      <c r="Q685" s="7"/>
    </row>
    <row r="686" spans="17:17">
      <c r="Q686" s="7"/>
    </row>
    <row r="687" spans="17:17">
      <c r="Q687" s="7"/>
    </row>
    <row r="688" spans="17:17">
      <c r="Q688" s="7"/>
    </row>
    <row r="689" spans="17:17">
      <c r="Q689" s="7"/>
    </row>
    <row r="690" spans="17:17">
      <c r="Q690" s="7"/>
    </row>
    <row r="691" spans="17:17">
      <c r="Q691" s="7"/>
    </row>
    <row r="692" spans="17:17">
      <c r="Q692" s="7"/>
    </row>
    <row r="693" spans="17:17">
      <c r="Q693" s="7"/>
    </row>
    <row r="694" spans="17:17">
      <c r="Q694" s="7"/>
    </row>
    <row r="695" spans="17:17">
      <c r="Q695" s="7"/>
    </row>
    <row r="696" spans="17:17">
      <c r="Q696" s="7"/>
    </row>
    <row r="697" spans="17:17">
      <c r="Q697" s="7"/>
    </row>
    <row r="698" spans="17:17">
      <c r="Q698" s="7"/>
    </row>
    <row r="699" spans="17:17">
      <c r="Q699" s="7"/>
    </row>
    <row r="700" spans="17:17">
      <c r="Q700" s="7"/>
    </row>
    <row r="701" spans="17:17">
      <c r="Q701" s="7"/>
    </row>
    <row r="702" spans="17:17">
      <c r="Q702" s="7"/>
    </row>
    <row r="703" spans="17:17">
      <c r="Q703" s="7"/>
    </row>
    <row r="704" spans="17:17">
      <c r="Q704" s="7"/>
    </row>
    <row r="705" spans="17:17">
      <c r="Q705" s="7"/>
    </row>
    <row r="706" spans="17:17">
      <c r="Q706" s="7"/>
    </row>
    <row r="707" spans="17:17">
      <c r="Q707" s="7"/>
    </row>
    <row r="708" spans="17:17">
      <c r="Q708" s="7"/>
    </row>
    <row r="709" spans="17:17">
      <c r="Q709" s="7"/>
    </row>
    <row r="710" spans="17:17">
      <c r="Q710" s="7"/>
    </row>
    <row r="711" spans="17:17">
      <c r="Q711" s="7"/>
    </row>
    <row r="712" spans="17:17">
      <c r="Q712" s="7"/>
    </row>
    <row r="713" spans="17:17">
      <c r="Q713" s="7"/>
    </row>
    <row r="714" spans="17:17">
      <c r="Q714" s="7"/>
    </row>
    <row r="715" spans="17:17">
      <c r="Q715" s="7"/>
    </row>
    <row r="716" spans="17:17">
      <c r="Q716" s="7"/>
    </row>
    <row r="717" spans="17:17">
      <c r="Q717" s="7"/>
    </row>
    <row r="718" spans="17:17">
      <c r="Q718" s="7"/>
    </row>
    <row r="719" spans="17:17">
      <c r="Q719" s="7"/>
    </row>
    <row r="720" spans="17:17">
      <c r="Q720" s="7"/>
    </row>
    <row r="721" spans="17:17">
      <c r="Q721" s="7"/>
    </row>
    <row r="722" spans="17:17">
      <c r="Q722" s="7"/>
    </row>
    <row r="723" spans="17:17">
      <c r="Q723" s="7"/>
    </row>
    <row r="724" spans="17:17">
      <c r="Q724" s="7"/>
    </row>
    <row r="725" spans="17:17">
      <c r="Q725" s="7"/>
    </row>
    <row r="726" spans="17:17">
      <c r="Q726" s="7"/>
    </row>
    <row r="727" spans="17:17">
      <c r="Q727" s="7"/>
    </row>
    <row r="728" spans="17:17">
      <c r="Q728" s="7"/>
    </row>
    <row r="729" spans="17:17">
      <c r="Q729" s="7"/>
    </row>
    <row r="730" spans="17:17">
      <c r="Q730" s="7"/>
    </row>
    <row r="731" spans="17:17">
      <c r="Q731" s="7"/>
    </row>
    <row r="732" spans="17:17">
      <c r="Q732" s="7"/>
    </row>
    <row r="733" spans="17:17">
      <c r="Q733" s="7"/>
    </row>
    <row r="734" spans="17:17">
      <c r="Q734" s="7"/>
    </row>
    <row r="735" spans="17:17">
      <c r="Q735" s="7"/>
    </row>
    <row r="736" spans="17:17">
      <c r="Q736" s="7"/>
    </row>
    <row r="737" spans="17:17">
      <c r="Q737" s="7"/>
    </row>
    <row r="738" spans="17:17">
      <c r="Q738" s="7"/>
    </row>
    <row r="739" spans="17:17">
      <c r="Q739" s="7"/>
    </row>
    <row r="740" spans="17:17">
      <c r="Q740" s="7"/>
    </row>
    <row r="741" spans="17:17">
      <c r="Q741" s="7"/>
    </row>
    <row r="742" spans="17:17">
      <c r="Q742" s="7"/>
    </row>
    <row r="743" spans="17:17">
      <c r="Q743" s="7"/>
    </row>
    <row r="744" spans="17:17">
      <c r="Q744" s="7"/>
    </row>
    <row r="745" spans="17:17">
      <c r="Q745" s="7"/>
    </row>
    <row r="746" spans="17:17">
      <c r="Q746" s="7"/>
    </row>
    <row r="747" spans="17:17">
      <c r="Q747" s="7"/>
    </row>
    <row r="748" spans="17:17">
      <c r="Q748" s="7"/>
    </row>
    <row r="749" spans="17:17">
      <c r="Q749" s="7"/>
    </row>
    <row r="750" spans="17:17">
      <c r="Q750" s="7"/>
    </row>
    <row r="751" spans="17:17">
      <c r="Q751" s="7"/>
    </row>
    <row r="752" spans="17:17">
      <c r="Q752" s="7"/>
    </row>
    <row r="753" spans="17:17">
      <c r="Q753" s="7"/>
    </row>
    <row r="754" spans="17:17">
      <c r="Q754" s="7"/>
    </row>
    <row r="755" spans="17:17">
      <c r="Q755" s="7"/>
    </row>
    <row r="756" spans="17:17">
      <c r="Q756" s="7"/>
    </row>
    <row r="757" spans="17:17">
      <c r="Q757" s="7"/>
    </row>
    <row r="758" spans="17:17">
      <c r="Q758" s="7"/>
    </row>
    <row r="759" spans="17:17">
      <c r="Q759" s="7"/>
    </row>
    <row r="760" spans="17:17">
      <c r="Q760" s="7"/>
    </row>
    <row r="761" spans="17:17">
      <c r="Q761" s="7"/>
    </row>
    <row r="762" spans="17:17">
      <c r="Q762" s="7"/>
    </row>
    <row r="763" spans="17:17">
      <c r="Q763" s="7"/>
    </row>
    <row r="764" spans="17:17">
      <c r="Q764" s="7"/>
    </row>
    <row r="765" spans="17:17">
      <c r="Q765" s="7"/>
    </row>
    <row r="766" spans="17:17">
      <c r="Q766" s="7"/>
    </row>
    <row r="767" spans="17:17">
      <c r="Q767" s="7"/>
    </row>
    <row r="768" spans="17:17">
      <c r="Q768" s="7"/>
    </row>
    <row r="769" spans="17:17">
      <c r="Q769" s="7"/>
    </row>
    <row r="770" spans="17:17">
      <c r="Q770" s="7"/>
    </row>
    <row r="771" spans="17:17">
      <c r="Q771" s="7"/>
    </row>
    <row r="772" spans="17:17">
      <c r="Q772" s="7"/>
    </row>
    <row r="773" spans="17:17">
      <c r="Q773" s="7"/>
    </row>
    <row r="774" spans="17:17">
      <c r="Q774" s="7"/>
    </row>
    <row r="775" spans="17:17">
      <c r="Q775" s="7"/>
    </row>
    <row r="776" spans="17:17">
      <c r="Q776" s="7"/>
    </row>
    <row r="777" spans="17:17">
      <c r="Q777" s="7"/>
    </row>
    <row r="778" spans="17:17">
      <c r="Q778" s="7"/>
    </row>
    <row r="779" spans="17:17">
      <c r="Q779" s="7"/>
    </row>
    <row r="780" spans="17:17">
      <c r="Q780" s="7"/>
    </row>
    <row r="781" spans="17:17">
      <c r="Q781" s="7"/>
    </row>
    <row r="782" spans="17:17">
      <c r="Q782" s="7"/>
    </row>
    <row r="783" spans="17:17">
      <c r="Q783" s="7"/>
    </row>
    <row r="784" spans="17:17">
      <c r="Q784" s="7"/>
    </row>
    <row r="785" spans="17:17">
      <c r="Q785" s="7"/>
    </row>
    <row r="786" spans="17:17">
      <c r="Q786" s="7"/>
    </row>
    <row r="787" spans="17:17">
      <c r="Q787" s="7"/>
    </row>
    <row r="788" spans="17:17">
      <c r="Q788" s="7"/>
    </row>
    <row r="789" spans="17:17">
      <c r="Q789" s="7"/>
    </row>
    <row r="790" spans="17:17">
      <c r="Q790" s="7"/>
    </row>
    <row r="791" spans="17:17">
      <c r="Q791" s="7"/>
    </row>
    <row r="792" spans="17:17">
      <c r="Q792" s="7"/>
    </row>
    <row r="793" spans="17:17">
      <c r="Q793" s="7"/>
    </row>
    <row r="794" spans="17:17">
      <c r="Q794" s="7"/>
    </row>
    <row r="795" spans="17:17">
      <c r="Q795" s="7"/>
    </row>
    <row r="796" spans="17:17">
      <c r="Q796" s="7"/>
    </row>
    <row r="797" spans="17:17">
      <c r="Q797" s="7"/>
    </row>
    <row r="798" spans="17:17">
      <c r="Q798" s="7"/>
    </row>
    <row r="799" spans="17:17">
      <c r="Q799" s="7"/>
    </row>
    <row r="800" spans="17:17">
      <c r="Q800" s="7"/>
    </row>
    <row r="801" spans="17:17">
      <c r="Q801" s="7"/>
    </row>
    <row r="802" spans="17:17">
      <c r="Q802" s="7"/>
    </row>
    <row r="803" spans="17:17">
      <c r="Q803" s="7"/>
    </row>
    <row r="804" spans="17:17">
      <c r="Q804" s="7"/>
    </row>
    <row r="805" spans="17:17">
      <c r="Q805" s="7"/>
    </row>
    <row r="806" spans="17:17">
      <c r="Q806" s="7"/>
    </row>
    <row r="807" spans="17:17">
      <c r="Q807" s="7"/>
    </row>
    <row r="808" spans="17:17">
      <c r="Q808" s="7"/>
    </row>
    <row r="809" spans="17:17">
      <c r="Q809" s="7"/>
    </row>
    <row r="810" spans="17:17">
      <c r="Q810" s="7"/>
    </row>
    <row r="811" spans="17:17">
      <c r="Q811" s="7"/>
    </row>
    <row r="812" spans="17:17">
      <c r="Q812" s="7"/>
    </row>
    <row r="813" spans="17:17">
      <c r="Q813" s="7"/>
    </row>
    <row r="814" spans="17:17">
      <c r="Q814" s="7"/>
    </row>
    <row r="815" spans="17:17">
      <c r="Q815" s="7"/>
    </row>
    <row r="816" spans="17:17">
      <c r="Q816" s="7"/>
    </row>
    <row r="817" spans="17:17">
      <c r="Q817" s="7"/>
    </row>
    <row r="818" spans="17:17">
      <c r="Q818" s="7"/>
    </row>
    <row r="819" spans="17:17">
      <c r="Q819" s="7"/>
    </row>
    <row r="820" spans="17:17">
      <c r="Q820" s="7"/>
    </row>
    <row r="821" spans="17:17">
      <c r="Q821" s="7"/>
    </row>
    <row r="822" spans="17:17">
      <c r="Q822" s="7"/>
    </row>
    <row r="823" spans="17:17">
      <c r="Q823" s="7"/>
    </row>
    <row r="824" spans="17:17">
      <c r="Q824" s="7"/>
    </row>
    <row r="825" spans="17:17">
      <c r="Q825" s="7"/>
    </row>
    <row r="826" spans="17:17">
      <c r="Q826" s="7"/>
    </row>
    <row r="827" spans="17:17">
      <c r="Q827" s="7"/>
    </row>
    <row r="828" spans="17:17">
      <c r="Q828" s="7"/>
    </row>
    <row r="829" spans="17:17">
      <c r="Q829" s="7"/>
    </row>
    <row r="830" spans="17:17">
      <c r="Q830" s="7"/>
    </row>
    <row r="831" spans="17:17">
      <c r="Q831" s="7"/>
    </row>
    <row r="832" spans="17:17">
      <c r="Q832" s="7"/>
    </row>
    <row r="833" spans="17:17">
      <c r="Q833" s="7"/>
    </row>
    <row r="834" spans="17:17">
      <c r="Q834" s="7"/>
    </row>
    <row r="835" spans="17:17">
      <c r="Q835" s="7"/>
    </row>
    <row r="836" spans="17:17">
      <c r="Q836" s="7"/>
    </row>
    <row r="837" spans="17:17">
      <c r="Q837" s="7"/>
    </row>
    <row r="838" spans="17:17">
      <c r="Q838" s="7"/>
    </row>
    <row r="839" spans="17:17">
      <c r="Q839" s="7"/>
    </row>
    <row r="840" spans="17:17">
      <c r="Q840" s="7"/>
    </row>
    <row r="841" spans="17:17">
      <c r="Q841" s="7"/>
    </row>
    <row r="842" spans="17:17">
      <c r="Q842" s="7"/>
    </row>
    <row r="843" spans="17:17">
      <c r="Q843" s="7"/>
    </row>
    <row r="844" spans="17:17">
      <c r="Q844" s="7"/>
    </row>
    <row r="845" spans="17:17">
      <c r="Q845" s="7"/>
    </row>
    <row r="846" spans="17:17">
      <c r="Q846" s="7"/>
    </row>
    <row r="847" spans="17:17">
      <c r="Q847" s="7"/>
    </row>
    <row r="848" spans="17:17">
      <c r="Q848" s="7"/>
    </row>
    <row r="849" spans="17:17">
      <c r="Q849" s="7"/>
    </row>
    <row r="850" spans="17:17">
      <c r="Q850" s="7"/>
    </row>
    <row r="851" spans="17:17">
      <c r="Q851" s="7"/>
    </row>
    <row r="852" spans="17:17">
      <c r="Q852" s="7"/>
    </row>
    <row r="853" spans="17:17">
      <c r="Q853" s="7"/>
    </row>
    <row r="854" spans="17:17">
      <c r="Q854" s="7"/>
    </row>
    <row r="855" spans="17:17">
      <c r="Q855" s="7"/>
    </row>
    <row r="856" spans="17:17">
      <c r="Q856" s="7"/>
    </row>
    <row r="857" spans="17:17">
      <c r="Q857" s="7"/>
    </row>
    <row r="858" spans="17:17">
      <c r="Q858" s="7"/>
    </row>
    <row r="859" spans="17:17">
      <c r="Q859" s="7"/>
    </row>
    <row r="860" spans="17:17">
      <c r="Q860" s="7"/>
    </row>
    <row r="861" spans="17:17">
      <c r="Q861" s="7"/>
    </row>
    <row r="862" spans="17:17">
      <c r="Q862" s="7"/>
    </row>
    <row r="863" spans="17:17">
      <c r="Q863" s="7"/>
    </row>
    <row r="864" spans="17:17">
      <c r="Q864" s="7"/>
    </row>
    <row r="865" spans="17:17">
      <c r="Q865" s="7"/>
    </row>
    <row r="866" spans="17:17">
      <c r="Q866" s="7"/>
    </row>
    <row r="867" spans="17:17">
      <c r="Q867" s="7"/>
    </row>
    <row r="868" spans="17:17">
      <c r="Q868" s="7"/>
    </row>
    <row r="869" spans="17:17">
      <c r="Q869" s="7"/>
    </row>
    <row r="870" spans="17:17">
      <c r="Q870" s="7"/>
    </row>
    <row r="871" spans="17:17">
      <c r="Q871" s="7"/>
    </row>
    <row r="872" spans="17:17">
      <c r="Q872" s="7"/>
    </row>
    <row r="873" spans="17:17">
      <c r="Q873" s="7"/>
    </row>
    <row r="874" spans="17:17">
      <c r="Q874" s="7"/>
    </row>
    <row r="875" spans="17:17">
      <c r="Q875" s="7"/>
    </row>
    <row r="876" spans="17:17">
      <c r="Q876" s="7"/>
    </row>
    <row r="877" spans="17:17">
      <c r="Q877" s="7"/>
    </row>
    <row r="878" spans="17:17">
      <c r="Q878" s="7"/>
    </row>
    <row r="879" spans="17:17">
      <c r="Q879" s="7"/>
    </row>
    <row r="880" spans="17:17">
      <c r="Q880" s="7"/>
    </row>
    <row r="881" spans="17:17">
      <c r="Q881" s="7"/>
    </row>
  </sheetData>
  <phoneticPr fontId="5" type="noConversion"/>
  <conditionalFormatting sqref="X6:X18">
    <cfRule type="duplicateValues" dxfId="18" priority="2"/>
  </conditionalFormatting>
  <conditionalFormatting sqref="R7:R23">
    <cfRule type="duplicateValues" dxfId="17" priority="1"/>
  </conditionalFormatting>
  <pageMargins left="0.7" right="0.7" top="0.75" bottom="0.75" header="0.3" footer="0.3"/>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BJ-byW</vt:lpstr>
      <vt:lpstr>BJ-byM</vt:lpstr>
      <vt:lpstr>FI-byW</vt:lpstr>
      <vt:lpstr>FI-byM</vt:lpstr>
      <vt:lpstr>byPer</vt:lpstr>
      <vt:lpstr>patch</vt:lpstr>
      <vt:lpstr>linxdrv-latestww</vt:lpstr>
      <vt:lpstr>OrgTree</vt:lpstr>
      <vt:lpstr>ver</vt:lpstr>
      <vt:lpstr>Sheet1</vt:lpstr>
    </vt:vector>
  </TitlesOfParts>
  <Company>Intel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Liu, Xiaolu</dc:creator>
  <cp:keywords>CTPClassification=CTP_IC:VisualMarkings=</cp:keywords>
  <cp:lastModifiedBy>Li, JinjingX</cp:lastModifiedBy>
  <dcterms:created xsi:type="dcterms:W3CDTF">2016-01-22T02:37:43Z</dcterms:created>
  <dcterms:modified xsi:type="dcterms:W3CDTF">2016-10-09T09:18:51Z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58fcef30-5f98-4802-bc46-d965599e764a</vt:lpwstr>
  </property>
  <property fmtid="{D5CDD505-2E9C-101B-9397-08002B2CF9AE}" pid="3" name="CTP_BU">
    <vt:lpwstr>CORPORATE GROUP</vt:lpwstr>
  </property>
  <property fmtid="{D5CDD505-2E9C-101B-9397-08002B2CF9AE}" pid="4" name="CTP_TimeStamp">
    <vt:lpwstr>2016-09-09 06:54:35Z</vt:lpwstr>
  </property>
  <property fmtid="{D5CDD505-2E9C-101B-9397-08002B2CF9AE}" pid="5" name="CTPClassification">
    <vt:lpwstr>CTP_IC</vt:lpwstr>
  </property>
</Properties>
</file>